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3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3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filterPrivacy="1" codeName="ThisWorkbook" defaultThemeVersion="124226"/>
  <xr:revisionPtr revIDLastSave="0" documentId="13_ncr:1_{80C3873B-5FC3-4272-9699-BDA6AF1E98AD}" xr6:coauthVersionLast="43" xr6:coauthVersionMax="43" xr10:uidLastSave="{00000000-0000-0000-0000-000000000000}"/>
  <bookViews>
    <workbookView xWindow="28680" yWindow="-120" windowWidth="29040" windowHeight="17640" tabRatio="932" firstSheet="27" activeTab="32" xr2:uid="{00000000-000D-0000-FFFF-FFFF00000000}"/>
  </bookViews>
  <sheets>
    <sheet name="Monthly Data" sheetId="1" r:id="rId1"/>
    <sheet name="Customer Data" sheetId="2" r:id="rId2"/>
    <sheet name="CDM" sheetId="36" r:id="rId3"/>
    <sheet name="Weather" sheetId="4" r:id="rId4"/>
    <sheet name="Employment" sheetId="5" r:id="rId5"/>
    <sheet name="Res OLS Model" sheetId="6" r:id="rId6"/>
    <sheet name="Res Predicted Monthly" sheetId="11" r:id="rId7"/>
    <sheet name="GS &lt; 50 OLS Model" sheetId="7" r:id="rId8"/>
    <sheet name="GS &lt; 50 Predicted Monthly" sheetId="12" r:id="rId9"/>
    <sheet name="GS &gt; 50 OLS Model" sheetId="8" r:id="rId10"/>
    <sheet name="GS &gt; 50 Predicted Monthly" sheetId="13" r:id="rId11"/>
    <sheet name="GS &gt; 50 OLS Model (LC)" sheetId="44" r:id="rId12"/>
    <sheet name="GS &gt; 50 Predicted Monthly (LC)" sheetId="45" r:id="rId13"/>
    <sheet name="Intermediate OLS Model" sheetId="9" r:id="rId14"/>
    <sheet name="Intermediate Predicted Monthly" sheetId="14" r:id="rId15"/>
    <sheet name="Large Use OLS Model" sheetId="10" r:id="rId16"/>
    <sheet name="Large Use Predicted Monthly" sheetId="15" r:id="rId17"/>
    <sheet name="Large Use OLS Model (LC)" sheetId="42" r:id="rId18"/>
    <sheet name="Large Use Predicted Monthly (L)" sheetId="43" r:id="rId19"/>
    <sheet name="Model Annual Summary" sheetId="16" r:id="rId20"/>
    <sheet name="Res Normalized Monthly" sheetId="22" r:id="rId21"/>
    <sheet name="GS &lt; 50 Normalized Monthly" sheetId="23" r:id="rId22"/>
    <sheet name="GS &gt; 50 Normalized Monthly" sheetId="24" r:id="rId23"/>
    <sheet name="GS &gt; 50 Normalized Monthly (LC)" sheetId="46" r:id="rId24"/>
    <sheet name="Intermediate Normalized Monthly" sheetId="25" r:id="rId25"/>
    <sheet name="Large Use Normalized Monthly" sheetId="26" r:id="rId26"/>
    <sheet name="Large Use Norm Monthly (LC)" sheetId="47" r:id="rId27"/>
    <sheet name="Connection count " sheetId="17" r:id="rId28"/>
    <sheet name="Normalized Annual Summary" sheetId="18" r:id="rId29"/>
    <sheet name="kW Forecast" sheetId="19" r:id="rId30"/>
    <sheet name="CDM Adjustments" sheetId="20" r:id="rId31"/>
    <sheet name="Data for App. 2 IB" sheetId="40" r:id="rId32"/>
    <sheet name="Summary Tables" sheetId="21" r:id="rId33"/>
    <sheet name="20 Year Trend-&gt;" sheetId="35" r:id="rId34"/>
    <sheet name="Res NM 20yr Trend" sheetId="27" r:id="rId35"/>
    <sheet name="GS &lt; 50 NM 20yr Trend" sheetId="28" r:id="rId36"/>
    <sheet name="GS &gt; 50 NM 20yr Trend" sheetId="29" r:id="rId37"/>
    <sheet name="GS &gt; 50 NM 20yr Trend (LC)" sheetId="48" r:id="rId38"/>
    <sheet name="Intermediate NM 20yr Trend" sheetId="30" r:id="rId39"/>
    <sheet name="Large Use NM 20yr Trend" sheetId="31" r:id="rId40"/>
    <sheet name="Large Use NM 20yr Trend (LC)" sheetId="49" r:id="rId41"/>
    <sheet name="Normalized AS 20yr Trend" sheetId="34" r:id="rId42"/>
    <sheet name="kW Forecast  20 yr Trend" sheetId="39" r:id="rId43"/>
    <sheet name="Summary Tables 20yr Trend" sheetId="33" r:id="rId44"/>
  </sheet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U16" i="34" l="1"/>
  <c r="AT16" i="34" s="1"/>
  <c r="AU16" i="18"/>
  <c r="K11" i="49"/>
  <c r="M11" i="49"/>
  <c r="O11" i="49"/>
  <c r="P11" i="49"/>
  <c r="Q11" i="49"/>
  <c r="K12" i="49"/>
  <c r="M12" i="49"/>
  <c r="O12" i="49"/>
  <c r="P12" i="49"/>
  <c r="Q12" i="49"/>
  <c r="K13" i="49"/>
  <c r="M13" i="49"/>
  <c r="O13" i="49"/>
  <c r="P13" i="49"/>
  <c r="Q13" i="49"/>
  <c r="K14" i="49"/>
  <c r="M14" i="49"/>
  <c r="O14" i="49"/>
  <c r="P14" i="49"/>
  <c r="Q14" i="49"/>
  <c r="K15" i="49"/>
  <c r="M15" i="49"/>
  <c r="O15" i="49"/>
  <c r="P15" i="49"/>
  <c r="Q15" i="49"/>
  <c r="K16" i="49"/>
  <c r="M16" i="49"/>
  <c r="O16" i="49"/>
  <c r="P16" i="49"/>
  <c r="Q16" i="49"/>
  <c r="K17" i="49"/>
  <c r="M17" i="49"/>
  <c r="O17" i="49"/>
  <c r="P17" i="49"/>
  <c r="Q17" i="49"/>
  <c r="K18" i="49"/>
  <c r="M18" i="49"/>
  <c r="O18" i="49"/>
  <c r="P18" i="49"/>
  <c r="Q18" i="49"/>
  <c r="K19" i="49"/>
  <c r="M19" i="49"/>
  <c r="O19" i="49"/>
  <c r="P19" i="49"/>
  <c r="Q19" i="49"/>
  <c r="K20" i="49"/>
  <c r="M20" i="49"/>
  <c r="O20" i="49"/>
  <c r="P20" i="49"/>
  <c r="Q20" i="49"/>
  <c r="K21" i="49"/>
  <c r="M21" i="49"/>
  <c r="O21" i="49"/>
  <c r="P21" i="49"/>
  <c r="Q21" i="49"/>
  <c r="K22" i="49"/>
  <c r="M22" i="49"/>
  <c r="O22" i="49"/>
  <c r="P22" i="49"/>
  <c r="Q22" i="49"/>
  <c r="K23" i="49"/>
  <c r="M23" i="49"/>
  <c r="O23" i="49"/>
  <c r="P23" i="49"/>
  <c r="Q23" i="49"/>
  <c r="K24" i="49"/>
  <c r="M24" i="49"/>
  <c r="O24" i="49"/>
  <c r="P24" i="49"/>
  <c r="Q24" i="49"/>
  <c r="K25" i="49"/>
  <c r="M25" i="49"/>
  <c r="O25" i="49"/>
  <c r="P25" i="49"/>
  <c r="Q25" i="49"/>
  <c r="K26" i="49"/>
  <c r="M26" i="49"/>
  <c r="O26" i="49"/>
  <c r="P26" i="49"/>
  <c r="Q26" i="49"/>
  <c r="K27" i="49"/>
  <c r="M27" i="49"/>
  <c r="O27" i="49"/>
  <c r="P27" i="49"/>
  <c r="Q27" i="49"/>
  <c r="K28" i="49"/>
  <c r="M28" i="49"/>
  <c r="O28" i="49"/>
  <c r="P28" i="49"/>
  <c r="Q28" i="49"/>
  <c r="K29" i="49"/>
  <c r="M29" i="49"/>
  <c r="O29" i="49"/>
  <c r="P29" i="49"/>
  <c r="Q29" i="49"/>
  <c r="K30" i="49"/>
  <c r="M30" i="49"/>
  <c r="O30" i="49"/>
  <c r="P30" i="49"/>
  <c r="Q30" i="49"/>
  <c r="K31" i="49"/>
  <c r="M31" i="49"/>
  <c r="O31" i="49"/>
  <c r="P31" i="49"/>
  <c r="Q31" i="49"/>
  <c r="K32" i="49"/>
  <c r="M32" i="49"/>
  <c r="O32" i="49"/>
  <c r="P32" i="49"/>
  <c r="Q32" i="49"/>
  <c r="K33" i="49"/>
  <c r="M33" i="49"/>
  <c r="O33" i="49"/>
  <c r="P33" i="49"/>
  <c r="Q33" i="49"/>
  <c r="K34" i="49"/>
  <c r="M34" i="49"/>
  <c r="O34" i="49"/>
  <c r="P34" i="49"/>
  <c r="Q34" i="49"/>
  <c r="K35" i="49"/>
  <c r="M35" i="49"/>
  <c r="O35" i="49"/>
  <c r="P35" i="49"/>
  <c r="Q35" i="49"/>
  <c r="K36" i="49"/>
  <c r="M36" i="49"/>
  <c r="O36" i="49"/>
  <c r="P36" i="49"/>
  <c r="Q36" i="49"/>
  <c r="K37" i="49"/>
  <c r="M37" i="49"/>
  <c r="O37" i="49"/>
  <c r="P37" i="49"/>
  <c r="Q37" i="49"/>
  <c r="K38" i="49"/>
  <c r="M38" i="49"/>
  <c r="O38" i="49"/>
  <c r="P38" i="49"/>
  <c r="Q38" i="49"/>
  <c r="K39" i="49"/>
  <c r="M39" i="49"/>
  <c r="O39" i="49"/>
  <c r="P39" i="49"/>
  <c r="Q39" i="49"/>
  <c r="K40" i="49"/>
  <c r="M40" i="49"/>
  <c r="O40" i="49"/>
  <c r="P40" i="49"/>
  <c r="Q40" i="49"/>
  <c r="K41" i="49"/>
  <c r="M41" i="49"/>
  <c r="O41" i="49"/>
  <c r="P41" i="49"/>
  <c r="Q41" i="49"/>
  <c r="K42" i="49"/>
  <c r="M42" i="49"/>
  <c r="O42" i="49"/>
  <c r="P42" i="49"/>
  <c r="Q42" i="49"/>
  <c r="K43" i="49"/>
  <c r="M43" i="49"/>
  <c r="O43" i="49"/>
  <c r="P43" i="49"/>
  <c r="Q43" i="49"/>
  <c r="K44" i="49"/>
  <c r="M44" i="49"/>
  <c r="O44" i="49"/>
  <c r="P44" i="49"/>
  <c r="Q44" i="49"/>
  <c r="K45" i="49"/>
  <c r="M45" i="49"/>
  <c r="O45" i="49"/>
  <c r="P45" i="49"/>
  <c r="Q45" i="49"/>
  <c r="K46" i="49"/>
  <c r="M46" i="49"/>
  <c r="O46" i="49"/>
  <c r="P46" i="49"/>
  <c r="Q46" i="49"/>
  <c r="K47" i="49"/>
  <c r="M47" i="49"/>
  <c r="O47" i="49"/>
  <c r="P47" i="49"/>
  <c r="Q47" i="49"/>
  <c r="K48" i="49"/>
  <c r="M48" i="49"/>
  <c r="O48" i="49"/>
  <c r="P48" i="49"/>
  <c r="Q48" i="49"/>
  <c r="K49" i="49"/>
  <c r="M49" i="49"/>
  <c r="O49" i="49"/>
  <c r="P49" i="49"/>
  <c r="Q49" i="49"/>
  <c r="K50" i="49"/>
  <c r="M50" i="49"/>
  <c r="O50" i="49"/>
  <c r="P50" i="49"/>
  <c r="Q50" i="49"/>
  <c r="K51" i="49"/>
  <c r="M51" i="49"/>
  <c r="O51" i="49"/>
  <c r="P51" i="49"/>
  <c r="Q51" i="49"/>
  <c r="K52" i="49"/>
  <c r="M52" i="49"/>
  <c r="O52" i="49"/>
  <c r="P52" i="49"/>
  <c r="Q52" i="49"/>
  <c r="K53" i="49"/>
  <c r="M53" i="49"/>
  <c r="O53" i="49"/>
  <c r="P53" i="49"/>
  <c r="Q53" i="49"/>
  <c r="K54" i="49"/>
  <c r="M54" i="49"/>
  <c r="O54" i="49"/>
  <c r="P54" i="49"/>
  <c r="Q54" i="49"/>
  <c r="K55" i="49"/>
  <c r="M55" i="49"/>
  <c r="O55" i="49"/>
  <c r="P55" i="49"/>
  <c r="Q55" i="49"/>
  <c r="K56" i="49"/>
  <c r="M56" i="49"/>
  <c r="O56" i="49"/>
  <c r="P56" i="49"/>
  <c r="Q56" i="49"/>
  <c r="K57" i="49"/>
  <c r="M57" i="49"/>
  <c r="O57" i="49"/>
  <c r="P57" i="49"/>
  <c r="Q57" i="49"/>
  <c r="K58" i="49"/>
  <c r="M58" i="49"/>
  <c r="O58" i="49"/>
  <c r="P58" i="49"/>
  <c r="Q58" i="49"/>
  <c r="K59" i="49"/>
  <c r="M59" i="49"/>
  <c r="O59" i="49"/>
  <c r="P59" i="49"/>
  <c r="Q59" i="49"/>
  <c r="K60" i="49"/>
  <c r="M60" i="49"/>
  <c r="O60" i="49"/>
  <c r="P60" i="49"/>
  <c r="Q60" i="49"/>
  <c r="K61" i="49"/>
  <c r="M61" i="49"/>
  <c r="O61" i="49"/>
  <c r="P61" i="49"/>
  <c r="Q61" i="49"/>
  <c r="K62" i="49"/>
  <c r="M62" i="49"/>
  <c r="O62" i="49"/>
  <c r="P62" i="49"/>
  <c r="Q62" i="49"/>
  <c r="K63" i="49"/>
  <c r="M63" i="49"/>
  <c r="O63" i="49"/>
  <c r="P63" i="49"/>
  <c r="Q63" i="49"/>
  <c r="K64" i="49"/>
  <c r="M64" i="49"/>
  <c r="O64" i="49"/>
  <c r="P64" i="49"/>
  <c r="Q64" i="49"/>
  <c r="K65" i="49"/>
  <c r="M65" i="49"/>
  <c r="O65" i="49"/>
  <c r="P65" i="49"/>
  <c r="Q65" i="49"/>
  <c r="K66" i="49"/>
  <c r="M66" i="49"/>
  <c r="O66" i="49"/>
  <c r="P66" i="49"/>
  <c r="Q66" i="49"/>
  <c r="K67" i="49"/>
  <c r="M67" i="49"/>
  <c r="O67" i="49"/>
  <c r="P67" i="49"/>
  <c r="Q67" i="49"/>
  <c r="K68" i="49"/>
  <c r="M68" i="49"/>
  <c r="O68" i="49"/>
  <c r="P68" i="49"/>
  <c r="Q68" i="49"/>
  <c r="K69" i="49"/>
  <c r="M69" i="49"/>
  <c r="O69" i="49"/>
  <c r="P69" i="49"/>
  <c r="Q69" i="49"/>
  <c r="K70" i="49"/>
  <c r="M70" i="49"/>
  <c r="O70" i="49"/>
  <c r="P70" i="49"/>
  <c r="Q70" i="49"/>
  <c r="K71" i="49"/>
  <c r="M71" i="49"/>
  <c r="O71" i="49"/>
  <c r="P71" i="49"/>
  <c r="Q71" i="49"/>
  <c r="K72" i="49"/>
  <c r="M72" i="49"/>
  <c r="O72" i="49"/>
  <c r="P72" i="49"/>
  <c r="Q72" i="49"/>
  <c r="K73" i="49"/>
  <c r="M73" i="49"/>
  <c r="O73" i="49"/>
  <c r="P73" i="49"/>
  <c r="Q73" i="49"/>
  <c r="K74" i="49"/>
  <c r="M74" i="49"/>
  <c r="O74" i="49"/>
  <c r="P74" i="49"/>
  <c r="Q74" i="49"/>
  <c r="K75" i="49"/>
  <c r="M75" i="49"/>
  <c r="O75" i="49"/>
  <c r="P75" i="49"/>
  <c r="Q75" i="49"/>
  <c r="K76" i="49"/>
  <c r="M76" i="49"/>
  <c r="O76" i="49"/>
  <c r="P76" i="49"/>
  <c r="Q76" i="49"/>
  <c r="K77" i="49"/>
  <c r="M77" i="49"/>
  <c r="O77" i="49"/>
  <c r="P77" i="49"/>
  <c r="Q77" i="49"/>
  <c r="K78" i="49"/>
  <c r="M78" i="49"/>
  <c r="O78" i="49"/>
  <c r="P78" i="49"/>
  <c r="Q78" i="49"/>
  <c r="K79" i="49"/>
  <c r="M79" i="49"/>
  <c r="O79" i="49"/>
  <c r="P79" i="49"/>
  <c r="Q79" i="49"/>
  <c r="K80" i="49"/>
  <c r="M80" i="49"/>
  <c r="O80" i="49"/>
  <c r="P80" i="49"/>
  <c r="Q80" i="49"/>
  <c r="K81" i="49"/>
  <c r="M81" i="49"/>
  <c r="O81" i="49"/>
  <c r="P81" i="49"/>
  <c r="Q81" i="49"/>
  <c r="K82" i="49"/>
  <c r="M82" i="49"/>
  <c r="O82" i="49"/>
  <c r="P82" i="49"/>
  <c r="Q82" i="49"/>
  <c r="K83" i="49"/>
  <c r="M83" i="49"/>
  <c r="O83" i="49"/>
  <c r="P83" i="49"/>
  <c r="Q83" i="49"/>
  <c r="K84" i="49"/>
  <c r="M84" i="49"/>
  <c r="O84" i="49"/>
  <c r="P84" i="49"/>
  <c r="Q84" i="49"/>
  <c r="K85" i="49"/>
  <c r="M85" i="49"/>
  <c r="O85" i="49"/>
  <c r="P85" i="49"/>
  <c r="Q85" i="49"/>
  <c r="K86" i="49"/>
  <c r="M86" i="49"/>
  <c r="O86" i="49"/>
  <c r="P86" i="49"/>
  <c r="Q86" i="49"/>
  <c r="K87" i="49"/>
  <c r="M87" i="49"/>
  <c r="O87" i="49"/>
  <c r="P87" i="49"/>
  <c r="Q87" i="49"/>
  <c r="K88" i="49"/>
  <c r="M88" i="49"/>
  <c r="O88" i="49"/>
  <c r="P88" i="49"/>
  <c r="Q88" i="49"/>
  <c r="K89" i="49"/>
  <c r="M89" i="49"/>
  <c r="O89" i="49"/>
  <c r="P89" i="49"/>
  <c r="Q89" i="49"/>
  <c r="K90" i="49"/>
  <c r="M90" i="49"/>
  <c r="O90" i="49"/>
  <c r="P90" i="49"/>
  <c r="Q90" i="49"/>
  <c r="K91" i="49"/>
  <c r="M91" i="49"/>
  <c r="O91" i="49"/>
  <c r="P91" i="49"/>
  <c r="Q91" i="49"/>
  <c r="K92" i="49"/>
  <c r="M92" i="49"/>
  <c r="O92" i="49"/>
  <c r="P92" i="49"/>
  <c r="Q92" i="49"/>
  <c r="K93" i="49"/>
  <c r="M93" i="49"/>
  <c r="O93" i="49"/>
  <c r="P93" i="49"/>
  <c r="Q93" i="49"/>
  <c r="K94" i="49"/>
  <c r="M94" i="49"/>
  <c r="O94" i="49"/>
  <c r="P94" i="49"/>
  <c r="Q94" i="49"/>
  <c r="K95" i="49"/>
  <c r="M95" i="49"/>
  <c r="O95" i="49"/>
  <c r="P95" i="49"/>
  <c r="Q95" i="49"/>
  <c r="K96" i="49"/>
  <c r="M96" i="49"/>
  <c r="O96" i="49"/>
  <c r="P96" i="49"/>
  <c r="Q96" i="49"/>
  <c r="K97" i="49"/>
  <c r="M97" i="49"/>
  <c r="O97" i="49"/>
  <c r="P97" i="49"/>
  <c r="Q97" i="49"/>
  <c r="K98" i="49"/>
  <c r="M98" i="49"/>
  <c r="O98" i="49"/>
  <c r="P98" i="49"/>
  <c r="Q98" i="49"/>
  <c r="K99" i="49"/>
  <c r="M99" i="49"/>
  <c r="O99" i="49"/>
  <c r="P99" i="49"/>
  <c r="Q99" i="49"/>
  <c r="K100" i="49"/>
  <c r="M100" i="49"/>
  <c r="O100" i="49"/>
  <c r="P100" i="49"/>
  <c r="Q100" i="49"/>
  <c r="K101" i="49"/>
  <c r="M101" i="49"/>
  <c r="O101" i="49"/>
  <c r="P101" i="49"/>
  <c r="Q101" i="49"/>
  <c r="K102" i="49"/>
  <c r="M102" i="49"/>
  <c r="O102" i="49"/>
  <c r="P102" i="49"/>
  <c r="Q102" i="49"/>
  <c r="K103" i="49"/>
  <c r="M103" i="49"/>
  <c r="O103" i="49"/>
  <c r="P103" i="49"/>
  <c r="Q103" i="49"/>
  <c r="K104" i="49"/>
  <c r="M104" i="49"/>
  <c r="O104" i="49"/>
  <c r="P104" i="49"/>
  <c r="Q104" i="49"/>
  <c r="K105" i="49"/>
  <c r="M105" i="49"/>
  <c r="O105" i="49"/>
  <c r="P105" i="49"/>
  <c r="Q105" i="49"/>
  <c r="K106" i="49"/>
  <c r="M106" i="49"/>
  <c r="O106" i="49"/>
  <c r="P106" i="49"/>
  <c r="Q106" i="49"/>
  <c r="K107" i="49"/>
  <c r="M107" i="49"/>
  <c r="O107" i="49"/>
  <c r="P107" i="49"/>
  <c r="Q107" i="49"/>
  <c r="K108" i="49"/>
  <c r="M108" i="49"/>
  <c r="O108" i="49"/>
  <c r="P108" i="49"/>
  <c r="Q108" i="49"/>
  <c r="K109" i="49"/>
  <c r="M109" i="49"/>
  <c r="O109" i="49"/>
  <c r="P109" i="49"/>
  <c r="Q109" i="49"/>
  <c r="K110" i="49"/>
  <c r="M110" i="49"/>
  <c r="O110" i="49"/>
  <c r="P110" i="49"/>
  <c r="Q110" i="49"/>
  <c r="K111" i="49"/>
  <c r="M111" i="49"/>
  <c r="O111" i="49"/>
  <c r="P111" i="49"/>
  <c r="Q111" i="49"/>
  <c r="K112" i="49"/>
  <c r="M112" i="49"/>
  <c r="O112" i="49"/>
  <c r="P112" i="49"/>
  <c r="Q112" i="49"/>
  <c r="K113" i="49"/>
  <c r="M113" i="49"/>
  <c r="O113" i="49"/>
  <c r="P113" i="49"/>
  <c r="Q113" i="49"/>
  <c r="K114" i="49"/>
  <c r="M114" i="49"/>
  <c r="O114" i="49"/>
  <c r="P114" i="49"/>
  <c r="Q114" i="49"/>
  <c r="K115" i="49"/>
  <c r="M115" i="49"/>
  <c r="O115" i="49"/>
  <c r="P115" i="49"/>
  <c r="Q115" i="49"/>
  <c r="K116" i="49"/>
  <c r="M116" i="49"/>
  <c r="O116" i="49"/>
  <c r="P116" i="49"/>
  <c r="Q116" i="49"/>
  <c r="K117" i="49"/>
  <c r="M117" i="49"/>
  <c r="O117" i="49"/>
  <c r="P117" i="49"/>
  <c r="Q117" i="49"/>
  <c r="K118" i="49"/>
  <c r="M118" i="49"/>
  <c r="O118" i="49"/>
  <c r="P118" i="49"/>
  <c r="Q118" i="49"/>
  <c r="K119" i="49"/>
  <c r="M119" i="49"/>
  <c r="O119" i="49"/>
  <c r="P119" i="49"/>
  <c r="Q119" i="49"/>
  <c r="K120" i="49"/>
  <c r="M120" i="49"/>
  <c r="O120" i="49"/>
  <c r="P120" i="49"/>
  <c r="Q120" i="49"/>
  <c r="K121" i="49"/>
  <c r="M121" i="49"/>
  <c r="O121" i="49"/>
  <c r="P121" i="49"/>
  <c r="Q121" i="49"/>
  <c r="K122" i="49"/>
  <c r="M122" i="49"/>
  <c r="O122" i="49"/>
  <c r="P122" i="49"/>
  <c r="Q122" i="49"/>
  <c r="K123" i="49"/>
  <c r="M123" i="49"/>
  <c r="O123" i="49"/>
  <c r="P123" i="49"/>
  <c r="Q123" i="49"/>
  <c r="K124" i="49"/>
  <c r="M124" i="49"/>
  <c r="O124" i="49"/>
  <c r="P124" i="49"/>
  <c r="Q124" i="49"/>
  <c r="K125" i="49"/>
  <c r="M125" i="49"/>
  <c r="O125" i="49"/>
  <c r="P125" i="49"/>
  <c r="Q125" i="49"/>
  <c r="K126" i="49"/>
  <c r="M126" i="49"/>
  <c r="O126" i="49"/>
  <c r="P126" i="49"/>
  <c r="Q126" i="49"/>
  <c r="K127" i="49"/>
  <c r="M127" i="49"/>
  <c r="O127" i="49"/>
  <c r="P127" i="49"/>
  <c r="Q127" i="49"/>
  <c r="K128" i="49"/>
  <c r="M128" i="49"/>
  <c r="O128" i="49"/>
  <c r="P128" i="49"/>
  <c r="Q128" i="49"/>
  <c r="K129" i="49"/>
  <c r="M129" i="49"/>
  <c r="O129" i="49"/>
  <c r="P129" i="49"/>
  <c r="Q129" i="49"/>
  <c r="K130" i="49"/>
  <c r="M130" i="49"/>
  <c r="O130" i="49"/>
  <c r="P130" i="49"/>
  <c r="Q130" i="49"/>
  <c r="K131" i="49"/>
  <c r="M131" i="49"/>
  <c r="O131" i="49"/>
  <c r="P131" i="49"/>
  <c r="Q131" i="49"/>
  <c r="K132" i="49"/>
  <c r="M132" i="49"/>
  <c r="O132" i="49"/>
  <c r="P132" i="49"/>
  <c r="Q132" i="49"/>
  <c r="K133" i="49"/>
  <c r="M133" i="49"/>
  <c r="O133" i="49"/>
  <c r="P133" i="49"/>
  <c r="Q133" i="49"/>
  <c r="K134" i="49"/>
  <c r="M134" i="49"/>
  <c r="O134" i="49"/>
  <c r="P134" i="49"/>
  <c r="Q134" i="49"/>
  <c r="K135" i="49"/>
  <c r="M135" i="49"/>
  <c r="O135" i="49"/>
  <c r="P135" i="49"/>
  <c r="Q135" i="49"/>
  <c r="K136" i="49"/>
  <c r="M136" i="49"/>
  <c r="O136" i="49"/>
  <c r="P136" i="49"/>
  <c r="Q136" i="49"/>
  <c r="K137" i="49"/>
  <c r="M137" i="49"/>
  <c r="O137" i="49"/>
  <c r="P137" i="49"/>
  <c r="Q137" i="49"/>
  <c r="K138" i="49"/>
  <c r="M138" i="49"/>
  <c r="O138" i="49"/>
  <c r="P138" i="49"/>
  <c r="Q138" i="49"/>
  <c r="K139" i="49"/>
  <c r="M139" i="49"/>
  <c r="O139" i="49"/>
  <c r="P139" i="49"/>
  <c r="Q139" i="49"/>
  <c r="K140" i="49"/>
  <c r="M140" i="49"/>
  <c r="O140" i="49"/>
  <c r="P140" i="49"/>
  <c r="Q140" i="49"/>
  <c r="K141" i="49"/>
  <c r="M141" i="49"/>
  <c r="O141" i="49"/>
  <c r="P141" i="49"/>
  <c r="Q141" i="49"/>
  <c r="K142" i="49"/>
  <c r="M142" i="49"/>
  <c r="O142" i="49"/>
  <c r="P142" i="49"/>
  <c r="Q142" i="49"/>
  <c r="K143" i="49"/>
  <c r="M143" i="49"/>
  <c r="O143" i="49"/>
  <c r="P143" i="49"/>
  <c r="Q143" i="49"/>
  <c r="K144" i="49"/>
  <c r="M144" i="49"/>
  <c r="O144" i="49"/>
  <c r="P144" i="49"/>
  <c r="Q144" i="49"/>
  <c r="K145" i="49"/>
  <c r="M145" i="49"/>
  <c r="O145" i="49"/>
  <c r="P145" i="49"/>
  <c r="Q145" i="49"/>
  <c r="Q10" i="49"/>
  <c r="P10" i="49"/>
  <c r="O10" i="49"/>
  <c r="M10" i="49"/>
  <c r="K10" i="49"/>
  <c r="Q9" i="49"/>
  <c r="P9" i="49"/>
  <c r="O9" i="49"/>
  <c r="M9" i="49"/>
  <c r="K9" i="49"/>
  <c r="Q8" i="49"/>
  <c r="P8" i="49"/>
  <c r="O8" i="49"/>
  <c r="M8" i="49"/>
  <c r="K8" i="49"/>
  <c r="Q7" i="49"/>
  <c r="P7" i="49"/>
  <c r="O7" i="49"/>
  <c r="M7" i="49"/>
  <c r="K7" i="49"/>
  <c r="Q6" i="49"/>
  <c r="P6" i="49"/>
  <c r="O6" i="49"/>
  <c r="M6" i="49"/>
  <c r="K6" i="49"/>
  <c r="Q5" i="49"/>
  <c r="P5" i="49"/>
  <c r="O5" i="49"/>
  <c r="M5" i="49"/>
  <c r="K5" i="49"/>
  <c r="Q4" i="49"/>
  <c r="P4" i="49"/>
  <c r="O4" i="49"/>
  <c r="M4" i="49"/>
  <c r="K4" i="49"/>
  <c r="Q3" i="49"/>
  <c r="P3" i="49"/>
  <c r="O3" i="49"/>
  <c r="M3" i="49"/>
  <c r="K3" i="49"/>
  <c r="Q2" i="49"/>
  <c r="P2" i="49"/>
  <c r="O2" i="49"/>
  <c r="M2" i="49"/>
  <c r="K2" i="49"/>
  <c r="B145" i="49"/>
  <c r="B144" i="49"/>
  <c r="B143" i="49"/>
  <c r="B142" i="49"/>
  <c r="B141" i="49"/>
  <c r="B140" i="49"/>
  <c r="B139" i="49"/>
  <c r="B138" i="49"/>
  <c r="B137" i="49"/>
  <c r="B136" i="49"/>
  <c r="B135" i="49"/>
  <c r="B134" i="49"/>
  <c r="E133" i="49"/>
  <c r="B133" i="49"/>
  <c r="B132" i="49"/>
  <c r="B131" i="49"/>
  <c r="B130" i="49"/>
  <c r="B129" i="49"/>
  <c r="B128" i="49"/>
  <c r="B127" i="49"/>
  <c r="B126" i="49"/>
  <c r="E125" i="49"/>
  <c r="B125" i="49"/>
  <c r="B124" i="49"/>
  <c r="B123" i="49"/>
  <c r="H122" i="49"/>
  <c r="B122" i="49"/>
  <c r="H121" i="49"/>
  <c r="H133" i="49" s="1"/>
  <c r="E121" i="49"/>
  <c r="B121" i="49"/>
  <c r="H120" i="49"/>
  <c r="E120" i="49"/>
  <c r="E132" i="49" s="1"/>
  <c r="B120" i="49"/>
  <c r="H119" i="49"/>
  <c r="E119" i="49"/>
  <c r="E131" i="49" s="1"/>
  <c r="B119" i="49"/>
  <c r="H118" i="49"/>
  <c r="H130" i="49" s="1"/>
  <c r="E118" i="49"/>
  <c r="E130" i="49" s="1"/>
  <c r="B118" i="49"/>
  <c r="H117" i="49"/>
  <c r="H129" i="49" s="1"/>
  <c r="E117" i="49"/>
  <c r="B117" i="49"/>
  <c r="H116" i="49"/>
  <c r="E116" i="49"/>
  <c r="E128" i="49" s="1"/>
  <c r="B116" i="49"/>
  <c r="H115" i="49"/>
  <c r="H127" i="49" s="1"/>
  <c r="E115" i="49"/>
  <c r="E127" i="49" s="1"/>
  <c r="B115" i="49"/>
  <c r="H114" i="49"/>
  <c r="H126" i="49" s="1"/>
  <c r="E114" i="49"/>
  <c r="E126" i="49" s="1"/>
  <c r="B114" i="49"/>
  <c r="I113" i="49"/>
  <c r="H113" i="49"/>
  <c r="H125" i="49" s="1"/>
  <c r="E113" i="49"/>
  <c r="B113" i="49"/>
  <c r="H112" i="49"/>
  <c r="E112" i="49"/>
  <c r="E124" i="49" s="1"/>
  <c r="B112" i="49"/>
  <c r="H111" i="49"/>
  <c r="H123" i="49" s="1"/>
  <c r="E111" i="49"/>
  <c r="E123" i="49" s="1"/>
  <c r="B111" i="49"/>
  <c r="H110" i="49"/>
  <c r="E110" i="49"/>
  <c r="E122" i="49" s="1"/>
  <c r="E134" i="49" s="1"/>
  <c r="B110" i="49"/>
  <c r="I109" i="49"/>
  <c r="H109" i="49"/>
  <c r="E109" i="49"/>
  <c r="B109" i="49"/>
  <c r="H108" i="49"/>
  <c r="E108" i="49"/>
  <c r="B108" i="49"/>
  <c r="H107" i="49"/>
  <c r="G107" i="49"/>
  <c r="E107" i="49"/>
  <c r="B107" i="49"/>
  <c r="H106" i="49"/>
  <c r="E106" i="49"/>
  <c r="B106" i="49"/>
  <c r="H105" i="49"/>
  <c r="E105" i="49"/>
  <c r="B105" i="49"/>
  <c r="H104" i="49"/>
  <c r="E104" i="49"/>
  <c r="B104" i="49"/>
  <c r="H103" i="49"/>
  <c r="G103" i="49"/>
  <c r="E103" i="49"/>
  <c r="B103" i="49"/>
  <c r="I102" i="49"/>
  <c r="H102" i="49"/>
  <c r="E102" i="49"/>
  <c r="B102" i="49"/>
  <c r="H101" i="49"/>
  <c r="E101" i="49"/>
  <c r="B101" i="49"/>
  <c r="H100" i="49"/>
  <c r="G100" i="49"/>
  <c r="E100" i="49"/>
  <c r="B100" i="49"/>
  <c r="H99" i="49"/>
  <c r="E99" i="49"/>
  <c r="B99" i="49"/>
  <c r="H98" i="49"/>
  <c r="E98" i="49"/>
  <c r="B98" i="49"/>
  <c r="I97" i="49"/>
  <c r="H97" i="49"/>
  <c r="G97" i="49"/>
  <c r="G109" i="49" s="1"/>
  <c r="G121" i="49" s="1"/>
  <c r="F97" i="49"/>
  <c r="F98" i="49" s="1"/>
  <c r="F99" i="49" s="1"/>
  <c r="F100" i="49" s="1"/>
  <c r="F101" i="49" s="1"/>
  <c r="F102" i="49" s="1"/>
  <c r="F103" i="49" s="1"/>
  <c r="F104" i="49" s="1"/>
  <c r="F105" i="49" s="1"/>
  <c r="F106" i="49" s="1"/>
  <c r="F107" i="49" s="1"/>
  <c r="F108" i="49" s="1"/>
  <c r="F109" i="49" s="1"/>
  <c r="F110" i="49" s="1"/>
  <c r="F111" i="49" s="1"/>
  <c r="F112" i="49" s="1"/>
  <c r="F113" i="49" s="1"/>
  <c r="F114" i="49" s="1"/>
  <c r="F115" i="49" s="1"/>
  <c r="F116" i="49" s="1"/>
  <c r="F117" i="49" s="1"/>
  <c r="F118" i="49" s="1"/>
  <c r="F119" i="49" s="1"/>
  <c r="F120" i="49" s="1"/>
  <c r="F121" i="49" s="1"/>
  <c r="F122" i="49" s="1"/>
  <c r="F123" i="49" s="1"/>
  <c r="F124" i="49" s="1"/>
  <c r="F125" i="49" s="1"/>
  <c r="F126" i="49" s="1"/>
  <c r="F127" i="49" s="1"/>
  <c r="F128" i="49" s="1"/>
  <c r="F129" i="49" s="1"/>
  <c r="F130" i="49" s="1"/>
  <c r="F131" i="49" s="1"/>
  <c r="F132" i="49" s="1"/>
  <c r="F133" i="49" s="1"/>
  <c r="F134" i="49" s="1"/>
  <c r="F135" i="49" s="1"/>
  <c r="F136" i="49" s="1"/>
  <c r="F137" i="49" s="1"/>
  <c r="F138" i="49" s="1"/>
  <c r="F139" i="49" s="1"/>
  <c r="F140" i="49" s="1"/>
  <c r="F141" i="49" s="1"/>
  <c r="F142" i="49" s="1"/>
  <c r="F143" i="49" s="1"/>
  <c r="F144" i="49" s="1"/>
  <c r="F145" i="49" s="1"/>
  <c r="E97" i="49"/>
  <c r="B97" i="49"/>
  <c r="A97" i="49"/>
  <c r="I96" i="49"/>
  <c r="I108" i="49" s="1"/>
  <c r="H96" i="49"/>
  <c r="G96" i="49"/>
  <c r="G108" i="49" s="1"/>
  <c r="F96" i="49"/>
  <c r="E96" i="49"/>
  <c r="B96" i="49"/>
  <c r="A96" i="49"/>
  <c r="I95" i="49"/>
  <c r="I107" i="49" s="1"/>
  <c r="I119" i="49" s="1"/>
  <c r="H95" i="49"/>
  <c r="G95" i="49"/>
  <c r="F95" i="49"/>
  <c r="E95" i="49"/>
  <c r="B95" i="49"/>
  <c r="A95" i="49"/>
  <c r="I94" i="49"/>
  <c r="I106" i="49" s="1"/>
  <c r="H94" i="49"/>
  <c r="G94" i="49"/>
  <c r="G106" i="49" s="1"/>
  <c r="F94" i="49"/>
  <c r="E94" i="49"/>
  <c r="B94" i="49"/>
  <c r="A94" i="49"/>
  <c r="I93" i="49"/>
  <c r="I105" i="49" s="1"/>
  <c r="H93" i="49"/>
  <c r="G93" i="49"/>
  <c r="G105" i="49" s="1"/>
  <c r="G117" i="49" s="1"/>
  <c r="F93" i="49"/>
  <c r="E93" i="49"/>
  <c r="B93" i="49"/>
  <c r="A93" i="49"/>
  <c r="I92" i="49"/>
  <c r="I104" i="49" s="1"/>
  <c r="I116" i="49" s="1"/>
  <c r="H92" i="49"/>
  <c r="G92" i="49"/>
  <c r="F92" i="49"/>
  <c r="E92" i="49"/>
  <c r="B92" i="49"/>
  <c r="A92" i="49"/>
  <c r="I91" i="49"/>
  <c r="I103" i="49" s="1"/>
  <c r="I115" i="49" s="1"/>
  <c r="I127" i="49" s="1"/>
  <c r="H91" i="49"/>
  <c r="G91" i="49"/>
  <c r="F91" i="49"/>
  <c r="E91" i="49"/>
  <c r="B91" i="49"/>
  <c r="A91" i="49"/>
  <c r="I90" i="49"/>
  <c r="H90" i="49"/>
  <c r="G90" i="49"/>
  <c r="G102" i="49" s="1"/>
  <c r="G114" i="49" s="1"/>
  <c r="F90" i="49"/>
  <c r="E90" i="49"/>
  <c r="B90" i="49"/>
  <c r="A90" i="49"/>
  <c r="I89" i="49"/>
  <c r="I101" i="49" s="1"/>
  <c r="H89" i="49"/>
  <c r="G89" i="49"/>
  <c r="G101" i="49" s="1"/>
  <c r="G113" i="49" s="1"/>
  <c r="G125" i="49" s="1"/>
  <c r="F89" i="49"/>
  <c r="E89" i="49"/>
  <c r="B89" i="49"/>
  <c r="A89" i="49"/>
  <c r="I88" i="49"/>
  <c r="I100" i="49" s="1"/>
  <c r="I112" i="49" s="1"/>
  <c r="H88" i="49"/>
  <c r="G88" i="49"/>
  <c r="F88" i="49"/>
  <c r="E88" i="49"/>
  <c r="B88" i="49"/>
  <c r="A88" i="49"/>
  <c r="I87" i="49"/>
  <c r="I99" i="49" s="1"/>
  <c r="I111" i="49" s="1"/>
  <c r="I123" i="49" s="1"/>
  <c r="H87" i="49"/>
  <c r="G87" i="49"/>
  <c r="F87" i="49"/>
  <c r="E87" i="49"/>
  <c r="B87" i="49"/>
  <c r="A87" i="49"/>
  <c r="I86" i="49"/>
  <c r="I98" i="49" s="1"/>
  <c r="H86" i="49"/>
  <c r="G86" i="49"/>
  <c r="F86" i="49"/>
  <c r="E86" i="49"/>
  <c r="B86" i="49"/>
  <c r="A86" i="49"/>
  <c r="I85" i="49"/>
  <c r="H85" i="49"/>
  <c r="G85" i="49"/>
  <c r="F85" i="49"/>
  <c r="E85" i="49"/>
  <c r="B85" i="49"/>
  <c r="A85" i="49"/>
  <c r="I84" i="49"/>
  <c r="H84" i="49"/>
  <c r="G84" i="49"/>
  <c r="F84" i="49"/>
  <c r="E84" i="49"/>
  <c r="B84" i="49"/>
  <c r="A84" i="49"/>
  <c r="I83" i="49"/>
  <c r="H83" i="49"/>
  <c r="G83" i="49"/>
  <c r="F83" i="49"/>
  <c r="E83" i="49"/>
  <c r="B83" i="49"/>
  <c r="A83" i="49"/>
  <c r="I82" i="49"/>
  <c r="H82" i="49"/>
  <c r="G82" i="49"/>
  <c r="F82" i="49"/>
  <c r="E82" i="49"/>
  <c r="B82" i="49"/>
  <c r="A82" i="49"/>
  <c r="I81" i="49"/>
  <c r="H81" i="49"/>
  <c r="G81" i="49"/>
  <c r="F81" i="49"/>
  <c r="E81" i="49"/>
  <c r="B81" i="49"/>
  <c r="A81" i="49"/>
  <c r="I80" i="49"/>
  <c r="H80" i="49"/>
  <c r="G80" i="49"/>
  <c r="F80" i="49"/>
  <c r="E80" i="49"/>
  <c r="B80" i="49"/>
  <c r="A80" i="49"/>
  <c r="I79" i="49"/>
  <c r="H79" i="49"/>
  <c r="G79" i="49"/>
  <c r="F79" i="49"/>
  <c r="E79" i="49"/>
  <c r="B79" i="49"/>
  <c r="A79" i="49"/>
  <c r="I78" i="49"/>
  <c r="H78" i="49"/>
  <c r="G78" i="49"/>
  <c r="F78" i="49"/>
  <c r="E78" i="49"/>
  <c r="B78" i="49"/>
  <c r="A78" i="49"/>
  <c r="I77" i="49"/>
  <c r="H77" i="49"/>
  <c r="G77" i="49"/>
  <c r="F77" i="49"/>
  <c r="E77" i="49"/>
  <c r="B77" i="49"/>
  <c r="A77" i="49"/>
  <c r="I76" i="49"/>
  <c r="H76" i="49"/>
  <c r="G76" i="49"/>
  <c r="F76" i="49"/>
  <c r="E76" i="49"/>
  <c r="B76" i="49"/>
  <c r="A76" i="49"/>
  <c r="I75" i="49"/>
  <c r="H75" i="49"/>
  <c r="G75" i="49"/>
  <c r="F75" i="49"/>
  <c r="E75" i="49"/>
  <c r="B75" i="49"/>
  <c r="A75" i="49"/>
  <c r="I74" i="49"/>
  <c r="H74" i="49"/>
  <c r="G74" i="49"/>
  <c r="F74" i="49"/>
  <c r="E74" i="49"/>
  <c r="B74" i="49"/>
  <c r="A74" i="49"/>
  <c r="I73" i="49"/>
  <c r="H73" i="49"/>
  <c r="G73" i="49"/>
  <c r="F73" i="49"/>
  <c r="E73" i="49"/>
  <c r="B73" i="49"/>
  <c r="A73" i="49"/>
  <c r="I72" i="49"/>
  <c r="H72" i="49"/>
  <c r="G72" i="49"/>
  <c r="F72" i="49"/>
  <c r="E72" i="49"/>
  <c r="B72" i="49"/>
  <c r="A72" i="49"/>
  <c r="I71" i="49"/>
  <c r="H71" i="49"/>
  <c r="G71" i="49"/>
  <c r="F71" i="49"/>
  <c r="E71" i="49"/>
  <c r="B71" i="49"/>
  <c r="A71" i="49"/>
  <c r="I70" i="49"/>
  <c r="H70" i="49"/>
  <c r="G70" i="49"/>
  <c r="F70" i="49"/>
  <c r="E70" i="49"/>
  <c r="B70" i="49"/>
  <c r="A70" i="49"/>
  <c r="I69" i="49"/>
  <c r="H69" i="49"/>
  <c r="G69" i="49"/>
  <c r="F69" i="49"/>
  <c r="E69" i="49"/>
  <c r="B69" i="49"/>
  <c r="A69" i="49"/>
  <c r="I68" i="49"/>
  <c r="H68" i="49"/>
  <c r="G68" i="49"/>
  <c r="F68" i="49"/>
  <c r="E68" i="49"/>
  <c r="B68" i="49"/>
  <c r="A68" i="49"/>
  <c r="I67" i="49"/>
  <c r="H67" i="49"/>
  <c r="G67" i="49"/>
  <c r="F67" i="49"/>
  <c r="E67" i="49"/>
  <c r="B67" i="49"/>
  <c r="A67" i="49"/>
  <c r="I66" i="49"/>
  <c r="H66" i="49"/>
  <c r="G66" i="49"/>
  <c r="F66" i="49"/>
  <c r="E66" i="49"/>
  <c r="B66" i="49"/>
  <c r="A66" i="49"/>
  <c r="I65" i="49"/>
  <c r="H65" i="49"/>
  <c r="G65" i="49"/>
  <c r="F65" i="49"/>
  <c r="E65" i="49"/>
  <c r="B65" i="49"/>
  <c r="A65" i="49"/>
  <c r="I64" i="49"/>
  <c r="H64" i="49"/>
  <c r="G64" i="49"/>
  <c r="F64" i="49"/>
  <c r="E64" i="49"/>
  <c r="B64" i="49"/>
  <c r="A64" i="49"/>
  <c r="I63" i="49"/>
  <c r="H63" i="49"/>
  <c r="G63" i="49"/>
  <c r="F63" i="49"/>
  <c r="E63" i="49"/>
  <c r="B63" i="49"/>
  <c r="A63" i="49"/>
  <c r="I62" i="49"/>
  <c r="H62" i="49"/>
  <c r="G62" i="49"/>
  <c r="F62" i="49"/>
  <c r="E62" i="49"/>
  <c r="B62" i="49"/>
  <c r="A62" i="49"/>
  <c r="I61" i="49"/>
  <c r="H61" i="49"/>
  <c r="G61" i="49"/>
  <c r="F61" i="49"/>
  <c r="E61" i="49"/>
  <c r="B61" i="49"/>
  <c r="A61" i="49"/>
  <c r="I60" i="49"/>
  <c r="H60" i="49"/>
  <c r="G60" i="49"/>
  <c r="F60" i="49"/>
  <c r="E60" i="49"/>
  <c r="B60" i="49"/>
  <c r="A60" i="49"/>
  <c r="I59" i="49"/>
  <c r="H59" i="49"/>
  <c r="G59" i="49"/>
  <c r="F59" i="49"/>
  <c r="E59" i="49"/>
  <c r="B59" i="49"/>
  <c r="A59" i="49"/>
  <c r="I58" i="49"/>
  <c r="H58" i="49"/>
  <c r="G58" i="49"/>
  <c r="F58" i="49"/>
  <c r="E58" i="49"/>
  <c r="B58" i="49"/>
  <c r="A58" i="49"/>
  <c r="I57" i="49"/>
  <c r="H57" i="49"/>
  <c r="G57" i="49"/>
  <c r="F57" i="49"/>
  <c r="E57" i="49"/>
  <c r="B57" i="49"/>
  <c r="A57" i="49"/>
  <c r="I56" i="49"/>
  <c r="H56" i="49"/>
  <c r="G56" i="49"/>
  <c r="F56" i="49"/>
  <c r="E56" i="49"/>
  <c r="B56" i="49"/>
  <c r="A56" i="49"/>
  <c r="I55" i="49"/>
  <c r="H55" i="49"/>
  <c r="G55" i="49"/>
  <c r="F55" i="49"/>
  <c r="E55" i="49"/>
  <c r="B55" i="49"/>
  <c r="A55" i="49"/>
  <c r="I54" i="49"/>
  <c r="H54" i="49"/>
  <c r="G54" i="49"/>
  <c r="F54" i="49"/>
  <c r="E54" i="49"/>
  <c r="B54" i="49"/>
  <c r="A54" i="49"/>
  <c r="I53" i="49"/>
  <c r="H53" i="49"/>
  <c r="G53" i="49"/>
  <c r="F53" i="49"/>
  <c r="E53" i="49"/>
  <c r="B53" i="49"/>
  <c r="A53" i="49"/>
  <c r="I52" i="49"/>
  <c r="H52" i="49"/>
  <c r="G52" i="49"/>
  <c r="F52" i="49"/>
  <c r="E52" i="49"/>
  <c r="B52" i="49"/>
  <c r="A52" i="49"/>
  <c r="I51" i="49"/>
  <c r="H51" i="49"/>
  <c r="G51" i="49"/>
  <c r="F51" i="49"/>
  <c r="E51" i="49"/>
  <c r="B51" i="49"/>
  <c r="A51" i="49"/>
  <c r="I50" i="49"/>
  <c r="H50" i="49"/>
  <c r="G50" i="49"/>
  <c r="F50" i="49"/>
  <c r="E50" i="49"/>
  <c r="B50" i="49"/>
  <c r="A50" i="49"/>
  <c r="I49" i="49"/>
  <c r="H49" i="49"/>
  <c r="G49" i="49"/>
  <c r="F49" i="49"/>
  <c r="E49" i="49"/>
  <c r="B49" i="49"/>
  <c r="A49" i="49"/>
  <c r="I48" i="49"/>
  <c r="H48" i="49"/>
  <c r="G48" i="49"/>
  <c r="F48" i="49"/>
  <c r="E48" i="49"/>
  <c r="B48" i="49"/>
  <c r="A48" i="49"/>
  <c r="I47" i="49"/>
  <c r="H47" i="49"/>
  <c r="G47" i="49"/>
  <c r="F47" i="49"/>
  <c r="E47" i="49"/>
  <c r="B47" i="49"/>
  <c r="A47" i="49"/>
  <c r="I46" i="49"/>
  <c r="H46" i="49"/>
  <c r="G46" i="49"/>
  <c r="F46" i="49"/>
  <c r="E46" i="49"/>
  <c r="B46" i="49"/>
  <c r="A46" i="49"/>
  <c r="I45" i="49"/>
  <c r="H45" i="49"/>
  <c r="G45" i="49"/>
  <c r="F45" i="49"/>
  <c r="E45" i="49"/>
  <c r="B45" i="49"/>
  <c r="A45" i="49"/>
  <c r="I44" i="49"/>
  <c r="H44" i="49"/>
  <c r="G44" i="49"/>
  <c r="F44" i="49"/>
  <c r="E44" i="49"/>
  <c r="B44" i="49"/>
  <c r="A44" i="49"/>
  <c r="I43" i="49"/>
  <c r="H43" i="49"/>
  <c r="G43" i="49"/>
  <c r="F43" i="49"/>
  <c r="E43" i="49"/>
  <c r="B43" i="49"/>
  <c r="A43" i="49"/>
  <c r="I42" i="49"/>
  <c r="H42" i="49"/>
  <c r="G42" i="49"/>
  <c r="F42" i="49"/>
  <c r="E42" i="49"/>
  <c r="B42" i="49"/>
  <c r="A42" i="49"/>
  <c r="I41" i="49"/>
  <c r="H41" i="49"/>
  <c r="G41" i="49"/>
  <c r="F41" i="49"/>
  <c r="E41" i="49"/>
  <c r="B41" i="49"/>
  <c r="A41" i="49"/>
  <c r="I40" i="49"/>
  <c r="H40" i="49"/>
  <c r="G40" i="49"/>
  <c r="F40" i="49"/>
  <c r="E40" i="49"/>
  <c r="B40" i="49"/>
  <c r="A40" i="49"/>
  <c r="I39" i="49"/>
  <c r="H39" i="49"/>
  <c r="G39" i="49"/>
  <c r="F39" i="49"/>
  <c r="E39" i="49"/>
  <c r="B39" i="49"/>
  <c r="A39" i="49"/>
  <c r="I38" i="49"/>
  <c r="H38" i="49"/>
  <c r="G38" i="49"/>
  <c r="F38" i="49"/>
  <c r="E38" i="49"/>
  <c r="B38" i="49"/>
  <c r="A38" i="49"/>
  <c r="I37" i="49"/>
  <c r="H37" i="49"/>
  <c r="G37" i="49"/>
  <c r="F37" i="49"/>
  <c r="E37" i="49"/>
  <c r="B37" i="49"/>
  <c r="A37" i="49"/>
  <c r="I36" i="49"/>
  <c r="H36" i="49"/>
  <c r="G36" i="49"/>
  <c r="F36" i="49"/>
  <c r="E36" i="49"/>
  <c r="B36" i="49"/>
  <c r="A36" i="49"/>
  <c r="I35" i="49"/>
  <c r="H35" i="49"/>
  <c r="G35" i="49"/>
  <c r="F35" i="49"/>
  <c r="E35" i="49"/>
  <c r="B35" i="49"/>
  <c r="A35" i="49"/>
  <c r="I34" i="49"/>
  <c r="H34" i="49"/>
  <c r="G34" i="49"/>
  <c r="F34" i="49"/>
  <c r="E34" i="49"/>
  <c r="B34" i="49"/>
  <c r="A34" i="49"/>
  <c r="I33" i="49"/>
  <c r="H33" i="49"/>
  <c r="G33" i="49"/>
  <c r="F33" i="49"/>
  <c r="E33" i="49"/>
  <c r="B33" i="49"/>
  <c r="A33" i="49"/>
  <c r="I32" i="49"/>
  <c r="H32" i="49"/>
  <c r="G32" i="49"/>
  <c r="F32" i="49"/>
  <c r="E32" i="49"/>
  <c r="B32" i="49"/>
  <c r="A32" i="49"/>
  <c r="I31" i="49"/>
  <c r="H31" i="49"/>
  <c r="G31" i="49"/>
  <c r="F31" i="49"/>
  <c r="E31" i="49"/>
  <c r="B31" i="49"/>
  <c r="A31" i="49"/>
  <c r="I30" i="49"/>
  <c r="H30" i="49"/>
  <c r="G30" i="49"/>
  <c r="F30" i="49"/>
  <c r="E30" i="49"/>
  <c r="B30" i="49"/>
  <c r="A30" i="49"/>
  <c r="I29" i="49"/>
  <c r="H29" i="49"/>
  <c r="G29" i="49"/>
  <c r="F29" i="49"/>
  <c r="E29" i="49"/>
  <c r="B29" i="49"/>
  <c r="A29" i="49"/>
  <c r="I28" i="49"/>
  <c r="H28" i="49"/>
  <c r="G28" i="49"/>
  <c r="F28" i="49"/>
  <c r="E28" i="49"/>
  <c r="B28" i="49"/>
  <c r="A28" i="49"/>
  <c r="I27" i="49"/>
  <c r="H27" i="49"/>
  <c r="G27" i="49"/>
  <c r="F27" i="49"/>
  <c r="E27" i="49"/>
  <c r="B27" i="49"/>
  <c r="A27" i="49"/>
  <c r="I26" i="49"/>
  <c r="H26" i="49"/>
  <c r="G26" i="49"/>
  <c r="F26" i="49"/>
  <c r="E26" i="49"/>
  <c r="B26" i="49"/>
  <c r="A26" i="49"/>
  <c r="I25" i="49"/>
  <c r="H25" i="49"/>
  <c r="G25" i="49"/>
  <c r="F25" i="49"/>
  <c r="E25" i="49"/>
  <c r="A25" i="49"/>
  <c r="B25" i="49" s="1"/>
  <c r="I24" i="49"/>
  <c r="H24" i="49"/>
  <c r="G24" i="49"/>
  <c r="F24" i="49"/>
  <c r="E24" i="49"/>
  <c r="A24" i="49"/>
  <c r="B24" i="49" s="1"/>
  <c r="I23" i="49"/>
  <c r="H23" i="49"/>
  <c r="G23" i="49"/>
  <c r="F23" i="49"/>
  <c r="E23" i="49"/>
  <c r="A23" i="49"/>
  <c r="B23" i="49" s="1"/>
  <c r="I22" i="49"/>
  <c r="H22" i="49"/>
  <c r="G22" i="49"/>
  <c r="F22" i="49"/>
  <c r="E22" i="49"/>
  <c r="A22" i="49"/>
  <c r="B22" i="49" s="1"/>
  <c r="I21" i="49"/>
  <c r="H21" i="49"/>
  <c r="G21" i="49"/>
  <c r="F21" i="49"/>
  <c r="E21" i="49"/>
  <c r="A21" i="49"/>
  <c r="B21" i="49" s="1"/>
  <c r="I20" i="49"/>
  <c r="H20" i="49"/>
  <c r="G20" i="49"/>
  <c r="F20" i="49"/>
  <c r="E20" i="49"/>
  <c r="A20" i="49"/>
  <c r="B20" i="49" s="1"/>
  <c r="I19" i="49"/>
  <c r="H19" i="49"/>
  <c r="G19" i="49"/>
  <c r="F19" i="49"/>
  <c r="E19" i="49"/>
  <c r="A19" i="49"/>
  <c r="B19" i="49" s="1"/>
  <c r="I18" i="49"/>
  <c r="H18" i="49"/>
  <c r="G18" i="49"/>
  <c r="F18" i="49"/>
  <c r="E18" i="49"/>
  <c r="A18" i="49"/>
  <c r="B18" i="49" s="1"/>
  <c r="I17" i="49"/>
  <c r="H17" i="49"/>
  <c r="G17" i="49"/>
  <c r="F17" i="49"/>
  <c r="E17" i="49"/>
  <c r="A17" i="49"/>
  <c r="B17" i="49" s="1"/>
  <c r="I16" i="49"/>
  <c r="H16" i="49"/>
  <c r="G16" i="49"/>
  <c r="F16" i="49"/>
  <c r="E16" i="49"/>
  <c r="A16" i="49"/>
  <c r="B16" i="49" s="1"/>
  <c r="I15" i="49"/>
  <c r="H15" i="49"/>
  <c r="G15" i="49"/>
  <c r="F15" i="49"/>
  <c r="E15" i="49"/>
  <c r="A15" i="49"/>
  <c r="B15" i="49" s="1"/>
  <c r="I14" i="49"/>
  <c r="H14" i="49"/>
  <c r="G14" i="49"/>
  <c r="F14" i="49"/>
  <c r="E14" i="49"/>
  <c r="A14" i="49"/>
  <c r="B14" i="49" s="1"/>
  <c r="I13" i="49"/>
  <c r="H13" i="49"/>
  <c r="G13" i="49"/>
  <c r="F13" i="49"/>
  <c r="E13" i="49"/>
  <c r="A13" i="49"/>
  <c r="B13" i="49" s="1"/>
  <c r="I12" i="49"/>
  <c r="H12" i="49"/>
  <c r="G12" i="49"/>
  <c r="F12" i="49"/>
  <c r="E12" i="49"/>
  <c r="B12" i="49"/>
  <c r="A12" i="49"/>
  <c r="I11" i="49"/>
  <c r="H11" i="49"/>
  <c r="G11" i="49"/>
  <c r="F11" i="49"/>
  <c r="E11" i="49"/>
  <c r="B11" i="49"/>
  <c r="A11" i="49"/>
  <c r="I10" i="49"/>
  <c r="H10" i="49"/>
  <c r="G10" i="49"/>
  <c r="F10" i="49"/>
  <c r="E10" i="49"/>
  <c r="B10" i="49"/>
  <c r="A10" i="49"/>
  <c r="I9" i="49"/>
  <c r="H9" i="49"/>
  <c r="G9" i="49"/>
  <c r="F9" i="49"/>
  <c r="E9" i="49"/>
  <c r="B9" i="49"/>
  <c r="A9" i="49"/>
  <c r="I8" i="49"/>
  <c r="H8" i="49"/>
  <c r="G8" i="49"/>
  <c r="F8" i="49"/>
  <c r="E8" i="49"/>
  <c r="B8" i="49"/>
  <c r="A8" i="49"/>
  <c r="I7" i="49"/>
  <c r="H7" i="49"/>
  <c r="G7" i="49"/>
  <c r="F7" i="49"/>
  <c r="E7" i="49"/>
  <c r="B7" i="49"/>
  <c r="A7" i="49"/>
  <c r="I6" i="49"/>
  <c r="H6" i="49"/>
  <c r="G6" i="49"/>
  <c r="F6" i="49"/>
  <c r="E6" i="49"/>
  <c r="B6" i="49"/>
  <c r="A6" i="49"/>
  <c r="I5" i="49"/>
  <c r="H5" i="49"/>
  <c r="G5" i="49"/>
  <c r="F5" i="49"/>
  <c r="E5" i="49"/>
  <c r="B5" i="49"/>
  <c r="A5" i="49"/>
  <c r="I4" i="49"/>
  <c r="H4" i="49"/>
  <c r="G4" i="49"/>
  <c r="F4" i="49"/>
  <c r="E4" i="49"/>
  <c r="B4" i="49"/>
  <c r="A4" i="49"/>
  <c r="I3" i="49"/>
  <c r="H3" i="49"/>
  <c r="G3" i="49"/>
  <c r="F3" i="49"/>
  <c r="E3" i="49"/>
  <c r="B3" i="49"/>
  <c r="A3" i="49"/>
  <c r="I2" i="49"/>
  <c r="H2" i="49"/>
  <c r="G2" i="49"/>
  <c r="F2" i="49"/>
  <c r="E2" i="49"/>
  <c r="B2" i="49"/>
  <c r="A2" i="49"/>
  <c r="P1" i="49"/>
  <c r="O1" i="49"/>
  <c r="L1" i="49"/>
  <c r="I1" i="49"/>
  <c r="Q1" i="49" s="1"/>
  <c r="H1" i="49"/>
  <c r="G1" i="49"/>
  <c r="F1" i="49"/>
  <c r="N1" i="49" s="1"/>
  <c r="E1" i="49"/>
  <c r="M1" i="49" s="1"/>
  <c r="D1" i="49"/>
  <c r="C1" i="49"/>
  <c r="P7" i="48"/>
  <c r="S7" i="48"/>
  <c r="U7" i="48"/>
  <c r="V7" i="48"/>
  <c r="W7" i="48"/>
  <c r="X7" i="48"/>
  <c r="Z7" i="48"/>
  <c r="AA7" i="48"/>
  <c r="P8" i="48"/>
  <c r="S8" i="48"/>
  <c r="U8" i="48"/>
  <c r="V8" i="48"/>
  <c r="W8" i="48"/>
  <c r="X8" i="48"/>
  <c r="Z8" i="48"/>
  <c r="AA8" i="48"/>
  <c r="P9" i="48"/>
  <c r="S9" i="48"/>
  <c r="U9" i="48"/>
  <c r="V9" i="48"/>
  <c r="W9" i="48"/>
  <c r="X9" i="48"/>
  <c r="Z9" i="48"/>
  <c r="AA9" i="48"/>
  <c r="P10" i="48"/>
  <c r="S10" i="48"/>
  <c r="U10" i="48"/>
  <c r="V10" i="48"/>
  <c r="W10" i="48"/>
  <c r="X10" i="48"/>
  <c r="Z10" i="48"/>
  <c r="AA10" i="48"/>
  <c r="P11" i="48"/>
  <c r="S11" i="48"/>
  <c r="U11" i="48"/>
  <c r="V11" i="48"/>
  <c r="W11" i="48"/>
  <c r="X11" i="48"/>
  <c r="Z11" i="48"/>
  <c r="AA11" i="48"/>
  <c r="P12" i="48"/>
  <c r="S12" i="48"/>
  <c r="U12" i="48"/>
  <c r="V12" i="48"/>
  <c r="W12" i="48"/>
  <c r="X12" i="48"/>
  <c r="Z12" i="48"/>
  <c r="AA12" i="48"/>
  <c r="P13" i="48"/>
  <c r="S13" i="48"/>
  <c r="U13" i="48"/>
  <c r="V13" i="48"/>
  <c r="W13" i="48"/>
  <c r="X13" i="48"/>
  <c r="Z13" i="48"/>
  <c r="AA13" i="48"/>
  <c r="P14" i="48"/>
  <c r="S14" i="48"/>
  <c r="U14" i="48"/>
  <c r="V14" i="48"/>
  <c r="W14" i="48"/>
  <c r="X14" i="48"/>
  <c r="Z14" i="48"/>
  <c r="AA14" i="48"/>
  <c r="P15" i="48"/>
  <c r="S15" i="48"/>
  <c r="U15" i="48"/>
  <c r="V15" i="48"/>
  <c r="W15" i="48"/>
  <c r="X15" i="48"/>
  <c r="Z15" i="48"/>
  <c r="AA15" i="48"/>
  <c r="P16" i="48"/>
  <c r="S16" i="48"/>
  <c r="U16" i="48"/>
  <c r="V16" i="48"/>
  <c r="W16" i="48"/>
  <c r="X16" i="48"/>
  <c r="Z16" i="48"/>
  <c r="AA16" i="48"/>
  <c r="P17" i="48"/>
  <c r="S17" i="48"/>
  <c r="U17" i="48"/>
  <c r="V17" i="48"/>
  <c r="W17" i="48"/>
  <c r="X17" i="48"/>
  <c r="Z17" i="48"/>
  <c r="AA17" i="48"/>
  <c r="P18" i="48"/>
  <c r="S18" i="48"/>
  <c r="U18" i="48"/>
  <c r="V18" i="48"/>
  <c r="W18" i="48"/>
  <c r="X18" i="48"/>
  <c r="Z18" i="48"/>
  <c r="AA18" i="48"/>
  <c r="P19" i="48"/>
  <c r="S19" i="48"/>
  <c r="U19" i="48"/>
  <c r="V19" i="48"/>
  <c r="W19" i="48"/>
  <c r="X19" i="48"/>
  <c r="Z19" i="48"/>
  <c r="AA19" i="48"/>
  <c r="P20" i="48"/>
  <c r="S20" i="48"/>
  <c r="U20" i="48"/>
  <c r="V20" i="48"/>
  <c r="W20" i="48"/>
  <c r="X20" i="48"/>
  <c r="Z20" i="48"/>
  <c r="AA20" i="48"/>
  <c r="P21" i="48"/>
  <c r="S21" i="48"/>
  <c r="U21" i="48"/>
  <c r="V21" i="48"/>
  <c r="W21" i="48"/>
  <c r="X21" i="48"/>
  <c r="Z21" i="48"/>
  <c r="AA21" i="48"/>
  <c r="P22" i="48"/>
  <c r="S22" i="48"/>
  <c r="U22" i="48"/>
  <c r="V22" i="48"/>
  <c r="W22" i="48"/>
  <c r="X22" i="48"/>
  <c r="Z22" i="48"/>
  <c r="AA22" i="48"/>
  <c r="P23" i="48"/>
  <c r="S23" i="48"/>
  <c r="U23" i="48"/>
  <c r="V23" i="48"/>
  <c r="W23" i="48"/>
  <c r="X23" i="48"/>
  <c r="Z23" i="48"/>
  <c r="AA23" i="48"/>
  <c r="P24" i="48"/>
  <c r="S24" i="48"/>
  <c r="U24" i="48"/>
  <c r="V24" i="48"/>
  <c r="W24" i="48"/>
  <c r="X24" i="48"/>
  <c r="Z24" i="48"/>
  <c r="AA24" i="48"/>
  <c r="P25" i="48"/>
  <c r="S25" i="48"/>
  <c r="U25" i="48"/>
  <c r="V25" i="48"/>
  <c r="W25" i="48"/>
  <c r="X25" i="48"/>
  <c r="Z25" i="48"/>
  <c r="AA25" i="48"/>
  <c r="P26" i="48"/>
  <c r="S26" i="48"/>
  <c r="U26" i="48"/>
  <c r="V26" i="48"/>
  <c r="W26" i="48"/>
  <c r="X26" i="48"/>
  <c r="Z26" i="48"/>
  <c r="AA26" i="48"/>
  <c r="P27" i="48"/>
  <c r="S27" i="48"/>
  <c r="U27" i="48"/>
  <c r="V27" i="48"/>
  <c r="W27" i="48"/>
  <c r="X27" i="48"/>
  <c r="Z27" i="48"/>
  <c r="AA27" i="48"/>
  <c r="P28" i="48"/>
  <c r="S28" i="48"/>
  <c r="U28" i="48"/>
  <c r="V28" i="48"/>
  <c r="W28" i="48"/>
  <c r="X28" i="48"/>
  <c r="Z28" i="48"/>
  <c r="AA28" i="48"/>
  <c r="P29" i="48"/>
  <c r="S29" i="48"/>
  <c r="U29" i="48"/>
  <c r="V29" i="48"/>
  <c r="W29" i="48"/>
  <c r="X29" i="48"/>
  <c r="Z29" i="48"/>
  <c r="AA29" i="48"/>
  <c r="P30" i="48"/>
  <c r="S30" i="48"/>
  <c r="U30" i="48"/>
  <c r="V30" i="48"/>
  <c r="W30" i="48"/>
  <c r="X30" i="48"/>
  <c r="Z30" i="48"/>
  <c r="AA30" i="48"/>
  <c r="P31" i="48"/>
  <c r="S31" i="48"/>
  <c r="U31" i="48"/>
  <c r="V31" i="48"/>
  <c r="W31" i="48"/>
  <c r="X31" i="48"/>
  <c r="Z31" i="48"/>
  <c r="AA31" i="48"/>
  <c r="P32" i="48"/>
  <c r="S32" i="48"/>
  <c r="U32" i="48"/>
  <c r="V32" i="48"/>
  <c r="W32" i="48"/>
  <c r="X32" i="48"/>
  <c r="Z32" i="48"/>
  <c r="AA32" i="48"/>
  <c r="P33" i="48"/>
  <c r="S33" i="48"/>
  <c r="U33" i="48"/>
  <c r="V33" i="48"/>
  <c r="W33" i="48"/>
  <c r="X33" i="48"/>
  <c r="Z33" i="48"/>
  <c r="AA33" i="48"/>
  <c r="P34" i="48"/>
  <c r="S34" i="48"/>
  <c r="U34" i="48"/>
  <c r="V34" i="48"/>
  <c r="W34" i="48"/>
  <c r="X34" i="48"/>
  <c r="Z34" i="48"/>
  <c r="AA34" i="48"/>
  <c r="P35" i="48"/>
  <c r="S35" i="48"/>
  <c r="U35" i="48"/>
  <c r="V35" i="48"/>
  <c r="W35" i="48"/>
  <c r="X35" i="48"/>
  <c r="Z35" i="48"/>
  <c r="AA35" i="48"/>
  <c r="P36" i="48"/>
  <c r="S36" i="48"/>
  <c r="U36" i="48"/>
  <c r="V36" i="48"/>
  <c r="W36" i="48"/>
  <c r="X36" i="48"/>
  <c r="Z36" i="48"/>
  <c r="AA36" i="48"/>
  <c r="P37" i="48"/>
  <c r="S37" i="48"/>
  <c r="U37" i="48"/>
  <c r="V37" i="48"/>
  <c r="W37" i="48"/>
  <c r="X37" i="48"/>
  <c r="Z37" i="48"/>
  <c r="AA37" i="48"/>
  <c r="P38" i="48"/>
  <c r="S38" i="48"/>
  <c r="U38" i="48"/>
  <c r="V38" i="48"/>
  <c r="W38" i="48"/>
  <c r="X38" i="48"/>
  <c r="Z38" i="48"/>
  <c r="AA38" i="48"/>
  <c r="P39" i="48"/>
  <c r="S39" i="48"/>
  <c r="U39" i="48"/>
  <c r="V39" i="48"/>
  <c r="W39" i="48"/>
  <c r="X39" i="48"/>
  <c r="Z39" i="48"/>
  <c r="AA39" i="48"/>
  <c r="P40" i="48"/>
  <c r="S40" i="48"/>
  <c r="U40" i="48"/>
  <c r="V40" i="48"/>
  <c r="W40" i="48"/>
  <c r="X40" i="48"/>
  <c r="Z40" i="48"/>
  <c r="AA40" i="48"/>
  <c r="P41" i="48"/>
  <c r="S41" i="48"/>
  <c r="U41" i="48"/>
  <c r="V41" i="48"/>
  <c r="W41" i="48"/>
  <c r="X41" i="48"/>
  <c r="Z41" i="48"/>
  <c r="AA41" i="48"/>
  <c r="P42" i="48"/>
  <c r="S42" i="48"/>
  <c r="U42" i="48"/>
  <c r="V42" i="48"/>
  <c r="W42" i="48"/>
  <c r="X42" i="48"/>
  <c r="Z42" i="48"/>
  <c r="AA42" i="48"/>
  <c r="P43" i="48"/>
  <c r="S43" i="48"/>
  <c r="U43" i="48"/>
  <c r="V43" i="48"/>
  <c r="W43" i="48"/>
  <c r="X43" i="48"/>
  <c r="Z43" i="48"/>
  <c r="AA43" i="48"/>
  <c r="P44" i="48"/>
  <c r="S44" i="48"/>
  <c r="U44" i="48"/>
  <c r="V44" i="48"/>
  <c r="W44" i="48"/>
  <c r="X44" i="48"/>
  <c r="Z44" i="48"/>
  <c r="AA44" i="48"/>
  <c r="P45" i="48"/>
  <c r="S45" i="48"/>
  <c r="U45" i="48"/>
  <c r="V45" i="48"/>
  <c r="W45" i="48"/>
  <c r="X45" i="48"/>
  <c r="Z45" i="48"/>
  <c r="AA45" i="48"/>
  <c r="P46" i="48"/>
  <c r="S46" i="48"/>
  <c r="U46" i="48"/>
  <c r="V46" i="48"/>
  <c r="W46" i="48"/>
  <c r="X46" i="48"/>
  <c r="Z46" i="48"/>
  <c r="AA46" i="48"/>
  <c r="P47" i="48"/>
  <c r="S47" i="48"/>
  <c r="U47" i="48"/>
  <c r="V47" i="48"/>
  <c r="W47" i="48"/>
  <c r="X47" i="48"/>
  <c r="Z47" i="48"/>
  <c r="AA47" i="48"/>
  <c r="P48" i="48"/>
  <c r="S48" i="48"/>
  <c r="U48" i="48"/>
  <c r="V48" i="48"/>
  <c r="W48" i="48"/>
  <c r="X48" i="48"/>
  <c r="Z48" i="48"/>
  <c r="AA48" i="48"/>
  <c r="P49" i="48"/>
  <c r="S49" i="48"/>
  <c r="U49" i="48"/>
  <c r="V49" i="48"/>
  <c r="W49" i="48"/>
  <c r="X49" i="48"/>
  <c r="Z49" i="48"/>
  <c r="AA49" i="48"/>
  <c r="P50" i="48"/>
  <c r="S50" i="48"/>
  <c r="U50" i="48"/>
  <c r="V50" i="48"/>
  <c r="W50" i="48"/>
  <c r="X50" i="48"/>
  <c r="Z50" i="48"/>
  <c r="AA50" i="48"/>
  <c r="P51" i="48"/>
  <c r="S51" i="48"/>
  <c r="U51" i="48"/>
  <c r="V51" i="48"/>
  <c r="W51" i="48"/>
  <c r="X51" i="48"/>
  <c r="Z51" i="48"/>
  <c r="AA51" i="48"/>
  <c r="P52" i="48"/>
  <c r="S52" i="48"/>
  <c r="U52" i="48"/>
  <c r="V52" i="48"/>
  <c r="W52" i="48"/>
  <c r="X52" i="48"/>
  <c r="Z52" i="48"/>
  <c r="AA52" i="48"/>
  <c r="P53" i="48"/>
  <c r="S53" i="48"/>
  <c r="U53" i="48"/>
  <c r="V53" i="48"/>
  <c r="W53" i="48"/>
  <c r="X53" i="48"/>
  <c r="Z53" i="48"/>
  <c r="AA53" i="48"/>
  <c r="P54" i="48"/>
  <c r="S54" i="48"/>
  <c r="U54" i="48"/>
  <c r="V54" i="48"/>
  <c r="W54" i="48"/>
  <c r="X54" i="48"/>
  <c r="Z54" i="48"/>
  <c r="AA54" i="48"/>
  <c r="P55" i="48"/>
  <c r="S55" i="48"/>
  <c r="U55" i="48"/>
  <c r="V55" i="48"/>
  <c r="W55" i="48"/>
  <c r="X55" i="48"/>
  <c r="Z55" i="48"/>
  <c r="AA55" i="48"/>
  <c r="P56" i="48"/>
  <c r="S56" i="48"/>
  <c r="U56" i="48"/>
  <c r="V56" i="48"/>
  <c r="W56" i="48"/>
  <c r="X56" i="48"/>
  <c r="Z56" i="48"/>
  <c r="AA56" i="48"/>
  <c r="P57" i="48"/>
  <c r="S57" i="48"/>
  <c r="U57" i="48"/>
  <c r="V57" i="48"/>
  <c r="W57" i="48"/>
  <c r="X57" i="48"/>
  <c r="Z57" i="48"/>
  <c r="AA57" i="48"/>
  <c r="P58" i="48"/>
  <c r="S58" i="48"/>
  <c r="U58" i="48"/>
  <c r="V58" i="48"/>
  <c r="W58" i="48"/>
  <c r="X58" i="48"/>
  <c r="Z58" i="48"/>
  <c r="AA58" i="48"/>
  <c r="P59" i="48"/>
  <c r="S59" i="48"/>
  <c r="U59" i="48"/>
  <c r="V59" i="48"/>
  <c r="W59" i="48"/>
  <c r="X59" i="48"/>
  <c r="Z59" i="48"/>
  <c r="AA59" i="48"/>
  <c r="P60" i="48"/>
  <c r="S60" i="48"/>
  <c r="U60" i="48"/>
  <c r="V60" i="48"/>
  <c r="W60" i="48"/>
  <c r="X60" i="48"/>
  <c r="Z60" i="48"/>
  <c r="AA60" i="48"/>
  <c r="P61" i="48"/>
  <c r="S61" i="48"/>
  <c r="U61" i="48"/>
  <c r="V61" i="48"/>
  <c r="W61" i="48"/>
  <c r="X61" i="48"/>
  <c r="Z61" i="48"/>
  <c r="AA61" i="48"/>
  <c r="P62" i="48"/>
  <c r="S62" i="48"/>
  <c r="U62" i="48"/>
  <c r="V62" i="48"/>
  <c r="W62" i="48"/>
  <c r="X62" i="48"/>
  <c r="Z62" i="48"/>
  <c r="AA62" i="48"/>
  <c r="P63" i="48"/>
  <c r="S63" i="48"/>
  <c r="U63" i="48"/>
  <c r="V63" i="48"/>
  <c r="W63" i="48"/>
  <c r="X63" i="48"/>
  <c r="Z63" i="48"/>
  <c r="AA63" i="48"/>
  <c r="P64" i="48"/>
  <c r="S64" i="48"/>
  <c r="U64" i="48"/>
  <c r="V64" i="48"/>
  <c r="W64" i="48"/>
  <c r="X64" i="48"/>
  <c r="Z64" i="48"/>
  <c r="AA64" i="48"/>
  <c r="P65" i="48"/>
  <c r="S65" i="48"/>
  <c r="U65" i="48"/>
  <c r="V65" i="48"/>
  <c r="W65" i="48"/>
  <c r="X65" i="48"/>
  <c r="Z65" i="48"/>
  <c r="AA65" i="48"/>
  <c r="P66" i="48"/>
  <c r="S66" i="48"/>
  <c r="U66" i="48"/>
  <c r="V66" i="48"/>
  <c r="W66" i="48"/>
  <c r="X66" i="48"/>
  <c r="Z66" i="48"/>
  <c r="AA66" i="48"/>
  <c r="P67" i="48"/>
  <c r="S67" i="48"/>
  <c r="U67" i="48"/>
  <c r="V67" i="48"/>
  <c r="W67" i="48"/>
  <c r="X67" i="48"/>
  <c r="Z67" i="48"/>
  <c r="AA67" i="48"/>
  <c r="P68" i="48"/>
  <c r="S68" i="48"/>
  <c r="U68" i="48"/>
  <c r="V68" i="48"/>
  <c r="W68" i="48"/>
  <c r="X68" i="48"/>
  <c r="Z68" i="48"/>
  <c r="AA68" i="48"/>
  <c r="P69" i="48"/>
  <c r="S69" i="48"/>
  <c r="U69" i="48"/>
  <c r="V69" i="48"/>
  <c r="W69" i="48"/>
  <c r="X69" i="48"/>
  <c r="Z69" i="48"/>
  <c r="AA69" i="48"/>
  <c r="P70" i="48"/>
  <c r="S70" i="48"/>
  <c r="U70" i="48"/>
  <c r="V70" i="48"/>
  <c r="W70" i="48"/>
  <c r="X70" i="48"/>
  <c r="Z70" i="48"/>
  <c r="AA70" i="48"/>
  <c r="P71" i="48"/>
  <c r="S71" i="48"/>
  <c r="U71" i="48"/>
  <c r="V71" i="48"/>
  <c r="W71" i="48"/>
  <c r="X71" i="48"/>
  <c r="Z71" i="48"/>
  <c r="AA71" i="48"/>
  <c r="P72" i="48"/>
  <c r="S72" i="48"/>
  <c r="U72" i="48"/>
  <c r="V72" i="48"/>
  <c r="W72" i="48"/>
  <c r="X72" i="48"/>
  <c r="Z72" i="48"/>
  <c r="AA72" i="48"/>
  <c r="P73" i="48"/>
  <c r="S73" i="48"/>
  <c r="U73" i="48"/>
  <c r="V73" i="48"/>
  <c r="W73" i="48"/>
  <c r="X73" i="48"/>
  <c r="Z73" i="48"/>
  <c r="AA73" i="48"/>
  <c r="P74" i="48"/>
  <c r="S74" i="48"/>
  <c r="U74" i="48"/>
  <c r="V74" i="48"/>
  <c r="W74" i="48"/>
  <c r="X74" i="48"/>
  <c r="Z74" i="48"/>
  <c r="AA74" i="48"/>
  <c r="P75" i="48"/>
  <c r="S75" i="48"/>
  <c r="U75" i="48"/>
  <c r="V75" i="48"/>
  <c r="W75" i="48"/>
  <c r="X75" i="48"/>
  <c r="Z75" i="48"/>
  <c r="AA75" i="48"/>
  <c r="P76" i="48"/>
  <c r="S76" i="48"/>
  <c r="U76" i="48"/>
  <c r="V76" i="48"/>
  <c r="W76" i="48"/>
  <c r="X76" i="48"/>
  <c r="Z76" i="48"/>
  <c r="AA76" i="48"/>
  <c r="P77" i="48"/>
  <c r="S77" i="48"/>
  <c r="U77" i="48"/>
  <c r="V77" i="48"/>
  <c r="W77" i="48"/>
  <c r="X77" i="48"/>
  <c r="Z77" i="48"/>
  <c r="AA77" i="48"/>
  <c r="P78" i="48"/>
  <c r="S78" i="48"/>
  <c r="U78" i="48"/>
  <c r="V78" i="48"/>
  <c r="W78" i="48"/>
  <c r="X78" i="48"/>
  <c r="Z78" i="48"/>
  <c r="AA78" i="48"/>
  <c r="P79" i="48"/>
  <c r="S79" i="48"/>
  <c r="U79" i="48"/>
  <c r="V79" i="48"/>
  <c r="W79" i="48"/>
  <c r="X79" i="48"/>
  <c r="Z79" i="48"/>
  <c r="AA79" i="48"/>
  <c r="P80" i="48"/>
  <c r="S80" i="48"/>
  <c r="U80" i="48"/>
  <c r="V80" i="48"/>
  <c r="W80" i="48"/>
  <c r="X80" i="48"/>
  <c r="Z80" i="48"/>
  <c r="AA80" i="48"/>
  <c r="P81" i="48"/>
  <c r="S81" i="48"/>
  <c r="U81" i="48"/>
  <c r="V81" i="48"/>
  <c r="W81" i="48"/>
  <c r="X81" i="48"/>
  <c r="Z81" i="48"/>
  <c r="AA81" i="48"/>
  <c r="P82" i="48"/>
  <c r="S82" i="48"/>
  <c r="U82" i="48"/>
  <c r="V82" i="48"/>
  <c r="W82" i="48"/>
  <c r="X82" i="48"/>
  <c r="Z82" i="48"/>
  <c r="AA82" i="48"/>
  <c r="P83" i="48"/>
  <c r="S83" i="48"/>
  <c r="U83" i="48"/>
  <c r="V83" i="48"/>
  <c r="W83" i="48"/>
  <c r="X83" i="48"/>
  <c r="Z83" i="48"/>
  <c r="AA83" i="48"/>
  <c r="P84" i="48"/>
  <c r="S84" i="48"/>
  <c r="U84" i="48"/>
  <c r="V84" i="48"/>
  <c r="W84" i="48"/>
  <c r="X84" i="48"/>
  <c r="Z84" i="48"/>
  <c r="AA84" i="48"/>
  <c r="P85" i="48"/>
  <c r="S85" i="48"/>
  <c r="U85" i="48"/>
  <c r="V85" i="48"/>
  <c r="W85" i="48"/>
  <c r="X85" i="48"/>
  <c r="Z85" i="48"/>
  <c r="AA85" i="48"/>
  <c r="P86" i="48"/>
  <c r="S86" i="48"/>
  <c r="U86" i="48"/>
  <c r="V86" i="48"/>
  <c r="W86" i="48"/>
  <c r="X86" i="48"/>
  <c r="Z86" i="48"/>
  <c r="AA86" i="48"/>
  <c r="P87" i="48"/>
  <c r="S87" i="48"/>
  <c r="U87" i="48"/>
  <c r="V87" i="48"/>
  <c r="W87" i="48"/>
  <c r="X87" i="48"/>
  <c r="Z87" i="48"/>
  <c r="AA87" i="48"/>
  <c r="P88" i="48"/>
  <c r="S88" i="48"/>
  <c r="U88" i="48"/>
  <c r="V88" i="48"/>
  <c r="W88" i="48"/>
  <c r="X88" i="48"/>
  <c r="Z88" i="48"/>
  <c r="AA88" i="48"/>
  <c r="P89" i="48"/>
  <c r="S89" i="48"/>
  <c r="U89" i="48"/>
  <c r="V89" i="48"/>
  <c r="W89" i="48"/>
  <c r="X89" i="48"/>
  <c r="Z89" i="48"/>
  <c r="AA89" i="48"/>
  <c r="P90" i="48"/>
  <c r="S90" i="48"/>
  <c r="U90" i="48"/>
  <c r="V90" i="48"/>
  <c r="W90" i="48"/>
  <c r="X90" i="48"/>
  <c r="Z90" i="48"/>
  <c r="AA90" i="48"/>
  <c r="P91" i="48"/>
  <c r="S91" i="48"/>
  <c r="U91" i="48"/>
  <c r="V91" i="48"/>
  <c r="W91" i="48"/>
  <c r="X91" i="48"/>
  <c r="Z91" i="48"/>
  <c r="AA91" i="48"/>
  <c r="P92" i="48"/>
  <c r="S92" i="48"/>
  <c r="U92" i="48"/>
  <c r="V92" i="48"/>
  <c r="W92" i="48"/>
  <c r="X92" i="48"/>
  <c r="Z92" i="48"/>
  <c r="AA92" i="48"/>
  <c r="P93" i="48"/>
  <c r="S93" i="48"/>
  <c r="U93" i="48"/>
  <c r="V93" i="48"/>
  <c r="W93" i="48"/>
  <c r="X93" i="48"/>
  <c r="Z93" i="48"/>
  <c r="AA93" i="48"/>
  <c r="P94" i="48"/>
  <c r="S94" i="48"/>
  <c r="U94" i="48"/>
  <c r="V94" i="48"/>
  <c r="W94" i="48"/>
  <c r="X94" i="48"/>
  <c r="Z94" i="48"/>
  <c r="AA94" i="48"/>
  <c r="P95" i="48"/>
  <c r="S95" i="48"/>
  <c r="U95" i="48"/>
  <c r="V95" i="48"/>
  <c r="W95" i="48"/>
  <c r="X95" i="48"/>
  <c r="Z95" i="48"/>
  <c r="AA95" i="48"/>
  <c r="P96" i="48"/>
  <c r="S96" i="48"/>
  <c r="U96" i="48"/>
  <c r="V96" i="48"/>
  <c r="W96" i="48"/>
  <c r="X96" i="48"/>
  <c r="Z96" i="48"/>
  <c r="AA96" i="48"/>
  <c r="P97" i="48"/>
  <c r="S97" i="48"/>
  <c r="U97" i="48"/>
  <c r="V97" i="48"/>
  <c r="W97" i="48"/>
  <c r="X97" i="48"/>
  <c r="Z97" i="48"/>
  <c r="AA97" i="48"/>
  <c r="P98" i="48"/>
  <c r="S98" i="48"/>
  <c r="U98" i="48"/>
  <c r="V98" i="48"/>
  <c r="W98" i="48"/>
  <c r="X98" i="48"/>
  <c r="Z98" i="48"/>
  <c r="AA98" i="48"/>
  <c r="P99" i="48"/>
  <c r="S99" i="48"/>
  <c r="U99" i="48"/>
  <c r="V99" i="48"/>
  <c r="W99" i="48"/>
  <c r="X99" i="48"/>
  <c r="Z99" i="48"/>
  <c r="AA99" i="48"/>
  <c r="P100" i="48"/>
  <c r="S100" i="48"/>
  <c r="U100" i="48"/>
  <c r="V100" i="48"/>
  <c r="W100" i="48"/>
  <c r="X100" i="48"/>
  <c r="Z100" i="48"/>
  <c r="AA100" i="48"/>
  <c r="P101" i="48"/>
  <c r="S101" i="48"/>
  <c r="U101" i="48"/>
  <c r="V101" i="48"/>
  <c r="W101" i="48"/>
  <c r="X101" i="48"/>
  <c r="Z101" i="48"/>
  <c r="AA101" i="48"/>
  <c r="P102" i="48"/>
  <c r="S102" i="48"/>
  <c r="U102" i="48"/>
  <c r="V102" i="48"/>
  <c r="W102" i="48"/>
  <c r="X102" i="48"/>
  <c r="Z102" i="48"/>
  <c r="AA102" i="48"/>
  <c r="P103" i="48"/>
  <c r="S103" i="48"/>
  <c r="U103" i="48"/>
  <c r="V103" i="48"/>
  <c r="W103" i="48"/>
  <c r="X103" i="48"/>
  <c r="Z103" i="48"/>
  <c r="AA103" i="48"/>
  <c r="P104" i="48"/>
  <c r="S104" i="48"/>
  <c r="U104" i="48"/>
  <c r="V104" i="48"/>
  <c r="W104" i="48"/>
  <c r="X104" i="48"/>
  <c r="Z104" i="48"/>
  <c r="AA104" i="48"/>
  <c r="P105" i="48"/>
  <c r="S105" i="48"/>
  <c r="U105" i="48"/>
  <c r="V105" i="48"/>
  <c r="W105" i="48"/>
  <c r="X105" i="48"/>
  <c r="Z105" i="48"/>
  <c r="AA105" i="48"/>
  <c r="P106" i="48"/>
  <c r="S106" i="48"/>
  <c r="U106" i="48"/>
  <c r="V106" i="48"/>
  <c r="W106" i="48"/>
  <c r="X106" i="48"/>
  <c r="Z106" i="48"/>
  <c r="AA106" i="48"/>
  <c r="P107" i="48"/>
  <c r="S107" i="48"/>
  <c r="U107" i="48"/>
  <c r="V107" i="48"/>
  <c r="W107" i="48"/>
  <c r="X107" i="48"/>
  <c r="Z107" i="48"/>
  <c r="AA107" i="48"/>
  <c r="P108" i="48"/>
  <c r="S108" i="48"/>
  <c r="U108" i="48"/>
  <c r="V108" i="48"/>
  <c r="W108" i="48"/>
  <c r="X108" i="48"/>
  <c r="Z108" i="48"/>
  <c r="AA108" i="48"/>
  <c r="P109" i="48"/>
  <c r="S109" i="48"/>
  <c r="U109" i="48"/>
  <c r="V109" i="48"/>
  <c r="W109" i="48"/>
  <c r="X109" i="48"/>
  <c r="Z109" i="48"/>
  <c r="AA109" i="48"/>
  <c r="P110" i="48"/>
  <c r="S110" i="48"/>
  <c r="U110" i="48"/>
  <c r="V110" i="48"/>
  <c r="W110" i="48"/>
  <c r="X110" i="48"/>
  <c r="Z110" i="48"/>
  <c r="AA110" i="48"/>
  <c r="P111" i="48"/>
  <c r="S111" i="48"/>
  <c r="U111" i="48"/>
  <c r="V111" i="48"/>
  <c r="W111" i="48"/>
  <c r="X111" i="48"/>
  <c r="Z111" i="48"/>
  <c r="AA111" i="48"/>
  <c r="P112" i="48"/>
  <c r="S112" i="48"/>
  <c r="U112" i="48"/>
  <c r="V112" i="48"/>
  <c r="W112" i="48"/>
  <c r="X112" i="48"/>
  <c r="Z112" i="48"/>
  <c r="AA112" i="48"/>
  <c r="P113" i="48"/>
  <c r="S113" i="48"/>
  <c r="U113" i="48"/>
  <c r="V113" i="48"/>
  <c r="W113" i="48"/>
  <c r="X113" i="48"/>
  <c r="Z113" i="48"/>
  <c r="AA113" i="48"/>
  <c r="P114" i="48"/>
  <c r="S114" i="48"/>
  <c r="U114" i="48"/>
  <c r="V114" i="48"/>
  <c r="W114" i="48"/>
  <c r="X114" i="48"/>
  <c r="Z114" i="48"/>
  <c r="AA114" i="48"/>
  <c r="P115" i="48"/>
  <c r="S115" i="48"/>
  <c r="U115" i="48"/>
  <c r="V115" i="48"/>
  <c r="W115" i="48"/>
  <c r="X115" i="48"/>
  <c r="Z115" i="48"/>
  <c r="AA115" i="48"/>
  <c r="P116" i="48"/>
  <c r="S116" i="48"/>
  <c r="U116" i="48"/>
  <c r="V116" i="48"/>
  <c r="W116" i="48"/>
  <c r="X116" i="48"/>
  <c r="Z116" i="48"/>
  <c r="AA116" i="48"/>
  <c r="P117" i="48"/>
  <c r="S117" i="48"/>
  <c r="U117" i="48"/>
  <c r="V117" i="48"/>
  <c r="W117" i="48"/>
  <c r="X117" i="48"/>
  <c r="Z117" i="48"/>
  <c r="AA117" i="48"/>
  <c r="P118" i="48"/>
  <c r="S118" i="48"/>
  <c r="U118" i="48"/>
  <c r="V118" i="48"/>
  <c r="W118" i="48"/>
  <c r="X118" i="48"/>
  <c r="Z118" i="48"/>
  <c r="AA118" i="48"/>
  <c r="P119" i="48"/>
  <c r="S119" i="48"/>
  <c r="U119" i="48"/>
  <c r="V119" i="48"/>
  <c r="W119" i="48"/>
  <c r="X119" i="48"/>
  <c r="Z119" i="48"/>
  <c r="AA119" i="48"/>
  <c r="P120" i="48"/>
  <c r="S120" i="48"/>
  <c r="U120" i="48"/>
  <c r="V120" i="48"/>
  <c r="W120" i="48"/>
  <c r="X120" i="48"/>
  <c r="Z120" i="48"/>
  <c r="AA120" i="48"/>
  <c r="P121" i="48"/>
  <c r="S121" i="48"/>
  <c r="U121" i="48"/>
  <c r="V121" i="48"/>
  <c r="W121" i="48"/>
  <c r="X121" i="48"/>
  <c r="Z121" i="48"/>
  <c r="AA121" i="48"/>
  <c r="P122" i="48"/>
  <c r="S122" i="48"/>
  <c r="U122" i="48"/>
  <c r="V122" i="48"/>
  <c r="W122" i="48"/>
  <c r="X122" i="48"/>
  <c r="Z122" i="48"/>
  <c r="AA122" i="48"/>
  <c r="P123" i="48"/>
  <c r="S123" i="48"/>
  <c r="U123" i="48"/>
  <c r="V123" i="48"/>
  <c r="W123" i="48"/>
  <c r="X123" i="48"/>
  <c r="Z123" i="48"/>
  <c r="AA123" i="48"/>
  <c r="P124" i="48"/>
  <c r="S124" i="48"/>
  <c r="U124" i="48"/>
  <c r="V124" i="48"/>
  <c r="W124" i="48"/>
  <c r="X124" i="48"/>
  <c r="Z124" i="48"/>
  <c r="AA124" i="48"/>
  <c r="P125" i="48"/>
  <c r="S125" i="48"/>
  <c r="U125" i="48"/>
  <c r="V125" i="48"/>
  <c r="W125" i="48"/>
  <c r="X125" i="48"/>
  <c r="Z125" i="48"/>
  <c r="AA125" i="48"/>
  <c r="P126" i="48"/>
  <c r="S126" i="48"/>
  <c r="U126" i="48"/>
  <c r="V126" i="48"/>
  <c r="W126" i="48"/>
  <c r="X126" i="48"/>
  <c r="Z126" i="48"/>
  <c r="AA126" i="48"/>
  <c r="P127" i="48"/>
  <c r="S127" i="48"/>
  <c r="U127" i="48"/>
  <c r="V127" i="48"/>
  <c r="W127" i="48"/>
  <c r="X127" i="48"/>
  <c r="Z127" i="48"/>
  <c r="AA127" i="48"/>
  <c r="P128" i="48"/>
  <c r="S128" i="48"/>
  <c r="U128" i="48"/>
  <c r="V128" i="48"/>
  <c r="W128" i="48"/>
  <c r="X128" i="48"/>
  <c r="Z128" i="48"/>
  <c r="AA128" i="48"/>
  <c r="P129" i="48"/>
  <c r="S129" i="48"/>
  <c r="U129" i="48"/>
  <c r="V129" i="48"/>
  <c r="W129" i="48"/>
  <c r="X129" i="48"/>
  <c r="Z129" i="48"/>
  <c r="AA129" i="48"/>
  <c r="P130" i="48"/>
  <c r="S130" i="48"/>
  <c r="U130" i="48"/>
  <c r="V130" i="48"/>
  <c r="W130" i="48"/>
  <c r="X130" i="48"/>
  <c r="Z130" i="48"/>
  <c r="AA130" i="48"/>
  <c r="P131" i="48"/>
  <c r="S131" i="48"/>
  <c r="U131" i="48"/>
  <c r="V131" i="48"/>
  <c r="W131" i="48"/>
  <c r="X131" i="48"/>
  <c r="Z131" i="48"/>
  <c r="AA131" i="48"/>
  <c r="P132" i="48"/>
  <c r="S132" i="48"/>
  <c r="U132" i="48"/>
  <c r="V132" i="48"/>
  <c r="W132" i="48"/>
  <c r="X132" i="48"/>
  <c r="Z132" i="48"/>
  <c r="AA132" i="48"/>
  <c r="P133" i="48"/>
  <c r="S133" i="48"/>
  <c r="U133" i="48"/>
  <c r="V133" i="48"/>
  <c r="W133" i="48"/>
  <c r="X133" i="48"/>
  <c r="Z133" i="48"/>
  <c r="AA133" i="48"/>
  <c r="P134" i="48"/>
  <c r="S134" i="48"/>
  <c r="U134" i="48"/>
  <c r="V134" i="48"/>
  <c r="W134" i="48"/>
  <c r="X134" i="48"/>
  <c r="Z134" i="48"/>
  <c r="AA134" i="48"/>
  <c r="P135" i="48"/>
  <c r="S135" i="48"/>
  <c r="U135" i="48"/>
  <c r="V135" i="48"/>
  <c r="W135" i="48"/>
  <c r="X135" i="48"/>
  <c r="Z135" i="48"/>
  <c r="AA135" i="48"/>
  <c r="P136" i="48"/>
  <c r="S136" i="48"/>
  <c r="U136" i="48"/>
  <c r="V136" i="48"/>
  <c r="W136" i="48"/>
  <c r="X136" i="48"/>
  <c r="Z136" i="48"/>
  <c r="AA136" i="48"/>
  <c r="P137" i="48"/>
  <c r="S137" i="48"/>
  <c r="U137" i="48"/>
  <c r="V137" i="48"/>
  <c r="W137" i="48"/>
  <c r="X137" i="48"/>
  <c r="Z137" i="48"/>
  <c r="AA137" i="48"/>
  <c r="P138" i="48"/>
  <c r="S138" i="48"/>
  <c r="U138" i="48"/>
  <c r="V138" i="48"/>
  <c r="W138" i="48"/>
  <c r="X138" i="48"/>
  <c r="Z138" i="48"/>
  <c r="AA138" i="48"/>
  <c r="P139" i="48"/>
  <c r="S139" i="48"/>
  <c r="U139" i="48"/>
  <c r="V139" i="48"/>
  <c r="W139" i="48"/>
  <c r="X139" i="48"/>
  <c r="Z139" i="48"/>
  <c r="AA139" i="48"/>
  <c r="P140" i="48"/>
  <c r="S140" i="48"/>
  <c r="U140" i="48"/>
  <c r="V140" i="48"/>
  <c r="W140" i="48"/>
  <c r="X140" i="48"/>
  <c r="Z140" i="48"/>
  <c r="AA140" i="48"/>
  <c r="P141" i="48"/>
  <c r="S141" i="48"/>
  <c r="U141" i="48"/>
  <c r="V141" i="48"/>
  <c r="W141" i="48"/>
  <c r="X141" i="48"/>
  <c r="Z141" i="48"/>
  <c r="AA141" i="48"/>
  <c r="P142" i="48"/>
  <c r="S142" i="48"/>
  <c r="U142" i="48"/>
  <c r="V142" i="48"/>
  <c r="W142" i="48"/>
  <c r="X142" i="48"/>
  <c r="Z142" i="48"/>
  <c r="AA142" i="48"/>
  <c r="P143" i="48"/>
  <c r="S143" i="48"/>
  <c r="U143" i="48"/>
  <c r="V143" i="48"/>
  <c r="W143" i="48"/>
  <c r="X143" i="48"/>
  <c r="Z143" i="48"/>
  <c r="AA143" i="48"/>
  <c r="P144" i="48"/>
  <c r="S144" i="48"/>
  <c r="U144" i="48"/>
  <c r="V144" i="48"/>
  <c r="W144" i="48"/>
  <c r="X144" i="48"/>
  <c r="Z144" i="48"/>
  <c r="AA144" i="48"/>
  <c r="P145" i="48"/>
  <c r="S145" i="48"/>
  <c r="U145" i="48"/>
  <c r="V145" i="48"/>
  <c r="W145" i="48"/>
  <c r="X145" i="48"/>
  <c r="Z145" i="48"/>
  <c r="AA145" i="48"/>
  <c r="AA6" i="48"/>
  <c r="Z6" i="48"/>
  <c r="X6" i="48"/>
  <c r="W6" i="48"/>
  <c r="V6" i="48"/>
  <c r="U6" i="48"/>
  <c r="S6" i="48"/>
  <c r="P6" i="48"/>
  <c r="AA5" i="48"/>
  <c r="Z5" i="48"/>
  <c r="X5" i="48"/>
  <c r="W5" i="48"/>
  <c r="V5" i="48"/>
  <c r="U5" i="48"/>
  <c r="S5" i="48"/>
  <c r="P5" i="48"/>
  <c r="AA4" i="48"/>
  <c r="Z4" i="48"/>
  <c r="X4" i="48"/>
  <c r="W4" i="48"/>
  <c r="V4" i="48"/>
  <c r="U4" i="48"/>
  <c r="S4" i="48"/>
  <c r="P4" i="48"/>
  <c r="AA3" i="48"/>
  <c r="Z3" i="48"/>
  <c r="X3" i="48"/>
  <c r="W3" i="48"/>
  <c r="V3" i="48"/>
  <c r="U3" i="48"/>
  <c r="S3" i="48"/>
  <c r="P3" i="48"/>
  <c r="AA2" i="48"/>
  <c r="Z2" i="48"/>
  <c r="X2" i="48"/>
  <c r="W2" i="48"/>
  <c r="V2" i="48"/>
  <c r="U2" i="48"/>
  <c r="S2" i="48"/>
  <c r="P2" i="48"/>
  <c r="B145" i="48"/>
  <c r="B144" i="48"/>
  <c r="M143" i="48"/>
  <c r="B143" i="48"/>
  <c r="B142" i="48"/>
  <c r="B141" i="48"/>
  <c r="B140" i="48"/>
  <c r="B139" i="48"/>
  <c r="B138" i="48"/>
  <c r="B137" i="48"/>
  <c r="M136" i="48"/>
  <c r="B136" i="48"/>
  <c r="M135" i="48"/>
  <c r="B135" i="48"/>
  <c r="M134" i="48"/>
  <c r="B134" i="48"/>
  <c r="M133" i="48"/>
  <c r="B133" i="48"/>
  <c r="M132" i="48"/>
  <c r="B132" i="48"/>
  <c r="M131" i="48"/>
  <c r="B131" i="48"/>
  <c r="M130" i="48"/>
  <c r="B130" i="48"/>
  <c r="B129" i="48"/>
  <c r="M128" i="48"/>
  <c r="B128" i="48"/>
  <c r="B127" i="48"/>
  <c r="F126" i="48"/>
  <c r="B126" i="48"/>
  <c r="H125" i="48"/>
  <c r="G125" i="48"/>
  <c r="G126" i="48" s="1"/>
  <c r="G127" i="48" s="1"/>
  <c r="G128" i="48" s="1"/>
  <c r="G129" i="48" s="1"/>
  <c r="G130" i="48" s="1"/>
  <c r="G131" i="48" s="1"/>
  <c r="G132" i="48" s="1"/>
  <c r="G133" i="48" s="1"/>
  <c r="G134" i="48" s="1"/>
  <c r="G135" i="48" s="1"/>
  <c r="G136" i="48" s="1"/>
  <c r="G137" i="48" s="1"/>
  <c r="G138" i="48" s="1"/>
  <c r="G139" i="48" s="1"/>
  <c r="G140" i="48" s="1"/>
  <c r="G141" i="48" s="1"/>
  <c r="G142" i="48" s="1"/>
  <c r="G143" i="48" s="1"/>
  <c r="G144" i="48" s="1"/>
  <c r="G145" i="48" s="1"/>
  <c r="B125" i="48"/>
  <c r="F124" i="48"/>
  <c r="F136" i="48" s="1"/>
  <c r="B124" i="48"/>
  <c r="H123" i="48"/>
  <c r="B123" i="48"/>
  <c r="B122" i="48"/>
  <c r="F121" i="48"/>
  <c r="F133" i="48" s="1"/>
  <c r="F145" i="48" s="1"/>
  <c r="B121" i="48"/>
  <c r="F120" i="48"/>
  <c r="B120" i="48"/>
  <c r="F119" i="48"/>
  <c r="B119" i="48"/>
  <c r="K118" i="48"/>
  <c r="F118" i="48"/>
  <c r="B118" i="48"/>
  <c r="F117" i="48"/>
  <c r="B117" i="48"/>
  <c r="I116" i="48"/>
  <c r="H116" i="48"/>
  <c r="F116" i="48"/>
  <c r="F128" i="48" s="1"/>
  <c r="B116" i="48"/>
  <c r="L115" i="48"/>
  <c r="L127" i="48" s="1"/>
  <c r="L139" i="48" s="1"/>
  <c r="F115" i="48"/>
  <c r="F127" i="48" s="1"/>
  <c r="B115" i="48"/>
  <c r="J114" i="48"/>
  <c r="F114" i="48"/>
  <c r="B114" i="48"/>
  <c r="J113" i="48"/>
  <c r="F113" i="48"/>
  <c r="F125" i="48" s="1"/>
  <c r="B113" i="48"/>
  <c r="M112" i="48"/>
  <c r="F112" i="48"/>
  <c r="B112" i="48"/>
  <c r="H111" i="48"/>
  <c r="F111" i="48"/>
  <c r="F123" i="48" s="1"/>
  <c r="B111" i="48"/>
  <c r="F110" i="48"/>
  <c r="B110" i="48"/>
  <c r="I109" i="48"/>
  <c r="F109" i="48"/>
  <c r="B109" i="48"/>
  <c r="I108" i="48"/>
  <c r="H108" i="48"/>
  <c r="F108" i="48"/>
  <c r="B108" i="48"/>
  <c r="L107" i="48"/>
  <c r="L119" i="48" s="1"/>
  <c r="L131" i="48" s="1"/>
  <c r="L143" i="48" s="1"/>
  <c r="K107" i="48"/>
  <c r="F107" i="48"/>
  <c r="B107" i="48"/>
  <c r="K106" i="48"/>
  <c r="J106" i="48"/>
  <c r="F106" i="48"/>
  <c r="B106" i="48"/>
  <c r="J105" i="48"/>
  <c r="I105" i="48"/>
  <c r="F105" i="48"/>
  <c r="B105" i="48"/>
  <c r="M104" i="48"/>
  <c r="L104" i="48"/>
  <c r="L116" i="48" s="1"/>
  <c r="L128" i="48" s="1"/>
  <c r="L140" i="48" s="1"/>
  <c r="I104" i="48"/>
  <c r="F104" i="48"/>
  <c r="B104" i="48"/>
  <c r="K103" i="48"/>
  <c r="H103" i="48"/>
  <c r="F103" i="48"/>
  <c r="B103" i="48"/>
  <c r="K102" i="48"/>
  <c r="F102" i="48"/>
  <c r="B102" i="48"/>
  <c r="M101" i="48"/>
  <c r="F101" i="48"/>
  <c r="B101" i="48"/>
  <c r="I100" i="48"/>
  <c r="H100" i="48"/>
  <c r="F100" i="48"/>
  <c r="B100" i="48"/>
  <c r="F99" i="48"/>
  <c r="B99" i="48"/>
  <c r="J98" i="48"/>
  <c r="G98" i="48"/>
  <c r="G99" i="48" s="1"/>
  <c r="G100" i="48" s="1"/>
  <c r="G101" i="48" s="1"/>
  <c r="G102" i="48" s="1"/>
  <c r="G103" i="48" s="1"/>
  <c r="G104" i="48" s="1"/>
  <c r="G105" i="48" s="1"/>
  <c r="G106" i="48" s="1"/>
  <c r="G107" i="48" s="1"/>
  <c r="G108" i="48" s="1"/>
  <c r="G109" i="48" s="1"/>
  <c r="G110" i="48" s="1"/>
  <c r="G111" i="48" s="1"/>
  <c r="G112" i="48" s="1"/>
  <c r="G113" i="48" s="1"/>
  <c r="G114" i="48" s="1"/>
  <c r="G115" i="48" s="1"/>
  <c r="G116" i="48" s="1"/>
  <c r="G117" i="48" s="1"/>
  <c r="G118" i="48" s="1"/>
  <c r="G119" i="48" s="1"/>
  <c r="G120" i="48" s="1"/>
  <c r="G121" i="48" s="1"/>
  <c r="G122" i="48" s="1"/>
  <c r="G123" i="48" s="1"/>
  <c r="G124" i="48" s="1"/>
  <c r="F98" i="48"/>
  <c r="B98" i="48"/>
  <c r="N97" i="48"/>
  <c r="M97" i="48"/>
  <c r="M145" i="48" s="1"/>
  <c r="L97" i="48"/>
  <c r="L109" i="48" s="1"/>
  <c r="L121" i="48" s="1"/>
  <c r="L133" i="48" s="1"/>
  <c r="L145" i="48" s="1"/>
  <c r="K97" i="48"/>
  <c r="J97" i="48"/>
  <c r="I97" i="48"/>
  <c r="H97" i="48"/>
  <c r="H109" i="48" s="1"/>
  <c r="G97" i="48"/>
  <c r="F97" i="48"/>
  <c r="B97" i="48"/>
  <c r="A97" i="48"/>
  <c r="N96" i="48"/>
  <c r="M96" i="48"/>
  <c r="M144" i="48" s="1"/>
  <c r="L96" i="48"/>
  <c r="L108" i="48" s="1"/>
  <c r="L120" i="48" s="1"/>
  <c r="L132" i="48" s="1"/>
  <c r="L144" i="48" s="1"/>
  <c r="K96" i="48"/>
  <c r="J96" i="48"/>
  <c r="J108" i="48" s="1"/>
  <c r="I96" i="48"/>
  <c r="H96" i="48"/>
  <c r="G96" i="48"/>
  <c r="F96" i="48"/>
  <c r="B96" i="48"/>
  <c r="A96" i="48"/>
  <c r="N95" i="48"/>
  <c r="M95" i="48"/>
  <c r="L95" i="48"/>
  <c r="K95" i="48"/>
  <c r="J95" i="48"/>
  <c r="J107" i="48" s="1"/>
  <c r="I95" i="48"/>
  <c r="I107" i="48" s="1"/>
  <c r="I119" i="48" s="1"/>
  <c r="H95" i="48"/>
  <c r="G95" i="48"/>
  <c r="F95" i="48"/>
  <c r="A95" i="48"/>
  <c r="B95" i="48" s="1"/>
  <c r="N94" i="48"/>
  <c r="M94" i="48"/>
  <c r="L94" i="48"/>
  <c r="L106" i="48" s="1"/>
  <c r="L118" i="48" s="1"/>
  <c r="L130" i="48" s="1"/>
  <c r="L142" i="48" s="1"/>
  <c r="K94" i="48"/>
  <c r="J94" i="48"/>
  <c r="I94" i="48"/>
  <c r="H94" i="48"/>
  <c r="H106" i="48" s="1"/>
  <c r="H118" i="48" s="1"/>
  <c r="G94" i="48"/>
  <c r="F94" i="48"/>
  <c r="B94" i="48"/>
  <c r="A94" i="48"/>
  <c r="N93" i="48"/>
  <c r="M93" i="48"/>
  <c r="M141" i="48" s="1"/>
  <c r="L93" i="48"/>
  <c r="L105" i="48" s="1"/>
  <c r="L117" i="48" s="1"/>
  <c r="L129" i="48" s="1"/>
  <c r="L141" i="48" s="1"/>
  <c r="K93" i="48"/>
  <c r="K105" i="48" s="1"/>
  <c r="K117" i="48" s="1"/>
  <c r="K129" i="48" s="1"/>
  <c r="J93" i="48"/>
  <c r="I93" i="48"/>
  <c r="H93" i="48"/>
  <c r="H105" i="48" s="1"/>
  <c r="G93" i="48"/>
  <c r="F93" i="48"/>
  <c r="B93" i="48"/>
  <c r="A93" i="48"/>
  <c r="N92" i="48"/>
  <c r="M92" i="48"/>
  <c r="M140" i="48" s="1"/>
  <c r="L92" i="48"/>
  <c r="K92" i="48"/>
  <c r="J92" i="48"/>
  <c r="J104" i="48" s="1"/>
  <c r="J116" i="48" s="1"/>
  <c r="I92" i="48"/>
  <c r="H92" i="48"/>
  <c r="H104" i="48" s="1"/>
  <c r="G92" i="48"/>
  <c r="F92" i="48"/>
  <c r="B92" i="48"/>
  <c r="A92" i="48"/>
  <c r="N91" i="48"/>
  <c r="M91" i="48"/>
  <c r="M139" i="48" s="1"/>
  <c r="L91" i="48"/>
  <c r="L103" i="48" s="1"/>
  <c r="K91" i="48"/>
  <c r="J91" i="48"/>
  <c r="J103" i="48" s="1"/>
  <c r="J115" i="48" s="1"/>
  <c r="J127" i="48" s="1"/>
  <c r="J139" i="48" s="1"/>
  <c r="I91" i="48"/>
  <c r="H91" i="48"/>
  <c r="G91" i="48"/>
  <c r="F91" i="48"/>
  <c r="A91" i="48"/>
  <c r="B91" i="48" s="1"/>
  <c r="N90" i="48"/>
  <c r="M90" i="48"/>
  <c r="L90" i="48"/>
  <c r="L102" i="48" s="1"/>
  <c r="L114" i="48" s="1"/>
  <c r="L126" i="48" s="1"/>
  <c r="L138" i="48" s="1"/>
  <c r="K90" i="48"/>
  <c r="J90" i="48"/>
  <c r="J102" i="48" s="1"/>
  <c r="I90" i="48"/>
  <c r="H90" i="48"/>
  <c r="G90" i="48"/>
  <c r="F90" i="48"/>
  <c r="A90" i="48"/>
  <c r="B90" i="48" s="1"/>
  <c r="N89" i="48"/>
  <c r="M89" i="48"/>
  <c r="L89" i="48"/>
  <c r="L101" i="48" s="1"/>
  <c r="L113" i="48" s="1"/>
  <c r="L125" i="48" s="1"/>
  <c r="L137" i="48" s="1"/>
  <c r="K89" i="48"/>
  <c r="K101" i="48" s="1"/>
  <c r="K113" i="48" s="1"/>
  <c r="K125" i="48" s="1"/>
  <c r="J89" i="48"/>
  <c r="J101" i="48" s="1"/>
  <c r="I89" i="48"/>
  <c r="H89" i="48"/>
  <c r="H101" i="48" s="1"/>
  <c r="H113" i="48" s="1"/>
  <c r="G89" i="48"/>
  <c r="F89" i="48"/>
  <c r="A89" i="48"/>
  <c r="B89" i="48" s="1"/>
  <c r="N88" i="48"/>
  <c r="M88" i="48"/>
  <c r="L88" i="48"/>
  <c r="L100" i="48" s="1"/>
  <c r="L112" i="48" s="1"/>
  <c r="L124" i="48" s="1"/>
  <c r="L136" i="48" s="1"/>
  <c r="K88" i="48"/>
  <c r="K100" i="48" s="1"/>
  <c r="K112" i="48" s="1"/>
  <c r="J88" i="48"/>
  <c r="I88" i="48"/>
  <c r="H88" i="48"/>
  <c r="G88" i="48"/>
  <c r="F88" i="48"/>
  <c r="B88" i="48"/>
  <c r="A88" i="48"/>
  <c r="N87" i="48"/>
  <c r="M87" i="48"/>
  <c r="L87" i="48"/>
  <c r="L99" i="48" s="1"/>
  <c r="L111" i="48" s="1"/>
  <c r="L123" i="48" s="1"/>
  <c r="L135" i="48" s="1"/>
  <c r="K87" i="48"/>
  <c r="J87" i="48"/>
  <c r="J99" i="48" s="1"/>
  <c r="J111" i="48" s="1"/>
  <c r="J123" i="48" s="1"/>
  <c r="I87" i="48"/>
  <c r="I99" i="48" s="1"/>
  <c r="I111" i="48" s="1"/>
  <c r="I123" i="48" s="1"/>
  <c r="H87" i="48"/>
  <c r="H99" i="48" s="1"/>
  <c r="G87" i="48"/>
  <c r="F87" i="48"/>
  <c r="B87" i="48"/>
  <c r="A87" i="48"/>
  <c r="N86" i="48"/>
  <c r="M86" i="48"/>
  <c r="L86" i="48"/>
  <c r="L98" i="48" s="1"/>
  <c r="L110" i="48" s="1"/>
  <c r="L122" i="48" s="1"/>
  <c r="L134" i="48" s="1"/>
  <c r="K86" i="48"/>
  <c r="K98" i="48" s="1"/>
  <c r="J86" i="48"/>
  <c r="I86" i="48"/>
  <c r="I98" i="48" s="1"/>
  <c r="H86" i="48"/>
  <c r="G86" i="48"/>
  <c r="F86" i="48"/>
  <c r="A86" i="48"/>
  <c r="B86" i="48" s="1"/>
  <c r="N85" i="48"/>
  <c r="M85" i="48"/>
  <c r="L85" i="48"/>
  <c r="K85" i="48"/>
  <c r="J85" i="48"/>
  <c r="I85" i="48"/>
  <c r="H85" i="48"/>
  <c r="G85" i="48"/>
  <c r="F85" i="48"/>
  <c r="B85" i="48"/>
  <c r="A85" i="48"/>
  <c r="N84" i="48"/>
  <c r="M84" i="48"/>
  <c r="L84" i="48"/>
  <c r="K84" i="48"/>
  <c r="J84" i="48"/>
  <c r="I84" i="48"/>
  <c r="H84" i="48"/>
  <c r="G84" i="48"/>
  <c r="F84" i="48"/>
  <c r="B84" i="48"/>
  <c r="A84" i="48"/>
  <c r="N83" i="48"/>
  <c r="M83" i="48"/>
  <c r="L83" i="48"/>
  <c r="K83" i="48"/>
  <c r="J83" i="48"/>
  <c r="I83" i="48"/>
  <c r="H83" i="48"/>
  <c r="G83" i="48"/>
  <c r="F83" i="48"/>
  <c r="B83" i="48"/>
  <c r="A83" i="48"/>
  <c r="N82" i="48"/>
  <c r="M82" i="48"/>
  <c r="L82" i="48"/>
  <c r="K82" i="48"/>
  <c r="J82" i="48"/>
  <c r="I82" i="48"/>
  <c r="H82" i="48"/>
  <c r="G82" i="48"/>
  <c r="F82" i="48"/>
  <c r="A82" i="48"/>
  <c r="B82" i="48" s="1"/>
  <c r="N81" i="48"/>
  <c r="M81" i="48"/>
  <c r="L81" i="48"/>
  <c r="K81" i="48"/>
  <c r="J81" i="48"/>
  <c r="I81" i="48"/>
  <c r="H81" i="48"/>
  <c r="G81" i="48"/>
  <c r="F81" i="48"/>
  <c r="B81" i="48"/>
  <c r="A81" i="48"/>
  <c r="N80" i="48"/>
  <c r="M80" i="48"/>
  <c r="L80" i="48"/>
  <c r="K80" i="48"/>
  <c r="J80" i="48"/>
  <c r="I80" i="48"/>
  <c r="H80" i="48"/>
  <c r="G80" i="48"/>
  <c r="F80" i="48"/>
  <c r="B80" i="48"/>
  <c r="A80" i="48"/>
  <c r="N79" i="48"/>
  <c r="M79" i="48"/>
  <c r="M127" i="48" s="1"/>
  <c r="L79" i="48"/>
  <c r="K79" i="48"/>
  <c r="J79" i="48"/>
  <c r="I79" i="48"/>
  <c r="H79" i="48"/>
  <c r="G79" i="48"/>
  <c r="F79" i="48"/>
  <c r="B79" i="48"/>
  <c r="A79" i="48"/>
  <c r="N78" i="48"/>
  <c r="M78" i="48"/>
  <c r="L78" i="48"/>
  <c r="K78" i="48"/>
  <c r="J78" i="48"/>
  <c r="I78" i="48"/>
  <c r="H78" i="48"/>
  <c r="G78" i="48"/>
  <c r="F78" i="48"/>
  <c r="A78" i="48"/>
  <c r="B78" i="48" s="1"/>
  <c r="N77" i="48"/>
  <c r="M77" i="48"/>
  <c r="L77" i="48"/>
  <c r="K77" i="48"/>
  <c r="J77" i="48"/>
  <c r="I77" i="48"/>
  <c r="H77" i="48"/>
  <c r="G77" i="48"/>
  <c r="F77" i="48"/>
  <c r="A77" i="48"/>
  <c r="B77" i="48" s="1"/>
  <c r="N76" i="48"/>
  <c r="M76" i="48"/>
  <c r="M124" i="48" s="1"/>
  <c r="L76" i="48"/>
  <c r="K76" i="48"/>
  <c r="J76" i="48"/>
  <c r="I76" i="48"/>
  <c r="H76" i="48"/>
  <c r="G76" i="48"/>
  <c r="F76" i="48"/>
  <c r="B76" i="48"/>
  <c r="A76" i="48"/>
  <c r="N75" i="48"/>
  <c r="M75" i="48"/>
  <c r="M123" i="48" s="1"/>
  <c r="L75" i="48"/>
  <c r="K75" i="48"/>
  <c r="J75" i="48"/>
  <c r="I75" i="48"/>
  <c r="H75" i="48"/>
  <c r="G75" i="48"/>
  <c r="F75" i="48"/>
  <c r="B75" i="48"/>
  <c r="A75" i="48"/>
  <c r="N74" i="48"/>
  <c r="M74" i="48"/>
  <c r="L74" i="48"/>
  <c r="K74" i="48"/>
  <c r="J74" i="48"/>
  <c r="I74" i="48"/>
  <c r="H74" i="48"/>
  <c r="G74" i="48"/>
  <c r="F74" i="48"/>
  <c r="A74" i="48"/>
  <c r="B74" i="48" s="1"/>
  <c r="N73" i="48"/>
  <c r="M73" i="48"/>
  <c r="L73" i="48"/>
  <c r="K73" i="48"/>
  <c r="J73" i="48"/>
  <c r="I73" i="48"/>
  <c r="H73" i="48"/>
  <c r="G73" i="48"/>
  <c r="F73" i="48"/>
  <c r="A73" i="48"/>
  <c r="B73" i="48" s="1"/>
  <c r="N72" i="48"/>
  <c r="M72" i="48"/>
  <c r="M120" i="48" s="1"/>
  <c r="L72" i="48"/>
  <c r="K72" i="48"/>
  <c r="J72" i="48"/>
  <c r="I72" i="48"/>
  <c r="H72" i="48"/>
  <c r="G72" i="48"/>
  <c r="F72" i="48"/>
  <c r="B72" i="48"/>
  <c r="A72" i="48"/>
  <c r="N71" i="48"/>
  <c r="M71" i="48"/>
  <c r="M119" i="48" s="1"/>
  <c r="L71" i="48"/>
  <c r="K71" i="48"/>
  <c r="J71" i="48"/>
  <c r="I71" i="48"/>
  <c r="H71" i="48"/>
  <c r="G71" i="48"/>
  <c r="F71" i="48"/>
  <c r="B71" i="48"/>
  <c r="A71" i="48"/>
  <c r="N70" i="48"/>
  <c r="M70" i="48"/>
  <c r="L70" i="48"/>
  <c r="K70" i="48"/>
  <c r="J70" i="48"/>
  <c r="I70" i="48"/>
  <c r="H70" i="48"/>
  <c r="G70" i="48"/>
  <c r="F70" i="48"/>
  <c r="A70" i="48"/>
  <c r="B70" i="48" s="1"/>
  <c r="N69" i="48"/>
  <c r="M69" i="48"/>
  <c r="L69" i="48"/>
  <c r="K69" i="48"/>
  <c r="J69" i="48"/>
  <c r="I69" i="48"/>
  <c r="H69" i="48"/>
  <c r="G69" i="48"/>
  <c r="F69" i="48"/>
  <c r="B69" i="48"/>
  <c r="A69" i="48"/>
  <c r="N68" i="48"/>
  <c r="M68" i="48"/>
  <c r="M116" i="48" s="1"/>
  <c r="L68" i="48"/>
  <c r="K68" i="48"/>
  <c r="J68" i="48"/>
  <c r="I68" i="48"/>
  <c r="H68" i="48"/>
  <c r="G68" i="48"/>
  <c r="F68" i="48"/>
  <c r="B68" i="48"/>
  <c r="A68" i="48"/>
  <c r="N67" i="48"/>
  <c r="M67" i="48"/>
  <c r="M115" i="48" s="1"/>
  <c r="L67" i="48"/>
  <c r="K67" i="48"/>
  <c r="J67" i="48"/>
  <c r="I67" i="48"/>
  <c r="H67" i="48"/>
  <c r="G67" i="48"/>
  <c r="F67" i="48"/>
  <c r="B67" i="48"/>
  <c r="A67" i="48"/>
  <c r="N66" i="48"/>
  <c r="M66" i="48"/>
  <c r="L66" i="48"/>
  <c r="K66" i="48"/>
  <c r="J66" i="48"/>
  <c r="I66" i="48"/>
  <c r="H66" i="48"/>
  <c r="G66" i="48"/>
  <c r="F66" i="48"/>
  <c r="A66" i="48"/>
  <c r="B66" i="48" s="1"/>
  <c r="N65" i="48"/>
  <c r="M65" i="48"/>
  <c r="L65" i="48"/>
  <c r="K65" i="48"/>
  <c r="J65" i="48"/>
  <c r="I65" i="48"/>
  <c r="H65" i="48"/>
  <c r="G65" i="48"/>
  <c r="F65" i="48"/>
  <c r="B65" i="48"/>
  <c r="A65" i="48"/>
  <c r="N64" i="48"/>
  <c r="M64" i="48"/>
  <c r="L64" i="48"/>
  <c r="K64" i="48"/>
  <c r="J64" i="48"/>
  <c r="I64" i="48"/>
  <c r="H64" i="48"/>
  <c r="G64" i="48"/>
  <c r="F64" i="48"/>
  <c r="B64" i="48"/>
  <c r="A64" i="48"/>
  <c r="N63" i="48"/>
  <c r="M63" i="48"/>
  <c r="M111" i="48" s="1"/>
  <c r="L63" i="48"/>
  <c r="K63" i="48"/>
  <c r="J63" i="48"/>
  <c r="I63" i="48"/>
  <c r="H63" i="48"/>
  <c r="G63" i="48"/>
  <c r="F63" i="48"/>
  <c r="B63" i="48"/>
  <c r="A63" i="48"/>
  <c r="N62" i="48"/>
  <c r="M62" i="48"/>
  <c r="L62" i="48"/>
  <c r="K62" i="48"/>
  <c r="J62" i="48"/>
  <c r="I62" i="48"/>
  <c r="H62" i="48"/>
  <c r="G62" i="48"/>
  <c r="F62" i="48"/>
  <c r="A62" i="48"/>
  <c r="B62" i="48" s="1"/>
  <c r="N61" i="48"/>
  <c r="M61" i="48"/>
  <c r="L61" i="48"/>
  <c r="K61" i="48"/>
  <c r="J61" i="48"/>
  <c r="I61" i="48"/>
  <c r="H61" i="48"/>
  <c r="G61" i="48"/>
  <c r="F61" i="48"/>
  <c r="B61" i="48"/>
  <c r="A61" i="48"/>
  <c r="N60" i="48"/>
  <c r="M60" i="48"/>
  <c r="M108" i="48" s="1"/>
  <c r="L60" i="48"/>
  <c r="K60" i="48"/>
  <c r="J60" i="48"/>
  <c r="I60" i="48"/>
  <c r="H60" i="48"/>
  <c r="G60" i="48"/>
  <c r="F60" i="48"/>
  <c r="B60" i="48"/>
  <c r="A60" i="48"/>
  <c r="N59" i="48"/>
  <c r="M59" i="48"/>
  <c r="M107" i="48" s="1"/>
  <c r="L59" i="48"/>
  <c r="K59" i="48"/>
  <c r="J59" i="48"/>
  <c r="I59" i="48"/>
  <c r="H59" i="48"/>
  <c r="G59" i="48"/>
  <c r="F59" i="48"/>
  <c r="B59" i="48"/>
  <c r="A59" i="48"/>
  <c r="N58" i="48"/>
  <c r="M58" i="48"/>
  <c r="M106" i="48" s="1"/>
  <c r="L58" i="48"/>
  <c r="K58" i="48"/>
  <c r="J58" i="48"/>
  <c r="I58" i="48"/>
  <c r="H58" i="48"/>
  <c r="G58" i="48"/>
  <c r="F58" i="48"/>
  <c r="A58" i="48"/>
  <c r="B58" i="48" s="1"/>
  <c r="N57" i="48"/>
  <c r="M57" i="48"/>
  <c r="L57" i="48"/>
  <c r="K57" i="48"/>
  <c r="J57" i="48"/>
  <c r="I57" i="48"/>
  <c r="H57" i="48"/>
  <c r="G57" i="48"/>
  <c r="F57" i="48"/>
  <c r="A57" i="48"/>
  <c r="B57" i="48" s="1"/>
  <c r="N56" i="48"/>
  <c r="M56" i="48"/>
  <c r="L56" i="48"/>
  <c r="K56" i="48"/>
  <c r="J56" i="48"/>
  <c r="I56" i="48"/>
  <c r="H56" i="48"/>
  <c r="G56" i="48"/>
  <c r="F56" i="48"/>
  <c r="B56" i="48"/>
  <c r="A56" i="48"/>
  <c r="N55" i="48"/>
  <c r="M55" i="48"/>
  <c r="M103" i="48" s="1"/>
  <c r="L55" i="48"/>
  <c r="K55" i="48"/>
  <c r="J55" i="48"/>
  <c r="I55" i="48"/>
  <c r="H55" i="48"/>
  <c r="G55" i="48"/>
  <c r="F55" i="48"/>
  <c r="B55" i="48"/>
  <c r="A55" i="48"/>
  <c r="N54" i="48"/>
  <c r="M54" i="48"/>
  <c r="M102" i="48" s="1"/>
  <c r="L54" i="48"/>
  <c r="K54" i="48"/>
  <c r="J54" i="48"/>
  <c r="I54" i="48"/>
  <c r="H54" i="48"/>
  <c r="G54" i="48"/>
  <c r="F54" i="48"/>
  <c r="A54" i="48"/>
  <c r="B54" i="48" s="1"/>
  <c r="N53" i="48"/>
  <c r="M53" i="48"/>
  <c r="L53" i="48"/>
  <c r="K53" i="48"/>
  <c r="J53" i="48"/>
  <c r="I53" i="48"/>
  <c r="H53" i="48"/>
  <c r="G53" i="48"/>
  <c r="F53" i="48"/>
  <c r="A53" i="48"/>
  <c r="B53" i="48" s="1"/>
  <c r="N52" i="48"/>
  <c r="M52" i="48"/>
  <c r="M100" i="48" s="1"/>
  <c r="L52" i="48"/>
  <c r="K52" i="48"/>
  <c r="J52" i="48"/>
  <c r="I52" i="48"/>
  <c r="H52" i="48"/>
  <c r="G52" i="48"/>
  <c r="F52" i="48"/>
  <c r="B52" i="48"/>
  <c r="A52" i="48"/>
  <c r="N51" i="48"/>
  <c r="M51" i="48"/>
  <c r="M99" i="48" s="1"/>
  <c r="L51" i="48"/>
  <c r="K51" i="48"/>
  <c r="J51" i="48"/>
  <c r="I51" i="48"/>
  <c r="H51" i="48"/>
  <c r="G51" i="48"/>
  <c r="F51" i="48"/>
  <c r="B51" i="48"/>
  <c r="A51" i="48"/>
  <c r="N50" i="48"/>
  <c r="M50" i="48"/>
  <c r="M98" i="48" s="1"/>
  <c r="L50" i="48"/>
  <c r="K50" i="48"/>
  <c r="J50" i="48"/>
  <c r="I50" i="48"/>
  <c r="H50" i="48"/>
  <c r="G50" i="48"/>
  <c r="F50" i="48"/>
  <c r="A50" i="48"/>
  <c r="B50" i="48" s="1"/>
  <c r="N49" i="48"/>
  <c r="M49" i="48"/>
  <c r="L49" i="48"/>
  <c r="K49" i="48"/>
  <c r="J49" i="48"/>
  <c r="I49" i="48"/>
  <c r="H49" i="48"/>
  <c r="G49" i="48"/>
  <c r="F49" i="48"/>
  <c r="A49" i="48"/>
  <c r="B49" i="48" s="1"/>
  <c r="N48" i="48"/>
  <c r="M48" i="48"/>
  <c r="L48" i="48"/>
  <c r="K48" i="48"/>
  <c r="J48" i="48"/>
  <c r="I48" i="48"/>
  <c r="H48" i="48"/>
  <c r="G48" i="48"/>
  <c r="F48" i="48"/>
  <c r="B48" i="48"/>
  <c r="A48" i="48"/>
  <c r="N47" i="48"/>
  <c r="M47" i="48"/>
  <c r="L47" i="48"/>
  <c r="K47" i="48"/>
  <c r="J47" i="48"/>
  <c r="I47" i="48"/>
  <c r="H47" i="48"/>
  <c r="G47" i="48"/>
  <c r="F47" i="48"/>
  <c r="B47" i="48"/>
  <c r="A47" i="48"/>
  <c r="N46" i="48"/>
  <c r="M46" i="48"/>
  <c r="L46" i="48"/>
  <c r="K46" i="48"/>
  <c r="J46" i="48"/>
  <c r="I46" i="48"/>
  <c r="H46" i="48"/>
  <c r="G46" i="48"/>
  <c r="F46" i="48"/>
  <c r="A46" i="48"/>
  <c r="B46" i="48" s="1"/>
  <c r="N45" i="48"/>
  <c r="M45" i="48"/>
  <c r="L45" i="48"/>
  <c r="K45" i="48"/>
  <c r="J45" i="48"/>
  <c r="I45" i="48"/>
  <c r="H45" i="48"/>
  <c r="G45" i="48"/>
  <c r="F45" i="48"/>
  <c r="A45" i="48"/>
  <c r="B45" i="48" s="1"/>
  <c r="N44" i="48"/>
  <c r="M44" i="48"/>
  <c r="L44" i="48"/>
  <c r="K44" i="48"/>
  <c r="J44" i="48"/>
  <c r="I44" i="48"/>
  <c r="H44" i="48"/>
  <c r="G44" i="48"/>
  <c r="F44" i="48"/>
  <c r="B44" i="48"/>
  <c r="A44" i="48"/>
  <c r="N43" i="48"/>
  <c r="M43" i="48"/>
  <c r="L43" i="48"/>
  <c r="K43" i="48"/>
  <c r="J43" i="48"/>
  <c r="I43" i="48"/>
  <c r="H43" i="48"/>
  <c r="G43" i="48"/>
  <c r="F43" i="48"/>
  <c r="B43" i="48"/>
  <c r="A43" i="48"/>
  <c r="N42" i="48"/>
  <c r="M42" i="48"/>
  <c r="L42" i="48"/>
  <c r="K42" i="48"/>
  <c r="J42" i="48"/>
  <c r="I42" i="48"/>
  <c r="H42" i="48"/>
  <c r="G42" i="48"/>
  <c r="F42" i="48"/>
  <c r="A42" i="48"/>
  <c r="B42" i="48" s="1"/>
  <c r="N41" i="48"/>
  <c r="M41" i="48"/>
  <c r="L41" i="48"/>
  <c r="K41" i="48"/>
  <c r="J41" i="48"/>
  <c r="I41" i="48"/>
  <c r="H41" i="48"/>
  <c r="G41" i="48"/>
  <c r="F41" i="48"/>
  <c r="A41" i="48"/>
  <c r="B41" i="48" s="1"/>
  <c r="N40" i="48"/>
  <c r="M40" i="48"/>
  <c r="L40" i="48"/>
  <c r="K40" i="48"/>
  <c r="J40" i="48"/>
  <c r="I40" i="48"/>
  <c r="H40" i="48"/>
  <c r="G40" i="48"/>
  <c r="F40" i="48"/>
  <c r="B40" i="48"/>
  <c r="A40" i="48"/>
  <c r="N39" i="48"/>
  <c r="M39" i="48"/>
  <c r="L39" i="48"/>
  <c r="K39" i="48"/>
  <c r="J39" i="48"/>
  <c r="I39" i="48"/>
  <c r="H39" i="48"/>
  <c r="G39" i="48"/>
  <c r="F39" i="48"/>
  <c r="B39" i="48"/>
  <c r="A39" i="48"/>
  <c r="N38" i="48"/>
  <c r="M38" i="48"/>
  <c r="L38" i="48"/>
  <c r="K38" i="48"/>
  <c r="J38" i="48"/>
  <c r="I38" i="48"/>
  <c r="H38" i="48"/>
  <c r="G38" i="48"/>
  <c r="F38" i="48"/>
  <c r="A38" i="48"/>
  <c r="B38" i="48" s="1"/>
  <c r="N37" i="48"/>
  <c r="M37" i="48"/>
  <c r="L37" i="48"/>
  <c r="K37" i="48"/>
  <c r="J37" i="48"/>
  <c r="I37" i="48"/>
  <c r="H37" i="48"/>
  <c r="G37" i="48"/>
  <c r="F37" i="48"/>
  <c r="A37" i="48"/>
  <c r="B37" i="48" s="1"/>
  <c r="N36" i="48"/>
  <c r="M36" i="48"/>
  <c r="L36" i="48"/>
  <c r="K36" i="48"/>
  <c r="J36" i="48"/>
  <c r="I36" i="48"/>
  <c r="H36" i="48"/>
  <c r="G36" i="48"/>
  <c r="F36" i="48"/>
  <c r="B36" i="48"/>
  <c r="A36" i="48"/>
  <c r="N35" i="48"/>
  <c r="M35" i="48"/>
  <c r="L35" i="48"/>
  <c r="K35" i="48"/>
  <c r="J35" i="48"/>
  <c r="I35" i="48"/>
  <c r="H35" i="48"/>
  <c r="G35" i="48"/>
  <c r="F35" i="48"/>
  <c r="B35" i="48"/>
  <c r="A35" i="48"/>
  <c r="N34" i="48"/>
  <c r="M34" i="48"/>
  <c r="L34" i="48"/>
  <c r="K34" i="48"/>
  <c r="J34" i="48"/>
  <c r="I34" i="48"/>
  <c r="H34" i="48"/>
  <c r="G34" i="48"/>
  <c r="F34" i="48"/>
  <c r="A34" i="48"/>
  <c r="B34" i="48" s="1"/>
  <c r="N33" i="48"/>
  <c r="M33" i="48"/>
  <c r="L33" i="48"/>
  <c r="K33" i="48"/>
  <c r="J33" i="48"/>
  <c r="I33" i="48"/>
  <c r="H33" i="48"/>
  <c r="G33" i="48"/>
  <c r="F33" i="48"/>
  <c r="A33" i="48"/>
  <c r="B33" i="48" s="1"/>
  <c r="N32" i="48"/>
  <c r="M32" i="48"/>
  <c r="L32" i="48"/>
  <c r="K32" i="48"/>
  <c r="J32" i="48"/>
  <c r="I32" i="48"/>
  <c r="H32" i="48"/>
  <c r="G32" i="48"/>
  <c r="F32" i="48"/>
  <c r="B32" i="48"/>
  <c r="A32" i="48"/>
  <c r="N31" i="48"/>
  <c r="M31" i="48"/>
  <c r="L31" i="48"/>
  <c r="K31" i="48"/>
  <c r="J31" i="48"/>
  <c r="I31" i="48"/>
  <c r="H31" i="48"/>
  <c r="G31" i="48"/>
  <c r="F31" i="48"/>
  <c r="B31" i="48"/>
  <c r="A31" i="48"/>
  <c r="N30" i="48"/>
  <c r="M30" i="48"/>
  <c r="L30" i="48"/>
  <c r="K30" i="48"/>
  <c r="J30" i="48"/>
  <c r="I30" i="48"/>
  <c r="H30" i="48"/>
  <c r="G30" i="48"/>
  <c r="F30" i="48"/>
  <c r="A30" i="48"/>
  <c r="B30" i="48" s="1"/>
  <c r="N29" i="48"/>
  <c r="M29" i="48"/>
  <c r="L29" i="48"/>
  <c r="K29" i="48"/>
  <c r="J29" i="48"/>
  <c r="I29" i="48"/>
  <c r="H29" i="48"/>
  <c r="G29" i="48"/>
  <c r="F29" i="48"/>
  <c r="A29" i="48"/>
  <c r="B29" i="48" s="1"/>
  <c r="N28" i="48"/>
  <c r="M28" i="48"/>
  <c r="L28" i="48"/>
  <c r="K28" i="48"/>
  <c r="J28" i="48"/>
  <c r="I28" i="48"/>
  <c r="H28" i="48"/>
  <c r="G28" i="48"/>
  <c r="F28" i="48"/>
  <c r="B28" i="48"/>
  <c r="A28" i="48"/>
  <c r="N27" i="48"/>
  <c r="M27" i="48"/>
  <c r="L27" i="48"/>
  <c r="K27" i="48"/>
  <c r="J27" i="48"/>
  <c r="I27" i="48"/>
  <c r="H27" i="48"/>
  <c r="G27" i="48"/>
  <c r="F27" i="48"/>
  <c r="B27" i="48"/>
  <c r="A27" i="48"/>
  <c r="N26" i="48"/>
  <c r="M26" i="48"/>
  <c r="L26" i="48"/>
  <c r="K26" i="48"/>
  <c r="J26" i="48"/>
  <c r="I26" i="48"/>
  <c r="H26" i="48"/>
  <c r="G26" i="48"/>
  <c r="F26" i="48"/>
  <c r="A26" i="48"/>
  <c r="B26" i="48" s="1"/>
  <c r="N25" i="48"/>
  <c r="M25" i="48"/>
  <c r="L25" i="48"/>
  <c r="K25" i="48"/>
  <c r="J25" i="48"/>
  <c r="I25" i="48"/>
  <c r="H25" i="48"/>
  <c r="G25" i="48"/>
  <c r="F25" i="48"/>
  <c r="A25" i="48"/>
  <c r="B25" i="48" s="1"/>
  <c r="N24" i="48"/>
  <c r="M24" i="48"/>
  <c r="L24" i="48"/>
  <c r="K24" i="48"/>
  <c r="J24" i="48"/>
  <c r="I24" i="48"/>
  <c r="H24" i="48"/>
  <c r="G24" i="48"/>
  <c r="F24" i="48"/>
  <c r="B24" i="48"/>
  <c r="A24" i="48"/>
  <c r="N23" i="48"/>
  <c r="M23" i="48"/>
  <c r="L23" i="48"/>
  <c r="K23" i="48"/>
  <c r="J23" i="48"/>
  <c r="I23" i="48"/>
  <c r="H23" i="48"/>
  <c r="G23" i="48"/>
  <c r="F23" i="48"/>
  <c r="B23" i="48"/>
  <c r="A23" i="48"/>
  <c r="N22" i="48"/>
  <c r="M22" i="48"/>
  <c r="L22" i="48"/>
  <c r="K22" i="48"/>
  <c r="J22" i="48"/>
  <c r="I22" i="48"/>
  <c r="H22" i="48"/>
  <c r="G22" i="48"/>
  <c r="F22" i="48"/>
  <c r="A22" i="48"/>
  <c r="B22" i="48" s="1"/>
  <c r="N21" i="48"/>
  <c r="M21" i="48"/>
  <c r="L21" i="48"/>
  <c r="K21" i="48"/>
  <c r="J21" i="48"/>
  <c r="I21" i="48"/>
  <c r="H21" i="48"/>
  <c r="G21" i="48"/>
  <c r="F21" i="48"/>
  <c r="A21" i="48"/>
  <c r="B21" i="48" s="1"/>
  <c r="N20" i="48"/>
  <c r="M20" i="48"/>
  <c r="L20" i="48"/>
  <c r="K20" i="48"/>
  <c r="J20" i="48"/>
  <c r="I20" i="48"/>
  <c r="H20" i="48"/>
  <c r="G20" i="48"/>
  <c r="F20" i="48"/>
  <c r="B20" i="48"/>
  <c r="A20" i="48"/>
  <c r="N19" i="48"/>
  <c r="M19" i="48"/>
  <c r="L19" i="48"/>
  <c r="K19" i="48"/>
  <c r="J19" i="48"/>
  <c r="I19" i="48"/>
  <c r="H19" i="48"/>
  <c r="G19" i="48"/>
  <c r="F19" i="48"/>
  <c r="B19" i="48"/>
  <c r="A19" i="48"/>
  <c r="N18" i="48"/>
  <c r="M18" i="48"/>
  <c r="L18" i="48"/>
  <c r="K18" i="48"/>
  <c r="J18" i="48"/>
  <c r="I18" i="48"/>
  <c r="H18" i="48"/>
  <c r="G18" i="48"/>
  <c r="F18" i="48"/>
  <c r="A18" i="48"/>
  <c r="B18" i="48" s="1"/>
  <c r="N17" i="48"/>
  <c r="M17" i="48"/>
  <c r="L17" i="48"/>
  <c r="K17" i="48"/>
  <c r="J17" i="48"/>
  <c r="I17" i="48"/>
  <c r="H17" i="48"/>
  <c r="G17" i="48"/>
  <c r="F17" i="48"/>
  <c r="A17" i="48"/>
  <c r="B17" i="48" s="1"/>
  <c r="N16" i="48"/>
  <c r="M16" i="48"/>
  <c r="L16" i="48"/>
  <c r="K16" i="48"/>
  <c r="J16" i="48"/>
  <c r="I16" i="48"/>
  <c r="H16" i="48"/>
  <c r="G16" i="48"/>
  <c r="F16" i="48"/>
  <c r="B16" i="48"/>
  <c r="A16" i="48"/>
  <c r="N15" i="48"/>
  <c r="M15" i="48"/>
  <c r="L15" i="48"/>
  <c r="K15" i="48"/>
  <c r="J15" i="48"/>
  <c r="I15" i="48"/>
  <c r="H15" i="48"/>
  <c r="G15" i="48"/>
  <c r="F15" i="48"/>
  <c r="B15" i="48"/>
  <c r="A15" i="48"/>
  <c r="N14" i="48"/>
  <c r="M14" i="48"/>
  <c r="L14" i="48"/>
  <c r="K14" i="48"/>
  <c r="J14" i="48"/>
  <c r="I14" i="48"/>
  <c r="H14" i="48"/>
  <c r="G14" i="48"/>
  <c r="F14" i="48"/>
  <c r="A14" i="48"/>
  <c r="B14" i="48" s="1"/>
  <c r="N13" i="48"/>
  <c r="M13" i="48"/>
  <c r="L13" i="48"/>
  <c r="K13" i="48"/>
  <c r="J13" i="48"/>
  <c r="I13" i="48"/>
  <c r="H13" i="48"/>
  <c r="G13" i="48"/>
  <c r="F13" i="48"/>
  <c r="B13" i="48"/>
  <c r="A13" i="48"/>
  <c r="N12" i="48"/>
  <c r="M12" i="48"/>
  <c r="L12" i="48"/>
  <c r="K12" i="48"/>
  <c r="J12" i="48"/>
  <c r="I12" i="48"/>
  <c r="H12" i="48"/>
  <c r="G12" i="48"/>
  <c r="F12" i="48"/>
  <c r="B12" i="48"/>
  <c r="A12" i="48"/>
  <c r="N11" i="48"/>
  <c r="M11" i="48"/>
  <c r="L11" i="48"/>
  <c r="K11" i="48"/>
  <c r="J11" i="48"/>
  <c r="I11" i="48"/>
  <c r="H11" i="48"/>
  <c r="G11" i="48"/>
  <c r="F11" i="48"/>
  <c r="B11" i="48"/>
  <c r="A11" i="48"/>
  <c r="N10" i="48"/>
  <c r="M10" i="48"/>
  <c r="L10" i="48"/>
  <c r="K10" i="48"/>
  <c r="J10" i="48"/>
  <c r="I10" i="48"/>
  <c r="H10" i="48"/>
  <c r="G10" i="48"/>
  <c r="F10" i="48"/>
  <c r="A10" i="48"/>
  <c r="B10" i="48" s="1"/>
  <c r="N9" i="48"/>
  <c r="M9" i="48"/>
  <c r="L9" i="48"/>
  <c r="K9" i="48"/>
  <c r="J9" i="48"/>
  <c r="I9" i="48"/>
  <c r="H9" i="48"/>
  <c r="G9" i="48"/>
  <c r="F9" i="48"/>
  <c r="A9" i="48"/>
  <c r="B9" i="48" s="1"/>
  <c r="N8" i="48"/>
  <c r="M8" i="48"/>
  <c r="L8" i="48"/>
  <c r="K8" i="48"/>
  <c r="J8" i="48"/>
  <c r="I8" i="48"/>
  <c r="H8" i="48"/>
  <c r="G8" i="48"/>
  <c r="F8" i="48"/>
  <c r="B8" i="48"/>
  <c r="A8" i="48"/>
  <c r="N7" i="48"/>
  <c r="M7" i="48"/>
  <c r="L7" i="48"/>
  <c r="K7" i="48"/>
  <c r="J7" i="48"/>
  <c r="I7" i="48"/>
  <c r="H7" i="48"/>
  <c r="G7" i="48"/>
  <c r="F7" i="48"/>
  <c r="B7" i="48"/>
  <c r="A7" i="48"/>
  <c r="N6" i="48"/>
  <c r="M6" i="48"/>
  <c r="L6" i="48"/>
  <c r="K6" i="48"/>
  <c r="J6" i="48"/>
  <c r="I6" i="48"/>
  <c r="H6" i="48"/>
  <c r="G6" i="48"/>
  <c r="F6" i="48"/>
  <c r="A6" i="48"/>
  <c r="B6" i="48" s="1"/>
  <c r="N5" i="48"/>
  <c r="M5" i="48"/>
  <c r="L5" i="48"/>
  <c r="K5" i="48"/>
  <c r="J5" i="48"/>
  <c r="I5" i="48"/>
  <c r="H5" i="48"/>
  <c r="G5" i="48"/>
  <c r="F5" i="48"/>
  <c r="A5" i="48"/>
  <c r="B5" i="48" s="1"/>
  <c r="N4" i="48"/>
  <c r="M4" i="48"/>
  <c r="L4" i="48"/>
  <c r="K4" i="48"/>
  <c r="J4" i="48"/>
  <c r="I4" i="48"/>
  <c r="H4" i="48"/>
  <c r="G4" i="48"/>
  <c r="F4" i="48"/>
  <c r="B4" i="48"/>
  <c r="A4" i="48"/>
  <c r="N3" i="48"/>
  <c r="M3" i="48"/>
  <c r="L3" i="48"/>
  <c r="K3" i="48"/>
  <c r="J3" i="48"/>
  <c r="I3" i="48"/>
  <c r="H3" i="48"/>
  <c r="G3" i="48"/>
  <c r="F3" i="48"/>
  <c r="B3" i="48"/>
  <c r="A3" i="48"/>
  <c r="N2" i="48"/>
  <c r="M2" i="48"/>
  <c r="L2" i="48"/>
  <c r="K2" i="48"/>
  <c r="J2" i="48"/>
  <c r="I2" i="48"/>
  <c r="H2" i="48"/>
  <c r="G2" i="48"/>
  <c r="F2" i="48"/>
  <c r="A2" i="48"/>
  <c r="B2" i="48" s="1"/>
  <c r="X1" i="48"/>
  <c r="T1" i="48"/>
  <c r="N1" i="48"/>
  <c r="AA1" i="48" s="1"/>
  <c r="M1" i="48"/>
  <c r="Z1" i="48" s="1"/>
  <c r="L1" i="48"/>
  <c r="Y1" i="48" s="1"/>
  <c r="K1" i="48"/>
  <c r="J1" i="48"/>
  <c r="W1" i="48" s="1"/>
  <c r="I1" i="48"/>
  <c r="V1" i="48" s="1"/>
  <c r="H1" i="48"/>
  <c r="U1" i="48" s="1"/>
  <c r="G1" i="48"/>
  <c r="F1" i="48"/>
  <c r="S1" i="48" s="1"/>
  <c r="E1" i="48"/>
  <c r="R1" i="48" s="1"/>
  <c r="D1" i="48"/>
  <c r="Q1" i="48" s="1"/>
  <c r="C1" i="48"/>
  <c r="C12" i="20"/>
  <c r="I125" i="49" l="1"/>
  <c r="I114" i="49"/>
  <c r="E143" i="49"/>
  <c r="G112" i="49"/>
  <c r="I110" i="49"/>
  <c r="G98" i="49"/>
  <c r="G119" i="49"/>
  <c r="G115" i="49"/>
  <c r="E137" i="49"/>
  <c r="I121" i="49"/>
  <c r="I117" i="49"/>
  <c r="H145" i="49"/>
  <c r="H134" i="49"/>
  <c r="G99" i="49"/>
  <c r="I118" i="49"/>
  <c r="E145" i="49"/>
  <c r="G137" i="49"/>
  <c r="G126" i="49"/>
  <c r="G129" i="49"/>
  <c r="G118" i="49"/>
  <c r="G120" i="49"/>
  <c r="G133" i="49"/>
  <c r="H124" i="49"/>
  <c r="H128" i="49"/>
  <c r="H131" i="49"/>
  <c r="G104" i="49"/>
  <c r="H142" i="49"/>
  <c r="E129" i="49"/>
  <c r="I135" i="49"/>
  <c r="I124" i="49"/>
  <c r="I139" i="49"/>
  <c r="I128" i="49"/>
  <c r="I131" i="49"/>
  <c r="E135" i="49"/>
  <c r="E139" i="49"/>
  <c r="I120" i="49"/>
  <c r="H135" i="49"/>
  <c r="E136" i="49"/>
  <c r="H139" i="49"/>
  <c r="E140" i="49"/>
  <c r="E142" i="49"/>
  <c r="H138" i="49"/>
  <c r="E144" i="49"/>
  <c r="H137" i="49"/>
  <c r="E138" i="49"/>
  <c r="H141" i="49"/>
  <c r="H132" i="49"/>
  <c r="M138" i="48"/>
  <c r="J126" i="48"/>
  <c r="H135" i="48"/>
  <c r="M129" i="48"/>
  <c r="H117" i="48"/>
  <c r="M110" i="48"/>
  <c r="J119" i="48"/>
  <c r="H121" i="48"/>
  <c r="K114" i="48"/>
  <c r="H120" i="48"/>
  <c r="F131" i="48"/>
  <c r="I102" i="48"/>
  <c r="J125" i="48"/>
  <c r="M105" i="48"/>
  <c r="M113" i="48"/>
  <c r="M122" i="48"/>
  <c r="H128" i="48"/>
  <c r="K99" i="48"/>
  <c r="I117" i="48"/>
  <c r="I128" i="48"/>
  <c r="F130" i="48"/>
  <c r="M114" i="48"/>
  <c r="M121" i="48"/>
  <c r="H98" i="48"/>
  <c r="J100" i="48"/>
  <c r="I101" i="48"/>
  <c r="M137" i="48"/>
  <c r="K104" i="48"/>
  <c r="J120" i="48"/>
  <c r="J110" i="48"/>
  <c r="H112" i="48"/>
  <c r="K115" i="48"/>
  <c r="J117" i="48"/>
  <c r="J118" i="48"/>
  <c r="F122" i="48"/>
  <c r="M117" i="48"/>
  <c r="K130" i="48"/>
  <c r="F138" i="48"/>
  <c r="J128" i="48"/>
  <c r="H115" i="48"/>
  <c r="I120" i="48"/>
  <c r="F129" i="48"/>
  <c r="H137" i="48"/>
  <c r="M118" i="48"/>
  <c r="M125" i="48"/>
  <c r="I110" i="48"/>
  <c r="K124" i="48"/>
  <c r="H102" i="48"/>
  <c r="I103" i="48"/>
  <c r="H130" i="48"/>
  <c r="I131" i="48"/>
  <c r="K109" i="48"/>
  <c r="I112" i="48"/>
  <c r="M109" i="48"/>
  <c r="K110" i="48"/>
  <c r="M126" i="48"/>
  <c r="I135" i="48"/>
  <c r="K137" i="48"/>
  <c r="I106" i="48"/>
  <c r="M142" i="48"/>
  <c r="K108" i="48"/>
  <c r="H107" i="48"/>
  <c r="I121" i="48"/>
  <c r="J135" i="48"/>
  <c r="K141" i="48"/>
  <c r="K119" i="48"/>
  <c r="J109" i="48"/>
  <c r="F137" i="48"/>
  <c r="F140" i="48"/>
  <c r="F135" i="48"/>
  <c r="F139" i="48"/>
  <c r="F132" i="48"/>
  <c r="E141" i="49" l="1"/>
  <c r="H136" i="49"/>
  <c r="I122" i="49"/>
  <c r="G124" i="49"/>
  <c r="I143" i="49"/>
  <c r="I140" i="49"/>
  <c r="G116" i="49"/>
  <c r="H140" i="49"/>
  <c r="G132" i="49"/>
  <c r="G141" i="49"/>
  <c r="G131" i="49"/>
  <c r="I126" i="49"/>
  <c r="H143" i="49"/>
  <c r="G138" i="49"/>
  <c r="I130" i="49"/>
  <c r="I129" i="49"/>
  <c r="G110" i="49"/>
  <c r="I137" i="49"/>
  <c r="H144" i="49"/>
  <c r="I132" i="49"/>
  <c r="I136" i="49"/>
  <c r="G145" i="49"/>
  <c r="G130" i="49"/>
  <c r="G111" i="49"/>
  <c r="I133" i="49"/>
  <c r="G127" i="49"/>
  <c r="I133" i="48"/>
  <c r="I124" i="48"/>
  <c r="K121" i="48"/>
  <c r="I132" i="48"/>
  <c r="J140" i="48"/>
  <c r="H140" i="48"/>
  <c r="F143" i="48"/>
  <c r="J131" i="48"/>
  <c r="K131" i="48"/>
  <c r="K120" i="48"/>
  <c r="I118" i="48"/>
  <c r="H142" i="48"/>
  <c r="K136" i="48"/>
  <c r="J132" i="48"/>
  <c r="H110" i="48"/>
  <c r="H127" i="48"/>
  <c r="J130" i="48"/>
  <c r="K127" i="48"/>
  <c r="J122" i="48"/>
  <c r="I140" i="48"/>
  <c r="J137" i="48"/>
  <c r="H132" i="48"/>
  <c r="H133" i="48"/>
  <c r="K142" i="48"/>
  <c r="J129" i="48"/>
  <c r="H124" i="48"/>
  <c r="K116" i="48"/>
  <c r="F142" i="48"/>
  <c r="I114" i="48"/>
  <c r="J138" i="48"/>
  <c r="H119" i="48"/>
  <c r="K122" i="48"/>
  <c r="H114" i="48"/>
  <c r="F144" i="48"/>
  <c r="J121" i="48"/>
  <c r="I143" i="48"/>
  <c r="I115" i="48"/>
  <c r="I122" i="48"/>
  <c r="F141" i="48"/>
  <c r="F134" i="48"/>
  <c r="I113" i="48"/>
  <c r="J112" i="48"/>
  <c r="I129" i="48"/>
  <c r="K111" i="48"/>
  <c r="K126" i="48"/>
  <c r="H129" i="48"/>
  <c r="G123" i="49" l="1"/>
  <c r="I144" i="49"/>
  <c r="G139" i="49"/>
  <c r="I141" i="49"/>
  <c r="I138" i="49"/>
  <c r="G136" i="49"/>
  <c r="I145" i="49"/>
  <c r="G142" i="49"/>
  <c r="G122" i="49"/>
  <c r="I142" i="49"/>
  <c r="G143" i="49"/>
  <c r="G144" i="49"/>
  <c r="G128" i="49"/>
  <c r="I134" i="49"/>
  <c r="K123" i="48"/>
  <c r="H139" i="48"/>
  <c r="K134" i="48"/>
  <c r="H136" i="48"/>
  <c r="J144" i="48"/>
  <c r="K132" i="48"/>
  <c r="I144" i="48"/>
  <c r="H131" i="48"/>
  <c r="J134" i="48"/>
  <c r="I136" i="48"/>
  <c r="H141" i="48"/>
  <c r="J124" i="48"/>
  <c r="I134" i="48"/>
  <c r="H144" i="48"/>
  <c r="K139" i="48"/>
  <c r="J143" i="48"/>
  <c r="I125" i="48"/>
  <c r="K138" i="48"/>
  <c r="I141" i="48"/>
  <c r="I127" i="48"/>
  <c r="J133" i="48"/>
  <c r="H126" i="48"/>
  <c r="I126" i="48"/>
  <c r="K128" i="48"/>
  <c r="J141" i="48"/>
  <c r="H145" i="48"/>
  <c r="J142" i="48"/>
  <c r="H122" i="48"/>
  <c r="I130" i="48"/>
  <c r="K143" i="48"/>
  <c r="K133" i="48"/>
  <c r="I145" i="48"/>
  <c r="G140" i="49" l="1"/>
  <c r="G134" i="49"/>
  <c r="G135" i="49"/>
  <c r="K144" i="48"/>
  <c r="H134" i="48"/>
  <c r="K140" i="48"/>
  <c r="H138" i="48"/>
  <c r="I139" i="48"/>
  <c r="J136" i="48"/>
  <c r="K145" i="48"/>
  <c r="K135" i="48"/>
  <c r="H143" i="48"/>
  <c r="I142" i="48"/>
  <c r="I138" i="48"/>
  <c r="J145" i="48"/>
  <c r="I137" i="48"/>
  <c r="U5" i="34" l="1"/>
  <c r="BM16" i="34"/>
  <c r="BM15" i="34"/>
  <c r="BM14" i="34"/>
  <c r="BD16" i="34"/>
  <c r="BD15" i="34"/>
  <c r="BD14" i="34"/>
  <c r="AT15" i="34"/>
  <c r="AT14" i="34"/>
  <c r="AJ16" i="34"/>
  <c r="AJ15" i="34"/>
  <c r="AJ14" i="34"/>
  <c r="AA14" i="34"/>
  <c r="AA16" i="34"/>
  <c r="AA15" i="34"/>
  <c r="Q16" i="34"/>
  <c r="Q15" i="34"/>
  <c r="Q14" i="34"/>
  <c r="H14" i="34"/>
  <c r="H16" i="34"/>
  <c r="H15" i="34"/>
  <c r="D31" i="33"/>
  <c r="E31" i="33"/>
  <c r="F31" i="33"/>
  <c r="G31" i="33"/>
  <c r="H31" i="33"/>
  <c r="I31" i="33"/>
  <c r="D32" i="33"/>
  <c r="E32" i="33"/>
  <c r="F32" i="33"/>
  <c r="G32" i="33"/>
  <c r="H32" i="33"/>
  <c r="I32" i="33"/>
  <c r="D33" i="33"/>
  <c r="E33" i="33"/>
  <c r="F33" i="33"/>
  <c r="G33" i="33"/>
  <c r="H33" i="33"/>
  <c r="I33" i="33"/>
  <c r="D34" i="33"/>
  <c r="E34" i="33"/>
  <c r="F34" i="33"/>
  <c r="G34" i="33"/>
  <c r="H34" i="33"/>
  <c r="I34" i="33"/>
  <c r="D35" i="33"/>
  <c r="E35" i="33"/>
  <c r="F35" i="33"/>
  <c r="G35" i="33"/>
  <c r="H35" i="33"/>
  <c r="I35" i="33"/>
  <c r="D36" i="33"/>
  <c r="E36" i="33"/>
  <c r="F36" i="33"/>
  <c r="G36" i="33"/>
  <c r="H36" i="33"/>
  <c r="I36" i="33"/>
  <c r="D37" i="33"/>
  <c r="E37" i="33"/>
  <c r="F37" i="33"/>
  <c r="G37" i="33"/>
  <c r="H37" i="33"/>
  <c r="I37" i="33"/>
  <c r="C36" i="33"/>
  <c r="C35" i="33"/>
  <c r="C34" i="33"/>
  <c r="C33" i="33"/>
  <c r="C32" i="33"/>
  <c r="C31" i="33"/>
  <c r="B22" i="39"/>
  <c r="H22" i="39"/>
  <c r="N22" i="39"/>
  <c r="T22" i="39"/>
  <c r="Z22" i="39"/>
  <c r="AF22" i="39"/>
  <c r="AL22" i="39"/>
  <c r="B23" i="39"/>
  <c r="H23" i="39"/>
  <c r="N23" i="39"/>
  <c r="T23" i="39"/>
  <c r="Z23" i="39"/>
  <c r="AF23" i="39"/>
  <c r="AL23" i="39"/>
  <c r="B24" i="39"/>
  <c r="H24" i="39"/>
  <c r="N24" i="39"/>
  <c r="T24" i="39"/>
  <c r="Z24" i="39"/>
  <c r="AF24" i="39"/>
  <c r="AL24" i="39"/>
  <c r="I14" i="39"/>
  <c r="C6" i="39"/>
  <c r="D6" i="39"/>
  <c r="C7" i="39"/>
  <c r="D7" i="39"/>
  <c r="C8" i="39"/>
  <c r="D8" i="39"/>
  <c r="C9" i="39"/>
  <c r="D9" i="39"/>
  <c r="C10" i="39"/>
  <c r="D10" i="39"/>
  <c r="C11" i="39"/>
  <c r="D11" i="39"/>
  <c r="C12" i="39"/>
  <c r="D12" i="39"/>
  <c r="C13" i="39"/>
  <c r="D13" i="39"/>
  <c r="C14" i="39"/>
  <c r="D14" i="39"/>
  <c r="D5" i="39"/>
  <c r="C5" i="39"/>
  <c r="N10" i="39"/>
  <c r="T10" i="39" s="1"/>
  <c r="Z10" i="39" s="1"/>
  <c r="AB10" i="39" s="1"/>
  <c r="N6" i="39"/>
  <c r="T6" i="39" s="1"/>
  <c r="Z6" i="39" s="1"/>
  <c r="AB6" i="39" s="1"/>
  <c r="H6" i="39"/>
  <c r="J6" i="39" s="1"/>
  <c r="H7" i="39"/>
  <c r="N7" i="39" s="1"/>
  <c r="T7" i="39" s="1"/>
  <c r="Z7" i="39" s="1"/>
  <c r="AB7" i="39" s="1"/>
  <c r="H8" i="39"/>
  <c r="N8" i="39" s="1"/>
  <c r="T8" i="39" s="1"/>
  <c r="Z8" i="39" s="1"/>
  <c r="AB8" i="39" s="1"/>
  <c r="H9" i="39"/>
  <c r="N9" i="39" s="1"/>
  <c r="T9" i="39" s="1"/>
  <c r="Z9" i="39" s="1"/>
  <c r="AB9" i="39" s="1"/>
  <c r="H10" i="39"/>
  <c r="J10" i="39" s="1"/>
  <c r="H11" i="39"/>
  <c r="N11" i="39" s="1"/>
  <c r="T11" i="39" s="1"/>
  <c r="Z11" i="39" s="1"/>
  <c r="AB11" i="39" s="1"/>
  <c r="H12" i="39"/>
  <c r="N12" i="39" s="1"/>
  <c r="T12" i="39" s="1"/>
  <c r="Z12" i="39" s="1"/>
  <c r="AB12" i="39" s="1"/>
  <c r="H13" i="39"/>
  <c r="N13" i="39" s="1"/>
  <c r="T13" i="39" s="1"/>
  <c r="Z13" i="39" s="1"/>
  <c r="AB13" i="39" s="1"/>
  <c r="H14" i="39"/>
  <c r="J14" i="39" s="1"/>
  <c r="H5" i="39"/>
  <c r="N5" i="39" s="1"/>
  <c r="T5" i="39" s="1"/>
  <c r="Z5" i="39" s="1"/>
  <c r="AB5" i="39" s="1"/>
  <c r="G5" i="19"/>
  <c r="G6" i="19"/>
  <c r="G7" i="19"/>
  <c r="X7" i="40" s="1"/>
  <c r="G8" i="19"/>
  <c r="G9" i="19"/>
  <c r="D31" i="21" s="1"/>
  <c r="G10" i="19"/>
  <c r="G11" i="19"/>
  <c r="G12" i="19"/>
  <c r="G13" i="19"/>
  <c r="H31" i="21" s="1"/>
  <c r="G14" i="19"/>
  <c r="X14" i="40"/>
  <c r="X6" i="40"/>
  <c r="X8" i="40"/>
  <c r="X10" i="40"/>
  <c r="X11" i="40"/>
  <c r="X12" i="40"/>
  <c r="X5" i="40"/>
  <c r="E31" i="21"/>
  <c r="F31" i="21"/>
  <c r="G31" i="21"/>
  <c r="I31" i="21"/>
  <c r="C31" i="21"/>
  <c r="D5" i="19"/>
  <c r="C5" i="19"/>
  <c r="AR99" i="1"/>
  <c r="N14" i="39" l="1"/>
  <c r="T14" i="39" s="1"/>
  <c r="Z14" i="39" s="1"/>
  <c r="AA14" i="39" s="1"/>
  <c r="I6" i="39"/>
  <c r="I10" i="39"/>
  <c r="I8" i="39"/>
  <c r="O6" i="39"/>
  <c r="O8" i="39"/>
  <c r="O10" i="39"/>
  <c r="O12" i="39"/>
  <c r="O14" i="39"/>
  <c r="V7" i="39"/>
  <c r="V11" i="39"/>
  <c r="AA5" i="39"/>
  <c r="AA7" i="39"/>
  <c r="AA9" i="39"/>
  <c r="AA11" i="39"/>
  <c r="AA13" i="39"/>
  <c r="J8" i="39"/>
  <c r="J12" i="39"/>
  <c r="P6" i="39"/>
  <c r="P8" i="39"/>
  <c r="P10" i="39"/>
  <c r="P12" i="39"/>
  <c r="P14" i="39"/>
  <c r="V8" i="39"/>
  <c r="V12" i="39"/>
  <c r="I12" i="39"/>
  <c r="I5" i="39"/>
  <c r="I7" i="39"/>
  <c r="I9" i="39"/>
  <c r="I11" i="39"/>
  <c r="I13" i="39"/>
  <c r="O5" i="39"/>
  <c r="O7" i="39"/>
  <c r="O9" i="39"/>
  <c r="O11" i="39"/>
  <c r="O13" i="39"/>
  <c r="V5" i="39"/>
  <c r="V9" i="39"/>
  <c r="V13" i="39"/>
  <c r="AA6" i="39"/>
  <c r="AA8" i="39"/>
  <c r="AA10" i="39"/>
  <c r="AA12" i="39"/>
  <c r="AB14" i="39"/>
  <c r="J5" i="39"/>
  <c r="J7" i="39"/>
  <c r="J9" i="39"/>
  <c r="J11" i="39"/>
  <c r="J13" i="39"/>
  <c r="P5" i="39"/>
  <c r="P7" i="39"/>
  <c r="P9" i="39"/>
  <c r="P11" i="39"/>
  <c r="P13" i="39"/>
  <c r="V6" i="39"/>
  <c r="V10" i="39"/>
  <c r="V14" i="39"/>
  <c r="X13" i="40"/>
  <c r="X9" i="40"/>
  <c r="AF5" i="40"/>
  <c r="AS6" i="40"/>
  <c r="AS7" i="40"/>
  <c r="AS10" i="40"/>
  <c r="AS11" i="40"/>
  <c r="AS14" i="40"/>
  <c r="AS5" i="40"/>
  <c r="AT5" i="40" s="1"/>
  <c r="AL8" i="40"/>
  <c r="AL9" i="40"/>
  <c r="AL12" i="40"/>
  <c r="AL13" i="40"/>
  <c r="AE6" i="40"/>
  <c r="AF6" i="40" s="1"/>
  <c r="AE7" i="40"/>
  <c r="AF7" i="40" s="1"/>
  <c r="AE10" i="40"/>
  <c r="AF10" i="40" s="1"/>
  <c r="AE11" i="40"/>
  <c r="AF11" i="40" s="1"/>
  <c r="AE14" i="40"/>
  <c r="AF14" i="40" s="1"/>
  <c r="AE5" i="40"/>
  <c r="O33" i="19"/>
  <c r="O32" i="19"/>
  <c r="O31" i="19"/>
  <c r="O30" i="19"/>
  <c r="O29" i="19"/>
  <c r="O28" i="19"/>
  <c r="O27" i="19"/>
  <c r="O26" i="19"/>
  <c r="O25" i="19"/>
  <c r="O24" i="19"/>
  <c r="R23" i="19"/>
  <c r="Q23" i="19"/>
  <c r="P23" i="19"/>
  <c r="R22" i="19"/>
  <c r="Q22" i="19"/>
  <c r="P22" i="19"/>
  <c r="E22" i="19"/>
  <c r="E23" i="19"/>
  <c r="D22" i="19"/>
  <c r="D23" i="19"/>
  <c r="C23" i="19"/>
  <c r="C22" i="19"/>
  <c r="B25" i="19"/>
  <c r="B26" i="19"/>
  <c r="B27" i="19"/>
  <c r="B28" i="19"/>
  <c r="B29" i="19"/>
  <c r="B30" i="19"/>
  <c r="B31" i="19"/>
  <c r="B32" i="19"/>
  <c r="B33" i="19"/>
  <c r="B24" i="19"/>
  <c r="C25" i="20"/>
  <c r="AC6" i="19"/>
  <c r="AZ6" i="40" s="1"/>
  <c r="AC7" i="19"/>
  <c r="AZ7" i="40" s="1"/>
  <c r="AC8" i="19"/>
  <c r="C35" i="21" s="1"/>
  <c r="AC9" i="19"/>
  <c r="D35" i="21" s="1"/>
  <c r="AC10" i="19"/>
  <c r="E35" i="21" s="1"/>
  <c r="AC11" i="19"/>
  <c r="F35" i="21" s="1"/>
  <c r="AC12" i="19"/>
  <c r="G35" i="21" s="1"/>
  <c r="AC13" i="19"/>
  <c r="H35" i="21" s="1"/>
  <c r="AC14" i="19"/>
  <c r="I35" i="21" s="1"/>
  <c r="AC5" i="19"/>
  <c r="AZ5" i="40" s="1"/>
  <c r="W6" i="19"/>
  <c r="W7" i="19"/>
  <c r="W8" i="19"/>
  <c r="AS8" i="40" s="1"/>
  <c r="W9" i="19"/>
  <c r="AS9" i="40" s="1"/>
  <c r="W10" i="19"/>
  <c r="W11" i="19"/>
  <c r="W12" i="19"/>
  <c r="AS12" i="40" s="1"/>
  <c r="W13" i="19"/>
  <c r="H34" i="21" s="1"/>
  <c r="W14" i="19"/>
  <c r="I34" i="21" s="1"/>
  <c r="W5" i="19"/>
  <c r="Q6" i="19"/>
  <c r="AL6" i="40" s="1"/>
  <c r="Q7" i="19"/>
  <c r="AL7" i="40" s="1"/>
  <c r="Q8" i="19"/>
  <c r="C33" i="21" s="1"/>
  <c r="Q9" i="19"/>
  <c r="D33" i="21" s="1"/>
  <c r="Q10" i="19"/>
  <c r="AL10" i="40" s="1"/>
  <c r="Q11" i="19"/>
  <c r="AL11" i="40" s="1"/>
  <c r="Q12" i="19"/>
  <c r="G33" i="21" s="1"/>
  <c r="Q13" i="19"/>
  <c r="H33" i="21" s="1"/>
  <c r="Q14" i="19"/>
  <c r="AL14" i="40" s="1"/>
  <c r="Q5" i="19"/>
  <c r="AL5" i="40" s="1"/>
  <c r="K6" i="19"/>
  <c r="K7" i="19"/>
  <c r="K8" i="19"/>
  <c r="AE8" i="40" s="1"/>
  <c r="AF8" i="40" s="1"/>
  <c r="K9" i="19"/>
  <c r="D32" i="21" s="1"/>
  <c r="K10" i="19"/>
  <c r="E32" i="21" s="1"/>
  <c r="K11" i="19"/>
  <c r="K12" i="19"/>
  <c r="G32" i="21" s="1"/>
  <c r="K13" i="19"/>
  <c r="H32" i="21" s="1"/>
  <c r="K14" i="19"/>
  <c r="K5" i="19"/>
  <c r="AJ38" i="36"/>
  <c r="AK38" i="36"/>
  <c r="AJ39" i="36"/>
  <c r="AK39" i="36"/>
  <c r="AJ40" i="36"/>
  <c r="AK40" i="36"/>
  <c r="AJ41" i="36"/>
  <c r="AK41" i="36"/>
  <c r="AJ42" i="36"/>
  <c r="AK42" i="36"/>
  <c r="AJ43" i="36"/>
  <c r="AK43" i="36"/>
  <c r="AJ44" i="36"/>
  <c r="AK44" i="36"/>
  <c r="AJ46" i="36"/>
  <c r="AK46" i="36"/>
  <c r="AK37" i="36"/>
  <c r="AJ37" i="36"/>
  <c r="AI38" i="36"/>
  <c r="AI39" i="36"/>
  <c r="AI40" i="36"/>
  <c r="AI41" i="36"/>
  <c r="AI42" i="36"/>
  <c r="AI43" i="36"/>
  <c r="AI44" i="36"/>
  <c r="AI46" i="36"/>
  <c r="AI37" i="36"/>
  <c r="AH38" i="36"/>
  <c r="AH39" i="36"/>
  <c r="AH40" i="36"/>
  <c r="AH41" i="36"/>
  <c r="AH42" i="36"/>
  <c r="AH43" i="36"/>
  <c r="AH44" i="36"/>
  <c r="AH46" i="36"/>
  <c r="AH37" i="36"/>
  <c r="I33" i="21"/>
  <c r="G34" i="21"/>
  <c r="E33" i="21"/>
  <c r="AN19" i="19"/>
  <c r="AN20" i="19"/>
  <c r="AN18" i="19"/>
  <c r="AN6" i="19"/>
  <c r="AN7" i="19"/>
  <c r="AN8" i="19"/>
  <c r="AN9" i="19"/>
  <c r="AN10" i="19"/>
  <c r="AN11" i="19"/>
  <c r="AN12" i="19"/>
  <c r="AN13" i="19"/>
  <c r="AN14" i="19"/>
  <c r="AN5" i="19"/>
  <c r="C34" i="21"/>
  <c r="D34" i="21"/>
  <c r="E34" i="21"/>
  <c r="F34" i="21"/>
  <c r="P6" i="19"/>
  <c r="P7" i="19"/>
  <c r="P8" i="19"/>
  <c r="P9" i="19"/>
  <c r="P10" i="19"/>
  <c r="P11" i="19"/>
  <c r="P12" i="19"/>
  <c r="P13" i="19"/>
  <c r="P14" i="19"/>
  <c r="P5" i="19"/>
  <c r="J19" i="19"/>
  <c r="J20" i="19"/>
  <c r="J18" i="19"/>
  <c r="C32" i="21"/>
  <c r="F32" i="21"/>
  <c r="I32" i="21"/>
  <c r="J6" i="19"/>
  <c r="J7" i="19"/>
  <c r="J8" i="19"/>
  <c r="J9" i="19"/>
  <c r="J10" i="19"/>
  <c r="J11" i="19"/>
  <c r="J12" i="19"/>
  <c r="J13" i="19"/>
  <c r="J14" i="19"/>
  <c r="J5" i="19"/>
  <c r="C6" i="19"/>
  <c r="C7" i="19"/>
  <c r="C8" i="19"/>
  <c r="C9" i="19"/>
  <c r="C10" i="19"/>
  <c r="C11" i="19"/>
  <c r="C12" i="19"/>
  <c r="C13" i="19"/>
  <c r="C14" i="19"/>
  <c r="F33" i="21" l="1"/>
  <c r="AE13" i="40"/>
  <c r="AF13" i="40" s="1"/>
  <c r="AE9" i="40"/>
  <c r="AF9" i="40" s="1"/>
  <c r="AS13" i="40"/>
  <c r="AE12" i="40"/>
  <c r="AF12" i="40" s="1"/>
  <c r="AZ12" i="40"/>
  <c r="AZ8" i="40"/>
  <c r="AZ11" i="40"/>
  <c r="AZ14" i="40"/>
  <c r="AZ10" i="40"/>
  <c r="AZ13" i="40"/>
  <c r="AZ9" i="40"/>
  <c r="D47" i="21"/>
  <c r="K37" i="40" l="1"/>
  <c r="K36" i="40"/>
  <c r="K35" i="40"/>
  <c r="K34" i="40"/>
  <c r="K33" i="40"/>
  <c r="K32" i="40"/>
  <c r="K31" i="40"/>
  <c r="K30" i="40"/>
  <c r="K29" i="40"/>
  <c r="K28" i="40"/>
  <c r="D82" i="40"/>
  <c r="D83" i="40"/>
  <c r="D78" i="40"/>
  <c r="D67" i="40"/>
  <c r="D68" i="40"/>
  <c r="D72" i="40"/>
  <c r="D74" i="40"/>
  <c r="D65" i="40"/>
  <c r="D66" i="40"/>
  <c r="N2" i="40"/>
  <c r="D29" i="40"/>
  <c r="D58" i="40" s="1"/>
  <c r="D30" i="40"/>
  <c r="D59" i="40" s="1"/>
  <c r="D31" i="40"/>
  <c r="D60" i="40" s="1"/>
  <c r="D32" i="40"/>
  <c r="D61" i="40" s="1"/>
  <c r="D33" i="40"/>
  <c r="D62" i="40" s="1"/>
  <c r="D34" i="40"/>
  <c r="D63" i="40" s="1"/>
  <c r="D35" i="40"/>
  <c r="D64" i="40" s="1"/>
  <c r="D36" i="40"/>
  <c r="D37" i="40"/>
  <c r="D28" i="40"/>
  <c r="D57" i="40" s="1"/>
  <c r="F27" i="40"/>
  <c r="D44" i="40"/>
  <c r="D73" i="40" s="1"/>
  <c r="D45" i="40"/>
  <c r="D46" i="40"/>
  <c r="D75" i="40" s="1"/>
  <c r="D47" i="40"/>
  <c r="D76" i="40" s="1"/>
  <c r="D48" i="40"/>
  <c r="D77" i="40" s="1"/>
  <c r="D49" i="40"/>
  <c r="D50" i="40"/>
  <c r="D79" i="40" s="1"/>
  <c r="D51" i="40"/>
  <c r="D80" i="40" s="1"/>
  <c r="D52" i="40"/>
  <c r="D81" i="40" s="1"/>
  <c r="D43" i="40"/>
  <c r="E27" i="40"/>
  <c r="E42" i="40" s="1"/>
  <c r="B2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O16" i="36" l="1"/>
  <c r="AI117" i="1" s="1"/>
  <c r="AJ117" i="1" s="1"/>
  <c r="F16" i="36"/>
  <c r="AI3" i="1" s="1"/>
  <c r="AJ3" i="1" s="1"/>
  <c r="G16" i="36"/>
  <c r="AI16" i="1" s="1"/>
  <c r="AJ16" i="1" s="1"/>
  <c r="H16" i="36"/>
  <c r="I16" i="36"/>
  <c r="AI43" i="1" s="1"/>
  <c r="AJ43" i="1" s="1"/>
  <c r="J16" i="36"/>
  <c r="K16" i="36"/>
  <c r="AI63" i="1" s="1"/>
  <c r="AJ63" i="1" s="1"/>
  <c r="L16" i="36"/>
  <c r="M16" i="36"/>
  <c r="N16" i="36"/>
  <c r="F48" i="4"/>
  <c r="F49" i="4"/>
  <c r="F50" i="4"/>
  <c r="F51" i="4"/>
  <c r="F52" i="4"/>
  <c r="F53" i="4"/>
  <c r="F54" i="4"/>
  <c r="F55" i="4"/>
  <c r="F56" i="4"/>
  <c r="F57" i="4"/>
  <c r="G48" i="4"/>
  <c r="G49" i="4"/>
  <c r="G50" i="4"/>
  <c r="G51" i="4"/>
  <c r="G52" i="4"/>
  <c r="G53" i="4"/>
  <c r="G54" i="4"/>
  <c r="G55" i="4"/>
  <c r="G56" i="4"/>
  <c r="G57" i="4"/>
  <c r="H48" i="4"/>
  <c r="H49" i="4"/>
  <c r="H50" i="4"/>
  <c r="H51" i="4"/>
  <c r="H52" i="4"/>
  <c r="H53" i="4"/>
  <c r="H54" i="4"/>
  <c r="H55" i="4"/>
  <c r="H56" i="4"/>
  <c r="H57" i="4"/>
  <c r="I48" i="4"/>
  <c r="I49" i="4"/>
  <c r="I50" i="4"/>
  <c r="I51" i="4"/>
  <c r="I52" i="4"/>
  <c r="I53" i="4"/>
  <c r="I54" i="4"/>
  <c r="I55" i="4"/>
  <c r="I56" i="4"/>
  <c r="I57" i="4"/>
  <c r="J48" i="4"/>
  <c r="J49" i="4"/>
  <c r="J50" i="4"/>
  <c r="J51" i="4"/>
  <c r="J52" i="4"/>
  <c r="J53" i="4"/>
  <c r="J54" i="4"/>
  <c r="J55" i="4"/>
  <c r="J56" i="4"/>
  <c r="J57" i="4"/>
  <c r="K48" i="4"/>
  <c r="K49" i="4"/>
  <c r="K50" i="4"/>
  <c r="K51" i="4"/>
  <c r="K52" i="4"/>
  <c r="K53" i="4"/>
  <c r="K54" i="4"/>
  <c r="K55" i="4"/>
  <c r="K56" i="4"/>
  <c r="K57" i="4"/>
  <c r="L48" i="4"/>
  <c r="L49" i="4"/>
  <c r="L50" i="4"/>
  <c r="L51" i="4"/>
  <c r="L52" i="4"/>
  <c r="L53" i="4"/>
  <c r="L54" i="4"/>
  <c r="L55" i="4"/>
  <c r="L56" i="4"/>
  <c r="L57" i="4"/>
  <c r="M48" i="4"/>
  <c r="M49" i="4"/>
  <c r="M50" i="4"/>
  <c r="M51" i="4"/>
  <c r="M52" i="4"/>
  <c r="M53" i="4"/>
  <c r="M54" i="4"/>
  <c r="M55" i="4"/>
  <c r="M56" i="4"/>
  <c r="M57" i="4"/>
  <c r="N48" i="4"/>
  <c r="N49" i="4"/>
  <c r="N50" i="4"/>
  <c r="N51" i="4"/>
  <c r="N52" i="4"/>
  <c r="N53" i="4"/>
  <c r="N54" i="4"/>
  <c r="N55" i="4"/>
  <c r="N56" i="4"/>
  <c r="N57" i="4"/>
  <c r="O48" i="4"/>
  <c r="O49" i="4"/>
  <c r="O50" i="4"/>
  <c r="O51" i="4"/>
  <c r="O52" i="4"/>
  <c r="O53" i="4"/>
  <c r="O54" i="4"/>
  <c r="O55" i="4"/>
  <c r="O56" i="4"/>
  <c r="O57" i="4"/>
  <c r="P48" i="4"/>
  <c r="P49" i="4"/>
  <c r="P50" i="4"/>
  <c r="P51" i="4"/>
  <c r="P52" i="4"/>
  <c r="P53" i="4"/>
  <c r="P54" i="4"/>
  <c r="P55" i="4"/>
  <c r="P56" i="4"/>
  <c r="P57" i="4"/>
  <c r="Q48" i="4"/>
  <c r="Q49" i="4"/>
  <c r="Q50" i="4"/>
  <c r="Q51" i="4"/>
  <c r="Q52" i="4"/>
  <c r="Q53" i="4"/>
  <c r="Q54" i="4"/>
  <c r="Q55" i="4"/>
  <c r="Q56" i="4"/>
  <c r="Q57" i="4"/>
  <c r="N15" i="36"/>
  <c r="F15" i="36"/>
  <c r="AD2" i="1" s="1"/>
  <c r="AE2" i="1" s="1"/>
  <c r="G15" i="36"/>
  <c r="H15" i="36"/>
  <c r="I15" i="36"/>
  <c r="J15" i="36"/>
  <c r="AD55" i="1" s="1"/>
  <c r="AE55" i="1" s="1"/>
  <c r="K15" i="36"/>
  <c r="L15" i="36"/>
  <c r="AD79" i="1" s="1"/>
  <c r="AE79" i="1" s="1"/>
  <c r="M15" i="36"/>
  <c r="AD89" i="1" s="1"/>
  <c r="AE89" i="1" s="1"/>
  <c r="O15" i="36"/>
  <c r="AD110" i="1" s="1"/>
  <c r="AE110" i="1" s="1"/>
  <c r="F15" i="4"/>
  <c r="F16" i="4"/>
  <c r="F17" i="4"/>
  <c r="F18" i="4"/>
  <c r="F19" i="4"/>
  <c r="F20" i="4"/>
  <c r="F21" i="4"/>
  <c r="F22" i="4"/>
  <c r="F23" i="4"/>
  <c r="F24" i="4"/>
  <c r="G15" i="4"/>
  <c r="G16" i="4"/>
  <c r="G17" i="4"/>
  <c r="G18" i="4"/>
  <c r="G19" i="4"/>
  <c r="G20" i="4"/>
  <c r="G21" i="4"/>
  <c r="G22" i="4"/>
  <c r="G23" i="4"/>
  <c r="G24" i="4"/>
  <c r="H15" i="4"/>
  <c r="H16" i="4"/>
  <c r="H17" i="4"/>
  <c r="H18" i="4"/>
  <c r="H19" i="4"/>
  <c r="H20" i="4"/>
  <c r="H21" i="4"/>
  <c r="H22" i="4"/>
  <c r="H23" i="4"/>
  <c r="H24" i="4"/>
  <c r="I15" i="4"/>
  <c r="I16" i="4"/>
  <c r="I17" i="4"/>
  <c r="I18" i="4"/>
  <c r="I19" i="4"/>
  <c r="I20" i="4"/>
  <c r="I21" i="4"/>
  <c r="I22" i="4"/>
  <c r="I23" i="4"/>
  <c r="I24" i="4"/>
  <c r="J15" i="4"/>
  <c r="J16" i="4"/>
  <c r="J17" i="4"/>
  <c r="J18" i="4"/>
  <c r="J19" i="4"/>
  <c r="J20" i="4"/>
  <c r="J21" i="4"/>
  <c r="J22" i="4"/>
  <c r="J23" i="4"/>
  <c r="J24" i="4"/>
  <c r="K15" i="4"/>
  <c r="K16" i="4"/>
  <c r="K17" i="4"/>
  <c r="K18" i="4"/>
  <c r="K19" i="4"/>
  <c r="K20" i="4"/>
  <c r="K21" i="4"/>
  <c r="K22" i="4"/>
  <c r="K23" i="4"/>
  <c r="K24" i="4"/>
  <c r="L15" i="4"/>
  <c r="L16" i="4"/>
  <c r="L17" i="4"/>
  <c r="L18" i="4"/>
  <c r="L19" i="4"/>
  <c r="L20" i="4"/>
  <c r="L21" i="4"/>
  <c r="L22" i="4"/>
  <c r="L23" i="4"/>
  <c r="L24" i="4"/>
  <c r="M15" i="4"/>
  <c r="M16" i="4"/>
  <c r="M17" i="4"/>
  <c r="M18" i="4"/>
  <c r="M19" i="4"/>
  <c r="M20" i="4"/>
  <c r="M21" i="4"/>
  <c r="M22" i="4"/>
  <c r="M23" i="4"/>
  <c r="M24" i="4"/>
  <c r="N15" i="4"/>
  <c r="N16" i="4"/>
  <c r="N17" i="4"/>
  <c r="N18" i="4"/>
  <c r="N19" i="4"/>
  <c r="N20" i="4"/>
  <c r="N21" i="4"/>
  <c r="N22" i="4"/>
  <c r="N23" i="4"/>
  <c r="N24" i="4"/>
  <c r="O15" i="4"/>
  <c r="O16" i="4"/>
  <c r="O17" i="4"/>
  <c r="O18" i="4"/>
  <c r="O19" i="4"/>
  <c r="O20" i="4"/>
  <c r="O21" i="4"/>
  <c r="O22" i="4"/>
  <c r="O23" i="4"/>
  <c r="O24" i="4"/>
  <c r="P15" i="4"/>
  <c r="P16" i="4"/>
  <c r="P17" i="4"/>
  <c r="P18" i="4"/>
  <c r="P19" i="4"/>
  <c r="P20" i="4"/>
  <c r="P21" i="4"/>
  <c r="P22" i="4"/>
  <c r="P23" i="4"/>
  <c r="P24" i="4"/>
  <c r="Q15" i="4"/>
  <c r="Q16" i="4"/>
  <c r="Q17" i="4"/>
  <c r="Q18" i="4"/>
  <c r="Q19" i="4"/>
  <c r="Q20" i="4"/>
  <c r="Q21" i="4"/>
  <c r="Q22" i="4"/>
  <c r="Q23" i="4"/>
  <c r="Q24" i="4"/>
  <c r="F13" i="36"/>
  <c r="N4" i="1" s="1"/>
  <c r="O4" i="1" s="1"/>
  <c r="G13" i="36"/>
  <c r="N16" i="1" s="1"/>
  <c r="O16" i="1" s="1"/>
  <c r="H13" i="36"/>
  <c r="N26" i="1" s="1"/>
  <c r="I13" i="36"/>
  <c r="J13" i="36"/>
  <c r="N52" i="1" s="1"/>
  <c r="O52" i="1" s="1"/>
  <c r="K13" i="36"/>
  <c r="L13" i="36"/>
  <c r="N77" i="1" s="1"/>
  <c r="O77" i="1" s="1"/>
  <c r="M13" i="36"/>
  <c r="N13" i="36"/>
  <c r="N101" i="1" s="1"/>
  <c r="O101" i="1" s="1"/>
  <c r="O13" i="36"/>
  <c r="N119" i="1" s="1"/>
  <c r="O119" i="1" s="1"/>
  <c r="N12" i="36"/>
  <c r="I101" i="1" s="1"/>
  <c r="J101" i="1" s="1"/>
  <c r="C101" i="23" s="1"/>
  <c r="F12" i="36"/>
  <c r="I4" i="1" s="1"/>
  <c r="J4" i="1" s="1"/>
  <c r="C4" i="23" s="1"/>
  <c r="G12" i="36"/>
  <c r="I16" i="1" s="1"/>
  <c r="J16" i="1" s="1"/>
  <c r="H12" i="36"/>
  <c r="I12" i="36"/>
  <c r="J12" i="36"/>
  <c r="I50" i="1" s="1"/>
  <c r="J50" i="1" s="1"/>
  <c r="C50" i="23" s="1"/>
  <c r="K12" i="36"/>
  <c r="I69" i="1" s="1"/>
  <c r="J69" i="1" s="1"/>
  <c r="D69" i="12" s="1"/>
  <c r="L12" i="36"/>
  <c r="I76" i="1" s="1"/>
  <c r="J76" i="1" s="1"/>
  <c r="C76" i="23" s="1"/>
  <c r="M12" i="36"/>
  <c r="O12" i="36"/>
  <c r="I120" i="1" s="1"/>
  <c r="J120" i="1" s="1"/>
  <c r="C120" i="23" s="1"/>
  <c r="N11" i="36"/>
  <c r="F11" i="36"/>
  <c r="E6" i="1" s="1"/>
  <c r="F6" i="1" s="1"/>
  <c r="C6" i="22" s="1"/>
  <c r="G11" i="36"/>
  <c r="H11" i="36"/>
  <c r="E33" i="1" s="1"/>
  <c r="F33" i="1" s="1"/>
  <c r="I11" i="36"/>
  <c r="E41" i="1" s="1"/>
  <c r="F41" i="1" s="1"/>
  <c r="J11" i="36"/>
  <c r="E58" i="1" s="1"/>
  <c r="F58" i="1" s="1"/>
  <c r="K11" i="36"/>
  <c r="E70" i="1" s="1"/>
  <c r="F70" i="1" s="1"/>
  <c r="L11" i="36"/>
  <c r="E77" i="1" s="1"/>
  <c r="F77" i="1" s="1"/>
  <c r="C77" i="22" s="1"/>
  <c r="M11" i="36"/>
  <c r="O11" i="36"/>
  <c r="E113" i="1" s="1"/>
  <c r="F113" i="1" s="1"/>
  <c r="C113" i="22" s="1"/>
  <c r="F17" i="36"/>
  <c r="AV12" i="1" s="1"/>
  <c r="AW12" i="1" s="1"/>
  <c r="G17" i="36"/>
  <c r="AV22" i="1" s="1"/>
  <c r="AW22" i="1" s="1"/>
  <c r="H17" i="36"/>
  <c r="AV34" i="1" s="1"/>
  <c r="AW34" i="1" s="1"/>
  <c r="I17" i="36"/>
  <c r="AV45" i="1" s="1"/>
  <c r="AW45" i="1" s="1"/>
  <c r="J17" i="36"/>
  <c r="AV57" i="1" s="1"/>
  <c r="AW57" i="1" s="1"/>
  <c r="K17" i="36"/>
  <c r="AV69" i="1" s="1"/>
  <c r="AW69" i="1" s="1"/>
  <c r="L17" i="36"/>
  <c r="AV81" i="1" s="1"/>
  <c r="AW81" i="1" s="1"/>
  <c r="M17" i="36"/>
  <c r="N17" i="36"/>
  <c r="AV108" i="1" s="1"/>
  <c r="AW108" i="1" s="1"/>
  <c r="O17" i="36"/>
  <c r="AV113" i="1" s="1"/>
  <c r="AW113" i="1" s="1"/>
  <c r="U6" i="18"/>
  <c r="U7" i="18"/>
  <c r="U8" i="18"/>
  <c r="U9" i="18"/>
  <c r="U10" i="18"/>
  <c r="U11" i="18"/>
  <c r="U12" i="18"/>
  <c r="U13" i="18"/>
  <c r="U14" i="18"/>
  <c r="U5" i="18"/>
  <c r="E69" i="21"/>
  <c r="E70" i="21" s="1"/>
  <c r="F110" i="46"/>
  <c r="F122" i="46"/>
  <c r="F134" i="46"/>
  <c r="S134" i="46"/>
  <c r="H86" i="46"/>
  <c r="H98" i="46"/>
  <c r="H110" i="46"/>
  <c r="H122" i="46"/>
  <c r="H134" i="46"/>
  <c r="U134" i="46"/>
  <c r="I86" i="46"/>
  <c r="I98" i="46"/>
  <c r="I110" i="46"/>
  <c r="I122" i="46"/>
  <c r="I134" i="46"/>
  <c r="V134" i="46"/>
  <c r="J86" i="46"/>
  <c r="J98" i="46"/>
  <c r="J110" i="46"/>
  <c r="J122" i="46"/>
  <c r="J134" i="46"/>
  <c r="W134" i="46"/>
  <c r="K86" i="46"/>
  <c r="K98" i="46"/>
  <c r="K110" i="46"/>
  <c r="K122" i="46"/>
  <c r="K134" i="46"/>
  <c r="X134" i="46"/>
  <c r="M86" i="46"/>
  <c r="M134" i="46"/>
  <c r="Z134" i="46"/>
  <c r="F111" i="46"/>
  <c r="F123" i="46"/>
  <c r="F135" i="46"/>
  <c r="S135" i="46"/>
  <c r="H87" i="46"/>
  <c r="H99" i="46"/>
  <c r="H111" i="46"/>
  <c r="H123" i="46"/>
  <c r="H135" i="46"/>
  <c r="U135" i="46"/>
  <c r="I87" i="46"/>
  <c r="I99" i="46"/>
  <c r="I111" i="46"/>
  <c r="I123" i="46"/>
  <c r="I135" i="46"/>
  <c r="V135" i="46"/>
  <c r="J87" i="46"/>
  <c r="J99" i="46"/>
  <c r="J111" i="46"/>
  <c r="J123" i="46"/>
  <c r="J135" i="46"/>
  <c r="W135" i="46"/>
  <c r="K87" i="46"/>
  <c r="K99" i="46"/>
  <c r="K111" i="46"/>
  <c r="K123" i="46"/>
  <c r="K135" i="46"/>
  <c r="X135" i="46"/>
  <c r="M87" i="46"/>
  <c r="M135" i="46"/>
  <c r="Z135" i="46"/>
  <c r="F112" i="46"/>
  <c r="F124" i="46"/>
  <c r="F136" i="46"/>
  <c r="S136" i="46"/>
  <c r="H88" i="46"/>
  <c r="H100" i="46"/>
  <c r="H112" i="46"/>
  <c r="H124" i="46"/>
  <c r="H136" i="46"/>
  <c r="U136" i="46"/>
  <c r="I88" i="46"/>
  <c r="I100" i="46"/>
  <c r="I112" i="46"/>
  <c r="I124" i="46"/>
  <c r="I136" i="46"/>
  <c r="V136" i="46"/>
  <c r="J88" i="46"/>
  <c r="J100" i="46"/>
  <c r="J112" i="46"/>
  <c r="J124" i="46"/>
  <c r="J136" i="46"/>
  <c r="W136" i="46"/>
  <c r="K88" i="46"/>
  <c r="K100" i="46"/>
  <c r="K112" i="46"/>
  <c r="K124" i="46"/>
  <c r="K136" i="46"/>
  <c r="X136" i="46"/>
  <c r="M88" i="46"/>
  <c r="M136" i="46"/>
  <c r="Z136" i="46"/>
  <c r="F113" i="46"/>
  <c r="F125" i="46"/>
  <c r="F137" i="46"/>
  <c r="S137" i="46"/>
  <c r="H89" i="46"/>
  <c r="H101" i="46"/>
  <c r="H113" i="46"/>
  <c r="H125" i="46"/>
  <c r="H137" i="46"/>
  <c r="U137" i="46"/>
  <c r="I89" i="46"/>
  <c r="I101" i="46"/>
  <c r="I113" i="46"/>
  <c r="I125" i="46"/>
  <c r="I137" i="46"/>
  <c r="V137" i="46"/>
  <c r="J89" i="46"/>
  <c r="J101" i="46"/>
  <c r="J113" i="46"/>
  <c r="J125" i="46"/>
  <c r="J137" i="46"/>
  <c r="W137" i="46"/>
  <c r="K89" i="46"/>
  <c r="K101" i="46"/>
  <c r="K113" i="46"/>
  <c r="K125" i="46"/>
  <c r="K137" i="46"/>
  <c r="X137" i="46"/>
  <c r="M89" i="46"/>
  <c r="M137" i="46"/>
  <c r="Z137" i="46"/>
  <c r="F114" i="46"/>
  <c r="F126" i="46"/>
  <c r="F138" i="46"/>
  <c r="S138" i="46"/>
  <c r="H90" i="46"/>
  <c r="H102" i="46"/>
  <c r="H114" i="46"/>
  <c r="H126" i="46"/>
  <c r="H138" i="46"/>
  <c r="U138" i="46"/>
  <c r="I90" i="46"/>
  <c r="I102" i="46"/>
  <c r="I114" i="46"/>
  <c r="I126" i="46"/>
  <c r="I138" i="46"/>
  <c r="V138" i="46"/>
  <c r="J90" i="46"/>
  <c r="J102" i="46"/>
  <c r="J114" i="46"/>
  <c r="J126" i="46"/>
  <c r="J138" i="46"/>
  <c r="W138" i="46"/>
  <c r="K90" i="46"/>
  <c r="K102" i="46"/>
  <c r="K114" i="46"/>
  <c r="K126" i="46"/>
  <c r="K138" i="46"/>
  <c r="X138" i="46"/>
  <c r="M90" i="46"/>
  <c r="M138" i="46"/>
  <c r="Z138" i="46"/>
  <c r="F115" i="46"/>
  <c r="F127" i="46"/>
  <c r="F139" i="46"/>
  <c r="S139" i="46"/>
  <c r="H91" i="46"/>
  <c r="H103" i="46"/>
  <c r="H115" i="46"/>
  <c r="H127" i="46"/>
  <c r="H139" i="46"/>
  <c r="U139" i="46"/>
  <c r="I91" i="46"/>
  <c r="I103" i="46"/>
  <c r="I115" i="46"/>
  <c r="I127" i="46"/>
  <c r="I139" i="46"/>
  <c r="V139" i="46"/>
  <c r="J91" i="46"/>
  <c r="J103" i="46"/>
  <c r="J115" i="46"/>
  <c r="J127" i="46"/>
  <c r="J139" i="46"/>
  <c r="W139" i="46"/>
  <c r="K91" i="46"/>
  <c r="K103" i="46"/>
  <c r="K115" i="46"/>
  <c r="K127" i="46"/>
  <c r="K139" i="46"/>
  <c r="X139" i="46"/>
  <c r="M91" i="46"/>
  <c r="M139" i="46"/>
  <c r="Z139" i="46"/>
  <c r="F116" i="46"/>
  <c r="F128" i="46"/>
  <c r="F140" i="46"/>
  <c r="S140" i="46"/>
  <c r="H92" i="46"/>
  <c r="H104" i="46"/>
  <c r="H116" i="46"/>
  <c r="H128" i="46"/>
  <c r="H140" i="46"/>
  <c r="U140" i="46"/>
  <c r="I92" i="46"/>
  <c r="I104" i="46"/>
  <c r="I116" i="46"/>
  <c r="I128" i="46"/>
  <c r="I140" i="46"/>
  <c r="V140" i="46"/>
  <c r="J92" i="46"/>
  <c r="J104" i="46"/>
  <c r="J116" i="46"/>
  <c r="J128" i="46"/>
  <c r="J140" i="46"/>
  <c r="W140" i="46"/>
  <c r="K92" i="46"/>
  <c r="K104" i="46"/>
  <c r="K116" i="46"/>
  <c r="K128" i="46"/>
  <c r="K140" i="46"/>
  <c r="X140" i="46"/>
  <c r="M92" i="46"/>
  <c r="M140" i="46"/>
  <c r="Z140" i="46"/>
  <c r="F117" i="46"/>
  <c r="F129" i="46"/>
  <c r="F141" i="46"/>
  <c r="S141" i="46"/>
  <c r="H93" i="46"/>
  <c r="H105" i="46"/>
  <c r="H117" i="46"/>
  <c r="H129" i="46"/>
  <c r="H141" i="46"/>
  <c r="U141" i="46"/>
  <c r="I93" i="46"/>
  <c r="I105" i="46"/>
  <c r="I117" i="46"/>
  <c r="I129" i="46"/>
  <c r="I141" i="46"/>
  <c r="V141" i="46"/>
  <c r="J93" i="46"/>
  <c r="J105" i="46"/>
  <c r="J117" i="46"/>
  <c r="J129" i="46"/>
  <c r="J141" i="46"/>
  <c r="W141" i="46"/>
  <c r="K93" i="46"/>
  <c r="K105" i="46"/>
  <c r="K117" i="46"/>
  <c r="K129" i="46"/>
  <c r="K141" i="46"/>
  <c r="X141" i="46"/>
  <c r="M93" i="46"/>
  <c r="M141" i="46"/>
  <c r="Z141" i="46"/>
  <c r="F118" i="46"/>
  <c r="F130" i="46"/>
  <c r="F142" i="46"/>
  <c r="S142" i="46"/>
  <c r="H94" i="46"/>
  <c r="H106" i="46"/>
  <c r="H118" i="46"/>
  <c r="H130" i="46"/>
  <c r="H142" i="46"/>
  <c r="U142" i="46"/>
  <c r="I94" i="46"/>
  <c r="I106" i="46"/>
  <c r="I118" i="46"/>
  <c r="I130" i="46"/>
  <c r="I142" i="46"/>
  <c r="V142" i="46"/>
  <c r="J94" i="46"/>
  <c r="J106" i="46"/>
  <c r="J118" i="46"/>
  <c r="J130" i="46"/>
  <c r="J142" i="46"/>
  <c r="W142" i="46"/>
  <c r="K94" i="46"/>
  <c r="K106" i="46"/>
  <c r="K118" i="46"/>
  <c r="K130" i="46"/>
  <c r="K142" i="46"/>
  <c r="X142" i="46"/>
  <c r="M94" i="46"/>
  <c r="M142" i="46"/>
  <c r="Z142" i="46"/>
  <c r="F119" i="46"/>
  <c r="F131" i="46"/>
  <c r="F143" i="46"/>
  <c r="S143" i="46"/>
  <c r="H95" i="46"/>
  <c r="H107" i="46"/>
  <c r="H119" i="46"/>
  <c r="H131" i="46"/>
  <c r="H143" i="46"/>
  <c r="U143" i="46"/>
  <c r="I95" i="46"/>
  <c r="I107" i="46"/>
  <c r="I119" i="46"/>
  <c r="I131" i="46"/>
  <c r="I143" i="46"/>
  <c r="V143" i="46"/>
  <c r="J95" i="46"/>
  <c r="J107" i="46"/>
  <c r="J119" i="46"/>
  <c r="J131" i="46"/>
  <c r="J143" i="46"/>
  <c r="W143" i="46"/>
  <c r="K95" i="46"/>
  <c r="K107" i="46"/>
  <c r="K119" i="46"/>
  <c r="K131" i="46"/>
  <c r="K143" i="46"/>
  <c r="X143" i="46"/>
  <c r="M95" i="46"/>
  <c r="M143" i="46"/>
  <c r="Z143" i="46"/>
  <c r="F120" i="46"/>
  <c r="F132" i="46"/>
  <c r="F144" i="46"/>
  <c r="S144" i="46"/>
  <c r="H96" i="46"/>
  <c r="H108" i="46"/>
  <c r="H120" i="46"/>
  <c r="H132" i="46"/>
  <c r="H144" i="46"/>
  <c r="U144" i="46"/>
  <c r="I96" i="46"/>
  <c r="I108" i="46"/>
  <c r="I120" i="46"/>
  <c r="I132" i="46"/>
  <c r="I144" i="46"/>
  <c r="V144" i="46"/>
  <c r="J96" i="46"/>
  <c r="J108" i="46"/>
  <c r="J120" i="46"/>
  <c r="J132" i="46"/>
  <c r="J144" i="46"/>
  <c r="W144" i="46"/>
  <c r="K96" i="46"/>
  <c r="K108" i="46"/>
  <c r="K120" i="46"/>
  <c r="K132" i="46"/>
  <c r="K144" i="46"/>
  <c r="X144" i="46"/>
  <c r="M96" i="46"/>
  <c r="M144" i="46"/>
  <c r="Z144" i="46"/>
  <c r="F121" i="46"/>
  <c r="F133" i="46"/>
  <c r="F145" i="46"/>
  <c r="S145" i="46"/>
  <c r="H97" i="46"/>
  <c r="H109" i="46"/>
  <c r="H121" i="46"/>
  <c r="H133" i="46"/>
  <c r="H145" i="46"/>
  <c r="U145" i="46"/>
  <c r="I97" i="46"/>
  <c r="I109" i="46"/>
  <c r="I121" i="46"/>
  <c r="I133" i="46"/>
  <c r="I145" i="46"/>
  <c r="V145" i="46"/>
  <c r="J97" i="46"/>
  <c r="J109" i="46"/>
  <c r="J121" i="46"/>
  <c r="J133" i="46"/>
  <c r="J145" i="46"/>
  <c r="W145" i="46"/>
  <c r="K97" i="46"/>
  <c r="K109" i="46"/>
  <c r="K121" i="46"/>
  <c r="K133" i="46"/>
  <c r="K145" i="46"/>
  <c r="X145" i="46"/>
  <c r="M97" i="46"/>
  <c r="M145" i="46"/>
  <c r="Z145" i="46"/>
  <c r="F110" i="24"/>
  <c r="F122" i="24"/>
  <c r="F134" i="24"/>
  <c r="S134" i="24"/>
  <c r="H86" i="24"/>
  <c r="H98" i="24"/>
  <c r="H110" i="24"/>
  <c r="H122" i="24"/>
  <c r="H134" i="24"/>
  <c r="U134" i="24"/>
  <c r="I86" i="24"/>
  <c r="I98" i="24"/>
  <c r="I110" i="24"/>
  <c r="I122" i="24"/>
  <c r="I134" i="24"/>
  <c r="V134" i="24"/>
  <c r="J86" i="24"/>
  <c r="J98" i="24"/>
  <c r="J110" i="24"/>
  <c r="J122" i="24"/>
  <c r="J134" i="24"/>
  <c r="W134" i="24"/>
  <c r="K86" i="24"/>
  <c r="K98" i="24"/>
  <c r="K110" i="24"/>
  <c r="K122" i="24"/>
  <c r="K134" i="24"/>
  <c r="X134" i="24"/>
  <c r="M86" i="24"/>
  <c r="M134" i="24"/>
  <c r="Z134" i="24"/>
  <c r="F111" i="24"/>
  <c r="F123" i="24"/>
  <c r="F135" i="24"/>
  <c r="S135" i="24"/>
  <c r="H87" i="24"/>
  <c r="H99" i="24"/>
  <c r="H111" i="24"/>
  <c r="H123" i="24"/>
  <c r="H135" i="24"/>
  <c r="U135" i="24"/>
  <c r="I87" i="24"/>
  <c r="I99" i="24"/>
  <c r="I111" i="24"/>
  <c r="I123" i="24"/>
  <c r="I135" i="24"/>
  <c r="V135" i="24"/>
  <c r="J87" i="24"/>
  <c r="J99" i="24"/>
  <c r="J111" i="24"/>
  <c r="J123" i="24"/>
  <c r="J135" i="24"/>
  <c r="W135" i="24"/>
  <c r="K87" i="24"/>
  <c r="K99" i="24"/>
  <c r="K111" i="24"/>
  <c r="K123" i="24"/>
  <c r="K135" i="24"/>
  <c r="X135" i="24"/>
  <c r="M87" i="24"/>
  <c r="M135" i="24"/>
  <c r="Z135" i="24"/>
  <c r="F112" i="24"/>
  <c r="F124" i="24"/>
  <c r="F136" i="24"/>
  <c r="S136" i="24"/>
  <c r="H88" i="24"/>
  <c r="H100" i="24"/>
  <c r="H112" i="24"/>
  <c r="H124" i="24"/>
  <c r="H136" i="24"/>
  <c r="U136" i="24"/>
  <c r="I88" i="24"/>
  <c r="I100" i="24"/>
  <c r="I112" i="24"/>
  <c r="I124" i="24"/>
  <c r="I136" i="24"/>
  <c r="V136" i="24"/>
  <c r="J88" i="24"/>
  <c r="J100" i="24"/>
  <c r="J112" i="24"/>
  <c r="J124" i="24"/>
  <c r="J136" i="24"/>
  <c r="W136" i="24"/>
  <c r="K88" i="24"/>
  <c r="K100" i="24"/>
  <c r="K112" i="24"/>
  <c r="K124" i="24"/>
  <c r="K136" i="24"/>
  <c r="X136" i="24"/>
  <c r="M88" i="24"/>
  <c r="M136" i="24"/>
  <c r="Z136" i="24"/>
  <c r="F113" i="24"/>
  <c r="F125" i="24"/>
  <c r="F137" i="24"/>
  <c r="S137" i="24"/>
  <c r="H89" i="24"/>
  <c r="H101" i="24"/>
  <c r="H113" i="24"/>
  <c r="H125" i="24"/>
  <c r="H137" i="24"/>
  <c r="U137" i="24"/>
  <c r="I89" i="24"/>
  <c r="I101" i="24"/>
  <c r="I113" i="24"/>
  <c r="I125" i="24"/>
  <c r="I137" i="24"/>
  <c r="V137" i="24"/>
  <c r="J89" i="24"/>
  <c r="J101" i="24"/>
  <c r="J113" i="24"/>
  <c r="J125" i="24"/>
  <c r="J137" i="24"/>
  <c r="W137" i="24"/>
  <c r="K89" i="24"/>
  <c r="K101" i="24"/>
  <c r="K113" i="24"/>
  <c r="K125" i="24"/>
  <c r="K137" i="24"/>
  <c r="X137" i="24"/>
  <c r="M89" i="24"/>
  <c r="M137" i="24"/>
  <c r="Z137" i="24"/>
  <c r="F114" i="24"/>
  <c r="F126" i="24"/>
  <c r="F138" i="24"/>
  <c r="S138" i="24"/>
  <c r="H90" i="24"/>
  <c r="H102" i="24"/>
  <c r="H114" i="24"/>
  <c r="H126" i="24"/>
  <c r="H138" i="24"/>
  <c r="U138" i="24"/>
  <c r="I90" i="24"/>
  <c r="I102" i="24"/>
  <c r="I114" i="24"/>
  <c r="I126" i="24"/>
  <c r="I138" i="24"/>
  <c r="V138" i="24"/>
  <c r="J90" i="24"/>
  <c r="J102" i="24"/>
  <c r="J114" i="24"/>
  <c r="J126" i="24"/>
  <c r="J138" i="24"/>
  <c r="W138" i="24"/>
  <c r="K90" i="24"/>
  <c r="K102" i="24"/>
  <c r="K114" i="24"/>
  <c r="K126" i="24"/>
  <c r="K138" i="24"/>
  <c r="X138" i="24"/>
  <c r="M90" i="24"/>
  <c r="M138" i="24"/>
  <c r="Z138" i="24"/>
  <c r="F115" i="24"/>
  <c r="F127" i="24"/>
  <c r="F139" i="24"/>
  <c r="S139" i="24"/>
  <c r="H91" i="24"/>
  <c r="H103" i="24"/>
  <c r="H115" i="24"/>
  <c r="H127" i="24"/>
  <c r="H139" i="24"/>
  <c r="U139" i="24"/>
  <c r="I91" i="24"/>
  <c r="I103" i="24"/>
  <c r="I115" i="24"/>
  <c r="I127" i="24"/>
  <c r="I139" i="24"/>
  <c r="V139" i="24"/>
  <c r="J91" i="24"/>
  <c r="J103" i="24"/>
  <c r="J115" i="24"/>
  <c r="J127" i="24"/>
  <c r="J139" i="24"/>
  <c r="W139" i="24"/>
  <c r="K91" i="24"/>
  <c r="K103" i="24"/>
  <c r="K115" i="24"/>
  <c r="K127" i="24"/>
  <c r="K139" i="24"/>
  <c r="X139" i="24"/>
  <c r="M91" i="24"/>
  <c r="M139" i="24"/>
  <c r="Z139" i="24"/>
  <c r="F116" i="24"/>
  <c r="F128" i="24"/>
  <c r="F140" i="24"/>
  <c r="S140" i="24"/>
  <c r="H92" i="24"/>
  <c r="H104" i="24"/>
  <c r="H116" i="24"/>
  <c r="H128" i="24"/>
  <c r="H140" i="24"/>
  <c r="U140" i="24"/>
  <c r="I92" i="24"/>
  <c r="I104" i="24"/>
  <c r="I116" i="24"/>
  <c r="I128" i="24"/>
  <c r="I140" i="24"/>
  <c r="V140" i="24"/>
  <c r="J92" i="24"/>
  <c r="J104" i="24"/>
  <c r="J116" i="24"/>
  <c r="J128" i="24"/>
  <c r="J140" i="24"/>
  <c r="W140" i="24"/>
  <c r="K92" i="24"/>
  <c r="K104" i="24"/>
  <c r="K116" i="24"/>
  <c r="K128" i="24"/>
  <c r="K140" i="24"/>
  <c r="X140" i="24"/>
  <c r="M92" i="24"/>
  <c r="M140" i="24"/>
  <c r="Z140" i="24"/>
  <c r="F117" i="24"/>
  <c r="F129" i="24"/>
  <c r="F141" i="24"/>
  <c r="S141" i="24"/>
  <c r="H93" i="24"/>
  <c r="H105" i="24"/>
  <c r="H117" i="24"/>
  <c r="H129" i="24"/>
  <c r="H141" i="24"/>
  <c r="U141" i="24"/>
  <c r="I93" i="24"/>
  <c r="I105" i="24"/>
  <c r="I117" i="24"/>
  <c r="I129" i="24"/>
  <c r="I141" i="24"/>
  <c r="V141" i="24"/>
  <c r="J93" i="24"/>
  <c r="J105" i="24"/>
  <c r="J117" i="24"/>
  <c r="J129" i="24"/>
  <c r="J141" i="24"/>
  <c r="W141" i="24"/>
  <c r="K93" i="24"/>
  <c r="K105" i="24"/>
  <c r="K117" i="24"/>
  <c r="K129" i="24"/>
  <c r="K141" i="24"/>
  <c r="X141" i="24"/>
  <c r="M93" i="24"/>
  <c r="M141" i="24"/>
  <c r="Z141" i="24"/>
  <c r="F118" i="24"/>
  <c r="F130" i="24"/>
  <c r="F142" i="24"/>
  <c r="S142" i="24"/>
  <c r="H94" i="24"/>
  <c r="H106" i="24"/>
  <c r="H118" i="24"/>
  <c r="H130" i="24"/>
  <c r="H142" i="24"/>
  <c r="U142" i="24"/>
  <c r="I94" i="24"/>
  <c r="I106" i="24"/>
  <c r="I118" i="24"/>
  <c r="I130" i="24"/>
  <c r="I142" i="24"/>
  <c r="V142" i="24"/>
  <c r="J94" i="24"/>
  <c r="J106" i="24"/>
  <c r="J118" i="24"/>
  <c r="J130" i="24"/>
  <c r="J142" i="24"/>
  <c r="W142" i="24"/>
  <c r="K94" i="24"/>
  <c r="K106" i="24"/>
  <c r="K118" i="24"/>
  <c r="K130" i="24"/>
  <c r="K142" i="24"/>
  <c r="X142" i="24"/>
  <c r="M94" i="24"/>
  <c r="M142" i="24"/>
  <c r="Z142" i="24"/>
  <c r="F119" i="24"/>
  <c r="F131" i="24"/>
  <c r="F143" i="24"/>
  <c r="S143" i="24"/>
  <c r="H95" i="24"/>
  <c r="H107" i="24"/>
  <c r="H119" i="24"/>
  <c r="H131" i="24"/>
  <c r="H143" i="24"/>
  <c r="U143" i="24"/>
  <c r="I95" i="24"/>
  <c r="I107" i="24"/>
  <c r="I119" i="24"/>
  <c r="I131" i="24"/>
  <c r="I143" i="24"/>
  <c r="V143" i="24"/>
  <c r="J95" i="24"/>
  <c r="J107" i="24"/>
  <c r="J119" i="24"/>
  <c r="J131" i="24"/>
  <c r="J143" i="24"/>
  <c r="W143" i="24"/>
  <c r="K95" i="24"/>
  <c r="K107" i="24"/>
  <c r="K119" i="24"/>
  <c r="K131" i="24"/>
  <c r="K143" i="24"/>
  <c r="X143" i="24"/>
  <c r="M95" i="24"/>
  <c r="M143" i="24"/>
  <c r="Z143" i="24"/>
  <c r="F120" i="24"/>
  <c r="F132" i="24"/>
  <c r="F144" i="24"/>
  <c r="S144" i="24"/>
  <c r="H96" i="24"/>
  <c r="H108" i="24"/>
  <c r="H120" i="24"/>
  <c r="H132" i="24"/>
  <c r="H144" i="24"/>
  <c r="U144" i="24"/>
  <c r="I96" i="24"/>
  <c r="I108" i="24"/>
  <c r="I120" i="24"/>
  <c r="I132" i="24"/>
  <c r="I144" i="24"/>
  <c r="V144" i="24"/>
  <c r="J96" i="24"/>
  <c r="J108" i="24"/>
  <c r="J120" i="24"/>
  <c r="J132" i="24"/>
  <c r="J144" i="24"/>
  <c r="W144" i="24"/>
  <c r="K96" i="24"/>
  <c r="K108" i="24"/>
  <c r="K120" i="24"/>
  <c r="K132" i="24"/>
  <c r="K144" i="24"/>
  <c r="X144" i="24"/>
  <c r="M96" i="24"/>
  <c r="M144" i="24"/>
  <c r="Z144" i="24"/>
  <c r="F121" i="24"/>
  <c r="F133" i="24"/>
  <c r="F145" i="24"/>
  <c r="S145" i="24"/>
  <c r="H97" i="24"/>
  <c r="H109" i="24"/>
  <c r="H121" i="24"/>
  <c r="H133" i="24"/>
  <c r="H145" i="24"/>
  <c r="U145" i="24"/>
  <c r="I97" i="24"/>
  <c r="I109" i="24"/>
  <c r="I121" i="24"/>
  <c r="I133" i="24"/>
  <c r="I145" i="24"/>
  <c r="V145" i="24"/>
  <c r="J97" i="24"/>
  <c r="J109" i="24"/>
  <c r="J121" i="24"/>
  <c r="J133" i="24"/>
  <c r="J145" i="24"/>
  <c r="W145" i="24"/>
  <c r="K97" i="24"/>
  <c r="K109" i="24"/>
  <c r="K121" i="24"/>
  <c r="K133" i="24"/>
  <c r="K145" i="24"/>
  <c r="X145" i="24"/>
  <c r="M97" i="24"/>
  <c r="M145" i="24"/>
  <c r="Z145" i="24"/>
  <c r="E110" i="47"/>
  <c r="E122" i="47"/>
  <c r="E134" i="47"/>
  <c r="M134" i="47"/>
  <c r="G86" i="47"/>
  <c r="G134" i="47"/>
  <c r="O134" i="47"/>
  <c r="H86" i="47"/>
  <c r="H134" i="47"/>
  <c r="P134" i="47"/>
  <c r="I86" i="47"/>
  <c r="I134" i="47"/>
  <c r="Q134" i="47"/>
  <c r="E111" i="47"/>
  <c r="E123" i="47"/>
  <c r="E135" i="47"/>
  <c r="M135" i="47"/>
  <c r="G87" i="47"/>
  <c r="G135" i="47"/>
  <c r="O135" i="47"/>
  <c r="H87" i="47"/>
  <c r="H135" i="47"/>
  <c r="P135" i="47"/>
  <c r="I87" i="47"/>
  <c r="I135" i="47"/>
  <c r="Q135" i="47"/>
  <c r="E112" i="47"/>
  <c r="E124" i="47"/>
  <c r="E136" i="47"/>
  <c r="M136" i="47"/>
  <c r="G88" i="47"/>
  <c r="G136" i="47"/>
  <c r="O136" i="47"/>
  <c r="H88" i="47"/>
  <c r="H136" i="47"/>
  <c r="P136" i="47"/>
  <c r="I88" i="47"/>
  <c r="I136" i="47"/>
  <c r="Q136" i="47"/>
  <c r="E113" i="47"/>
  <c r="E125" i="47"/>
  <c r="E137" i="47"/>
  <c r="M137" i="47"/>
  <c r="G89" i="47"/>
  <c r="G137" i="47"/>
  <c r="O137" i="47"/>
  <c r="H89" i="47"/>
  <c r="H137" i="47"/>
  <c r="P137" i="47"/>
  <c r="I89" i="47"/>
  <c r="I137" i="47"/>
  <c r="Q137" i="47"/>
  <c r="E114" i="47"/>
  <c r="E126" i="47"/>
  <c r="E138" i="47"/>
  <c r="M138" i="47"/>
  <c r="G90" i="47"/>
  <c r="G138" i="47"/>
  <c r="O138" i="47"/>
  <c r="H90" i="47"/>
  <c r="H138" i="47"/>
  <c r="P138" i="47"/>
  <c r="I90" i="47"/>
  <c r="I138" i="47"/>
  <c r="Q138" i="47"/>
  <c r="E115" i="47"/>
  <c r="E127" i="47"/>
  <c r="E139" i="47"/>
  <c r="M139" i="47"/>
  <c r="G91" i="47"/>
  <c r="G139" i="47"/>
  <c r="O139" i="47"/>
  <c r="H91" i="47"/>
  <c r="H139" i="47"/>
  <c r="P139" i="47"/>
  <c r="I91" i="47"/>
  <c r="I139" i="47"/>
  <c r="Q139" i="47"/>
  <c r="E116" i="47"/>
  <c r="E128" i="47"/>
  <c r="E140" i="47"/>
  <c r="M140" i="47"/>
  <c r="G92" i="47"/>
  <c r="G140" i="47"/>
  <c r="O140" i="47"/>
  <c r="H92" i="47"/>
  <c r="H140" i="47"/>
  <c r="P140" i="47"/>
  <c r="I92" i="47"/>
  <c r="I140" i="47"/>
  <c r="Q140" i="47"/>
  <c r="E117" i="47"/>
  <c r="E129" i="47"/>
  <c r="E141" i="47"/>
  <c r="M141" i="47"/>
  <c r="G93" i="47"/>
  <c r="G141" i="47"/>
  <c r="O141" i="47"/>
  <c r="H93" i="47"/>
  <c r="H141" i="47"/>
  <c r="P141" i="47"/>
  <c r="I93" i="47"/>
  <c r="I141" i="47"/>
  <c r="Q141" i="47"/>
  <c r="E118" i="47"/>
  <c r="E130" i="47"/>
  <c r="E142" i="47"/>
  <c r="M142" i="47"/>
  <c r="G94" i="47"/>
  <c r="G142" i="47"/>
  <c r="O142" i="47"/>
  <c r="H94" i="47"/>
  <c r="H142" i="47"/>
  <c r="P142" i="47"/>
  <c r="I94" i="47"/>
  <c r="I142" i="47"/>
  <c r="Q142" i="47"/>
  <c r="E119" i="47"/>
  <c r="E131" i="47"/>
  <c r="E143" i="47"/>
  <c r="M143" i="47"/>
  <c r="G95" i="47"/>
  <c r="G143" i="47"/>
  <c r="O143" i="47"/>
  <c r="H95" i="47"/>
  <c r="H143" i="47"/>
  <c r="P143" i="47"/>
  <c r="I95" i="47"/>
  <c r="I143" i="47"/>
  <c r="Q143" i="47"/>
  <c r="E120" i="47"/>
  <c r="E132" i="47"/>
  <c r="E144" i="47"/>
  <c r="M144" i="47"/>
  <c r="G96" i="47"/>
  <c r="G144" i="47"/>
  <c r="O144" i="47"/>
  <c r="H96" i="47"/>
  <c r="H144" i="47"/>
  <c r="P144" i="47"/>
  <c r="I96" i="47"/>
  <c r="I144" i="47"/>
  <c r="Q144" i="47"/>
  <c r="E121" i="47"/>
  <c r="E133" i="47"/>
  <c r="E145" i="47"/>
  <c r="M145" i="47"/>
  <c r="G97" i="47"/>
  <c r="G145" i="47"/>
  <c r="O145" i="47"/>
  <c r="H97" i="47"/>
  <c r="H145" i="47"/>
  <c r="P145" i="47"/>
  <c r="I97" i="47"/>
  <c r="I145" i="47"/>
  <c r="Q145" i="47"/>
  <c r="E110" i="26"/>
  <c r="E122" i="26"/>
  <c r="E134" i="26"/>
  <c r="M134" i="26"/>
  <c r="G86" i="26"/>
  <c r="G134" i="26"/>
  <c r="O134" i="26"/>
  <c r="H86" i="26"/>
  <c r="H134" i="26"/>
  <c r="P134" i="26"/>
  <c r="I86" i="26"/>
  <c r="I134" i="26"/>
  <c r="Q134" i="26"/>
  <c r="E111" i="26"/>
  <c r="E123" i="26"/>
  <c r="E135" i="26"/>
  <c r="M135" i="26"/>
  <c r="G87" i="26"/>
  <c r="G135" i="26"/>
  <c r="O135" i="26"/>
  <c r="H87" i="26"/>
  <c r="H135" i="26"/>
  <c r="P135" i="26"/>
  <c r="I87" i="26"/>
  <c r="I135" i="26"/>
  <c r="Q135" i="26"/>
  <c r="E112" i="26"/>
  <c r="E124" i="26"/>
  <c r="E136" i="26"/>
  <c r="M136" i="26"/>
  <c r="G88" i="26"/>
  <c r="G136" i="26"/>
  <c r="O136" i="26"/>
  <c r="H88" i="26"/>
  <c r="H136" i="26"/>
  <c r="P136" i="26"/>
  <c r="I88" i="26"/>
  <c r="I136" i="26"/>
  <c r="Q136" i="26"/>
  <c r="E113" i="26"/>
  <c r="E125" i="26"/>
  <c r="E137" i="26"/>
  <c r="M137" i="26"/>
  <c r="G89" i="26"/>
  <c r="G137" i="26"/>
  <c r="O137" i="26"/>
  <c r="H89" i="26"/>
  <c r="H137" i="26"/>
  <c r="P137" i="26"/>
  <c r="I89" i="26"/>
  <c r="I137" i="26"/>
  <c r="Q137" i="26"/>
  <c r="E114" i="26"/>
  <c r="E126" i="26"/>
  <c r="E138" i="26"/>
  <c r="M138" i="26"/>
  <c r="G90" i="26"/>
  <c r="G138" i="26"/>
  <c r="O138" i="26"/>
  <c r="H90" i="26"/>
  <c r="H138" i="26"/>
  <c r="P138" i="26"/>
  <c r="I90" i="26"/>
  <c r="I138" i="26"/>
  <c r="Q138" i="26"/>
  <c r="E115" i="26"/>
  <c r="E127" i="26"/>
  <c r="E139" i="26"/>
  <c r="M139" i="26"/>
  <c r="G91" i="26"/>
  <c r="G139" i="26"/>
  <c r="O139" i="26"/>
  <c r="H91" i="26"/>
  <c r="H139" i="26"/>
  <c r="P139" i="26"/>
  <c r="I91" i="26"/>
  <c r="I139" i="26"/>
  <c r="Q139" i="26"/>
  <c r="E116" i="26"/>
  <c r="E128" i="26"/>
  <c r="E140" i="26"/>
  <c r="M140" i="26"/>
  <c r="G92" i="26"/>
  <c r="G140" i="26"/>
  <c r="O140" i="26"/>
  <c r="H92" i="26"/>
  <c r="H140" i="26"/>
  <c r="P140" i="26"/>
  <c r="I92" i="26"/>
  <c r="I140" i="26"/>
  <c r="Q140" i="26"/>
  <c r="E117" i="26"/>
  <c r="E129" i="26"/>
  <c r="E141" i="26"/>
  <c r="M141" i="26"/>
  <c r="G93" i="26"/>
  <c r="G141" i="26"/>
  <c r="O141" i="26"/>
  <c r="H93" i="26"/>
  <c r="H141" i="26"/>
  <c r="P141" i="26"/>
  <c r="I93" i="26"/>
  <c r="I141" i="26"/>
  <c r="Q141" i="26"/>
  <c r="E118" i="26"/>
  <c r="E130" i="26"/>
  <c r="E142" i="26"/>
  <c r="M142" i="26"/>
  <c r="G94" i="26"/>
  <c r="G142" i="26"/>
  <c r="O142" i="26"/>
  <c r="H94" i="26"/>
  <c r="H142" i="26"/>
  <c r="P142" i="26"/>
  <c r="I94" i="26"/>
  <c r="I142" i="26"/>
  <c r="Q142" i="26"/>
  <c r="E119" i="26"/>
  <c r="E131" i="26"/>
  <c r="E143" i="26"/>
  <c r="M143" i="26"/>
  <c r="G95" i="26"/>
  <c r="G143" i="26"/>
  <c r="O143" i="26"/>
  <c r="H95" i="26"/>
  <c r="H143" i="26"/>
  <c r="P143" i="26"/>
  <c r="I95" i="26"/>
  <c r="I143" i="26"/>
  <c r="Q143" i="26"/>
  <c r="E120" i="26"/>
  <c r="E132" i="26"/>
  <c r="E144" i="26"/>
  <c r="M144" i="26"/>
  <c r="G96" i="26"/>
  <c r="G144" i="26"/>
  <c r="O144" i="26"/>
  <c r="H96" i="26"/>
  <c r="H144" i="26"/>
  <c r="P144" i="26"/>
  <c r="I96" i="26"/>
  <c r="I144" i="26"/>
  <c r="Q144" i="26"/>
  <c r="E121" i="26"/>
  <c r="E133" i="26"/>
  <c r="E145" i="26"/>
  <c r="M145" i="26"/>
  <c r="G97" i="26"/>
  <c r="G145" i="26"/>
  <c r="O145" i="26"/>
  <c r="H97" i="26"/>
  <c r="H145" i="26"/>
  <c r="P145" i="26"/>
  <c r="I97" i="26"/>
  <c r="I145" i="26"/>
  <c r="Q145" i="26"/>
  <c r="F4" i="36"/>
  <c r="G4" i="36"/>
  <c r="H4" i="36"/>
  <c r="I4" i="36"/>
  <c r="J4" i="36"/>
  <c r="K4" i="36"/>
  <c r="L4" i="36"/>
  <c r="M4" i="36"/>
  <c r="N4" i="36"/>
  <c r="O4" i="36"/>
  <c r="F6" i="36"/>
  <c r="G6" i="36"/>
  <c r="H6" i="36"/>
  <c r="I6" i="36"/>
  <c r="J6" i="36"/>
  <c r="K6" i="36"/>
  <c r="L6" i="36"/>
  <c r="M6" i="36"/>
  <c r="N6" i="36"/>
  <c r="O6" i="36"/>
  <c r="F2" i="46"/>
  <c r="S2" i="46"/>
  <c r="H2" i="46"/>
  <c r="U2" i="46"/>
  <c r="I2" i="46"/>
  <c r="V2" i="46"/>
  <c r="J2" i="46"/>
  <c r="W2" i="46"/>
  <c r="K2" i="46"/>
  <c r="X2" i="46"/>
  <c r="M2" i="46"/>
  <c r="Z2" i="46"/>
  <c r="N2" i="46"/>
  <c r="AA2" i="46"/>
  <c r="F3" i="46"/>
  <c r="S3" i="46"/>
  <c r="H3" i="46"/>
  <c r="U3" i="46"/>
  <c r="I3" i="46"/>
  <c r="V3" i="46"/>
  <c r="J3" i="46"/>
  <c r="W3" i="46"/>
  <c r="K3" i="46"/>
  <c r="X3" i="46"/>
  <c r="M3" i="46"/>
  <c r="Z3" i="46"/>
  <c r="N3" i="46"/>
  <c r="AA3" i="46"/>
  <c r="F4" i="46"/>
  <c r="S4" i="46"/>
  <c r="H4" i="46"/>
  <c r="U4" i="46"/>
  <c r="I4" i="46"/>
  <c r="V4" i="46"/>
  <c r="J4" i="46"/>
  <c r="W4" i="46"/>
  <c r="K4" i="46"/>
  <c r="X4" i="46"/>
  <c r="M4" i="46"/>
  <c r="Z4" i="46"/>
  <c r="N4" i="46"/>
  <c r="AA4" i="46"/>
  <c r="F5" i="46"/>
  <c r="S5" i="46"/>
  <c r="H5" i="46"/>
  <c r="U5" i="46"/>
  <c r="I5" i="46"/>
  <c r="V5" i="46"/>
  <c r="J5" i="46"/>
  <c r="W5" i="46"/>
  <c r="K5" i="46"/>
  <c r="X5" i="46"/>
  <c r="M5" i="46"/>
  <c r="Z5" i="46"/>
  <c r="N5" i="46"/>
  <c r="AA5" i="46"/>
  <c r="F6" i="46"/>
  <c r="S6" i="46"/>
  <c r="H6" i="46"/>
  <c r="U6" i="46"/>
  <c r="I6" i="46"/>
  <c r="V6" i="46"/>
  <c r="J6" i="46"/>
  <c r="W6" i="46"/>
  <c r="K6" i="46"/>
  <c r="X6" i="46"/>
  <c r="M6" i="46"/>
  <c r="Z6" i="46"/>
  <c r="N6" i="46"/>
  <c r="AA6" i="46"/>
  <c r="F7" i="46"/>
  <c r="S7" i="46"/>
  <c r="H7" i="46"/>
  <c r="U7" i="46"/>
  <c r="I7" i="46"/>
  <c r="V7" i="46"/>
  <c r="J7" i="46"/>
  <c r="W7" i="46"/>
  <c r="K7" i="46"/>
  <c r="X7" i="46"/>
  <c r="M7" i="46"/>
  <c r="Z7" i="46"/>
  <c r="N7" i="46"/>
  <c r="AA7" i="46"/>
  <c r="F8" i="46"/>
  <c r="S8" i="46"/>
  <c r="H8" i="46"/>
  <c r="U8" i="46"/>
  <c r="I8" i="46"/>
  <c r="V8" i="46"/>
  <c r="J8" i="46"/>
  <c r="W8" i="46"/>
  <c r="K8" i="46"/>
  <c r="X8" i="46"/>
  <c r="M8" i="46"/>
  <c r="Z8" i="46"/>
  <c r="N8" i="46"/>
  <c r="AA8" i="46"/>
  <c r="F9" i="46"/>
  <c r="S9" i="46"/>
  <c r="H9" i="46"/>
  <c r="U9" i="46"/>
  <c r="I9" i="46"/>
  <c r="V9" i="46"/>
  <c r="J9" i="46"/>
  <c r="W9" i="46"/>
  <c r="K9" i="46"/>
  <c r="X9" i="46"/>
  <c r="M9" i="46"/>
  <c r="Z9" i="46"/>
  <c r="N9" i="46"/>
  <c r="AA9" i="46"/>
  <c r="F10" i="46"/>
  <c r="S10" i="46"/>
  <c r="H10" i="46"/>
  <c r="U10" i="46"/>
  <c r="I10" i="46"/>
  <c r="V10" i="46"/>
  <c r="J10" i="46"/>
  <c r="W10" i="46"/>
  <c r="K10" i="46"/>
  <c r="X10" i="46"/>
  <c r="M10" i="46"/>
  <c r="Z10" i="46"/>
  <c r="N10" i="46"/>
  <c r="AA10" i="46"/>
  <c r="F11" i="46"/>
  <c r="S11" i="46"/>
  <c r="H11" i="46"/>
  <c r="U11" i="46"/>
  <c r="I11" i="46"/>
  <c r="V11" i="46"/>
  <c r="J11" i="46"/>
  <c r="W11" i="46"/>
  <c r="K11" i="46"/>
  <c r="X11" i="46"/>
  <c r="M11" i="46"/>
  <c r="Z11" i="46"/>
  <c r="N11" i="46"/>
  <c r="AA11" i="46"/>
  <c r="F12" i="46"/>
  <c r="S12" i="46"/>
  <c r="H12" i="46"/>
  <c r="U12" i="46"/>
  <c r="I12" i="46"/>
  <c r="V12" i="46"/>
  <c r="J12" i="46"/>
  <c r="W12" i="46"/>
  <c r="K12" i="46"/>
  <c r="X12" i="46"/>
  <c r="M12" i="46"/>
  <c r="Z12" i="46"/>
  <c r="N12" i="46"/>
  <c r="AA12" i="46"/>
  <c r="F13" i="46"/>
  <c r="S13" i="46"/>
  <c r="H13" i="46"/>
  <c r="U13" i="46"/>
  <c r="I13" i="46"/>
  <c r="V13" i="46"/>
  <c r="J13" i="46"/>
  <c r="W13" i="46"/>
  <c r="K13" i="46"/>
  <c r="X13" i="46"/>
  <c r="M13" i="46"/>
  <c r="Z13" i="46"/>
  <c r="N13" i="46"/>
  <c r="AA13" i="46"/>
  <c r="F14" i="46"/>
  <c r="S14" i="46"/>
  <c r="H14" i="46"/>
  <c r="U14" i="46"/>
  <c r="I14" i="46"/>
  <c r="V14" i="46"/>
  <c r="J14" i="46"/>
  <c r="W14" i="46"/>
  <c r="K14" i="46"/>
  <c r="X14" i="46"/>
  <c r="M14" i="46"/>
  <c r="Z14" i="46"/>
  <c r="N14" i="46"/>
  <c r="AA14" i="46"/>
  <c r="F15" i="46"/>
  <c r="S15" i="46"/>
  <c r="H15" i="46"/>
  <c r="U15" i="46"/>
  <c r="I15" i="46"/>
  <c r="V15" i="46"/>
  <c r="J15" i="46"/>
  <c r="W15" i="46"/>
  <c r="K15" i="46"/>
  <c r="X15" i="46"/>
  <c r="M15" i="46"/>
  <c r="Z15" i="46"/>
  <c r="N15" i="46"/>
  <c r="AA15" i="46"/>
  <c r="F16" i="46"/>
  <c r="S16" i="46"/>
  <c r="H16" i="46"/>
  <c r="U16" i="46"/>
  <c r="I16" i="46"/>
  <c r="V16" i="46"/>
  <c r="J16" i="46"/>
  <c r="W16" i="46"/>
  <c r="K16" i="46"/>
  <c r="X16" i="46"/>
  <c r="M16" i="46"/>
  <c r="Z16" i="46"/>
  <c r="N16" i="46"/>
  <c r="AA16" i="46"/>
  <c r="F17" i="46"/>
  <c r="S17" i="46"/>
  <c r="H17" i="46"/>
  <c r="U17" i="46"/>
  <c r="I17" i="46"/>
  <c r="V17" i="46"/>
  <c r="J17" i="46"/>
  <c r="W17" i="46"/>
  <c r="K17" i="46"/>
  <c r="X17" i="46"/>
  <c r="M17" i="46"/>
  <c r="Z17" i="46"/>
  <c r="N17" i="46"/>
  <c r="AA17" i="46"/>
  <c r="F18" i="46"/>
  <c r="S18" i="46"/>
  <c r="H18" i="46"/>
  <c r="U18" i="46"/>
  <c r="I18" i="46"/>
  <c r="V18" i="46"/>
  <c r="J18" i="46"/>
  <c r="W18" i="46"/>
  <c r="K18" i="46"/>
  <c r="X18" i="46"/>
  <c r="M18" i="46"/>
  <c r="Z18" i="46"/>
  <c r="N18" i="46"/>
  <c r="AA18" i="46"/>
  <c r="F19" i="46"/>
  <c r="S19" i="46"/>
  <c r="H19" i="46"/>
  <c r="U19" i="46"/>
  <c r="I19" i="46"/>
  <c r="V19" i="46"/>
  <c r="J19" i="46"/>
  <c r="W19" i="46"/>
  <c r="K19" i="46"/>
  <c r="X19" i="46"/>
  <c r="M19" i="46"/>
  <c r="Z19" i="46"/>
  <c r="N19" i="46"/>
  <c r="AA19" i="46"/>
  <c r="F20" i="46"/>
  <c r="S20" i="46"/>
  <c r="H20" i="46"/>
  <c r="U20" i="46"/>
  <c r="I20" i="46"/>
  <c r="V20" i="46"/>
  <c r="J20" i="46"/>
  <c r="W20" i="46"/>
  <c r="K20" i="46"/>
  <c r="X20" i="46"/>
  <c r="M20" i="46"/>
  <c r="Z20" i="46"/>
  <c r="N20" i="46"/>
  <c r="AA20" i="46"/>
  <c r="F21" i="46"/>
  <c r="S21" i="46"/>
  <c r="H21" i="46"/>
  <c r="U21" i="46"/>
  <c r="I21" i="46"/>
  <c r="V21" i="46"/>
  <c r="J21" i="46"/>
  <c r="W21" i="46"/>
  <c r="K21" i="46"/>
  <c r="X21" i="46"/>
  <c r="M21" i="46"/>
  <c r="Z21" i="46"/>
  <c r="N21" i="46"/>
  <c r="AA21" i="46"/>
  <c r="F22" i="46"/>
  <c r="S22" i="46"/>
  <c r="H22" i="46"/>
  <c r="U22" i="46"/>
  <c r="I22" i="46"/>
  <c r="V22" i="46"/>
  <c r="J22" i="46"/>
  <c r="W22" i="46"/>
  <c r="K22" i="46"/>
  <c r="X22" i="46"/>
  <c r="M22" i="46"/>
  <c r="Z22" i="46"/>
  <c r="N22" i="46"/>
  <c r="AA22" i="46"/>
  <c r="F23" i="46"/>
  <c r="S23" i="46"/>
  <c r="H23" i="46"/>
  <c r="U23" i="46"/>
  <c r="I23" i="46"/>
  <c r="V23" i="46"/>
  <c r="J23" i="46"/>
  <c r="W23" i="46"/>
  <c r="K23" i="46"/>
  <c r="X23" i="46"/>
  <c r="M23" i="46"/>
  <c r="Z23" i="46"/>
  <c r="N23" i="46"/>
  <c r="AA23" i="46"/>
  <c r="F24" i="46"/>
  <c r="S24" i="46"/>
  <c r="H24" i="46"/>
  <c r="U24" i="46"/>
  <c r="I24" i="46"/>
  <c r="V24" i="46"/>
  <c r="J24" i="46"/>
  <c r="W24" i="46"/>
  <c r="K24" i="46"/>
  <c r="X24" i="46"/>
  <c r="M24" i="46"/>
  <c r="Z24" i="46"/>
  <c r="N24" i="46"/>
  <c r="AA24" i="46"/>
  <c r="F25" i="46"/>
  <c r="S25" i="46"/>
  <c r="H25" i="46"/>
  <c r="U25" i="46"/>
  <c r="I25" i="46"/>
  <c r="V25" i="46"/>
  <c r="J25" i="46"/>
  <c r="W25" i="46"/>
  <c r="K25" i="46"/>
  <c r="X25" i="46"/>
  <c r="M25" i="46"/>
  <c r="Z25" i="46"/>
  <c r="N25" i="46"/>
  <c r="AA25" i="46"/>
  <c r="F26" i="46"/>
  <c r="S26" i="46"/>
  <c r="H26" i="46"/>
  <c r="U26" i="46"/>
  <c r="I26" i="46"/>
  <c r="V26" i="46"/>
  <c r="J26" i="46"/>
  <c r="W26" i="46"/>
  <c r="K26" i="46"/>
  <c r="X26" i="46"/>
  <c r="M26" i="46"/>
  <c r="Z26" i="46"/>
  <c r="N26" i="46"/>
  <c r="AA26" i="46"/>
  <c r="F27" i="46"/>
  <c r="S27" i="46"/>
  <c r="H27" i="46"/>
  <c r="U27" i="46"/>
  <c r="I27" i="46"/>
  <c r="V27" i="46"/>
  <c r="J27" i="46"/>
  <c r="W27" i="46"/>
  <c r="K27" i="46"/>
  <c r="X27" i="46"/>
  <c r="M27" i="46"/>
  <c r="Z27" i="46"/>
  <c r="N27" i="46"/>
  <c r="AA27" i="46"/>
  <c r="F28" i="46"/>
  <c r="S28" i="46"/>
  <c r="H28" i="46"/>
  <c r="U28" i="46"/>
  <c r="I28" i="46"/>
  <c r="V28" i="46"/>
  <c r="J28" i="46"/>
  <c r="W28" i="46"/>
  <c r="K28" i="46"/>
  <c r="X28" i="46"/>
  <c r="M28" i="46"/>
  <c r="Z28" i="46"/>
  <c r="N28" i="46"/>
  <c r="AA28" i="46"/>
  <c r="F29" i="46"/>
  <c r="S29" i="46"/>
  <c r="H29" i="46"/>
  <c r="U29" i="46"/>
  <c r="I29" i="46"/>
  <c r="V29" i="46"/>
  <c r="J29" i="46"/>
  <c r="W29" i="46"/>
  <c r="K29" i="46"/>
  <c r="X29" i="46"/>
  <c r="M29" i="46"/>
  <c r="Z29" i="46"/>
  <c r="N29" i="46"/>
  <c r="AA29" i="46"/>
  <c r="F30" i="46"/>
  <c r="S30" i="46"/>
  <c r="H30" i="46"/>
  <c r="U30" i="46"/>
  <c r="I30" i="46"/>
  <c r="V30" i="46"/>
  <c r="J30" i="46"/>
  <c r="W30" i="46"/>
  <c r="K30" i="46"/>
  <c r="X30" i="46"/>
  <c r="M30" i="46"/>
  <c r="Z30" i="46"/>
  <c r="N30" i="46"/>
  <c r="AA30" i="46"/>
  <c r="F31" i="46"/>
  <c r="S31" i="46"/>
  <c r="H31" i="46"/>
  <c r="U31" i="46"/>
  <c r="I31" i="46"/>
  <c r="V31" i="46"/>
  <c r="J31" i="46"/>
  <c r="W31" i="46"/>
  <c r="K31" i="46"/>
  <c r="X31" i="46"/>
  <c r="M31" i="46"/>
  <c r="Z31" i="46"/>
  <c r="N31" i="46"/>
  <c r="AA31" i="46"/>
  <c r="F32" i="46"/>
  <c r="S32" i="46"/>
  <c r="H32" i="46"/>
  <c r="U32" i="46"/>
  <c r="I32" i="46"/>
  <c r="V32" i="46"/>
  <c r="J32" i="46"/>
  <c r="W32" i="46"/>
  <c r="K32" i="46"/>
  <c r="X32" i="46"/>
  <c r="M32" i="46"/>
  <c r="Z32" i="46"/>
  <c r="N32" i="46"/>
  <c r="AA32" i="46"/>
  <c r="F33" i="46"/>
  <c r="S33" i="46"/>
  <c r="H33" i="46"/>
  <c r="U33" i="46"/>
  <c r="I33" i="46"/>
  <c r="V33" i="46"/>
  <c r="J33" i="46"/>
  <c r="W33" i="46"/>
  <c r="K33" i="46"/>
  <c r="X33" i="46"/>
  <c r="M33" i="46"/>
  <c r="Z33" i="46"/>
  <c r="N33" i="46"/>
  <c r="AA33" i="46"/>
  <c r="F34" i="46"/>
  <c r="S34" i="46"/>
  <c r="H34" i="46"/>
  <c r="U34" i="46"/>
  <c r="I34" i="46"/>
  <c r="V34" i="46"/>
  <c r="J34" i="46"/>
  <c r="W34" i="46"/>
  <c r="K34" i="46"/>
  <c r="X34" i="46"/>
  <c r="M34" i="46"/>
  <c r="Z34" i="46"/>
  <c r="N34" i="46"/>
  <c r="AA34" i="46"/>
  <c r="F35" i="46"/>
  <c r="S35" i="46"/>
  <c r="H35" i="46"/>
  <c r="U35" i="46"/>
  <c r="I35" i="46"/>
  <c r="V35" i="46"/>
  <c r="J35" i="46"/>
  <c r="W35" i="46"/>
  <c r="K35" i="46"/>
  <c r="X35" i="46"/>
  <c r="M35" i="46"/>
  <c r="Z35" i="46"/>
  <c r="N35" i="46"/>
  <c r="AA35" i="46"/>
  <c r="F36" i="46"/>
  <c r="S36" i="46"/>
  <c r="H36" i="46"/>
  <c r="U36" i="46"/>
  <c r="I36" i="46"/>
  <c r="V36" i="46"/>
  <c r="J36" i="46"/>
  <c r="W36" i="46"/>
  <c r="K36" i="46"/>
  <c r="X36" i="46"/>
  <c r="M36" i="46"/>
  <c r="Z36" i="46"/>
  <c r="N36" i="46"/>
  <c r="AA36" i="46"/>
  <c r="F37" i="46"/>
  <c r="S37" i="46"/>
  <c r="H37" i="46"/>
  <c r="U37" i="46"/>
  <c r="I37" i="46"/>
  <c r="V37" i="46"/>
  <c r="J37" i="46"/>
  <c r="W37" i="46"/>
  <c r="K37" i="46"/>
  <c r="X37" i="46"/>
  <c r="M37" i="46"/>
  <c r="Z37" i="46"/>
  <c r="N37" i="46"/>
  <c r="AA37" i="46"/>
  <c r="F38" i="46"/>
  <c r="S38" i="46"/>
  <c r="H38" i="46"/>
  <c r="U38" i="46"/>
  <c r="I38" i="46"/>
  <c r="V38" i="46"/>
  <c r="J38" i="46"/>
  <c r="W38" i="46"/>
  <c r="K38" i="46"/>
  <c r="X38" i="46"/>
  <c r="M38" i="46"/>
  <c r="Z38" i="46"/>
  <c r="N38" i="46"/>
  <c r="AA38" i="46"/>
  <c r="F39" i="46"/>
  <c r="S39" i="46"/>
  <c r="H39" i="46"/>
  <c r="U39" i="46"/>
  <c r="I39" i="46"/>
  <c r="V39" i="46"/>
  <c r="J39" i="46"/>
  <c r="W39" i="46"/>
  <c r="K39" i="46"/>
  <c r="X39" i="46"/>
  <c r="M39" i="46"/>
  <c r="Z39" i="46"/>
  <c r="N39" i="46"/>
  <c r="AA39" i="46"/>
  <c r="F40" i="46"/>
  <c r="S40" i="46"/>
  <c r="H40" i="46"/>
  <c r="U40" i="46"/>
  <c r="I40" i="46"/>
  <c r="V40" i="46"/>
  <c r="J40" i="46"/>
  <c r="W40" i="46"/>
  <c r="K40" i="46"/>
  <c r="X40" i="46"/>
  <c r="M40" i="46"/>
  <c r="Z40" i="46"/>
  <c r="N40" i="46"/>
  <c r="AA40" i="46"/>
  <c r="F41" i="46"/>
  <c r="S41" i="46"/>
  <c r="H41" i="46"/>
  <c r="U41" i="46"/>
  <c r="I41" i="46"/>
  <c r="V41" i="46"/>
  <c r="J41" i="46"/>
  <c r="W41" i="46"/>
  <c r="K41" i="46"/>
  <c r="X41" i="46"/>
  <c r="M41" i="46"/>
  <c r="Z41" i="46"/>
  <c r="N41" i="46"/>
  <c r="AA41" i="46"/>
  <c r="F42" i="46"/>
  <c r="S42" i="46"/>
  <c r="H42" i="46"/>
  <c r="U42" i="46"/>
  <c r="I42" i="46"/>
  <c r="V42" i="46"/>
  <c r="J42" i="46"/>
  <c r="W42" i="46"/>
  <c r="K42" i="46"/>
  <c r="X42" i="46"/>
  <c r="M42" i="46"/>
  <c r="Z42" i="46"/>
  <c r="N42" i="46"/>
  <c r="AA42" i="46"/>
  <c r="F43" i="46"/>
  <c r="S43" i="46"/>
  <c r="H43" i="46"/>
  <c r="U43" i="46"/>
  <c r="I43" i="46"/>
  <c r="V43" i="46"/>
  <c r="J43" i="46"/>
  <c r="W43" i="46"/>
  <c r="K43" i="46"/>
  <c r="X43" i="46"/>
  <c r="M43" i="46"/>
  <c r="Z43" i="46"/>
  <c r="N43" i="46"/>
  <c r="AA43" i="46"/>
  <c r="F44" i="46"/>
  <c r="S44" i="46"/>
  <c r="H44" i="46"/>
  <c r="U44" i="46"/>
  <c r="I44" i="46"/>
  <c r="V44" i="46"/>
  <c r="J44" i="46"/>
  <c r="W44" i="46"/>
  <c r="K44" i="46"/>
  <c r="X44" i="46"/>
  <c r="M44" i="46"/>
  <c r="Z44" i="46"/>
  <c r="N44" i="46"/>
  <c r="AA44" i="46"/>
  <c r="F45" i="46"/>
  <c r="S45" i="46"/>
  <c r="H45" i="46"/>
  <c r="U45" i="46"/>
  <c r="I45" i="46"/>
  <c r="V45" i="46"/>
  <c r="J45" i="46"/>
  <c r="W45" i="46"/>
  <c r="K45" i="46"/>
  <c r="X45" i="46"/>
  <c r="M45" i="46"/>
  <c r="Z45" i="46"/>
  <c r="N45" i="46"/>
  <c r="AA45" i="46"/>
  <c r="F46" i="46"/>
  <c r="S46" i="46"/>
  <c r="H46" i="46"/>
  <c r="U46" i="46"/>
  <c r="I46" i="46"/>
  <c r="V46" i="46"/>
  <c r="J46" i="46"/>
  <c r="W46" i="46"/>
  <c r="K46" i="46"/>
  <c r="X46" i="46"/>
  <c r="M46" i="46"/>
  <c r="Z46" i="46"/>
  <c r="N46" i="46"/>
  <c r="AA46" i="46"/>
  <c r="F47" i="46"/>
  <c r="S47" i="46"/>
  <c r="H47" i="46"/>
  <c r="U47" i="46"/>
  <c r="I47" i="46"/>
  <c r="V47" i="46"/>
  <c r="J47" i="46"/>
  <c r="W47" i="46"/>
  <c r="K47" i="46"/>
  <c r="X47" i="46"/>
  <c r="M47" i="46"/>
  <c r="Z47" i="46"/>
  <c r="N47" i="46"/>
  <c r="AA47" i="46"/>
  <c r="F48" i="46"/>
  <c r="S48" i="46"/>
  <c r="H48" i="46"/>
  <c r="U48" i="46"/>
  <c r="I48" i="46"/>
  <c r="V48" i="46"/>
  <c r="J48" i="46"/>
  <c r="W48" i="46"/>
  <c r="K48" i="46"/>
  <c r="X48" i="46"/>
  <c r="M48" i="46"/>
  <c r="Z48" i="46"/>
  <c r="N48" i="46"/>
  <c r="AA48" i="46"/>
  <c r="F49" i="46"/>
  <c r="S49" i="46"/>
  <c r="H49" i="46"/>
  <c r="U49" i="46"/>
  <c r="I49" i="46"/>
  <c r="V49" i="46"/>
  <c r="J49" i="46"/>
  <c r="W49" i="46"/>
  <c r="K49" i="46"/>
  <c r="X49" i="46"/>
  <c r="M49" i="46"/>
  <c r="Z49" i="46"/>
  <c r="N49" i="46"/>
  <c r="AA49" i="46"/>
  <c r="F50" i="46"/>
  <c r="S50" i="46"/>
  <c r="H50" i="46"/>
  <c r="U50" i="46"/>
  <c r="I50" i="46"/>
  <c r="V50" i="46"/>
  <c r="J50" i="46"/>
  <c r="W50" i="46"/>
  <c r="K50" i="46"/>
  <c r="X50" i="46"/>
  <c r="M50" i="46"/>
  <c r="Z50" i="46"/>
  <c r="N50" i="46"/>
  <c r="AA50" i="46"/>
  <c r="F51" i="46"/>
  <c r="S51" i="46"/>
  <c r="H51" i="46"/>
  <c r="U51" i="46"/>
  <c r="I51" i="46"/>
  <c r="V51" i="46"/>
  <c r="J51" i="46"/>
  <c r="W51" i="46"/>
  <c r="K51" i="46"/>
  <c r="X51" i="46"/>
  <c r="M51" i="46"/>
  <c r="Z51" i="46"/>
  <c r="N51" i="46"/>
  <c r="AA51" i="46"/>
  <c r="F52" i="46"/>
  <c r="S52" i="46"/>
  <c r="H52" i="46"/>
  <c r="U52" i="46"/>
  <c r="I52" i="46"/>
  <c r="V52" i="46"/>
  <c r="J52" i="46"/>
  <c r="W52" i="46"/>
  <c r="K52" i="46"/>
  <c r="X52" i="46"/>
  <c r="M52" i="46"/>
  <c r="Z52" i="46"/>
  <c r="N52" i="46"/>
  <c r="AA52" i="46"/>
  <c r="F53" i="46"/>
  <c r="S53" i="46"/>
  <c r="H53" i="46"/>
  <c r="U53" i="46"/>
  <c r="I53" i="46"/>
  <c r="V53" i="46"/>
  <c r="J53" i="46"/>
  <c r="W53" i="46"/>
  <c r="K53" i="46"/>
  <c r="X53" i="46"/>
  <c r="M53" i="46"/>
  <c r="Z53" i="46"/>
  <c r="N53" i="46"/>
  <c r="AA53" i="46"/>
  <c r="F54" i="46"/>
  <c r="S54" i="46"/>
  <c r="H54" i="46"/>
  <c r="U54" i="46"/>
  <c r="I54" i="46"/>
  <c r="V54" i="46"/>
  <c r="J54" i="46"/>
  <c r="W54" i="46"/>
  <c r="K54" i="46"/>
  <c r="X54" i="46"/>
  <c r="M54" i="46"/>
  <c r="Z54" i="46"/>
  <c r="N54" i="46"/>
  <c r="AA54" i="46"/>
  <c r="F55" i="46"/>
  <c r="S55" i="46"/>
  <c r="H55" i="46"/>
  <c r="U55" i="46"/>
  <c r="I55" i="46"/>
  <c r="V55" i="46"/>
  <c r="J55" i="46"/>
  <c r="W55" i="46"/>
  <c r="K55" i="46"/>
  <c r="X55" i="46"/>
  <c r="M55" i="46"/>
  <c r="Z55" i="46"/>
  <c r="N55" i="46"/>
  <c r="AA55" i="46"/>
  <c r="F56" i="46"/>
  <c r="S56" i="46"/>
  <c r="H56" i="46"/>
  <c r="U56" i="46"/>
  <c r="I56" i="46"/>
  <c r="V56" i="46"/>
  <c r="J56" i="46"/>
  <c r="W56" i="46"/>
  <c r="K56" i="46"/>
  <c r="X56" i="46"/>
  <c r="M56" i="46"/>
  <c r="Z56" i="46"/>
  <c r="N56" i="46"/>
  <c r="AA56" i="46"/>
  <c r="F57" i="46"/>
  <c r="S57" i="46"/>
  <c r="H57" i="46"/>
  <c r="U57" i="46"/>
  <c r="I57" i="46"/>
  <c r="V57" i="46"/>
  <c r="J57" i="46"/>
  <c r="W57" i="46"/>
  <c r="K57" i="46"/>
  <c r="X57" i="46"/>
  <c r="M57" i="46"/>
  <c r="Z57" i="46"/>
  <c r="N57" i="46"/>
  <c r="AA57" i="46"/>
  <c r="F58" i="46"/>
  <c r="S58" i="46"/>
  <c r="H58" i="46"/>
  <c r="U58" i="46"/>
  <c r="I58" i="46"/>
  <c r="V58" i="46"/>
  <c r="J58" i="46"/>
  <c r="W58" i="46"/>
  <c r="K58" i="46"/>
  <c r="X58" i="46"/>
  <c r="M58" i="46"/>
  <c r="Z58" i="46"/>
  <c r="N58" i="46"/>
  <c r="AA58" i="46"/>
  <c r="F59" i="46"/>
  <c r="S59" i="46"/>
  <c r="H59" i="46"/>
  <c r="U59" i="46"/>
  <c r="I59" i="46"/>
  <c r="V59" i="46"/>
  <c r="J59" i="46"/>
  <c r="W59" i="46"/>
  <c r="K59" i="46"/>
  <c r="X59" i="46"/>
  <c r="M59" i="46"/>
  <c r="Z59" i="46"/>
  <c r="N59" i="46"/>
  <c r="AA59" i="46"/>
  <c r="F60" i="46"/>
  <c r="S60" i="46"/>
  <c r="H60" i="46"/>
  <c r="U60" i="46"/>
  <c r="I60" i="46"/>
  <c r="V60" i="46"/>
  <c r="J60" i="46"/>
  <c r="W60" i="46"/>
  <c r="K60" i="46"/>
  <c r="X60" i="46"/>
  <c r="M60" i="46"/>
  <c r="Z60" i="46"/>
  <c r="N60" i="46"/>
  <c r="AA60" i="46"/>
  <c r="F61" i="46"/>
  <c r="S61" i="46"/>
  <c r="H61" i="46"/>
  <c r="U61" i="46"/>
  <c r="I61" i="46"/>
  <c r="V61" i="46"/>
  <c r="J61" i="46"/>
  <c r="W61" i="46"/>
  <c r="K61" i="46"/>
  <c r="X61" i="46"/>
  <c r="M61" i="46"/>
  <c r="Z61" i="46"/>
  <c r="N61" i="46"/>
  <c r="AA61" i="46"/>
  <c r="F62" i="46"/>
  <c r="S62" i="46"/>
  <c r="H62" i="46"/>
  <c r="U62" i="46"/>
  <c r="I62" i="46"/>
  <c r="V62" i="46"/>
  <c r="J62" i="46"/>
  <c r="W62" i="46"/>
  <c r="K62" i="46"/>
  <c r="X62" i="46"/>
  <c r="M62" i="46"/>
  <c r="Z62" i="46"/>
  <c r="N62" i="46"/>
  <c r="AA62" i="46"/>
  <c r="F63" i="46"/>
  <c r="S63" i="46"/>
  <c r="H63" i="46"/>
  <c r="U63" i="46"/>
  <c r="I63" i="46"/>
  <c r="V63" i="46"/>
  <c r="J63" i="46"/>
  <c r="W63" i="46"/>
  <c r="K63" i="46"/>
  <c r="X63" i="46"/>
  <c r="M63" i="46"/>
  <c r="Z63" i="46"/>
  <c r="N63" i="46"/>
  <c r="AA63" i="46"/>
  <c r="F64" i="46"/>
  <c r="S64" i="46"/>
  <c r="H64" i="46"/>
  <c r="U64" i="46"/>
  <c r="I64" i="46"/>
  <c r="V64" i="46"/>
  <c r="J64" i="46"/>
  <c r="W64" i="46"/>
  <c r="K64" i="46"/>
  <c r="X64" i="46"/>
  <c r="M64" i="46"/>
  <c r="Z64" i="46"/>
  <c r="N64" i="46"/>
  <c r="AA64" i="46"/>
  <c r="F65" i="46"/>
  <c r="S65" i="46"/>
  <c r="H65" i="46"/>
  <c r="U65" i="46"/>
  <c r="I65" i="46"/>
  <c r="V65" i="46"/>
  <c r="J65" i="46"/>
  <c r="W65" i="46"/>
  <c r="K65" i="46"/>
  <c r="X65" i="46"/>
  <c r="M65" i="46"/>
  <c r="Z65" i="46"/>
  <c r="N65" i="46"/>
  <c r="AA65" i="46"/>
  <c r="F66" i="46"/>
  <c r="S66" i="46"/>
  <c r="H66" i="46"/>
  <c r="U66" i="46"/>
  <c r="I66" i="46"/>
  <c r="V66" i="46"/>
  <c r="J66" i="46"/>
  <c r="W66" i="46"/>
  <c r="K66" i="46"/>
  <c r="X66" i="46"/>
  <c r="M66" i="46"/>
  <c r="Z66" i="46"/>
  <c r="N66" i="46"/>
  <c r="AA66" i="46"/>
  <c r="F67" i="46"/>
  <c r="S67" i="46"/>
  <c r="H67" i="46"/>
  <c r="U67" i="46"/>
  <c r="I67" i="46"/>
  <c r="V67" i="46"/>
  <c r="J67" i="46"/>
  <c r="W67" i="46"/>
  <c r="K67" i="46"/>
  <c r="X67" i="46"/>
  <c r="M67" i="46"/>
  <c r="Z67" i="46"/>
  <c r="N67" i="46"/>
  <c r="AA67" i="46"/>
  <c r="F68" i="46"/>
  <c r="S68" i="46"/>
  <c r="H68" i="46"/>
  <c r="U68" i="46"/>
  <c r="I68" i="46"/>
  <c r="V68" i="46"/>
  <c r="J68" i="46"/>
  <c r="W68" i="46"/>
  <c r="K68" i="46"/>
  <c r="X68" i="46"/>
  <c r="M68" i="46"/>
  <c r="Z68" i="46"/>
  <c r="N68" i="46"/>
  <c r="AA68" i="46"/>
  <c r="F69" i="46"/>
  <c r="S69" i="46"/>
  <c r="H69" i="46"/>
  <c r="U69" i="46"/>
  <c r="I69" i="46"/>
  <c r="V69" i="46"/>
  <c r="J69" i="46"/>
  <c r="W69" i="46"/>
  <c r="K69" i="46"/>
  <c r="X69" i="46"/>
  <c r="M69" i="46"/>
  <c r="Z69" i="46"/>
  <c r="N69" i="46"/>
  <c r="AA69" i="46"/>
  <c r="F70" i="46"/>
  <c r="S70" i="46"/>
  <c r="H70" i="46"/>
  <c r="U70" i="46"/>
  <c r="I70" i="46"/>
  <c r="V70" i="46"/>
  <c r="J70" i="46"/>
  <c r="W70" i="46"/>
  <c r="K70" i="46"/>
  <c r="X70" i="46"/>
  <c r="M70" i="46"/>
  <c r="Z70" i="46"/>
  <c r="N70" i="46"/>
  <c r="AA70" i="46"/>
  <c r="F71" i="46"/>
  <c r="S71" i="46"/>
  <c r="H71" i="46"/>
  <c r="U71" i="46"/>
  <c r="I71" i="46"/>
  <c r="V71" i="46"/>
  <c r="J71" i="46"/>
  <c r="W71" i="46"/>
  <c r="K71" i="46"/>
  <c r="X71" i="46"/>
  <c r="M71" i="46"/>
  <c r="Z71" i="46"/>
  <c r="N71" i="46"/>
  <c r="AA71" i="46"/>
  <c r="F72" i="46"/>
  <c r="S72" i="46"/>
  <c r="H72" i="46"/>
  <c r="U72" i="46"/>
  <c r="I72" i="46"/>
  <c r="V72" i="46"/>
  <c r="J72" i="46"/>
  <c r="W72" i="46"/>
  <c r="K72" i="46"/>
  <c r="X72" i="46"/>
  <c r="M72" i="46"/>
  <c r="Z72" i="46"/>
  <c r="N72" i="46"/>
  <c r="AA72" i="46"/>
  <c r="F73" i="46"/>
  <c r="S73" i="46"/>
  <c r="H73" i="46"/>
  <c r="U73" i="46"/>
  <c r="I73" i="46"/>
  <c r="V73" i="46"/>
  <c r="J73" i="46"/>
  <c r="W73" i="46"/>
  <c r="K73" i="46"/>
  <c r="X73" i="46"/>
  <c r="M73" i="46"/>
  <c r="Z73" i="46"/>
  <c r="N73" i="46"/>
  <c r="AA73" i="46"/>
  <c r="F74" i="46"/>
  <c r="S74" i="46"/>
  <c r="H74" i="46"/>
  <c r="U74" i="46"/>
  <c r="I74" i="46"/>
  <c r="V74" i="46"/>
  <c r="J74" i="46"/>
  <c r="W74" i="46"/>
  <c r="K74" i="46"/>
  <c r="X74" i="46"/>
  <c r="M74" i="46"/>
  <c r="Z74" i="46"/>
  <c r="N74" i="46"/>
  <c r="AA74" i="46"/>
  <c r="F75" i="46"/>
  <c r="S75" i="46"/>
  <c r="H75" i="46"/>
  <c r="U75" i="46"/>
  <c r="I75" i="46"/>
  <c r="V75" i="46"/>
  <c r="J75" i="46"/>
  <c r="W75" i="46"/>
  <c r="K75" i="46"/>
  <c r="X75" i="46"/>
  <c r="M75" i="46"/>
  <c r="Z75" i="46"/>
  <c r="N75" i="46"/>
  <c r="AA75" i="46"/>
  <c r="F76" i="46"/>
  <c r="S76" i="46"/>
  <c r="H76" i="46"/>
  <c r="U76" i="46"/>
  <c r="I76" i="46"/>
  <c r="V76" i="46"/>
  <c r="J76" i="46"/>
  <c r="W76" i="46"/>
  <c r="K76" i="46"/>
  <c r="X76" i="46"/>
  <c r="M76" i="46"/>
  <c r="Z76" i="46"/>
  <c r="N76" i="46"/>
  <c r="AA76" i="46"/>
  <c r="F77" i="46"/>
  <c r="S77" i="46"/>
  <c r="H77" i="46"/>
  <c r="U77" i="46"/>
  <c r="I77" i="46"/>
  <c r="V77" i="46"/>
  <c r="J77" i="46"/>
  <c r="W77" i="46"/>
  <c r="K77" i="46"/>
  <c r="X77" i="46"/>
  <c r="M77" i="46"/>
  <c r="Z77" i="46"/>
  <c r="N77" i="46"/>
  <c r="AA77" i="46"/>
  <c r="F78" i="46"/>
  <c r="S78" i="46"/>
  <c r="H78" i="46"/>
  <c r="U78" i="46"/>
  <c r="I78" i="46"/>
  <c r="V78" i="46"/>
  <c r="J78" i="46"/>
  <c r="W78" i="46"/>
  <c r="K78" i="46"/>
  <c r="X78" i="46"/>
  <c r="M78" i="46"/>
  <c r="Z78" i="46"/>
  <c r="N78" i="46"/>
  <c r="AA78" i="46"/>
  <c r="F79" i="46"/>
  <c r="S79" i="46"/>
  <c r="H79" i="46"/>
  <c r="U79" i="46"/>
  <c r="I79" i="46"/>
  <c r="V79" i="46"/>
  <c r="J79" i="46"/>
  <c r="W79" i="46"/>
  <c r="K79" i="46"/>
  <c r="X79" i="46"/>
  <c r="M79" i="46"/>
  <c r="Z79" i="46"/>
  <c r="N79" i="46"/>
  <c r="AA79" i="46"/>
  <c r="F80" i="46"/>
  <c r="S80" i="46"/>
  <c r="H80" i="46"/>
  <c r="U80" i="46"/>
  <c r="I80" i="46"/>
  <c r="V80" i="46"/>
  <c r="J80" i="46"/>
  <c r="W80" i="46"/>
  <c r="K80" i="46"/>
  <c r="X80" i="46"/>
  <c r="M80" i="46"/>
  <c r="Z80" i="46"/>
  <c r="N80" i="46"/>
  <c r="AA80" i="46"/>
  <c r="F81" i="46"/>
  <c r="S81" i="46"/>
  <c r="H81" i="46"/>
  <c r="U81" i="46"/>
  <c r="I81" i="46"/>
  <c r="V81" i="46"/>
  <c r="J81" i="46"/>
  <c r="W81" i="46"/>
  <c r="K81" i="46"/>
  <c r="X81" i="46"/>
  <c r="M81" i="46"/>
  <c r="Z81" i="46"/>
  <c r="N81" i="46"/>
  <c r="AA81" i="46"/>
  <c r="F82" i="46"/>
  <c r="S82" i="46"/>
  <c r="H82" i="46"/>
  <c r="U82" i="46"/>
  <c r="I82" i="46"/>
  <c r="V82" i="46"/>
  <c r="J82" i="46"/>
  <c r="W82" i="46"/>
  <c r="K82" i="46"/>
  <c r="X82" i="46"/>
  <c r="M82" i="46"/>
  <c r="Z82" i="46"/>
  <c r="N82" i="46"/>
  <c r="AA82" i="46"/>
  <c r="F83" i="46"/>
  <c r="S83" i="46"/>
  <c r="H83" i="46"/>
  <c r="U83" i="46"/>
  <c r="I83" i="46"/>
  <c r="V83" i="46"/>
  <c r="J83" i="46"/>
  <c r="W83" i="46"/>
  <c r="K83" i="46"/>
  <c r="X83" i="46"/>
  <c r="M83" i="46"/>
  <c r="Z83" i="46"/>
  <c r="N83" i="46"/>
  <c r="AA83" i="46"/>
  <c r="F84" i="46"/>
  <c r="S84" i="46"/>
  <c r="H84" i="46"/>
  <c r="U84" i="46"/>
  <c r="I84" i="46"/>
  <c r="V84" i="46"/>
  <c r="J84" i="46"/>
  <c r="W84" i="46"/>
  <c r="K84" i="46"/>
  <c r="X84" i="46"/>
  <c r="M84" i="46"/>
  <c r="Z84" i="46"/>
  <c r="N84" i="46"/>
  <c r="AA84" i="46"/>
  <c r="F85" i="46"/>
  <c r="S85" i="46"/>
  <c r="H85" i="46"/>
  <c r="U85" i="46"/>
  <c r="I85" i="46"/>
  <c r="V85" i="46"/>
  <c r="J85" i="46"/>
  <c r="W85" i="46"/>
  <c r="K85" i="46"/>
  <c r="X85" i="46"/>
  <c r="M85" i="46"/>
  <c r="Z85" i="46"/>
  <c r="N85" i="46"/>
  <c r="AA85" i="46"/>
  <c r="F86" i="46"/>
  <c r="S86" i="46"/>
  <c r="U86" i="46"/>
  <c r="V86" i="46"/>
  <c r="W86" i="46"/>
  <c r="X86" i="46"/>
  <c r="Z86" i="46"/>
  <c r="N86" i="46"/>
  <c r="AA86" i="46"/>
  <c r="F87" i="46"/>
  <c r="S87" i="46"/>
  <c r="U87" i="46"/>
  <c r="V87" i="46"/>
  <c r="W87" i="46"/>
  <c r="X87" i="46"/>
  <c r="Z87" i="46"/>
  <c r="N87" i="46"/>
  <c r="AA87" i="46"/>
  <c r="F88" i="46"/>
  <c r="S88" i="46"/>
  <c r="U88" i="46"/>
  <c r="V88" i="46"/>
  <c r="W88" i="46"/>
  <c r="X88" i="46"/>
  <c r="Z88" i="46"/>
  <c r="N88" i="46"/>
  <c r="AA88" i="46"/>
  <c r="F89" i="46"/>
  <c r="S89" i="46"/>
  <c r="U89" i="46"/>
  <c r="V89" i="46"/>
  <c r="W89" i="46"/>
  <c r="X89" i="46"/>
  <c r="Z89" i="46"/>
  <c r="N89" i="46"/>
  <c r="AA89" i="46"/>
  <c r="F90" i="46"/>
  <c r="S90" i="46"/>
  <c r="U90" i="46"/>
  <c r="V90" i="46"/>
  <c r="W90" i="46"/>
  <c r="X90" i="46"/>
  <c r="Z90" i="46"/>
  <c r="N90" i="46"/>
  <c r="AA90" i="46"/>
  <c r="F91" i="46"/>
  <c r="S91" i="46"/>
  <c r="U91" i="46"/>
  <c r="V91" i="46"/>
  <c r="W91" i="46"/>
  <c r="X91" i="46"/>
  <c r="Z91" i="46"/>
  <c r="N91" i="46"/>
  <c r="AA91" i="46"/>
  <c r="F92" i="46"/>
  <c r="S92" i="46"/>
  <c r="U92" i="46"/>
  <c r="V92" i="46"/>
  <c r="W92" i="46"/>
  <c r="X92" i="46"/>
  <c r="Z92" i="46"/>
  <c r="N92" i="46"/>
  <c r="AA92" i="46"/>
  <c r="F93" i="46"/>
  <c r="S93" i="46"/>
  <c r="U93" i="46"/>
  <c r="V93" i="46"/>
  <c r="W93" i="46"/>
  <c r="X93" i="46"/>
  <c r="Z93" i="46"/>
  <c r="N93" i="46"/>
  <c r="AA93" i="46"/>
  <c r="F94" i="46"/>
  <c r="S94" i="46"/>
  <c r="U94" i="46"/>
  <c r="V94" i="46"/>
  <c r="W94" i="46"/>
  <c r="X94" i="46"/>
  <c r="Z94" i="46"/>
  <c r="N94" i="46"/>
  <c r="AA94" i="46"/>
  <c r="F95" i="46"/>
  <c r="S95" i="46"/>
  <c r="U95" i="46"/>
  <c r="V95" i="46"/>
  <c r="W95" i="46"/>
  <c r="X95" i="46"/>
  <c r="Z95" i="46"/>
  <c r="N95" i="46"/>
  <c r="AA95" i="46"/>
  <c r="F96" i="46"/>
  <c r="S96" i="46"/>
  <c r="U96" i="46"/>
  <c r="V96" i="46"/>
  <c r="W96" i="46"/>
  <c r="X96" i="46"/>
  <c r="Z96" i="46"/>
  <c r="N96" i="46"/>
  <c r="AA96" i="46"/>
  <c r="F97" i="46"/>
  <c r="S97" i="46"/>
  <c r="U97" i="46"/>
  <c r="V97" i="46"/>
  <c r="W97" i="46"/>
  <c r="X97" i="46"/>
  <c r="Z97" i="46"/>
  <c r="N97" i="46"/>
  <c r="AA97" i="46"/>
  <c r="F98" i="46"/>
  <c r="S98" i="46"/>
  <c r="U98" i="46"/>
  <c r="V98" i="46"/>
  <c r="W98" i="46"/>
  <c r="X98" i="46"/>
  <c r="M98" i="46"/>
  <c r="Z98" i="46"/>
  <c r="N98" i="46"/>
  <c r="AA98" i="46"/>
  <c r="F99" i="46"/>
  <c r="S99" i="46"/>
  <c r="U99" i="46"/>
  <c r="V99" i="46"/>
  <c r="W99" i="46"/>
  <c r="X99" i="46"/>
  <c r="M99" i="46"/>
  <c r="Z99" i="46"/>
  <c r="N99" i="46"/>
  <c r="AA99" i="46"/>
  <c r="F100" i="46"/>
  <c r="S100" i="46"/>
  <c r="U100" i="46"/>
  <c r="V100" i="46"/>
  <c r="W100" i="46"/>
  <c r="X100" i="46"/>
  <c r="M100" i="46"/>
  <c r="Z100" i="46"/>
  <c r="N100" i="46"/>
  <c r="AA100" i="46"/>
  <c r="F101" i="46"/>
  <c r="S101" i="46"/>
  <c r="U101" i="46"/>
  <c r="V101" i="46"/>
  <c r="W101" i="46"/>
  <c r="X101" i="46"/>
  <c r="M101" i="46"/>
  <c r="Z101" i="46"/>
  <c r="N101" i="46"/>
  <c r="AA101" i="46"/>
  <c r="F102" i="46"/>
  <c r="S102" i="46"/>
  <c r="U102" i="46"/>
  <c r="V102" i="46"/>
  <c r="W102" i="46"/>
  <c r="X102" i="46"/>
  <c r="M102" i="46"/>
  <c r="Z102" i="46"/>
  <c r="N102" i="46"/>
  <c r="AA102" i="46"/>
  <c r="F103" i="46"/>
  <c r="S103" i="46"/>
  <c r="U103" i="46"/>
  <c r="V103" i="46"/>
  <c r="W103" i="46"/>
  <c r="X103" i="46"/>
  <c r="M103" i="46"/>
  <c r="Z103" i="46"/>
  <c r="N103" i="46"/>
  <c r="AA103" i="46"/>
  <c r="F104" i="46"/>
  <c r="S104" i="46"/>
  <c r="U104" i="46"/>
  <c r="V104" i="46"/>
  <c r="W104" i="46"/>
  <c r="X104" i="46"/>
  <c r="M104" i="46"/>
  <c r="Z104" i="46"/>
  <c r="N104" i="46"/>
  <c r="AA104" i="46"/>
  <c r="F105" i="46"/>
  <c r="S105" i="46"/>
  <c r="U105" i="46"/>
  <c r="V105" i="46"/>
  <c r="W105" i="46"/>
  <c r="X105" i="46"/>
  <c r="M105" i="46"/>
  <c r="Z105" i="46"/>
  <c r="N105" i="46"/>
  <c r="AA105" i="46"/>
  <c r="F106" i="46"/>
  <c r="S106" i="46"/>
  <c r="U106" i="46"/>
  <c r="V106" i="46"/>
  <c r="W106" i="46"/>
  <c r="X106" i="46"/>
  <c r="M106" i="46"/>
  <c r="Z106" i="46"/>
  <c r="N106" i="46"/>
  <c r="AA106" i="46"/>
  <c r="F107" i="46"/>
  <c r="S107" i="46"/>
  <c r="U107" i="46"/>
  <c r="V107" i="46"/>
  <c r="W107" i="46"/>
  <c r="X107" i="46"/>
  <c r="M107" i="46"/>
  <c r="Z107" i="46"/>
  <c r="N107" i="46"/>
  <c r="AA107" i="46"/>
  <c r="F108" i="46"/>
  <c r="S108" i="46"/>
  <c r="U108" i="46"/>
  <c r="V108" i="46"/>
  <c r="W108" i="46"/>
  <c r="X108" i="46"/>
  <c r="M108" i="46"/>
  <c r="Z108" i="46"/>
  <c r="N108" i="46"/>
  <c r="AA108" i="46"/>
  <c r="F109" i="46"/>
  <c r="S109" i="46"/>
  <c r="U109" i="46"/>
  <c r="V109" i="46"/>
  <c r="W109" i="46"/>
  <c r="X109" i="46"/>
  <c r="M109" i="46"/>
  <c r="Z109" i="46"/>
  <c r="N109" i="46"/>
  <c r="AA109" i="46"/>
  <c r="S110" i="46"/>
  <c r="U110" i="46"/>
  <c r="V110" i="46"/>
  <c r="W110" i="46"/>
  <c r="X110" i="46"/>
  <c r="M110" i="46"/>
  <c r="Z110" i="46"/>
  <c r="N110" i="46"/>
  <c r="AA110" i="46"/>
  <c r="S111" i="46"/>
  <c r="U111" i="46"/>
  <c r="V111" i="46"/>
  <c r="W111" i="46"/>
  <c r="X111" i="46"/>
  <c r="M111" i="46"/>
  <c r="Z111" i="46"/>
  <c r="N111" i="46"/>
  <c r="AA111" i="46"/>
  <c r="S112" i="46"/>
  <c r="U112" i="46"/>
  <c r="V112" i="46"/>
  <c r="W112" i="46"/>
  <c r="X112" i="46"/>
  <c r="M112" i="46"/>
  <c r="Z112" i="46"/>
  <c r="N112" i="46"/>
  <c r="AA112" i="46"/>
  <c r="S113" i="46"/>
  <c r="U113" i="46"/>
  <c r="V113" i="46"/>
  <c r="W113" i="46"/>
  <c r="X113" i="46"/>
  <c r="M113" i="46"/>
  <c r="Z113" i="46"/>
  <c r="N113" i="46"/>
  <c r="AA113" i="46"/>
  <c r="S114" i="46"/>
  <c r="U114" i="46"/>
  <c r="V114" i="46"/>
  <c r="W114" i="46"/>
  <c r="X114" i="46"/>
  <c r="M114" i="46"/>
  <c r="Z114" i="46"/>
  <c r="N114" i="46"/>
  <c r="AA114" i="46"/>
  <c r="S115" i="46"/>
  <c r="U115" i="46"/>
  <c r="V115" i="46"/>
  <c r="W115" i="46"/>
  <c r="X115" i="46"/>
  <c r="M115" i="46"/>
  <c r="Z115" i="46"/>
  <c r="N115" i="46"/>
  <c r="AA115" i="46"/>
  <c r="S116" i="46"/>
  <c r="U116" i="46"/>
  <c r="V116" i="46"/>
  <c r="W116" i="46"/>
  <c r="X116" i="46"/>
  <c r="M116" i="46"/>
  <c r="Z116" i="46"/>
  <c r="N116" i="46"/>
  <c r="AA116" i="46"/>
  <c r="S117" i="46"/>
  <c r="U117" i="46"/>
  <c r="V117" i="46"/>
  <c r="W117" i="46"/>
  <c r="X117" i="46"/>
  <c r="M117" i="46"/>
  <c r="Z117" i="46"/>
  <c r="N117" i="46"/>
  <c r="AA117" i="46"/>
  <c r="S118" i="46"/>
  <c r="U118" i="46"/>
  <c r="V118" i="46"/>
  <c r="W118" i="46"/>
  <c r="X118" i="46"/>
  <c r="M118" i="46"/>
  <c r="Z118" i="46"/>
  <c r="N118" i="46"/>
  <c r="AA118" i="46"/>
  <c r="S119" i="46"/>
  <c r="U119" i="46"/>
  <c r="V119" i="46"/>
  <c r="W119" i="46"/>
  <c r="X119" i="46"/>
  <c r="M119" i="46"/>
  <c r="Z119" i="46"/>
  <c r="N119" i="46"/>
  <c r="AA119" i="46"/>
  <c r="S120" i="46"/>
  <c r="U120" i="46"/>
  <c r="V120" i="46"/>
  <c r="W120" i="46"/>
  <c r="X120" i="46"/>
  <c r="M120" i="46"/>
  <c r="Z120" i="46"/>
  <c r="N120" i="46"/>
  <c r="AA120" i="46"/>
  <c r="S121" i="46"/>
  <c r="U121" i="46"/>
  <c r="V121" i="46"/>
  <c r="W121" i="46"/>
  <c r="X121" i="46"/>
  <c r="M121" i="46"/>
  <c r="Z121" i="46"/>
  <c r="N121" i="46"/>
  <c r="AA121" i="46"/>
  <c r="S122" i="46"/>
  <c r="U122" i="46"/>
  <c r="V122" i="46"/>
  <c r="W122" i="46"/>
  <c r="X122" i="46"/>
  <c r="M122" i="46"/>
  <c r="Z122" i="46"/>
  <c r="S123" i="46"/>
  <c r="U123" i="46"/>
  <c r="V123" i="46"/>
  <c r="W123" i="46"/>
  <c r="X123" i="46"/>
  <c r="M123" i="46"/>
  <c r="Z123" i="46"/>
  <c r="S124" i="46"/>
  <c r="U124" i="46"/>
  <c r="V124" i="46"/>
  <c r="W124" i="46"/>
  <c r="X124" i="46"/>
  <c r="M124" i="46"/>
  <c r="Z124" i="46"/>
  <c r="S125" i="46"/>
  <c r="U125" i="46"/>
  <c r="V125" i="46"/>
  <c r="W125" i="46"/>
  <c r="X125" i="46"/>
  <c r="M125" i="46"/>
  <c r="Z125" i="46"/>
  <c r="S126" i="46"/>
  <c r="U126" i="46"/>
  <c r="V126" i="46"/>
  <c r="W126" i="46"/>
  <c r="X126" i="46"/>
  <c r="M126" i="46"/>
  <c r="Z126" i="46"/>
  <c r="S127" i="46"/>
  <c r="U127" i="46"/>
  <c r="V127" i="46"/>
  <c r="W127" i="46"/>
  <c r="X127" i="46"/>
  <c r="M127" i="46"/>
  <c r="Z127" i="46"/>
  <c r="S128" i="46"/>
  <c r="U128" i="46"/>
  <c r="V128" i="46"/>
  <c r="W128" i="46"/>
  <c r="X128" i="46"/>
  <c r="M128" i="46"/>
  <c r="Z128" i="46"/>
  <c r="S129" i="46"/>
  <c r="U129" i="46"/>
  <c r="V129" i="46"/>
  <c r="W129" i="46"/>
  <c r="X129" i="46"/>
  <c r="M129" i="46"/>
  <c r="Z129" i="46"/>
  <c r="S130" i="46"/>
  <c r="U130" i="46"/>
  <c r="V130" i="46"/>
  <c r="W130" i="46"/>
  <c r="X130" i="46"/>
  <c r="M130" i="46"/>
  <c r="Z130" i="46"/>
  <c r="S131" i="46"/>
  <c r="U131" i="46"/>
  <c r="V131" i="46"/>
  <c r="W131" i="46"/>
  <c r="X131" i="46"/>
  <c r="M131" i="46"/>
  <c r="Z131" i="46"/>
  <c r="S132" i="46"/>
  <c r="U132" i="46"/>
  <c r="V132" i="46"/>
  <c r="W132" i="46"/>
  <c r="X132" i="46"/>
  <c r="M132" i="46"/>
  <c r="Z132" i="46"/>
  <c r="S133" i="46"/>
  <c r="U133" i="46"/>
  <c r="V133" i="46"/>
  <c r="W133" i="46"/>
  <c r="X133" i="46"/>
  <c r="M133" i="46"/>
  <c r="Z133" i="46"/>
  <c r="A2" i="46"/>
  <c r="B2" i="46"/>
  <c r="A3" i="46"/>
  <c r="B3" i="46"/>
  <c r="A4" i="46"/>
  <c r="B4" i="46"/>
  <c r="A5" i="46"/>
  <c r="B5" i="46"/>
  <c r="A6" i="46"/>
  <c r="B6" i="46"/>
  <c r="A7" i="46"/>
  <c r="B7" i="46"/>
  <c r="A8" i="46"/>
  <c r="B8" i="46"/>
  <c r="A9" i="46"/>
  <c r="B9" i="46"/>
  <c r="A10" i="46"/>
  <c r="B10" i="46"/>
  <c r="A11" i="46"/>
  <c r="B11" i="46"/>
  <c r="A12" i="46"/>
  <c r="B12" i="46"/>
  <c r="A13" i="46"/>
  <c r="B13" i="46"/>
  <c r="A14" i="46"/>
  <c r="B14" i="46"/>
  <c r="A15" i="46"/>
  <c r="B15" i="46"/>
  <c r="A16" i="46"/>
  <c r="B16" i="46"/>
  <c r="A17" i="46"/>
  <c r="B17" i="46"/>
  <c r="A18" i="46"/>
  <c r="B18" i="46"/>
  <c r="A19" i="46"/>
  <c r="B19" i="46"/>
  <c r="A20" i="46"/>
  <c r="B20" i="46"/>
  <c r="A21" i="46"/>
  <c r="B21" i="46"/>
  <c r="A22" i="46"/>
  <c r="B22" i="46"/>
  <c r="A23" i="46"/>
  <c r="B23" i="46"/>
  <c r="A24" i="46"/>
  <c r="B24" i="46"/>
  <c r="A25" i="46"/>
  <c r="B25" i="46"/>
  <c r="A26" i="46"/>
  <c r="B26" i="46"/>
  <c r="A27" i="46"/>
  <c r="B27" i="46"/>
  <c r="A28" i="46"/>
  <c r="B28" i="46"/>
  <c r="A29" i="46"/>
  <c r="B29" i="46"/>
  <c r="A30" i="46"/>
  <c r="B30" i="46"/>
  <c r="A31" i="46"/>
  <c r="B31" i="46"/>
  <c r="A32" i="46"/>
  <c r="B32" i="46"/>
  <c r="A33" i="46"/>
  <c r="B33" i="46"/>
  <c r="A34" i="46"/>
  <c r="B34" i="46"/>
  <c r="A35" i="46"/>
  <c r="B35" i="46"/>
  <c r="A36" i="46"/>
  <c r="B36" i="46"/>
  <c r="A37" i="46"/>
  <c r="B37" i="46"/>
  <c r="A38" i="46"/>
  <c r="B38" i="46"/>
  <c r="A39" i="46"/>
  <c r="B39" i="46"/>
  <c r="A40" i="46"/>
  <c r="B40" i="46"/>
  <c r="A41" i="46"/>
  <c r="B41" i="46"/>
  <c r="A42" i="46"/>
  <c r="B42" i="46"/>
  <c r="A43" i="46"/>
  <c r="B43" i="46"/>
  <c r="A44" i="46"/>
  <c r="B44" i="46"/>
  <c r="A45" i="46"/>
  <c r="B45" i="46"/>
  <c r="A46" i="46"/>
  <c r="B46" i="46"/>
  <c r="A47" i="46"/>
  <c r="B47" i="46"/>
  <c r="A48" i="46"/>
  <c r="B48" i="46"/>
  <c r="A49" i="46"/>
  <c r="B49" i="46"/>
  <c r="A50" i="46"/>
  <c r="B50" i="46"/>
  <c r="A51" i="46"/>
  <c r="B51" i="46"/>
  <c r="A52" i="46"/>
  <c r="B52" i="46"/>
  <c r="A53" i="46"/>
  <c r="B53" i="46"/>
  <c r="A54" i="46"/>
  <c r="B54" i="46"/>
  <c r="A55" i="46"/>
  <c r="B55" i="46"/>
  <c r="A56" i="46"/>
  <c r="B56" i="46"/>
  <c r="A57" i="46"/>
  <c r="B57" i="46"/>
  <c r="A58" i="46"/>
  <c r="B58" i="46"/>
  <c r="A59" i="46"/>
  <c r="B59" i="46"/>
  <c r="A60" i="46"/>
  <c r="B60" i="46"/>
  <c r="A61" i="46"/>
  <c r="B61" i="46"/>
  <c r="A62" i="46"/>
  <c r="B62" i="46"/>
  <c r="A63" i="46"/>
  <c r="B63" i="46"/>
  <c r="A64" i="46"/>
  <c r="B64" i="46"/>
  <c r="A65" i="46"/>
  <c r="B65" i="46"/>
  <c r="A66" i="46"/>
  <c r="B66" i="46"/>
  <c r="A67" i="46"/>
  <c r="B67" i="46"/>
  <c r="A68" i="46"/>
  <c r="B68" i="46"/>
  <c r="A69" i="46"/>
  <c r="B69" i="46"/>
  <c r="A70" i="46"/>
  <c r="B70" i="46"/>
  <c r="A71" i="46"/>
  <c r="B71" i="46"/>
  <c r="A72" i="46"/>
  <c r="B72" i="46"/>
  <c r="A73" i="46"/>
  <c r="B73" i="46"/>
  <c r="A74" i="46"/>
  <c r="B74" i="46"/>
  <c r="A75" i="46"/>
  <c r="B75" i="46"/>
  <c r="A76" i="46"/>
  <c r="B76" i="46"/>
  <c r="A77" i="46"/>
  <c r="B77" i="46"/>
  <c r="A78" i="46"/>
  <c r="B78" i="46"/>
  <c r="A79" i="46"/>
  <c r="B79" i="46"/>
  <c r="A80" i="46"/>
  <c r="B80" i="46"/>
  <c r="A81" i="46"/>
  <c r="B81" i="46"/>
  <c r="A82" i="46"/>
  <c r="B82" i="46"/>
  <c r="A83" i="46"/>
  <c r="B83" i="46"/>
  <c r="A84" i="46"/>
  <c r="B84" i="46"/>
  <c r="A85" i="46"/>
  <c r="B85" i="46"/>
  <c r="A86" i="46"/>
  <c r="B86" i="46"/>
  <c r="A87" i="46"/>
  <c r="B87" i="46"/>
  <c r="A88" i="46"/>
  <c r="B88" i="46"/>
  <c r="A89" i="46"/>
  <c r="B89" i="46"/>
  <c r="A90" i="46"/>
  <c r="B90" i="46"/>
  <c r="A91" i="46"/>
  <c r="B91" i="46"/>
  <c r="A92" i="46"/>
  <c r="B92" i="46"/>
  <c r="A93" i="46"/>
  <c r="B93" i="46"/>
  <c r="A94" i="46"/>
  <c r="B94" i="46"/>
  <c r="A95" i="46"/>
  <c r="B95" i="46"/>
  <c r="A96" i="46"/>
  <c r="B96" i="46"/>
  <c r="A97" i="46"/>
  <c r="B97" i="46"/>
  <c r="D2" i="43"/>
  <c r="L2" i="43"/>
  <c r="E2" i="43"/>
  <c r="M2" i="43"/>
  <c r="G2" i="43"/>
  <c r="O2" i="43"/>
  <c r="H2" i="43"/>
  <c r="P2" i="43"/>
  <c r="I2" i="43"/>
  <c r="Q2" i="43"/>
  <c r="R2" i="43"/>
  <c r="D3" i="43"/>
  <c r="L3" i="43"/>
  <c r="E3" i="43"/>
  <c r="M3" i="43"/>
  <c r="G3" i="43"/>
  <c r="O3" i="43"/>
  <c r="H3" i="43"/>
  <c r="P3" i="43"/>
  <c r="I3" i="43"/>
  <c r="Q3" i="43"/>
  <c r="R3" i="43"/>
  <c r="D4" i="43"/>
  <c r="L4" i="43"/>
  <c r="E4" i="43"/>
  <c r="M4" i="43"/>
  <c r="G4" i="43"/>
  <c r="O4" i="43"/>
  <c r="H4" i="43"/>
  <c r="P4" i="43"/>
  <c r="I4" i="43"/>
  <c r="Q4" i="43"/>
  <c r="R4" i="43"/>
  <c r="D5" i="43"/>
  <c r="L5" i="43"/>
  <c r="E5" i="43"/>
  <c r="M5" i="43"/>
  <c r="G5" i="43"/>
  <c r="O5" i="43"/>
  <c r="H5" i="43"/>
  <c r="P5" i="43"/>
  <c r="I5" i="43"/>
  <c r="Q5" i="43"/>
  <c r="R5" i="43"/>
  <c r="D6" i="43"/>
  <c r="L6" i="43"/>
  <c r="E6" i="43"/>
  <c r="M6" i="43"/>
  <c r="G6" i="43"/>
  <c r="O6" i="43"/>
  <c r="H6" i="43"/>
  <c r="P6" i="43"/>
  <c r="I6" i="43"/>
  <c r="Q6" i="43"/>
  <c r="R6" i="43"/>
  <c r="D7" i="43"/>
  <c r="L7" i="43"/>
  <c r="E7" i="43"/>
  <c r="M7" i="43"/>
  <c r="G7" i="43"/>
  <c r="O7" i="43"/>
  <c r="H7" i="43"/>
  <c r="P7" i="43"/>
  <c r="I7" i="43"/>
  <c r="Q7" i="43"/>
  <c r="R7" i="43"/>
  <c r="D8" i="43"/>
  <c r="L8" i="43"/>
  <c r="E8" i="43"/>
  <c r="M8" i="43"/>
  <c r="G8" i="43"/>
  <c r="O8" i="43"/>
  <c r="H8" i="43"/>
  <c r="P8" i="43"/>
  <c r="I8" i="43"/>
  <c r="Q8" i="43"/>
  <c r="R8" i="43"/>
  <c r="D9" i="43"/>
  <c r="L9" i="43"/>
  <c r="E9" i="43"/>
  <c r="M9" i="43"/>
  <c r="G9" i="43"/>
  <c r="O9" i="43"/>
  <c r="H9" i="43"/>
  <c r="P9" i="43"/>
  <c r="I9" i="43"/>
  <c r="Q9" i="43"/>
  <c r="R9" i="43"/>
  <c r="D10" i="43"/>
  <c r="L10" i="43"/>
  <c r="E10" i="43"/>
  <c r="M10" i="43"/>
  <c r="G10" i="43"/>
  <c r="O10" i="43"/>
  <c r="H10" i="43"/>
  <c r="P10" i="43"/>
  <c r="I10" i="43"/>
  <c r="Q10" i="43"/>
  <c r="R10" i="43"/>
  <c r="D11" i="43"/>
  <c r="L11" i="43"/>
  <c r="E11" i="43"/>
  <c r="M11" i="43"/>
  <c r="G11" i="43"/>
  <c r="O11" i="43"/>
  <c r="H11" i="43"/>
  <c r="P11" i="43"/>
  <c r="I11" i="43"/>
  <c r="Q11" i="43"/>
  <c r="R11" i="43"/>
  <c r="D12" i="43"/>
  <c r="L12" i="43"/>
  <c r="E12" i="43"/>
  <c r="M12" i="43"/>
  <c r="G12" i="43"/>
  <c r="O12" i="43"/>
  <c r="H12" i="43"/>
  <c r="P12" i="43"/>
  <c r="I12" i="43"/>
  <c r="Q12" i="43"/>
  <c r="R12" i="43"/>
  <c r="D13" i="43"/>
  <c r="L13" i="43"/>
  <c r="E13" i="43"/>
  <c r="M13" i="43"/>
  <c r="G13" i="43"/>
  <c r="O13" i="43"/>
  <c r="H13" i="43"/>
  <c r="P13" i="43"/>
  <c r="I13" i="43"/>
  <c r="Q13" i="43"/>
  <c r="R13" i="43"/>
  <c r="D14" i="43"/>
  <c r="L14" i="43"/>
  <c r="E14" i="43"/>
  <c r="M14" i="43"/>
  <c r="G14" i="43"/>
  <c r="O14" i="43"/>
  <c r="H14" i="43"/>
  <c r="P14" i="43"/>
  <c r="I14" i="43"/>
  <c r="Q14" i="43"/>
  <c r="R14" i="43"/>
  <c r="D15" i="43"/>
  <c r="L15" i="43"/>
  <c r="E15" i="43"/>
  <c r="M15" i="43"/>
  <c r="G15" i="43"/>
  <c r="O15" i="43"/>
  <c r="H15" i="43"/>
  <c r="P15" i="43"/>
  <c r="I15" i="43"/>
  <c r="Q15" i="43"/>
  <c r="R15" i="43"/>
  <c r="D16" i="43"/>
  <c r="L16" i="43"/>
  <c r="E16" i="43"/>
  <c r="M16" i="43"/>
  <c r="G16" i="43"/>
  <c r="O16" i="43"/>
  <c r="H16" i="43"/>
  <c r="P16" i="43"/>
  <c r="I16" i="43"/>
  <c r="Q16" i="43"/>
  <c r="R16" i="43"/>
  <c r="D17" i="43"/>
  <c r="L17" i="43"/>
  <c r="E17" i="43"/>
  <c r="M17" i="43"/>
  <c r="G17" i="43"/>
  <c r="O17" i="43"/>
  <c r="H17" i="43"/>
  <c r="P17" i="43"/>
  <c r="I17" i="43"/>
  <c r="Q17" i="43"/>
  <c r="R17" i="43"/>
  <c r="D18" i="43"/>
  <c r="L18" i="43"/>
  <c r="E18" i="43"/>
  <c r="M18" i="43"/>
  <c r="G18" i="43"/>
  <c r="O18" i="43"/>
  <c r="H18" i="43"/>
  <c r="P18" i="43"/>
  <c r="I18" i="43"/>
  <c r="Q18" i="43"/>
  <c r="R18" i="43"/>
  <c r="D19" i="43"/>
  <c r="L19" i="43"/>
  <c r="E19" i="43"/>
  <c r="M19" i="43"/>
  <c r="G19" i="43"/>
  <c r="O19" i="43"/>
  <c r="H19" i="43"/>
  <c r="P19" i="43"/>
  <c r="I19" i="43"/>
  <c r="Q19" i="43"/>
  <c r="R19" i="43"/>
  <c r="D20" i="43"/>
  <c r="L20" i="43"/>
  <c r="E20" i="43"/>
  <c r="M20" i="43"/>
  <c r="G20" i="43"/>
  <c r="O20" i="43"/>
  <c r="H20" i="43"/>
  <c r="P20" i="43"/>
  <c r="I20" i="43"/>
  <c r="Q20" i="43"/>
  <c r="R20" i="43"/>
  <c r="D21" i="43"/>
  <c r="L21" i="43"/>
  <c r="E21" i="43"/>
  <c r="M21" i="43"/>
  <c r="G21" i="43"/>
  <c r="O21" i="43"/>
  <c r="H21" i="43"/>
  <c r="P21" i="43"/>
  <c r="I21" i="43"/>
  <c r="Q21" i="43"/>
  <c r="R21" i="43"/>
  <c r="D22" i="43"/>
  <c r="L22" i="43"/>
  <c r="E22" i="43"/>
  <c r="M22" i="43"/>
  <c r="G22" i="43"/>
  <c r="O22" i="43"/>
  <c r="H22" i="43"/>
  <c r="P22" i="43"/>
  <c r="I22" i="43"/>
  <c r="Q22" i="43"/>
  <c r="R22" i="43"/>
  <c r="D23" i="43"/>
  <c r="L23" i="43"/>
  <c r="E23" i="43"/>
  <c r="M23" i="43"/>
  <c r="G23" i="43"/>
  <c r="O23" i="43"/>
  <c r="H23" i="43"/>
  <c r="P23" i="43"/>
  <c r="I23" i="43"/>
  <c r="Q23" i="43"/>
  <c r="R23" i="43"/>
  <c r="D24" i="43"/>
  <c r="L24" i="43"/>
  <c r="E24" i="43"/>
  <c r="M24" i="43"/>
  <c r="G24" i="43"/>
  <c r="O24" i="43"/>
  <c r="H24" i="43"/>
  <c r="P24" i="43"/>
  <c r="I24" i="43"/>
  <c r="Q24" i="43"/>
  <c r="R24" i="43"/>
  <c r="D25" i="43"/>
  <c r="L25" i="43"/>
  <c r="E25" i="43"/>
  <c r="M25" i="43"/>
  <c r="G25" i="43"/>
  <c r="O25" i="43"/>
  <c r="H25" i="43"/>
  <c r="P25" i="43"/>
  <c r="I25" i="43"/>
  <c r="Q25" i="43"/>
  <c r="R25" i="43"/>
  <c r="D26" i="43"/>
  <c r="L26" i="43"/>
  <c r="E26" i="43"/>
  <c r="M26" i="43"/>
  <c r="G26" i="43"/>
  <c r="O26" i="43"/>
  <c r="H26" i="43"/>
  <c r="P26" i="43"/>
  <c r="I26" i="43"/>
  <c r="Q26" i="43"/>
  <c r="R26" i="43"/>
  <c r="D27" i="43"/>
  <c r="L27" i="43"/>
  <c r="E27" i="43"/>
  <c r="M27" i="43"/>
  <c r="G27" i="43"/>
  <c r="O27" i="43"/>
  <c r="H27" i="43"/>
  <c r="P27" i="43"/>
  <c r="I27" i="43"/>
  <c r="Q27" i="43"/>
  <c r="R27" i="43"/>
  <c r="D28" i="43"/>
  <c r="L28" i="43"/>
  <c r="E28" i="43"/>
  <c r="M28" i="43"/>
  <c r="G28" i="43"/>
  <c r="O28" i="43"/>
  <c r="H28" i="43"/>
  <c r="P28" i="43"/>
  <c r="I28" i="43"/>
  <c r="Q28" i="43"/>
  <c r="R28" i="43"/>
  <c r="D29" i="43"/>
  <c r="L29" i="43"/>
  <c r="E29" i="43"/>
  <c r="M29" i="43"/>
  <c r="G29" i="43"/>
  <c r="O29" i="43"/>
  <c r="H29" i="43"/>
  <c r="P29" i="43"/>
  <c r="I29" i="43"/>
  <c r="Q29" i="43"/>
  <c r="R29" i="43"/>
  <c r="D30" i="43"/>
  <c r="L30" i="43"/>
  <c r="E30" i="43"/>
  <c r="M30" i="43"/>
  <c r="G30" i="43"/>
  <c r="O30" i="43"/>
  <c r="H30" i="43"/>
  <c r="P30" i="43"/>
  <c r="I30" i="43"/>
  <c r="Q30" i="43"/>
  <c r="R30" i="43"/>
  <c r="D31" i="43"/>
  <c r="L31" i="43"/>
  <c r="E31" i="43"/>
  <c r="M31" i="43"/>
  <c r="G31" i="43"/>
  <c r="O31" i="43"/>
  <c r="H31" i="43"/>
  <c r="P31" i="43"/>
  <c r="I31" i="43"/>
  <c r="Q31" i="43"/>
  <c r="R31" i="43"/>
  <c r="D32" i="43"/>
  <c r="L32" i="43"/>
  <c r="E32" i="43"/>
  <c r="M32" i="43"/>
  <c r="G32" i="43"/>
  <c r="O32" i="43"/>
  <c r="H32" i="43"/>
  <c r="P32" i="43"/>
  <c r="I32" i="43"/>
  <c r="Q32" i="43"/>
  <c r="R32" i="43"/>
  <c r="D33" i="43"/>
  <c r="L33" i="43"/>
  <c r="E33" i="43"/>
  <c r="M33" i="43"/>
  <c r="G33" i="43"/>
  <c r="O33" i="43"/>
  <c r="H33" i="43"/>
  <c r="P33" i="43"/>
  <c r="I33" i="43"/>
  <c r="Q33" i="43"/>
  <c r="R33" i="43"/>
  <c r="D34" i="43"/>
  <c r="L34" i="43"/>
  <c r="E34" i="43"/>
  <c r="M34" i="43"/>
  <c r="G34" i="43"/>
  <c r="O34" i="43"/>
  <c r="H34" i="43"/>
  <c r="P34" i="43"/>
  <c r="I34" i="43"/>
  <c r="Q34" i="43"/>
  <c r="R34" i="43"/>
  <c r="D35" i="43"/>
  <c r="L35" i="43"/>
  <c r="E35" i="43"/>
  <c r="M35" i="43"/>
  <c r="G35" i="43"/>
  <c r="O35" i="43"/>
  <c r="H35" i="43"/>
  <c r="P35" i="43"/>
  <c r="I35" i="43"/>
  <c r="Q35" i="43"/>
  <c r="R35" i="43"/>
  <c r="D36" i="43"/>
  <c r="L36" i="43"/>
  <c r="E36" i="43"/>
  <c r="M36" i="43"/>
  <c r="G36" i="43"/>
  <c r="O36" i="43"/>
  <c r="H36" i="43"/>
  <c r="P36" i="43"/>
  <c r="I36" i="43"/>
  <c r="Q36" i="43"/>
  <c r="R36" i="43"/>
  <c r="D37" i="43"/>
  <c r="L37" i="43"/>
  <c r="E37" i="43"/>
  <c r="M37" i="43"/>
  <c r="G37" i="43"/>
  <c r="O37" i="43"/>
  <c r="H37" i="43"/>
  <c r="P37" i="43"/>
  <c r="I37" i="43"/>
  <c r="Q37" i="43"/>
  <c r="R37" i="43"/>
  <c r="D38" i="43"/>
  <c r="L38" i="43"/>
  <c r="E38" i="43"/>
  <c r="M38" i="43"/>
  <c r="G38" i="43"/>
  <c r="O38" i="43"/>
  <c r="H38" i="43"/>
  <c r="P38" i="43"/>
  <c r="I38" i="43"/>
  <c r="Q38" i="43"/>
  <c r="R38" i="43"/>
  <c r="D39" i="43"/>
  <c r="L39" i="43"/>
  <c r="E39" i="43"/>
  <c r="M39" i="43"/>
  <c r="G39" i="43"/>
  <c r="O39" i="43"/>
  <c r="H39" i="43"/>
  <c r="P39" i="43"/>
  <c r="I39" i="43"/>
  <c r="Q39" i="43"/>
  <c r="R39" i="43"/>
  <c r="D40" i="43"/>
  <c r="L40" i="43"/>
  <c r="E40" i="43"/>
  <c r="M40" i="43"/>
  <c r="G40" i="43"/>
  <c r="O40" i="43"/>
  <c r="H40" i="43"/>
  <c r="P40" i="43"/>
  <c r="I40" i="43"/>
  <c r="Q40" i="43"/>
  <c r="R40" i="43"/>
  <c r="D41" i="43"/>
  <c r="L41" i="43"/>
  <c r="E41" i="43"/>
  <c r="M41" i="43"/>
  <c r="G41" i="43"/>
  <c r="O41" i="43"/>
  <c r="H41" i="43"/>
  <c r="P41" i="43"/>
  <c r="I41" i="43"/>
  <c r="Q41" i="43"/>
  <c r="R41" i="43"/>
  <c r="D42" i="43"/>
  <c r="L42" i="43"/>
  <c r="E42" i="43"/>
  <c r="M42" i="43"/>
  <c r="G42" i="43"/>
  <c r="O42" i="43"/>
  <c r="H42" i="43"/>
  <c r="P42" i="43"/>
  <c r="I42" i="43"/>
  <c r="Q42" i="43"/>
  <c r="R42" i="43"/>
  <c r="D43" i="43"/>
  <c r="L43" i="43"/>
  <c r="E43" i="43"/>
  <c r="M43" i="43"/>
  <c r="G43" i="43"/>
  <c r="O43" i="43"/>
  <c r="H43" i="43"/>
  <c r="P43" i="43"/>
  <c r="I43" i="43"/>
  <c r="Q43" i="43"/>
  <c r="R43" i="43"/>
  <c r="D44" i="43"/>
  <c r="L44" i="43"/>
  <c r="E44" i="43"/>
  <c r="M44" i="43"/>
  <c r="G44" i="43"/>
  <c r="O44" i="43"/>
  <c r="H44" i="43"/>
  <c r="P44" i="43"/>
  <c r="I44" i="43"/>
  <c r="Q44" i="43"/>
  <c r="R44" i="43"/>
  <c r="D45" i="43"/>
  <c r="L45" i="43"/>
  <c r="E45" i="43"/>
  <c r="M45" i="43"/>
  <c r="G45" i="43"/>
  <c r="O45" i="43"/>
  <c r="H45" i="43"/>
  <c r="P45" i="43"/>
  <c r="I45" i="43"/>
  <c r="Q45" i="43"/>
  <c r="R45" i="43"/>
  <c r="D46" i="43"/>
  <c r="L46" i="43"/>
  <c r="E46" i="43"/>
  <c r="M46" i="43"/>
  <c r="G46" i="43"/>
  <c r="O46" i="43"/>
  <c r="H46" i="43"/>
  <c r="P46" i="43"/>
  <c r="I46" i="43"/>
  <c r="Q46" i="43"/>
  <c r="R46" i="43"/>
  <c r="D47" i="43"/>
  <c r="L47" i="43"/>
  <c r="E47" i="43"/>
  <c r="M47" i="43"/>
  <c r="G47" i="43"/>
  <c r="O47" i="43"/>
  <c r="H47" i="43"/>
  <c r="P47" i="43"/>
  <c r="I47" i="43"/>
  <c r="Q47" i="43"/>
  <c r="R47" i="43"/>
  <c r="D48" i="43"/>
  <c r="L48" i="43"/>
  <c r="E48" i="43"/>
  <c r="M48" i="43"/>
  <c r="G48" i="43"/>
  <c r="O48" i="43"/>
  <c r="H48" i="43"/>
  <c r="P48" i="43"/>
  <c r="I48" i="43"/>
  <c r="Q48" i="43"/>
  <c r="R48" i="43"/>
  <c r="D49" i="43"/>
  <c r="L49" i="43"/>
  <c r="E49" i="43"/>
  <c r="M49" i="43"/>
  <c r="G49" i="43"/>
  <c r="O49" i="43"/>
  <c r="H49" i="43"/>
  <c r="P49" i="43"/>
  <c r="I49" i="43"/>
  <c r="Q49" i="43"/>
  <c r="R49" i="43"/>
  <c r="D50" i="43"/>
  <c r="L50" i="43"/>
  <c r="E50" i="43"/>
  <c r="M50" i="43"/>
  <c r="G50" i="43"/>
  <c r="O50" i="43"/>
  <c r="H50" i="43"/>
  <c r="P50" i="43"/>
  <c r="I50" i="43"/>
  <c r="Q50" i="43"/>
  <c r="R50" i="43"/>
  <c r="D51" i="43"/>
  <c r="L51" i="43"/>
  <c r="E51" i="43"/>
  <c r="M51" i="43"/>
  <c r="G51" i="43"/>
  <c r="O51" i="43"/>
  <c r="H51" i="43"/>
  <c r="P51" i="43"/>
  <c r="I51" i="43"/>
  <c r="Q51" i="43"/>
  <c r="R51" i="43"/>
  <c r="D52" i="43"/>
  <c r="L52" i="43"/>
  <c r="E52" i="43"/>
  <c r="M52" i="43"/>
  <c r="G52" i="43"/>
  <c r="O52" i="43"/>
  <c r="H52" i="43"/>
  <c r="P52" i="43"/>
  <c r="I52" i="43"/>
  <c r="Q52" i="43"/>
  <c r="R52" i="43"/>
  <c r="D53" i="43"/>
  <c r="L53" i="43"/>
  <c r="E53" i="43"/>
  <c r="M53" i="43"/>
  <c r="G53" i="43"/>
  <c r="O53" i="43"/>
  <c r="H53" i="43"/>
  <c r="P53" i="43"/>
  <c r="I53" i="43"/>
  <c r="Q53" i="43"/>
  <c r="R53" i="43"/>
  <c r="D54" i="43"/>
  <c r="L54" i="43"/>
  <c r="E54" i="43"/>
  <c r="M54" i="43"/>
  <c r="G54" i="43"/>
  <c r="O54" i="43"/>
  <c r="H54" i="43"/>
  <c r="P54" i="43"/>
  <c r="I54" i="43"/>
  <c r="Q54" i="43"/>
  <c r="R54" i="43"/>
  <c r="D55" i="43"/>
  <c r="L55" i="43"/>
  <c r="E55" i="43"/>
  <c r="M55" i="43"/>
  <c r="G55" i="43"/>
  <c r="O55" i="43"/>
  <c r="H55" i="43"/>
  <c r="P55" i="43"/>
  <c r="I55" i="43"/>
  <c r="Q55" i="43"/>
  <c r="R55" i="43"/>
  <c r="D56" i="43"/>
  <c r="L56" i="43"/>
  <c r="E56" i="43"/>
  <c r="M56" i="43"/>
  <c r="G56" i="43"/>
  <c r="O56" i="43"/>
  <c r="H56" i="43"/>
  <c r="P56" i="43"/>
  <c r="I56" i="43"/>
  <c r="Q56" i="43"/>
  <c r="R56" i="43"/>
  <c r="D57" i="43"/>
  <c r="L57" i="43"/>
  <c r="E57" i="43"/>
  <c r="M57" i="43"/>
  <c r="G57" i="43"/>
  <c r="O57" i="43"/>
  <c r="H57" i="43"/>
  <c r="P57" i="43"/>
  <c r="I57" i="43"/>
  <c r="Q57" i="43"/>
  <c r="R57" i="43"/>
  <c r="D58" i="43"/>
  <c r="L58" i="43"/>
  <c r="E58" i="43"/>
  <c r="M58" i="43"/>
  <c r="G58" i="43"/>
  <c r="O58" i="43"/>
  <c r="H58" i="43"/>
  <c r="P58" i="43"/>
  <c r="I58" i="43"/>
  <c r="Q58" i="43"/>
  <c r="R58" i="43"/>
  <c r="D59" i="43"/>
  <c r="L59" i="43"/>
  <c r="E59" i="43"/>
  <c r="M59" i="43"/>
  <c r="G59" i="43"/>
  <c r="O59" i="43"/>
  <c r="H59" i="43"/>
  <c r="P59" i="43"/>
  <c r="I59" i="43"/>
  <c r="Q59" i="43"/>
  <c r="R59" i="43"/>
  <c r="D60" i="43"/>
  <c r="L60" i="43"/>
  <c r="E60" i="43"/>
  <c r="M60" i="43"/>
  <c r="G60" i="43"/>
  <c r="O60" i="43"/>
  <c r="H60" i="43"/>
  <c r="P60" i="43"/>
  <c r="I60" i="43"/>
  <c r="Q60" i="43"/>
  <c r="R60" i="43"/>
  <c r="D61" i="43"/>
  <c r="L61" i="43"/>
  <c r="E61" i="43"/>
  <c r="M61" i="43"/>
  <c r="G61" i="43"/>
  <c r="O61" i="43"/>
  <c r="H61" i="43"/>
  <c r="P61" i="43"/>
  <c r="I61" i="43"/>
  <c r="Q61" i="43"/>
  <c r="R61" i="43"/>
  <c r="D62" i="43"/>
  <c r="L62" i="43"/>
  <c r="E62" i="43"/>
  <c r="M62" i="43"/>
  <c r="G62" i="43"/>
  <c r="O62" i="43"/>
  <c r="H62" i="43"/>
  <c r="P62" i="43"/>
  <c r="I62" i="43"/>
  <c r="Q62" i="43"/>
  <c r="R62" i="43"/>
  <c r="D63" i="43"/>
  <c r="L63" i="43"/>
  <c r="E63" i="43"/>
  <c r="M63" i="43"/>
  <c r="G63" i="43"/>
  <c r="O63" i="43"/>
  <c r="H63" i="43"/>
  <c r="P63" i="43"/>
  <c r="I63" i="43"/>
  <c r="Q63" i="43"/>
  <c r="R63" i="43"/>
  <c r="D64" i="43"/>
  <c r="L64" i="43"/>
  <c r="E64" i="43"/>
  <c r="M64" i="43"/>
  <c r="G64" i="43"/>
  <c r="O64" i="43"/>
  <c r="H64" i="43"/>
  <c r="P64" i="43"/>
  <c r="I64" i="43"/>
  <c r="Q64" i="43"/>
  <c r="R64" i="43"/>
  <c r="D65" i="43"/>
  <c r="L65" i="43"/>
  <c r="E65" i="43"/>
  <c r="M65" i="43"/>
  <c r="G65" i="43"/>
  <c r="O65" i="43"/>
  <c r="H65" i="43"/>
  <c r="P65" i="43"/>
  <c r="I65" i="43"/>
  <c r="Q65" i="43"/>
  <c r="R65" i="43"/>
  <c r="D66" i="43"/>
  <c r="L66" i="43"/>
  <c r="E66" i="43"/>
  <c r="M66" i="43"/>
  <c r="G66" i="43"/>
  <c r="O66" i="43"/>
  <c r="H66" i="43"/>
  <c r="P66" i="43"/>
  <c r="I66" i="43"/>
  <c r="Q66" i="43"/>
  <c r="R66" i="43"/>
  <c r="D67" i="43"/>
  <c r="L67" i="43"/>
  <c r="E67" i="43"/>
  <c r="M67" i="43"/>
  <c r="G67" i="43"/>
  <c r="O67" i="43"/>
  <c r="H67" i="43"/>
  <c r="P67" i="43"/>
  <c r="I67" i="43"/>
  <c r="Q67" i="43"/>
  <c r="R67" i="43"/>
  <c r="D68" i="43"/>
  <c r="L68" i="43"/>
  <c r="E68" i="43"/>
  <c r="M68" i="43"/>
  <c r="G68" i="43"/>
  <c r="O68" i="43"/>
  <c r="H68" i="43"/>
  <c r="P68" i="43"/>
  <c r="I68" i="43"/>
  <c r="Q68" i="43"/>
  <c r="R68" i="43"/>
  <c r="D69" i="43"/>
  <c r="L69" i="43"/>
  <c r="E69" i="43"/>
  <c r="M69" i="43"/>
  <c r="G69" i="43"/>
  <c r="O69" i="43"/>
  <c r="H69" i="43"/>
  <c r="P69" i="43"/>
  <c r="I69" i="43"/>
  <c r="Q69" i="43"/>
  <c r="R69" i="43"/>
  <c r="D70" i="43"/>
  <c r="L70" i="43"/>
  <c r="E70" i="43"/>
  <c r="M70" i="43"/>
  <c r="G70" i="43"/>
  <c r="O70" i="43"/>
  <c r="H70" i="43"/>
  <c r="P70" i="43"/>
  <c r="I70" i="43"/>
  <c r="Q70" i="43"/>
  <c r="R70" i="43"/>
  <c r="D71" i="43"/>
  <c r="L71" i="43"/>
  <c r="E71" i="43"/>
  <c r="M71" i="43"/>
  <c r="G71" i="43"/>
  <c r="O71" i="43"/>
  <c r="H71" i="43"/>
  <c r="P71" i="43"/>
  <c r="I71" i="43"/>
  <c r="Q71" i="43"/>
  <c r="R71" i="43"/>
  <c r="D72" i="43"/>
  <c r="L72" i="43"/>
  <c r="E72" i="43"/>
  <c r="M72" i="43"/>
  <c r="G72" i="43"/>
  <c r="O72" i="43"/>
  <c r="H72" i="43"/>
  <c r="P72" i="43"/>
  <c r="I72" i="43"/>
  <c r="Q72" i="43"/>
  <c r="R72" i="43"/>
  <c r="D73" i="43"/>
  <c r="L73" i="43"/>
  <c r="E73" i="43"/>
  <c r="M73" i="43"/>
  <c r="G73" i="43"/>
  <c r="O73" i="43"/>
  <c r="H73" i="43"/>
  <c r="P73" i="43"/>
  <c r="I73" i="43"/>
  <c r="Q73" i="43"/>
  <c r="R73" i="43"/>
  <c r="D74" i="43"/>
  <c r="L74" i="43"/>
  <c r="E74" i="43"/>
  <c r="M74" i="43"/>
  <c r="G74" i="43"/>
  <c r="O74" i="43"/>
  <c r="H74" i="43"/>
  <c r="P74" i="43"/>
  <c r="I74" i="43"/>
  <c r="Q74" i="43"/>
  <c r="R74" i="43"/>
  <c r="D75" i="43"/>
  <c r="L75" i="43"/>
  <c r="E75" i="43"/>
  <c r="M75" i="43"/>
  <c r="G75" i="43"/>
  <c r="O75" i="43"/>
  <c r="H75" i="43"/>
  <c r="P75" i="43"/>
  <c r="I75" i="43"/>
  <c r="Q75" i="43"/>
  <c r="R75" i="43"/>
  <c r="D76" i="43"/>
  <c r="L76" i="43"/>
  <c r="E76" i="43"/>
  <c r="M76" i="43"/>
  <c r="G76" i="43"/>
  <c r="O76" i="43"/>
  <c r="H76" i="43"/>
  <c r="P76" i="43"/>
  <c r="I76" i="43"/>
  <c r="Q76" i="43"/>
  <c r="R76" i="43"/>
  <c r="D77" i="43"/>
  <c r="L77" i="43"/>
  <c r="E77" i="43"/>
  <c r="M77" i="43"/>
  <c r="G77" i="43"/>
  <c r="O77" i="43"/>
  <c r="H77" i="43"/>
  <c r="P77" i="43"/>
  <c r="I77" i="43"/>
  <c r="Q77" i="43"/>
  <c r="R77" i="43"/>
  <c r="D78" i="43"/>
  <c r="L78" i="43"/>
  <c r="E78" i="43"/>
  <c r="M78" i="43"/>
  <c r="G78" i="43"/>
  <c r="O78" i="43"/>
  <c r="H78" i="43"/>
  <c r="P78" i="43"/>
  <c r="I78" i="43"/>
  <c r="Q78" i="43"/>
  <c r="R78" i="43"/>
  <c r="D79" i="43"/>
  <c r="L79" i="43"/>
  <c r="E79" i="43"/>
  <c r="M79" i="43"/>
  <c r="G79" i="43"/>
  <c r="O79" i="43"/>
  <c r="H79" i="43"/>
  <c r="P79" i="43"/>
  <c r="I79" i="43"/>
  <c r="Q79" i="43"/>
  <c r="R79" i="43"/>
  <c r="D80" i="43"/>
  <c r="L80" i="43"/>
  <c r="E80" i="43"/>
  <c r="M80" i="43"/>
  <c r="G80" i="43"/>
  <c r="O80" i="43"/>
  <c r="H80" i="43"/>
  <c r="P80" i="43"/>
  <c r="I80" i="43"/>
  <c r="Q80" i="43"/>
  <c r="R80" i="43"/>
  <c r="D81" i="43"/>
  <c r="L81" i="43"/>
  <c r="E81" i="43"/>
  <c r="M81" i="43"/>
  <c r="G81" i="43"/>
  <c r="O81" i="43"/>
  <c r="H81" i="43"/>
  <c r="P81" i="43"/>
  <c r="I81" i="43"/>
  <c r="Q81" i="43"/>
  <c r="R81" i="43"/>
  <c r="D82" i="43"/>
  <c r="L82" i="43"/>
  <c r="E82" i="43"/>
  <c r="M82" i="43"/>
  <c r="G82" i="43"/>
  <c r="O82" i="43"/>
  <c r="H82" i="43"/>
  <c r="P82" i="43"/>
  <c r="I82" i="43"/>
  <c r="Q82" i="43"/>
  <c r="R82" i="43"/>
  <c r="D83" i="43"/>
  <c r="L83" i="43"/>
  <c r="E83" i="43"/>
  <c r="M83" i="43"/>
  <c r="G83" i="43"/>
  <c r="O83" i="43"/>
  <c r="H83" i="43"/>
  <c r="P83" i="43"/>
  <c r="I83" i="43"/>
  <c r="Q83" i="43"/>
  <c r="R83" i="43"/>
  <c r="D84" i="43"/>
  <c r="L84" i="43"/>
  <c r="E84" i="43"/>
  <c r="M84" i="43"/>
  <c r="G84" i="43"/>
  <c r="O84" i="43"/>
  <c r="H84" i="43"/>
  <c r="P84" i="43"/>
  <c r="I84" i="43"/>
  <c r="Q84" i="43"/>
  <c r="R84" i="43"/>
  <c r="D85" i="43"/>
  <c r="L85" i="43"/>
  <c r="E85" i="43"/>
  <c r="M85" i="43"/>
  <c r="G85" i="43"/>
  <c r="O85" i="43"/>
  <c r="H85" i="43"/>
  <c r="P85" i="43"/>
  <c r="I85" i="43"/>
  <c r="Q85" i="43"/>
  <c r="R85" i="43"/>
  <c r="D86" i="43"/>
  <c r="L86" i="43"/>
  <c r="E86" i="43"/>
  <c r="M86" i="43"/>
  <c r="G86" i="43"/>
  <c r="O86" i="43"/>
  <c r="H86" i="43"/>
  <c r="P86" i="43"/>
  <c r="I86" i="43"/>
  <c r="Q86" i="43"/>
  <c r="R86" i="43"/>
  <c r="D87" i="43"/>
  <c r="L87" i="43"/>
  <c r="E87" i="43"/>
  <c r="M87" i="43"/>
  <c r="G87" i="43"/>
  <c r="O87" i="43"/>
  <c r="H87" i="43"/>
  <c r="P87" i="43"/>
  <c r="I87" i="43"/>
  <c r="Q87" i="43"/>
  <c r="R87" i="43"/>
  <c r="D88" i="43"/>
  <c r="L88" i="43"/>
  <c r="E88" i="43"/>
  <c r="M88" i="43"/>
  <c r="G88" i="43"/>
  <c r="O88" i="43"/>
  <c r="H88" i="43"/>
  <c r="P88" i="43"/>
  <c r="I88" i="43"/>
  <c r="Q88" i="43"/>
  <c r="R88" i="43"/>
  <c r="D89" i="43"/>
  <c r="L89" i="43"/>
  <c r="E89" i="43"/>
  <c r="M89" i="43"/>
  <c r="G89" i="43"/>
  <c r="O89" i="43"/>
  <c r="H89" i="43"/>
  <c r="P89" i="43"/>
  <c r="I89" i="43"/>
  <c r="Q89" i="43"/>
  <c r="R89" i="43"/>
  <c r="D90" i="43"/>
  <c r="L90" i="43"/>
  <c r="E90" i="43"/>
  <c r="M90" i="43"/>
  <c r="G90" i="43"/>
  <c r="O90" i="43"/>
  <c r="H90" i="43"/>
  <c r="P90" i="43"/>
  <c r="I90" i="43"/>
  <c r="Q90" i="43"/>
  <c r="R90" i="43"/>
  <c r="D91" i="43"/>
  <c r="L91" i="43"/>
  <c r="E91" i="43"/>
  <c r="M91" i="43"/>
  <c r="G91" i="43"/>
  <c r="O91" i="43"/>
  <c r="H91" i="43"/>
  <c r="P91" i="43"/>
  <c r="I91" i="43"/>
  <c r="Q91" i="43"/>
  <c r="R91" i="43"/>
  <c r="D92" i="43"/>
  <c r="L92" i="43"/>
  <c r="E92" i="43"/>
  <c r="M92" i="43"/>
  <c r="G92" i="43"/>
  <c r="O92" i="43"/>
  <c r="H92" i="43"/>
  <c r="P92" i="43"/>
  <c r="I92" i="43"/>
  <c r="Q92" i="43"/>
  <c r="R92" i="43"/>
  <c r="D93" i="43"/>
  <c r="L93" i="43"/>
  <c r="E93" i="43"/>
  <c r="M93" i="43"/>
  <c r="G93" i="43"/>
  <c r="O93" i="43"/>
  <c r="H93" i="43"/>
  <c r="P93" i="43"/>
  <c r="I93" i="43"/>
  <c r="Q93" i="43"/>
  <c r="R93" i="43"/>
  <c r="D94" i="43"/>
  <c r="L94" i="43"/>
  <c r="E94" i="43"/>
  <c r="M94" i="43"/>
  <c r="G94" i="43"/>
  <c r="O94" i="43"/>
  <c r="H94" i="43"/>
  <c r="P94" i="43"/>
  <c r="I94" i="43"/>
  <c r="Q94" i="43"/>
  <c r="R94" i="43"/>
  <c r="D95" i="43"/>
  <c r="L95" i="43"/>
  <c r="E95" i="43"/>
  <c r="M95" i="43"/>
  <c r="G95" i="43"/>
  <c r="O95" i="43"/>
  <c r="H95" i="43"/>
  <c r="P95" i="43"/>
  <c r="I95" i="43"/>
  <c r="Q95" i="43"/>
  <c r="R95" i="43"/>
  <c r="D96" i="43"/>
  <c r="L96" i="43"/>
  <c r="E96" i="43"/>
  <c r="M96" i="43"/>
  <c r="G96" i="43"/>
  <c r="O96" i="43"/>
  <c r="H96" i="43"/>
  <c r="P96" i="43"/>
  <c r="I96" i="43"/>
  <c r="Q96" i="43"/>
  <c r="R96" i="43"/>
  <c r="D97" i="43"/>
  <c r="L97" i="43"/>
  <c r="E97" i="43"/>
  <c r="M97" i="43"/>
  <c r="G97" i="43"/>
  <c r="O97" i="43"/>
  <c r="H97" i="43"/>
  <c r="P97" i="43"/>
  <c r="I97" i="43"/>
  <c r="Q97" i="43"/>
  <c r="R97" i="43"/>
  <c r="D98" i="43"/>
  <c r="L98" i="43"/>
  <c r="E98" i="43"/>
  <c r="M98" i="43"/>
  <c r="G98" i="43"/>
  <c r="O98" i="43"/>
  <c r="H98" i="43"/>
  <c r="P98" i="43"/>
  <c r="I98" i="43"/>
  <c r="Q98" i="43"/>
  <c r="R98" i="43"/>
  <c r="D99" i="43"/>
  <c r="L99" i="43"/>
  <c r="E99" i="43"/>
  <c r="M99" i="43"/>
  <c r="G99" i="43"/>
  <c r="O99" i="43"/>
  <c r="H99" i="43"/>
  <c r="P99" i="43"/>
  <c r="I99" i="43"/>
  <c r="Q99" i="43"/>
  <c r="R99" i="43"/>
  <c r="D100" i="43"/>
  <c r="L100" i="43"/>
  <c r="E100" i="43"/>
  <c r="M100" i="43"/>
  <c r="G100" i="43"/>
  <c r="O100" i="43"/>
  <c r="H100" i="43"/>
  <c r="P100" i="43"/>
  <c r="I100" i="43"/>
  <c r="Q100" i="43"/>
  <c r="R100" i="43"/>
  <c r="D101" i="43"/>
  <c r="L101" i="43"/>
  <c r="E101" i="43"/>
  <c r="M101" i="43"/>
  <c r="G101" i="43"/>
  <c r="O101" i="43"/>
  <c r="H101" i="43"/>
  <c r="P101" i="43"/>
  <c r="I101" i="43"/>
  <c r="Q101" i="43"/>
  <c r="R101" i="43"/>
  <c r="D102" i="43"/>
  <c r="L102" i="43"/>
  <c r="E102" i="43"/>
  <c r="M102" i="43"/>
  <c r="G102" i="43"/>
  <c r="O102" i="43"/>
  <c r="H102" i="43"/>
  <c r="P102" i="43"/>
  <c r="I102" i="43"/>
  <c r="Q102" i="43"/>
  <c r="R102" i="43"/>
  <c r="D103" i="43"/>
  <c r="L103" i="43"/>
  <c r="E103" i="43"/>
  <c r="M103" i="43"/>
  <c r="G103" i="43"/>
  <c r="O103" i="43"/>
  <c r="H103" i="43"/>
  <c r="P103" i="43"/>
  <c r="I103" i="43"/>
  <c r="Q103" i="43"/>
  <c r="R103" i="43"/>
  <c r="D104" i="43"/>
  <c r="L104" i="43"/>
  <c r="E104" i="43"/>
  <c r="M104" i="43"/>
  <c r="G104" i="43"/>
  <c r="O104" i="43"/>
  <c r="H104" i="43"/>
  <c r="P104" i="43"/>
  <c r="I104" i="43"/>
  <c r="Q104" i="43"/>
  <c r="R104" i="43"/>
  <c r="D105" i="43"/>
  <c r="L105" i="43"/>
  <c r="E105" i="43"/>
  <c r="M105" i="43"/>
  <c r="G105" i="43"/>
  <c r="O105" i="43"/>
  <c r="H105" i="43"/>
  <c r="P105" i="43"/>
  <c r="I105" i="43"/>
  <c r="Q105" i="43"/>
  <c r="R105" i="43"/>
  <c r="D106" i="43"/>
  <c r="L106" i="43"/>
  <c r="E106" i="43"/>
  <c r="M106" i="43"/>
  <c r="G106" i="43"/>
  <c r="O106" i="43"/>
  <c r="H106" i="43"/>
  <c r="P106" i="43"/>
  <c r="I106" i="43"/>
  <c r="Q106" i="43"/>
  <c r="R106" i="43"/>
  <c r="D107" i="43"/>
  <c r="L107" i="43"/>
  <c r="E107" i="43"/>
  <c r="M107" i="43"/>
  <c r="G107" i="43"/>
  <c r="O107" i="43"/>
  <c r="H107" i="43"/>
  <c r="P107" i="43"/>
  <c r="I107" i="43"/>
  <c r="Q107" i="43"/>
  <c r="R107" i="43"/>
  <c r="D108" i="43"/>
  <c r="L108" i="43"/>
  <c r="E108" i="43"/>
  <c r="M108" i="43"/>
  <c r="G108" i="43"/>
  <c r="O108" i="43"/>
  <c r="H108" i="43"/>
  <c r="P108" i="43"/>
  <c r="I108" i="43"/>
  <c r="Q108" i="43"/>
  <c r="R108" i="43"/>
  <c r="D109" i="43"/>
  <c r="L109" i="43"/>
  <c r="E109" i="43"/>
  <c r="M109" i="43"/>
  <c r="G109" i="43"/>
  <c r="O109" i="43"/>
  <c r="H109" i="43"/>
  <c r="P109" i="43"/>
  <c r="I109" i="43"/>
  <c r="Q109" i="43"/>
  <c r="R109" i="43"/>
  <c r="D110" i="43"/>
  <c r="L110" i="43"/>
  <c r="E110" i="43"/>
  <c r="M110" i="43"/>
  <c r="G110" i="43"/>
  <c r="O110" i="43"/>
  <c r="H110" i="43"/>
  <c r="P110" i="43"/>
  <c r="I110" i="43"/>
  <c r="Q110" i="43"/>
  <c r="R110" i="43"/>
  <c r="D111" i="43"/>
  <c r="L111" i="43"/>
  <c r="E111" i="43"/>
  <c r="M111" i="43"/>
  <c r="G111" i="43"/>
  <c r="O111" i="43"/>
  <c r="H111" i="43"/>
  <c r="P111" i="43"/>
  <c r="I111" i="43"/>
  <c r="Q111" i="43"/>
  <c r="R111" i="43"/>
  <c r="D112" i="43"/>
  <c r="L112" i="43"/>
  <c r="E112" i="43"/>
  <c r="M112" i="43"/>
  <c r="G112" i="43"/>
  <c r="O112" i="43"/>
  <c r="H112" i="43"/>
  <c r="P112" i="43"/>
  <c r="I112" i="43"/>
  <c r="Q112" i="43"/>
  <c r="R112" i="43"/>
  <c r="D113" i="43"/>
  <c r="L113" i="43"/>
  <c r="E113" i="43"/>
  <c r="M113" i="43"/>
  <c r="G113" i="43"/>
  <c r="O113" i="43"/>
  <c r="H113" i="43"/>
  <c r="P113" i="43"/>
  <c r="I113" i="43"/>
  <c r="Q113" i="43"/>
  <c r="R113" i="43"/>
  <c r="D114" i="43"/>
  <c r="L114" i="43"/>
  <c r="E114" i="43"/>
  <c r="M114" i="43"/>
  <c r="G114" i="43"/>
  <c r="O114" i="43"/>
  <c r="H114" i="43"/>
  <c r="P114" i="43"/>
  <c r="I114" i="43"/>
  <c r="Q114" i="43"/>
  <c r="R114" i="43"/>
  <c r="D115" i="43"/>
  <c r="L115" i="43"/>
  <c r="E115" i="43"/>
  <c r="M115" i="43"/>
  <c r="G115" i="43"/>
  <c r="O115" i="43"/>
  <c r="H115" i="43"/>
  <c r="P115" i="43"/>
  <c r="I115" i="43"/>
  <c r="Q115" i="43"/>
  <c r="R115" i="43"/>
  <c r="D116" i="43"/>
  <c r="L116" i="43"/>
  <c r="E116" i="43"/>
  <c r="M116" i="43"/>
  <c r="G116" i="43"/>
  <c r="O116" i="43"/>
  <c r="H116" i="43"/>
  <c r="P116" i="43"/>
  <c r="I116" i="43"/>
  <c r="Q116" i="43"/>
  <c r="R116" i="43"/>
  <c r="D117" i="43"/>
  <c r="L117" i="43"/>
  <c r="E117" i="43"/>
  <c r="M117" i="43"/>
  <c r="G117" i="43"/>
  <c r="O117" i="43"/>
  <c r="H117" i="43"/>
  <c r="P117" i="43"/>
  <c r="I117" i="43"/>
  <c r="Q117" i="43"/>
  <c r="R117" i="43"/>
  <c r="D118" i="43"/>
  <c r="L118" i="43"/>
  <c r="E118" i="43"/>
  <c r="M118" i="43"/>
  <c r="G118" i="43"/>
  <c r="O118" i="43"/>
  <c r="H118" i="43"/>
  <c r="P118" i="43"/>
  <c r="I118" i="43"/>
  <c r="Q118" i="43"/>
  <c r="R118" i="43"/>
  <c r="D119" i="43"/>
  <c r="L119" i="43"/>
  <c r="E119" i="43"/>
  <c r="M119" i="43"/>
  <c r="G119" i="43"/>
  <c r="O119" i="43"/>
  <c r="H119" i="43"/>
  <c r="P119" i="43"/>
  <c r="I119" i="43"/>
  <c r="Q119" i="43"/>
  <c r="R119" i="43"/>
  <c r="D120" i="43"/>
  <c r="L120" i="43"/>
  <c r="E120" i="43"/>
  <c r="M120" i="43"/>
  <c r="G120" i="43"/>
  <c r="O120" i="43"/>
  <c r="H120" i="43"/>
  <c r="P120" i="43"/>
  <c r="I120" i="43"/>
  <c r="Q120" i="43"/>
  <c r="R120" i="43"/>
  <c r="D121" i="43"/>
  <c r="L121" i="43"/>
  <c r="E121" i="43"/>
  <c r="M121" i="43"/>
  <c r="G121" i="43"/>
  <c r="O121" i="43"/>
  <c r="H121" i="43"/>
  <c r="P121" i="43"/>
  <c r="I121" i="43"/>
  <c r="Q121" i="43"/>
  <c r="R121" i="43"/>
  <c r="D2" i="15"/>
  <c r="L2" i="15"/>
  <c r="E2" i="15"/>
  <c r="M2" i="15"/>
  <c r="G2" i="15"/>
  <c r="O2" i="15"/>
  <c r="H2" i="15"/>
  <c r="P2" i="15"/>
  <c r="I2" i="15"/>
  <c r="Q2" i="15"/>
  <c r="R2" i="15"/>
  <c r="D3" i="15"/>
  <c r="L3" i="15"/>
  <c r="E3" i="15"/>
  <c r="M3" i="15"/>
  <c r="G3" i="15"/>
  <c r="O3" i="15"/>
  <c r="H3" i="15"/>
  <c r="P3" i="15"/>
  <c r="I3" i="15"/>
  <c r="Q3" i="15"/>
  <c r="R3" i="15"/>
  <c r="D4" i="15"/>
  <c r="L4" i="15"/>
  <c r="E4" i="15"/>
  <c r="M4" i="15"/>
  <c r="G4" i="15"/>
  <c r="O4" i="15"/>
  <c r="H4" i="15"/>
  <c r="P4" i="15"/>
  <c r="I4" i="15"/>
  <c r="Q4" i="15"/>
  <c r="R4" i="15"/>
  <c r="D5" i="15"/>
  <c r="L5" i="15"/>
  <c r="E5" i="15"/>
  <c r="M5" i="15"/>
  <c r="G5" i="15"/>
  <c r="O5" i="15"/>
  <c r="H5" i="15"/>
  <c r="P5" i="15"/>
  <c r="I5" i="15"/>
  <c r="Q5" i="15"/>
  <c r="R5" i="15"/>
  <c r="D6" i="15"/>
  <c r="L6" i="15"/>
  <c r="E6" i="15"/>
  <c r="M6" i="15"/>
  <c r="G6" i="15"/>
  <c r="O6" i="15"/>
  <c r="H6" i="15"/>
  <c r="P6" i="15"/>
  <c r="I6" i="15"/>
  <c r="Q6" i="15"/>
  <c r="R6" i="15"/>
  <c r="D7" i="15"/>
  <c r="L7" i="15"/>
  <c r="E7" i="15"/>
  <c r="M7" i="15"/>
  <c r="G7" i="15"/>
  <c r="O7" i="15"/>
  <c r="H7" i="15"/>
  <c r="P7" i="15"/>
  <c r="I7" i="15"/>
  <c r="Q7" i="15"/>
  <c r="R7" i="15"/>
  <c r="D8" i="15"/>
  <c r="L8" i="15"/>
  <c r="E8" i="15"/>
  <c r="M8" i="15"/>
  <c r="G8" i="15"/>
  <c r="O8" i="15"/>
  <c r="H8" i="15"/>
  <c r="P8" i="15"/>
  <c r="I8" i="15"/>
  <c r="Q8" i="15"/>
  <c r="R8" i="15"/>
  <c r="D9" i="15"/>
  <c r="L9" i="15"/>
  <c r="E9" i="15"/>
  <c r="M9" i="15"/>
  <c r="G9" i="15"/>
  <c r="O9" i="15"/>
  <c r="H9" i="15"/>
  <c r="P9" i="15"/>
  <c r="I9" i="15"/>
  <c r="Q9" i="15"/>
  <c r="R9" i="15"/>
  <c r="D10" i="15"/>
  <c r="L10" i="15"/>
  <c r="E10" i="15"/>
  <c r="M10" i="15"/>
  <c r="G10" i="15"/>
  <c r="O10" i="15"/>
  <c r="H10" i="15"/>
  <c r="P10" i="15"/>
  <c r="I10" i="15"/>
  <c r="Q10" i="15"/>
  <c r="R10" i="15"/>
  <c r="D11" i="15"/>
  <c r="L11" i="15"/>
  <c r="E11" i="15"/>
  <c r="M11" i="15"/>
  <c r="G11" i="15"/>
  <c r="O11" i="15"/>
  <c r="H11" i="15"/>
  <c r="P11" i="15"/>
  <c r="I11" i="15"/>
  <c r="Q11" i="15"/>
  <c r="R11" i="15"/>
  <c r="D12" i="15"/>
  <c r="L12" i="15"/>
  <c r="E12" i="15"/>
  <c r="M12" i="15"/>
  <c r="G12" i="15"/>
  <c r="O12" i="15"/>
  <c r="H12" i="15"/>
  <c r="P12" i="15"/>
  <c r="I12" i="15"/>
  <c r="Q12" i="15"/>
  <c r="R12" i="15"/>
  <c r="D13" i="15"/>
  <c r="L13" i="15"/>
  <c r="E13" i="15"/>
  <c r="M13" i="15"/>
  <c r="G13" i="15"/>
  <c r="O13" i="15"/>
  <c r="H13" i="15"/>
  <c r="P13" i="15"/>
  <c r="I13" i="15"/>
  <c r="Q13" i="15"/>
  <c r="R13" i="15"/>
  <c r="D14" i="15"/>
  <c r="L14" i="15"/>
  <c r="E14" i="15"/>
  <c r="M14" i="15"/>
  <c r="G14" i="15"/>
  <c r="O14" i="15"/>
  <c r="H14" i="15"/>
  <c r="P14" i="15"/>
  <c r="I14" i="15"/>
  <c r="Q14" i="15"/>
  <c r="R14" i="15"/>
  <c r="D15" i="15"/>
  <c r="L15" i="15"/>
  <c r="E15" i="15"/>
  <c r="M15" i="15"/>
  <c r="G15" i="15"/>
  <c r="O15" i="15"/>
  <c r="H15" i="15"/>
  <c r="P15" i="15"/>
  <c r="I15" i="15"/>
  <c r="Q15" i="15"/>
  <c r="R15" i="15"/>
  <c r="D16" i="15"/>
  <c r="L16" i="15"/>
  <c r="E16" i="15"/>
  <c r="M16" i="15"/>
  <c r="G16" i="15"/>
  <c r="O16" i="15"/>
  <c r="H16" i="15"/>
  <c r="P16" i="15"/>
  <c r="I16" i="15"/>
  <c r="Q16" i="15"/>
  <c r="R16" i="15"/>
  <c r="D17" i="15"/>
  <c r="L17" i="15"/>
  <c r="E17" i="15"/>
  <c r="M17" i="15"/>
  <c r="G17" i="15"/>
  <c r="O17" i="15"/>
  <c r="H17" i="15"/>
  <c r="P17" i="15"/>
  <c r="I17" i="15"/>
  <c r="Q17" i="15"/>
  <c r="R17" i="15"/>
  <c r="D18" i="15"/>
  <c r="L18" i="15"/>
  <c r="E18" i="15"/>
  <c r="M18" i="15"/>
  <c r="G18" i="15"/>
  <c r="O18" i="15"/>
  <c r="H18" i="15"/>
  <c r="P18" i="15"/>
  <c r="I18" i="15"/>
  <c r="Q18" i="15"/>
  <c r="R18" i="15"/>
  <c r="D19" i="15"/>
  <c r="L19" i="15"/>
  <c r="E19" i="15"/>
  <c r="M19" i="15"/>
  <c r="G19" i="15"/>
  <c r="O19" i="15"/>
  <c r="H19" i="15"/>
  <c r="P19" i="15"/>
  <c r="I19" i="15"/>
  <c r="Q19" i="15"/>
  <c r="R19" i="15"/>
  <c r="D20" i="15"/>
  <c r="L20" i="15"/>
  <c r="E20" i="15"/>
  <c r="M20" i="15"/>
  <c r="G20" i="15"/>
  <c r="O20" i="15"/>
  <c r="H20" i="15"/>
  <c r="P20" i="15"/>
  <c r="I20" i="15"/>
  <c r="Q20" i="15"/>
  <c r="R20" i="15"/>
  <c r="D21" i="15"/>
  <c r="L21" i="15"/>
  <c r="E21" i="15"/>
  <c r="M21" i="15"/>
  <c r="G21" i="15"/>
  <c r="O21" i="15"/>
  <c r="H21" i="15"/>
  <c r="P21" i="15"/>
  <c r="I21" i="15"/>
  <c r="Q21" i="15"/>
  <c r="R21" i="15"/>
  <c r="D22" i="15"/>
  <c r="L22" i="15"/>
  <c r="E22" i="15"/>
  <c r="M22" i="15"/>
  <c r="G22" i="15"/>
  <c r="O22" i="15"/>
  <c r="H22" i="15"/>
  <c r="P22" i="15"/>
  <c r="I22" i="15"/>
  <c r="Q22" i="15"/>
  <c r="R22" i="15"/>
  <c r="D23" i="15"/>
  <c r="L23" i="15"/>
  <c r="E23" i="15"/>
  <c r="M23" i="15"/>
  <c r="G23" i="15"/>
  <c r="O23" i="15"/>
  <c r="H23" i="15"/>
  <c r="P23" i="15"/>
  <c r="I23" i="15"/>
  <c r="Q23" i="15"/>
  <c r="R23" i="15"/>
  <c r="D24" i="15"/>
  <c r="L24" i="15"/>
  <c r="E24" i="15"/>
  <c r="M24" i="15"/>
  <c r="G24" i="15"/>
  <c r="O24" i="15"/>
  <c r="H24" i="15"/>
  <c r="P24" i="15"/>
  <c r="I24" i="15"/>
  <c r="Q24" i="15"/>
  <c r="R24" i="15"/>
  <c r="D25" i="15"/>
  <c r="L25" i="15"/>
  <c r="E25" i="15"/>
  <c r="M25" i="15"/>
  <c r="G25" i="15"/>
  <c r="O25" i="15"/>
  <c r="H25" i="15"/>
  <c r="P25" i="15"/>
  <c r="I25" i="15"/>
  <c r="Q25" i="15"/>
  <c r="R25" i="15"/>
  <c r="D26" i="15"/>
  <c r="L26" i="15"/>
  <c r="E26" i="15"/>
  <c r="M26" i="15"/>
  <c r="G26" i="15"/>
  <c r="O26" i="15"/>
  <c r="H26" i="15"/>
  <c r="P26" i="15"/>
  <c r="I26" i="15"/>
  <c r="Q26" i="15"/>
  <c r="R26" i="15"/>
  <c r="D27" i="15"/>
  <c r="L27" i="15"/>
  <c r="E27" i="15"/>
  <c r="M27" i="15"/>
  <c r="G27" i="15"/>
  <c r="O27" i="15"/>
  <c r="H27" i="15"/>
  <c r="P27" i="15"/>
  <c r="I27" i="15"/>
  <c r="Q27" i="15"/>
  <c r="R27" i="15"/>
  <c r="D28" i="15"/>
  <c r="L28" i="15"/>
  <c r="E28" i="15"/>
  <c r="M28" i="15"/>
  <c r="G28" i="15"/>
  <c r="O28" i="15"/>
  <c r="H28" i="15"/>
  <c r="P28" i="15"/>
  <c r="I28" i="15"/>
  <c r="Q28" i="15"/>
  <c r="R28" i="15"/>
  <c r="D29" i="15"/>
  <c r="L29" i="15"/>
  <c r="E29" i="15"/>
  <c r="M29" i="15"/>
  <c r="G29" i="15"/>
  <c r="O29" i="15"/>
  <c r="H29" i="15"/>
  <c r="P29" i="15"/>
  <c r="I29" i="15"/>
  <c r="Q29" i="15"/>
  <c r="R29" i="15"/>
  <c r="D30" i="15"/>
  <c r="L30" i="15"/>
  <c r="E30" i="15"/>
  <c r="M30" i="15"/>
  <c r="G30" i="15"/>
  <c r="O30" i="15"/>
  <c r="H30" i="15"/>
  <c r="P30" i="15"/>
  <c r="I30" i="15"/>
  <c r="Q30" i="15"/>
  <c r="R30" i="15"/>
  <c r="D31" i="15"/>
  <c r="L31" i="15"/>
  <c r="E31" i="15"/>
  <c r="M31" i="15"/>
  <c r="G31" i="15"/>
  <c r="O31" i="15"/>
  <c r="H31" i="15"/>
  <c r="P31" i="15"/>
  <c r="I31" i="15"/>
  <c r="Q31" i="15"/>
  <c r="R31" i="15"/>
  <c r="D32" i="15"/>
  <c r="L32" i="15"/>
  <c r="E32" i="15"/>
  <c r="M32" i="15"/>
  <c r="G32" i="15"/>
  <c r="O32" i="15"/>
  <c r="H32" i="15"/>
  <c r="P32" i="15"/>
  <c r="I32" i="15"/>
  <c r="Q32" i="15"/>
  <c r="R32" i="15"/>
  <c r="D33" i="15"/>
  <c r="L33" i="15"/>
  <c r="E33" i="15"/>
  <c r="M33" i="15"/>
  <c r="G33" i="15"/>
  <c r="O33" i="15"/>
  <c r="H33" i="15"/>
  <c r="P33" i="15"/>
  <c r="I33" i="15"/>
  <c r="Q33" i="15"/>
  <c r="R33" i="15"/>
  <c r="D34" i="15"/>
  <c r="L34" i="15"/>
  <c r="E34" i="15"/>
  <c r="M34" i="15"/>
  <c r="G34" i="15"/>
  <c r="O34" i="15"/>
  <c r="H34" i="15"/>
  <c r="P34" i="15"/>
  <c r="I34" i="15"/>
  <c r="Q34" i="15"/>
  <c r="R34" i="15"/>
  <c r="D35" i="15"/>
  <c r="L35" i="15"/>
  <c r="E35" i="15"/>
  <c r="M35" i="15"/>
  <c r="G35" i="15"/>
  <c r="O35" i="15"/>
  <c r="H35" i="15"/>
  <c r="P35" i="15"/>
  <c r="I35" i="15"/>
  <c r="Q35" i="15"/>
  <c r="R35" i="15"/>
  <c r="D36" i="15"/>
  <c r="L36" i="15"/>
  <c r="E36" i="15"/>
  <c r="M36" i="15"/>
  <c r="G36" i="15"/>
  <c r="O36" i="15"/>
  <c r="H36" i="15"/>
  <c r="P36" i="15"/>
  <c r="I36" i="15"/>
  <c r="Q36" i="15"/>
  <c r="R36" i="15"/>
  <c r="D37" i="15"/>
  <c r="L37" i="15"/>
  <c r="E37" i="15"/>
  <c r="M37" i="15"/>
  <c r="G37" i="15"/>
  <c r="O37" i="15"/>
  <c r="H37" i="15"/>
  <c r="P37" i="15"/>
  <c r="I37" i="15"/>
  <c r="Q37" i="15"/>
  <c r="R37" i="15"/>
  <c r="D38" i="15"/>
  <c r="L38" i="15"/>
  <c r="E38" i="15"/>
  <c r="M38" i="15"/>
  <c r="G38" i="15"/>
  <c r="O38" i="15"/>
  <c r="H38" i="15"/>
  <c r="P38" i="15"/>
  <c r="I38" i="15"/>
  <c r="Q38" i="15"/>
  <c r="R38" i="15"/>
  <c r="D39" i="15"/>
  <c r="L39" i="15"/>
  <c r="E39" i="15"/>
  <c r="M39" i="15"/>
  <c r="G39" i="15"/>
  <c r="O39" i="15"/>
  <c r="H39" i="15"/>
  <c r="P39" i="15"/>
  <c r="I39" i="15"/>
  <c r="Q39" i="15"/>
  <c r="R39" i="15"/>
  <c r="D40" i="15"/>
  <c r="L40" i="15"/>
  <c r="E40" i="15"/>
  <c r="M40" i="15"/>
  <c r="G40" i="15"/>
  <c r="O40" i="15"/>
  <c r="H40" i="15"/>
  <c r="P40" i="15"/>
  <c r="I40" i="15"/>
  <c r="Q40" i="15"/>
  <c r="R40" i="15"/>
  <c r="D41" i="15"/>
  <c r="L41" i="15"/>
  <c r="E41" i="15"/>
  <c r="M41" i="15"/>
  <c r="G41" i="15"/>
  <c r="O41" i="15"/>
  <c r="H41" i="15"/>
  <c r="P41" i="15"/>
  <c r="I41" i="15"/>
  <c r="Q41" i="15"/>
  <c r="R41" i="15"/>
  <c r="D42" i="15"/>
  <c r="L42" i="15"/>
  <c r="E42" i="15"/>
  <c r="M42" i="15"/>
  <c r="G42" i="15"/>
  <c r="O42" i="15"/>
  <c r="H42" i="15"/>
  <c r="P42" i="15"/>
  <c r="I42" i="15"/>
  <c r="Q42" i="15"/>
  <c r="R42" i="15"/>
  <c r="D43" i="15"/>
  <c r="L43" i="15"/>
  <c r="E43" i="15"/>
  <c r="M43" i="15"/>
  <c r="G43" i="15"/>
  <c r="O43" i="15"/>
  <c r="H43" i="15"/>
  <c r="P43" i="15"/>
  <c r="I43" i="15"/>
  <c r="Q43" i="15"/>
  <c r="R43" i="15"/>
  <c r="D44" i="15"/>
  <c r="L44" i="15"/>
  <c r="E44" i="15"/>
  <c r="M44" i="15"/>
  <c r="G44" i="15"/>
  <c r="O44" i="15"/>
  <c r="H44" i="15"/>
  <c r="P44" i="15"/>
  <c r="I44" i="15"/>
  <c r="Q44" i="15"/>
  <c r="R44" i="15"/>
  <c r="D45" i="15"/>
  <c r="L45" i="15"/>
  <c r="E45" i="15"/>
  <c r="M45" i="15"/>
  <c r="G45" i="15"/>
  <c r="O45" i="15"/>
  <c r="H45" i="15"/>
  <c r="P45" i="15"/>
  <c r="I45" i="15"/>
  <c r="Q45" i="15"/>
  <c r="R45" i="15"/>
  <c r="D46" i="15"/>
  <c r="L46" i="15"/>
  <c r="E46" i="15"/>
  <c r="M46" i="15"/>
  <c r="G46" i="15"/>
  <c r="O46" i="15"/>
  <c r="H46" i="15"/>
  <c r="P46" i="15"/>
  <c r="I46" i="15"/>
  <c r="Q46" i="15"/>
  <c r="R46" i="15"/>
  <c r="D47" i="15"/>
  <c r="L47" i="15"/>
  <c r="E47" i="15"/>
  <c r="M47" i="15"/>
  <c r="G47" i="15"/>
  <c r="O47" i="15"/>
  <c r="H47" i="15"/>
  <c r="P47" i="15"/>
  <c r="I47" i="15"/>
  <c r="Q47" i="15"/>
  <c r="R47" i="15"/>
  <c r="D48" i="15"/>
  <c r="L48" i="15"/>
  <c r="E48" i="15"/>
  <c r="M48" i="15"/>
  <c r="G48" i="15"/>
  <c r="O48" i="15"/>
  <c r="H48" i="15"/>
  <c r="P48" i="15"/>
  <c r="I48" i="15"/>
  <c r="Q48" i="15"/>
  <c r="R48" i="15"/>
  <c r="D49" i="15"/>
  <c r="L49" i="15"/>
  <c r="E49" i="15"/>
  <c r="M49" i="15"/>
  <c r="G49" i="15"/>
  <c r="O49" i="15"/>
  <c r="H49" i="15"/>
  <c r="P49" i="15"/>
  <c r="I49" i="15"/>
  <c r="Q49" i="15"/>
  <c r="R49" i="15"/>
  <c r="D50" i="15"/>
  <c r="L50" i="15"/>
  <c r="E50" i="15"/>
  <c r="M50" i="15"/>
  <c r="G50" i="15"/>
  <c r="O50" i="15"/>
  <c r="H50" i="15"/>
  <c r="P50" i="15"/>
  <c r="I50" i="15"/>
  <c r="Q50" i="15"/>
  <c r="R50" i="15"/>
  <c r="D51" i="15"/>
  <c r="L51" i="15"/>
  <c r="E51" i="15"/>
  <c r="M51" i="15"/>
  <c r="G51" i="15"/>
  <c r="O51" i="15"/>
  <c r="H51" i="15"/>
  <c r="P51" i="15"/>
  <c r="I51" i="15"/>
  <c r="Q51" i="15"/>
  <c r="R51" i="15"/>
  <c r="D52" i="15"/>
  <c r="L52" i="15"/>
  <c r="E52" i="15"/>
  <c r="M52" i="15"/>
  <c r="G52" i="15"/>
  <c r="O52" i="15"/>
  <c r="H52" i="15"/>
  <c r="P52" i="15"/>
  <c r="I52" i="15"/>
  <c r="Q52" i="15"/>
  <c r="R52" i="15"/>
  <c r="D53" i="15"/>
  <c r="L53" i="15"/>
  <c r="E53" i="15"/>
  <c r="M53" i="15"/>
  <c r="G53" i="15"/>
  <c r="O53" i="15"/>
  <c r="H53" i="15"/>
  <c r="P53" i="15"/>
  <c r="I53" i="15"/>
  <c r="Q53" i="15"/>
  <c r="R53" i="15"/>
  <c r="D54" i="15"/>
  <c r="L54" i="15"/>
  <c r="E54" i="15"/>
  <c r="M54" i="15"/>
  <c r="G54" i="15"/>
  <c r="O54" i="15"/>
  <c r="H54" i="15"/>
  <c r="P54" i="15"/>
  <c r="I54" i="15"/>
  <c r="Q54" i="15"/>
  <c r="R54" i="15"/>
  <c r="D55" i="15"/>
  <c r="L55" i="15"/>
  <c r="E55" i="15"/>
  <c r="M55" i="15"/>
  <c r="G55" i="15"/>
  <c r="O55" i="15"/>
  <c r="H55" i="15"/>
  <c r="P55" i="15"/>
  <c r="I55" i="15"/>
  <c r="Q55" i="15"/>
  <c r="R55" i="15"/>
  <c r="D56" i="15"/>
  <c r="L56" i="15"/>
  <c r="E56" i="15"/>
  <c r="M56" i="15"/>
  <c r="G56" i="15"/>
  <c r="O56" i="15"/>
  <c r="H56" i="15"/>
  <c r="P56" i="15"/>
  <c r="I56" i="15"/>
  <c r="Q56" i="15"/>
  <c r="R56" i="15"/>
  <c r="D57" i="15"/>
  <c r="L57" i="15"/>
  <c r="E57" i="15"/>
  <c r="M57" i="15"/>
  <c r="G57" i="15"/>
  <c r="O57" i="15"/>
  <c r="H57" i="15"/>
  <c r="P57" i="15"/>
  <c r="I57" i="15"/>
  <c r="Q57" i="15"/>
  <c r="R57" i="15"/>
  <c r="D58" i="15"/>
  <c r="L58" i="15"/>
  <c r="E58" i="15"/>
  <c r="M58" i="15"/>
  <c r="G58" i="15"/>
  <c r="O58" i="15"/>
  <c r="H58" i="15"/>
  <c r="P58" i="15"/>
  <c r="I58" i="15"/>
  <c r="Q58" i="15"/>
  <c r="R58" i="15"/>
  <c r="D59" i="15"/>
  <c r="L59" i="15"/>
  <c r="E59" i="15"/>
  <c r="M59" i="15"/>
  <c r="G59" i="15"/>
  <c r="O59" i="15"/>
  <c r="H59" i="15"/>
  <c r="P59" i="15"/>
  <c r="I59" i="15"/>
  <c r="Q59" i="15"/>
  <c r="R59" i="15"/>
  <c r="D60" i="15"/>
  <c r="L60" i="15"/>
  <c r="E60" i="15"/>
  <c r="M60" i="15"/>
  <c r="G60" i="15"/>
  <c r="O60" i="15"/>
  <c r="H60" i="15"/>
  <c r="P60" i="15"/>
  <c r="I60" i="15"/>
  <c r="Q60" i="15"/>
  <c r="R60" i="15"/>
  <c r="D61" i="15"/>
  <c r="L61" i="15"/>
  <c r="E61" i="15"/>
  <c r="M61" i="15"/>
  <c r="G61" i="15"/>
  <c r="O61" i="15"/>
  <c r="H61" i="15"/>
  <c r="P61" i="15"/>
  <c r="I61" i="15"/>
  <c r="Q61" i="15"/>
  <c r="R61" i="15"/>
  <c r="D62" i="15"/>
  <c r="L62" i="15"/>
  <c r="E62" i="15"/>
  <c r="M62" i="15"/>
  <c r="G62" i="15"/>
  <c r="O62" i="15"/>
  <c r="H62" i="15"/>
  <c r="P62" i="15"/>
  <c r="I62" i="15"/>
  <c r="Q62" i="15"/>
  <c r="R62" i="15"/>
  <c r="D63" i="15"/>
  <c r="L63" i="15"/>
  <c r="E63" i="15"/>
  <c r="M63" i="15"/>
  <c r="G63" i="15"/>
  <c r="O63" i="15"/>
  <c r="H63" i="15"/>
  <c r="P63" i="15"/>
  <c r="I63" i="15"/>
  <c r="Q63" i="15"/>
  <c r="R63" i="15"/>
  <c r="D64" i="15"/>
  <c r="L64" i="15"/>
  <c r="E64" i="15"/>
  <c r="M64" i="15"/>
  <c r="G64" i="15"/>
  <c r="O64" i="15"/>
  <c r="H64" i="15"/>
  <c r="P64" i="15"/>
  <c r="I64" i="15"/>
  <c r="Q64" i="15"/>
  <c r="R64" i="15"/>
  <c r="D65" i="15"/>
  <c r="L65" i="15"/>
  <c r="E65" i="15"/>
  <c r="M65" i="15"/>
  <c r="G65" i="15"/>
  <c r="O65" i="15"/>
  <c r="H65" i="15"/>
  <c r="P65" i="15"/>
  <c r="I65" i="15"/>
  <c r="Q65" i="15"/>
  <c r="R65" i="15"/>
  <c r="D66" i="15"/>
  <c r="L66" i="15"/>
  <c r="E66" i="15"/>
  <c r="M66" i="15"/>
  <c r="G66" i="15"/>
  <c r="O66" i="15"/>
  <c r="H66" i="15"/>
  <c r="P66" i="15"/>
  <c r="I66" i="15"/>
  <c r="Q66" i="15"/>
  <c r="R66" i="15"/>
  <c r="D67" i="15"/>
  <c r="L67" i="15"/>
  <c r="E67" i="15"/>
  <c r="M67" i="15"/>
  <c r="G67" i="15"/>
  <c r="O67" i="15"/>
  <c r="H67" i="15"/>
  <c r="P67" i="15"/>
  <c r="I67" i="15"/>
  <c r="Q67" i="15"/>
  <c r="R67" i="15"/>
  <c r="D68" i="15"/>
  <c r="L68" i="15"/>
  <c r="E68" i="15"/>
  <c r="M68" i="15"/>
  <c r="G68" i="15"/>
  <c r="O68" i="15"/>
  <c r="H68" i="15"/>
  <c r="P68" i="15"/>
  <c r="I68" i="15"/>
  <c r="Q68" i="15"/>
  <c r="R68" i="15"/>
  <c r="D69" i="15"/>
  <c r="L69" i="15"/>
  <c r="E69" i="15"/>
  <c r="M69" i="15"/>
  <c r="G69" i="15"/>
  <c r="O69" i="15"/>
  <c r="H69" i="15"/>
  <c r="P69" i="15"/>
  <c r="I69" i="15"/>
  <c r="Q69" i="15"/>
  <c r="R69" i="15"/>
  <c r="D70" i="15"/>
  <c r="L70" i="15"/>
  <c r="E70" i="15"/>
  <c r="M70" i="15"/>
  <c r="G70" i="15"/>
  <c r="O70" i="15"/>
  <c r="H70" i="15"/>
  <c r="P70" i="15"/>
  <c r="I70" i="15"/>
  <c r="Q70" i="15"/>
  <c r="R70" i="15"/>
  <c r="D71" i="15"/>
  <c r="L71" i="15"/>
  <c r="E71" i="15"/>
  <c r="M71" i="15"/>
  <c r="G71" i="15"/>
  <c r="O71" i="15"/>
  <c r="H71" i="15"/>
  <c r="P71" i="15"/>
  <c r="I71" i="15"/>
  <c r="Q71" i="15"/>
  <c r="R71" i="15"/>
  <c r="D72" i="15"/>
  <c r="L72" i="15"/>
  <c r="E72" i="15"/>
  <c r="M72" i="15"/>
  <c r="G72" i="15"/>
  <c r="O72" i="15"/>
  <c r="H72" i="15"/>
  <c r="P72" i="15"/>
  <c r="I72" i="15"/>
  <c r="Q72" i="15"/>
  <c r="R72" i="15"/>
  <c r="D73" i="15"/>
  <c r="L73" i="15"/>
  <c r="E73" i="15"/>
  <c r="M73" i="15"/>
  <c r="G73" i="15"/>
  <c r="O73" i="15"/>
  <c r="H73" i="15"/>
  <c r="P73" i="15"/>
  <c r="I73" i="15"/>
  <c r="Q73" i="15"/>
  <c r="R73" i="15"/>
  <c r="D74" i="15"/>
  <c r="L74" i="15"/>
  <c r="E74" i="15"/>
  <c r="M74" i="15"/>
  <c r="G74" i="15"/>
  <c r="O74" i="15"/>
  <c r="H74" i="15"/>
  <c r="P74" i="15"/>
  <c r="I74" i="15"/>
  <c r="Q74" i="15"/>
  <c r="R74" i="15"/>
  <c r="D75" i="15"/>
  <c r="L75" i="15"/>
  <c r="E75" i="15"/>
  <c r="M75" i="15"/>
  <c r="G75" i="15"/>
  <c r="O75" i="15"/>
  <c r="H75" i="15"/>
  <c r="P75" i="15"/>
  <c r="I75" i="15"/>
  <c r="Q75" i="15"/>
  <c r="R75" i="15"/>
  <c r="D76" i="15"/>
  <c r="L76" i="15"/>
  <c r="E76" i="15"/>
  <c r="M76" i="15"/>
  <c r="G76" i="15"/>
  <c r="O76" i="15"/>
  <c r="H76" i="15"/>
  <c r="P76" i="15"/>
  <c r="I76" i="15"/>
  <c r="Q76" i="15"/>
  <c r="R76" i="15"/>
  <c r="D77" i="15"/>
  <c r="L77" i="15"/>
  <c r="E77" i="15"/>
  <c r="M77" i="15"/>
  <c r="G77" i="15"/>
  <c r="O77" i="15"/>
  <c r="H77" i="15"/>
  <c r="P77" i="15"/>
  <c r="I77" i="15"/>
  <c r="Q77" i="15"/>
  <c r="R77" i="15"/>
  <c r="D78" i="15"/>
  <c r="L78" i="15"/>
  <c r="E78" i="15"/>
  <c r="M78" i="15"/>
  <c r="G78" i="15"/>
  <c r="O78" i="15"/>
  <c r="H78" i="15"/>
  <c r="P78" i="15"/>
  <c r="I78" i="15"/>
  <c r="Q78" i="15"/>
  <c r="R78" i="15"/>
  <c r="D79" i="15"/>
  <c r="L79" i="15"/>
  <c r="E79" i="15"/>
  <c r="M79" i="15"/>
  <c r="G79" i="15"/>
  <c r="O79" i="15"/>
  <c r="H79" i="15"/>
  <c r="P79" i="15"/>
  <c r="I79" i="15"/>
  <c r="Q79" i="15"/>
  <c r="R79" i="15"/>
  <c r="D80" i="15"/>
  <c r="L80" i="15"/>
  <c r="E80" i="15"/>
  <c r="M80" i="15"/>
  <c r="G80" i="15"/>
  <c r="O80" i="15"/>
  <c r="H80" i="15"/>
  <c r="P80" i="15"/>
  <c r="I80" i="15"/>
  <c r="Q80" i="15"/>
  <c r="R80" i="15"/>
  <c r="D81" i="15"/>
  <c r="L81" i="15"/>
  <c r="E81" i="15"/>
  <c r="M81" i="15"/>
  <c r="G81" i="15"/>
  <c r="O81" i="15"/>
  <c r="H81" i="15"/>
  <c r="P81" i="15"/>
  <c r="I81" i="15"/>
  <c r="Q81" i="15"/>
  <c r="R81" i="15"/>
  <c r="D82" i="15"/>
  <c r="L82" i="15"/>
  <c r="E82" i="15"/>
  <c r="M82" i="15"/>
  <c r="G82" i="15"/>
  <c r="O82" i="15"/>
  <c r="H82" i="15"/>
  <c r="P82" i="15"/>
  <c r="I82" i="15"/>
  <c r="Q82" i="15"/>
  <c r="R82" i="15"/>
  <c r="D83" i="15"/>
  <c r="L83" i="15"/>
  <c r="E83" i="15"/>
  <c r="M83" i="15"/>
  <c r="G83" i="15"/>
  <c r="O83" i="15"/>
  <c r="H83" i="15"/>
  <c r="P83" i="15"/>
  <c r="I83" i="15"/>
  <c r="Q83" i="15"/>
  <c r="R83" i="15"/>
  <c r="D84" i="15"/>
  <c r="L84" i="15"/>
  <c r="E84" i="15"/>
  <c r="M84" i="15"/>
  <c r="G84" i="15"/>
  <c r="O84" i="15"/>
  <c r="H84" i="15"/>
  <c r="P84" i="15"/>
  <c r="I84" i="15"/>
  <c r="Q84" i="15"/>
  <c r="R84" i="15"/>
  <c r="D85" i="15"/>
  <c r="L85" i="15"/>
  <c r="E85" i="15"/>
  <c r="M85" i="15"/>
  <c r="G85" i="15"/>
  <c r="O85" i="15"/>
  <c r="H85" i="15"/>
  <c r="P85" i="15"/>
  <c r="I85" i="15"/>
  <c r="Q85" i="15"/>
  <c r="R85" i="15"/>
  <c r="D86" i="15"/>
  <c r="L86" i="15"/>
  <c r="E86" i="15"/>
  <c r="M86" i="15"/>
  <c r="G86" i="15"/>
  <c r="O86" i="15"/>
  <c r="H86" i="15"/>
  <c r="P86" i="15"/>
  <c r="I86" i="15"/>
  <c r="Q86" i="15"/>
  <c r="R86" i="15"/>
  <c r="D87" i="15"/>
  <c r="L87" i="15"/>
  <c r="E87" i="15"/>
  <c r="M87" i="15"/>
  <c r="G87" i="15"/>
  <c r="O87" i="15"/>
  <c r="H87" i="15"/>
  <c r="P87" i="15"/>
  <c r="I87" i="15"/>
  <c r="Q87" i="15"/>
  <c r="R87" i="15"/>
  <c r="D88" i="15"/>
  <c r="L88" i="15"/>
  <c r="E88" i="15"/>
  <c r="M88" i="15"/>
  <c r="G88" i="15"/>
  <c r="O88" i="15"/>
  <c r="H88" i="15"/>
  <c r="P88" i="15"/>
  <c r="I88" i="15"/>
  <c r="Q88" i="15"/>
  <c r="R88" i="15"/>
  <c r="D89" i="15"/>
  <c r="L89" i="15"/>
  <c r="E89" i="15"/>
  <c r="M89" i="15"/>
  <c r="G89" i="15"/>
  <c r="O89" i="15"/>
  <c r="H89" i="15"/>
  <c r="P89" i="15"/>
  <c r="I89" i="15"/>
  <c r="Q89" i="15"/>
  <c r="R89" i="15"/>
  <c r="D90" i="15"/>
  <c r="L90" i="15"/>
  <c r="E90" i="15"/>
  <c r="M90" i="15"/>
  <c r="G90" i="15"/>
  <c r="O90" i="15"/>
  <c r="H90" i="15"/>
  <c r="P90" i="15"/>
  <c r="I90" i="15"/>
  <c r="Q90" i="15"/>
  <c r="R90" i="15"/>
  <c r="D91" i="15"/>
  <c r="L91" i="15"/>
  <c r="E91" i="15"/>
  <c r="M91" i="15"/>
  <c r="G91" i="15"/>
  <c r="O91" i="15"/>
  <c r="H91" i="15"/>
  <c r="P91" i="15"/>
  <c r="I91" i="15"/>
  <c r="Q91" i="15"/>
  <c r="R91" i="15"/>
  <c r="D92" i="15"/>
  <c r="L92" i="15"/>
  <c r="E92" i="15"/>
  <c r="M92" i="15"/>
  <c r="G92" i="15"/>
  <c r="O92" i="15"/>
  <c r="H92" i="15"/>
  <c r="P92" i="15"/>
  <c r="I92" i="15"/>
  <c r="Q92" i="15"/>
  <c r="R92" i="15"/>
  <c r="D93" i="15"/>
  <c r="L93" i="15"/>
  <c r="E93" i="15"/>
  <c r="M93" i="15"/>
  <c r="G93" i="15"/>
  <c r="O93" i="15"/>
  <c r="H93" i="15"/>
  <c r="P93" i="15"/>
  <c r="I93" i="15"/>
  <c r="Q93" i="15"/>
  <c r="R93" i="15"/>
  <c r="D94" i="15"/>
  <c r="L94" i="15"/>
  <c r="E94" i="15"/>
  <c r="M94" i="15"/>
  <c r="G94" i="15"/>
  <c r="O94" i="15"/>
  <c r="H94" i="15"/>
  <c r="P94" i="15"/>
  <c r="I94" i="15"/>
  <c r="Q94" i="15"/>
  <c r="R94" i="15"/>
  <c r="D95" i="15"/>
  <c r="L95" i="15"/>
  <c r="E95" i="15"/>
  <c r="M95" i="15"/>
  <c r="G95" i="15"/>
  <c r="O95" i="15"/>
  <c r="H95" i="15"/>
  <c r="P95" i="15"/>
  <c r="I95" i="15"/>
  <c r="Q95" i="15"/>
  <c r="R95" i="15"/>
  <c r="D96" i="15"/>
  <c r="L96" i="15"/>
  <c r="E96" i="15"/>
  <c r="M96" i="15"/>
  <c r="G96" i="15"/>
  <c r="O96" i="15"/>
  <c r="H96" i="15"/>
  <c r="P96" i="15"/>
  <c r="I96" i="15"/>
  <c r="Q96" i="15"/>
  <c r="R96" i="15"/>
  <c r="D97" i="15"/>
  <c r="L97" i="15"/>
  <c r="E97" i="15"/>
  <c r="M97" i="15"/>
  <c r="G97" i="15"/>
  <c r="O97" i="15"/>
  <c r="H97" i="15"/>
  <c r="P97" i="15"/>
  <c r="I97" i="15"/>
  <c r="Q97" i="15"/>
  <c r="R97" i="15"/>
  <c r="D98" i="15"/>
  <c r="L98" i="15"/>
  <c r="E98" i="15"/>
  <c r="M98" i="15"/>
  <c r="G98" i="15"/>
  <c r="O98" i="15"/>
  <c r="H98" i="15"/>
  <c r="P98" i="15"/>
  <c r="I98" i="15"/>
  <c r="Q98" i="15"/>
  <c r="R98" i="15"/>
  <c r="D99" i="15"/>
  <c r="L99" i="15"/>
  <c r="E99" i="15"/>
  <c r="M99" i="15"/>
  <c r="G99" i="15"/>
  <c r="O99" i="15"/>
  <c r="H99" i="15"/>
  <c r="P99" i="15"/>
  <c r="I99" i="15"/>
  <c r="Q99" i="15"/>
  <c r="R99" i="15"/>
  <c r="D100" i="15"/>
  <c r="L100" i="15"/>
  <c r="E100" i="15"/>
  <c r="M100" i="15"/>
  <c r="G100" i="15"/>
  <c r="O100" i="15"/>
  <c r="H100" i="15"/>
  <c r="P100" i="15"/>
  <c r="I100" i="15"/>
  <c r="Q100" i="15"/>
  <c r="R100" i="15"/>
  <c r="D101" i="15"/>
  <c r="L101" i="15"/>
  <c r="E101" i="15"/>
  <c r="M101" i="15"/>
  <c r="G101" i="15"/>
  <c r="O101" i="15"/>
  <c r="H101" i="15"/>
  <c r="P101" i="15"/>
  <c r="I101" i="15"/>
  <c r="Q101" i="15"/>
  <c r="R101" i="15"/>
  <c r="D102" i="15"/>
  <c r="L102" i="15"/>
  <c r="E102" i="15"/>
  <c r="M102" i="15"/>
  <c r="G102" i="15"/>
  <c r="O102" i="15"/>
  <c r="H102" i="15"/>
  <c r="P102" i="15"/>
  <c r="I102" i="15"/>
  <c r="Q102" i="15"/>
  <c r="R102" i="15"/>
  <c r="D103" i="15"/>
  <c r="L103" i="15"/>
  <c r="E103" i="15"/>
  <c r="M103" i="15"/>
  <c r="G103" i="15"/>
  <c r="O103" i="15"/>
  <c r="H103" i="15"/>
  <c r="P103" i="15"/>
  <c r="I103" i="15"/>
  <c r="Q103" i="15"/>
  <c r="R103" i="15"/>
  <c r="D104" i="15"/>
  <c r="L104" i="15"/>
  <c r="E104" i="15"/>
  <c r="M104" i="15"/>
  <c r="G104" i="15"/>
  <c r="O104" i="15"/>
  <c r="H104" i="15"/>
  <c r="P104" i="15"/>
  <c r="I104" i="15"/>
  <c r="Q104" i="15"/>
  <c r="R104" i="15"/>
  <c r="D105" i="15"/>
  <c r="L105" i="15"/>
  <c r="E105" i="15"/>
  <c r="M105" i="15"/>
  <c r="G105" i="15"/>
  <c r="O105" i="15"/>
  <c r="H105" i="15"/>
  <c r="P105" i="15"/>
  <c r="I105" i="15"/>
  <c r="Q105" i="15"/>
  <c r="R105" i="15"/>
  <c r="D106" i="15"/>
  <c r="L106" i="15"/>
  <c r="E106" i="15"/>
  <c r="M106" i="15"/>
  <c r="G106" i="15"/>
  <c r="O106" i="15"/>
  <c r="H106" i="15"/>
  <c r="P106" i="15"/>
  <c r="I106" i="15"/>
  <c r="Q106" i="15"/>
  <c r="R106" i="15"/>
  <c r="D107" i="15"/>
  <c r="L107" i="15"/>
  <c r="E107" i="15"/>
  <c r="M107" i="15"/>
  <c r="G107" i="15"/>
  <c r="O107" i="15"/>
  <c r="H107" i="15"/>
  <c r="P107" i="15"/>
  <c r="I107" i="15"/>
  <c r="Q107" i="15"/>
  <c r="R107" i="15"/>
  <c r="D108" i="15"/>
  <c r="L108" i="15"/>
  <c r="E108" i="15"/>
  <c r="M108" i="15"/>
  <c r="G108" i="15"/>
  <c r="O108" i="15"/>
  <c r="H108" i="15"/>
  <c r="P108" i="15"/>
  <c r="I108" i="15"/>
  <c r="Q108" i="15"/>
  <c r="R108" i="15"/>
  <c r="D109" i="15"/>
  <c r="L109" i="15"/>
  <c r="E109" i="15"/>
  <c r="M109" i="15"/>
  <c r="G109" i="15"/>
  <c r="O109" i="15"/>
  <c r="H109" i="15"/>
  <c r="P109" i="15"/>
  <c r="I109" i="15"/>
  <c r="Q109" i="15"/>
  <c r="R109" i="15"/>
  <c r="D110" i="15"/>
  <c r="L110" i="15"/>
  <c r="E110" i="15"/>
  <c r="M110" i="15"/>
  <c r="G110" i="15"/>
  <c r="O110" i="15"/>
  <c r="H110" i="15"/>
  <c r="P110" i="15"/>
  <c r="I110" i="15"/>
  <c r="Q110" i="15"/>
  <c r="R110" i="15"/>
  <c r="D111" i="15"/>
  <c r="L111" i="15"/>
  <c r="E111" i="15"/>
  <c r="M111" i="15"/>
  <c r="G111" i="15"/>
  <c r="O111" i="15"/>
  <c r="H111" i="15"/>
  <c r="P111" i="15"/>
  <c r="I111" i="15"/>
  <c r="Q111" i="15"/>
  <c r="R111" i="15"/>
  <c r="D112" i="15"/>
  <c r="L112" i="15"/>
  <c r="E112" i="15"/>
  <c r="M112" i="15"/>
  <c r="G112" i="15"/>
  <c r="O112" i="15"/>
  <c r="H112" i="15"/>
  <c r="P112" i="15"/>
  <c r="I112" i="15"/>
  <c r="Q112" i="15"/>
  <c r="R112" i="15"/>
  <c r="D113" i="15"/>
  <c r="L113" i="15"/>
  <c r="E113" i="15"/>
  <c r="M113" i="15"/>
  <c r="G113" i="15"/>
  <c r="O113" i="15"/>
  <c r="H113" i="15"/>
  <c r="P113" i="15"/>
  <c r="I113" i="15"/>
  <c r="Q113" i="15"/>
  <c r="R113" i="15"/>
  <c r="D114" i="15"/>
  <c r="L114" i="15"/>
  <c r="E114" i="15"/>
  <c r="M114" i="15"/>
  <c r="G114" i="15"/>
  <c r="O114" i="15"/>
  <c r="H114" i="15"/>
  <c r="P114" i="15"/>
  <c r="I114" i="15"/>
  <c r="Q114" i="15"/>
  <c r="R114" i="15"/>
  <c r="D115" i="15"/>
  <c r="L115" i="15"/>
  <c r="E115" i="15"/>
  <c r="M115" i="15"/>
  <c r="G115" i="15"/>
  <c r="O115" i="15"/>
  <c r="H115" i="15"/>
  <c r="P115" i="15"/>
  <c r="I115" i="15"/>
  <c r="Q115" i="15"/>
  <c r="R115" i="15"/>
  <c r="D116" i="15"/>
  <c r="L116" i="15"/>
  <c r="E116" i="15"/>
  <c r="M116" i="15"/>
  <c r="G116" i="15"/>
  <c r="O116" i="15"/>
  <c r="H116" i="15"/>
  <c r="P116" i="15"/>
  <c r="I116" i="15"/>
  <c r="Q116" i="15"/>
  <c r="R116" i="15"/>
  <c r="D117" i="15"/>
  <c r="L117" i="15"/>
  <c r="E117" i="15"/>
  <c r="M117" i="15"/>
  <c r="G117" i="15"/>
  <c r="O117" i="15"/>
  <c r="H117" i="15"/>
  <c r="P117" i="15"/>
  <c r="I117" i="15"/>
  <c r="Q117" i="15"/>
  <c r="R117" i="15"/>
  <c r="D118" i="15"/>
  <c r="L118" i="15"/>
  <c r="E118" i="15"/>
  <c r="M118" i="15"/>
  <c r="G118" i="15"/>
  <c r="O118" i="15"/>
  <c r="H118" i="15"/>
  <c r="P118" i="15"/>
  <c r="I118" i="15"/>
  <c r="Q118" i="15"/>
  <c r="R118" i="15"/>
  <c r="D119" i="15"/>
  <c r="L119" i="15"/>
  <c r="E119" i="15"/>
  <c r="M119" i="15"/>
  <c r="G119" i="15"/>
  <c r="O119" i="15"/>
  <c r="H119" i="15"/>
  <c r="P119" i="15"/>
  <c r="I119" i="15"/>
  <c r="Q119" i="15"/>
  <c r="R119" i="15"/>
  <c r="D120" i="15"/>
  <c r="L120" i="15"/>
  <c r="E120" i="15"/>
  <c r="M120" i="15"/>
  <c r="G120" i="15"/>
  <c r="O120" i="15"/>
  <c r="H120" i="15"/>
  <c r="P120" i="15"/>
  <c r="I120" i="15"/>
  <c r="Q120" i="15"/>
  <c r="R120" i="15"/>
  <c r="D121" i="15"/>
  <c r="L121" i="15"/>
  <c r="E121" i="15"/>
  <c r="M121" i="15"/>
  <c r="G121" i="15"/>
  <c r="O121" i="15"/>
  <c r="H121" i="15"/>
  <c r="P121" i="15"/>
  <c r="I121" i="15"/>
  <c r="Q121" i="15"/>
  <c r="R121" i="15"/>
  <c r="A2" i="43"/>
  <c r="B2" i="43"/>
  <c r="A3" i="43"/>
  <c r="B3" i="43"/>
  <c r="A4" i="43"/>
  <c r="B4" i="43"/>
  <c r="A5" i="43"/>
  <c r="B5" i="43"/>
  <c r="A6" i="43"/>
  <c r="B6" i="43"/>
  <c r="A7" i="43"/>
  <c r="B7" i="43"/>
  <c r="A8" i="43"/>
  <c r="B8" i="43"/>
  <c r="A9" i="43"/>
  <c r="B9" i="43"/>
  <c r="A10" i="43"/>
  <c r="B10" i="43"/>
  <c r="A11" i="43"/>
  <c r="B11" i="43"/>
  <c r="A12" i="43"/>
  <c r="B12" i="43"/>
  <c r="A13" i="43"/>
  <c r="B13" i="43"/>
  <c r="A14" i="43"/>
  <c r="B14" i="43"/>
  <c r="A15" i="43"/>
  <c r="B15" i="43"/>
  <c r="A16" i="43"/>
  <c r="B16" i="43"/>
  <c r="A17" i="43"/>
  <c r="B17" i="43"/>
  <c r="A18" i="43"/>
  <c r="B18" i="43"/>
  <c r="A19" i="43"/>
  <c r="B19" i="43"/>
  <c r="A20" i="43"/>
  <c r="B20" i="43"/>
  <c r="A21" i="43"/>
  <c r="B21" i="43"/>
  <c r="A22" i="43"/>
  <c r="B22" i="43"/>
  <c r="A23" i="43"/>
  <c r="B23" i="43"/>
  <c r="A24" i="43"/>
  <c r="B24" i="43"/>
  <c r="A25" i="43"/>
  <c r="B25" i="43"/>
  <c r="A26" i="43"/>
  <c r="B26" i="43"/>
  <c r="A27" i="43"/>
  <c r="B27" i="43"/>
  <c r="A28" i="43"/>
  <c r="B28" i="43"/>
  <c r="A29" i="43"/>
  <c r="B29" i="43"/>
  <c r="A30" i="43"/>
  <c r="B30" i="43"/>
  <c r="A31" i="43"/>
  <c r="B31" i="43"/>
  <c r="A32" i="43"/>
  <c r="B32" i="43"/>
  <c r="A33" i="43"/>
  <c r="B33" i="43"/>
  <c r="A34" i="43"/>
  <c r="B34" i="43"/>
  <c r="A35" i="43"/>
  <c r="B35" i="43"/>
  <c r="A36" i="43"/>
  <c r="B36" i="43"/>
  <c r="A37" i="43"/>
  <c r="B37" i="43"/>
  <c r="A38" i="43"/>
  <c r="B38" i="43"/>
  <c r="A39" i="43"/>
  <c r="B39" i="43"/>
  <c r="A40" i="43"/>
  <c r="B40" i="43"/>
  <c r="A41" i="43"/>
  <c r="B41" i="43"/>
  <c r="A42" i="43"/>
  <c r="B42" i="43"/>
  <c r="A43" i="43"/>
  <c r="B43" i="43"/>
  <c r="A44" i="43"/>
  <c r="B44" i="43"/>
  <c r="A45" i="43"/>
  <c r="B45" i="43"/>
  <c r="A46" i="43"/>
  <c r="B46" i="43"/>
  <c r="A47" i="43"/>
  <c r="B47" i="43"/>
  <c r="A48" i="43"/>
  <c r="B48" i="43"/>
  <c r="A49" i="43"/>
  <c r="B49" i="43"/>
  <c r="A50" i="43"/>
  <c r="B50" i="43"/>
  <c r="A51" i="43"/>
  <c r="B51" i="43"/>
  <c r="A52" i="43"/>
  <c r="B52" i="43"/>
  <c r="A53" i="43"/>
  <c r="B53" i="43"/>
  <c r="A54" i="43"/>
  <c r="B54" i="43"/>
  <c r="A55" i="43"/>
  <c r="B55" i="43"/>
  <c r="A56" i="43"/>
  <c r="B56" i="43"/>
  <c r="A57" i="43"/>
  <c r="B57" i="43"/>
  <c r="A58" i="43"/>
  <c r="B58" i="43"/>
  <c r="A59" i="43"/>
  <c r="B59" i="43"/>
  <c r="A60" i="43"/>
  <c r="B60" i="43"/>
  <c r="A61" i="43"/>
  <c r="B61" i="43"/>
  <c r="A62" i="43"/>
  <c r="B62" i="43"/>
  <c r="A63" i="43"/>
  <c r="B63" i="43"/>
  <c r="A64" i="43"/>
  <c r="B64" i="43"/>
  <c r="A65" i="43"/>
  <c r="B65" i="43"/>
  <c r="A66" i="43"/>
  <c r="B66" i="43"/>
  <c r="A67" i="43"/>
  <c r="B67" i="43"/>
  <c r="A68" i="43"/>
  <c r="B68" i="43"/>
  <c r="A69" i="43"/>
  <c r="B69" i="43"/>
  <c r="A70" i="43"/>
  <c r="B70" i="43"/>
  <c r="A71" i="43"/>
  <c r="B71" i="43"/>
  <c r="A72" i="43"/>
  <c r="B72" i="43"/>
  <c r="A73" i="43"/>
  <c r="B73" i="43"/>
  <c r="A74" i="43"/>
  <c r="B74" i="43"/>
  <c r="A75" i="43"/>
  <c r="B75" i="43"/>
  <c r="A76" i="43"/>
  <c r="B76" i="43"/>
  <c r="A77" i="43"/>
  <c r="B77" i="43"/>
  <c r="A78" i="43"/>
  <c r="B78" i="43"/>
  <c r="A79" i="43"/>
  <c r="B79" i="43"/>
  <c r="A80" i="43"/>
  <c r="B80" i="43"/>
  <c r="A81" i="43"/>
  <c r="B81" i="43"/>
  <c r="A82" i="43"/>
  <c r="B82" i="43"/>
  <c r="A83" i="43"/>
  <c r="B83" i="43"/>
  <c r="A84" i="43"/>
  <c r="B84" i="43"/>
  <c r="A85" i="43"/>
  <c r="B85" i="43"/>
  <c r="A86" i="43"/>
  <c r="B86" i="43"/>
  <c r="A87" i="43"/>
  <c r="B87" i="43"/>
  <c r="A88" i="43"/>
  <c r="B88" i="43"/>
  <c r="A89" i="43"/>
  <c r="B89" i="43"/>
  <c r="A90" i="43"/>
  <c r="B90" i="43"/>
  <c r="A91" i="43"/>
  <c r="B91" i="43"/>
  <c r="A92" i="43"/>
  <c r="B92" i="43"/>
  <c r="A93" i="43"/>
  <c r="B93" i="43"/>
  <c r="A94" i="43"/>
  <c r="B94" i="43"/>
  <c r="A95" i="43"/>
  <c r="B95" i="43"/>
  <c r="A96" i="43"/>
  <c r="B96" i="43"/>
  <c r="A97" i="43"/>
  <c r="B97" i="43"/>
  <c r="A98" i="43"/>
  <c r="B98" i="43"/>
  <c r="A99" i="43"/>
  <c r="B99" i="43"/>
  <c r="A100" i="43"/>
  <c r="B100" i="43"/>
  <c r="A101" i="43"/>
  <c r="B101" i="43"/>
  <c r="A102" i="43"/>
  <c r="B102" i="43"/>
  <c r="A103" i="43"/>
  <c r="B103" i="43"/>
  <c r="A104" i="43"/>
  <c r="B104" i="43"/>
  <c r="A105" i="43"/>
  <c r="B105" i="43"/>
  <c r="A106" i="43"/>
  <c r="B106" i="43"/>
  <c r="A107" i="43"/>
  <c r="B107" i="43"/>
  <c r="A108" i="43"/>
  <c r="B108" i="43"/>
  <c r="A109" i="43"/>
  <c r="B109" i="43"/>
  <c r="A110" i="43"/>
  <c r="B110" i="43"/>
  <c r="A111" i="43"/>
  <c r="B111" i="43"/>
  <c r="A112" i="43"/>
  <c r="B112" i="43"/>
  <c r="A113" i="43"/>
  <c r="B113" i="43"/>
  <c r="A114" i="43"/>
  <c r="B114" i="43"/>
  <c r="A115" i="43"/>
  <c r="B115" i="43"/>
  <c r="A116" i="43"/>
  <c r="B116" i="43"/>
  <c r="A117" i="43"/>
  <c r="B117" i="43"/>
  <c r="A118" i="43"/>
  <c r="B118" i="43"/>
  <c r="A119" i="43"/>
  <c r="B119" i="43"/>
  <c r="A120" i="43"/>
  <c r="B120" i="43"/>
  <c r="A121" i="43"/>
  <c r="B121" i="43"/>
  <c r="C1" i="43"/>
  <c r="X59" i="16"/>
  <c r="X60" i="16"/>
  <c r="X61" i="16"/>
  <c r="X62" i="16"/>
  <c r="X63" i="16"/>
  <c r="X64" i="16"/>
  <c r="X65" i="16"/>
  <c r="X66" i="16"/>
  <c r="X67" i="16"/>
  <c r="X58" i="16"/>
  <c r="D2" i="45"/>
  <c r="Q2" i="45"/>
  <c r="E2" i="45"/>
  <c r="R2" i="45"/>
  <c r="F2" i="45"/>
  <c r="S2" i="45"/>
  <c r="H2" i="45"/>
  <c r="U2" i="45"/>
  <c r="I2" i="45"/>
  <c r="V2" i="45"/>
  <c r="J2" i="45"/>
  <c r="W2" i="45"/>
  <c r="K2" i="45"/>
  <c r="X2" i="45"/>
  <c r="M2" i="45"/>
  <c r="Z2" i="45"/>
  <c r="N2" i="45"/>
  <c r="AA2" i="45"/>
  <c r="AB2" i="45"/>
  <c r="D3" i="45"/>
  <c r="Q3" i="45"/>
  <c r="E3" i="45"/>
  <c r="R3" i="45"/>
  <c r="F3" i="45"/>
  <c r="S3" i="45"/>
  <c r="H3" i="45"/>
  <c r="U3" i="45"/>
  <c r="I3" i="45"/>
  <c r="V3" i="45"/>
  <c r="J3" i="45"/>
  <c r="W3" i="45"/>
  <c r="K3" i="45"/>
  <c r="X3" i="45"/>
  <c r="M3" i="45"/>
  <c r="Z3" i="45"/>
  <c r="N3" i="45"/>
  <c r="AA3" i="45"/>
  <c r="AB3" i="45"/>
  <c r="D4" i="45"/>
  <c r="Q4" i="45"/>
  <c r="E4" i="45"/>
  <c r="R4" i="45"/>
  <c r="F4" i="45"/>
  <c r="S4" i="45"/>
  <c r="H4" i="45"/>
  <c r="U4" i="45"/>
  <c r="I4" i="45"/>
  <c r="V4" i="45"/>
  <c r="J4" i="45"/>
  <c r="W4" i="45"/>
  <c r="K4" i="45"/>
  <c r="X4" i="45"/>
  <c r="M4" i="45"/>
  <c r="Z4" i="45"/>
  <c r="N4" i="45"/>
  <c r="AA4" i="45"/>
  <c r="AB4" i="45"/>
  <c r="D5" i="45"/>
  <c r="Q5" i="45"/>
  <c r="E5" i="45"/>
  <c r="R5" i="45"/>
  <c r="F5" i="45"/>
  <c r="S5" i="45"/>
  <c r="H5" i="45"/>
  <c r="U5" i="45"/>
  <c r="I5" i="45"/>
  <c r="V5" i="45"/>
  <c r="J5" i="45"/>
  <c r="W5" i="45"/>
  <c r="K5" i="45"/>
  <c r="X5" i="45"/>
  <c r="M5" i="45"/>
  <c r="Z5" i="45"/>
  <c r="N5" i="45"/>
  <c r="AA5" i="45"/>
  <c r="AB5" i="45"/>
  <c r="D6" i="45"/>
  <c r="Q6" i="45"/>
  <c r="E6" i="45"/>
  <c r="R6" i="45"/>
  <c r="F6" i="45"/>
  <c r="S6" i="45"/>
  <c r="H6" i="45"/>
  <c r="U6" i="45"/>
  <c r="I6" i="45"/>
  <c r="V6" i="45"/>
  <c r="J6" i="45"/>
  <c r="W6" i="45"/>
  <c r="K6" i="45"/>
  <c r="X6" i="45"/>
  <c r="M6" i="45"/>
  <c r="Z6" i="45"/>
  <c r="N6" i="45"/>
  <c r="AA6" i="45"/>
  <c r="AB6" i="45"/>
  <c r="D7" i="45"/>
  <c r="Q7" i="45"/>
  <c r="E7" i="45"/>
  <c r="R7" i="45"/>
  <c r="F7" i="45"/>
  <c r="S7" i="45"/>
  <c r="H7" i="45"/>
  <c r="U7" i="45"/>
  <c r="I7" i="45"/>
  <c r="V7" i="45"/>
  <c r="J7" i="45"/>
  <c r="W7" i="45"/>
  <c r="K7" i="45"/>
  <c r="X7" i="45"/>
  <c r="M7" i="45"/>
  <c r="Z7" i="45"/>
  <c r="N7" i="45"/>
  <c r="AA7" i="45"/>
  <c r="AB7" i="45"/>
  <c r="D8" i="45"/>
  <c r="Q8" i="45"/>
  <c r="E8" i="45"/>
  <c r="R8" i="45"/>
  <c r="F8" i="45"/>
  <c r="S8" i="45"/>
  <c r="H8" i="45"/>
  <c r="U8" i="45"/>
  <c r="I8" i="45"/>
  <c r="V8" i="45"/>
  <c r="J8" i="45"/>
  <c r="W8" i="45"/>
  <c r="K8" i="45"/>
  <c r="X8" i="45"/>
  <c r="M8" i="45"/>
  <c r="Z8" i="45"/>
  <c r="N8" i="45"/>
  <c r="AA8" i="45"/>
  <c r="AB8" i="45"/>
  <c r="D9" i="45"/>
  <c r="Q9" i="45"/>
  <c r="E9" i="45"/>
  <c r="R9" i="45"/>
  <c r="F9" i="45"/>
  <c r="S9" i="45"/>
  <c r="H9" i="45"/>
  <c r="U9" i="45"/>
  <c r="I9" i="45"/>
  <c r="V9" i="45"/>
  <c r="J9" i="45"/>
  <c r="W9" i="45"/>
  <c r="K9" i="45"/>
  <c r="X9" i="45"/>
  <c r="M9" i="45"/>
  <c r="Z9" i="45"/>
  <c r="N9" i="45"/>
  <c r="AA9" i="45"/>
  <c r="AB9" i="45"/>
  <c r="D10" i="45"/>
  <c r="Q10" i="45"/>
  <c r="E10" i="45"/>
  <c r="R10" i="45"/>
  <c r="F10" i="45"/>
  <c r="S10" i="45"/>
  <c r="H10" i="45"/>
  <c r="U10" i="45"/>
  <c r="I10" i="45"/>
  <c r="V10" i="45"/>
  <c r="J10" i="45"/>
  <c r="W10" i="45"/>
  <c r="K10" i="45"/>
  <c r="X10" i="45"/>
  <c r="M10" i="45"/>
  <c r="Z10" i="45"/>
  <c r="N10" i="45"/>
  <c r="AA10" i="45"/>
  <c r="AB10" i="45"/>
  <c r="D11" i="45"/>
  <c r="Q11" i="45"/>
  <c r="E11" i="45"/>
  <c r="R11" i="45"/>
  <c r="F11" i="45"/>
  <c r="S11" i="45"/>
  <c r="H11" i="45"/>
  <c r="U11" i="45"/>
  <c r="I11" i="45"/>
  <c r="V11" i="45"/>
  <c r="J11" i="45"/>
  <c r="W11" i="45"/>
  <c r="K11" i="45"/>
  <c r="X11" i="45"/>
  <c r="M11" i="45"/>
  <c r="Z11" i="45"/>
  <c r="N11" i="45"/>
  <c r="AA11" i="45"/>
  <c r="AB11" i="45"/>
  <c r="D12" i="45"/>
  <c r="Q12" i="45"/>
  <c r="E12" i="45"/>
  <c r="R12" i="45"/>
  <c r="F12" i="45"/>
  <c r="S12" i="45"/>
  <c r="H12" i="45"/>
  <c r="U12" i="45"/>
  <c r="I12" i="45"/>
  <c r="V12" i="45"/>
  <c r="J12" i="45"/>
  <c r="W12" i="45"/>
  <c r="K12" i="45"/>
  <c r="X12" i="45"/>
  <c r="M12" i="45"/>
  <c r="Z12" i="45"/>
  <c r="N12" i="45"/>
  <c r="AA12" i="45"/>
  <c r="AB12" i="45"/>
  <c r="D13" i="45"/>
  <c r="Q13" i="45"/>
  <c r="E13" i="45"/>
  <c r="R13" i="45"/>
  <c r="F13" i="45"/>
  <c r="S13" i="45"/>
  <c r="H13" i="45"/>
  <c r="U13" i="45"/>
  <c r="I13" i="45"/>
  <c r="V13" i="45"/>
  <c r="J13" i="45"/>
  <c r="W13" i="45"/>
  <c r="K13" i="45"/>
  <c r="X13" i="45"/>
  <c r="M13" i="45"/>
  <c r="Z13" i="45"/>
  <c r="N13" i="45"/>
  <c r="AA13" i="45"/>
  <c r="AB13" i="45"/>
  <c r="D14" i="45"/>
  <c r="Q14" i="45"/>
  <c r="E14" i="45"/>
  <c r="R14" i="45"/>
  <c r="F14" i="45"/>
  <c r="S14" i="45"/>
  <c r="H14" i="45"/>
  <c r="U14" i="45"/>
  <c r="I14" i="45"/>
  <c r="V14" i="45"/>
  <c r="J14" i="45"/>
  <c r="W14" i="45"/>
  <c r="K14" i="45"/>
  <c r="X14" i="45"/>
  <c r="M14" i="45"/>
  <c r="Z14" i="45"/>
  <c r="N14" i="45"/>
  <c r="AA14" i="45"/>
  <c r="AB14" i="45"/>
  <c r="D15" i="45"/>
  <c r="Q15" i="45"/>
  <c r="E15" i="45"/>
  <c r="R15" i="45"/>
  <c r="F15" i="45"/>
  <c r="S15" i="45"/>
  <c r="H15" i="45"/>
  <c r="U15" i="45"/>
  <c r="I15" i="45"/>
  <c r="V15" i="45"/>
  <c r="J15" i="45"/>
  <c r="W15" i="45"/>
  <c r="K15" i="45"/>
  <c r="X15" i="45"/>
  <c r="M15" i="45"/>
  <c r="Z15" i="45"/>
  <c r="N15" i="45"/>
  <c r="AA15" i="45"/>
  <c r="AB15" i="45"/>
  <c r="D16" i="45"/>
  <c r="Q16" i="45"/>
  <c r="E16" i="45"/>
  <c r="R16" i="45"/>
  <c r="F16" i="45"/>
  <c r="S16" i="45"/>
  <c r="H16" i="45"/>
  <c r="U16" i="45"/>
  <c r="I16" i="45"/>
  <c r="V16" i="45"/>
  <c r="J16" i="45"/>
  <c r="W16" i="45"/>
  <c r="K16" i="45"/>
  <c r="X16" i="45"/>
  <c r="M16" i="45"/>
  <c r="Z16" i="45"/>
  <c r="N16" i="45"/>
  <c r="AA16" i="45"/>
  <c r="AB16" i="45"/>
  <c r="D17" i="45"/>
  <c r="Q17" i="45"/>
  <c r="E17" i="45"/>
  <c r="R17" i="45"/>
  <c r="F17" i="45"/>
  <c r="S17" i="45"/>
  <c r="H17" i="45"/>
  <c r="U17" i="45"/>
  <c r="I17" i="45"/>
  <c r="V17" i="45"/>
  <c r="J17" i="45"/>
  <c r="W17" i="45"/>
  <c r="K17" i="45"/>
  <c r="X17" i="45"/>
  <c r="M17" i="45"/>
  <c r="Z17" i="45"/>
  <c r="N17" i="45"/>
  <c r="AA17" i="45"/>
  <c r="AB17" i="45"/>
  <c r="D18" i="45"/>
  <c r="Q18" i="45"/>
  <c r="E18" i="45"/>
  <c r="R18" i="45"/>
  <c r="F18" i="45"/>
  <c r="S18" i="45"/>
  <c r="H18" i="45"/>
  <c r="U18" i="45"/>
  <c r="I18" i="45"/>
  <c r="V18" i="45"/>
  <c r="J18" i="45"/>
  <c r="W18" i="45"/>
  <c r="K18" i="45"/>
  <c r="X18" i="45"/>
  <c r="M18" i="45"/>
  <c r="Z18" i="45"/>
  <c r="N18" i="45"/>
  <c r="AA18" i="45"/>
  <c r="AB18" i="45"/>
  <c r="D19" i="45"/>
  <c r="Q19" i="45"/>
  <c r="E19" i="45"/>
  <c r="R19" i="45"/>
  <c r="F19" i="45"/>
  <c r="S19" i="45"/>
  <c r="H19" i="45"/>
  <c r="U19" i="45"/>
  <c r="I19" i="45"/>
  <c r="V19" i="45"/>
  <c r="J19" i="45"/>
  <c r="W19" i="45"/>
  <c r="K19" i="45"/>
  <c r="X19" i="45"/>
  <c r="M19" i="45"/>
  <c r="Z19" i="45"/>
  <c r="N19" i="45"/>
  <c r="AA19" i="45"/>
  <c r="AB19" i="45"/>
  <c r="D20" i="45"/>
  <c r="Q20" i="45"/>
  <c r="E20" i="45"/>
  <c r="R20" i="45"/>
  <c r="F20" i="45"/>
  <c r="S20" i="45"/>
  <c r="H20" i="45"/>
  <c r="U20" i="45"/>
  <c r="I20" i="45"/>
  <c r="V20" i="45"/>
  <c r="J20" i="45"/>
  <c r="W20" i="45"/>
  <c r="K20" i="45"/>
  <c r="X20" i="45"/>
  <c r="M20" i="45"/>
  <c r="Z20" i="45"/>
  <c r="N20" i="45"/>
  <c r="AA20" i="45"/>
  <c r="AB20" i="45"/>
  <c r="D21" i="45"/>
  <c r="Q21" i="45"/>
  <c r="E21" i="45"/>
  <c r="R21" i="45"/>
  <c r="F21" i="45"/>
  <c r="S21" i="45"/>
  <c r="H21" i="45"/>
  <c r="U21" i="45"/>
  <c r="I21" i="45"/>
  <c r="V21" i="45"/>
  <c r="J21" i="45"/>
  <c r="W21" i="45"/>
  <c r="K21" i="45"/>
  <c r="X21" i="45"/>
  <c r="M21" i="45"/>
  <c r="Z21" i="45"/>
  <c r="N21" i="45"/>
  <c r="AA21" i="45"/>
  <c r="AB21" i="45"/>
  <c r="D22" i="45"/>
  <c r="Q22" i="45"/>
  <c r="E22" i="45"/>
  <c r="R22" i="45"/>
  <c r="F22" i="45"/>
  <c r="S22" i="45"/>
  <c r="H22" i="45"/>
  <c r="U22" i="45"/>
  <c r="I22" i="45"/>
  <c r="V22" i="45"/>
  <c r="J22" i="45"/>
  <c r="W22" i="45"/>
  <c r="K22" i="45"/>
  <c r="X22" i="45"/>
  <c r="M22" i="45"/>
  <c r="Z22" i="45"/>
  <c r="N22" i="45"/>
  <c r="AA22" i="45"/>
  <c r="AB22" i="45"/>
  <c r="D23" i="45"/>
  <c r="Q23" i="45"/>
  <c r="E23" i="45"/>
  <c r="R23" i="45"/>
  <c r="F23" i="45"/>
  <c r="S23" i="45"/>
  <c r="H23" i="45"/>
  <c r="U23" i="45"/>
  <c r="I23" i="45"/>
  <c r="V23" i="45"/>
  <c r="J23" i="45"/>
  <c r="W23" i="45"/>
  <c r="K23" i="45"/>
  <c r="X23" i="45"/>
  <c r="M23" i="45"/>
  <c r="Z23" i="45"/>
  <c r="N23" i="45"/>
  <c r="AA23" i="45"/>
  <c r="AB23" i="45"/>
  <c r="D24" i="45"/>
  <c r="Q24" i="45"/>
  <c r="E24" i="45"/>
  <c r="R24" i="45"/>
  <c r="F24" i="45"/>
  <c r="S24" i="45"/>
  <c r="H24" i="45"/>
  <c r="U24" i="45"/>
  <c r="I24" i="45"/>
  <c r="V24" i="45"/>
  <c r="J24" i="45"/>
  <c r="W24" i="45"/>
  <c r="K24" i="45"/>
  <c r="X24" i="45"/>
  <c r="M24" i="45"/>
  <c r="Z24" i="45"/>
  <c r="N24" i="45"/>
  <c r="AA24" i="45"/>
  <c r="AB24" i="45"/>
  <c r="D25" i="45"/>
  <c r="Q25" i="45"/>
  <c r="E25" i="45"/>
  <c r="R25" i="45"/>
  <c r="F25" i="45"/>
  <c r="S25" i="45"/>
  <c r="H25" i="45"/>
  <c r="U25" i="45"/>
  <c r="I25" i="45"/>
  <c r="V25" i="45"/>
  <c r="J25" i="45"/>
  <c r="W25" i="45"/>
  <c r="K25" i="45"/>
  <c r="X25" i="45"/>
  <c r="M25" i="45"/>
  <c r="Z25" i="45"/>
  <c r="N25" i="45"/>
  <c r="AA25" i="45"/>
  <c r="AB25" i="45"/>
  <c r="D26" i="45"/>
  <c r="Q26" i="45"/>
  <c r="E26" i="45"/>
  <c r="R26" i="45"/>
  <c r="F26" i="45"/>
  <c r="S26" i="45"/>
  <c r="H26" i="45"/>
  <c r="U26" i="45"/>
  <c r="I26" i="45"/>
  <c r="V26" i="45"/>
  <c r="J26" i="45"/>
  <c r="W26" i="45"/>
  <c r="K26" i="45"/>
  <c r="X26" i="45"/>
  <c r="M26" i="45"/>
  <c r="Z26" i="45"/>
  <c r="N26" i="45"/>
  <c r="AA26" i="45"/>
  <c r="AB26" i="45"/>
  <c r="D27" i="45"/>
  <c r="Q27" i="45"/>
  <c r="E27" i="45"/>
  <c r="R27" i="45"/>
  <c r="F27" i="45"/>
  <c r="S27" i="45"/>
  <c r="H27" i="45"/>
  <c r="U27" i="45"/>
  <c r="I27" i="45"/>
  <c r="V27" i="45"/>
  <c r="J27" i="45"/>
  <c r="W27" i="45"/>
  <c r="K27" i="45"/>
  <c r="X27" i="45"/>
  <c r="M27" i="45"/>
  <c r="Z27" i="45"/>
  <c r="N27" i="45"/>
  <c r="AA27" i="45"/>
  <c r="AB27" i="45"/>
  <c r="D28" i="45"/>
  <c r="Q28" i="45"/>
  <c r="E28" i="45"/>
  <c r="R28" i="45"/>
  <c r="F28" i="45"/>
  <c r="S28" i="45"/>
  <c r="H28" i="45"/>
  <c r="U28" i="45"/>
  <c r="I28" i="45"/>
  <c r="V28" i="45"/>
  <c r="J28" i="45"/>
  <c r="W28" i="45"/>
  <c r="K28" i="45"/>
  <c r="X28" i="45"/>
  <c r="M28" i="45"/>
  <c r="Z28" i="45"/>
  <c r="N28" i="45"/>
  <c r="AA28" i="45"/>
  <c r="AB28" i="45"/>
  <c r="D29" i="45"/>
  <c r="Q29" i="45"/>
  <c r="E29" i="45"/>
  <c r="R29" i="45"/>
  <c r="F29" i="45"/>
  <c r="S29" i="45"/>
  <c r="H29" i="45"/>
  <c r="U29" i="45"/>
  <c r="I29" i="45"/>
  <c r="V29" i="45"/>
  <c r="J29" i="45"/>
  <c r="W29" i="45"/>
  <c r="K29" i="45"/>
  <c r="X29" i="45"/>
  <c r="M29" i="45"/>
  <c r="Z29" i="45"/>
  <c r="N29" i="45"/>
  <c r="AA29" i="45"/>
  <c r="AB29" i="45"/>
  <c r="D30" i="45"/>
  <c r="Q30" i="45"/>
  <c r="E30" i="45"/>
  <c r="R30" i="45"/>
  <c r="F30" i="45"/>
  <c r="S30" i="45"/>
  <c r="H30" i="45"/>
  <c r="U30" i="45"/>
  <c r="I30" i="45"/>
  <c r="V30" i="45"/>
  <c r="J30" i="45"/>
  <c r="W30" i="45"/>
  <c r="K30" i="45"/>
  <c r="X30" i="45"/>
  <c r="M30" i="45"/>
  <c r="Z30" i="45"/>
  <c r="N30" i="45"/>
  <c r="AA30" i="45"/>
  <c r="AB30" i="45"/>
  <c r="D31" i="45"/>
  <c r="Q31" i="45"/>
  <c r="E31" i="45"/>
  <c r="R31" i="45"/>
  <c r="F31" i="45"/>
  <c r="S31" i="45"/>
  <c r="H31" i="45"/>
  <c r="U31" i="45"/>
  <c r="I31" i="45"/>
  <c r="V31" i="45"/>
  <c r="J31" i="45"/>
  <c r="W31" i="45"/>
  <c r="K31" i="45"/>
  <c r="X31" i="45"/>
  <c r="M31" i="45"/>
  <c r="Z31" i="45"/>
  <c r="N31" i="45"/>
  <c r="AA31" i="45"/>
  <c r="AB31" i="45"/>
  <c r="D32" i="45"/>
  <c r="Q32" i="45"/>
  <c r="E32" i="45"/>
  <c r="R32" i="45"/>
  <c r="F32" i="45"/>
  <c r="S32" i="45"/>
  <c r="H32" i="45"/>
  <c r="U32" i="45"/>
  <c r="I32" i="45"/>
  <c r="V32" i="45"/>
  <c r="J32" i="45"/>
  <c r="W32" i="45"/>
  <c r="K32" i="45"/>
  <c r="X32" i="45"/>
  <c r="M32" i="45"/>
  <c r="Z32" i="45"/>
  <c r="N32" i="45"/>
  <c r="AA32" i="45"/>
  <c r="AB32" i="45"/>
  <c r="D33" i="45"/>
  <c r="Q33" i="45"/>
  <c r="E33" i="45"/>
  <c r="R33" i="45"/>
  <c r="F33" i="45"/>
  <c r="S33" i="45"/>
  <c r="H33" i="45"/>
  <c r="U33" i="45"/>
  <c r="I33" i="45"/>
  <c r="V33" i="45"/>
  <c r="J33" i="45"/>
  <c r="W33" i="45"/>
  <c r="K33" i="45"/>
  <c r="X33" i="45"/>
  <c r="M33" i="45"/>
  <c r="Z33" i="45"/>
  <c r="N33" i="45"/>
  <c r="AA33" i="45"/>
  <c r="AB33" i="45"/>
  <c r="D34" i="45"/>
  <c r="Q34" i="45"/>
  <c r="E34" i="45"/>
  <c r="R34" i="45"/>
  <c r="F34" i="45"/>
  <c r="S34" i="45"/>
  <c r="H34" i="45"/>
  <c r="U34" i="45"/>
  <c r="I34" i="45"/>
  <c r="V34" i="45"/>
  <c r="J34" i="45"/>
  <c r="W34" i="45"/>
  <c r="K34" i="45"/>
  <c r="X34" i="45"/>
  <c r="M34" i="45"/>
  <c r="Z34" i="45"/>
  <c r="N34" i="45"/>
  <c r="AA34" i="45"/>
  <c r="AB34" i="45"/>
  <c r="D35" i="45"/>
  <c r="Q35" i="45"/>
  <c r="E35" i="45"/>
  <c r="R35" i="45"/>
  <c r="F35" i="45"/>
  <c r="S35" i="45"/>
  <c r="H35" i="45"/>
  <c r="U35" i="45"/>
  <c r="I35" i="45"/>
  <c r="V35" i="45"/>
  <c r="J35" i="45"/>
  <c r="W35" i="45"/>
  <c r="K35" i="45"/>
  <c r="X35" i="45"/>
  <c r="M35" i="45"/>
  <c r="Z35" i="45"/>
  <c r="N35" i="45"/>
  <c r="AA35" i="45"/>
  <c r="AB35" i="45"/>
  <c r="D36" i="45"/>
  <c r="Q36" i="45"/>
  <c r="E36" i="45"/>
  <c r="R36" i="45"/>
  <c r="F36" i="45"/>
  <c r="S36" i="45"/>
  <c r="H36" i="45"/>
  <c r="U36" i="45"/>
  <c r="I36" i="45"/>
  <c r="V36" i="45"/>
  <c r="J36" i="45"/>
  <c r="W36" i="45"/>
  <c r="K36" i="45"/>
  <c r="X36" i="45"/>
  <c r="M36" i="45"/>
  <c r="Z36" i="45"/>
  <c r="N36" i="45"/>
  <c r="AA36" i="45"/>
  <c r="AB36" i="45"/>
  <c r="D37" i="45"/>
  <c r="Q37" i="45"/>
  <c r="E37" i="45"/>
  <c r="R37" i="45"/>
  <c r="F37" i="45"/>
  <c r="S37" i="45"/>
  <c r="H37" i="45"/>
  <c r="U37" i="45"/>
  <c r="I37" i="45"/>
  <c r="V37" i="45"/>
  <c r="J37" i="45"/>
  <c r="W37" i="45"/>
  <c r="K37" i="45"/>
  <c r="X37" i="45"/>
  <c r="M37" i="45"/>
  <c r="Z37" i="45"/>
  <c r="N37" i="45"/>
  <c r="AA37" i="45"/>
  <c r="AB37" i="45"/>
  <c r="D38" i="45"/>
  <c r="Q38" i="45"/>
  <c r="E38" i="45"/>
  <c r="R38" i="45"/>
  <c r="F38" i="45"/>
  <c r="S38" i="45"/>
  <c r="H38" i="45"/>
  <c r="U38" i="45"/>
  <c r="I38" i="45"/>
  <c r="V38" i="45"/>
  <c r="J38" i="45"/>
  <c r="W38" i="45"/>
  <c r="K38" i="45"/>
  <c r="X38" i="45"/>
  <c r="M38" i="45"/>
  <c r="Z38" i="45"/>
  <c r="N38" i="45"/>
  <c r="AA38" i="45"/>
  <c r="AB38" i="45"/>
  <c r="D39" i="45"/>
  <c r="Q39" i="45"/>
  <c r="E39" i="45"/>
  <c r="R39" i="45"/>
  <c r="F39" i="45"/>
  <c r="S39" i="45"/>
  <c r="H39" i="45"/>
  <c r="U39" i="45"/>
  <c r="I39" i="45"/>
  <c r="V39" i="45"/>
  <c r="J39" i="45"/>
  <c r="W39" i="45"/>
  <c r="K39" i="45"/>
  <c r="X39" i="45"/>
  <c r="M39" i="45"/>
  <c r="Z39" i="45"/>
  <c r="N39" i="45"/>
  <c r="AA39" i="45"/>
  <c r="AB39" i="45"/>
  <c r="D40" i="45"/>
  <c r="Q40" i="45"/>
  <c r="E40" i="45"/>
  <c r="R40" i="45"/>
  <c r="F40" i="45"/>
  <c r="S40" i="45"/>
  <c r="H40" i="45"/>
  <c r="U40" i="45"/>
  <c r="I40" i="45"/>
  <c r="V40" i="45"/>
  <c r="J40" i="45"/>
  <c r="W40" i="45"/>
  <c r="K40" i="45"/>
  <c r="X40" i="45"/>
  <c r="M40" i="45"/>
  <c r="Z40" i="45"/>
  <c r="N40" i="45"/>
  <c r="AA40" i="45"/>
  <c r="AB40" i="45"/>
  <c r="D41" i="45"/>
  <c r="Q41" i="45"/>
  <c r="E41" i="45"/>
  <c r="R41" i="45"/>
  <c r="F41" i="45"/>
  <c r="S41" i="45"/>
  <c r="H41" i="45"/>
  <c r="U41" i="45"/>
  <c r="I41" i="45"/>
  <c r="V41" i="45"/>
  <c r="J41" i="45"/>
  <c r="W41" i="45"/>
  <c r="K41" i="45"/>
  <c r="X41" i="45"/>
  <c r="M41" i="45"/>
  <c r="Z41" i="45"/>
  <c r="N41" i="45"/>
  <c r="AA41" i="45"/>
  <c r="AB41" i="45"/>
  <c r="D42" i="45"/>
  <c r="Q42" i="45"/>
  <c r="E42" i="45"/>
  <c r="R42" i="45"/>
  <c r="F42" i="45"/>
  <c r="S42" i="45"/>
  <c r="H42" i="45"/>
  <c r="U42" i="45"/>
  <c r="I42" i="45"/>
  <c r="V42" i="45"/>
  <c r="J42" i="45"/>
  <c r="W42" i="45"/>
  <c r="K42" i="45"/>
  <c r="X42" i="45"/>
  <c r="M42" i="45"/>
  <c r="Z42" i="45"/>
  <c r="N42" i="45"/>
  <c r="AA42" i="45"/>
  <c r="AB42" i="45"/>
  <c r="D43" i="45"/>
  <c r="Q43" i="45"/>
  <c r="E43" i="45"/>
  <c r="R43" i="45"/>
  <c r="F43" i="45"/>
  <c r="S43" i="45"/>
  <c r="H43" i="45"/>
  <c r="U43" i="45"/>
  <c r="I43" i="45"/>
  <c r="V43" i="45"/>
  <c r="J43" i="45"/>
  <c r="W43" i="45"/>
  <c r="K43" i="45"/>
  <c r="X43" i="45"/>
  <c r="M43" i="45"/>
  <c r="Z43" i="45"/>
  <c r="N43" i="45"/>
  <c r="AA43" i="45"/>
  <c r="AB43" i="45"/>
  <c r="D44" i="45"/>
  <c r="Q44" i="45"/>
  <c r="E44" i="45"/>
  <c r="R44" i="45"/>
  <c r="F44" i="45"/>
  <c r="S44" i="45"/>
  <c r="H44" i="45"/>
  <c r="U44" i="45"/>
  <c r="I44" i="45"/>
  <c r="V44" i="45"/>
  <c r="J44" i="45"/>
  <c r="W44" i="45"/>
  <c r="K44" i="45"/>
  <c r="X44" i="45"/>
  <c r="M44" i="45"/>
  <c r="Z44" i="45"/>
  <c r="N44" i="45"/>
  <c r="AA44" i="45"/>
  <c r="AB44" i="45"/>
  <c r="D45" i="45"/>
  <c r="Q45" i="45"/>
  <c r="E45" i="45"/>
  <c r="R45" i="45"/>
  <c r="F45" i="45"/>
  <c r="S45" i="45"/>
  <c r="H45" i="45"/>
  <c r="U45" i="45"/>
  <c r="I45" i="45"/>
  <c r="V45" i="45"/>
  <c r="J45" i="45"/>
  <c r="W45" i="45"/>
  <c r="K45" i="45"/>
  <c r="X45" i="45"/>
  <c r="M45" i="45"/>
  <c r="Z45" i="45"/>
  <c r="N45" i="45"/>
  <c r="AA45" i="45"/>
  <c r="AB45" i="45"/>
  <c r="D46" i="45"/>
  <c r="Q46" i="45"/>
  <c r="E46" i="45"/>
  <c r="R46" i="45"/>
  <c r="F46" i="45"/>
  <c r="S46" i="45"/>
  <c r="H46" i="45"/>
  <c r="U46" i="45"/>
  <c r="I46" i="45"/>
  <c r="V46" i="45"/>
  <c r="J46" i="45"/>
  <c r="W46" i="45"/>
  <c r="K46" i="45"/>
  <c r="X46" i="45"/>
  <c r="M46" i="45"/>
  <c r="Z46" i="45"/>
  <c r="N46" i="45"/>
  <c r="AA46" i="45"/>
  <c r="AB46" i="45"/>
  <c r="D47" i="45"/>
  <c r="Q47" i="45"/>
  <c r="E47" i="45"/>
  <c r="R47" i="45"/>
  <c r="F47" i="45"/>
  <c r="S47" i="45"/>
  <c r="H47" i="45"/>
  <c r="U47" i="45"/>
  <c r="I47" i="45"/>
  <c r="V47" i="45"/>
  <c r="J47" i="45"/>
  <c r="W47" i="45"/>
  <c r="K47" i="45"/>
  <c r="X47" i="45"/>
  <c r="M47" i="45"/>
  <c r="Z47" i="45"/>
  <c r="N47" i="45"/>
  <c r="AA47" i="45"/>
  <c r="AB47" i="45"/>
  <c r="D48" i="45"/>
  <c r="Q48" i="45"/>
  <c r="E48" i="45"/>
  <c r="R48" i="45"/>
  <c r="F48" i="45"/>
  <c r="S48" i="45"/>
  <c r="H48" i="45"/>
  <c r="U48" i="45"/>
  <c r="I48" i="45"/>
  <c r="V48" i="45"/>
  <c r="J48" i="45"/>
  <c r="W48" i="45"/>
  <c r="K48" i="45"/>
  <c r="X48" i="45"/>
  <c r="M48" i="45"/>
  <c r="Z48" i="45"/>
  <c r="N48" i="45"/>
  <c r="AA48" i="45"/>
  <c r="AB48" i="45"/>
  <c r="D49" i="45"/>
  <c r="Q49" i="45"/>
  <c r="E49" i="45"/>
  <c r="R49" i="45"/>
  <c r="F49" i="45"/>
  <c r="S49" i="45"/>
  <c r="H49" i="45"/>
  <c r="U49" i="45"/>
  <c r="I49" i="45"/>
  <c r="V49" i="45"/>
  <c r="J49" i="45"/>
  <c r="W49" i="45"/>
  <c r="K49" i="45"/>
  <c r="X49" i="45"/>
  <c r="M49" i="45"/>
  <c r="Z49" i="45"/>
  <c r="N49" i="45"/>
  <c r="AA49" i="45"/>
  <c r="AB49" i="45"/>
  <c r="D50" i="45"/>
  <c r="Q50" i="45"/>
  <c r="E50" i="45"/>
  <c r="R50" i="45"/>
  <c r="F50" i="45"/>
  <c r="S50" i="45"/>
  <c r="H50" i="45"/>
  <c r="U50" i="45"/>
  <c r="I50" i="45"/>
  <c r="V50" i="45"/>
  <c r="J50" i="45"/>
  <c r="W50" i="45"/>
  <c r="K50" i="45"/>
  <c r="X50" i="45"/>
  <c r="M50" i="45"/>
  <c r="Z50" i="45"/>
  <c r="N50" i="45"/>
  <c r="AA50" i="45"/>
  <c r="AB50" i="45"/>
  <c r="D51" i="45"/>
  <c r="Q51" i="45"/>
  <c r="E51" i="45"/>
  <c r="R51" i="45"/>
  <c r="F51" i="45"/>
  <c r="S51" i="45"/>
  <c r="H51" i="45"/>
  <c r="U51" i="45"/>
  <c r="I51" i="45"/>
  <c r="V51" i="45"/>
  <c r="J51" i="45"/>
  <c r="W51" i="45"/>
  <c r="K51" i="45"/>
  <c r="X51" i="45"/>
  <c r="M51" i="45"/>
  <c r="Z51" i="45"/>
  <c r="N51" i="45"/>
  <c r="AA51" i="45"/>
  <c r="AB51" i="45"/>
  <c r="D52" i="45"/>
  <c r="Q52" i="45"/>
  <c r="E52" i="45"/>
  <c r="R52" i="45"/>
  <c r="F52" i="45"/>
  <c r="S52" i="45"/>
  <c r="H52" i="45"/>
  <c r="U52" i="45"/>
  <c r="I52" i="45"/>
  <c r="V52" i="45"/>
  <c r="J52" i="45"/>
  <c r="W52" i="45"/>
  <c r="K52" i="45"/>
  <c r="X52" i="45"/>
  <c r="M52" i="45"/>
  <c r="Z52" i="45"/>
  <c r="N52" i="45"/>
  <c r="AA52" i="45"/>
  <c r="AB52" i="45"/>
  <c r="D53" i="45"/>
  <c r="Q53" i="45"/>
  <c r="E53" i="45"/>
  <c r="R53" i="45"/>
  <c r="F53" i="45"/>
  <c r="S53" i="45"/>
  <c r="H53" i="45"/>
  <c r="U53" i="45"/>
  <c r="I53" i="45"/>
  <c r="V53" i="45"/>
  <c r="J53" i="45"/>
  <c r="W53" i="45"/>
  <c r="K53" i="45"/>
  <c r="X53" i="45"/>
  <c r="M53" i="45"/>
  <c r="Z53" i="45"/>
  <c r="N53" i="45"/>
  <c r="AA53" i="45"/>
  <c r="AB53" i="45"/>
  <c r="D54" i="45"/>
  <c r="Q54" i="45"/>
  <c r="E54" i="45"/>
  <c r="R54" i="45"/>
  <c r="F54" i="45"/>
  <c r="S54" i="45"/>
  <c r="H54" i="45"/>
  <c r="U54" i="45"/>
  <c r="I54" i="45"/>
  <c r="V54" i="45"/>
  <c r="J54" i="45"/>
  <c r="W54" i="45"/>
  <c r="K54" i="45"/>
  <c r="X54" i="45"/>
  <c r="M54" i="45"/>
  <c r="Z54" i="45"/>
  <c r="N54" i="45"/>
  <c r="AA54" i="45"/>
  <c r="AB54" i="45"/>
  <c r="D55" i="45"/>
  <c r="Q55" i="45"/>
  <c r="E55" i="45"/>
  <c r="R55" i="45"/>
  <c r="F55" i="45"/>
  <c r="S55" i="45"/>
  <c r="H55" i="45"/>
  <c r="U55" i="45"/>
  <c r="I55" i="45"/>
  <c r="V55" i="45"/>
  <c r="J55" i="45"/>
  <c r="W55" i="45"/>
  <c r="K55" i="45"/>
  <c r="X55" i="45"/>
  <c r="M55" i="45"/>
  <c r="Z55" i="45"/>
  <c r="N55" i="45"/>
  <c r="AA55" i="45"/>
  <c r="AB55" i="45"/>
  <c r="D56" i="45"/>
  <c r="Q56" i="45"/>
  <c r="E56" i="45"/>
  <c r="R56" i="45"/>
  <c r="F56" i="45"/>
  <c r="S56" i="45"/>
  <c r="H56" i="45"/>
  <c r="U56" i="45"/>
  <c r="I56" i="45"/>
  <c r="V56" i="45"/>
  <c r="J56" i="45"/>
  <c r="W56" i="45"/>
  <c r="K56" i="45"/>
  <c r="X56" i="45"/>
  <c r="M56" i="45"/>
  <c r="Z56" i="45"/>
  <c r="N56" i="45"/>
  <c r="AA56" i="45"/>
  <c r="AB56" i="45"/>
  <c r="D57" i="45"/>
  <c r="Q57" i="45"/>
  <c r="E57" i="45"/>
  <c r="R57" i="45"/>
  <c r="F57" i="45"/>
  <c r="S57" i="45"/>
  <c r="H57" i="45"/>
  <c r="U57" i="45"/>
  <c r="I57" i="45"/>
  <c r="V57" i="45"/>
  <c r="J57" i="45"/>
  <c r="W57" i="45"/>
  <c r="K57" i="45"/>
  <c r="X57" i="45"/>
  <c r="M57" i="45"/>
  <c r="Z57" i="45"/>
  <c r="N57" i="45"/>
  <c r="AA57" i="45"/>
  <c r="AB57" i="45"/>
  <c r="D58" i="45"/>
  <c r="Q58" i="45"/>
  <c r="E58" i="45"/>
  <c r="R58" i="45"/>
  <c r="F58" i="45"/>
  <c r="S58" i="45"/>
  <c r="H58" i="45"/>
  <c r="U58" i="45"/>
  <c r="I58" i="45"/>
  <c r="V58" i="45"/>
  <c r="J58" i="45"/>
  <c r="W58" i="45"/>
  <c r="K58" i="45"/>
  <c r="X58" i="45"/>
  <c r="M58" i="45"/>
  <c r="Z58" i="45"/>
  <c r="N58" i="45"/>
  <c r="AA58" i="45"/>
  <c r="AB58" i="45"/>
  <c r="D59" i="45"/>
  <c r="Q59" i="45"/>
  <c r="E59" i="45"/>
  <c r="R59" i="45"/>
  <c r="F59" i="45"/>
  <c r="S59" i="45"/>
  <c r="H59" i="45"/>
  <c r="U59" i="45"/>
  <c r="I59" i="45"/>
  <c r="V59" i="45"/>
  <c r="J59" i="45"/>
  <c r="W59" i="45"/>
  <c r="K59" i="45"/>
  <c r="X59" i="45"/>
  <c r="M59" i="45"/>
  <c r="Z59" i="45"/>
  <c r="N59" i="45"/>
  <c r="AA59" i="45"/>
  <c r="AB59" i="45"/>
  <c r="D60" i="45"/>
  <c r="Q60" i="45"/>
  <c r="E60" i="45"/>
  <c r="R60" i="45"/>
  <c r="F60" i="45"/>
  <c r="S60" i="45"/>
  <c r="H60" i="45"/>
  <c r="U60" i="45"/>
  <c r="I60" i="45"/>
  <c r="V60" i="45"/>
  <c r="J60" i="45"/>
  <c r="W60" i="45"/>
  <c r="K60" i="45"/>
  <c r="X60" i="45"/>
  <c r="M60" i="45"/>
  <c r="Z60" i="45"/>
  <c r="N60" i="45"/>
  <c r="AA60" i="45"/>
  <c r="AB60" i="45"/>
  <c r="D61" i="45"/>
  <c r="Q61" i="45"/>
  <c r="E61" i="45"/>
  <c r="R61" i="45"/>
  <c r="F61" i="45"/>
  <c r="S61" i="45"/>
  <c r="H61" i="45"/>
  <c r="U61" i="45"/>
  <c r="I61" i="45"/>
  <c r="V61" i="45"/>
  <c r="J61" i="45"/>
  <c r="W61" i="45"/>
  <c r="K61" i="45"/>
  <c r="X61" i="45"/>
  <c r="M61" i="45"/>
  <c r="Z61" i="45"/>
  <c r="N61" i="45"/>
  <c r="AA61" i="45"/>
  <c r="AB61" i="45"/>
  <c r="D62" i="45"/>
  <c r="Q62" i="45"/>
  <c r="E62" i="45"/>
  <c r="R62" i="45"/>
  <c r="F62" i="45"/>
  <c r="S62" i="45"/>
  <c r="H62" i="45"/>
  <c r="U62" i="45"/>
  <c r="I62" i="45"/>
  <c r="V62" i="45"/>
  <c r="J62" i="45"/>
  <c r="W62" i="45"/>
  <c r="K62" i="45"/>
  <c r="X62" i="45"/>
  <c r="M62" i="45"/>
  <c r="Z62" i="45"/>
  <c r="N62" i="45"/>
  <c r="AA62" i="45"/>
  <c r="AB62" i="45"/>
  <c r="D63" i="45"/>
  <c r="Q63" i="45"/>
  <c r="E63" i="45"/>
  <c r="R63" i="45"/>
  <c r="F63" i="45"/>
  <c r="S63" i="45"/>
  <c r="H63" i="45"/>
  <c r="U63" i="45"/>
  <c r="I63" i="45"/>
  <c r="V63" i="45"/>
  <c r="J63" i="45"/>
  <c r="W63" i="45"/>
  <c r="K63" i="45"/>
  <c r="X63" i="45"/>
  <c r="M63" i="45"/>
  <c r="Z63" i="45"/>
  <c r="N63" i="45"/>
  <c r="AA63" i="45"/>
  <c r="AB63" i="45"/>
  <c r="D64" i="45"/>
  <c r="Q64" i="45"/>
  <c r="E64" i="45"/>
  <c r="R64" i="45"/>
  <c r="F64" i="45"/>
  <c r="S64" i="45"/>
  <c r="H64" i="45"/>
  <c r="U64" i="45"/>
  <c r="I64" i="45"/>
  <c r="V64" i="45"/>
  <c r="J64" i="45"/>
  <c r="W64" i="45"/>
  <c r="K64" i="45"/>
  <c r="X64" i="45"/>
  <c r="M64" i="45"/>
  <c r="Z64" i="45"/>
  <c r="N64" i="45"/>
  <c r="AA64" i="45"/>
  <c r="AB64" i="45"/>
  <c r="D65" i="45"/>
  <c r="Q65" i="45"/>
  <c r="E65" i="45"/>
  <c r="R65" i="45"/>
  <c r="F65" i="45"/>
  <c r="S65" i="45"/>
  <c r="H65" i="45"/>
  <c r="U65" i="45"/>
  <c r="I65" i="45"/>
  <c r="V65" i="45"/>
  <c r="J65" i="45"/>
  <c r="W65" i="45"/>
  <c r="K65" i="45"/>
  <c r="X65" i="45"/>
  <c r="M65" i="45"/>
  <c r="Z65" i="45"/>
  <c r="N65" i="45"/>
  <c r="AA65" i="45"/>
  <c r="AB65" i="45"/>
  <c r="D66" i="45"/>
  <c r="Q66" i="45"/>
  <c r="E66" i="45"/>
  <c r="R66" i="45"/>
  <c r="F66" i="45"/>
  <c r="S66" i="45"/>
  <c r="H66" i="45"/>
  <c r="U66" i="45"/>
  <c r="I66" i="45"/>
  <c r="V66" i="45"/>
  <c r="J66" i="45"/>
  <c r="W66" i="45"/>
  <c r="K66" i="45"/>
  <c r="X66" i="45"/>
  <c r="M66" i="45"/>
  <c r="Z66" i="45"/>
  <c r="N66" i="45"/>
  <c r="AA66" i="45"/>
  <c r="AB66" i="45"/>
  <c r="D67" i="45"/>
  <c r="Q67" i="45"/>
  <c r="E67" i="45"/>
  <c r="R67" i="45"/>
  <c r="F67" i="45"/>
  <c r="S67" i="45"/>
  <c r="H67" i="45"/>
  <c r="U67" i="45"/>
  <c r="I67" i="45"/>
  <c r="V67" i="45"/>
  <c r="J67" i="45"/>
  <c r="W67" i="45"/>
  <c r="K67" i="45"/>
  <c r="X67" i="45"/>
  <c r="M67" i="45"/>
  <c r="Z67" i="45"/>
  <c r="N67" i="45"/>
  <c r="AA67" i="45"/>
  <c r="AB67" i="45"/>
  <c r="D68" i="45"/>
  <c r="Q68" i="45"/>
  <c r="E68" i="45"/>
  <c r="R68" i="45"/>
  <c r="F68" i="45"/>
  <c r="S68" i="45"/>
  <c r="H68" i="45"/>
  <c r="U68" i="45"/>
  <c r="I68" i="45"/>
  <c r="V68" i="45"/>
  <c r="J68" i="45"/>
  <c r="W68" i="45"/>
  <c r="K68" i="45"/>
  <c r="X68" i="45"/>
  <c r="M68" i="45"/>
  <c r="Z68" i="45"/>
  <c r="N68" i="45"/>
  <c r="AA68" i="45"/>
  <c r="AB68" i="45"/>
  <c r="D69" i="45"/>
  <c r="Q69" i="45"/>
  <c r="E69" i="45"/>
  <c r="R69" i="45"/>
  <c r="F69" i="45"/>
  <c r="S69" i="45"/>
  <c r="H69" i="45"/>
  <c r="U69" i="45"/>
  <c r="I69" i="45"/>
  <c r="V69" i="45"/>
  <c r="J69" i="45"/>
  <c r="W69" i="45"/>
  <c r="K69" i="45"/>
  <c r="X69" i="45"/>
  <c r="M69" i="45"/>
  <c r="Z69" i="45"/>
  <c r="N69" i="45"/>
  <c r="AA69" i="45"/>
  <c r="AB69" i="45"/>
  <c r="D70" i="45"/>
  <c r="Q70" i="45"/>
  <c r="E70" i="45"/>
  <c r="R70" i="45"/>
  <c r="F70" i="45"/>
  <c r="S70" i="45"/>
  <c r="H70" i="45"/>
  <c r="U70" i="45"/>
  <c r="I70" i="45"/>
  <c r="V70" i="45"/>
  <c r="J70" i="45"/>
  <c r="W70" i="45"/>
  <c r="K70" i="45"/>
  <c r="X70" i="45"/>
  <c r="M70" i="45"/>
  <c r="Z70" i="45"/>
  <c r="N70" i="45"/>
  <c r="AA70" i="45"/>
  <c r="AB70" i="45"/>
  <c r="D71" i="45"/>
  <c r="Q71" i="45"/>
  <c r="E71" i="45"/>
  <c r="R71" i="45"/>
  <c r="F71" i="45"/>
  <c r="S71" i="45"/>
  <c r="H71" i="45"/>
  <c r="U71" i="45"/>
  <c r="I71" i="45"/>
  <c r="V71" i="45"/>
  <c r="J71" i="45"/>
  <c r="W71" i="45"/>
  <c r="K71" i="45"/>
  <c r="X71" i="45"/>
  <c r="M71" i="45"/>
  <c r="Z71" i="45"/>
  <c r="N71" i="45"/>
  <c r="AA71" i="45"/>
  <c r="AB71" i="45"/>
  <c r="D72" i="45"/>
  <c r="Q72" i="45"/>
  <c r="E72" i="45"/>
  <c r="R72" i="45"/>
  <c r="F72" i="45"/>
  <c r="S72" i="45"/>
  <c r="H72" i="45"/>
  <c r="U72" i="45"/>
  <c r="I72" i="45"/>
  <c r="V72" i="45"/>
  <c r="J72" i="45"/>
  <c r="W72" i="45"/>
  <c r="K72" i="45"/>
  <c r="X72" i="45"/>
  <c r="M72" i="45"/>
  <c r="Z72" i="45"/>
  <c r="N72" i="45"/>
  <c r="AA72" i="45"/>
  <c r="AB72" i="45"/>
  <c r="D73" i="45"/>
  <c r="Q73" i="45"/>
  <c r="E73" i="45"/>
  <c r="R73" i="45"/>
  <c r="F73" i="45"/>
  <c r="S73" i="45"/>
  <c r="H73" i="45"/>
  <c r="U73" i="45"/>
  <c r="I73" i="45"/>
  <c r="V73" i="45"/>
  <c r="J73" i="45"/>
  <c r="W73" i="45"/>
  <c r="K73" i="45"/>
  <c r="X73" i="45"/>
  <c r="M73" i="45"/>
  <c r="Z73" i="45"/>
  <c r="N73" i="45"/>
  <c r="AA73" i="45"/>
  <c r="AB73" i="45"/>
  <c r="D74" i="45"/>
  <c r="Q74" i="45"/>
  <c r="E74" i="45"/>
  <c r="R74" i="45"/>
  <c r="F74" i="45"/>
  <c r="S74" i="45"/>
  <c r="H74" i="45"/>
  <c r="U74" i="45"/>
  <c r="I74" i="45"/>
  <c r="V74" i="45"/>
  <c r="J74" i="45"/>
  <c r="W74" i="45"/>
  <c r="K74" i="45"/>
  <c r="X74" i="45"/>
  <c r="M74" i="45"/>
  <c r="Z74" i="45"/>
  <c r="N74" i="45"/>
  <c r="AA74" i="45"/>
  <c r="AB74" i="45"/>
  <c r="D75" i="45"/>
  <c r="Q75" i="45"/>
  <c r="E75" i="45"/>
  <c r="R75" i="45"/>
  <c r="F75" i="45"/>
  <c r="S75" i="45"/>
  <c r="H75" i="45"/>
  <c r="U75" i="45"/>
  <c r="I75" i="45"/>
  <c r="V75" i="45"/>
  <c r="J75" i="45"/>
  <c r="W75" i="45"/>
  <c r="K75" i="45"/>
  <c r="X75" i="45"/>
  <c r="M75" i="45"/>
  <c r="Z75" i="45"/>
  <c r="N75" i="45"/>
  <c r="AA75" i="45"/>
  <c r="AB75" i="45"/>
  <c r="D76" i="45"/>
  <c r="Q76" i="45"/>
  <c r="E76" i="45"/>
  <c r="R76" i="45"/>
  <c r="F76" i="45"/>
  <c r="S76" i="45"/>
  <c r="H76" i="45"/>
  <c r="U76" i="45"/>
  <c r="I76" i="45"/>
  <c r="V76" i="45"/>
  <c r="J76" i="45"/>
  <c r="W76" i="45"/>
  <c r="K76" i="45"/>
  <c r="X76" i="45"/>
  <c r="M76" i="45"/>
  <c r="Z76" i="45"/>
  <c r="N76" i="45"/>
  <c r="AA76" i="45"/>
  <c r="AB76" i="45"/>
  <c r="D77" i="45"/>
  <c r="Q77" i="45"/>
  <c r="E77" i="45"/>
  <c r="R77" i="45"/>
  <c r="F77" i="45"/>
  <c r="S77" i="45"/>
  <c r="H77" i="45"/>
  <c r="U77" i="45"/>
  <c r="I77" i="45"/>
  <c r="V77" i="45"/>
  <c r="J77" i="45"/>
  <c r="W77" i="45"/>
  <c r="K77" i="45"/>
  <c r="X77" i="45"/>
  <c r="M77" i="45"/>
  <c r="Z77" i="45"/>
  <c r="N77" i="45"/>
  <c r="AA77" i="45"/>
  <c r="AB77" i="45"/>
  <c r="D78" i="45"/>
  <c r="Q78" i="45"/>
  <c r="E78" i="45"/>
  <c r="R78" i="45"/>
  <c r="F78" i="45"/>
  <c r="S78" i="45"/>
  <c r="H78" i="45"/>
  <c r="U78" i="45"/>
  <c r="I78" i="45"/>
  <c r="V78" i="45"/>
  <c r="J78" i="45"/>
  <c r="W78" i="45"/>
  <c r="K78" i="45"/>
  <c r="X78" i="45"/>
  <c r="M78" i="45"/>
  <c r="Z78" i="45"/>
  <c r="N78" i="45"/>
  <c r="AA78" i="45"/>
  <c r="AB78" i="45"/>
  <c r="D79" i="45"/>
  <c r="Q79" i="45"/>
  <c r="E79" i="45"/>
  <c r="R79" i="45"/>
  <c r="F79" i="45"/>
  <c r="S79" i="45"/>
  <c r="H79" i="45"/>
  <c r="U79" i="45"/>
  <c r="I79" i="45"/>
  <c r="V79" i="45"/>
  <c r="J79" i="45"/>
  <c r="W79" i="45"/>
  <c r="K79" i="45"/>
  <c r="X79" i="45"/>
  <c r="M79" i="45"/>
  <c r="Z79" i="45"/>
  <c r="N79" i="45"/>
  <c r="AA79" i="45"/>
  <c r="AB79" i="45"/>
  <c r="D80" i="45"/>
  <c r="Q80" i="45"/>
  <c r="E80" i="45"/>
  <c r="R80" i="45"/>
  <c r="F80" i="45"/>
  <c r="S80" i="45"/>
  <c r="H80" i="45"/>
  <c r="U80" i="45"/>
  <c r="I80" i="45"/>
  <c r="V80" i="45"/>
  <c r="J80" i="45"/>
  <c r="W80" i="45"/>
  <c r="K80" i="45"/>
  <c r="X80" i="45"/>
  <c r="M80" i="45"/>
  <c r="Z80" i="45"/>
  <c r="N80" i="45"/>
  <c r="AA80" i="45"/>
  <c r="AB80" i="45"/>
  <c r="D81" i="45"/>
  <c r="Q81" i="45"/>
  <c r="E81" i="45"/>
  <c r="R81" i="45"/>
  <c r="F81" i="45"/>
  <c r="S81" i="45"/>
  <c r="H81" i="45"/>
  <c r="U81" i="45"/>
  <c r="I81" i="45"/>
  <c r="V81" i="45"/>
  <c r="J81" i="45"/>
  <c r="W81" i="45"/>
  <c r="K81" i="45"/>
  <c r="X81" i="45"/>
  <c r="M81" i="45"/>
  <c r="Z81" i="45"/>
  <c r="N81" i="45"/>
  <c r="AA81" i="45"/>
  <c r="AB81" i="45"/>
  <c r="D82" i="45"/>
  <c r="Q82" i="45"/>
  <c r="E82" i="45"/>
  <c r="R82" i="45"/>
  <c r="F82" i="45"/>
  <c r="S82" i="45"/>
  <c r="H82" i="45"/>
  <c r="U82" i="45"/>
  <c r="I82" i="45"/>
  <c r="V82" i="45"/>
  <c r="J82" i="45"/>
  <c r="W82" i="45"/>
  <c r="K82" i="45"/>
  <c r="X82" i="45"/>
  <c r="M82" i="45"/>
  <c r="Z82" i="45"/>
  <c r="N82" i="45"/>
  <c r="AA82" i="45"/>
  <c r="AB82" i="45"/>
  <c r="D83" i="45"/>
  <c r="Q83" i="45"/>
  <c r="E83" i="45"/>
  <c r="R83" i="45"/>
  <c r="F83" i="45"/>
  <c r="S83" i="45"/>
  <c r="H83" i="45"/>
  <c r="U83" i="45"/>
  <c r="I83" i="45"/>
  <c r="V83" i="45"/>
  <c r="J83" i="45"/>
  <c r="W83" i="45"/>
  <c r="K83" i="45"/>
  <c r="X83" i="45"/>
  <c r="M83" i="45"/>
  <c r="Z83" i="45"/>
  <c r="N83" i="45"/>
  <c r="AA83" i="45"/>
  <c r="AB83" i="45"/>
  <c r="D84" i="45"/>
  <c r="Q84" i="45"/>
  <c r="E84" i="45"/>
  <c r="R84" i="45"/>
  <c r="F84" i="45"/>
  <c r="S84" i="45"/>
  <c r="H84" i="45"/>
  <c r="U84" i="45"/>
  <c r="I84" i="45"/>
  <c r="V84" i="45"/>
  <c r="J84" i="45"/>
  <c r="W84" i="45"/>
  <c r="K84" i="45"/>
  <c r="X84" i="45"/>
  <c r="M84" i="45"/>
  <c r="Z84" i="45"/>
  <c r="N84" i="45"/>
  <c r="AA84" i="45"/>
  <c r="AB84" i="45"/>
  <c r="D85" i="45"/>
  <c r="Q85" i="45"/>
  <c r="E85" i="45"/>
  <c r="R85" i="45"/>
  <c r="F85" i="45"/>
  <c r="S85" i="45"/>
  <c r="H85" i="45"/>
  <c r="U85" i="45"/>
  <c r="I85" i="45"/>
  <c r="V85" i="45"/>
  <c r="J85" i="45"/>
  <c r="W85" i="45"/>
  <c r="K85" i="45"/>
  <c r="X85" i="45"/>
  <c r="M85" i="45"/>
  <c r="Z85" i="45"/>
  <c r="N85" i="45"/>
  <c r="AA85" i="45"/>
  <c r="AB85" i="45"/>
  <c r="D86" i="45"/>
  <c r="Q86" i="45"/>
  <c r="E86" i="45"/>
  <c r="R86" i="45"/>
  <c r="F86" i="45"/>
  <c r="S86" i="45"/>
  <c r="H86" i="45"/>
  <c r="U86" i="45"/>
  <c r="I86" i="45"/>
  <c r="V86" i="45"/>
  <c r="J86" i="45"/>
  <c r="W86" i="45"/>
  <c r="K86" i="45"/>
  <c r="X86" i="45"/>
  <c r="M86" i="45"/>
  <c r="Z86" i="45"/>
  <c r="N86" i="45"/>
  <c r="AA86" i="45"/>
  <c r="AB86" i="45"/>
  <c r="D87" i="45"/>
  <c r="Q87" i="45"/>
  <c r="E87" i="45"/>
  <c r="R87" i="45"/>
  <c r="F87" i="45"/>
  <c r="S87" i="45"/>
  <c r="H87" i="45"/>
  <c r="U87" i="45"/>
  <c r="I87" i="45"/>
  <c r="V87" i="45"/>
  <c r="J87" i="45"/>
  <c r="W87" i="45"/>
  <c r="K87" i="45"/>
  <c r="X87" i="45"/>
  <c r="M87" i="45"/>
  <c r="Z87" i="45"/>
  <c r="N87" i="45"/>
  <c r="AA87" i="45"/>
  <c r="AB87" i="45"/>
  <c r="D88" i="45"/>
  <c r="Q88" i="45"/>
  <c r="E88" i="45"/>
  <c r="R88" i="45"/>
  <c r="F88" i="45"/>
  <c r="S88" i="45"/>
  <c r="H88" i="45"/>
  <c r="U88" i="45"/>
  <c r="I88" i="45"/>
  <c r="V88" i="45"/>
  <c r="J88" i="45"/>
  <c r="W88" i="45"/>
  <c r="K88" i="45"/>
  <c r="X88" i="45"/>
  <c r="M88" i="45"/>
  <c r="Z88" i="45"/>
  <c r="N88" i="45"/>
  <c r="AA88" i="45"/>
  <c r="AB88" i="45"/>
  <c r="D89" i="45"/>
  <c r="Q89" i="45"/>
  <c r="E89" i="45"/>
  <c r="R89" i="45"/>
  <c r="F89" i="45"/>
  <c r="S89" i="45"/>
  <c r="H89" i="45"/>
  <c r="U89" i="45"/>
  <c r="I89" i="45"/>
  <c r="V89" i="45"/>
  <c r="J89" i="45"/>
  <c r="W89" i="45"/>
  <c r="K89" i="45"/>
  <c r="X89" i="45"/>
  <c r="M89" i="45"/>
  <c r="Z89" i="45"/>
  <c r="N89" i="45"/>
  <c r="AA89" i="45"/>
  <c r="AB89" i="45"/>
  <c r="D90" i="45"/>
  <c r="Q90" i="45"/>
  <c r="E90" i="45"/>
  <c r="R90" i="45"/>
  <c r="F90" i="45"/>
  <c r="S90" i="45"/>
  <c r="H90" i="45"/>
  <c r="U90" i="45"/>
  <c r="I90" i="45"/>
  <c r="V90" i="45"/>
  <c r="J90" i="45"/>
  <c r="W90" i="45"/>
  <c r="K90" i="45"/>
  <c r="X90" i="45"/>
  <c r="M90" i="45"/>
  <c r="Z90" i="45"/>
  <c r="N90" i="45"/>
  <c r="AA90" i="45"/>
  <c r="AB90" i="45"/>
  <c r="D91" i="45"/>
  <c r="Q91" i="45"/>
  <c r="E91" i="45"/>
  <c r="R91" i="45"/>
  <c r="F91" i="45"/>
  <c r="S91" i="45"/>
  <c r="H91" i="45"/>
  <c r="U91" i="45"/>
  <c r="I91" i="45"/>
  <c r="V91" i="45"/>
  <c r="J91" i="45"/>
  <c r="W91" i="45"/>
  <c r="K91" i="45"/>
  <c r="X91" i="45"/>
  <c r="M91" i="45"/>
  <c r="Z91" i="45"/>
  <c r="N91" i="45"/>
  <c r="AA91" i="45"/>
  <c r="AB91" i="45"/>
  <c r="D92" i="45"/>
  <c r="Q92" i="45"/>
  <c r="E92" i="45"/>
  <c r="R92" i="45"/>
  <c r="F92" i="45"/>
  <c r="S92" i="45"/>
  <c r="H92" i="45"/>
  <c r="U92" i="45"/>
  <c r="I92" i="45"/>
  <c r="V92" i="45"/>
  <c r="J92" i="45"/>
  <c r="W92" i="45"/>
  <c r="K92" i="45"/>
  <c r="X92" i="45"/>
  <c r="M92" i="45"/>
  <c r="Z92" i="45"/>
  <c r="N92" i="45"/>
  <c r="AA92" i="45"/>
  <c r="AB92" i="45"/>
  <c r="D93" i="45"/>
  <c r="Q93" i="45"/>
  <c r="E93" i="45"/>
  <c r="R93" i="45"/>
  <c r="F93" i="45"/>
  <c r="S93" i="45"/>
  <c r="H93" i="45"/>
  <c r="U93" i="45"/>
  <c r="I93" i="45"/>
  <c r="V93" i="45"/>
  <c r="J93" i="45"/>
  <c r="W93" i="45"/>
  <c r="K93" i="45"/>
  <c r="X93" i="45"/>
  <c r="M93" i="45"/>
  <c r="Z93" i="45"/>
  <c r="N93" i="45"/>
  <c r="AA93" i="45"/>
  <c r="AB93" i="45"/>
  <c r="D94" i="45"/>
  <c r="Q94" i="45"/>
  <c r="E94" i="45"/>
  <c r="R94" i="45"/>
  <c r="F94" i="45"/>
  <c r="S94" i="45"/>
  <c r="H94" i="45"/>
  <c r="U94" i="45"/>
  <c r="I94" i="45"/>
  <c r="V94" i="45"/>
  <c r="J94" i="45"/>
  <c r="W94" i="45"/>
  <c r="K94" i="45"/>
  <c r="X94" i="45"/>
  <c r="M94" i="45"/>
  <c r="Z94" i="45"/>
  <c r="N94" i="45"/>
  <c r="AA94" i="45"/>
  <c r="AB94" i="45"/>
  <c r="D95" i="45"/>
  <c r="Q95" i="45"/>
  <c r="E95" i="45"/>
  <c r="R95" i="45"/>
  <c r="F95" i="45"/>
  <c r="S95" i="45"/>
  <c r="H95" i="45"/>
  <c r="U95" i="45"/>
  <c r="I95" i="45"/>
  <c r="V95" i="45"/>
  <c r="J95" i="45"/>
  <c r="W95" i="45"/>
  <c r="K95" i="45"/>
  <c r="X95" i="45"/>
  <c r="M95" i="45"/>
  <c r="Z95" i="45"/>
  <c r="N95" i="45"/>
  <c r="AA95" i="45"/>
  <c r="AB95" i="45"/>
  <c r="D96" i="45"/>
  <c r="Q96" i="45"/>
  <c r="E96" i="45"/>
  <c r="R96" i="45"/>
  <c r="F96" i="45"/>
  <c r="S96" i="45"/>
  <c r="H96" i="45"/>
  <c r="U96" i="45"/>
  <c r="I96" i="45"/>
  <c r="V96" i="45"/>
  <c r="J96" i="45"/>
  <c r="W96" i="45"/>
  <c r="K96" i="45"/>
  <c r="X96" i="45"/>
  <c r="M96" i="45"/>
  <c r="Z96" i="45"/>
  <c r="N96" i="45"/>
  <c r="AA96" i="45"/>
  <c r="AB96" i="45"/>
  <c r="D97" i="45"/>
  <c r="Q97" i="45"/>
  <c r="E97" i="45"/>
  <c r="R97" i="45"/>
  <c r="F97" i="45"/>
  <c r="S97" i="45"/>
  <c r="H97" i="45"/>
  <c r="U97" i="45"/>
  <c r="I97" i="45"/>
  <c r="V97" i="45"/>
  <c r="J97" i="45"/>
  <c r="W97" i="45"/>
  <c r="K97" i="45"/>
  <c r="X97" i="45"/>
  <c r="M97" i="45"/>
  <c r="Z97" i="45"/>
  <c r="N97" i="45"/>
  <c r="AA97" i="45"/>
  <c r="AB97" i="45"/>
  <c r="D98" i="45"/>
  <c r="Q98" i="45"/>
  <c r="E98" i="45"/>
  <c r="R98" i="45"/>
  <c r="F98" i="45"/>
  <c r="S98" i="45"/>
  <c r="H98" i="45"/>
  <c r="U98" i="45"/>
  <c r="I98" i="45"/>
  <c r="V98" i="45"/>
  <c r="J98" i="45"/>
  <c r="W98" i="45"/>
  <c r="K98" i="45"/>
  <c r="X98" i="45"/>
  <c r="M98" i="45"/>
  <c r="Z98" i="45"/>
  <c r="N98" i="45"/>
  <c r="AA98" i="45"/>
  <c r="AB98" i="45"/>
  <c r="D99" i="45"/>
  <c r="Q99" i="45"/>
  <c r="E99" i="45"/>
  <c r="R99" i="45"/>
  <c r="F99" i="45"/>
  <c r="S99" i="45"/>
  <c r="H99" i="45"/>
  <c r="U99" i="45"/>
  <c r="I99" i="45"/>
  <c r="V99" i="45"/>
  <c r="J99" i="45"/>
  <c r="W99" i="45"/>
  <c r="K99" i="45"/>
  <c r="X99" i="45"/>
  <c r="M99" i="45"/>
  <c r="Z99" i="45"/>
  <c r="N99" i="45"/>
  <c r="AA99" i="45"/>
  <c r="AB99" i="45"/>
  <c r="D100" i="45"/>
  <c r="Q100" i="45"/>
  <c r="E100" i="45"/>
  <c r="R100" i="45"/>
  <c r="F100" i="45"/>
  <c r="S100" i="45"/>
  <c r="H100" i="45"/>
  <c r="U100" i="45"/>
  <c r="I100" i="45"/>
  <c r="V100" i="45"/>
  <c r="J100" i="45"/>
  <c r="W100" i="45"/>
  <c r="K100" i="45"/>
  <c r="X100" i="45"/>
  <c r="M100" i="45"/>
  <c r="Z100" i="45"/>
  <c r="N100" i="45"/>
  <c r="AA100" i="45"/>
  <c r="AB100" i="45"/>
  <c r="D101" i="45"/>
  <c r="Q101" i="45"/>
  <c r="E101" i="45"/>
  <c r="R101" i="45"/>
  <c r="F101" i="45"/>
  <c r="S101" i="45"/>
  <c r="H101" i="45"/>
  <c r="U101" i="45"/>
  <c r="I101" i="45"/>
  <c r="V101" i="45"/>
  <c r="J101" i="45"/>
  <c r="W101" i="45"/>
  <c r="K101" i="45"/>
  <c r="X101" i="45"/>
  <c r="M101" i="45"/>
  <c r="Z101" i="45"/>
  <c r="N101" i="45"/>
  <c r="AA101" i="45"/>
  <c r="AB101" i="45"/>
  <c r="D102" i="45"/>
  <c r="Q102" i="45"/>
  <c r="E102" i="45"/>
  <c r="R102" i="45"/>
  <c r="F102" i="45"/>
  <c r="S102" i="45"/>
  <c r="H102" i="45"/>
  <c r="U102" i="45"/>
  <c r="I102" i="45"/>
  <c r="V102" i="45"/>
  <c r="J102" i="45"/>
  <c r="W102" i="45"/>
  <c r="K102" i="45"/>
  <c r="X102" i="45"/>
  <c r="M102" i="45"/>
  <c r="Z102" i="45"/>
  <c r="N102" i="45"/>
  <c r="AA102" i="45"/>
  <c r="AB102" i="45"/>
  <c r="D103" i="45"/>
  <c r="Q103" i="45"/>
  <c r="E103" i="45"/>
  <c r="R103" i="45"/>
  <c r="F103" i="45"/>
  <c r="S103" i="45"/>
  <c r="H103" i="45"/>
  <c r="U103" i="45"/>
  <c r="I103" i="45"/>
  <c r="V103" i="45"/>
  <c r="J103" i="45"/>
  <c r="W103" i="45"/>
  <c r="K103" i="45"/>
  <c r="X103" i="45"/>
  <c r="M103" i="45"/>
  <c r="Z103" i="45"/>
  <c r="N103" i="45"/>
  <c r="AA103" i="45"/>
  <c r="AB103" i="45"/>
  <c r="D104" i="45"/>
  <c r="Q104" i="45"/>
  <c r="E104" i="45"/>
  <c r="R104" i="45"/>
  <c r="F104" i="45"/>
  <c r="S104" i="45"/>
  <c r="H104" i="45"/>
  <c r="U104" i="45"/>
  <c r="I104" i="45"/>
  <c r="V104" i="45"/>
  <c r="J104" i="45"/>
  <c r="W104" i="45"/>
  <c r="K104" i="45"/>
  <c r="X104" i="45"/>
  <c r="M104" i="45"/>
  <c r="Z104" i="45"/>
  <c r="N104" i="45"/>
  <c r="AA104" i="45"/>
  <c r="AB104" i="45"/>
  <c r="D105" i="45"/>
  <c r="Q105" i="45"/>
  <c r="E105" i="45"/>
  <c r="R105" i="45"/>
  <c r="F105" i="45"/>
  <c r="S105" i="45"/>
  <c r="H105" i="45"/>
  <c r="U105" i="45"/>
  <c r="I105" i="45"/>
  <c r="V105" i="45"/>
  <c r="J105" i="45"/>
  <c r="W105" i="45"/>
  <c r="K105" i="45"/>
  <c r="X105" i="45"/>
  <c r="M105" i="45"/>
  <c r="Z105" i="45"/>
  <c r="N105" i="45"/>
  <c r="AA105" i="45"/>
  <c r="AB105" i="45"/>
  <c r="D106" i="45"/>
  <c r="Q106" i="45"/>
  <c r="E106" i="45"/>
  <c r="R106" i="45"/>
  <c r="F106" i="45"/>
  <c r="S106" i="45"/>
  <c r="H106" i="45"/>
  <c r="U106" i="45"/>
  <c r="I106" i="45"/>
  <c r="V106" i="45"/>
  <c r="J106" i="45"/>
  <c r="W106" i="45"/>
  <c r="K106" i="45"/>
  <c r="X106" i="45"/>
  <c r="M106" i="45"/>
  <c r="Z106" i="45"/>
  <c r="N106" i="45"/>
  <c r="AA106" i="45"/>
  <c r="AB106" i="45"/>
  <c r="D107" i="45"/>
  <c r="Q107" i="45"/>
  <c r="E107" i="45"/>
  <c r="R107" i="45"/>
  <c r="F107" i="45"/>
  <c r="S107" i="45"/>
  <c r="H107" i="45"/>
  <c r="U107" i="45"/>
  <c r="I107" i="45"/>
  <c r="V107" i="45"/>
  <c r="J107" i="45"/>
  <c r="W107" i="45"/>
  <c r="K107" i="45"/>
  <c r="X107" i="45"/>
  <c r="M107" i="45"/>
  <c r="Z107" i="45"/>
  <c r="N107" i="45"/>
  <c r="AA107" i="45"/>
  <c r="AB107" i="45"/>
  <c r="D108" i="45"/>
  <c r="Q108" i="45"/>
  <c r="E108" i="45"/>
  <c r="R108" i="45"/>
  <c r="F108" i="45"/>
  <c r="S108" i="45"/>
  <c r="H108" i="45"/>
  <c r="U108" i="45"/>
  <c r="I108" i="45"/>
  <c r="V108" i="45"/>
  <c r="J108" i="45"/>
  <c r="W108" i="45"/>
  <c r="K108" i="45"/>
  <c r="X108" i="45"/>
  <c r="M108" i="45"/>
  <c r="Z108" i="45"/>
  <c r="N108" i="45"/>
  <c r="AA108" i="45"/>
  <c r="AB108" i="45"/>
  <c r="D109" i="45"/>
  <c r="Q109" i="45"/>
  <c r="E109" i="45"/>
  <c r="R109" i="45"/>
  <c r="F109" i="45"/>
  <c r="S109" i="45"/>
  <c r="H109" i="45"/>
  <c r="U109" i="45"/>
  <c r="I109" i="45"/>
  <c r="V109" i="45"/>
  <c r="J109" i="45"/>
  <c r="W109" i="45"/>
  <c r="K109" i="45"/>
  <c r="X109" i="45"/>
  <c r="M109" i="45"/>
  <c r="Z109" i="45"/>
  <c r="N109" i="45"/>
  <c r="AA109" i="45"/>
  <c r="AB109" i="45"/>
  <c r="D110" i="45"/>
  <c r="Q110" i="45"/>
  <c r="E110" i="45"/>
  <c r="R110" i="45"/>
  <c r="F110" i="45"/>
  <c r="S110" i="45"/>
  <c r="H110" i="45"/>
  <c r="U110" i="45"/>
  <c r="I110" i="45"/>
  <c r="V110" i="45"/>
  <c r="J110" i="45"/>
  <c r="W110" i="45"/>
  <c r="K110" i="45"/>
  <c r="X110" i="45"/>
  <c r="M110" i="45"/>
  <c r="Z110" i="45"/>
  <c r="N110" i="45"/>
  <c r="AA110" i="45"/>
  <c r="AB110" i="45"/>
  <c r="D111" i="45"/>
  <c r="Q111" i="45"/>
  <c r="E111" i="45"/>
  <c r="R111" i="45"/>
  <c r="F111" i="45"/>
  <c r="S111" i="45"/>
  <c r="H111" i="45"/>
  <c r="U111" i="45"/>
  <c r="I111" i="45"/>
  <c r="V111" i="45"/>
  <c r="J111" i="45"/>
  <c r="W111" i="45"/>
  <c r="K111" i="45"/>
  <c r="X111" i="45"/>
  <c r="M111" i="45"/>
  <c r="Z111" i="45"/>
  <c r="N111" i="45"/>
  <c r="AA111" i="45"/>
  <c r="AB111" i="45"/>
  <c r="D112" i="45"/>
  <c r="Q112" i="45"/>
  <c r="E112" i="45"/>
  <c r="R112" i="45"/>
  <c r="F112" i="45"/>
  <c r="S112" i="45"/>
  <c r="H112" i="45"/>
  <c r="U112" i="45"/>
  <c r="I112" i="45"/>
  <c r="V112" i="45"/>
  <c r="J112" i="45"/>
  <c r="W112" i="45"/>
  <c r="K112" i="45"/>
  <c r="X112" i="45"/>
  <c r="M112" i="45"/>
  <c r="Z112" i="45"/>
  <c r="N112" i="45"/>
  <c r="AA112" i="45"/>
  <c r="AB112" i="45"/>
  <c r="D113" i="45"/>
  <c r="Q113" i="45"/>
  <c r="E113" i="45"/>
  <c r="R113" i="45"/>
  <c r="F113" i="45"/>
  <c r="S113" i="45"/>
  <c r="H113" i="45"/>
  <c r="U113" i="45"/>
  <c r="I113" i="45"/>
  <c r="V113" i="45"/>
  <c r="J113" i="45"/>
  <c r="W113" i="45"/>
  <c r="K113" i="45"/>
  <c r="X113" i="45"/>
  <c r="M113" i="45"/>
  <c r="Z113" i="45"/>
  <c r="N113" i="45"/>
  <c r="AA113" i="45"/>
  <c r="AB113" i="45"/>
  <c r="D114" i="45"/>
  <c r="Q114" i="45"/>
  <c r="E114" i="45"/>
  <c r="R114" i="45"/>
  <c r="F114" i="45"/>
  <c r="S114" i="45"/>
  <c r="H114" i="45"/>
  <c r="U114" i="45"/>
  <c r="I114" i="45"/>
  <c r="V114" i="45"/>
  <c r="J114" i="45"/>
  <c r="W114" i="45"/>
  <c r="K114" i="45"/>
  <c r="X114" i="45"/>
  <c r="M114" i="45"/>
  <c r="Z114" i="45"/>
  <c r="N114" i="45"/>
  <c r="AA114" i="45"/>
  <c r="AB114" i="45"/>
  <c r="D115" i="45"/>
  <c r="Q115" i="45"/>
  <c r="E115" i="45"/>
  <c r="R115" i="45"/>
  <c r="F115" i="45"/>
  <c r="S115" i="45"/>
  <c r="H115" i="45"/>
  <c r="U115" i="45"/>
  <c r="I115" i="45"/>
  <c r="V115" i="45"/>
  <c r="J115" i="45"/>
  <c r="W115" i="45"/>
  <c r="K115" i="45"/>
  <c r="X115" i="45"/>
  <c r="M115" i="45"/>
  <c r="Z115" i="45"/>
  <c r="N115" i="45"/>
  <c r="AA115" i="45"/>
  <c r="AB115" i="45"/>
  <c r="D116" i="45"/>
  <c r="Q116" i="45"/>
  <c r="E116" i="45"/>
  <c r="R116" i="45"/>
  <c r="F116" i="45"/>
  <c r="S116" i="45"/>
  <c r="H116" i="45"/>
  <c r="U116" i="45"/>
  <c r="I116" i="45"/>
  <c r="V116" i="45"/>
  <c r="J116" i="45"/>
  <c r="W116" i="45"/>
  <c r="K116" i="45"/>
  <c r="X116" i="45"/>
  <c r="M116" i="45"/>
  <c r="Z116" i="45"/>
  <c r="N116" i="45"/>
  <c r="AA116" i="45"/>
  <c r="AB116" i="45"/>
  <c r="D117" i="45"/>
  <c r="Q117" i="45"/>
  <c r="E117" i="45"/>
  <c r="R117" i="45"/>
  <c r="F117" i="45"/>
  <c r="S117" i="45"/>
  <c r="H117" i="45"/>
  <c r="U117" i="45"/>
  <c r="I117" i="45"/>
  <c r="V117" i="45"/>
  <c r="J117" i="45"/>
  <c r="W117" i="45"/>
  <c r="K117" i="45"/>
  <c r="X117" i="45"/>
  <c r="M117" i="45"/>
  <c r="Z117" i="45"/>
  <c r="N117" i="45"/>
  <c r="AA117" i="45"/>
  <c r="AB117" i="45"/>
  <c r="D118" i="45"/>
  <c r="Q118" i="45"/>
  <c r="E118" i="45"/>
  <c r="R118" i="45"/>
  <c r="F118" i="45"/>
  <c r="S118" i="45"/>
  <c r="H118" i="45"/>
  <c r="U118" i="45"/>
  <c r="I118" i="45"/>
  <c r="V118" i="45"/>
  <c r="J118" i="45"/>
  <c r="W118" i="45"/>
  <c r="K118" i="45"/>
  <c r="X118" i="45"/>
  <c r="M118" i="45"/>
  <c r="Z118" i="45"/>
  <c r="N118" i="45"/>
  <c r="AA118" i="45"/>
  <c r="AB118" i="45"/>
  <c r="D119" i="45"/>
  <c r="Q119" i="45"/>
  <c r="E119" i="45"/>
  <c r="R119" i="45"/>
  <c r="F119" i="45"/>
  <c r="S119" i="45"/>
  <c r="H119" i="45"/>
  <c r="U119" i="45"/>
  <c r="I119" i="45"/>
  <c r="V119" i="45"/>
  <c r="J119" i="45"/>
  <c r="W119" i="45"/>
  <c r="K119" i="45"/>
  <c r="X119" i="45"/>
  <c r="M119" i="45"/>
  <c r="Z119" i="45"/>
  <c r="N119" i="45"/>
  <c r="AA119" i="45"/>
  <c r="AB119" i="45"/>
  <c r="D120" i="45"/>
  <c r="Q120" i="45"/>
  <c r="E120" i="45"/>
  <c r="R120" i="45"/>
  <c r="F120" i="45"/>
  <c r="S120" i="45"/>
  <c r="H120" i="45"/>
  <c r="U120" i="45"/>
  <c r="I120" i="45"/>
  <c r="V120" i="45"/>
  <c r="J120" i="45"/>
  <c r="W120" i="45"/>
  <c r="K120" i="45"/>
  <c r="X120" i="45"/>
  <c r="M120" i="45"/>
  <c r="Z120" i="45"/>
  <c r="N120" i="45"/>
  <c r="AA120" i="45"/>
  <c r="AB120" i="45"/>
  <c r="D121" i="45"/>
  <c r="Q121" i="45"/>
  <c r="E121" i="45"/>
  <c r="R121" i="45"/>
  <c r="F121" i="45"/>
  <c r="S121" i="45"/>
  <c r="H121" i="45"/>
  <c r="U121" i="45"/>
  <c r="I121" i="45"/>
  <c r="V121" i="45"/>
  <c r="J121" i="45"/>
  <c r="W121" i="45"/>
  <c r="K121" i="45"/>
  <c r="X121" i="45"/>
  <c r="M121" i="45"/>
  <c r="Z121" i="45"/>
  <c r="N121" i="45"/>
  <c r="AA121" i="45"/>
  <c r="AB121" i="45"/>
  <c r="A2" i="45"/>
  <c r="B2" i="45"/>
  <c r="A3" i="45"/>
  <c r="B3" i="45"/>
  <c r="A4" i="45"/>
  <c r="B4" i="45"/>
  <c r="A5" i="45"/>
  <c r="B5" i="45"/>
  <c r="A6" i="45"/>
  <c r="B6" i="45"/>
  <c r="A7" i="45"/>
  <c r="B7" i="45"/>
  <c r="A8" i="45"/>
  <c r="B8" i="45"/>
  <c r="A9" i="45"/>
  <c r="B9" i="45"/>
  <c r="A10" i="45"/>
  <c r="B10" i="45"/>
  <c r="A11" i="45"/>
  <c r="B11" i="45"/>
  <c r="A12" i="45"/>
  <c r="B12" i="45"/>
  <c r="A13" i="45"/>
  <c r="B13" i="45"/>
  <c r="A14" i="45"/>
  <c r="B14" i="45"/>
  <c r="A15" i="45"/>
  <c r="B15" i="45"/>
  <c r="A16" i="45"/>
  <c r="B16" i="45"/>
  <c r="A17" i="45"/>
  <c r="B17" i="45"/>
  <c r="A18" i="45"/>
  <c r="B18" i="45"/>
  <c r="A19" i="45"/>
  <c r="B19" i="45"/>
  <c r="A20" i="45"/>
  <c r="B20" i="45"/>
  <c r="A21" i="45"/>
  <c r="B21" i="45"/>
  <c r="A22" i="45"/>
  <c r="B22" i="45"/>
  <c r="A23" i="45"/>
  <c r="B23" i="45"/>
  <c r="A24" i="45"/>
  <c r="B24" i="45"/>
  <c r="A25" i="45"/>
  <c r="B25" i="45"/>
  <c r="A26" i="45"/>
  <c r="B26" i="45"/>
  <c r="A27" i="45"/>
  <c r="B27" i="45"/>
  <c r="A28" i="45"/>
  <c r="B28" i="45"/>
  <c r="A29" i="45"/>
  <c r="B29" i="45"/>
  <c r="A30" i="45"/>
  <c r="B30" i="45"/>
  <c r="A31" i="45"/>
  <c r="B31" i="45"/>
  <c r="A32" i="45"/>
  <c r="B32" i="45"/>
  <c r="A33" i="45"/>
  <c r="B33" i="45"/>
  <c r="A34" i="45"/>
  <c r="B34" i="45"/>
  <c r="A35" i="45"/>
  <c r="B35" i="45"/>
  <c r="A36" i="45"/>
  <c r="B36" i="45"/>
  <c r="A37" i="45"/>
  <c r="B37" i="45"/>
  <c r="A38" i="45"/>
  <c r="B38" i="45"/>
  <c r="A39" i="45"/>
  <c r="B39" i="45"/>
  <c r="A40" i="45"/>
  <c r="B40" i="45"/>
  <c r="A41" i="45"/>
  <c r="B41" i="45"/>
  <c r="A42" i="45"/>
  <c r="B42" i="45"/>
  <c r="A43" i="45"/>
  <c r="B43" i="45"/>
  <c r="A44" i="45"/>
  <c r="B44" i="45"/>
  <c r="A45" i="45"/>
  <c r="B45" i="45"/>
  <c r="A46" i="45"/>
  <c r="B46" i="45"/>
  <c r="A47" i="45"/>
  <c r="B47" i="45"/>
  <c r="A48" i="45"/>
  <c r="B48" i="45"/>
  <c r="A49" i="45"/>
  <c r="B49" i="45"/>
  <c r="A50" i="45"/>
  <c r="B50" i="45"/>
  <c r="A51" i="45"/>
  <c r="B51" i="45"/>
  <c r="A52" i="45"/>
  <c r="B52" i="45"/>
  <c r="A53" i="45"/>
  <c r="B53" i="45"/>
  <c r="A54" i="45"/>
  <c r="B54" i="45"/>
  <c r="A55" i="45"/>
  <c r="B55" i="45"/>
  <c r="A56" i="45"/>
  <c r="B56" i="45"/>
  <c r="A57" i="45"/>
  <c r="B57" i="45"/>
  <c r="A58" i="45"/>
  <c r="B58" i="45"/>
  <c r="A59" i="45"/>
  <c r="B59" i="45"/>
  <c r="A60" i="45"/>
  <c r="B60" i="45"/>
  <c r="A61" i="45"/>
  <c r="B61" i="45"/>
  <c r="A62" i="45"/>
  <c r="B62" i="45"/>
  <c r="A63" i="45"/>
  <c r="B63" i="45"/>
  <c r="A64" i="45"/>
  <c r="B64" i="45"/>
  <c r="A65" i="45"/>
  <c r="B65" i="45"/>
  <c r="A66" i="45"/>
  <c r="B66" i="45"/>
  <c r="A67" i="45"/>
  <c r="B67" i="45"/>
  <c r="A68" i="45"/>
  <c r="B68" i="45"/>
  <c r="A69" i="45"/>
  <c r="B69" i="45"/>
  <c r="A70" i="45"/>
  <c r="B70" i="45"/>
  <c r="A71" i="45"/>
  <c r="B71" i="45"/>
  <c r="A72" i="45"/>
  <c r="B72" i="45"/>
  <c r="A73" i="45"/>
  <c r="B73" i="45"/>
  <c r="A74" i="45"/>
  <c r="B74" i="45"/>
  <c r="A75" i="45"/>
  <c r="B75" i="45"/>
  <c r="A76" i="45"/>
  <c r="B76" i="45"/>
  <c r="A77" i="45"/>
  <c r="B77" i="45"/>
  <c r="A78" i="45"/>
  <c r="B78" i="45"/>
  <c r="A79" i="45"/>
  <c r="B79" i="45"/>
  <c r="A80" i="45"/>
  <c r="B80" i="45"/>
  <c r="A81" i="45"/>
  <c r="B81" i="45"/>
  <c r="A82" i="45"/>
  <c r="B82" i="45"/>
  <c r="A83" i="45"/>
  <c r="B83" i="45"/>
  <c r="A84" i="45"/>
  <c r="B84" i="45"/>
  <c r="A85" i="45"/>
  <c r="B85" i="45"/>
  <c r="A86" i="45"/>
  <c r="B86" i="45"/>
  <c r="A87" i="45"/>
  <c r="B87" i="45"/>
  <c r="A88" i="45"/>
  <c r="B88" i="45"/>
  <c r="A89" i="45"/>
  <c r="B89" i="45"/>
  <c r="A90" i="45"/>
  <c r="B90" i="45"/>
  <c r="A91" i="45"/>
  <c r="B91" i="45"/>
  <c r="A92" i="45"/>
  <c r="B92" i="45"/>
  <c r="A93" i="45"/>
  <c r="B93" i="45"/>
  <c r="A94" i="45"/>
  <c r="B94" i="45"/>
  <c r="A95" i="45"/>
  <c r="B95" i="45"/>
  <c r="A96" i="45"/>
  <c r="B96" i="45"/>
  <c r="A97" i="45"/>
  <c r="B97" i="45"/>
  <c r="A98" i="45"/>
  <c r="B98" i="45"/>
  <c r="A99" i="45"/>
  <c r="B99" i="45"/>
  <c r="A100" i="45"/>
  <c r="B100" i="45"/>
  <c r="A101" i="45"/>
  <c r="B101" i="45"/>
  <c r="A102" i="45"/>
  <c r="B102" i="45"/>
  <c r="A103" i="45"/>
  <c r="B103" i="45"/>
  <c r="A104" i="45"/>
  <c r="B104" i="45"/>
  <c r="A105" i="45"/>
  <c r="B105" i="45"/>
  <c r="A106" i="45"/>
  <c r="B106" i="45"/>
  <c r="A107" i="45"/>
  <c r="B107" i="45"/>
  <c r="A108" i="45"/>
  <c r="B108" i="45"/>
  <c r="A109" i="45"/>
  <c r="B109" i="45"/>
  <c r="A110" i="45"/>
  <c r="B110" i="45"/>
  <c r="A111" i="45"/>
  <c r="B111" i="45"/>
  <c r="A112" i="45"/>
  <c r="B112" i="45"/>
  <c r="A113" i="45"/>
  <c r="B113" i="45"/>
  <c r="A114" i="45"/>
  <c r="B114" i="45"/>
  <c r="A115" i="45"/>
  <c r="B115" i="45"/>
  <c r="A116" i="45"/>
  <c r="B116" i="45"/>
  <c r="A117" i="45"/>
  <c r="B117" i="45"/>
  <c r="A118" i="45"/>
  <c r="B118" i="45"/>
  <c r="A119" i="45"/>
  <c r="B119" i="45"/>
  <c r="A120" i="45"/>
  <c r="B120" i="45"/>
  <c r="A121" i="45"/>
  <c r="B121" i="45"/>
  <c r="C1" i="45"/>
  <c r="N59" i="16"/>
  <c r="N60" i="16"/>
  <c r="N61" i="16"/>
  <c r="N62" i="16"/>
  <c r="N63" i="16"/>
  <c r="N64" i="16"/>
  <c r="N65" i="16"/>
  <c r="N66" i="16"/>
  <c r="N67" i="16"/>
  <c r="N58" i="16"/>
  <c r="E2" i="47"/>
  <c r="M2" i="47"/>
  <c r="G2" i="47"/>
  <c r="O2" i="47"/>
  <c r="H2" i="47"/>
  <c r="P2" i="47"/>
  <c r="I2" i="47"/>
  <c r="Q2" i="47"/>
  <c r="E3" i="47"/>
  <c r="M3" i="47"/>
  <c r="G3" i="47"/>
  <c r="O3" i="47"/>
  <c r="H3" i="47"/>
  <c r="P3" i="47"/>
  <c r="I3" i="47"/>
  <c r="Q3" i="47"/>
  <c r="E4" i="47"/>
  <c r="M4" i="47"/>
  <c r="G4" i="47"/>
  <c r="O4" i="47"/>
  <c r="H4" i="47"/>
  <c r="P4" i="47"/>
  <c r="I4" i="47"/>
  <c r="Q4" i="47"/>
  <c r="E5" i="47"/>
  <c r="M5" i="47"/>
  <c r="G5" i="47"/>
  <c r="O5" i="47"/>
  <c r="H5" i="47"/>
  <c r="P5" i="47"/>
  <c r="I5" i="47"/>
  <c r="Q5" i="47"/>
  <c r="E6" i="47"/>
  <c r="M6" i="47"/>
  <c r="G6" i="47"/>
  <c r="O6" i="47"/>
  <c r="H6" i="47"/>
  <c r="P6" i="47"/>
  <c r="I6" i="47"/>
  <c r="Q6" i="47"/>
  <c r="E7" i="47"/>
  <c r="M7" i="47"/>
  <c r="G7" i="47"/>
  <c r="O7" i="47"/>
  <c r="H7" i="47"/>
  <c r="P7" i="47"/>
  <c r="I7" i="47"/>
  <c r="Q7" i="47"/>
  <c r="E8" i="47"/>
  <c r="M8" i="47"/>
  <c r="G8" i="47"/>
  <c r="O8" i="47"/>
  <c r="H8" i="47"/>
  <c r="P8" i="47"/>
  <c r="I8" i="47"/>
  <c r="Q8" i="47"/>
  <c r="E9" i="47"/>
  <c r="M9" i="47"/>
  <c r="G9" i="47"/>
  <c r="O9" i="47"/>
  <c r="H9" i="47"/>
  <c r="P9" i="47"/>
  <c r="I9" i="47"/>
  <c r="Q9" i="47"/>
  <c r="E10" i="47"/>
  <c r="M10" i="47"/>
  <c r="G10" i="47"/>
  <c r="O10" i="47"/>
  <c r="H10" i="47"/>
  <c r="P10" i="47"/>
  <c r="I10" i="47"/>
  <c r="Q10" i="47"/>
  <c r="E11" i="47"/>
  <c r="M11" i="47"/>
  <c r="G11" i="47"/>
  <c r="O11" i="47"/>
  <c r="H11" i="47"/>
  <c r="P11" i="47"/>
  <c r="I11" i="47"/>
  <c r="Q11" i="47"/>
  <c r="E12" i="47"/>
  <c r="M12" i="47"/>
  <c r="G12" i="47"/>
  <c r="O12" i="47"/>
  <c r="H12" i="47"/>
  <c r="P12" i="47"/>
  <c r="I12" i="47"/>
  <c r="Q12" i="47"/>
  <c r="E13" i="47"/>
  <c r="M13" i="47"/>
  <c r="G13" i="47"/>
  <c r="O13" i="47"/>
  <c r="H13" i="47"/>
  <c r="P13" i="47"/>
  <c r="I13" i="47"/>
  <c r="Q13" i="47"/>
  <c r="E14" i="47"/>
  <c r="M14" i="47"/>
  <c r="G14" i="47"/>
  <c r="O14" i="47"/>
  <c r="H14" i="47"/>
  <c r="P14" i="47"/>
  <c r="I14" i="47"/>
  <c r="Q14" i="47"/>
  <c r="E15" i="47"/>
  <c r="M15" i="47"/>
  <c r="G15" i="47"/>
  <c r="O15" i="47"/>
  <c r="H15" i="47"/>
  <c r="P15" i="47"/>
  <c r="I15" i="47"/>
  <c r="Q15" i="47"/>
  <c r="E16" i="47"/>
  <c r="M16" i="47"/>
  <c r="G16" i="47"/>
  <c r="O16" i="47"/>
  <c r="H16" i="47"/>
  <c r="P16" i="47"/>
  <c r="I16" i="47"/>
  <c r="Q16" i="47"/>
  <c r="E17" i="47"/>
  <c r="M17" i="47"/>
  <c r="G17" i="47"/>
  <c r="O17" i="47"/>
  <c r="H17" i="47"/>
  <c r="P17" i="47"/>
  <c r="I17" i="47"/>
  <c r="Q17" i="47"/>
  <c r="E18" i="47"/>
  <c r="M18" i="47"/>
  <c r="G18" i="47"/>
  <c r="O18" i="47"/>
  <c r="H18" i="47"/>
  <c r="P18" i="47"/>
  <c r="I18" i="47"/>
  <c r="Q18" i="47"/>
  <c r="E19" i="47"/>
  <c r="M19" i="47"/>
  <c r="G19" i="47"/>
  <c r="O19" i="47"/>
  <c r="H19" i="47"/>
  <c r="P19" i="47"/>
  <c r="I19" i="47"/>
  <c r="Q19" i="47"/>
  <c r="E20" i="47"/>
  <c r="M20" i="47"/>
  <c r="G20" i="47"/>
  <c r="O20" i="47"/>
  <c r="H20" i="47"/>
  <c r="P20" i="47"/>
  <c r="I20" i="47"/>
  <c r="Q20" i="47"/>
  <c r="E21" i="47"/>
  <c r="M21" i="47"/>
  <c r="G21" i="47"/>
  <c r="O21" i="47"/>
  <c r="H21" i="47"/>
  <c r="P21" i="47"/>
  <c r="I21" i="47"/>
  <c r="Q21" i="47"/>
  <c r="E22" i="47"/>
  <c r="M22" i="47"/>
  <c r="G22" i="47"/>
  <c r="O22" i="47"/>
  <c r="H22" i="47"/>
  <c r="P22" i="47"/>
  <c r="I22" i="47"/>
  <c r="Q22" i="47"/>
  <c r="E23" i="47"/>
  <c r="M23" i="47"/>
  <c r="G23" i="47"/>
  <c r="O23" i="47"/>
  <c r="H23" i="47"/>
  <c r="P23" i="47"/>
  <c r="I23" i="47"/>
  <c r="Q23" i="47"/>
  <c r="E24" i="47"/>
  <c r="M24" i="47"/>
  <c r="G24" i="47"/>
  <c r="O24" i="47"/>
  <c r="H24" i="47"/>
  <c r="P24" i="47"/>
  <c r="I24" i="47"/>
  <c r="Q24" i="47"/>
  <c r="E25" i="47"/>
  <c r="M25" i="47"/>
  <c r="G25" i="47"/>
  <c r="O25" i="47"/>
  <c r="H25" i="47"/>
  <c r="P25" i="47"/>
  <c r="I25" i="47"/>
  <c r="Q25" i="47"/>
  <c r="E26" i="47"/>
  <c r="M26" i="47"/>
  <c r="G26" i="47"/>
  <c r="O26" i="47"/>
  <c r="H26" i="47"/>
  <c r="P26" i="47"/>
  <c r="I26" i="47"/>
  <c r="Q26" i="47"/>
  <c r="E27" i="47"/>
  <c r="M27" i="47"/>
  <c r="G27" i="47"/>
  <c r="O27" i="47"/>
  <c r="H27" i="47"/>
  <c r="P27" i="47"/>
  <c r="I27" i="47"/>
  <c r="Q27" i="47"/>
  <c r="E28" i="47"/>
  <c r="M28" i="47"/>
  <c r="G28" i="47"/>
  <c r="O28" i="47"/>
  <c r="H28" i="47"/>
  <c r="P28" i="47"/>
  <c r="I28" i="47"/>
  <c r="Q28" i="47"/>
  <c r="E29" i="47"/>
  <c r="M29" i="47"/>
  <c r="G29" i="47"/>
  <c r="O29" i="47"/>
  <c r="H29" i="47"/>
  <c r="P29" i="47"/>
  <c r="I29" i="47"/>
  <c r="Q29" i="47"/>
  <c r="E30" i="47"/>
  <c r="M30" i="47"/>
  <c r="G30" i="47"/>
  <c r="O30" i="47"/>
  <c r="H30" i="47"/>
  <c r="P30" i="47"/>
  <c r="I30" i="47"/>
  <c r="Q30" i="47"/>
  <c r="E31" i="47"/>
  <c r="M31" i="47"/>
  <c r="G31" i="47"/>
  <c r="O31" i="47"/>
  <c r="H31" i="47"/>
  <c r="P31" i="47"/>
  <c r="I31" i="47"/>
  <c r="Q31" i="47"/>
  <c r="E32" i="47"/>
  <c r="M32" i="47"/>
  <c r="G32" i="47"/>
  <c r="O32" i="47"/>
  <c r="H32" i="47"/>
  <c r="P32" i="47"/>
  <c r="I32" i="47"/>
  <c r="Q32" i="47"/>
  <c r="E33" i="47"/>
  <c r="M33" i="47"/>
  <c r="G33" i="47"/>
  <c r="O33" i="47"/>
  <c r="H33" i="47"/>
  <c r="P33" i="47"/>
  <c r="I33" i="47"/>
  <c r="Q33" i="47"/>
  <c r="E34" i="47"/>
  <c r="M34" i="47"/>
  <c r="G34" i="47"/>
  <c r="O34" i="47"/>
  <c r="H34" i="47"/>
  <c r="P34" i="47"/>
  <c r="I34" i="47"/>
  <c r="Q34" i="47"/>
  <c r="E35" i="47"/>
  <c r="M35" i="47"/>
  <c r="G35" i="47"/>
  <c r="O35" i="47"/>
  <c r="H35" i="47"/>
  <c r="P35" i="47"/>
  <c r="I35" i="47"/>
  <c r="Q35" i="47"/>
  <c r="E36" i="47"/>
  <c r="M36" i="47"/>
  <c r="G36" i="47"/>
  <c r="O36" i="47"/>
  <c r="H36" i="47"/>
  <c r="P36" i="47"/>
  <c r="I36" i="47"/>
  <c r="Q36" i="47"/>
  <c r="E37" i="47"/>
  <c r="M37" i="47"/>
  <c r="G37" i="47"/>
  <c r="O37" i="47"/>
  <c r="H37" i="47"/>
  <c r="P37" i="47"/>
  <c r="I37" i="47"/>
  <c r="Q37" i="47"/>
  <c r="E38" i="47"/>
  <c r="M38" i="47"/>
  <c r="G38" i="47"/>
  <c r="O38" i="47"/>
  <c r="H38" i="47"/>
  <c r="P38" i="47"/>
  <c r="I38" i="47"/>
  <c r="Q38" i="47"/>
  <c r="E39" i="47"/>
  <c r="M39" i="47"/>
  <c r="G39" i="47"/>
  <c r="O39" i="47"/>
  <c r="H39" i="47"/>
  <c r="P39" i="47"/>
  <c r="I39" i="47"/>
  <c r="Q39" i="47"/>
  <c r="E40" i="47"/>
  <c r="M40" i="47"/>
  <c r="G40" i="47"/>
  <c r="O40" i="47"/>
  <c r="H40" i="47"/>
  <c r="P40" i="47"/>
  <c r="I40" i="47"/>
  <c r="Q40" i="47"/>
  <c r="E41" i="47"/>
  <c r="M41" i="47"/>
  <c r="G41" i="47"/>
  <c r="O41" i="47"/>
  <c r="H41" i="47"/>
  <c r="P41" i="47"/>
  <c r="I41" i="47"/>
  <c r="Q41" i="47"/>
  <c r="E42" i="47"/>
  <c r="M42" i="47"/>
  <c r="G42" i="47"/>
  <c r="O42" i="47"/>
  <c r="H42" i="47"/>
  <c r="P42" i="47"/>
  <c r="I42" i="47"/>
  <c r="Q42" i="47"/>
  <c r="E43" i="47"/>
  <c r="M43" i="47"/>
  <c r="G43" i="47"/>
  <c r="O43" i="47"/>
  <c r="H43" i="47"/>
  <c r="P43" i="47"/>
  <c r="I43" i="47"/>
  <c r="Q43" i="47"/>
  <c r="E44" i="47"/>
  <c r="M44" i="47"/>
  <c r="G44" i="47"/>
  <c r="O44" i="47"/>
  <c r="H44" i="47"/>
  <c r="P44" i="47"/>
  <c r="I44" i="47"/>
  <c r="Q44" i="47"/>
  <c r="E45" i="47"/>
  <c r="M45" i="47"/>
  <c r="G45" i="47"/>
  <c r="O45" i="47"/>
  <c r="H45" i="47"/>
  <c r="P45" i="47"/>
  <c r="I45" i="47"/>
  <c r="Q45" i="47"/>
  <c r="E46" i="47"/>
  <c r="M46" i="47"/>
  <c r="G46" i="47"/>
  <c r="O46" i="47"/>
  <c r="H46" i="47"/>
  <c r="P46" i="47"/>
  <c r="I46" i="47"/>
  <c r="Q46" i="47"/>
  <c r="E47" i="47"/>
  <c r="M47" i="47"/>
  <c r="G47" i="47"/>
  <c r="O47" i="47"/>
  <c r="H47" i="47"/>
  <c r="P47" i="47"/>
  <c r="I47" i="47"/>
  <c r="Q47" i="47"/>
  <c r="E48" i="47"/>
  <c r="M48" i="47"/>
  <c r="G48" i="47"/>
  <c r="O48" i="47"/>
  <c r="H48" i="47"/>
  <c r="P48" i="47"/>
  <c r="I48" i="47"/>
  <c r="Q48" i="47"/>
  <c r="E49" i="47"/>
  <c r="M49" i="47"/>
  <c r="G49" i="47"/>
  <c r="O49" i="47"/>
  <c r="H49" i="47"/>
  <c r="P49" i="47"/>
  <c r="I49" i="47"/>
  <c r="Q49" i="47"/>
  <c r="E50" i="47"/>
  <c r="M50" i="47"/>
  <c r="G50" i="47"/>
  <c r="O50" i="47"/>
  <c r="H50" i="47"/>
  <c r="P50" i="47"/>
  <c r="I50" i="47"/>
  <c r="Q50" i="47"/>
  <c r="E51" i="47"/>
  <c r="M51" i="47"/>
  <c r="G51" i="47"/>
  <c r="O51" i="47"/>
  <c r="H51" i="47"/>
  <c r="P51" i="47"/>
  <c r="I51" i="47"/>
  <c r="Q51" i="47"/>
  <c r="E52" i="47"/>
  <c r="M52" i="47"/>
  <c r="G52" i="47"/>
  <c r="O52" i="47"/>
  <c r="H52" i="47"/>
  <c r="P52" i="47"/>
  <c r="I52" i="47"/>
  <c r="Q52" i="47"/>
  <c r="E53" i="47"/>
  <c r="M53" i="47"/>
  <c r="G53" i="47"/>
  <c r="O53" i="47"/>
  <c r="H53" i="47"/>
  <c r="P53" i="47"/>
  <c r="I53" i="47"/>
  <c r="Q53" i="47"/>
  <c r="E54" i="47"/>
  <c r="M54" i="47"/>
  <c r="G54" i="47"/>
  <c r="O54" i="47"/>
  <c r="H54" i="47"/>
  <c r="P54" i="47"/>
  <c r="I54" i="47"/>
  <c r="Q54" i="47"/>
  <c r="E55" i="47"/>
  <c r="M55" i="47"/>
  <c r="G55" i="47"/>
  <c r="O55" i="47"/>
  <c r="H55" i="47"/>
  <c r="P55" i="47"/>
  <c r="I55" i="47"/>
  <c r="Q55" i="47"/>
  <c r="E56" i="47"/>
  <c r="M56" i="47"/>
  <c r="G56" i="47"/>
  <c r="O56" i="47"/>
  <c r="H56" i="47"/>
  <c r="P56" i="47"/>
  <c r="I56" i="47"/>
  <c r="Q56" i="47"/>
  <c r="E57" i="47"/>
  <c r="M57" i="47"/>
  <c r="G57" i="47"/>
  <c r="O57" i="47"/>
  <c r="H57" i="47"/>
  <c r="P57" i="47"/>
  <c r="I57" i="47"/>
  <c r="Q57" i="47"/>
  <c r="E58" i="47"/>
  <c r="M58" i="47"/>
  <c r="G58" i="47"/>
  <c r="O58" i="47"/>
  <c r="H58" i="47"/>
  <c r="P58" i="47"/>
  <c r="I58" i="47"/>
  <c r="Q58" i="47"/>
  <c r="E59" i="47"/>
  <c r="M59" i="47"/>
  <c r="G59" i="47"/>
  <c r="O59" i="47"/>
  <c r="H59" i="47"/>
  <c r="P59" i="47"/>
  <c r="I59" i="47"/>
  <c r="Q59" i="47"/>
  <c r="E60" i="47"/>
  <c r="M60" i="47"/>
  <c r="G60" i="47"/>
  <c r="O60" i="47"/>
  <c r="H60" i="47"/>
  <c r="P60" i="47"/>
  <c r="I60" i="47"/>
  <c r="Q60" i="47"/>
  <c r="E61" i="47"/>
  <c r="M61" i="47"/>
  <c r="G61" i="47"/>
  <c r="O61" i="47"/>
  <c r="H61" i="47"/>
  <c r="P61" i="47"/>
  <c r="I61" i="47"/>
  <c r="Q61" i="47"/>
  <c r="E62" i="47"/>
  <c r="M62" i="47"/>
  <c r="G62" i="47"/>
  <c r="O62" i="47"/>
  <c r="H62" i="47"/>
  <c r="P62" i="47"/>
  <c r="I62" i="47"/>
  <c r="Q62" i="47"/>
  <c r="E63" i="47"/>
  <c r="M63" i="47"/>
  <c r="G63" i="47"/>
  <c r="O63" i="47"/>
  <c r="H63" i="47"/>
  <c r="P63" i="47"/>
  <c r="I63" i="47"/>
  <c r="Q63" i="47"/>
  <c r="E64" i="47"/>
  <c r="M64" i="47"/>
  <c r="G64" i="47"/>
  <c r="O64" i="47"/>
  <c r="H64" i="47"/>
  <c r="P64" i="47"/>
  <c r="I64" i="47"/>
  <c r="Q64" i="47"/>
  <c r="E65" i="47"/>
  <c r="M65" i="47"/>
  <c r="G65" i="47"/>
  <c r="O65" i="47"/>
  <c r="H65" i="47"/>
  <c r="P65" i="47"/>
  <c r="I65" i="47"/>
  <c r="Q65" i="47"/>
  <c r="E66" i="47"/>
  <c r="M66" i="47"/>
  <c r="G66" i="47"/>
  <c r="O66" i="47"/>
  <c r="H66" i="47"/>
  <c r="P66" i="47"/>
  <c r="I66" i="47"/>
  <c r="Q66" i="47"/>
  <c r="E67" i="47"/>
  <c r="M67" i="47"/>
  <c r="G67" i="47"/>
  <c r="O67" i="47"/>
  <c r="H67" i="47"/>
  <c r="P67" i="47"/>
  <c r="I67" i="47"/>
  <c r="Q67" i="47"/>
  <c r="E68" i="47"/>
  <c r="M68" i="47"/>
  <c r="G68" i="47"/>
  <c r="O68" i="47"/>
  <c r="H68" i="47"/>
  <c r="P68" i="47"/>
  <c r="I68" i="47"/>
  <c r="Q68" i="47"/>
  <c r="E69" i="47"/>
  <c r="M69" i="47"/>
  <c r="G69" i="47"/>
  <c r="O69" i="47"/>
  <c r="H69" i="47"/>
  <c r="P69" i="47"/>
  <c r="I69" i="47"/>
  <c r="Q69" i="47"/>
  <c r="E70" i="47"/>
  <c r="M70" i="47"/>
  <c r="G70" i="47"/>
  <c r="O70" i="47"/>
  <c r="H70" i="47"/>
  <c r="P70" i="47"/>
  <c r="I70" i="47"/>
  <c r="Q70" i="47"/>
  <c r="E71" i="47"/>
  <c r="M71" i="47"/>
  <c r="G71" i="47"/>
  <c r="O71" i="47"/>
  <c r="H71" i="47"/>
  <c r="P71" i="47"/>
  <c r="I71" i="47"/>
  <c r="Q71" i="47"/>
  <c r="E72" i="47"/>
  <c r="M72" i="47"/>
  <c r="G72" i="47"/>
  <c r="O72" i="47"/>
  <c r="H72" i="47"/>
  <c r="P72" i="47"/>
  <c r="I72" i="47"/>
  <c r="Q72" i="47"/>
  <c r="E73" i="47"/>
  <c r="M73" i="47"/>
  <c r="G73" i="47"/>
  <c r="O73" i="47"/>
  <c r="H73" i="47"/>
  <c r="P73" i="47"/>
  <c r="I73" i="47"/>
  <c r="Q73" i="47"/>
  <c r="E74" i="47"/>
  <c r="M74" i="47"/>
  <c r="G74" i="47"/>
  <c r="O74" i="47"/>
  <c r="H74" i="47"/>
  <c r="P74" i="47"/>
  <c r="I74" i="47"/>
  <c r="Q74" i="47"/>
  <c r="E75" i="47"/>
  <c r="M75" i="47"/>
  <c r="G75" i="47"/>
  <c r="O75" i="47"/>
  <c r="H75" i="47"/>
  <c r="P75" i="47"/>
  <c r="I75" i="47"/>
  <c r="Q75" i="47"/>
  <c r="E76" i="47"/>
  <c r="M76" i="47"/>
  <c r="G76" i="47"/>
  <c r="O76" i="47"/>
  <c r="H76" i="47"/>
  <c r="P76" i="47"/>
  <c r="I76" i="47"/>
  <c r="Q76" i="47"/>
  <c r="E77" i="47"/>
  <c r="M77" i="47"/>
  <c r="G77" i="47"/>
  <c r="O77" i="47"/>
  <c r="H77" i="47"/>
  <c r="P77" i="47"/>
  <c r="I77" i="47"/>
  <c r="Q77" i="47"/>
  <c r="E78" i="47"/>
  <c r="M78" i="47"/>
  <c r="G78" i="47"/>
  <c r="O78" i="47"/>
  <c r="H78" i="47"/>
  <c r="P78" i="47"/>
  <c r="I78" i="47"/>
  <c r="Q78" i="47"/>
  <c r="E79" i="47"/>
  <c r="M79" i="47"/>
  <c r="G79" i="47"/>
  <c r="O79" i="47"/>
  <c r="H79" i="47"/>
  <c r="P79" i="47"/>
  <c r="I79" i="47"/>
  <c r="Q79" i="47"/>
  <c r="E80" i="47"/>
  <c r="M80" i="47"/>
  <c r="G80" i="47"/>
  <c r="O80" i="47"/>
  <c r="H80" i="47"/>
  <c r="P80" i="47"/>
  <c r="I80" i="47"/>
  <c r="Q80" i="47"/>
  <c r="E81" i="47"/>
  <c r="M81" i="47"/>
  <c r="G81" i="47"/>
  <c r="O81" i="47"/>
  <c r="H81" i="47"/>
  <c r="P81" i="47"/>
  <c r="I81" i="47"/>
  <c r="Q81" i="47"/>
  <c r="E82" i="47"/>
  <c r="M82" i="47"/>
  <c r="G82" i="47"/>
  <c r="O82" i="47"/>
  <c r="H82" i="47"/>
  <c r="P82" i="47"/>
  <c r="I82" i="47"/>
  <c r="Q82" i="47"/>
  <c r="E83" i="47"/>
  <c r="M83" i="47"/>
  <c r="G83" i="47"/>
  <c r="O83" i="47"/>
  <c r="H83" i="47"/>
  <c r="P83" i="47"/>
  <c r="I83" i="47"/>
  <c r="Q83" i="47"/>
  <c r="E84" i="47"/>
  <c r="M84" i="47"/>
  <c r="G84" i="47"/>
  <c r="O84" i="47"/>
  <c r="H84" i="47"/>
  <c r="P84" i="47"/>
  <c r="I84" i="47"/>
  <c r="Q84" i="47"/>
  <c r="E85" i="47"/>
  <c r="M85" i="47"/>
  <c r="G85" i="47"/>
  <c r="O85" i="47"/>
  <c r="H85" i="47"/>
  <c r="P85" i="47"/>
  <c r="I85" i="47"/>
  <c r="Q85" i="47"/>
  <c r="E86" i="47"/>
  <c r="M86" i="47"/>
  <c r="O86" i="47"/>
  <c r="P86" i="47"/>
  <c r="Q86" i="47"/>
  <c r="E87" i="47"/>
  <c r="M87" i="47"/>
  <c r="O87" i="47"/>
  <c r="P87" i="47"/>
  <c r="Q87" i="47"/>
  <c r="E88" i="47"/>
  <c r="M88" i="47"/>
  <c r="O88" i="47"/>
  <c r="P88" i="47"/>
  <c r="Q88" i="47"/>
  <c r="E89" i="47"/>
  <c r="M89" i="47"/>
  <c r="O89" i="47"/>
  <c r="P89" i="47"/>
  <c r="Q89" i="47"/>
  <c r="E90" i="47"/>
  <c r="M90" i="47"/>
  <c r="O90" i="47"/>
  <c r="P90" i="47"/>
  <c r="Q90" i="47"/>
  <c r="E91" i="47"/>
  <c r="M91" i="47"/>
  <c r="O91" i="47"/>
  <c r="P91" i="47"/>
  <c r="Q91" i="47"/>
  <c r="E92" i="47"/>
  <c r="M92" i="47"/>
  <c r="O92" i="47"/>
  <c r="P92" i="47"/>
  <c r="Q92" i="47"/>
  <c r="E93" i="47"/>
  <c r="M93" i="47"/>
  <c r="O93" i="47"/>
  <c r="P93" i="47"/>
  <c r="Q93" i="47"/>
  <c r="E94" i="47"/>
  <c r="M94" i="47"/>
  <c r="O94" i="47"/>
  <c r="P94" i="47"/>
  <c r="Q94" i="47"/>
  <c r="E95" i="47"/>
  <c r="M95" i="47"/>
  <c r="O95" i="47"/>
  <c r="P95" i="47"/>
  <c r="Q95" i="47"/>
  <c r="E96" i="47"/>
  <c r="M96" i="47"/>
  <c r="O96" i="47"/>
  <c r="P96" i="47"/>
  <c r="Q96" i="47"/>
  <c r="E97" i="47"/>
  <c r="M97" i="47"/>
  <c r="O97" i="47"/>
  <c r="P97" i="47"/>
  <c r="Q97" i="47"/>
  <c r="E98" i="47"/>
  <c r="M98" i="47"/>
  <c r="G98" i="47"/>
  <c r="O98" i="47"/>
  <c r="H98" i="47"/>
  <c r="P98" i="47"/>
  <c r="I98" i="47"/>
  <c r="Q98" i="47"/>
  <c r="E99" i="47"/>
  <c r="M99" i="47"/>
  <c r="G99" i="47"/>
  <c r="O99" i="47"/>
  <c r="H99" i="47"/>
  <c r="P99" i="47"/>
  <c r="I99" i="47"/>
  <c r="Q99" i="47"/>
  <c r="E100" i="47"/>
  <c r="M100" i="47"/>
  <c r="G100" i="47"/>
  <c r="O100" i="47"/>
  <c r="H100" i="47"/>
  <c r="P100" i="47"/>
  <c r="I100" i="47"/>
  <c r="Q100" i="47"/>
  <c r="E101" i="47"/>
  <c r="M101" i="47"/>
  <c r="G101" i="47"/>
  <c r="O101" i="47"/>
  <c r="H101" i="47"/>
  <c r="P101" i="47"/>
  <c r="I101" i="47"/>
  <c r="Q101" i="47"/>
  <c r="E102" i="47"/>
  <c r="M102" i="47"/>
  <c r="G102" i="47"/>
  <c r="O102" i="47"/>
  <c r="H102" i="47"/>
  <c r="P102" i="47"/>
  <c r="I102" i="47"/>
  <c r="Q102" i="47"/>
  <c r="E103" i="47"/>
  <c r="M103" i="47"/>
  <c r="G103" i="47"/>
  <c r="O103" i="47"/>
  <c r="H103" i="47"/>
  <c r="P103" i="47"/>
  <c r="I103" i="47"/>
  <c r="Q103" i="47"/>
  <c r="E104" i="47"/>
  <c r="M104" i="47"/>
  <c r="G104" i="47"/>
  <c r="O104" i="47"/>
  <c r="H104" i="47"/>
  <c r="P104" i="47"/>
  <c r="I104" i="47"/>
  <c r="Q104" i="47"/>
  <c r="E105" i="47"/>
  <c r="M105" i="47"/>
  <c r="G105" i="47"/>
  <c r="O105" i="47"/>
  <c r="H105" i="47"/>
  <c r="P105" i="47"/>
  <c r="I105" i="47"/>
  <c r="Q105" i="47"/>
  <c r="E106" i="47"/>
  <c r="M106" i="47"/>
  <c r="G106" i="47"/>
  <c r="O106" i="47"/>
  <c r="H106" i="47"/>
  <c r="P106" i="47"/>
  <c r="I106" i="47"/>
  <c r="Q106" i="47"/>
  <c r="E107" i="47"/>
  <c r="M107" i="47"/>
  <c r="G107" i="47"/>
  <c r="O107" i="47"/>
  <c r="H107" i="47"/>
  <c r="P107" i="47"/>
  <c r="I107" i="47"/>
  <c r="Q107" i="47"/>
  <c r="E108" i="47"/>
  <c r="M108" i="47"/>
  <c r="G108" i="47"/>
  <c r="O108" i="47"/>
  <c r="H108" i="47"/>
  <c r="P108" i="47"/>
  <c r="I108" i="47"/>
  <c r="Q108" i="47"/>
  <c r="E109" i="47"/>
  <c r="M109" i="47"/>
  <c r="G109" i="47"/>
  <c r="O109" i="47"/>
  <c r="H109" i="47"/>
  <c r="P109" i="47"/>
  <c r="I109" i="47"/>
  <c r="Q109" i="47"/>
  <c r="M110" i="47"/>
  <c r="G110" i="47"/>
  <c r="O110" i="47"/>
  <c r="H110" i="47"/>
  <c r="P110" i="47"/>
  <c r="I110" i="47"/>
  <c r="Q110" i="47"/>
  <c r="M111" i="47"/>
  <c r="G111" i="47"/>
  <c r="O111" i="47"/>
  <c r="H111" i="47"/>
  <c r="P111" i="47"/>
  <c r="I111" i="47"/>
  <c r="Q111" i="47"/>
  <c r="M112" i="47"/>
  <c r="G112" i="47"/>
  <c r="O112" i="47"/>
  <c r="H112" i="47"/>
  <c r="P112" i="47"/>
  <c r="I112" i="47"/>
  <c r="Q112" i="47"/>
  <c r="M113" i="47"/>
  <c r="G113" i="47"/>
  <c r="O113" i="47"/>
  <c r="H113" i="47"/>
  <c r="P113" i="47"/>
  <c r="I113" i="47"/>
  <c r="Q113" i="47"/>
  <c r="M114" i="47"/>
  <c r="G114" i="47"/>
  <c r="O114" i="47"/>
  <c r="H114" i="47"/>
  <c r="P114" i="47"/>
  <c r="I114" i="47"/>
  <c r="Q114" i="47"/>
  <c r="M115" i="47"/>
  <c r="G115" i="47"/>
  <c r="O115" i="47"/>
  <c r="H115" i="47"/>
  <c r="P115" i="47"/>
  <c r="I115" i="47"/>
  <c r="Q115" i="47"/>
  <c r="M116" i="47"/>
  <c r="G116" i="47"/>
  <c r="O116" i="47"/>
  <c r="H116" i="47"/>
  <c r="P116" i="47"/>
  <c r="I116" i="47"/>
  <c r="Q116" i="47"/>
  <c r="M117" i="47"/>
  <c r="G117" i="47"/>
  <c r="O117" i="47"/>
  <c r="H117" i="47"/>
  <c r="P117" i="47"/>
  <c r="I117" i="47"/>
  <c r="Q117" i="47"/>
  <c r="M118" i="47"/>
  <c r="G118" i="47"/>
  <c r="O118" i="47"/>
  <c r="H118" i="47"/>
  <c r="P118" i="47"/>
  <c r="I118" i="47"/>
  <c r="Q118" i="47"/>
  <c r="M119" i="47"/>
  <c r="G119" i="47"/>
  <c r="O119" i="47"/>
  <c r="H119" i="47"/>
  <c r="P119" i="47"/>
  <c r="I119" i="47"/>
  <c r="Q119" i="47"/>
  <c r="M120" i="47"/>
  <c r="G120" i="47"/>
  <c r="O120" i="47"/>
  <c r="H120" i="47"/>
  <c r="P120" i="47"/>
  <c r="I120" i="47"/>
  <c r="Q120" i="47"/>
  <c r="M121" i="47"/>
  <c r="G121" i="47"/>
  <c r="O121" i="47"/>
  <c r="H121" i="47"/>
  <c r="P121" i="47"/>
  <c r="I121" i="47"/>
  <c r="Q121" i="47"/>
  <c r="M122" i="47"/>
  <c r="G122" i="47"/>
  <c r="O122" i="47"/>
  <c r="H122" i="47"/>
  <c r="P122" i="47"/>
  <c r="I122" i="47"/>
  <c r="Q122" i="47"/>
  <c r="M123" i="47"/>
  <c r="G123" i="47"/>
  <c r="O123" i="47"/>
  <c r="H123" i="47"/>
  <c r="P123" i="47"/>
  <c r="I123" i="47"/>
  <c r="Q123" i="47"/>
  <c r="M124" i="47"/>
  <c r="G124" i="47"/>
  <c r="O124" i="47"/>
  <c r="H124" i="47"/>
  <c r="P124" i="47"/>
  <c r="I124" i="47"/>
  <c r="Q124" i="47"/>
  <c r="M125" i="47"/>
  <c r="G125" i="47"/>
  <c r="O125" i="47"/>
  <c r="H125" i="47"/>
  <c r="P125" i="47"/>
  <c r="I125" i="47"/>
  <c r="Q125" i="47"/>
  <c r="M126" i="47"/>
  <c r="G126" i="47"/>
  <c r="O126" i="47"/>
  <c r="H126" i="47"/>
  <c r="P126" i="47"/>
  <c r="I126" i="47"/>
  <c r="Q126" i="47"/>
  <c r="M127" i="47"/>
  <c r="G127" i="47"/>
  <c r="O127" i="47"/>
  <c r="H127" i="47"/>
  <c r="P127" i="47"/>
  <c r="I127" i="47"/>
  <c r="Q127" i="47"/>
  <c r="M128" i="47"/>
  <c r="G128" i="47"/>
  <c r="O128" i="47"/>
  <c r="H128" i="47"/>
  <c r="P128" i="47"/>
  <c r="I128" i="47"/>
  <c r="Q128" i="47"/>
  <c r="M129" i="47"/>
  <c r="G129" i="47"/>
  <c r="O129" i="47"/>
  <c r="H129" i="47"/>
  <c r="P129" i="47"/>
  <c r="I129" i="47"/>
  <c r="Q129" i="47"/>
  <c r="M130" i="47"/>
  <c r="G130" i="47"/>
  <c r="O130" i="47"/>
  <c r="H130" i="47"/>
  <c r="P130" i="47"/>
  <c r="I130" i="47"/>
  <c r="Q130" i="47"/>
  <c r="M131" i="47"/>
  <c r="G131" i="47"/>
  <c r="O131" i="47"/>
  <c r="H131" i="47"/>
  <c r="P131" i="47"/>
  <c r="I131" i="47"/>
  <c r="Q131" i="47"/>
  <c r="M132" i="47"/>
  <c r="G132" i="47"/>
  <c r="O132" i="47"/>
  <c r="H132" i="47"/>
  <c r="P132" i="47"/>
  <c r="I132" i="47"/>
  <c r="Q132" i="47"/>
  <c r="M133" i="47"/>
  <c r="G133" i="47"/>
  <c r="O133" i="47"/>
  <c r="H133" i="47"/>
  <c r="P133" i="47"/>
  <c r="I133" i="47"/>
  <c r="Q133" i="47"/>
  <c r="A2" i="47"/>
  <c r="B2" i="47"/>
  <c r="A3" i="47"/>
  <c r="B3" i="47"/>
  <c r="A4" i="47"/>
  <c r="B4" i="47"/>
  <c r="A5" i="47"/>
  <c r="B5" i="47"/>
  <c r="A6" i="47"/>
  <c r="B6" i="47"/>
  <c r="A7" i="47"/>
  <c r="B7" i="47"/>
  <c r="A8" i="47"/>
  <c r="B8" i="47"/>
  <c r="A9" i="47"/>
  <c r="B9" i="47"/>
  <c r="A10" i="47"/>
  <c r="B10" i="47"/>
  <c r="A11" i="47"/>
  <c r="B11" i="47"/>
  <c r="A12" i="47"/>
  <c r="B12" i="47"/>
  <c r="A13" i="47"/>
  <c r="B13" i="47"/>
  <c r="A14" i="47"/>
  <c r="B14" i="47"/>
  <c r="A15" i="47"/>
  <c r="B15" i="47"/>
  <c r="A16" i="47"/>
  <c r="B16" i="47"/>
  <c r="A17" i="47"/>
  <c r="B17" i="47"/>
  <c r="A18" i="47"/>
  <c r="B18" i="47"/>
  <c r="A19" i="47"/>
  <c r="B19" i="47"/>
  <c r="A20" i="47"/>
  <c r="B20" i="47"/>
  <c r="A21" i="47"/>
  <c r="B21" i="47"/>
  <c r="A22" i="47"/>
  <c r="B22" i="47"/>
  <c r="A23" i="47"/>
  <c r="B23" i="47"/>
  <c r="A24" i="47"/>
  <c r="B24" i="47"/>
  <c r="A25" i="47"/>
  <c r="B25" i="47"/>
  <c r="A26" i="47"/>
  <c r="B26" i="47"/>
  <c r="A27" i="47"/>
  <c r="B27" i="47"/>
  <c r="A28" i="47"/>
  <c r="B28" i="47"/>
  <c r="A29" i="47"/>
  <c r="B29" i="47"/>
  <c r="A30" i="47"/>
  <c r="B30" i="47"/>
  <c r="A31" i="47"/>
  <c r="B31" i="47"/>
  <c r="A32" i="47"/>
  <c r="B32" i="47"/>
  <c r="A33" i="47"/>
  <c r="B33" i="47"/>
  <c r="A34" i="47"/>
  <c r="B34" i="47"/>
  <c r="A35" i="47"/>
  <c r="B35" i="47"/>
  <c r="A36" i="47"/>
  <c r="B36" i="47"/>
  <c r="A37" i="47"/>
  <c r="B37" i="47"/>
  <c r="A38" i="47"/>
  <c r="B38" i="47"/>
  <c r="A39" i="47"/>
  <c r="B39" i="47"/>
  <c r="A40" i="47"/>
  <c r="B40" i="47"/>
  <c r="A41" i="47"/>
  <c r="B41" i="47"/>
  <c r="A42" i="47"/>
  <c r="B42" i="47"/>
  <c r="A43" i="47"/>
  <c r="B43" i="47"/>
  <c r="A44" i="47"/>
  <c r="B44" i="47"/>
  <c r="A45" i="47"/>
  <c r="B45" i="47"/>
  <c r="A46" i="47"/>
  <c r="B46" i="47"/>
  <c r="A47" i="47"/>
  <c r="B47" i="47"/>
  <c r="A48" i="47"/>
  <c r="B48" i="47"/>
  <c r="A49" i="47"/>
  <c r="B49" i="47"/>
  <c r="A50" i="47"/>
  <c r="B50" i="47"/>
  <c r="A51" i="47"/>
  <c r="B51" i="47"/>
  <c r="A52" i="47"/>
  <c r="B52" i="47"/>
  <c r="A53" i="47"/>
  <c r="B53" i="47"/>
  <c r="A54" i="47"/>
  <c r="B54" i="47"/>
  <c r="A55" i="47"/>
  <c r="B55" i="47"/>
  <c r="A56" i="47"/>
  <c r="B56" i="47"/>
  <c r="A57" i="47"/>
  <c r="B57" i="47"/>
  <c r="A58" i="47"/>
  <c r="B58" i="47"/>
  <c r="A59" i="47"/>
  <c r="B59" i="47"/>
  <c r="A60" i="47"/>
  <c r="B60" i="47"/>
  <c r="A61" i="47"/>
  <c r="B61" i="47"/>
  <c r="A62" i="47"/>
  <c r="B62" i="47"/>
  <c r="A63" i="47"/>
  <c r="B63" i="47"/>
  <c r="A64" i="47"/>
  <c r="B64" i="47"/>
  <c r="A65" i="47"/>
  <c r="B65" i="47"/>
  <c r="A66" i="47"/>
  <c r="B66" i="47"/>
  <c r="A67" i="47"/>
  <c r="B67" i="47"/>
  <c r="A68" i="47"/>
  <c r="B68" i="47"/>
  <c r="A69" i="47"/>
  <c r="B69" i="47"/>
  <c r="A70" i="47"/>
  <c r="B70" i="47"/>
  <c r="A71" i="47"/>
  <c r="B71" i="47"/>
  <c r="A72" i="47"/>
  <c r="B72" i="47"/>
  <c r="A73" i="47"/>
  <c r="B73" i="47"/>
  <c r="A74" i="47"/>
  <c r="B74" i="47"/>
  <c r="A75" i="47"/>
  <c r="B75" i="47"/>
  <c r="A76" i="47"/>
  <c r="B76" i="47"/>
  <c r="A77" i="47"/>
  <c r="B77" i="47"/>
  <c r="A78" i="47"/>
  <c r="B78" i="47"/>
  <c r="A79" i="47"/>
  <c r="B79" i="47"/>
  <c r="A80" i="47"/>
  <c r="B80" i="47"/>
  <c r="A81" i="47"/>
  <c r="B81" i="47"/>
  <c r="A82" i="47"/>
  <c r="B82" i="47"/>
  <c r="A83" i="47"/>
  <c r="B83" i="47"/>
  <c r="A84" i="47"/>
  <c r="B84" i="47"/>
  <c r="A85" i="47"/>
  <c r="B85" i="47"/>
  <c r="A86" i="47"/>
  <c r="B86" i="47"/>
  <c r="A87" i="47"/>
  <c r="B87" i="47"/>
  <c r="A88" i="47"/>
  <c r="B88" i="47"/>
  <c r="A89" i="47"/>
  <c r="B89" i="47"/>
  <c r="A90" i="47"/>
  <c r="B90" i="47"/>
  <c r="A91" i="47"/>
  <c r="B91" i="47"/>
  <c r="A92" i="47"/>
  <c r="B92" i="47"/>
  <c r="A93" i="47"/>
  <c r="B93" i="47"/>
  <c r="A94" i="47"/>
  <c r="B94" i="47"/>
  <c r="A95" i="47"/>
  <c r="B95" i="47"/>
  <c r="A96" i="47"/>
  <c r="B96" i="47"/>
  <c r="A97" i="47"/>
  <c r="B97" i="47"/>
  <c r="E2" i="26"/>
  <c r="M2" i="26"/>
  <c r="G2" i="26"/>
  <c r="O2" i="26"/>
  <c r="H2" i="26"/>
  <c r="P2" i="26"/>
  <c r="I2" i="26"/>
  <c r="Q2" i="26"/>
  <c r="E3" i="26"/>
  <c r="M3" i="26"/>
  <c r="G3" i="26"/>
  <c r="O3" i="26"/>
  <c r="H3" i="26"/>
  <c r="P3" i="26"/>
  <c r="I3" i="26"/>
  <c r="Q3" i="26"/>
  <c r="E4" i="26"/>
  <c r="M4" i="26"/>
  <c r="G4" i="26"/>
  <c r="O4" i="26"/>
  <c r="H4" i="26"/>
  <c r="P4" i="26"/>
  <c r="I4" i="26"/>
  <c r="Q4" i="26"/>
  <c r="E5" i="26"/>
  <c r="M5" i="26"/>
  <c r="G5" i="26"/>
  <c r="O5" i="26"/>
  <c r="H5" i="26"/>
  <c r="P5" i="26"/>
  <c r="I5" i="26"/>
  <c r="Q5" i="26"/>
  <c r="E6" i="26"/>
  <c r="M6" i="26"/>
  <c r="G6" i="26"/>
  <c r="O6" i="26"/>
  <c r="H6" i="26"/>
  <c r="P6" i="26"/>
  <c r="I6" i="26"/>
  <c r="Q6" i="26"/>
  <c r="E7" i="26"/>
  <c r="M7" i="26"/>
  <c r="G7" i="26"/>
  <c r="O7" i="26"/>
  <c r="H7" i="26"/>
  <c r="P7" i="26"/>
  <c r="I7" i="26"/>
  <c r="Q7" i="26"/>
  <c r="E8" i="26"/>
  <c r="M8" i="26"/>
  <c r="G8" i="26"/>
  <c r="O8" i="26"/>
  <c r="H8" i="26"/>
  <c r="P8" i="26"/>
  <c r="I8" i="26"/>
  <c r="Q8" i="26"/>
  <c r="E9" i="26"/>
  <c r="M9" i="26"/>
  <c r="G9" i="26"/>
  <c r="O9" i="26"/>
  <c r="H9" i="26"/>
  <c r="P9" i="26"/>
  <c r="I9" i="26"/>
  <c r="Q9" i="26"/>
  <c r="E10" i="26"/>
  <c r="M10" i="26"/>
  <c r="G10" i="26"/>
  <c r="O10" i="26"/>
  <c r="H10" i="26"/>
  <c r="P10" i="26"/>
  <c r="I10" i="26"/>
  <c r="Q10" i="26"/>
  <c r="E11" i="26"/>
  <c r="M11" i="26"/>
  <c r="G11" i="26"/>
  <c r="O11" i="26"/>
  <c r="H11" i="26"/>
  <c r="P11" i="26"/>
  <c r="I11" i="26"/>
  <c r="Q11" i="26"/>
  <c r="E12" i="26"/>
  <c r="M12" i="26"/>
  <c r="G12" i="26"/>
  <c r="O12" i="26"/>
  <c r="H12" i="26"/>
  <c r="P12" i="26"/>
  <c r="I12" i="26"/>
  <c r="Q12" i="26"/>
  <c r="E13" i="26"/>
  <c r="M13" i="26"/>
  <c r="G13" i="26"/>
  <c r="O13" i="26"/>
  <c r="H13" i="26"/>
  <c r="P13" i="26"/>
  <c r="I13" i="26"/>
  <c r="Q13" i="26"/>
  <c r="E14" i="26"/>
  <c r="M14" i="26"/>
  <c r="G14" i="26"/>
  <c r="O14" i="26"/>
  <c r="H14" i="26"/>
  <c r="P14" i="26"/>
  <c r="I14" i="26"/>
  <c r="Q14" i="26"/>
  <c r="E15" i="26"/>
  <c r="M15" i="26"/>
  <c r="G15" i="26"/>
  <c r="O15" i="26"/>
  <c r="H15" i="26"/>
  <c r="P15" i="26"/>
  <c r="I15" i="26"/>
  <c r="Q15" i="26"/>
  <c r="E16" i="26"/>
  <c r="M16" i="26"/>
  <c r="G16" i="26"/>
  <c r="O16" i="26"/>
  <c r="H16" i="26"/>
  <c r="P16" i="26"/>
  <c r="I16" i="26"/>
  <c r="Q16" i="26"/>
  <c r="E17" i="26"/>
  <c r="M17" i="26"/>
  <c r="G17" i="26"/>
  <c r="O17" i="26"/>
  <c r="H17" i="26"/>
  <c r="P17" i="26"/>
  <c r="I17" i="26"/>
  <c r="Q17" i="26"/>
  <c r="E18" i="26"/>
  <c r="M18" i="26"/>
  <c r="G18" i="26"/>
  <c r="O18" i="26"/>
  <c r="H18" i="26"/>
  <c r="P18" i="26"/>
  <c r="I18" i="26"/>
  <c r="Q18" i="26"/>
  <c r="E19" i="26"/>
  <c r="M19" i="26"/>
  <c r="G19" i="26"/>
  <c r="O19" i="26"/>
  <c r="H19" i="26"/>
  <c r="P19" i="26"/>
  <c r="I19" i="26"/>
  <c r="Q19" i="26"/>
  <c r="E20" i="26"/>
  <c r="M20" i="26"/>
  <c r="G20" i="26"/>
  <c r="O20" i="26"/>
  <c r="H20" i="26"/>
  <c r="P20" i="26"/>
  <c r="I20" i="26"/>
  <c r="Q20" i="26"/>
  <c r="E21" i="26"/>
  <c r="M21" i="26"/>
  <c r="G21" i="26"/>
  <c r="O21" i="26"/>
  <c r="H21" i="26"/>
  <c r="P21" i="26"/>
  <c r="I21" i="26"/>
  <c r="Q21" i="26"/>
  <c r="E22" i="26"/>
  <c r="M22" i="26"/>
  <c r="G22" i="26"/>
  <c r="O22" i="26"/>
  <c r="H22" i="26"/>
  <c r="P22" i="26"/>
  <c r="I22" i="26"/>
  <c r="Q22" i="26"/>
  <c r="E23" i="26"/>
  <c r="M23" i="26"/>
  <c r="G23" i="26"/>
  <c r="O23" i="26"/>
  <c r="H23" i="26"/>
  <c r="P23" i="26"/>
  <c r="I23" i="26"/>
  <c r="Q23" i="26"/>
  <c r="E24" i="26"/>
  <c r="M24" i="26"/>
  <c r="G24" i="26"/>
  <c r="O24" i="26"/>
  <c r="H24" i="26"/>
  <c r="P24" i="26"/>
  <c r="I24" i="26"/>
  <c r="Q24" i="26"/>
  <c r="E25" i="26"/>
  <c r="M25" i="26"/>
  <c r="G25" i="26"/>
  <c r="O25" i="26"/>
  <c r="H25" i="26"/>
  <c r="P25" i="26"/>
  <c r="I25" i="26"/>
  <c r="Q25" i="26"/>
  <c r="E26" i="26"/>
  <c r="M26" i="26"/>
  <c r="G26" i="26"/>
  <c r="O26" i="26"/>
  <c r="H26" i="26"/>
  <c r="P26" i="26"/>
  <c r="I26" i="26"/>
  <c r="Q26" i="26"/>
  <c r="E27" i="26"/>
  <c r="M27" i="26"/>
  <c r="G27" i="26"/>
  <c r="O27" i="26"/>
  <c r="H27" i="26"/>
  <c r="P27" i="26"/>
  <c r="I27" i="26"/>
  <c r="Q27" i="26"/>
  <c r="E28" i="26"/>
  <c r="M28" i="26"/>
  <c r="G28" i="26"/>
  <c r="O28" i="26"/>
  <c r="H28" i="26"/>
  <c r="P28" i="26"/>
  <c r="I28" i="26"/>
  <c r="Q28" i="26"/>
  <c r="E29" i="26"/>
  <c r="M29" i="26"/>
  <c r="G29" i="26"/>
  <c r="O29" i="26"/>
  <c r="H29" i="26"/>
  <c r="P29" i="26"/>
  <c r="I29" i="26"/>
  <c r="Q29" i="26"/>
  <c r="E30" i="26"/>
  <c r="M30" i="26"/>
  <c r="G30" i="26"/>
  <c r="O30" i="26"/>
  <c r="H30" i="26"/>
  <c r="P30" i="26"/>
  <c r="I30" i="26"/>
  <c r="Q30" i="26"/>
  <c r="E31" i="26"/>
  <c r="M31" i="26"/>
  <c r="G31" i="26"/>
  <c r="O31" i="26"/>
  <c r="H31" i="26"/>
  <c r="P31" i="26"/>
  <c r="I31" i="26"/>
  <c r="Q31" i="26"/>
  <c r="E32" i="26"/>
  <c r="M32" i="26"/>
  <c r="G32" i="26"/>
  <c r="O32" i="26"/>
  <c r="H32" i="26"/>
  <c r="P32" i="26"/>
  <c r="I32" i="26"/>
  <c r="Q32" i="26"/>
  <c r="E33" i="26"/>
  <c r="M33" i="26"/>
  <c r="G33" i="26"/>
  <c r="O33" i="26"/>
  <c r="H33" i="26"/>
  <c r="P33" i="26"/>
  <c r="I33" i="26"/>
  <c r="Q33" i="26"/>
  <c r="E34" i="26"/>
  <c r="M34" i="26"/>
  <c r="G34" i="26"/>
  <c r="O34" i="26"/>
  <c r="H34" i="26"/>
  <c r="P34" i="26"/>
  <c r="I34" i="26"/>
  <c r="Q34" i="26"/>
  <c r="E35" i="26"/>
  <c r="M35" i="26"/>
  <c r="G35" i="26"/>
  <c r="O35" i="26"/>
  <c r="H35" i="26"/>
  <c r="P35" i="26"/>
  <c r="I35" i="26"/>
  <c r="Q35" i="26"/>
  <c r="E36" i="26"/>
  <c r="M36" i="26"/>
  <c r="G36" i="26"/>
  <c r="O36" i="26"/>
  <c r="H36" i="26"/>
  <c r="P36" i="26"/>
  <c r="I36" i="26"/>
  <c r="Q36" i="26"/>
  <c r="E37" i="26"/>
  <c r="M37" i="26"/>
  <c r="G37" i="26"/>
  <c r="O37" i="26"/>
  <c r="H37" i="26"/>
  <c r="P37" i="26"/>
  <c r="I37" i="26"/>
  <c r="Q37" i="26"/>
  <c r="E38" i="26"/>
  <c r="M38" i="26"/>
  <c r="G38" i="26"/>
  <c r="O38" i="26"/>
  <c r="H38" i="26"/>
  <c r="P38" i="26"/>
  <c r="I38" i="26"/>
  <c r="Q38" i="26"/>
  <c r="E39" i="26"/>
  <c r="M39" i="26"/>
  <c r="G39" i="26"/>
  <c r="O39" i="26"/>
  <c r="H39" i="26"/>
  <c r="P39" i="26"/>
  <c r="I39" i="26"/>
  <c r="Q39" i="26"/>
  <c r="E40" i="26"/>
  <c r="M40" i="26"/>
  <c r="G40" i="26"/>
  <c r="O40" i="26"/>
  <c r="H40" i="26"/>
  <c r="P40" i="26"/>
  <c r="I40" i="26"/>
  <c r="Q40" i="26"/>
  <c r="E41" i="26"/>
  <c r="M41" i="26"/>
  <c r="G41" i="26"/>
  <c r="O41" i="26"/>
  <c r="H41" i="26"/>
  <c r="P41" i="26"/>
  <c r="I41" i="26"/>
  <c r="Q41" i="26"/>
  <c r="E42" i="26"/>
  <c r="M42" i="26"/>
  <c r="G42" i="26"/>
  <c r="O42" i="26"/>
  <c r="H42" i="26"/>
  <c r="P42" i="26"/>
  <c r="I42" i="26"/>
  <c r="Q42" i="26"/>
  <c r="E43" i="26"/>
  <c r="M43" i="26"/>
  <c r="G43" i="26"/>
  <c r="O43" i="26"/>
  <c r="H43" i="26"/>
  <c r="P43" i="26"/>
  <c r="I43" i="26"/>
  <c r="Q43" i="26"/>
  <c r="E44" i="26"/>
  <c r="M44" i="26"/>
  <c r="G44" i="26"/>
  <c r="O44" i="26"/>
  <c r="H44" i="26"/>
  <c r="P44" i="26"/>
  <c r="I44" i="26"/>
  <c r="Q44" i="26"/>
  <c r="E45" i="26"/>
  <c r="M45" i="26"/>
  <c r="G45" i="26"/>
  <c r="O45" i="26"/>
  <c r="H45" i="26"/>
  <c r="P45" i="26"/>
  <c r="I45" i="26"/>
  <c r="Q45" i="26"/>
  <c r="E46" i="26"/>
  <c r="M46" i="26"/>
  <c r="G46" i="26"/>
  <c r="O46" i="26"/>
  <c r="H46" i="26"/>
  <c r="P46" i="26"/>
  <c r="I46" i="26"/>
  <c r="Q46" i="26"/>
  <c r="E47" i="26"/>
  <c r="M47" i="26"/>
  <c r="G47" i="26"/>
  <c r="O47" i="26"/>
  <c r="H47" i="26"/>
  <c r="P47" i="26"/>
  <c r="I47" i="26"/>
  <c r="Q47" i="26"/>
  <c r="E48" i="26"/>
  <c r="M48" i="26"/>
  <c r="G48" i="26"/>
  <c r="O48" i="26"/>
  <c r="H48" i="26"/>
  <c r="P48" i="26"/>
  <c r="I48" i="26"/>
  <c r="Q48" i="26"/>
  <c r="E49" i="26"/>
  <c r="M49" i="26"/>
  <c r="G49" i="26"/>
  <c r="O49" i="26"/>
  <c r="H49" i="26"/>
  <c r="P49" i="26"/>
  <c r="I49" i="26"/>
  <c r="Q49" i="26"/>
  <c r="E50" i="26"/>
  <c r="M50" i="26"/>
  <c r="G50" i="26"/>
  <c r="O50" i="26"/>
  <c r="H50" i="26"/>
  <c r="P50" i="26"/>
  <c r="I50" i="26"/>
  <c r="Q50" i="26"/>
  <c r="E51" i="26"/>
  <c r="M51" i="26"/>
  <c r="G51" i="26"/>
  <c r="O51" i="26"/>
  <c r="H51" i="26"/>
  <c r="P51" i="26"/>
  <c r="I51" i="26"/>
  <c r="Q51" i="26"/>
  <c r="E52" i="26"/>
  <c r="M52" i="26"/>
  <c r="G52" i="26"/>
  <c r="O52" i="26"/>
  <c r="H52" i="26"/>
  <c r="P52" i="26"/>
  <c r="I52" i="26"/>
  <c r="Q52" i="26"/>
  <c r="E53" i="26"/>
  <c r="M53" i="26"/>
  <c r="G53" i="26"/>
  <c r="O53" i="26"/>
  <c r="H53" i="26"/>
  <c r="P53" i="26"/>
  <c r="I53" i="26"/>
  <c r="Q53" i="26"/>
  <c r="E54" i="26"/>
  <c r="M54" i="26"/>
  <c r="G54" i="26"/>
  <c r="O54" i="26"/>
  <c r="H54" i="26"/>
  <c r="P54" i="26"/>
  <c r="I54" i="26"/>
  <c r="Q54" i="26"/>
  <c r="E55" i="26"/>
  <c r="M55" i="26"/>
  <c r="G55" i="26"/>
  <c r="O55" i="26"/>
  <c r="H55" i="26"/>
  <c r="P55" i="26"/>
  <c r="I55" i="26"/>
  <c r="Q55" i="26"/>
  <c r="E56" i="26"/>
  <c r="M56" i="26"/>
  <c r="G56" i="26"/>
  <c r="O56" i="26"/>
  <c r="H56" i="26"/>
  <c r="P56" i="26"/>
  <c r="I56" i="26"/>
  <c r="Q56" i="26"/>
  <c r="E57" i="26"/>
  <c r="M57" i="26"/>
  <c r="G57" i="26"/>
  <c r="O57" i="26"/>
  <c r="H57" i="26"/>
  <c r="P57" i="26"/>
  <c r="I57" i="26"/>
  <c r="Q57" i="26"/>
  <c r="E58" i="26"/>
  <c r="M58" i="26"/>
  <c r="G58" i="26"/>
  <c r="O58" i="26"/>
  <c r="H58" i="26"/>
  <c r="P58" i="26"/>
  <c r="I58" i="26"/>
  <c r="Q58" i="26"/>
  <c r="E59" i="26"/>
  <c r="M59" i="26"/>
  <c r="G59" i="26"/>
  <c r="O59" i="26"/>
  <c r="H59" i="26"/>
  <c r="P59" i="26"/>
  <c r="I59" i="26"/>
  <c r="Q59" i="26"/>
  <c r="E60" i="26"/>
  <c r="M60" i="26"/>
  <c r="G60" i="26"/>
  <c r="O60" i="26"/>
  <c r="H60" i="26"/>
  <c r="P60" i="26"/>
  <c r="I60" i="26"/>
  <c r="Q60" i="26"/>
  <c r="E61" i="26"/>
  <c r="M61" i="26"/>
  <c r="G61" i="26"/>
  <c r="O61" i="26"/>
  <c r="H61" i="26"/>
  <c r="P61" i="26"/>
  <c r="I61" i="26"/>
  <c r="Q61" i="26"/>
  <c r="E62" i="26"/>
  <c r="M62" i="26"/>
  <c r="G62" i="26"/>
  <c r="O62" i="26"/>
  <c r="H62" i="26"/>
  <c r="P62" i="26"/>
  <c r="I62" i="26"/>
  <c r="Q62" i="26"/>
  <c r="E63" i="26"/>
  <c r="M63" i="26"/>
  <c r="G63" i="26"/>
  <c r="O63" i="26"/>
  <c r="H63" i="26"/>
  <c r="P63" i="26"/>
  <c r="I63" i="26"/>
  <c r="Q63" i="26"/>
  <c r="E64" i="26"/>
  <c r="M64" i="26"/>
  <c r="G64" i="26"/>
  <c r="O64" i="26"/>
  <c r="H64" i="26"/>
  <c r="P64" i="26"/>
  <c r="I64" i="26"/>
  <c r="Q64" i="26"/>
  <c r="E65" i="26"/>
  <c r="M65" i="26"/>
  <c r="G65" i="26"/>
  <c r="O65" i="26"/>
  <c r="H65" i="26"/>
  <c r="P65" i="26"/>
  <c r="I65" i="26"/>
  <c r="Q65" i="26"/>
  <c r="E66" i="26"/>
  <c r="M66" i="26"/>
  <c r="G66" i="26"/>
  <c r="O66" i="26"/>
  <c r="H66" i="26"/>
  <c r="P66" i="26"/>
  <c r="I66" i="26"/>
  <c r="Q66" i="26"/>
  <c r="E67" i="26"/>
  <c r="M67" i="26"/>
  <c r="G67" i="26"/>
  <c r="O67" i="26"/>
  <c r="H67" i="26"/>
  <c r="P67" i="26"/>
  <c r="I67" i="26"/>
  <c r="Q67" i="26"/>
  <c r="E68" i="26"/>
  <c r="M68" i="26"/>
  <c r="G68" i="26"/>
  <c r="O68" i="26"/>
  <c r="H68" i="26"/>
  <c r="P68" i="26"/>
  <c r="I68" i="26"/>
  <c r="Q68" i="26"/>
  <c r="E69" i="26"/>
  <c r="M69" i="26"/>
  <c r="G69" i="26"/>
  <c r="O69" i="26"/>
  <c r="H69" i="26"/>
  <c r="P69" i="26"/>
  <c r="I69" i="26"/>
  <c r="Q69" i="26"/>
  <c r="E70" i="26"/>
  <c r="M70" i="26"/>
  <c r="G70" i="26"/>
  <c r="O70" i="26"/>
  <c r="H70" i="26"/>
  <c r="P70" i="26"/>
  <c r="I70" i="26"/>
  <c r="Q70" i="26"/>
  <c r="E71" i="26"/>
  <c r="M71" i="26"/>
  <c r="G71" i="26"/>
  <c r="O71" i="26"/>
  <c r="H71" i="26"/>
  <c r="P71" i="26"/>
  <c r="I71" i="26"/>
  <c r="Q71" i="26"/>
  <c r="E72" i="26"/>
  <c r="M72" i="26"/>
  <c r="G72" i="26"/>
  <c r="O72" i="26"/>
  <c r="H72" i="26"/>
  <c r="P72" i="26"/>
  <c r="I72" i="26"/>
  <c r="Q72" i="26"/>
  <c r="E73" i="26"/>
  <c r="M73" i="26"/>
  <c r="G73" i="26"/>
  <c r="O73" i="26"/>
  <c r="H73" i="26"/>
  <c r="P73" i="26"/>
  <c r="I73" i="26"/>
  <c r="Q73" i="26"/>
  <c r="E74" i="26"/>
  <c r="M74" i="26"/>
  <c r="G74" i="26"/>
  <c r="O74" i="26"/>
  <c r="H74" i="26"/>
  <c r="P74" i="26"/>
  <c r="I74" i="26"/>
  <c r="Q74" i="26"/>
  <c r="E75" i="26"/>
  <c r="M75" i="26"/>
  <c r="G75" i="26"/>
  <c r="O75" i="26"/>
  <c r="H75" i="26"/>
  <c r="P75" i="26"/>
  <c r="I75" i="26"/>
  <c r="Q75" i="26"/>
  <c r="E76" i="26"/>
  <c r="M76" i="26"/>
  <c r="G76" i="26"/>
  <c r="O76" i="26"/>
  <c r="H76" i="26"/>
  <c r="P76" i="26"/>
  <c r="I76" i="26"/>
  <c r="Q76" i="26"/>
  <c r="E77" i="26"/>
  <c r="M77" i="26"/>
  <c r="G77" i="26"/>
  <c r="O77" i="26"/>
  <c r="H77" i="26"/>
  <c r="P77" i="26"/>
  <c r="I77" i="26"/>
  <c r="Q77" i="26"/>
  <c r="E78" i="26"/>
  <c r="M78" i="26"/>
  <c r="G78" i="26"/>
  <c r="O78" i="26"/>
  <c r="H78" i="26"/>
  <c r="P78" i="26"/>
  <c r="I78" i="26"/>
  <c r="Q78" i="26"/>
  <c r="E79" i="26"/>
  <c r="M79" i="26"/>
  <c r="G79" i="26"/>
  <c r="O79" i="26"/>
  <c r="H79" i="26"/>
  <c r="P79" i="26"/>
  <c r="I79" i="26"/>
  <c r="Q79" i="26"/>
  <c r="E80" i="26"/>
  <c r="M80" i="26"/>
  <c r="G80" i="26"/>
  <c r="O80" i="26"/>
  <c r="H80" i="26"/>
  <c r="P80" i="26"/>
  <c r="I80" i="26"/>
  <c r="Q80" i="26"/>
  <c r="E81" i="26"/>
  <c r="M81" i="26"/>
  <c r="G81" i="26"/>
  <c r="O81" i="26"/>
  <c r="H81" i="26"/>
  <c r="P81" i="26"/>
  <c r="I81" i="26"/>
  <c r="Q81" i="26"/>
  <c r="E82" i="26"/>
  <c r="M82" i="26"/>
  <c r="G82" i="26"/>
  <c r="O82" i="26"/>
  <c r="H82" i="26"/>
  <c r="P82" i="26"/>
  <c r="I82" i="26"/>
  <c r="Q82" i="26"/>
  <c r="E83" i="26"/>
  <c r="M83" i="26"/>
  <c r="G83" i="26"/>
  <c r="O83" i="26"/>
  <c r="H83" i="26"/>
  <c r="P83" i="26"/>
  <c r="I83" i="26"/>
  <c r="Q83" i="26"/>
  <c r="E84" i="26"/>
  <c r="M84" i="26"/>
  <c r="G84" i="26"/>
  <c r="O84" i="26"/>
  <c r="H84" i="26"/>
  <c r="P84" i="26"/>
  <c r="I84" i="26"/>
  <c r="Q84" i="26"/>
  <c r="E85" i="26"/>
  <c r="M85" i="26"/>
  <c r="G85" i="26"/>
  <c r="O85" i="26"/>
  <c r="H85" i="26"/>
  <c r="P85" i="26"/>
  <c r="I85" i="26"/>
  <c r="Q85" i="26"/>
  <c r="E86" i="26"/>
  <c r="M86" i="26"/>
  <c r="O86" i="26"/>
  <c r="P86" i="26"/>
  <c r="Q86" i="26"/>
  <c r="E87" i="26"/>
  <c r="M87" i="26"/>
  <c r="O87" i="26"/>
  <c r="P87" i="26"/>
  <c r="Q87" i="26"/>
  <c r="E88" i="26"/>
  <c r="M88" i="26"/>
  <c r="O88" i="26"/>
  <c r="P88" i="26"/>
  <c r="Q88" i="26"/>
  <c r="E89" i="26"/>
  <c r="M89" i="26"/>
  <c r="O89" i="26"/>
  <c r="P89" i="26"/>
  <c r="Q89" i="26"/>
  <c r="E90" i="26"/>
  <c r="M90" i="26"/>
  <c r="O90" i="26"/>
  <c r="P90" i="26"/>
  <c r="Q90" i="26"/>
  <c r="E91" i="26"/>
  <c r="M91" i="26"/>
  <c r="O91" i="26"/>
  <c r="P91" i="26"/>
  <c r="Q91" i="26"/>
  <c r="E92" i="26"/>
  <c r="M92" i="26"/>
  <c r="O92" i="26"/>
  <c r="P92" i="26"/>
  <c r="Q92" i="26"/>
  <c r="E93" i="26"/>
  <c r="M93" i="26"/>
  <c r="O93" i="26"/>
  <c r="P93" i="26"/>
  <c r="Q93" i="26"/>
  <c r="E94" i="26"/>
  <c r="M94" i="26"/>
  <c r="O94" i="26"/>
  <c r="P94" i="26"/>
  <c r="Q94" i="26"/>
  <c r="E95" i="26"/>
  <c r="M95" i="26"/>
  <c r="O95" i="26"/>
  <c r="P95" i="26"/>
  <c r="Q95" i="26"/>
  <c r="E96" i="26"/>
  <c r="M96" i="26"/>
  <c r="O96" i="26"/>
  <c r="P96" i="26"/>
  <c r="Q96" i="26"/>
  <c r="E97" i="26"/>
  <c r="M97" i="26"/>
  <c r="O97" i="26"/>
  <c r="P97" i="26"/>
  <c r="Q97" i="26"/>
  <c r="E98" i="26"/>
  <c r="M98" i="26"/>
  <c r="G98" i="26"/>
  <c r="O98" i="26"/>
  <c r="H98" i="26"/>
  <c r="P98" i="26"/>
  <c r="I98" i="26"/>
  <c r="Q98" i="26"/>
  <c r="E99" i="26"/>
  <c r="M99" i="26"/>
  <c r="G99" i="26"/>
  <c r="O99" i="26"/>
  <c r="H99" i="26"/>
  <c r="P99" i="26"/>
  <c r="I99" i="26"/>
  <c r="Q99" i="26"/>
  <c r="E100" i="26"/>
  <c r="M100" i="26"/>
  <c r="G100" i="26"/>
  <c r="O100" i="26"/>
  <c r="H100" i="26"/>
  <c r="P100" i="26"/>
  <c r="I100" i="26"/>
  <c r="Q100" i="26"/>
  <c r="E101" i="26"/>
  <c r="M101" i="26"/>
  <c r="G101" i="26"/>
  <c r="O101" i="26"/>
  <c r="H101" i="26"/>
  <c r="P101" i="26"/>
  <c r="I101" i="26"/>
  <c r="Q101" i="26"/>
  <c r="E102" i="26"/>
  <c r="M102" i="26"/>
  <c r="G102" i="26"/>
  <c r="O102" i="26"/>
  <c r="H102" i="26"/>
  <c r="P102" i="26"/>
  <c r="I102" i="26"/>
  <c r="Q102" i="26"/>
  <c r="E103" i="26"/>
  <c r="M103" i="26"/>
  <c r="G103" i="26"/>
  <c r="O103" i="26"/>
  <c r="H103" i="26"/>
  <c r="P103" i="26"/>
  <c r="I103" i="26"/>
  <c r="Q103" i="26"/>
  <c r="E104" i="26"/>
  <c r="M104" i="26"/>
  <c r="G104" i="26"/>
  <c r="O104" i="26"/>
  <c r="H104" i="26"/>
  <c r="P104" i="26"/>
  <c r="I104" i="26"/>
  <c r="Q104" i="26"/>
  <c r="E105" i="26"/>
  <c r="M105" i="26"/>
  <c r="G105" i="26"/>
  <c r="O105" i="26"/>
  <c r="H105" i="26"/>
  <c r="P105" i="26"/>
  <c r="I105" i="26"/>
  <c r="Q105" i="26"/>
  <c r="E106" i="26"/>
  <c r="M106" i="26"/>
  <c r="G106" i="26"/>
  <c r="O106" i="26"/>
  <c r="H106" i="26"/>
  <c r="P106" i="26"/>
  <c r="I106" i="26"/>
  <c r="Q106" i="26"/>
  <c r="E107" i="26"/>
  <c r="M107" i="26"/>
  <c r="G107" i="26"/>
  <c r="O107" i="26"/>
  <c r="H107" i="26"/>
  <c r="P107" i="26"/>
  <c r="I107" i="26"/>
  <c r="Q107" i="26"/>
  <c r="E108" i="26"/>
  <c r="M108" i="26"/>
  <c r="G108" i="26"/>
  <c r="O108" i="26"/>
  <c r="H108" i="26"/>
  <c r="P108" i="26"/>
  <c r="I108" i="26"/>
  <c r="Q108" i="26"/>
  <c r="E109" i="26"/>
  <c r="M109" i="26"/>
  <c r="G109" i="26"/>
  <c r="O109" i="26"/>
  <c r="H109" i="26"/>
  <c r="P109" i="26"/>
  <c r="I109" i="26"/>
  <c r="Q109" i="26"/>
  <c r="M110" i="26"/>
  <c r="G110" i="26"/>
  <c r="O110" i="26"/>
  <c r="H110" i="26"/>
  <c r="P110" i="26"/>
  <c r="I110" i="26"/>
  <c r="Q110" i="26"/>
  <c r="M111" i="26"/>
  <c r="G111" i="26"/>
  <c r="O111" i="26"/>
  <c r="H111" i="26"/>
  <c r="P111" i="26"/>
  <c r="I111" i="26"/>
  <c r="Q111" i="26"/>
  <c r="M112" i="26"/>
  <c r="G112" i="26"/>
  <c r="O112" i="26"/>
  <c r="H112" i="26"/>
  <c r="P112" i="26"/>
  <c r="I112" i="26"/>
  <c r="Q112" i="26"/>
  <c r="M113" i="26"/>
  <c r="G113" i="26"/>
  <c r="O113" i="26"/>
  <c r="H113" i="26"/>
  <c r="P113" i="26"/>
  <c r="I113" i="26"/>
  <c r="Q113" i="26"/>
  <c r="M114" i="26"/>
  <c r="G114" i="26"/>
  <c r="O114" i="26"/>
  <c r="H114" i="26"/>
  <c r="P114" i="26"/>
  <c r="I114" i="26"/>
  <c r="Q114" i="26"/>
  <c r="M115" i="26"/>
  <c r="G115" i="26"/>
  <c r="O115" i="26"/>
  <c r="H115" i="26"/>
  <c r="P115" i="26"/>
  <c r="I115" i="26"/>
  <c r="Q115" i="26"/>
  <c r="M116" i="26"/>
  <c r="G116" i="26"/>
  <c r="O116" i="26"/>
  <c r="H116" i="26"/>
  <c r="P116" i="26"/>
  <c r="I116" i="26"/>
  <c r="Q116" i="26"/>
  <c r="M117" i="26"/>
  <c r="G117" i="26"/>
  <c r="O117" i="26"/>
  <c r="H117" i="26"/>
  <c r="P117" i="26"/>
  <c r="I117" i="26"/>
  <c r="Q117" i="26"/>
  <c r="M118" i="26"/>
  <c r="G118" i="26"/>
  <c r="O118" i="26"/>
  <c r="H118" i="26"/>
  <c r="P118" i="26"/>
  <c r="I118" i="26"/>
  <c r="Q118" i="26"/>
  <c r="M119" i="26"/>
  <c r="G119" i="26"/>
  <c r="O119" i="26"/>
  <c r="H119" i="26"/>
  <c r="P119" i="26"/>
  <c r="I119" i="26"/>
  <c r="Q119" i="26"/>
  <c r="M120" i="26"/>
  <c r="G120" i="26"/>
  <c r="O120" i="26"/>
  <c r="H120" i="26"/>
  <c r="P120" i="26"/>
  <c r="I120" i="26"/>
  <c r="Q120" i="26"/>
  <c r="M121" i="26"/>
  <c r="G121" i="26"/>
  <c r="O121" i="26"/>
  <c r="H121" i="26"/>
  <c r="P121" i="26"/>
  <c r="I121" i="26"/>
  <c r="Q121" i="26"/>
  <c r="M122" i="26"/>
  <c r="G122" i="26"/>
  <c r="O122" i="26"/>
  <c r="H122" i="26"/>
  <c r="P122" i="26"/>
  <c r="I122" i="26"/>
  <c r="Q122" i="26"/>
  <c r="M123" i="26"/>
  <c r="G123" i="26"/>
  <c r="O123" i="26"/>
  <c r="H123" i="26"/>
  <c r="P123" i="26"/>
  <c r="I123" i="26"/>
  <c r="Q123" i="26"/>
  <c r="M124" i="26"/>
  <c r="G124" i="26"/>
  <c r="O124" i="26"/>
  <c r="H124" i="26"/>
  <c r="P124" i="26"/>
  <c r="I124" i="26"/>
  <c r="Q124" i="26"/>
  <c r="M125" i="26"/>
  <c r="G125" i="26"/>
  <c r="O125" i="26"/>
  <c r="H125" i="26"/>
  <c r="P125" i="26"/>
  <c r="I125" i="26"/>
  <c r="Q125" i="26"/>
  <c r="M126" i="26"/>
  <c r="G126" i="26"/>
  <c r="O126" i="26"/>
  <c r="H126" i="26"/>
  <c r="P126" i="26"/>
  <c r="I126" i="26"/>
  <c r="Q126" i="26"/>
  <c r="M127" i="26"/>
  <c r="G127" i="26"/>
  <c r="O127" i="26"/>
  <c r="H127" i="26"/>
  <c r="P127" i="26"/>
  <c r="I127" i="26"/>
  <c r="Q127" i="26"/>
  <c r="M128" i="26"/>
  <c r="G128" i="26"/>
  <c r="O128" i="26"/>
  <c r="H128" i="26"/>
  <c r="P128" i="26"/>
  <c r="I128" i="26"/>
  <c r="Q128" i="26"/>
  <c r="M129" i="26"/>
  <c r="G129" i="26"/>
  <c r="O129" i="26"/>
  <c r="H129" i="26"/>
  <c r="P129" i="26"/>
  <c r="I129" i="26"/>
  <c r="Q129" i="26"/>
  <c r="M130" i="26"/>
  <c r="G130" i="26"/>
  <c r="O130" i="26"/>
  <c r="H130" i="26"/>
  <c r="P130" i="26"/>
  <c r="I130" i="26"/>
  <c r="Q130" i="26"/>
  <c r="M131" i="26"/>
  <c r="G131" i="26"/>
  <c r="O131" i="26"/>
  <c r="H131" i="26"/>
  <c r="P131" i="26"/>
  <c r="I131" i="26"/>
  <c r="Q131" i="26"/>
  <c r="M132" i="26"/>
  <c r="G132" i="26"/>
  <c r="O132" i="26"/>
  <c r="H132" i="26"/>
  <c r="P132" i="26"/>
  <c r="I132" i="26"/>
  <c r="Q132" i="26"/>
  <c r="M133" i="26"/>
  <c r="G133" i="26"/>
  <c r="O133" i="26"/>
  <c r="H133" i="26"/>
  <c r="P133" i="26"/>
  <c r="I133" i="26"/>
  <c r="Q133" i="26"/>
  <c r="F2" i="24"/>
  <c r="S2" i="24"/>
  <c r="H2" i="24"/>
  <c r="U2" i="24"/>
  <c r="I2" i="24"/>
  <c r="V2" i="24"/>
  <c r="J2" i="24"/>
  <c r="W2" i="24"/>
  <c r="K2" i="24"/>
  <c r="X2" i="24"/>
  <c r="M2" i="24"/>
  <c r="Z2" i="24"/>
  <c r="N2" i="24"/>
  <c r="AA2" i="24"/>
  <c r="F3" i="24"/>
  <c r="S3" i="24"/>
  <c r="H3" i="24"/>
  <c r="U3" i="24"/>
  <c r="I3" i="24"/>
  <c r="V3" i="24"/>
  <c r="J3" i="24"/>
  <c r="W3" i="24"/>
  <c r="K3" i="24"/>
  <c r="X3" i="24"/>
  <c r="M3" i="24"/>
  <c r="Z3" i="24"/>
  <c r="N3" i="24"/>
  <c r="AA3" i="24"/>
  <c r="F4" i="24"/>
  <c r="S4" i="24"/>
  <c r="H4" i="24"/>
  <c r="U4" i="24"/>
  <c r="I4" i="24"/>
  <c r="V4" i="24"/>
  <c r="J4" i="24"/>
  <c r="W4" i="24"/>
  <c r="K4" i="24"/>
  <c r="X4" i="24"/>
  <c r="M4" i="24"/>
  <c r="Z4" i="24"/>
  <c r="N4" i="24"/>
  <c r="AA4" i="24"/>
  <c r="F5" i="24"/>
  <c r="S5" i="24"/>
  <c r="H5" i="24"/>
  <c r="U5" i="24"/>
  <c r="I5" i="24"/>
  <c r="V5" i="24"/>
  <c r="J5" i="24"/>
  <c r="W5" i="24"/>
  <c r="K5" i="24"/>
  <c r="X5" i="24"/>
  <c r="M5" i="24"/>
  <c r="Z5" i="24"/>
  <c r="N5" i="24"/>
  <c r="AA5" i="24"/>
  <c r="F6" i="24"/>
  <c r="S6" i="24"/>
  <c r="H6" i="24"/>
  <c r="U6" i="24"/>
  <c r="I6" i="24"/>
  <c r="V6" i="24"/>
  <c r="J6" i="24"/>
  <c r="W6" i="24"/>
  <c r="K6" i="24"/>
  <c r="X6" i="24"/>
  <c r="M6" i="24"/>
  <c r="Z6" i="24"/>
  <c r="N6" i="24"/>
  <c r="AA6" i="24"/>
  <c r="F7" i="24"/>
  <c r="S7" i="24"/>
  <c r="H7" i="24"/>
  <c r="U7" i="24"/>
  <c r="I7" i="24"/>
  <c r="V7" i="24"/>
  <c r="J7" i="24"/>
  <c r="W7" i="24"/>
  <c r="K7" i="24"/>
  <c r="X7" i="24"/>
  <c r="M7" i="24"/>
  <c r="Z7" i="24"/>
  <c r="N7" i="24"/>
  <c r="AA7" i="24"/>
  <c r="F8" i="24"/>
  <c r="S8" i="24"/>
  <c r="H8" i="24"/>
  <c r="U8" i="24"/>
  <c r="I8" i="24"/>
  <c r="V8" i="24"/>
  <c r="J8" i="24"/>
  <c r="W8" i="24"/>
  <c r="K8" i="24"/>
  <c r="X8" i="24"/>
  <c r="M8" i="24"/>
  <c r="Z8" i="24"/>
  <c r="N8" i="24"/>
  <c r="AA8" i="24"/>
  <c r="F9" i="24"/>
  <c r="S9" i="24"/>
  <c r="H9" i="24"/>
  <c r="U9" i="24"/>
  <c r="I9" i="24"/>
  <c r="V9" i="24"/>
  <c r="J9" i="24"/>
  <c r="W9" i="24"/>
  <c r="K9" i="24"/>
  <c r="X9" i="24"/>
  <c r="M9" i="24"/>
  <c r="Z9" i="24"/>
  <c r="N9" i="24"/>
  <c r="AA9" i="24"/>
  <c r="F10" i="24"/>
  <c r="S10" i="24"/>
  <c r="H10" i="24"/>
  <c r="U10" i="24"/>
  <c r="I10" i="24"/>
  <c r="V10" i="24"/>
  <c r="J10" i="24"/>
  <c r="W10" i="24"/>
  <c r="K10" i="24"/>
  <c r="X10" i="24"/>
  <c r="M10" i="24"/>
  <c r="Z10" i="24"/>
  <c r="N10" i="24"/>
  <c r="AA10" i="24"/>
  <c r="F11" i="24"/>
  <c r="S11" i="24"/>
  <c r="H11" i="24"/>
  <c r="U11" i="24"/>
  <c r="I11" i="24"/>
  <c r="V11" i="24"/>
  <c r="J11" i="24"/>
  <c r="W11" i="24"/>
  <c r="K11" i="24"/>
  <c r="X11" i="24"/>
  <c r="M11" i="24"/>
  <c r="Z11" i="24"/>
  <c r="N11" i="24"/>
  <c r="AA11" i="24"/>
  <c r="F12" i="24"/>
  <c r="S12" i="24"/>
  <c r="H12" i="24"/>
  <c r="U12" i="24"/>
  <c r="I12" i="24"/>
  <c r="V12" i="24"/>
  <c r="J12" i="24"/>
  <c r="W12" i="24"/>
  <c r="K12" i="24"/>
  <c r="X12" i="24"/>
  <c r="M12" i="24"/>
  <c r="Z12" i="24"/>
  <c r="N12" i="24"/>
  <c r="AA12" i="24"/>
  <c r="F13" i="24"/>
  <c r="S13" i="24"/>
  <c r="H13" i="24"/>
  <c r="U13" i="24"/>
  <c r="I13" i="24"/>
  <c r="V13" i="24"/>
  <c r="J13" i="24"/>
  <c r="W13" i="24"/>
  <c r="K13" i="24"/>
  <c r="X13" i="24"/>
  <c r="M13" i="24"/>
  <c r="Z13" i="24"/>
  <c r="N13" i="24"/>
  <c r="AA13" i="24"/>
  <c r="F14" i="24"/>
  <c r="S14" i="24"/>
  <c r="H14" i="24"/>
  <c r="U14" i="24"/>
  <c r="I14" i="24"/>
  <c r="V14" i="24"/>
  <c r="J14" i="24"/>
  <c r="W14" i="24"/>
  <c r="K14" i="24"/>
  <c r="X14" i="24"/>
  <c r="M14" i="24"/>
  <c r="Z14" i="24"/>
  <c r="N14" i="24"/>
  <c r="AA14" i="24"/>
  <c r="F15" i="24"/>
  <c r="S15" i="24"/>
  <c r="H15" i="24"/>
  <c r="U15" i="24"/>
  <c r="I15" i="24"/>
  <c r="V15" i="24"/>
  <c r="J15" i="24"/>
  <c r="W15" i="24"/>
  <c r="K15" i="24"/>
  <c r="X15" i="24"/>
  <c r="M15" i="24"/>
  <c r="Z15" i="24"/>
  <c r="N15" i="24"/>
  <c r="AA15" i="24"/>
  <c r="F16" i="24"/>
  <c r="S16" i="24"/>
  <c r="H16" i="24"/>
  <c r="U16" i="24"/>
  <c r="I16" i="24"/>
  <c r="V16" i="24"/>
  <c r="J16" i="24"/>
  <c r="W16" i="24"/>
  <c r="K16" i="24"/>
  <c r="X16" i="24"/>
  <c r="M16" i="24"/>
  <c r="Z16" i="24"/>
  <c r="N16" i="24"/>
  <c r="AA16" i="24"/>
  <c r="F17" i="24"/>
  <c r="S17" i="24"/>
  <c r="H17" i="24"/>
  <c r="U17" i="24"/>
  <c r="I17" i="24"/>
  <c r="V17" i="24"/>
  <c r="J17" i="24"/>
  <c r="W17" i="24"/>
  <c r="K17" i="24"/>
  <c r="X17" i="24"/>
  <c r="M17" i="24"/>
  <c r="Z17" i="24"/>
  <c r="N17" i="24"/>
  <c r="AA17" i="24"/>
  <c r="F18" i="24"/>
  <c r="S18" i="24"/>
  <c r="H18" i="24"/>
  <c r="U18" i="24"/>
  <c r="I18" i="24"/>
  <c r="V18" i="24"/>
  <c r="J18" i="24"/>
  <c r="W18" i="24"/>
  <c r="K18" i="24"/>
  <c r="X18" i="24"/>
  <c r="M18" i="24"/>
  <c r="Z18" i="24"/>
  <c r="N18" i="24"/>
  <c r="AA18" i="24"/>
  <c r="F19" i="24"/>
  <c r="S19" i="24"/>
  <c r="H19" i="24"/>
  <c r="U19" i="24"/>
  <c r="I19" i="24"/>
  <c r="V19" i="24"/>
  <c r="J19" i="24"/>
  <c r="W19" i="24"/>
  <c r="K19" i="24"/>
  <c r="X19" i="24"/>
  <c r="M19" i="24"/>
  <c r="Z19" i="24"/>
  <c r="N19" i="24"/>
  <c r="AA19" i="24"/>
  <c r="F20" i="24"/>
  <c r="S20" i="24"/>
  <c r="H20" i="24"/>
  <c r="U20" i="24"/>
  <c r="I20" i="24"/>
  <c r="V20" i="24"/>
  <c r="J20" i="24"/>
  <c r="W20" i="24"/>
  <c r="K20" i="24"/>
  <c r="X20" i="24"/>
  <c r="M20" i="24"/>
  <c r="Z20" i="24"/>
  <c r="N20" i="24"/>
  <c r="AA20" i="24"/>
  <c r="F21" i="24"/>
  <c r="S21" i="24"/>
  <c r="H21" i="24"/>
  <c r="U21" i="24"/>
  <c r="I21" i="24"/>
  <c r="V21" i="24"/>
  <c r="J21" i="24"/>
  <c r="W21" i="24"/>
  <c r="K21" i="24"/>
  <c r="X21" i="24"/>
  <c r="M21" i="24"/>
  <c r="Z21" i="24"/>
  <c r="N21" i="24"/>
  <c r="AA21" i="24"/>
  <c r="F22" i="24"/>
  <c r="S22" i="24"/>
  <c r="H22" i="24"/>
  <c r="U22" i="24"/>
  <c r="I22" i="24"/>
  <c r="V22" i="24"/>
  <c r="J22" i="24"/>
  <c r="W22" i="24"/>
  <c r="K22" i="24"/>
  <c r="X22" i="24"/>
  <c r="M22" i="24"/>
  <c r="Z22" i="24"/>
  <c r="N22" i="24"/>
  <c r="AA22" i="24"/>
  <c r="F23" i="24"/>
  <c r="S23" i="24"/>
  <c r="H23" i="24"/>
  <c r="U23" i="24"/>
  <c r="I23" i="24"/>
  <c r="V23" i="24"/>
  <c r="J23" i="24"/>
  <c r="W23" i="24"/>
  <c r="K23" i="24"/>
  <c r="X23" i="24"/>
  <c r="M23" i="24"/>
  <c r="Z23" i="24"/>
  <c r="N23" i="24"/>
  <c r="AA23" i="24"/>
  <c r="F24" i="24"/>
  <c r="S24" i="24"/>
  <c r="H24" i="24"/>
  <c r="U24" i="24"/>
  <c r="I24" i="24"/>
  <c r="V24" i="24"/>
  <c r="J24" i="24"/>
  <c r="W24" i="24"/>
  <c r="K24" i="24"/>
  <c r="X24" i="24"/>
  <c r="M24" i="24"/>
  <c r="Z24" i="24"/>
  <c r="N24" i="24"/>
  <c r="AA24" i="24"/>
  <c r="F25" i="24"/>
  <c r="S25" i="24"/>
  <c r="H25" i="24"/>
  <c r="U25" i="24"/>
  <c r="I25" i="24"/>
  <c r="V25" i="24"/>
  <c r="J25" i="24"/>
  <c r="W25" i="24"/>
  <c r="K25" i="24"/>
  <c r="X25" i="24"/>
  <c r="M25" i="24"/>
  <c r="Z25" i="24"/>
  <c r="N25" i="24"/>
  <c r="AA25" i="24"/>
  <c r="F26" i="24"/>
  <c r="S26" i="24"/>
  <c r="H26" i="24"/>
  <c r="U26" i="24"/>
  <c r="I26" i="24"/>
  <c r="V26" i="24"/>
  <c r="J26" i="24"/>
  <c r="W26" i="24"/>
  <c r="K26" i="24"/>
  <c r="X26" i="24"/>
  <c r="M26" i="24"/>
  <c r="Z26" i="24"/>
  <c r="N26" i="24"/>
  <c r="AA26" i="24"/>
  <c r="F27" i="24"/>
  <c r="S27" i="24"/>
  <c r="H27" i="24"/>
  <c r="U27" i="24"/>
  <c r="I27" i="24"/>
  <c r="V27" i="24"/>
  <c r="J27" i="24"/>
  <c r="W27" i="24"/>
  <c r="K27" i="24"/>
  <c r="X27" i="24"/>
  <c r="M27" i="24"/>
  <c r="Z27" i="24"/>
  <c r="N27" i="24"/>
  <c r="AA27" i="24"/>
  <c r="F28" i="24"/>
  <c r="S28" i="24"/>
  <c r="H28" i="24"/>
  <c r="U28" i="24"/>
  <c r="I28" i="24"/>
  <c r="V28" i="24"/>
  <c r="J28" i="24"/>
  <c r="W28" i="24"/>
  <c r="K28" i="24"/>
  <c r="X28" i="24"/>
  <c r="M28" i="24"/>
  <c r="Z28" i="24"/>
  <c r="N28" i="24"/>
  <c r="AA28" i="24"/>
  <c r="F29" i="24"/>
  <c r="S29" i="24"/>
  <c r="H29" i="24"/>
  <c r="U29" i="24"/>
  <c r="I29" i="24"/>
  <c r="V29" i="24"/>
  <c r="J29" i="24"/>
  <c r="W29" i="24"/>
  <c r="K29" i="24"/>
  <c r="X29" i="24"/>
  <c r="M29" i="24"/>
  <c r="Z29" i="24"/>
  <c r="N29" i="24"/>
  <c r="AA29" i="24"/>
  <c r="F30" i="24"/>
  <c r="S30" i="24"/>
  <c r="H30" i="24"/>
  <c r="U30" i="24"/>
  <c r="I30" i="24"/>
  <c r="V30" i="24"/>
  <c r="J30" i="24"/>
  <c r="W30" i="24"/>
  <c r="K30" i="24"/>
  <c r="X30" i="24"/>
  <c r="M30" i="24"/>
  <c r="Z30" i="24"/>
  <c r="N30" i="24"/>
  <c r="AA30" i="24"/>
  <c r="F31" i="24"/>
  <c r="S31" i="24"/>
  <c r="H31" i="24"/>
  <c r="U31" i="24"/>
  <c r="I31" i="24"/>
  <c r="V31" i="24"/>
  <c r="J31" i="24"/>
  <c r="W31" i="24"/>
  <c r="K31" i="24"/>
  <c r="X31" i="24"/>
  <c r="M31" i="24"/>
  <c r="Z31" i="24"/>
  <c r="N31" i="24"/>
  <c r="AA31" i="24"/>
  <c r="F32" i="24"/>
  <c r="S32" i="24"/>
  <c r="H32" i="24"/>
  <c r="U32" i="24"/>
  <c r="I32" i="24"/>
  <c r="V32" i="24"/>
  <c r="J32" i="24"/>
  <c r="W32" i="24"/>
  <c r="K32" i="24"/>
  <c r="X32" i="24"/>
  <c r="M32" i="24"/>
  <c r="Z32" i="24"/>
  <c r="N32" i="24"/>
  <c r="AA32" i="24"/>
  <c r="F33" i="24"/>
  <c r="S33" i="24"/>
  <c r="H33" i="24"/>
  <c r="U33" i="24"/>
  <c r="I33" i="24"/>
  <c r="V33" i="24"/>
  <c r="J33" i="24"/>
  <c r="W33" i="24"/>
  <c r="K33" i="24"/>
  <c r="X33" i="24"/>
  <c r="M33" i="24"/>
  <c r="Z33" i="24"/>
  <c r="N33" i="24"/>
  <c r="AA33" i="24"/>
  <c r="F34" i="24"/>
  <c r="S34" i="24"/>
  <c r="H34" i="24"/>
  <c r="U34" i="24"/>
  <c r="I34" i="24"/>
  <c r="V34" i="24"/>
  <c r="J34" i="24"/>
  <c r="W34" i="24"/>
  <c r="K34" i="24"/>
  <c r="X34" i="24"/>
  <c r="M34" i="24"/>
  <c r="Z34" i="24"/>
  <c r="N34" i="24"/>
  <c r="AA34" i="24"/>
  <c r="F35" i="24"/>
  <c r="S35" i="24"/>
  <c r="H35" i="24"/>
  <c r="U35" i="24"/>
  <c r="I35" i="24"/>
  <c r="V35" i="24"/>
  <c r="J35" i="24"/>
  <c r="W35" i="24"/>
  <c r="K35" i="24"/>
  <c r="X35" i="24"/>
  <c r="M35" i="24"/>
  <c r="Z35" i="24"/>
  <c r="N35" i="24"/>
  <c r="AA35" i="24"/>
  <c r="F36" i="24"/>
  <c r="S36" i="24"/>
  <c r="H36" i="24"/>
  <c r="U36" i="24"/>
  <c r="I36" i="24"/>
  <c r="V36" i="24"/>
  <c r="J36" i="24"/>
  <c r="W36" i="24"/>
  <c r="K36" i="24"/>
  <c r="X36" i="24"/>
  <c r="M36" i="24"/>
  <c r="Z36" i="24"/>
  <c r="N36" i="24"/>
  <c r="AA36" i="24"/>
  <c r="F37" i="24"/>
  <c r="S37" i="24"/>
  <c r="H37" i="24"/>
  <c r="U37" i="24"/>
  <c r="I37" i="24"/>
  <c r="V37" i="24"/>
  <c r="J37" i="24"/>
  <c r="W37" i="24"/>
  <c r="K37" i="24"/>
  <c r="X37" i="24"/>
  <c r="M37" i="24"/>
  <c r="Z37" i="24"/>
  <c r="N37" i="24"/>
  <c r="AA37" i="24"/>
  <c r="F38" i="24"/>
  <c r="S38" i="24"/>
  <c r="H38" i="24"/>
  <c r="U38" i="24"/>
  <c r="I38" i="24"/>
  <c r="V38" i="24"/>
  <c r="J38" i="24"/>
  <c r="W38" i="24"/>
  <c r="K38" i="24"/>
  <c r="X38" i="24"/>
  <c r="M38" i="24"/>
  <c r="Z38" i="24"/>
  <c r="N38" i="24"/>
  <c r="AA38" i="24"/>
  <c r="F39" i="24"/>
  <c r="S39" i="24"/>
  <c r="H39" i="24"/>
  <c r="U39" i="24"/>
  <c r="I39" i="24"/>
  <c r="V39" i="24"/>
  <c r="J39" i="24"/>
  <c r="W39" i="24"/>
  <c r="K39" i="24"/>
  <c r="X39" i="24"/>
  <c r="M39" i="24"/>
  <c r="Z39" i="24"/>
  <c r="N39" i="24"/>
  <c r="AA39" i="24"/>
  <c r="F40" i="24"/>
  <c r="S40" i="24"/>
  <c r="H40" i="24"/>
  <c r="U40" i="24"/>
  <c r="I40" i="24"/>
  <c r="V40" i="24"/>
  <c r="J40" i="24"/>
  <c r="W40" i="24"/>
  <c r="K40" i="24"/>
  <c r="X40" i="24"/>
  <c r="M40" i="24"/>
  <c r="Z40" i="24"/>
  <c r="N40" i="24"/>
  <c r="AA40" i="24"/>
  <c r="F41" i="24"/>
  <c r="S41" i="24"/>
  <c r="H41" i="24"/>
  <c r="U41" i="24"/>
  <c r="I41" i="24"/>
  <c r="V41" i="24"/>
  <c r="J41" i="24"/>
  <c r="W41" i="24"/>
  <c r="K41" i="24"/>
  <c r="X41" i="24"/>
  <c r="M41" i="24"/>
  <c r="Z41" i="24"/>
  <c r="N41" i="24"/>
  <c r="AA41" i="24"/>
  <c r="F42" i="24"/>
  <c r="S42" i="24"/>
  <c r="H42" i="24"/>
  <c r="U42" i="24"/>
  <c r="I42" i="24"/>
  <c r="V42" i="24"/>
  <c r="J42" i="24"/>
  <c r="W42" i="24"/>
  <c r="K42" i="24"/>
  <c r="X42" i="24"/>
  <c r="M42" i="24"/>
  <c r="Z42" i="24"/>
  <c r="N42" i="24"/>
  <c r="AA42" i="24"/>
  <c r="F43" i="24"/>
  <c r="S43" i="24"/>
  <c r="H43" i="24"/>
  <c r="U43" i="24"/>
  <c r="I43" i="24"/>
  <c r="V43" i="24"/>
  <c r="J43" i="24"/>
  <c r="W43" i="24"/>
  <c r="K43" i="24"/>
  <c r="X43" i="24"/>
  <c r="M43" i="24"/>
  <c r="Z43" i="24"/>
  <c r="N43" i="24"/>
  <c r="AA43" i="24"/>
  <c r="F44" i="24"/>
  <c r="S44" i="24"/>
  <c r="H44" i="24"/>
  <c r="U44" i="24"/>
  <c r="I44" i="24"/>
  <c r="V44" i="24"/>
  <c r="J44" i="24"/>
  <c r="W44" i="24"/>
  <c r="K44" i="24"/>
  <c r="X44" i="24"/>
  <c r="M44" i="24"/>
  <c r="Z44" i="24"/>
  <c r="N44" i="24"/>
  <c r="AA44" i="24"/>
  <c r="F45" i="24"/>
  <c r="S45" i="24"/>
  <c r="H45" i="24"/>
  <c r="U45" i="24"/>
  <c r="I45" i="24"/>
  <c r="V45" i="24"/>
  <c r="J45" i="24"/>
  <c r="W45" i="24"/>
  <c r="K45" i="24"/>
  <c r="X45" i="24"/>
  <c r="M45" i="24"/>
  <c r="Z45" i="24"/>
  <c r="N45" i="24"/>
  <c r="AA45" i="24"/>
  <c r="F46" i="24"/>
  <c r="S46" i="24"/>
  <c r="H46" i="24"/>
  <c r="U46" i="24"/>
  <c r="I46" i="24"/>
  <c r="V46" i="24"/>
  <c r="J46" i="24"/>
  <c r="W46" i="24"/>
  <c r="K46" i="24"/>
  <c r="X46" i="24"/>
  <c r="M46" i="24"/>
  <c r="Z46" i="24"/>
  <c r="N46" i="24"/>
  <c r="AA46" i="24"/>
  <c r="F47" i="24"/>
  <c r="S47" i="24"/>
  <c r="H47" i="24"/>
  <c r="U47" i="24"/>
  <c r="I47" i="24"/>
  <c r="V47" i="24"/>
  <c r="J47" i="24"/>
  <c r="W47" i="24"/>
  <c r="K47" i="24"/>
  <c r="X47" i="24"/>
  <c r="M47" i="24"/>
  <c r="Z47" i="24"/>
  <c r="N47" i="24"/>
  <c r="AA47" i="24"/>
  <c r="F48" i="24"/>
  <c r="S48" i="24"/>
  <c r="H48" i="24"/>
  <c r="U48" i="24"/>
  <c r="I48" i="24"/>
  <c r="V48" i="24"/>
  <c r="J48" i="24"/>
  <c r="W48" i="24"/>
  <c r="K48" i="24"/>
  <c r="X48" i="24"/>
  <c r="M48" i="24"/>
  <c r="Z48" i="24"/>
  <c r="N48" i="24"/>
  <c r="AA48" i="24"/>
  <c r="F49" i="24"/>
  <c r="S49" i="24"/>
  <c r="H49" i="24"/>
  <c r="U49" i="24"/>
  <c r="I49" i="24"/>
  <c r="V49" i="24"/>
  <c r="J49" i="24"/>
  <c r="W49" i="24"/>
  <c r="K49" i="24"/>
  <c r="X49" i="24"/>
  <c r="M49" i="24"/>
  <c r="Z49" i="24"/>
  <c r="N49" i="24"/>
  <c r="AA49" i="24"/>
  <c r="F50" i="24"/>
  <c r="S50" i="24"/>
  <c r="H50" i="24"/>
  <c r="U50" i="24"/>
  <c r="I50" i="24"/>
  <c r="V50" i="24"/>
  <c r="J50" i="24"/>
  <c r="W50" i="24"/>
  <c r="K50" i="24"/>
  <c r="X50" i="24"/>
  <c r="M50" i="24"/>
  <c r="Z50" i="24"/>
  <c r="N50" i="24"/>
  <c r="AA50" i="24"/>
  <c r="F51" i="24"/>
  <c r="S51" i="24"/>
  <c r="H51" i="24"/>
  <c r="U51" i="24"/>
  <c r="I51" i="24"/>
  <c r="V51" i="24"/>
  <c r="J51" i="24"/>
  <c r="W51" i="24"/>
  <c r="K51" i="24"/>
  <c r="X51" i="24"/>
  <c r="M51" i="24"/>
  <c r="Z51" i="24"/>
  <c r="N51" i="24"/>
  <c r="AA51" i="24"/>
  <c r="F52" i="24"/>
  <c r="S52" i="24"/>
  <c r="H52" i="24"/>
  <c r="U52" i="24"/>
  <c r="I52" i="24"/>
  <c r="V52" i="24"/>
  <c r="J52" i="24"/>
  <c r="W52" i="24"/>
  <c r="K52" i="24"/>
  <c r="X52" i="24"/>
  <c r="M52" i="24"/>
  <c r="Z52" i="24"/>
  <c r="N52" i="24"/>
  <c r="AA52" i="24"/>
  <c r="F53" i="24"/>
  <c r="S53" i="24"/>
  <c r="H53" i="24"/>
  <c r="U53" i="24"/>
  <c r="I53" i="24"/>
  <c r="V53" i="24"/>
  <c r="J53" i="24"/>
  <c r="W53" i="24"/>
  <c r="K53" i="24"/>
  <c r="X53" i="24"/>
  <c r="M53" i="24"/>
  <c r="Z53" i="24"/>
  <c r="N53" i="24"/>
  <c r="AA53" i="24"/>
  <c r="F54" i="24"/>
  <c r="S54" i="24"/>
  <c r="H54" i="24"/>
  <c r="U54" i="24"/>
  <c r="I54" i="24"/>
  <c r="V54" i="24"/>
  <c r="J54" i="24"/>
  <c r="W54" i="24"/>
  <c r="K54" i="24"/>
  <c r="X54" i="24"/>
  <c r="M54" i="24"/>
  <c r="Z54" i="24"/>
  <c r="N54" i="24"/>
  <c r="AA54" i="24"/>
  <c r="F55" i="24"/>
  <c r="S55" i="24"/>
  <c r="H55" i="24"/>
  <c r="U55" i="24"/>
  <c r="I55" i="24"/>
  <c r="V55" i="24"/>
  <c r="J55" i="24"/>
  <c r="W55" i="24"/>
  <c r="K55" i="24"/>
  <c r="X55" i="24"/>
  <c r="M55" i="24"/>
  <c r="Z55" i="24"/>
  <c r="N55" i="24"/>
  <c r="AA55" i="24"/>
  <c r="F56" i="24"/>
  <c r="S56" i="24"/>
  <c r="H56" i="24"/>
  <c r="U56" i="24"/>
  <c r="I56" i="24"/>
  <c r="V56" i="24"/>
  <c r="J56" i="24"/>
  <c r="W56" i="24"/>
  <c r="K56" i="24"/>
  <c r="X56" i="24"/>
  <c r="M56" i="24"/>
  <c r="Z56" i="24"/>
  <c r="N56" i="24"/>
  <c r="AA56" i="24"/>
  <c r="F57" i="24"/>
  <c r="S57" i="24"/>
  <c r="H57" i="24"/>
  <c r="U57" i="24"/>
  <c r="I57" i="24"/>
  <c r="V57" i="24"/>
  <c r="J57" i="24"/>
  <c r="W57" i="24"/>
  <c r="K57" i="24"/>
  <c r="X57" i="24"/>
  <c r="M57" i="24"/>
  <c r="Z57" i="24"/>
  <c r="N57" i="24"/>
  <c r="AA57" i="24"/>
  <c r="F58" i="24"/>
  <c r="S58" i="24"/>
  <c r="H58" i="24"/>
  <c r="U58" i="24"/>
  <c r="I58" i="24"/>
  <c r="V58" i="24"/>
  <c r="J58" i="24"/>
  <c r="W58" i="24"/>
  <c r="K58" i="24"/>
  <c r="X58" i="24"/>
  <c r="M58" i="24"/>
  <c r="Z58" i="24"/>
  <c r="N58" i="24"/>
  <c r="AA58" i="24"/>
  <c r="F59" i="24"/>
  <c r="S59" i="24"/>
  <c r="H59" i="24"/>
  <c r="U59" i="24"/>
  <c r="I59" i="24"/>
  <c r="V59" i="24"/>
  <c r="J59" i="24"/>
  <c r="W59" i="24"/>
  <c r="K59" i="24"/>
  <c r="X59" i="24"/>
  <c r="M59" i="24"/>
  <c r="Z59" i="24"/>
  <c r="N59" i="24"/>
  <c r="AA59" i="24"/>
  <c r="F60" i="24"/>
  <c r="S60" i="24"/>
  <c r="H60" i="24"/>
  <c r="U60" i="24"/>
  <c r="I60" i="24"/>
  <c r="V60" i="24"/>
  <c r="J60" i="24"/>
  <c r="W60" i="24"/>
  <c r="K60" i="24"/>
  <c r="X60" i="24"/>
  <c r="M60" i="24"/>
  <c r="Z60" i="24"/>
  <c r="N60" i="24"/>
  <c r="AA60" i="24"/>
  <c r="F61" i="24"/>
  <c r="S61" i="24"/>
  <c r="H61" i="24"/>
  <c r="U61" i="24"/>
  <c r="I61" i="24"/>
  <c r="V61" i="24"/>
  <c r="J61" i="24"/>
  <c r="W61" i="24"/>
  <c r="K61" i="24"/>
  <c r="X61" i="24"/>
  <c r="M61" i="24"/>
  <c r="Z61" i="24"/>
  <c r="N61" i="24"/>
  <c r="AA61" i="24"/>
  <c r="F62" i="24"/>
  <c r="S62" i="24"/>
  <c r="H62" i="24"/>
  <c r="U62" i="24"/>
  <c r="I62" i="24"/>
  <c r="V62" i="24"/>
  <c r="J62" i="24"/>
  <c r="W62" i="24"/>
  <c r="K62" i="24"/>
  <c r="X62" i="24"/>
  <c r="M62" i="24"/>
  <c r="Z62" i="24"/>
  <c r="N62" i="24"/>
  <c r="AA62" i="24"/>
  <c r="F63" i="24"/>
  <c r="S63" i="24"/>
  <c r="H63" i="24"/>
  <c r="U63" i="24"/>
  <c r="I63" i="24"/>
  <c r="V63" i="24"/>
  <c r="J63" i="24"/>
  <c r="W63" i="24"/>
  <c r="K63" i="24"/>
  <c r="X63" i="24"/>
  <c r="M63" i="24"/>
  <c r="Z63" i="24"/>
  <c r="N63" i="24"/>
  <c r="AA63" i="24"/>
  <c r="F64" i="24"/>
  <c r="S64" i="24"/>
  <c r="H64" i="24"/>
  <c r="U64" i="24"/>
  <c r="I64" i="24"/>
  <c r="V64" i="24"/>
  <c r="J64" i="24"/>
  <c r="W64" i="24"/>
  <c r="K64" i="24"/>
  <c r="X64" i="24"/>
  <c r="M64" i="24"/>
  <c r="Z64" i="24"/>
  <c r="N64" i="24"/>
  <c r="AA64" i="24"/>
  <c r="F65" i="24"/>
  <c r="S65" i="24"/>
  <c r="H65" i="24"/>
  <c r="U65" i="24"/>
  <c r="I65" i="24"/>
  <c r="V65" i="24"/>
  <c r="J65" i="24"/>
  <c r="W65" i="24"/>
  <c r="K65" i="24"/>
  <c r="X65" i="24"/>
  <c r="M65" i="24"/>
  <c r="Z65" i="24"/>
  <c r="N65" i="24"/>
  <c r="AA65" i="24"/>
  <c r="F66" i="24"/>
  <c r="S66" i="24"/>
  <c r="H66" i="24"/>
  <c r="U66" i="24"/>
  <c r="I66" i="24"/>
  <c r="V66" i="24"/>
  <c r="J66" i="24"/>
  <c r="W66" i="24"/>
  <c r="K66" i="24"/>
  <c r="X66" i="24"/>
  <c r="M66" i="24"/>
  <c r="Z66" i="24"/>
  <c r="N66" i="24"/>
  <c r="AA66" i="24"/>
  <c r="F67" i="24"/>
  <c r="S67" i="24"/>
  <c r="H67" i="24"/>
  <c r="U67" i="24"/>
  <c r="I67" i="24"/>
  <c r="V67" i="24"/>
  <c r="J67" i="24"/>
  <c r="W67" i="24"/>
  <c r="K67" i="24"/>
  <c r="X67" i="24"/>
  <c r="M67" i="24"/>
  <c r="Z67" i="24"/>
  <c r="N67" i="24"/>
  <c r="AA67" i="24"/>
  <c r="F68" i="24"/>
  <c r="S68" i="24"/>
  <c r="H68" i="24"/>
  <c r="U68" i="24"/>
  <c r="I68" i="24"/>
  <c r="V68" i="24"/>
  <c r="J68" i="24"/>
  <c r="W68" i="24"/>
  <c r="K68" i="24"/>
  <c r="X68" i="24"/>
  <c r="M68" i="24"/>
  <c r="Z68" i="24"/>
  <c r="N68" i="24"/>
  <c r="AA68" i="24"/>
  <c r="F69" i="24"/>
  <c r="S69" i="24"/>
  <c r="H69" i="24"/>
  <c r="U69" i="24"/>
  <c r="I69" i="24"/>
  <c r="V69" i="24"/>
  <c r="J69" i="24"/>
  <c r="W69" i="24"/>
  <c r="K69" i="24"/>
  <c r="X69" i="24"/>
  <c r="M69" i="24"/>
  <c r="Z69" i="24"/>
  <c r="N69" i="24"/>
  <c r="AA69" i="24"/>
  <c r="F70" i="24"/>
  <c r="S70" i="24"/>
  <c r="H70" i="24"/>
  <c r="U70" i="24"/>
  <c r="I70" i="24"/>
  <c r="V70" i="24"/>
  <c r="J70" i="24"/>
  <c r="W70" i="24"/>
  <c r="K70" i="24"/>
  <c r="X70" i="24"/>
  <c r="M70" i="24"/>
  <c r="Z70" i="24"/>
  <c r="N70" i="24"/>
  <c r="AA70" i="24"/>
  <c r="F71" i="24"/>
  <c r="S71" i="24"/>
  <c r="H71" i="24"/>
  <c r="U71" i="24"/>
  <c r="I71" i="24"/>
  <c r="V71" i="24"/>
  <c r="J71" i="24"/>
  <c r="W71" i="24"/>
  <c r="K71" i="24"/>
  <c r="X71" i="24"/>
  <c r="M71" i="24"/>
  <c r="Z71" i="24"/>
  <c r="N71" i="24"/>
  <c r="AA71" i="24"/>
  <c r="F72" i="24"/>
  <c r="S72" i="24"/>
  <c r="H72" i="24"/>
  <c r="U72" i="24"/>
  <c r="I72" i="24"/>
  <c r="V72" i="24"/>
  <c r="J72" i="24"/>
  <c r="W72" i="24"/>
  <c r="K72" i="24"/>
  <c r="X72" i="24"/>
  <c r="M72" i="24"/>
  <c r="Z72" i="24"/>
  <c r="N72" i="24"/>
  <c r="AA72" i="24"/>
  <c r="F73" i="24"/>
  <c r="S73" i="24"/>
  <c r="H73" i="24"/>
  <c r="U73" i="24"/>
  <c r="I73" i="24"/>
  <c r="V73" i="24"/>
  <c r="J73" i="24"/>
  <c r="W73" i="24"/>
  <c r="K73" i="24"/>
  <c r="X73" i="24"/>
  <c r="M73" i="24"/>
  <c r="Z73" i="24"/>
  <c r="N73" i="24"/>
  <c r="AA73" i="24"/>
  <c r="F74" i="24"/>
  <c r="S74" i="24"/>
  <c r="H74" i="24"/>
  <c r="U74" i="24"/>
  <c r="I74" i="24"/>
  <c r="V74" i="24"/>
  <c r="J74" i="24"/>
  <c r="W74" i="24"/>
  <c r="K74" i="24"/>
  <c r="X74" i="24"/>
  <c r="M74" i="24"/>
  <c r="Z74" i="24"/>
  <c r="N74" i="24"/>
  <c r="AA74" i="24"/>
  <c r="F75" i="24"/>
  <c r="S75" i="24"/>
  <c r="H75" i="24"/>
  <c r="U75" i="24"/>
  <c r="I75" i="24"/>
  <c r="V75" i="24"/>
  <c r="J75" i="24"/>
  <c r="W75" i="24"/>
  <c r="K75" i="24"/>
  <c r="X75" i="24"/>
  <c r="M75" i="24"/>
  <c r="Z75" i="24"/>
  <c r="N75" i="24"/>
  <c r="AA75" i="24"/>
  <c r="F76" i="24"/>
  <c r="S76" i="24"/>
  <c r="H76" i="24"/>
  <c r="U76" i="24"/>
  <c r="I76" i="24"/>
  <c r="V76" i="24"/>
  <c r="J76" i="24"/>
  <c r="W76" i="24"/>
  <c r="K76" i="24"/>
  <c r="X76" i="24"/>
  <c r="M76" i="24"/>
  <c r="Z76" i="24"/>
  <c r="N76" i="24"/>
  <c r="AA76" i="24"/>
  <c r="F77" i="24"/>
  <c r="S77" i="24"/>
  <c r="H77" i="24"/>
  <c r="U77" i="24"/>
  <c r="I77" i="24"/>
  <c r="V77" i="24"/>
  <c r="J77" i="24"/>
  <c r="W77" i="24"/>
  <c r="K77" i="24"/>
  <c r="X77" i="24"/>
  <c r="M77" i="24"/>
  <c r="Z77" i="24"/>
  <c r="N77" i="24"/>
  <c r="AA77" i="24"/>
  <c r="F78" i="24"/>
  <c r="S78" i="24"/>
  <c r="H78" i="24"/>
  <c r="U78" i="24"/>
  <c r="I78" i="24"/>
  <c r="V78" i="24"/>
  <c r="J78" i="24"/>
  <c r="W78" i="24"/>
  <c r="K78" i="24"/>
  <c r="X78" i="24"/>
  <c r="M78" i="24"/>
  <c r="Z78" i="24"/>
  <c r="N78" i="24"/>
  <c r="AA78" i="24"/>
  <c r="F79" i="24"/>
  <c r="S79" i="24"/>
  <c r="H79" i="24"/>
  <c r="U79" i="24"/>
  <c r="I79" i="24"/>
  <c r="V79" i="24"/>
  <c r="J79" i="24"/>
  <c r="W79" i="24"/>
  <c r="K79" i="24"/>
  <c r="X79" i="24"/>
  <c r="M79" i="24"/>
  <c r="Z79" i="24"/>
  <c r="N79" i="24"/>
  <c r="AA79" i="24"/>
  <c r="F80" i="24"/>
  <c r="S80" i="24"/>
  <c r="H80" i="24"/>
  <c r="U80" i="24"/>
  <c r="I80" i="24"/>
  <c r="V80" i="24"/>
  <c r="J80" i="24"/>
  <c r="W80" i="24"/>
  <c r="K80" i="24"/>
  <c r="X80" i="24"/>
  <c r="M80" i="24"/>
  <c r="Z80" i="24"/>
  <c r="N80" i="24"/>
  <c r="AA80" i="24"/>
  <c r="F81" i="24"/>
  <c r="S81" i="24"/>
  <c r="H81" i="24"/>
  <c r="U81" i="24"/>
  <c r="I81" i="24"/>
  <c r="V81" i="24"/>
  <c r="J81" i="24"/>
  <c r="W81" i="24"/>
  <c r="K81" i="24"/>
  <c r="X81" i="24"/>
  <c r="M81" i="24"/>
  <c r="Z81" i="24"/>
  <c r="N81" i="24"/>
  <c r="AA81" i="24"/>
  <c r="F82" i="24"/>
  <c r="S82" i="24"/>
  <c r="H82" i="24"/>
  <c r="U82" i="24"/>
  <c r="I82" i="24"/>
  <c r="V82" i="24"/>
  <c r="J82" i="24"/>
  <c r="W82" i="24"/>
  <c r="K82" i="24"/>
  <c r="X82" i="24"/>
  <c r="M82" i="24"/>
  <c r="Z82" i="24"/>
  <c r="N82" i="24"/>
  <c r="AA82" i="24"/>
  <c r="F83" i="24"/>
  <c r="S83" i="24"/>
  <c r="H83" i="24"/>
  <c r="U83" i="24"/>
  <c r="I83" i="24"/>
  <c r="V83" i="24"/>
  <c r="J83" i="24"/>
  <c r="W83" i="24"/>
  <c r="K83" i="24"/>
  <c r="X83" i="24"/>
  <c r="M83" i="24"/>
  <c r="Z83" i="24"/>
  <c r="N83" i="24"/>
  <c r="AA83" i="24"/>
  <c r="F84" i="24"/>
  <c r="S84" i="24"/>
  <c r="H84" i="24"/>
  <c r="U84" i="24"/>
  <c r="I84" i="24"/>
  <c r="V84" i="24"/>
  <c r="J84" i="24"/>
  <c r="W84" i="24"/>
  <c r="K84" i="24"/>
  <c r="X84" i="24"/>
  <c r="M84" i="24"/>
  <c r="Z84" i="24"/>
  <c r="N84" i="24"/>
  <c r="AA84" i="24"/>
  <c r="F85" i="24"/>
  <c r="S85" i="24"/>
  <c r="H85" i="24"/>
  <c r="U85" i="24"/>
  <c r="I85" i="24"/>
  <c r="V85" i="24"/>
  <c r="J85" i="24"/>
  <c r="W85" i="24"/>
  <c r="K85" i="24"/>
  <c r="X85" i="24"/>
  <c r="M85" i="24"/>
  <c r="Z85" i="24"/>
  <c r="N85" i="24"/>
  <c r="AA85" i="24"/>
  <c r="F86" i="24"/>
  <c r="S86" i="24"/>
  <c r="U86" i="24"/>
  <c r="V86" i="24"/>
  <c r="W86" i="24"/>
  <c r="X86" i="24"/>
  <c r="Z86" i="24"/>
  <c r="N86" i="24"/>
  <c r="AA86" i="24"/>
  <c r="F87" i="24"/>
  <c r="S87" i="24"/>
  <c r="U87" i="24"/>
  <c r="V87" i="24"/>
  <c r="W87" i="24"/>
  <c r="X87" i="24"/>
  <c r="Z87" i="24"/>
  <c r="N87" i="24"/>
  <c r="AA87" i="24"/>
  <c r="F88" i="24"/>
  <c r="S88" i="24"/>
  <c r="U88" i="24"/>
  <c r="V88" i="24"/>
  <c r="W88" i="24"/>
  <c r="X88" i="24"/>
  <c r="Z88" i="24"/>
  <c r="N88" i="24"/>
  <c r="AA88" i="24"/>
  <c r="F89" i="24"/>
  <c r="S89" i="24"/>
  <c r="U89" i="24"/>
  <c r="V89" i="24"/>
  <c r="W89" i="24"/>
  <c r="X89" i="24"/>
  <c r="Z89" i="24"/>
  <c r="N89" i="24"/>
  <c r="AA89" i="24"/>
  <c r="F90" i="24"/>
  <c r="S90" i="24"/>
  <c r="U90" i="24"/>
  <c r="V90" i="24"/>
  <c r="W90" i="24"/>
  <c r="X90" i="24"/>
  <c r="Z90" i="24"/>
  <c r="N90" i="24"/>
  <c r="AA90" i="24"/>
  <c r="F91" i="24"/>
  <c r="S91" i="24"/>
  <c r="U91" i="24"/>
  <c r="V91" i="24"/>
  <c r="W91" i="24"/>
  <c r="X91" i="24"/>
  <c r="Z91" i="24"/>
  <c r="N91" i="24"/>
  <c r="AA91" i="24"/>
  <c r="F92" i="24"/>
  <c r="S92" i="24"/>
  <c r="U92" i="24"/>
  <c r="V92" i="24"/>
  <c r="W92" i="24"/>
  <c r="X92" i="24"/>
  <c r="Z92" i="24"/>
  <c r="N92" i="24"/>
  <c r="AA92" i="24"/>
  <c r="F93" i="24"/>
  <c r="S93" i="24"/>
  <c r="U93" i="24"/>
  <c r="V93" i="24"/>
  <c r="W93" i="24"/>
  <c r="X93" i="24"/>
  <c r="Z93" i="24"/>
  <c r="N93" i="24"/>
  <c r="AA93" i="24"/>
  <c r="F94" i="24"/>
  <c r="S94" i="24"/>
  <c r="U94" i="24"/>
  <c r="V94" i="24"/>
  <c r="W94" i="24"/>
  <c r="X94" i="24"/>
  <c r="Z94" i="24"/>
  <c r="N94" i="24"/>
  <c r="AA94" i="24"/>
  <c r="F95" i="24"/>
  <c r="S95" i="24"/>
  <c r="U95" i="24"/>
  <c r="V95" i="24"/>
  <c r="W95" i="24"/>
  <c r="X95" i="24"/>
  <c r="Z95" i="24"/>
  <c r="N95" i="24"/>
  <c r="AA95" i="24"/>
  <c r="F96" i="24"/>
  <c r="S96" i="24"/>
  <c r="U96" i="24"/>
  <c r="V96" i="24"/>
  <c r="W96" i="24"/>
  <c r="X96" i="24"/>
  <c r="Z96" i="24"/>
  <c r="N96" i="24"/>
  <c r="AA96" i="24"/>
  <c r="F97" i="24"/>
  <c r="S97" i="24"/>
  <c r="U97" i="24"/>
  <c r="V97" i="24"/>
  <c r="W97" i="24"/>
  <c r="X97" i="24"/>
  <c r="Z97" i="24"/>
  <c r="N97" i="24"/>
  <c r="AA97" i="24"/>
  <c r="F98" i="24"/>
  <c r="S98" i="24"/>
  <c r="U98" i="24"/>
  <c r="V98" i="24"/>
  <c r="W98" i="24"/>
  <c r="X98" i="24"/>
  <c r="M98" i="24"/>
  <c r="Z98" i="24"/>
  <c r="N98" i="24"/>
  <c r="AA98" i="24"/>
  <c r="F99" i="24"/>
  <c r="S99" i="24"/>
  <c r="U99" i="24"/>
  <c r="V99" i="24"/>
  <c r="W99" i="24"/>
  <c r="X99" i="24"/>
  <c r="M99" i="24"/>
  <c r="Z99" i="24"/>
  <c r="N99" i="24"/>
  <c r="AA99" i="24"/>
  <c r="F100" i="24"/>
  <c r="S100" i="24"/>
  <c r="U100" i="24"/>
  <c r="V100" i="24"/>
  <c r="W100" i="24"/>
  <c r="X100" i="24"/>
  <c r="M100" i="24"/>
  <c r="Z100" i="24"/>
  <c r="N100" i="24"/>
  <c r="AA100" i="24"/>
  <c r="F101" i="24"/>
  <c r="S101" i="24"/>
  <c r="U101" i="24"/>
  <c r="V101" i="24"/>
  <c r="W101" i="24"/>
  <c r="X101" i="24"/>
  <c r="M101" i="24"/>
  <c r="Z101" i="24"/>
  <c r="N101" i="24"/>
  <c r="AA101" i="24"/>
  <c r="F102" i="24"/>
  <c r="S102" i="24"/>
  <c r="U102" i="24"/>
  <c r="V102" i="24"/>
  <c r="W102" i="24"/>
  <c r="X102" i="24"/>
  <c r="M102" i="24"/>
  <c r="Z102" i="24"/>
  <c r="N102" i="24"/>
  <c r="AA102" i="24"/>
  <c r="F103" i="24"/>
  <c r="S103" i="24"/>
  <c r="U103" i="24"/>
  <c r="V103" i="24"/>
  <c r="W103" i="24"/>
  <c r="X103" i="24"/>
  <c r="M103" i="24"/>
  <c r="Z103" i="24"/>
  <c r="N103" i="24"/>
  <c r="AA103" i="24"/>
  <c r="F104" i="24"/>
  <c r="S104" i="24"/>
  <c r="U104" i="24"/>
  <c r="V104" i="24"/>
  <c r="W104" i="24"/>
  <c r="X104" i="24"/>
  <c r="M104" i="24"/>
  <c r="Z104" i="24"/>
  <c r="N104" i="24"/>
  <c r="AA104" i="24"/>
  <c r="F105" i="24"/>
  <c r="S105" i="24"/>
  <c r="U105" i="24"/>
  <c r="V105" i="24"/>
  <c r="W105" i="24"/>
  <c r="X105" i="24"/>
  <c r="M105" i="24"/>
  <c r="Z105" i="24"/>
  <c r="N105" i="24"/>
  <c r="AA105" i="24"/>
  <c r="F106" i="24"/>
  <c r="S106" i="24"/>
  <c r="U106" i="24"/>
  <c r="V106" i="24"/>
  <c r="W106" i="24"/>
  <c r="X106" i="24"/>
  <c r="M106" i="24"/>
  <c r="Z106" i="24"/>
  <c r="N106" i="24"/>
  <c r="AA106" i="24"/>
  <c r="F107" i="24"/>
  <c r="S107" i="24"/>
  <c r="U107" i="24"/>
  <c r="V107" i="24"/>
  <c r="W107" i="24"/>
  <c r="X107" i="24"/>
  <c r="M107" i="24"/>
  <c r="Z107" i="24"/>
  <c r="N107" i="24"/>
  <c r="AA107" i="24"/>
  <c r="F108" i="24"/>
  <c r="S108" i="24"/>
  <c r="U108" i="24"/>
  <c r="V108" i="24"/>
  <c r="W108" i="24"/>
  <c r="X108" i="24"/>
  <c r="M108" i="24"/>
  <c r="Z108" i="24"/>
  <c r="N108" i="24"/>
  <c r="AA108" i="24"/>
  <c r="F109" i="24"/>
  <c r="S109" i="24"/>
  <c r="U109" i="24"/>
  <c r="V109" i="24"/>
  <c r="W109" i="24"/>
  <c r="X109" i="24"/>
  <c r="M109" i="24"/>
  <c r="Z109" i="24"/>
  <c r="N109" i="24"/>
  <c r="AA109" i="24"/>
  <c r="S110" i="24"/>
  <c r="U110" i="24"/>
  <c r="V110" i="24"/>
  <c r="W110" i="24"/>
  <c r="X110" i="24"/>
  <c r="M110" i="24"/>
  <c r="Z110" i="24"/>
  <c r="N110" i="24"/>
  <c r="AA110" i="24"/>
  <c r="S111" i="24"/>
  <c r="U111" i="24"/>
  <c r="V111" i="24"/>
  <c r="W111" i="24"/>
  <c r="X111" i="24"/>
  <c r="M111" i="24"/>
  <c r="Z111" i="24"/>
  <c r="N111" i="24"/>
  <c r="AA111" i="24"/>
  <c r="S112" i="24"/>
  <c r="U112" i="24"/>
  <c r="V112" i="24"/>
  <c r="W112" i="24"/>
  <c r="X112" i="24"/>
  <c r="M112" i="24"/>
  <c r="Z112" i="24"/>
  <c r="N112" i="24"/>
  <c r="AA112" i="24"/>
  <c r="S113" i="24"/>
  <c r="U113" i="24"/>
  <c r="V113" i="24"/>
  <c r="W113" i="24"/>
  <c r="X113" i="24"/>
  <c r="M113" i="24"/>
  <c r="Z113" i="24"/>
  <c r="N113" i="24"/>
  <c r="AA113" i="24"/>
  <c r="S114" i="24"/>
  <c r="U114" i="24"/>
  <c r="V114" i="24"/>
  <c r="W114" i="24"/>
  <c r="X114" i="24"/>
  <c r="M114" i="24"/>
  <c r="Z114" i="24"/>
  <c r="N114" i="24"/>
  <c r="AA114" i="24"/>
  <c r="S115" i="24"/>
  <c r="U115" i="24"/>
  <c r="V115" i="24"/>
  <c r="W115" i="24"/>
  <c r="X115" i="24"/>
  <c r="M115" i="24"/>
  <c r="Z115" i="24"/>
  <c r="N115" i="24"/>
  <c r="AA115" i="24"/>
  <c r="S116" i="24"/>
  <c r="U116" i="24"/>
  <c r="V116" i="24"/>
  <c r="W116" i="24"/>
  <c r="X116" i="24"/>
  <c r="M116" i="24"/>
  <c r="Z116" i="24"/>
  <c r="N116" i="24"/>
  <c r="AA116" i="24"/>
  <c r="S117" i="24"/>
  <c r="U117" i="24"/>
  <c r="V117" i="24"/>
  <c r="W117" i="24"/>
  <c r="X117" i="24"/>
  <c r="M117" i="24"/>
  <c r="Z117" i="24"/>
  <c r="N117" i="24"/>
  <c r="AA117" i="24"/>
  <c r="S118" i="24"/>
  <c r="U118" i="24"/>
  <c r="V118" i="24"/>
  <c r="W118" i="24"/>
  <c r="X118" i="24"/>
  <c r="M118" i="24"/>
  <c r="Z118" i="24"/>
  <c r="N118" i="24"/>
  <c r="AA118" i="24"/>
  <c r="S119" i="24"/>
  <c r="U119" i="24"/>
  <c r="V119" i="24"/>
  <c r="W119" i="24"/>
  <c r="X119" i="24"/>
  <c r="M119" i="24"/>
  <c r="Z119" i="24"/>
  <c r="N119" i="24"/>
  <c r="AA119" i="24"/>
  <c r="S120" i="24"/>
  <c r="U120" i="24"/>
  <c r="V120" i="24"/>
  <c r="W120" i="24"/>
  <c r="X120" i="24"/>
  <c r="M120" i="24"/>
  <c r="Z120" i="24"/>
  <c r="N120" i="24"/>
  <c r="AA120" i="24"/>
  <c r="S121" i="24"/>
  <c r="U121" i="24"/>
  <c r="V121" i="24"/>
  <c r="W121" i="24"/>
  <c r="X121" i="24"/>
  <c r="M121" i="24"/>
  <c r="Z121" i="24"/>
  <c r="N121" i="24"/>
  <c r="AA121" i="24"/>
  <c r="S122" i="24"/>
  <c r="U122" i="24"/>
  <c r="V122" i="24"/>
  <c r="W122" i="24"/>
  <c r="X122" i="24"/>
  <c r="M122" i="24"/>
  <c r="Z122" i="24"/>
  <c r="S123" i="24"/>
  <c r="U123" i="24"/>
  <c r="V123" i="24"/>
  <c r="W123" i="24"/>
  <c r="X123" i="24"/>
  <c r="M123" i="24"/>
  <c r="Z123" i="24"/>
  <c r="S124" i="24"/>
  <c r="U124" i="24"/>
  <c r="V124" i="24"/>
  <c r="W124" i="24"/>
  <c r="X124" i="24"/>
  <c r="M124" i="24"/>
  <c r="Z124" i="24"/>
  <c r="S125" i="24"/>
  <c r="U125" i="24"/>
  <c r="V125" i="24"/>
  <c r="W125" i="24"/>
  <c r="X125" i="24"/>
  <c r="M125" i="24"/>
  <c r="Z125" i="24"/>
  <c r="S126" i="24"/>
  <c r="U126" i="24"/>
  <c r="V126" i="24"/>
  <c r="W126" i="24"/>
  <c r="X126" i="24"/>
  <c r="M126" i="24"/>
  <c r="Z126" i="24"/>
  <c r="S127" i="24"/>
  <c r="U127" i="24"/>
  <c r="V127" i="24"/>
  <c r="W127" i="24"/>
  <c r="X127" i="24"/>
  <c r="M127" i="24"/>
  <c r="Z127" i="24"/>
  <c r="S128" i="24"/>
  <c r="U128" i="24"/>
  <c r="V128" i="24"/>
  <c r="W128" i="24"/>
  <c r="X128" i="24"/>
  <c r="M128" i="24"/>
  <c r="Z128" i="24"/>
  <c r="S129" i="24"/>
  <c r="U129" i="24"/>
  <c r="V129" i="24"/>
  <c r="W129" i="24"/>
  <c r="X129" i="24"/>
  <c r="M129" i="24"/>
  <c r="Z129" i="24"/>
  <c r="S130" i="24"/>
  <c r="U130" i="24"/>
  <c r="V130" i="24"/>
  <c r="W130" i="24"/>
  <c r="X130" i="24"/>
  <c r="M130" i="24"/>
  <c r="Z130" i="24"/>
  <c r="S131" i="24"/>
  <c r="U131" i="24"/>
  <c r="V131" i="24"/>
  <c r="W131" i="24"/>
  <c r="X131" i="24"/>
  <c r="M131" i="24"/>
  <c r="Z131" i="24"/>
  <c r="S132" i="24"/>
  <c r="U132" i="24"/>
  <c r="V132" i="24"/>
  <c r="W132" i="24"/>
  <c r="X132" i="24"/>
  <c r="M132" i="24"/>
  <c r="Z132" i="24"/>
  <c r="S133" i="24"/>
  <c r="U133" i="24"/>
  <c r="V133" i="24"/>
  <c r="W133" i="24"/>
  <c r="X133" i="24"/>
  <c r="M133" i="24"/>
  <c r="Z133" i="24"/>
  <c r="S15" i="17"/>
  <c r="S13" i="17"/>
  <c r="S12" i="17"/>
  <c r="S11" i="17"/>
  <c r="S10" i="17"/>
  <c r="S9" i="17"/>
  <c r="S8" i="17"/>
  <c r="S7" i="17"/>
  <c r="S6" i="17"/>
  <c r="S5" i="17"/>
  <c r="S4" i="17"/>
  <c r="G14" i="17"/>
  <c r="G13" i="17"/>
  <c r="G12" i="17"/>
  <c r="G11" i="17"/>
  <c r="G10" i="17"/>
  <c r="G9" i="17"/>
  <c r="G8" i="17"/>
  <c r="G7" i="17"/>
  <c r="G6" i="17"/>
  <c r="G5" i="17"/>
  <c r="G4" i="17"/>
  <c r="AT16" i="18"/>
  <c r="A2" i="26"/>
  <c r="B2" i="26"/>
  <c r="A3" i="26"/>
  <c r="B3" i="26"/>
  <c r="A4" i="26"/>
  <c r="B4" i="26"/>
  <c r="A5" i="26"/>
  <c r="B5" i="26"/>
  <c r="A6" i="26"/>
  <c r="B6" i="26"/>
  <c r="A7" i="26"/>
  <c r="B7" i="26"/>
  <c r="A8" i="26"/>
  <c r="B8" i="26"/>
  <c r="A9" i="26"/>
  <c r="B9" i="26"/>
  <c r="A10" i="26"/>
  <c r="B10" i="26"/>
  <c r="A11" i="26"/>
  <c r="B11" i="26"/>
  <c r="A12" i="26"/>
  <c r="B12" i="26"/>
  <c r="A13" i="26"/>
  <c r="B13" i="26"/>
  <c r="A14" i="26"/>
  <c r="B14" i="26"/>
  <c r="A15" i="26"/>
  <c r="B15" i="26"/>
  <c r="A16" i="26"/>
  <c r="B16" i="26"/>
  <c r="A17" i="26"/>
  <c r="B17" i="26"/>
  <c r="A18" i="26"/>
  <c r="B18" i="26"/>
  <c r="A19" i="26"/>
  <c r="B19" i="26"/>
  <c r="A20" i="26"/>
  <c r="B20" i="26"/>
  <c r="A21" i="26"/>
  <c r="B21" i="26"/>
  <c r="A22" i="26"/>
  <c r="B22" i="26"/>
  <c r="A23" i="26"/>
  <c r="B23" i="26"/>
  <c r="A24" i="26"/>
  <c r="B24" i="26"/>
  <c r="A25" i="26"/>
  <c r="B25" i="26"/>
  <c r="A26" i="26"/>
  <c r="B26" i="26"/>
  <c r="A27" i="26"/>
  <c r="B27" i="26"/>
  <c r="A28" i="26"/>
  <c r="B28" i="26"/>
  <c r="A29" i="26"/>
  <c r="B29" i="26"/>
  <c r="A30" i="26"/>
  <c r="B30" i="26"/>
  <c r="A31" i="26"/>
  <c r="B31" i="26"/>
  <c r="A32" i="26"/>
  <c r="B32" i="26"/>
  <c r="A33" i="26"/>
  <c r="B33" i="26"/>
  <c r="A34" i="26"/>
  <c r="B34" i="26"/>
  <c r="A35" i="26"/>
  <c r="B35" i="26"/>
  <c r="A36" i="26"/>
  <c r="B36" i="26"/>
  <c r="A37" i="26"/>
  <c r="B37" i="26"/>
  <c r="A38" i="26"/>
  <c r="B38" i="26"/>
  <c r="A39" i="26"/>
  <c r="B39" i="26"/>
  <c r="A40" i="26"/>
  <c r="B40" i="26"/>
  <c r="A41" i="26"/>
  <c r="B41" i="26"/>
  <c r="A42" i="26"/>
  <c r="B42" i="26"/>
  <c r="A43" i="26"/>
  <c r="B43" i="26"/>
  <c r="A44" i="26"/>
  <c r="B44" i="26"/>
  <c r="A45" i="26"/>
  <c r="B45" i="26"/>
  <c r="A46" i="26"/>
  <c r="B46" i="26"/>
  <c r="A47" i="26"/>
  <c r="B47" i="26"/>
  <c r="A48" i="26"/>
  <c r="B48" i="26"/>
  <c r="A49" i="26"/>
  <c r="B49" i="26"/>
  <c r="A50" i="26"/>
  <c r="B50" i="26"/>
  <c r="A51" i="26"/>
  <c r="B51" i="26"/>
  <c r="A52" i="26"/>
  <c r="B52" i="26"/>
  <c r="A53" i="26"/>
  <c r="B53" i="26"/>
  <c r="A54" i="26"/>
  <c r="B54" i="26"/>
  <c r="A55" i="26"/>
  <c r="B55" i="26"/>
  <c r="A56" i="26"/>
  <c r="B56" i="26"/>
  <c r="A57" i="26"/>
  <c r="B57" i="26"/>
  <c r="A58" i="26"/>
  <c r="B58" i="26"/>
  <c r="A59" i="26"/>
  <c r="B59" i="26"/>
  <c r="A60" i="26"/>
  <c r="B60" i="26"/>
  <c r="A61" i="26"/>
  <c r="B61" i="26"/>
  <c r="A62" i="26"/>
  <c r="B62" i="26"/>
  <c r="A63" i="26"/>
  <c r="B63" i="26"/>
  <c r="A64" i="26"/>
  <c r="B64" i="26"/>
  <c r="A65" i="26"/>
  <c r="B65" i="26"/>
  <c r="A66" i="26"/>
  <c r="B66" i="26"/>
  <c r="A67" i="26"/>
  <c r="B67" i="26"/>
  <c r="A68" i="26"/>
  <c r="B68" i="26"/>
  <c r="A69" i="26"/>
  <c r="B69" i="26"/>
  <c r="A70" i="26"/>
  <c r="B70" i="26"/>
  <c r="A71" i="26"/>
  <c r="B71" i="26"/>
  <c r="A72" i="26"/>
  <c r="B72" i="26"/>
  <c r="A73" i="26"/>
  <c r="B73" i="26"/>
  <c r="A74" i="26"/>
  <c r="B74" i="26"/>
  <c r="A75" i="26"/>
  <c r="B75" i="26"/>
  <c r="A76" i="26"/>
  <c r="B76" i="26"/>
  <c r="A77" i="26"/>
  <c r="B77" i="26"/>
  <c r="A78" i="26"/>
  <c r="B78" i="26"/>
  <c r="A79" i="26"/>
  <c r="B79" i="26"/>
  <c r="A80" i="26"/>
  <c r="B80" i="26"/>
  <c r="A81" i="26"/>
  <c r="B81" i="26"/>
  <c r="A82" i="26"/>
  <c r="B82" i="26"/>
  <c r="A83" i="26"/>
  <c r="B83" i="26"/>
  <c r="A84" i="26"/>
  <c r="B84" i="26"/>
  <c r="A85" i="26"/>
  <c r="B85" i="26"/>
  <c r="A86" i="26"/>
  <c r="B86" i="26"/>
  <c r="A87" i="26"/>
  <c r="B87" i="26"/>
  <c r="A88" i="26"/>
  <c r="B88" i="26"/>
  <c r="A89" i="26"/>
  <c r="B89" i="26"/>
  <c r="A90" i="26"/>
  <c r="B90" i="26"/>
  <c r="A91" i="26"/>
  <c r="B91" i="26"/>
  <c r="A92" i="26"/>
  <c r="B92" i="26"/>
  <c r="A93" i="26"/>
  <c r="B93" i="26"/>
  <c r="A94" i="26"/>
  <c r="B94" i="26"/>
  <c r="A95" i="26"/>
  <c r="B95" i="26"/>
  <c r="A96" i="26"/>
  <c r="B96" i="26"/>
  <c r="A97" i="26"/>
  <c r="B97" i="26"/>
  <c r="AN6" i="18"/>
  <c r="AN7" i="18"/>
  <c r="AN8" i="18"/>
  <c r="AN9" i="18"/>
  <c r="AN10" i="18"/>
  <c r="AN11" i="18"/>
  <c r="AN12" i="18"/>
  <c r="AN13" i="18"/>
  <c r="AN14" i="18"/>
  <c r="AN5" i="18"/>
  <c r="A2" i="24"/>
  <c r="B2" i="24"/>
  <c r="A3" i="24"/>
  <c r="B3" i="24"/>
  <c r="A4" i="24"/>
  <c r="B4" i="24"/>
  <c r="A5" i="24"/>
  <c r="B5" i="24"/>
  <c r="A6" i="24"/>
  <c r="B6" i="24"/>
  <c r="A7" i="24"/>
  <c r="B7" i="24"/>
  <c r="A8" i="24"/>
  <c r="B8" i="24"/>
  <c r="A9" i="24"/>
  <c r="B9" i="24"/>
  <c r="A10" i="24"/>
  <c r="B10" i="24"/>
  <c r="A11" i="24"/>
  <c r="B11" i="24"/>
  <c r="A12" i="24"/>
  <c r="B12" i="24"/>
  <c r="A13" i="24"/>
  <c r="B13" i="24"/>
  <c r="A14" i="24"/>
  <c r="B14" i="24"/>
  <c r="A15" i="24"/>
  <c r="B15" i="24"/>
  <c r="A16" i="24"/>
  <c r="B16" i="24"/>
  <c r="A17" i="24"/>
  <c r="B17" i="24"/>
  <c r="A18" i="24"/>
  <c r="B18" i="24"/>
  <c r="A19" i="24"/>
  <c r="B19" i="24"/>
  <c r="A20" i="24"/>
  <c r="B20" i="24"/>
  <c r="A21" i="24"/>
  <c r="B21" i="24"/>
  <c r="A22" i="24"/>
  <c r="B22" i="24"/>
  <c r="A23" i="24"/>
  <c r="B23" i="24"/>
  <c r="A24" i="24"/>
  <c r="B24" i="24"/>
  <c r="A25" i="24"/>
  <c r="B25" i="24"/>
  <c r="A26" i="24"/>
  <c r="B26" i="24"/>
  <c r="A27" i="24"/>
  <c r="B27" i="24"/>
  <c r="A28" i="24"/>
  <c r="B28" i="24"/>
  <c r="A29" i="24"/>
  <c r="B29" i="24"/>
  <c r="A30" i="24"/>
  <c r="B30" i="24"/>
  <c r="A31" i="24"/>
  <c r="B31" i="24"/>
  <c r="A32" i="24"/>
  <c r="B32" i="24"/>
  <c r="A33" i="24"/>
  <c r="B33" i="24"/>
  <c r="A34" i="24"/>
  <c r="B34" i="24"/>
  <c r="A35" i="24"/>
  <c r="B35" i="24"/>
  <c r="A36" i="24"/>
  <c r="B36" i="24"/>
  <c r="A37" i="24"/>
  <c r="B37" i="24"/>
  <c r="A38" i="24"/>
  <c r="B38" i="24"/>
  <c r="A39" i="24"/>
  <c r="B39" i="24"/>
  <c r="A40" i="24"/>
  <c r="B40" i="24"/>
  <c r="A41" i="24"/>
  <c r="B41" i="24"/>
  <c r="A42" i="24"/>
  <c r="B42" i="24"/>
  <c r="A43" i="24"/>
  <c r="B43" i="24"/>
  <c r="A44" i="24"/>
  <c r="B44" i="24"/>
  <c r="A45" i="24"/>
  <c r="B45" i="24"/>
  <c r="A46" i="24"/>
  <c r="B46" i="24"/>
  <c r="A47" i="24"/>
  <c r="B47" i="24"/>
  <c r="A48" i="24"/>
  <c r="B48" i="24"/>
  <c r="A49" i="24"/>
  <c r="B49" i="24"/>
  <c r="A50" i="24"/>
  <c r="B50" i="24"/>
  <c r="A51" i="24"/>
  <c r="B51" i="24"/>
  <c r="A52" i="24"/>
  <c r="B52" i="24"/>
  <c r="A53" i="24"/>
  <c r="B53" i="24"/>
  <c r="A54" i="24"/>
  <c r="B54" i="24"/>
  <c r="A55" i="24"/>
  <c r="B55" i="24"/>
  <c r="A56" i="24"/>
  <c r="B56" i="24"/>
  <c r="A57" i="24"/>
  <c r="B57" i="24"/>
  <c r="A58" i="24"/>
  <c r="B58" i="24"/>
  <c r="A59" i="24"/>
  <c r="B59" i="24"/>
  <c r="A60" i="24"/>
  <c r="B60" i="24"/>
  <c r="A61" i="24"/>
  <c r="B61" i="24"/>
  <c r="A62" i="24"/>
  <c r="B62" i="24"/>
  <c r="A63" i="24"/>
  <c r="B63" i="24"/>
  <c r="A64" i="24"/>
  <c r="B64" i="24"/>
  <c r="A65" i="24"/>
  <c r="B65" i="24"/>
  <c r="A66" i="24"/>
  <c r="B66" i="24"/>
  <c r="A67" i="24"/>
  <c r="B67" i="24"/>
  <c r="A68" i="24"/>
  <c r="B68" i="24"/>
  <c r="A69" i="24"/>
  <c r="B69" i="24"/>
  <c r="A70" i="24"/>
  <c r="B70" i="24"/>
  <c r="A71" i="24"/>
  <c r="B71" i="24"/>
  <c r="A72" i="24"/>
  <c r="B72" i="24"/>
  <c r="A73" i="24"/>
  <c r="B73" i="24"/>
  <c r="A74" i="24"/>
  <c r="B74" i="24"/>
  <c r="A75" i="24"/>
  <c r="B75" i="24"/>
  <c r="A76" i="24"/>
  <c r="B76" i="24"/>
  <c r="A77" i="24"/>
  <c r="B77" i="24"/>
  <c r="A78" i="24"/>
  <c r="B78" i="24"/>
  <c r="A79" i="24"/>
  <c r="B79" i="24"/>
  <c r="A80" i="24"/>
  <c r="B80" i="24"/>
  <c r="A81" i="24"/>
  <c r="B81" i="24"/>
  <c r="A82" i="24"/>
  <c r="B82" i="24"/>
  <c r="A83" i="24"/>
  <c r="B83" i="24"/>
  <c r="A84" i="24"/>
  <c r="B84" i="24"/>
  <c r="A85" i="24"/>
  <c r="B85" i="24"/>
  <c r="A86" i="24"/>
  <c r="B86" i="24"/>
  <c r="A87" i="24"/>
  <c r="B87" i="24"/>
  <c r="A88" i="24"/>
  <c r="B88" i="24"/>
  <c r="A89" i="24"/>
  <c r="B89" i="24"/>
  <c r="A90" i="24"/>
  <c r="B90" i="24"/>
  <c r="A91" i="24"/>
  <c r="B91" i="24"/>
  <c r="A92" i="24"/>
  <c r="B92" i="24"/>
  <c r="A93" i="24"/>
  <c r="B93" i="24"/>
  <c r="A94" i="24"/>
  <c r="B94" i="24"/>
  <c r="A95" i="24"/>
  <c r="B95" i="24"/>
  <c r="A96" i="24"/>
  <c r="B96" i="24"/>
  <c r="A97" i="24"/>
  <c r="B97" i="24"/>
  <c r="AT14" i="18"/>
  <c r="AT15" i="18"/>
  <c r="AA14" i="18"/>
  <c r="AA15" i="18"/>
  <c r="AA16" i="18"/>
  <c r="T5" i="17"/>
  <c r="T6" i="17"/>
  <c r="T7" i="17"/>
  <c r="T8" i="17"/>
  <c r="T9" i="17"/>
  <c r="T10" i="17"/>
  <c r="T11" i="17"/>
  <c r="T12" i="17"/>
  <c r="T13" i="17"/>
  <c r="T14" i="17"/>
  <c r="S14" i="17"/>
  <c r="T15" i="17"/>
  <c r="K4" i="17"/>
  <c r="K5" i="17"/>
  <c r="K6" i="17"/>
  <c r="K7" i="17"/>
  <c r="K8" i="17"/>
  <c r="K9" i="17"/>
  <c r="K10" i="17"/>
  <c r="K11" i="17"/>
  <c r="K12" i="17"/>
  <c r="K13" i="17"/>
  <c r="K110" i="47"/>
  <c r="K111" i="47"/>
  <c r="K112" i="47"/>
  <c r="K113" i="47"/>
  <c r="K2" i="47"/>
  <c r="K3" i="47"/>
  <c r="K4" i="47"/>
  <c r="K5" i="47"/>
  <c r="K6" i="47"/>
  <c r="K7" i="47"/>
  <c r="K8" i="47"/>
  <c r="K9" i="47"/>
  <c r="K10" i="47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103" i="47"/>
  <c r="K104" i="47"/>
  <c r="K105" i="47"/>
  <c r="K106" i="47"/>
  <c r="K107" i="47"/>
  <c r="K108" i="47"/>
  <c r="K109" i="47"/>
  <c r="K114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3" i="47"/>
  <c r="K134" i="47"/>
  <c r="K135" i="47"/>
  <c r="K136" i="47"/>
  <c r="K137" i="47"/>
  <c r="K138" i="47"/>
  <c r="K139" i="47"/>
  <c r="K140" i="47"/>
  <c r="K141" i="47"/>
  <c r="K142" i="47"/>
  <c r="K143" i="47"/>
  <c r="K144" i="47"/>
  <c r="K145" i="47"/>
  <c r="F69" i="36"/>
  <c r="D69" i="36"/>
  <c r="D92" i="36"/>
  <c r="P7" i="46"/>
  <c r="P8" i="46"/>
  <c r="P9" i="46"/>
  <c r="P10" i="46"/>
  <c r="P11" i="46"/>
  <c r="P12" i="46"/>
  <c r="P13" i="46"/>
  <c r="P14" i="46"/>
  <c r="P15" i="46"/>
  <c r="P16" i="46"/>
  <c r="P17" i="46"/>
  <c r="P18" i="46"/>
  <c r="P19" i="46"/>
  <c r="P20" i="46"/>
  <c r="P21" i="46"/>
  <c r="P22" i="46"/>
  <c r="P23" i="46"/>
  <c r="P24" i="46"/>
  <c r="P25" i="46"/>
  <c r="P26" i="46"/>
  <c r="P27" i="46"/>
  <c r="P28" i="46"/>
  <c r="P29" i="46"/>
  <c r="P30" i="46"/>
  <c r="P31" i="46"/>
  <c r="P32" i="46"/>
  <c r="P33" i="46"/>
  <c r="P34" i="46"/>
  <c r="P35" i="46"/>
  <c r="P36" i="46"/>
  <c r="P37" i="46"/>
  <c r="P38" i="46"/>
  <c r="P39" i="46"/>
  <c r="P40" i="46"/>
  <c r="P41" i="46"/>
  <c r="P42" i="46"/>
  <c r="P43" i="46"/>
  <c r="P44" i="46"/>
  <c r="P45" i="46"/>
  <c r="P46" i="46"/>
  <c r="P47" i="46"/>
  <c r="P48" i="46"/>
  <c r="P49" i="46"/>
  <c r="P50" i="46"/>
  <c r="P51" i="46"/>
  <c r="P52" i="46"/>
  <c r="P53" i="46"/>
  <c r="P54" i="46"/>
  <c r="P55" i="46"/>
  <c r="P56" i="46"/>
  <c r="P57" i="46"/>
  <c r="P58" i="46"/>
  <c r="P59" i="46"/>
  <c r="P60" i="46"/>
  <c r="P61" i="46"/>
  <c r="P62" i="46"/>
  <c r="P63" i="46"/>
  <c r="P64" i="46"/>
  <c r="P65" i="46"/>
  <c r="P66" i="46"/>
  <c r="P67" i="46"/>
  <c r="P68" i="46"/>
  <c r="P69" i="46"/>
  <c r="P70" i="46"/>
  <c r="P71" i="46"/>
  <c r="P72" i="46"/>
  <c r="P73" i="46"/>
  <c r="P74" i="46"/>
  <c r="P75" i="46"/>
  <c r="P76" i="46"/>
  <c r="P77" i="46"/>
  <c r="P78" i="46"/>
  <c r="P79" i="46"/>
  <c r="P80" i="46"/>
  <c r="P81" i="46"/>
  <c r="P82" i="46"/>
  <c r="P83" i="46"/>
  <c r="P84" i="46"/>
  <c r="P85" i="46"/>
  <c r="P86" i="46"/>
  <c r="P87" i="46"/>
  <c r="P88" i="46"/>
  <c r="P89" i="46"/>
  <c r="P90" i="46"/>
  <c r="P91" i="46"/>
  <c r="P92" i="46"/>
  <c r="P93" i="46"/>
  <c r="P94" i="46"/>
  <c r="P95" i="46"/>
  <c r="P96" i="46"/>
  <c r="P97" i="46"/>
  <c r="P98" i="46"/>
  <c r="P99" i="46"/>
  <c r="P100" i="46"/>
  <c r="P101" i="46"/>
  <c r="P102" i="46"/>
  <c r="P103" i="46"/>
  <c r="P104" i="46"/>
  <c r="P105" i="46"/>
  <c r="P106" i="46"/>
  <c r="P107" i="46"/>
  <c r="P108" i="46"/>
  <c r="P109" i="46"/>
  <c r="P110" i="46"/>
  <c r="P111" i="46"/>
  <c r="P112" i="46"/>
  <c r="P113" i="46"/>
  <c r="P114" i="46"/>
  <c r="P115" i="46"/>
  <c r="P116" i="46"/>
  <c r="P117" i="46"/>
  <c r="P118" i="46"/>
  <c r="P119" i="46"/>
  <c r="P120" i="46"/>
  <c r="P121" i="46"/>
  <c r="P122" i="46"/>
  <c r="AA122" i="46"/>
  <c r="P123" i="46"/>
  <c r="AA123" i="46"/>
  <c r="P124" i="46"/>
  <c r="AA124" i="46"/>
  <c r="P125" i="46"/>
  <c r="AA125" i="46"/>
  <c r="P126" i="46"/>
  <c r="AA126" i="46"/>
  <c r="P127" i="46"/>
  <c r="AA127" i="46"/>
  <c r="P128" i="46"/>
  <c r="AA128" i="46"/>
  <c r="P129" i="46"/>
  <c r="AA129" i="46"/>
  <c r="P130" i="46"/>
  <c r="AA130" i="46"/>
  <c r="P131" i="46"/>
  <c r="AA131" i="46"/>
  <c r="P132" i="46"/>
  <c r="AA132" i="46"/>
  <c r="P133" i="46"/>
  <c r="AA133" i="46"/>
  <c r="P134" i="46"/>
  <c r="AA134" i="46"/>
  <c r="P135" i="46"/>
  <c r="AA135" i="46"/>
  <c r="P136" i="46"/>
  <c r="AA136" i="46"/>
  <c r="P137" i="46"/>
  <c r="AA137" i="46"/>
  <c r="P138" i="46"/>
  <c r="AA138" i="46"/>
  <c r="P139" i="46"/>
  <c r="AA139" i="46"/>
  <c r="P140" i="46"/>
  <c r="AA140" i="46"/>
  <c r="P141" i="46"/>
  <c r="AA141" i="46"/>
  <c r="P142" i="46"/>
  <c r="AA142" i="46"/>
  <c r="P143" i="46"/>
  <c r="AA143" i="46"/>
  <c r="P144" i="46"/>
  <c r="AA144" i="46"/>
  <c r="P145" i="46"/>
  <c r="AA145" i="46"/>
  <c r="P6" i="46"/>
  <c r="P5" i="46"/>
  <c r="P4" i="46"/>
  <c r="P3" i="46"/>
  <c r="P2" i="46"/>
  <c r="C1" i="47"/>
  <c r="C1" i="46"/>
  <c r="F121" i="47"/>
  <c r="F122" i="47"/>
  <c r="F123" i="47"/>
  <c r="F124" i="47"/>
  <c r="F125" i="47"/>
  <c r="F126" i="47"/>
  <c r="F127" i="47"/>
  <c r="F128" i="47"/>
  <c r="F129" i="47"/>
  <c r="F130" i="47"/>
  <c r="F131" i="47"/>
  <c r="F132" i="47"/>
  <c r="F133" i="47"/>
  <c r="F134" i="47"/>
  <c r="F135" i="47"/>
  <c r="F136" i="47"/>
  <c r="F137" i="47"/>
  <c r="F138" i="47"/>
  <c r="F139" i="47"/>
  <c r="F140" i="47"/>
  <c r="F141" i="47"/>
  <c r="F142" i="47"/>
  <c r="F143" i="47"/>
  <c r="F144" i="47"/>
  <c r="F145" i="47"/>
  <c r="B145" i="47"/>
  <c r="B144" i="47"/>
  <c r="B143" i="47"/>
  <c r="B142" i="47"/>
  <c r="B141" i="47"/>
  <c r="B140" i="47"/>
  <c r="B139" i="47"/>
  <c r="B138" i="47"/>
  <c r="B137" i="47"/>
  <c r="B136" i="47"/>
  <c r="B135" i="47"/>
  <c r="B134" i="47"/>
  <c r="B133" i="47"/>
  <c r="B132" i="47"/>
  <c r="B131" i="47"/>
  <c r="B130" i="47"/>
  <c r="B129" i="47"/>
  <c r="B128" i="47"/>
  <c r="B127" i="47"/>
  <c r="B126" i="47"/>
  <c r="B125" i="47"/>
  <c r="B124" i="47"/>
  <c r="B123" i="47"/>
  <c r="B122" i="47"/>
  <c r="B121" i="47"/>
  <c r="F120" i="47"/>
  <c r="B120" i="47"/>
  <c r="F119" i="47"/>
  <c r="B119" i="47"/>
  <c r="F118" i="47"/>
  <c r="B118" i="47"/>
  <c r="F117" i="47"/>
  <c r="B117" i="47"/>
  <c r="F116" i="47"/>
  <c r="B116" i="47"/>
  <c r="F115" i="47"/>
  <c r="B115" i="47"/>
  <c r="F114" i="47"/>
  <c r="B114" i="47"/>
  <c r="F113" i="47"/>
  <c r="B113" i="47"/>
  <c r="F112" i="47"/>
  <c r="B112" i="47"/>
  <c r="F111" i="47"/>
  <c r="B111" i="47"/>
  <c r="F110" i="47"/>
  <c r="B110" i="47"/>
  <c r="F109" i="47"/>
  <c r="B109" i="47"/>
  <c r="F108" i="47"/>
  <c r="B108" i="47"/>
  <c r="F107" i="47"/>
  <c r="B107" i="47"/>
  <c r="F106" i="47"/>
  <c r="B106" i="47"/>
  <c r="F105" i="47"/>
  <c r="B105" i="47"/>
  <c r="F104" i="47"/>
  <c r="B104" i="47"/>
  <c r="F103" i="47"/>
  <c r="B103" i="47"/>
  <c r="F102" i="47"/>
  <c r="B102" i="47"/>
  <c r="F101" i="47"/>
  <c r="B101" i="47"/>
  <c r="F100" i="47"/>
  <c r="B100" i="47"/>
  <c r="F99" i="47"/>
  <c r="B99" i="47"/>
  <c r="F98" i="47"/>
  <c r="B98" i="47"/>
  <c r="F97" i="47"/>
  <c r="F96" i="47"/>
  <c r="F95" i="47"/>
  <c r="F94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1" i="47"/>
  <c r="F60" i="47"/>
  <c r="F59" i="47"/>
  <c r="F58" i="47"/>
  <c r="F57" i="47"/>
  <c r="F56" i="47"/>
  <c r="F55" i="47"/>
  <c r="F54" i="47"/>
  <c r="F53" i="47"/>
  <c r="F52" i="47"/>
  <c r="F51" i="47"/>
  <c r="F50" i="47"/>
  <c r="F49" i="47"/>
  <c r="F48" i="47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F4" i="47"/>
  <c r="F3" i="47"/>
  <c r="F2" i="47"/>
  <c r="I1" i="47"/>
  <c r="Q1" i="47"/>
  <c r="H1" i="47"/>
  <c r="P1" i="47"/>
  <c r="G1" i="47"/>
  <c r="O1" i="47"/>
  <c r="F1" i="47"/>
  <c r="N1" i="47"/>
  <c r="E1" i="47"/>
  <c r="M1" i="47"/>
  <c r="D1" i="47"/>
  <c r="L1" i="47"/>
  <c r="L97" i="46"/>
  <c r="L109" i="46"/>
  <c r="L121" i="46"/>
  <c r="L133" i="46"/>
  <c r="L145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B145" i="46"/>
  <c r="L96" i="46"/>
  <c r="L108" i="46"/>
  <c r="L120" i="46"/>
  <c r="L132" i="46"/>
  <c r="L144" i="46"/>
  <c r="B144" i="46"/>
  <c r="L95" i="46"/>
  <c r="L107" i="46"/>
  <c r="L119" i="46"/>
  <c r="L131" i="46"/>
  <c r="L143" i="46"/>
  <c r="B143" i="46"/>
  <c r="L94" i="46"/>
  <c r="L106" i="46"/>
  <c r="L118" i="46"/>
  <c r="L130" i="46"/>
  <c r="L142" i="46"/>
  <c r="B142" i="46"/>
  <c r="L93" i="46"/>
  <c r="L105" i="46"/>
  <c r="L117" i="46"/>
  <c r="L129" i="46"/>
  <c r="L141" i="46"/>
  <c r="B141" i="46"/>
  <c r="L92" i="46"/>
  <c r="L104" i="46"/>
  <c r="L116" i="46"/>
  <c r="L128" i="46"/>
  <c r="L140" i="46"/>
  <c r="B140" i="46"/>
  <c r="L91" i="46"/>
  <c r="L103" i="46"/>
  <c r="L115" i="46"/>
  <c r="L127" i="46"/>
  <c r="L139" i="46"/>
  <c r="B139" i="46"/>
  <c r="L90" i="46"/>
  <c r="L102" i="46"/>
  <c r="L114" i="46"/>
  <c r="L126" i="46"/>
  <c r="L138" i="46"/>
  <c r="B138" i="46"/>
  <c r="L89" i="46"/>
  <c r="L101" i="46"/>
  <c r="L113" i="46"/>
  <c r="L125" i="46"/>
  <c r="L137" i="46"/>
  <c r="B137" i="46"/>
  <c r="L88" i="46"/>
  <c r="L100" i="46"/>
  <c r="L112" i="46"/>
  <c r="L124" i="46"/>
  <c r="L136" i="46"/>
  <c r="B136" i="46"/>
  <c r="L87" i="46"/>
  <c r="L99" i="46"/>
  <c r="L111" i="46"/>
  <c r="L123" i="46"/>
  <c r="L135" i="46"/>
  <c r="B135" i="46"/>
  <c r="L86" i="46"/>
  <c r="L98" i="46"/>
  <c r="L110" i="46"/>
  <c r="L122" i="46"/>
  <c r="L134" i="46"/>
  <c r="B134" i="46"/>
  <c r="B133" i="46"/>
  <c r="B132" i="46"/>
  <c r="B131" i="46"/>
  <c r="B130" i="46"/>
  <c r="B129" i="46"/>
  <c r="B128" i="46"/>
  <c r="B127" i="46"/>
  <c r="B126" i="46"/>
  <c r="B125" i="46"/>
  <c r="B124" i="46"/>
  <c r="B123" i="46"/>
  <c r="B122" i="46"/>
  <c r="B121" i="46"/>
  <c r="B120" i="46"/>
  <c r="B119" i="46"/>
  <c r="B118" i="46"/>
  <c r="B117" i="46"/>
  <c r="B116" i="46"/>
  <c r="B115" i="46"/>
  <c r="B114" i="46"/>
  <c r="B113" i="46"/>
  <c r="B112" i="46"/>
  <c r="B111" i="46"/>
  <c r="B110" i="46"/>
  <c r="B109" i="46"/>
  <c r="B108" i="46"/>
  <c r="B107" i="46"/>
  <c r="B106" i="46"/>
  <c r="B105" i="46"/>
  <c r="B104" i="46"/>
  <c r="B103" i="46"/>
  <c r="B102" i="46"/>
  <c r="B101" i="46"/>
  <c r="B100" i="46"/>
  <c r="B99" i="46"/>
  <c r="B98" i="46"/>
  <c r="G96" i="46"/>
  <c r="G95" i="46"/>
  <c r="G94" i="46"/>
  <c r="G93" i="46"/>
  <c r="G92" i="46"/>
  <c r="G91" i="46"/>
  <c r="G90" i="46"/>
  <c r="G89" i="46"/>
  <c r="G88" i="46"/>
  <c r="G87" i="46"/>
  <c r="G86" i="46"/>
  <c r="L85" i="46"/>
  <c r="G85" i="46"/>
  <c r="L84" i="46"/>
  <c r="G84" i="46"/>
  <c r="L83" i="46"/>
  <c r="G83" i="46"/>
  <c r="L82" i="46"/>
  <c r="G82" i="46"/>
  <c r="L81" i="46"/>
  <c r="G81" i="46"/>
  <c r="L80" i="46"/>
  <c r="G80" i="46"/>
  <c r="L79" i="46"/>
  <c r="G79" i="46"/>
  <c r="L78" i="46"/>
  <c r="G78" i="46"/>
  <c r="L77" i="46"/>
  <c r="G77" i="46"/>
  <c r="L76" i="46"/>
  <c r="G76" i="46"/>
  <c r="L75" i="46"/>
  <c r="G75" i="46"/>
  <c r="L74" i="46"/>
  <c r="G74" i="46"/>
  <c r="L73" i="46"/>
  <c r="G73" i="46"/>
  <c r="L72" i="46"/>
  <c r="G72" i="46"/>
  <c r="L71" i="46"/>
  <c r="G71" i="46"/>
  <c r="L70" i="46"/>
  <c r="G70" i="46"/>
  <c r="L69" i="46"/>
  <c r="G69" i="46"/>
  <c r="L68" i="46"/>
  <c r="G68" i="46"/>
  <c r="L67" i="46"/>
  <c r="G67" i="46"/>
  <c r="L66" i="46"/>
  <c r="G66" i="46"/>
  <c r="L65" i="46"/>
  <c r="G65" i="46"/>
  <c r="L64" i="46"/>
  <c r="G64" i="46"/>
  <c r="L63" i="46"/>
  <c r="G63" i="46"/>
  <c r="L62" i="46"/>
  <c r="G62" i="46"/>
  <c r="L61" i="46"/>
  <c r="G61" i="46"/>
  <c r="L60" i="46"/>
  <c r="G60" i="46"/>
  <c r="L59" i="46"/>
  <c r="G59" i="46"/>
  <c r="L58" i="46"/>
  <c r="G58" i="46"/>
  <c r="L57" i="46"/>
  <c r="G57" i="46"/>
  <c r="L56" i="46"/>
  <c r="G56" i="46"/>
  <c r="L55" i="46"/>
  <c r="G55" i="46"/>
  <c r="L54" i="46"/>
  <c r="G54" i="46"/>
  <c r="L53" i="46"/>
  <c r="G53" i="46"/>
  <c r="L52" i="46"/>
  <c r="G52" i="46"/>
  <c r="L51" i="46"/>
  <c r="G51" i="46"/>
  <c r="L50" i="46"/>
  <c r="G50" i="46"/>
  <c r="L49" i="46"/>
  <c r="G49" i="46"/>
  <c r="L48" i="46"/>
  <c r="G48" i="46"/>
  <c r="L47" i="46"/>
  <c r="G47" i="46"/>
  <c r="L46" i="46"/>
  <c r="G46" i="46"/>
  <c r="L45" i="46"/>
  <c r="G45" i="46"/>
  <c r="L44" i="46"/>
  <c r="G44" i="46"/>
  <c r="L43" i="46"/>
  <c r="G43" i="46"/>
  <c r="L42" i="46"/>
  <c r="G42" i="46"/>
  <c r="L41" i="46"/>
  <c r="G41" i="46"/>
  <c r="L40" i="46"/>
  <c r="G40" i="46"/>
  <c r="L39" i="46"/>
  <c r="G39" i="46"/>
  <c r="L38" i="46"/>
  <c r="G38" i="46"/>
  <c r="L37" i="46"/>
  <c r="G37" i="46"/>
  <c r="L36" i="46"/>
  <c r="G36" i="46"/>
  <c r="L35" i="46"/>
  <c r="G35" i="46"/>
  <c r="L34" i="46"/>
  <c r="G34" i="46"/>
  <c r="L33" i="46"/>
  <c r="G33" i="46"/>
  <c r="L32" i="46"/>
  <c r="G32" i="46"/>
  <c r="L31" i="46"/>
  <c r="G31" i="46"/>
  <c r="L30" i="46"/>
  <c r="G30" i="46"/>
  <c r="L29" i="46"/>
  <c r="G29" i="46"/>
  <c r="L28" i="46"/>
  <c r="G28" i="46"/>
  <c r="L27" i="46"/>
  <c r="G27" i="46"/>
  <c r="L26" i="46"/>
  <c r="G26" i="46"/>
  <c r="L25" i="46"/>
  <c r="G25" i="46"/>
  <c r="L24" i="46"/>
  <c r="G24" i="46"/>
  <c r="L23" i="46"/>
  <c r="G23" i="46"/>
  <c r="L22" i="46"/>
  <c r="G22" i="46"/>
  <c r="L21" i="46"/>
  <c r="G21" i="46"/>
  <c r="L20" i="46"/>
  <c r="G20" i="46"/>
  <c r="L19" i="46"/>
  <c r="G19" i="46"/>
  <c r="L18" i="46"/>
  <c r="G18" i="46"/>
  <c r="L17" i="46"/>
  <c r="G17" i="46"/>
  <c r="L16" i="46"/>
  <c r="G16" i="46"/>
  <c r="L15" i="46"/>
  <c r="G15" i="46"/>
  <c r="L14" i="46"/>
  <c r="G14" i="46"/>
  <c r="L13" i="46"/>
  <c r="G13" i="46"/>
  <c r="L12" i="46"/>
  <c r="G12" i="46"/>
  <c r="L11" i="46"/>
  <c r="G11" i="46"/>
  <c r="L10" i="46"/>
  <c r="G10" i="46"/>
  <c r="L9" i="46"/>
  <c r="G9" i="46"/>
  <c r="L8" i="46"/>
  <c r="G8" i="46"/>
  <c r="L7" i="46"/>
  <c r="G7" i="46"/>
  <c r="L6" i="46"/>
  <c r="G6" i="46"/>
  <c r="L5" i="46"/>
  <c r="G5" i="46"/>
  <c r="L4" i="46"/>
  <c r="G4" i="46"/>
  <c r="L3" i="46"/>
  <c r="G3" i="46"/>
  <c r="L2" i="46"/>
  <c r="G2" i="46"/>
  <c r="N1" i="46"/>
  <c r="AA1" i="46"/>
  <c r="M1" i="46"/>
  <c r="Z1" i="46"/>
  <c r="L1" i="46"/>
  <c r="Y1" i="46"/>
  <c r="K1" i="46"/>
  <c r="X1" i="46"/>
  <c r="J1" i="46"/>
  <c r="W1" i="46"/>
  <c r="I1" i="46"/>
  <c r="V1" i="46"/>
  <c r="H1" i="46"/>
  <c r="U1" i="46"/>
  <c r="G1" i="46"/>
  <c r="T1" i="46"/>
  <c r="F1" i="46"/>
  <c r="S1" i="46"/>
  <c r="E1" i="46"/>
  <c r="R1" i="46"/>
  <c r="D1" i="46"/>
  <c r="Q1" i="46"/>
  <c r="A2" i="15"/>
  <c r="B2" i="15"/>
  <c r="A3" i="15"/>
  <c r="B3" i="15"/>
  <c r="A4" i="15"/>
  <c r="B4" i="15"/>
  <c r="A5" i="15"/>
  <c r="B5" i="15"/>
  <c r="A6" i="15"/>
  <c r="B6" i="15"/>
  <c r="A7" i="15"/>
  <c r="B7" i="15"/>
  <c r="A8" i="15"/>
  <c r="B8" i="15"/>
  <c r="A9" i="15"/>
  <c r="B9" i="15"/>
  <c r="A10" i="15"/>
  <c r="B10" i="15"/>
  <c r="A11" i="15"/>
  <c r="B11" i="15"/>
  <c r="A12" i="15"/>
  <c r="B12" i="15"/>
  <c r="A13" i="15"/>
  <c r="B13" i="15"/>
  <c r="A14" i="15"/>
  <c r="B14" i="15"/>
  <c r="A15" i="15"/>
  <c r="B15" i="15"/>
  <c r="A16" i="15"/>
  <c r="B16" i="15"/>
  <c r="A17" i="15"/>
  <c r="B17" i="15"/>
  <c r="A18" i="15"/>
  <c r="B18" i="15"/>
  <c r="A19" i="15"/>
  <c r="B19" i="15"/>
  <c r="A20" i="15"/>
  <c r="B20" i="15"/>
  <c r="A21" i="15"/>
  <c r="B21" i="15"/>
  <c r="A22" i="15"/>
  <c r="B22" i="15"/>
  <c r="A23" i="15"/>
  <c r="B23" i="15"/>
  <c r="A24" i="15"/>
  <c r="B24" i="15"/>
  <c r="A25" i="15"/>
  <c r="B25" i="15"/>
  <c r="A26" i="15"/>
  <c r="B26" i="15"/>
  <c r="A27" i="15"/>
  <c r="B27" i="15"/>
  <c r="A28" i="15"/>
  <c r="B28" i="15"/>
  <c r="A29" i="15"/>
  <c r="B29" i="15"/>
  <c r="A30" i="15"/>
  <c r="B30" i="15"/>
  <c r="A31" i="15"/>
  <c r="B31" i="15"/>
  <c r="A32" i="15"/>
  <c r="B32" i="15"/>
  <c r="A33" i="15"/>
  <c r="B33" i="15"/>
  <c r="A34" i="15"/>
  <c r="B34" i="15"/>
  <c r="A35" i="15"/>
  <c r="B35" i="15"/>
  <c r="A36" i="15"/>
  <c r="B36" i="15"/>
  <c r="A37" i="15"/>
  <c r="B37" i="15"/>
  <c r="A38" i="15"/>
  <c r="B38" i="15"/>
  <c r="A39" i="15"/>
  <c r="B39" i="15"/>
  <c r="A40" i="15"/>
  <c r="B40" i="15"/>
  <c r="A41" i="15"/>
  <c r="B41" i="15"/>
  <c r="A42" i="15"/>
  <c r="B42" i="15"/>
  <c r="A43" i="15"/>
  <c r="B43" i="15"/>
  <c r="A44" i="15"/>
  <c r="B44" i="15"/>
  <c r="A45" i="15"/>
  <c r="B45" i="15"/>
  <c r="A46" i="15"/>
  <c r="B46" i="15"/>
  <c r="A47" i="15"/>
  <c r="B47" i="15"/>
  <c r="A48" i="15"/>
  <c r="B48" i="15"/>
  <c r="A49" i="15"/>
  <c r="B49" i="15"/>
  <c r="A50" i="15"/>
  <c r="B50" i="15"/>
  <c r="A51" i="15"/>
  <c r="B51" i="15"/>
  <c r="A52" i="15"/>
  <c r="B52" i="15"/>
  <c r="A53" i="15"/>
  <c r="B53" i="15"/>
  <c r="A54" i="15"/>
  <c r="B54" i="15"/>
  <c r="A55" i="15"/>
  <c r="B55" i="15"/>
  <c r="A56" i="15"/>
  <c r="B56" i="15"/>
  <c r="A57" i="15"/>
  <c r="B57" i="15"/>
  <c r="A58" i="15"/>
  <c r="B58" i="15"/>
  <c r="A59" i="15"/>
  <c r="B59" i="15"/>
  <c r="A60" i="15"/>
  <c r="B60" i="15"/>
  <c r="A61" i="15"/>
  <c r="B61" i="15"/>
  <c r="A62" i="15"/>
  <c r="B62" i="15"/>
  <c r="A63" i="15"/>
  <c r="B63" i="15"/>
  <c r="A64" i="15"/>
  <c r="B64" i="15"/>
  <c r="A65" i="15"/>
  <c r="B65" i="15"/>
  <c r="A66" i="15"/>
  <c r="B66" i="15"/>
  <c r="A67" i="15"/>
  <c r="B67" i="15"/>
  <c r="A68" i="15"/>
  <c r="B68" i="15"/>
  <c r="A69" i="15"/>
  <c r="B69" i="15"/>
  <c r="A70" i="15"/>
  <c r="B70" i="15"/>
  <c r="A71" i="15"/>
  <c r="B71" i="15"/>
  <c r="A72" i="15"/>
  <c r="B72" i="15"/>
  <c r="A73" i="15"/>
  <c r="B73" i="15"/>
  <c r="A74" i="15"/>
  <c r="B74" i="15"/>
  <c r="A75" i="15"/>
  <c r="B75" i="15"/>
  <c r="A76" i="15"/>
  <c r="B76" i="15"/>
  <c r="A77" i="15"/>
  <c r="B77" i="15"/>
  <c r="A78" i="15"/>
  <c r="B78" i="15"/>
  <c r="A79" i="15"/>
  <c r="B79" i="15"/>
  <c r="A80" i="15"/>
  <c r="B80" i="15"/>
  <c r="A81" i="15"/>
  <c r="B81" i="15"/>
  <c r="A82" i="15"/>
  <c r="B82" i="15"/>
  <c r="A83" i="15"/>
  <c r="B83" i="15"/>
  <c r="A84" i="15"/>
  <c r="B84" i="15"/>
  <c r="A85" i="15"/>
  <c r="B85" i="15"/>
  <c r="A86" i="15"/>
  <c r="B86" i="15"/>
  <c r="A87" i="15"/>
  <c r="B87" i="15"/>
  <c r="A88" i="15"/>
  <c r="B88" i="15"/>
  <c r="A89" i="15"/>
  <c r="B89" i="15"/>
  <c r="A90" i="15"/>
  <c r="B90" i="15"/>
  <c r="A91" i="15"/>
  <c r="B91" i="15"/>
  <c r="A92" i="15"/>
  <c r="B92" i="15"/>
  <c r="A93" i="15"/>
  <c r="B93" i="15"/>
  <c r="A94" i="15"/>
  <c r="B94" i="15"/>
  <c r="A95" i="15"/>
  <c r="B95" i="15"/>
  <c r="A96" i="15"/>
  <c r="B96" i="15"/>
  <c r="A97" i="15"/>
  <c r="B97" i="15"/>
  <c r="A98" i="15"/>
  <c r="B98" i="15"/>
  <c r="A99" i="15"/>
  <c r="B99" i="15"/>
  <c r="A100" i="15"/>
  <c r="B100" i="15"/>
  <c r="A101" i="15"/>
  <c r="B101" i="15"/>
  <c r="A102" i="15"/>
  <c r="B102" i="15"/>
  <c r="A103" i="15"/>
  <c r="B103" i="15"/>
  <c r="A104" i="15"/>
  <c r="B104" i="15"/>
  <c r="A105" i="15"/>
  <c r="B105" i="15"/>
  <c r="A106" i="15"/>
  <c r="B106" i="15"/>
  <c r="A107" i="15"/>
  <c r="B107" i="15"/>
  <c r="A108" i="15"/>
  <c r="B108" i="15"/>
  <c r="A109" i="15"/>
  <c r="B109" i="15"/>
  <c r="A110" i="15"/>
  <c r="B110" i="15"/>
  <c r="A111" i="15"/>
  <c r="B111" i="15"/>
  <c r="A112" i="15"/>
  <c r="B112" i="15"/>
  <c r="A113" i="15"/>
  <c r="B113" i="15"/>
  <c r="A114" i="15"/>
  <c r="B114" i="15"/>
  <c r="A115" i="15"/>
  <c r="B115" i="15"/>
  <c r="A116" i="15"/>
  <c r="B116" i="15"/>
  <c r="A117" i="15"/>
  <c r="B117" i="15"/>
  <c r="A118" i="15"/>
  <c r="B118" i="15"/>
  <c r="A119" i="15"/>
  <c r="B119" i="15"/>
  <c r="A120" i="15"/>
  <c r="B120" i="15"/>
  <c r="A121" i="15"/>
  <c r="B121" i="15"/>
  <c r="X13" i="16"/>
  <c r="X12" i="16"/>
  <c r="X11" i="16"/>
  <c r="X10" i="16"/>
  <c r="X9" i="16"/>
  <c r="X8" i="16"/>
  <c r="X7" i="16"/>
  <c r="X6" i="16"/>
  <c r="X5" i="16"/>
  <c r="X4" i="16"/>
  <c r="P2" i="24"/>
  <c r="P3" i="24"/>
  <c r="P4" i="24"/>
  <c r="P5" i="24"/>
  <c r="P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AA122" i="24"/>
  <c r="P123" i="24"/>
  <c r="AA123" i="24"/>
  <c r="P124" i="24"/>
  <c r="AA124" i="24"/>
  <c r="P125" i="24"/>
  <c r="AA125" i="24"/>
  <c r="P126" i="24"/>
  <c r="AA126" i="24"/>
  <c r="P127" i="24"/>
  <c r="AA127" i="24"/>
  <c r="P128" i="24"/>
  <c r="AA128" i="24"/>
  <c r="P129" i="24"/>
  <c r="AA129" i="24"/>
  <c r="P130" i="24"/>
  <c r="AA130" i="24"/>
  <c r="P131" i="24"/>
  <c r="AA131" i="24"/>
  <c r="P132" i="24"/>
  <c r="AA132" i="24"/>
  <c r="P133" i="24"/>
  <c r="AA133" i="24"/>
  <c r="P134" i="24"/>
  <c r="AA134" i="24"/>
  <c r="P135" i="24"/>
  <c r="AA135" i="24"/>
  <c r="P136" i="24"/>
  <c r="AA136" i="24"/>
  <c r="P137" i="24"/>
  <c r="AA137" i="24"/>
  <c r="P138" i="24"/>
  <c r="AA138" i="24"/>
  <c r="P139" i="24"/>
  <c r="AA139" i="24"/>
  <c r="P140" i="24"/>
  <c r="AA140" i="24"/>
  <c r="P141" i="24"/>
  <c r="AA141" i="24"/>
  <c r="P142" i="24"/>
  <c r="AA142" i="24"/>
  <c r="P143" i="24"/>
  <c r="AA143" i="24"/>
  <c r="P144" i="24"/>
  <c r="AA144" i="24"/>
  <c r="P145" i="24"/>
  <c r="AA145" i="24"/>
  <c r="K2" i="26"/>
  <c r="K3" i="26"/>
  <c r="K4" i="26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A2" i="13"/>
  <c r="B2" i="13" s="1"/>
  <c r="A3" i="13"/>
  <c r="B3" i="13" s="1"/>
  <c r="A4" i="13"/>
  <c r="B4" i="13" s="1"/>
  <c r="A5" i="13"/>
  <c r="B5" i="13" s="1"/>
  <c r="A6" i="13"/>
  <c r="B6" i="13" s="1"/>
  <c r="A7" i="13"/>
  <c r="B7" i="13" s="1"/>
  <c r="A8" i="13"/>
  <c r="B8" i="13" s="1"/>
  <c r="A9" i="13"/>
  <c r="B9" i="13" s="1"/>
  <c r="A10" i="13"/>
  <c r="B10" i="13" s="1"/>
  <c r="A11" i="13"/>
  <c r="B11" i="13" s="1"/>
  <c r="A12" i="13"/>
  <c r="B12" i="13" s="1"/>
  <c r="A13" i="13"/>
  <c r="B13" i="13" s="1"/>
  <c r="A14" i="13"/>
  <c r="B14" i="13" s="1"/>
  <c r="A15" i="13"/>
  <c r="B15" i="13" s="1"/>
  <c r="A16" i="13"/>
  <c r="B16" i="13" s="1"/>
  <c r="A17" i="13"/>
  <c r="B17" i="13" s="1"/>
  <c r="A18" i="13"/>
  <c r="B18" i="13" s="1"/>
  <c r="A19" i="13"/>
  <c r="B19" i="13" s="1"/>
  <c r="A20" i="13"/>
  <c r="B20" i="13" s="1"/>
  <c r="A21" i="13"/>
  <c r="B21" i="13" s="1"/>
  <c r="A22" i="13"/>
  <c r="B22" i="13" s="1"/>
  <c r="A23" i="13"/>
  <c r="B23" i="13" s="1"/>
  <c r="A24" i="13"/>
  <c r="B24" i="13" s="1"/>
  <c r="A25" i="13"/>
  <c r="B25" i="13" s="1"/>
  <c r="A26" i="13"/>
  <c r="B26" i="13" s="1"/>
  <c r="A27" i="13"/>
  <c r="B27" i="13" s="1"/>
  <c r="A28" i="13"/>
  <c r="B28" i="13" s="1"/>
  <c r="A29" i="13"/>
  <c r="B29" i="13" s="1"/>
  <c r="A30" i="13"/>
  <c r="B30" i="13" s="1"/>
  <c r="A31" i="13"/>
  <c r="B31" i="13" s="1"/>
  <c r="A32" i="13"/>
  <c r="B32" i="13" s="1"/>
  <c r="A33" i="13"/>
  <c r="B33" i="13" s="1"/>
  <c r="A34" i="13"/>
  <c r="B34" i="13" s="1"/>
  <c r="A35" i="13"/>
  <c r="B35" i="13" s="1"/>
  <c r="A36" i="13"/>
  <c r="B36" i="13" s="1"/>
  <c r="A37" i="13"/>
  <c r="B37" i="13" s="1"/>
  <c r="A38" i="13"/>
  <c r="B38" i="13" s="1"/>
  <c r="A39" i="13"/>
  <c r="B39" i="13" s="1"/>
  <c r="A40" i="13"/>
  <c r="B40" i="13" s="1"/>
  <c r="A41" i="13"/>
  <c r="B41" i="13" s="1"/>
  <c r="A42" i="13"/>
  <c r="B42" i="13" s="1"/>
  <c r="A43" i="13"/>
  <c r="B43" i="13" s="1"/>
  <c r="A44" i="13"/>
  <c r="B44" i="13" s="1"/>
  <c r="A45" i="13"/>
  <c r="B45" i="13" s="1"/>
  <c r="A46" i="13"/>
  <c r="B46" i="13" s="1"/>
  <c r="A47" i="13"/>
  <c r="B47" i="13" s="1"/>
  <c r="A48" i="13"/>
  <c r="B48" i="13" s="1"/>
  <c r="A49" i="13"/>
  <c r="B49" i="13" s="1"/>
  <c r="A50" i="13"/>
  <c r="B50" i="13" s="1"/>
  <c r="A51" i="13"/>
  <c r="B51" i="13" s="1"/>
  <c r="A52" i="13"/>
  <c r="B52" i="13" s="1"/>
  <c r="A53" i="13"/>
  <c r="B53" i="13" s="1"/>
  <c r="A54" i="13"/>
  <c r="B54" i="13" s="1"/>
  <c r="A55" i="13"/>
  <c r="B55" i="13" s="1"/>
  <c r="A56" i="13"/>
  <c r="B56" i="13" s="1"/>
  <c r="A57" i="13"/>
  <c r="B57" i="13" s="1"/>
  <c r="A58" i="13"/>
  <c r="B58" i="13" s="1"/>
  <c r="A59" i="13"/>
  <c r="B59" i="13" s="1"/>
  <c r="A60" i="13"/>
  <c r="B60" i="13" s="1"/>
  <c r="A61" i="13"/>
  <c r="B61" i="13" s="1"/>
  <c r="A62" i="13"/>
  <c r="A63" i="13"/>
  <c r="B63" i="13" s="1"/>
  <c r="A64" i="13"/>
  <c r="A65" i="13"/>
  <c r="B65" i="13" s="1"/>
  <c r="A66" i="13"/>
  <c r="A67" i="13"/>
  <c r="B67" i="13" s="1"/>
  <c r="A68" i="13"/>
  <c r="A69" i="13"/>
  <c r="B69" i="13" s="1"/>
  <c r="A70" i="13"/>
  <c r="A71" i="13"/>
  <c r="B71" i="13" s="1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E2" i="13"/>
  <c r="R2" i="13" s="1"/>
  <c r="F2" i="13"/>
  <c r="S2" i="13" s="1"/>
  <c r="G2" i="13"/>
  <c r="T2" i="13" s="1"/>
  <c r="I2" i="13"/>
  <c r="V2" i="13" s="1"/>
  <c r="J2" i="13"/>
  <c r="W2" i="13" s="1"/>
  <c r="K2" i="13"/>
  <c r="X2" i="13" s="1"/>
  <c r="L2" i="13"/>
  <c r="Y2" i="13" s="1"/>
  <c r="N2" i="13"/>
  <c r="AA2" i="13" s="1"/>
  <c r="O2" i="13"/>
  <c r="AB2" i="13" s="1"/>
  <c r="E3" i="13"/>
  <c r="R3" i="13"/>
  <c r="F3" i="13"/>
  <c r="S3" i="13"/>
  <c r="G3" i="13"/>
  <c r="T3" i="13"/>
  <c r="I3" i="13"/>
  <c r="V3" i="13"/>
  <c r="J3" i="13"/>
  <c r="W3" i="13"/>
  <c r="K3" i="13"/>
  <c r="X3" i="13"/>
  <c r="L3" i="13"/>
  <c r="Y3" i="13"/>
  <c r="N3" i="13"/>
  <c r="AA3" i="13"/>
  <c r="O3" i="13"/>
  <c r="AB3" i="13"/>
  <c r="E4" i="13"/>
  <c r="R4" i="13" s="1"/>
  <c r="F4" i="13"/>
  <c r="S4" i="13" s="1"/>
  <c r="G4" i="13"/>
  <c r="T4" i="13" s="1"/>
  <c r="I4" i="13"/>
  <c r="V4" i="13" s="1"/>
  <c r="J4" i="13"/>
  <c r="W4" i="13" s="1"/>
  <c r="K4" i="13"/>
  <c r="X4" i="13" s="1"/>
  <c r="L4" i="13"/>
  <c r="Y4" i="13" s="1"/>
  <c r="N4" i="13"/>
  <c r="AA4" i="13" s="1"/>
  <c r="O4" i="13"/>
  <c r="AB4" i="13" s="1"/>
  <c r="E5" i="13"/>
  <c r="R5" i="13"/>
  <c r="F5" i="13"/>
  <c r="S5" i="13"/>
  <c r="G5" i="13"/>
  <c r="T5" i="13"/>
  <c r="I5" i="13"/>
  <c r="V5" i="13"/>
  <c r="J5" i="13"/>
  <c r="W5" i="13"/>
  <c r="K5" i="13"/>
  <c r="X5" i="13"/>
  <c r="L5" i="13"/>
  <c r="Y5" i="13"/>
  <c r="N5" i="13"/>
  <c r="AA5" i="13"/>
  <c r="O5" i="13"/>
  <c r="AB5" i="13"/>
  <c r="E6" i="13"/>
  <c r="R6" i="13" s="1"/>
  <c r="F6" i="13"/>
  <c r="S6" i="13" s="1"/>
  <c r="G6" i="13"/>
  <c r="T6" i="13" s="1"/>
  <c r="I6" i="13"/>
  <c r="V6" i="13" s="1"/>
  <c r="J6" i="13"/>
  <c r="W6" i="13" s="1"/>
  <c r="K6" i="13"/>
  <c r="X6" i="13" s="1"/>
  <c r="L6" i="13"/>
  <c r="Y6" i="13" s="1"/>
  <c r="N6" i="13"/>
  <c r="AA6" i="13" s="1"/>
  <c r="O6" i="13"/>
  <c r="AB6" i="13" s="1"/>
  <c r="E7" i="13"/>
  <c r="R7" i="13"/>
  <c r="F7" i="13"/>
  <c r="S7" i="13"/>
  <c r="G7" i="13"/>
  <c r="T7" i="13"/>
  <c r="I7" i="13"/>
  <c r="V7" i="13"/>
  <c r="J7" i="13"/>
  <c r="W7" i="13"/>
  <c r="K7" i="13"/>
  <c r="X7" i="13"/>
  <c r="L7" i="13"/>
  <c r="Y7" i="13"/>
  <c r="N7" i="13"/>
  <c r="AA7" i="13"/>
  <c r="O7" i="13"/>
  <c r="AB7" i="13"/>
  <c r="E8" i="13"/>
  <c r="R8" i="13" s="1"/>
  <c r="F8" i="13"/>
  <c r="S8" i="13" s="1"/>
  <c r="G8" i="13"/>
  <c r="T8" i="13" s="1"/>
  <c r="I8" i="13"/>
  <c r="V8" i="13" s="1"/>
  <c r="J8" i="13"/>
  <c r="W8" i="13" s="1"/>
  <c r="K8" i="13"/>
  <c r="X8" i="13" s="1"/>
  <c r="L8" i="13"/>
  <c r="Y8" i="13" s="1"/>
  <c r="N8" i="13"/>
  <c r="AA8" i="13" s="1"/>
  <c r="O8" i="13"/>
  <c r="AB8" i="13" s="1"/>
  <c r="E9" i="13"/>
  <c r="R9" i="13"/>
  <c r="F9" i="13"/>
  <c r="S9" i="13"/>
  <c r="G9" i="13"/>
  <c r="T9" i="13"/>
  <c r="I9" i="13"/>
  <c r="V9" i="13"/>
  <c r="J9" i="13"/>
  <c r="W9" i="13"/>
  <c r="K9" i="13"/>
  <c r="X9" i="13"/>
  <c r="L9" i="13"/>
  <c r="Y9" i="13"/>
  <c r="N9" i="13"/>
  <c r="AA9" i="13"/>
  <c r="O9" i="13"/>
  <c r="AB9" i="13"/>
  <c r="E10" i="13"/>
  <c r="R10" i="13" s="1"/>
  <c r="F10" i="13"/>
  <c r="S10" i="13" s="1"/>
  <c r="G10" i="13"/>
  <c r="T10" i="13" s="1"/>
  <c r="I10" i="13"/>
  <c r="V10" i="13" s="1"/>
  <c r="J10" i="13"/>
  <c r="W10" i="13" s="1"/>
  <c r="K10" i="13"/>
  <c r="X10" i="13" s="1"/>
  <c r="L10" i="13"/>
  <c r="Y10" i="13" s="1"/>
  <c r="N10" i="13"/>
  <c r="AA10" i="13" s="1"/>
  <c r="O10" i="13"/>
  <c r="AB10" i="13" s="1"/>
  <c r="E11" i="13"/>
  <c r="R11" i="13"/>
  <c r="F11" i="13"/>
  <c r="S11" i="13"/>
  <c r="G11" i="13"/>
  <c r="T11" i="13"/>
  <c r="I11" i="13"/>
  <c r="V11" i="13"/>
  <c r="J11" i="13"/>
  <c r="W11" i="13"/>
  <c r="K11" i="13"/>
  <c r="X11" i="13"/>
  <c r="L11" i="13"/>
  <c r="Y11" i="13"/>
  <c r="N11" i="13"/>
  <c r="AA11" i="13"/>
  <c r="O11" i="13"/>
  <c r="AB11" i="13"/>
  <c r="E12" i="13"/>
  <c r="R12" i="13" s="1"/>
  <c r="F12" i="13"/>
  <c r="S12" i="13" s="1"/>
  <c r="G12" i="13"/>
  <c r="T12" i="13" s="1"/>
  <c r="I12" i="13"/>
  <c r="V12" i="13" s="1"/>
  <c r="J12" i="13"/>
  <c r="W12" i="13" s="1"/>
  <c r="K12" i="13"/>
  <c r="X12" i="13" s="1"/>
  <c r="L12" i="13"/>
  <c r="Y12" i="13" s="1"/>
  <c r="N12" i="13"/>
  <c r="AA12" i="13" s="1"/>
  <c r="O12" i="13"/>
  <c r="AB12" i="13" s="1"/>
  <c r="E13" i="13"/>
  <c r="R13" i="13"/>
  <c r="F13" i="13"/>
  <c r="S13" i="13"/>
  <c r="G13" i="13"/>
  <c r="T13" i="13"/>
  <c r="I13" i="13"/>
  <c r="V13" i="13"/>
  <c r="J13" i="13"/>
  <c r="W13" i="13"/>
  <c r="K13" i="13"/>
  <c r="X13" i="13"/>
  <c r="L13" i="13"/>
  <c r="Y13" i="13"/>
  <c r="N13" i="13"/>
  <c r="AA13" i="13"/>
  <c r="O13" i="13"/>
  <c r="AB13" i="13"/>
  <c r="E14" i="13"/>
  <c r="R14" i="13" s="1"/>
  <c r="F14" i="13"/>
  <c r="S14" i="13" s="1"/>
  <c r="G14" i="13"/>
  <c r="T14" i="13" s="1"/>
  <c r="I14" i="13"/>
  <c r="V14" i="13" s="1"/>
  <c r="J14" i="13"/>
  <c r="W14" i="13" s="1"/>
  <c r="K14" i="13"/>
  <c r="X14" i="13" s="1"/>
  <c r="L14" i="13"/>
  <c r="Y14" i="13" s="1"/>
  <c r="N14" i="13"/>
  <c r="AA14" i="13" s="1"/>
  <c r="O14" i="13"/>
  <c r="AB14" i="13" s="1"/>
  <c r="E15" i="13"/>
  <c r="R15" i="13"/>
  <c r="F15" i="13"/>
  <c r="S15" i="13"/>
  <c r="G15" i="13"/>
  <c r="T15" i="13"/>
  <c r="I15" i="13"/>
  <c r="V15" i="13"/>
  <c r="J15" i="13"/>
  <c r="W15" i="13"/>
  <c r="K15" i="13"/>
  <c r="X15" i="13"/>
  <c r="L15" i="13"/>
  <c r="Y15" i="13"/>
  <c r="N15" i="13"/>
  <c r="AA15" i="13"/>
  <c r="O15" i="13"/>
  <c r="AB15" i="13"/>
  <c r="E16" i="13"/>
  <c r="R16" i="13" s="1"/>
  <c r="F16" i="13"/>
  <c r="S16" i="13" s="1"/>
  <c r="G16" i="13"/>
  <c r="T16" i="13" s="1"/>
  <c r="I16" i="13"/>
  <c r="V16" i="13" s="1"/>
  <c r="J16" i="13"/>
  <c r="W16" i="13" s="1"/>
  <c r="K16" i="13"/>
  <c r="X16" i="13" s="1"/>
  <c r="L16" i="13"/>
  <c r="Y16" i="13" s="1"/>
  <c r="N16" i="13"/>
  <c r="AA16" i="13" s="1"/>
  <c r="O16" i="13"/>
  <c r="AB16" i="13" s="1"/>
  <c r="E17" i="13"/>
  <c r="R17" i="13"/>
  <c r="F17" i="13"/>
  <c r="S17" i="13"/>
  <c r="G17" i="13"/>
  <c r="T17" i="13"/>
  <c r="I17" i="13"/>
  <c r="V17" i="13"/>
  <c r="J17" i="13"/>
  <c r="W17" i="13"/>
  <c r="K17" i="13"/>
  <c r="X17" i="13"/>
  <c r="L17" i="13"/>
  <c r="Y17" i="13"/>
  <c r="N17" i="13"/>
  <c r="AA17" i="13"/>
  <c r="O17" i="13"/>
  <c r="AB17" i="13"/>
  <c r="E18" i="13"/>
  <c r="R18" i="13" s="1"/>
  <c r="F18" i="13"/>
  <c r="S18" i="13" s="1"/>
  <c r="G18" i="13"/>
  <c r="T18" i="13" s="1"/>
  <c r="I18" i="13"/>
  <c r="V18" i="13" s="1"/>
  <c r="J18" i="13"/>
  <c r="W18" i="13" s="1"/>
  <c r="K18" i="13"/>
  <c r="X18" i="13" s="1"/>
  <c r="L18" i="13"/>
  <c r="Y18" i="13" s="1"/>
  <c r="N18" i="13"/>
  <c r="AA18" i="13" s="1"/>
  <c r="O18" i="13"/>
  <c r="AB18" i="13" s="1"/>
  <c r="E19" i="13"/>
  <c r="R19" i="13"/>
  <c r="F19" i="13"/>
  <c r="S19" i="13"/>
  <c r="G19" i="13"/>
  <c r="T19" i="13"/>
  <c r="I19" i="13"/>
  <c r="V19" i="13"/>
  <c r="J19" i="13"/>
  <c r="W19" i="13"/>
  <c r="K19" i="13"/>
  <c r="X19" i="13"/>
  <c r="L19" i="13"/>
  <c r="Y19" i="13"/>
  <c r="N19" i="13"/>
  <c r="AA19" i="13"/>
  <c r="O19" i="13"/>
  <c r="AB19" i="13"/>
  <c r="E20" i="13"/>
  <c r="R20" i="13" s="1"/>
  <c r="F20" i="13"/>
  <c r="S20" i="13" s="1"/>
  <c r="G20" i="13"/>
  <c r="T20" i="13" s="1"/>
  <c r="I20" i="13"/>
  <c r="V20" i="13" s="1"/>
  <c r="J20" i="13"/>
  <c r="W20" i="13" s="1"/>
  <c r="K20" i="13"/>
  <c r="X20" i="13" s="1"/>
  <c r="L20" i="13"/>
  <c r="Y20" i="13" s="1"/>
  <c r="N20" i="13"/>
  <c r="AA20" i="13" s="1"/>
  <c r="O20" i="13"/>
  <c r="AB20" i="13" s="1"/>
  <c r="E21" i="13"/>
  <c r="R21" i="13"/>
  <c r="F21" i="13"/>
  <c r="S21" i="13"/>
  <c r="G21" i="13"/>
  <c r="T21" i="13"/>
  <c r="I21" i="13"/>
  <c r="V21" i="13"/>
  <c r="J21" i="13"/>
  <c r="W21" i="13"/>
  <c r="K21" i="13"/>
  <c r="X21" i="13"/>
  <c r="L21" i="13"/>
  <c r="Y21" i="13"/>
  <c r="N21" i="13"/>
  <c r="AA21" i="13"/>
  <c r="O21" i="13"/>
  <c r="AB21" i="13"/>
  <c r="E22" i="13"/>
  <c r="R22" i="13" s="1"/>
  <c r="F22" i="13"/>
  <c r="S22" i="13" s="1"/>
  <c r="G22" i="13"/>
  <c r="T22" i="13" s="1"/>
  <c r="I22" i="13"/>
  <c r="V22" i="13" s="1"/>
  <c r="J22" i="13"/>
  <c r="W22" i="13" s="1"/>
  <c r="K22" i="13"/>
  <c r="X22" i="13" s="1"/>
  <c r="L22" i="13"/>
  <c r="Y22" i="13" s="1"/>
  <c r="N22" i="13"/>
  <c r="AA22" i="13" s="1"/>
  <c r="O22" i="13"/>
  <c r="AB22" i="13" s="1"/>
  <c r="E23" i="13"/>
  <c r="R23" i="13"/>
  <c r="F23" i="13"/>
  <c r="S23" i="13"/>
  <c r="G23" i="13"/>
  <c r="T23" i="13"/>
  <c r="I23" i="13"/>
  <c r="V23" i="13"/>
  <c r="J23" i="13"/>
  <c r="W23" i="13"/>
  <c r="K23" i="13"/>
  <c r="X23" i="13"/>
  <c r="L23" i="13"/>
  <c r="Y23" i="13"/>
  <c r="N23" i="13"/>
  <c r="AA23" i="13"/>
  <c r="O23" i="13"/>
  <c r="AB23" i="13"/>
  <c r="E24" i="13"/>
  <c r="R24" i="13" s="1"/>
  <c r="F24" i="13"/>
  <c r="S24" i="13" s="1"/>
  <c r="G24" i="13"/>
  <c r="T24" i="13" s="1"/>
  <c r="I24" i="13"/>
  <c r="V24" i="13" s="1"/>
  <c r="J24" i="13"/>
  <c r="W24" i="13" s="1"/>
  <c r="K24" i="13"/>
  <c r="X24" i="13" s="1"/>
  <c r="L24" i="13"/>
  <c r="Y24" i="13" s="1"/>
  <c r="N24" i="13"/>
  <c r="AA24" i="13" s="1"/>
  <c r="O24" i="13"/>
  <c r="AB24" i="13" s="1"/>
  <c r="E25" i="13"/>
  <c r="R25" i="13"/>
  <c r="F25" i="13"/>
  <c r="S25" i="13"/>
  <c r="G25" i="13"/>
  <c r="T25" i="13"/>
  <c r="I25" i="13"/>
  <c r="V25" i="13"/>
  <c r="J25" i="13"/>
  <c r="W25" i="13"/>
  <c r="K25" i="13"/>
  <c r="X25" i="13"/>
  <c r="L25" i="13"/>
  <c r="Y25" i="13"/>
  <c r="N25" i="13"/>
  <c r="AA25" i="13"/>
  <c r="O25" i="13"/>
  <c r="AB25" i="13"/>
  <c r="E26" i="13"/>
  <c r="R26" i="13" s="1"/>
  <c r="F26" i="13"/>
  <c r="S26" i="13" s="1"/>
  <c r="G26" i="13"/>
  <c r="T26" i="13" s="1"/>
  <c r="I26" i="13"/>
  <c r="V26" i="13" s="1"/>
  <c r="J26" i="13"/>
  <c r="W26" i="13" s="1"/>
  <c r="K26" i="13"/>
  <c r="X26" i="13" s="1"/>
  <c r="L26" i="13"/>
  <c r="Y26" i="13" s="1"/>
  <c r="N26" i="13"/>
  <c r="AA26" i="13" s="1"/>
  <c r="O26" i="13"/>
  <c r="AB26" i="13" s="1"/>
  <c r="E27" i="13"/>
  <c r="R27" i="13"/>
  <c r="F27" i="13"/>
  <c r="S27" i="13"/>
  <c r="G27" i="13"/>
  <c r="T27" i="13"/>
  <c r="I27" i="13"/>
  <c r="V27" i="13"/>
  <c r="J27" i="13"/>
  <c r="W27" i="13"/>
  <c r="K27" i="13"/>
  <c r="X27" i="13"/>
  <c r="L27" i="13"/>
  <c r="Y27" i="13"/>
  <c r="N27" i="13"/>
  <c r="AA27" i="13"/>
  <c r="O27" i="13"/>
  <c r="AB27" i="13"/>
  <c r="E28" i="13"/>
  <c r="R28" i="13" s="1"/>
  <c r="F28" i="13"/>
  <c r="S28" i="13" s="1"/>
  <c r="G28" i="13"/>
  <c r="T28" i="13" s="1"/>
  <c r="I28" i="13"/>
  <c r="V28" i="13" s="1"/>
  <c r="J28" i="13"/>
  <c r="W28" i="13" s="1"/>
  <c r="K28" i="13"/>
  <c r="X28" i="13" s="1"/>
  <c r="L28" i="13"/>
  <c r="Y28" i="13" s="1"/>
  <c r="N28" i="13"/>
  <c r="AA28" i="13" s="1"/>
  <c r="O28" i="13"/>
  <c r="AB28" i="13" s="1"/>
  <c r="E29" i="13"/>
  <c r="R29" i="13"/>
  <c r="F29" i="13"/>
  <c r="S29" i="13"/>
  <c r="G29" i="13"/>
  <c r="T29" i="13"/>
  <c r="I29" i="13"/>
  <c r="V29" i="13"/>
  <c r="J29" i="13"/>
  <c r="W29" i="13"/>
  <c r="K29" i="13"/>
  <c r="X29" i="13"/>
  <c r="L29" i="13"/>
  <c r="Y29" i="13"/>
  <c r="N29" i="13"/>
  <c r="AA29" i="13"/>
  <c r="O29" i="13"/>
  <c r="AB29" i="13"/>
  <c r="E30" i="13"/>
  <c r="R30" i="13" s="1"/>
  <c r="F30" i="13"/>
  <c r="S30" i="13" s="1"/>
  <c r="G30" i="13"/>
  <c r="T30" i="13" s="1"/>
  <c r="I30" i="13"/>
  <c r="V30" i="13" s="1"/>
  <c r="J30" i="13"/>
  <c r="W30" i="13" s="1"/>
  <c r="K30" i="13"/>
  <c r="X30" i="13" s="1"/>
  <c r="L30" i="13"/>
  <c r="Y30" i="13" s="1"/>
  <c r="N30" i="13"/>
  <c r="AA30" i="13" s="1"/>
  <c r="O30" i="13"/>
  <c r="AB30" i="13" s="1"/>
  <c r="E31" i="13"/>
  <c r="R31" i="13"/>
  <c r="F31" i="13"/>
  <c r="S31" i="13"/>
  <c r="G31" i="13"/>
  <c r="T31" i="13"/>
  <c r="I31" i="13"/>
  <c r="V31" i="13"/>
  <c r="J31" i="13"/>
  <c r="W31" i="13"/>
  <c r="K31" i="13"/>
  <c r="X31" i="13"/>
  <c r="L31" i="13"/>
  <c r="Y31" i="13"/>
  <c r="N31" i="13"/>
  <c r="AA31" i="13"/>
  <c r="O31" i="13"/>
  <c r="AB31" i="13"/>
  <c r="E32" i="13"/>
  <c r="R32" i="13" s="1"/>
  <c r="F32" i="13"/>
  <c r="S32" i="13" s="1"/>
  <c r="G32" i="13"/>
  <c r="T32" i="13" s="1"/>
  <c r="I32" i="13"/>
  <c r="V32" i="13" s="1"/>
  <c r="J32" i="13"/>
  <c r="W32" i="13" s="1"/>
  <c r="K32" i="13"/>
  <c r="X32" i="13" s="1"/>
  <c r="L32" i="13"/>
  <c r="Y32" i="13" s="1"/>
  <c r="N32" i="13"/>
  <c r="AA32" i="13" s="1"/>
  <c r="O32" i="13"/>
  <c r="AB32" i="13" s="1"/>
  <c r="E33" i="13"/>
  <c r="R33" i="13"/>
  <c r="F33" i="13"/>
  <c r="S33" i="13"/>
  <c r="G33" i="13"/>
  <c r="T33" i="13"/>
  <c r="I33" i="13"/>
  <c r="V33" i="13"/>
  <c r="J33" i="13"/>
  <c r="W33" i="13"/>
  <c r="K33" i="13"/>
  <c r="X33" i="13"/>
  <c r="L33" i="13"/>
  <c r="Y33" i="13"/>
  <c r="N33" i="13"/>
  <c r="AA33" i="13"/>
  <c r="O33" i="13"/>
  <c r="AB33" i="13"/>
  <c r="E34" i="13"/>
  <c r="R34" i="13" s="1"/>
  <c r="F34" i="13"/>
  <c r="S34" i="13" s="1"/>
  <c r="G34" i="13"/>
  <c r="T34" i="13" s="1"/>
  <c r="I34" i="13"/>
  <c r="V34" i="13" s="1"/>
  <c r="J34" i="13"/>
  <c r="W34" i="13" s="1"/>
  <c r="K34" i="13"/>
  <c r="X34" i="13" s="1"/>
  <c r="L34" i="13"/>
  <c r="Y34" i="13" s="1"/>
  <c r="N34" i="13"/>
  <c r="AA34" i="13" s="1"/>
  <c r="O34" i="13"/>
  <c r="AB34" i="13" s="1"/>
  <c r="E35" i="13"/>
  <c r="R35" i="13"/>
  <c r="F35" i="13"/>
  <c r="S35" i="13"/>
  <c r="G35" i="13"/>
  <c r="T35" i="13"/>
  <c r="I35" i="13"/>
  <c r="V35" i="13"/>
  <c r="J35" i="13"/>
  <c r="W35" i="13"/>
  <c r="K35" i="13"/>
  <c r="X35" i="13"/>
  <c r="L35" i="13"/>
  <c r="Y35" i="13"/>
  <c r="N35" i="13"/>
  <c r="AA35" i="13"/>
  <c r="O35" i="13"/>
  <c r="AB35" i="13"/>
  <c r="E36" i="13"/>
  <c r="R36" i="13" s="1"/>
  <c r="F36" i="13"/>
  <c r="S36" i="13" s="1"/>
  <c r="G36" i="13"/>
  <c r="T36" i="13" s="1"/>
  <c r="I36" i="13"/>
  <c r="V36" i="13" s="1"/>
  <c r="J36" i="13"/>
  <c r="W36" i="13" s="1"/>
  <c r="K36" i="13"/>
  <c r="X36" i="13" s="1"/>
  <c r="L36" i="13"/>
  <c r="Y36" i="13" s="1"/>
  <c r="N36" i="13"/>
  <c r="AA36" i="13" s="1"/>
  <c r="O36" i="13"/>
  <c r="AB36" i="13" s="1"/>
  <c r="E37" i="13"/>
  <c r="R37" i="13"/>
  <c r="F37" i="13"/>
  <c r="S37" i="13"/>
  <c r="G37" i="13"/>
  <c r="T37" i="13"/>
  <c r="I37" i="13"/>
  <c r="V37" i="13"/>
  <c r="J37" i="13"/>
  <c r="W37" i="13"/>
  <c r="K37" i="13"/>
  <c r="X37" i="13"/>
  <c r="L37" i="13"/>
  <c r="Y37" i="13"/>
  <c r="N37" i="13"/>
  <c r="AA37" i="13"/>
  <c r="O37" i="13"/>
  <c r="AB37" i="13"/>
  <c r="E38" i="13"/>
  <c r="R38" i="13" s="1"/>
  <c r="F38" i="13"/>
  <c r="S38" i="13" s="1"/>
  <c r="G38" i="13"/>
  <c r="T38" i="13" s="1"/>
  <c r="I38" i="13"/>
  <c r="V38" i="13" s="1"/>
  <c r="J38" i="13"/>
  <c r="W38" i="13" s="1"/>
  <c r="K38" i="13"/>
  <c r="X38" i="13" s="1"/>
  <c r="L38" i="13"/>
  <c r="Y38" i="13" s="1"/>
  <c r="N38" i="13"/>
  <c r="AA38" i="13" s="1"/>
  <c r="O38" i="13"/>
  <c r="AB38" i="13"/>
  <c r="E39" i="13"/>
  <c r="R39" i="13"/>
  <c r="F39" i="13"/>
  <c r="S39" i="13" s="1"/>
  <c r="G39" i="13"/>
  <c r="T39" i="13"/>
  <c r="I39" i="13"/>
  <c r="V39" i="13" s="1"/>
  <c r="J39" i="13"/>
  <c r="W39" i="13"/>
  <c r="K39" i="13"/>
  <c r="X39" i="13" s="1"/>
  <c r="L39" i="13"/>
  <c r="Y39" i="13"/>
  <c r="N39" i="13"/>
  <c r="AA39" i="13" s="1"/>
  <c r="O39" i="13"/>
  <c r="AB39" i="13"/>
  <c r="E40" i="13"/>
  <c r="R40" i="13" s="1"/>
  <c r="F40" i="13"/>
  <c r="S40" i="13" s="1"/>
  <c r="G40" i="13"/>
  <c r="T40" i="13" s="1"/>
  <c r="I40" i="13"/>
  <c r="V40" i="13" s="1"/>
  <c r="J40" i="13"/>
  <c r="W40" i="13" s="1"/>
  <c r="K40" i="13"/>
  <c r="X40" i="13" s="1"/>
  <c r="L40" i="13"/>
  <c r="Y40" i="13" s="1"/>
  <c r="N40" i="13"/>
  <c r="AA40" i="13"/>
  <c r="O40" i="13"/>
  <c r="AB40" i="13" s="1"/>
  <c r="E41" i="13"/>
  <c r="R41" i="13"/>
  <c r="F41" i="13"/>
  <c r="S41" i="13"/>
  <c r="G41" i="13"/>
  <c r="T41" i="13"/>
  <c r="I41" i="13"/>
  <c r="V41" i="13"/>
  <c r="J41" i="13"/>
  <c r="W41" i="13"/>
  <c r="K41" i="13"/>
  <c r="X41" i="13"/>
  <c r="L41" i="13"/>
  <c r="Y41" i="13"/>
  <c r="N41" i="13"/>
  <c r="AA41" i="13"/>
  <c r="O41" i="13"/>
  <c r="AB41" i="13"/>
  <c r="E42" i="13"/>
  <c r="R42" i="13" s="1"/>
  <c r="F42" i="13"/>
  <c r="S42" i="13" s="1"/>
  <c r="G42" i="13"/>
  <c r="T42" i="13" s="1"/>
  <c r="I42" i="13"/>
  <c r="V42" i="13" s="1"/>
  <c r="J42" i="13"/>
  <c r="W42" i="13"/>
  <c r="K42" i="13"/>
  <c r="X42" i="13" s="1"/>
  <c r="L42" i="13"/>
  <c r="Y42" i="13" s="1"/>
  <c r="N42" i="13"/>
  <c r="AA42" i="13" s="1"/>
  <c r="O42" i="13"/>
  <c r="AB42" i="13" s="1"/>
  <c r="E43" i="13"/>
  <c r="R43" i="13" s="1"/>
  <c r="F43" i="13"/>
  <c r="S43" i="13" s="1"/>
  <c r="G43" i="13"/>
  <c r="T43" i="13" s="1"/>
  <c r="I43" i="13"/>
  <c r="V43" i="13" s="1"/>
  <c r="J43" i="13"/>
  <c r="W43" i="13" s="1"/>
  <c r="K43" i="13"/>
  <c r="X43" i="13" s="1"/>
  <c r="L43" i="13"/>
  <c r="Y43" i="13" s="1"/>
  <c r="N43" i="13"/>
  <c r="AA43" i="13" s="1"/>
  <c r="O43" i="13"/>
  <c r="AB43" i="13" s="1"/>
  <c r="E44" i="13"/>
  <c r="R44" i="13"/>
  <c r="F44" i="13"/>
  <c r="S44" i="13" s="1"/>
  <c r="G44" i="13"/>
  <c r="T44" i="13"/>
  <c r="I44" i="13"/>
  <c r="V44" i="13" s="1"/>
  <c r="J44" i="13"/>
  <c r="W44" i="13"/>
  <c r="K44" i="13"/>
  <c r="X44" i="13" s="1"/>
  <c r="L44" i="13"/>
  <c r="Y44" i="13"/>
  <c r="N44" i="13"/>
  <c r="AA44" i="13" s="1"/>
  <c r="O44" i="13"/>
  <c r="AB44" i="13"/>
  <c r="E45" i="13"/>
  <c r="R45" i="13" s="1"/>
  <c r="F45" i="13"/>
  <c r="S45" i="13" s="1"/>
  <c r="G45" i="13"/>
  <c r="T45" i="13" s="1"/>
  <c r="I45" i="13"/>
  <c r="V45" i="13" s="1"/>
  <c r="J45" i="13"/>
  <c r="W45" i="13" s="1"/>
  <c r="K45" i="13"/>
  <c r="X45" i="13" s="1"/>
  <c r="L45" i="13"/>
  <c r="Y45" i="13" s="1"/>
  <c r="N45" i="13"/>
  <c r="AA45" i="13" s="1"/>
  <c r="O45" i="13"/>
  <c r="AB45" i="13" s="1"/>
  <c r="E46" i="13"/>
  <c r="R46" i="13" s="1"/>
  <c r="F46" i="13"/>
  <c r="S46" i="13"/>
  <c r="G46" i="13"/>
  <c r="T46" i="13" s="1"/>
  <c r="I46" i="13"/>
  <c r="V46" i="13"/>
  <c r="J46" i="13"/>
  <c r="W46" i="13" s="1"/>
  <c r="K46" i="13"/>
  <c r="X46" i="13"/>
  <c r="L46" i="13"/>
  <c r="Y46" i="13" s="1"/>
  <c r="N46" i="13"/>
  <c r="AA46" i="13"/>
  <c r="O46" i="13"/>
  <c r="AB46" i="13" s="1"/>
  <c r="E47" i="13"/>
  <c r="R47" i="13" s="1"/>
  <c r="F47" i="13"/>
  <c r="S47" i="13" s="1"/>
  <c r="G47" i="13"/>
  <c r="T47" i="13" s="1"/>
  <c r="I47" i="13"/>
  <c r="V47" i="13" s="1"/>
  <c r="J47" i="13"/>
  <c r="W47" i="13" s="1"/>
  <c r="K47" i="13"/>
  <c r="X47" i="13" s="1"/>
  <c r="L47" i="13"/>
  <c r="Y47" i="13" s="1"/>
  <c r="N47" i="13"/>
  <c r="AA47" i="13" s="1"/>
  <c r="O47" i="13"/>
  <c r="AB47" i="13" s="1"/>
  <c r="E48" i="13"/>
  <c r="R48" i="13"/>
  <c r="F48" i="13"/>
  <c r="S48" i="13" s="1"/>
  <c r="G48" i="13"/>
  <c r="T48" i="13"/>
  <c r="I48" i="13"/>
  <c r="V48" i="13" s="1"/>
  <c r="J48" i="13"/>
  <c r="W48" i="13"/>
  <c r="K48" i="13"/>
  <c r="X48" i="13" s="1"/>
  <c r="L48" i="13"/>
  <c r="Y48" i="13"/>
  <c r="N48" i="13"/>
  <c r="AA48" i="13" s="1"/>
  <c r="O48" i="13"/>
  <c r="AB48" i="13"/>
  <c r="E49" i="13"/>
  <c r="R49" i="13" s="1"/>
  <c r="F49" i="13"/>
  <c r="S49" i="13" s="1"/>
  <c r="G49" i="13"/>
  <c r="T49" i="13" s="1"/>
  <c r="I49" i="13"/>
  <c r="V49" i="13" s="1"/>
  <c r="J49" i="13"/>
  <c r="W49" i="13" s="1"/>
  <c r="K49" i="13"/>
  <c r="X49" i="13" s="1"/>
  <c r="L49" i="13"/>
  <c r="Y49" i="13" s="1"/>
  <c r="N49" i="13"/>
  <c r="AA49" i="13" s="1"/>
  <c r="O49" i="13"/>
  <c r="AB49" i="13" s="1"/>
  <c r="E50" i="13"/>
  <c r="R50" i="13" s="1"/>
  <c r="F50" i="13"/>
  <c r="S50" i="13"/>
  <c r="G50" i="13"/>
  <c r="T50" i="13" s="1"/>
  <c r="I50" i="13"/>
  <c r="V50" i="13"/>
  <c r="J50" i="13"/>
  <c r="W50" i="13" s="1"/>
  <c r="K50" i="13"/>
  <c r="X50" i="13"/>
  <c r="L50" i="13"/>
  <c r="Y50" i="13" s="1"/>
  <c r="N50" i="13"/>
  <c r="AA50" i="13"/>
  <c r="O50" i="13"/>
  <c r="AB50" i="13" s="1"/>
  <c r="E51" i="13"/>
  <c r="R51" i="13" s="1"/>
  <c r="F51" i="13"/>
  <c r="S51" i="13" s="1"/>
  <c r="G51" i="13"/>
  <c r="T51" i="13" s="1"/>
  <c r="I51" i="13"/>
  <c r="V51" i="13" s="1"/>
  <c r="J51" i="13"/>
  <c r="W51" i="13" s="1"/>
  <c r="K51" i="13"/>
  <c r="X51" i="13" s="1"/>
  <c r="L51" i="13"/>
  <c r="Y51" i="13" s="1"/>
  <c r="N51" i="13"/>
  <c r="AA51" i="13" s="1"/>
  <c r="O51" i="13"/>
  <c r="AB51" i="13" s="1"/>
  <c r="E52" i="13"/>
  <c r="R52" i="13"/>
  <c r="F52" i="13"/>
  <c r="S52" i="13" s="1"/>
  <c r="G52" i="13"/>
  <c r="T52" i="13"/>
  <c r="I52" i="13"/>
  <c r="V52" i="13" s="1"/>
  <c r="J52" i="13"/>
  <c r="W52" i="13"/>
  <c r="K52" i="13"/>
  <c r="X52" i="13" s="1"/>
  <c r="L52" i="13"/>
  <c r="Y52" i="13"/>
  <c r="N52" i="13"/>
  <c r="AA52" i="13" s="1"/>
  <c r="O52" i="13"/>
  <c r="AB52" i="13"/>
  <c r="E53" i="13"/>
  <c r="R53" i="13" s="1"/>
  <c r="F53" i="13"/>
  <c r="S53" i="13" s="1"/>
  <c r="G53" i="13"/>
  <c r="T53" i="13" s="1"/>
  <c r="I53" i="13"/>
  <c r="V53" i="13" s="1"/>
  <c r="J53" i="13"/>
  <c r="W53" i="13" s="1"/>
  <c r="K53" i="13"/>
  <c r="X53" i="13" s="1"/>
  <c r="L53" i="13"/>
  <c r="Y53" i="13" s="1"/>
  <c r="N53" i="13"/>
  <c r="AA53" i="13" s="1"/>
  <c r="O53" i="13"/>
  <c r="AB53" i="13" s="1"/>
  <c r="E54" i="13"/>
  <c r="R54" i="13" s="1"/>
  <c r="F54" i="13"/>
  <c r="S54" i="13"/>
  <c r="G54" i="13"/>
  <c r="T54" i="13" s="1"/>
  <c r="I54" i="13"/>
  <c r="V54" i="13"/>
  <c r="J54" i="13"/>
  <c r="W54" i="13" s="1"/>
  <c r="K54" i="13"/>
  <c r="X54" i="13"/>
  <c r="L54" i="13"/>
  <c r="Y54" i="13" s="1"/>
  <c r="N54" i="13"/>
  <c r="AA54" i="13"/>
  <c r="O54" i="13"/>
  <c r="AB54" i="13" s="1"/>
  <c r="E55" i="13"/>
  <c r="R55" i="13" s="1"/>
  <c r="F55" i="13"/>
  <c r="S55" i="13" s="1"/>
  <c r="G55" i="13"/>
  <c r="T55" i="13" s="1"/>
  <c r="I55" i="13"/>
  <c r="V55" i="13" s="1"/>
  <c r="J55" i="13"/>
  <c r="W55" i="13" s="1"/>
  <c r="K55" i="13"/>
  <c r="X55" i="13" s="1"/>
  <c r="L55" i="13"/>
  <c r="Y55" i="13" s="1"/>
  <c r="N55" i="13"/>
  <c r="AA55" i="13" s="1"/>
  <c r="O55" i="13"/>
  <c r="AB55" i="13" s="1"/>
  <c r="E56" i="13"/>
  <c r="R56" i="13"/>
  <c r="F56" i="13"/>
  <c r="S56" i="13" s="1"/>
  <c r="G56" i="13"/>
  <c r="T56" i="13"/>
  <c r="I56" i="13"/>
  <c r="V56" i="13" s="1"/>
  <c r="J56" i="13"/>
  <c r="W56" i="13"/>
  <c r="K56" i="13"/>
  <c r="X56" i="13" s="1"/>
  <c r="L56" i="13"/>
  <c r="Y56" i="13"/>
  <c r="N56" i="13"/>
  <c r="AA56" i="13" s="1"/>
  <c r="O56" i="13"/>
  <c r="AB56" i="13"/>
  <c r="E57" i="13"/>
  <c r="R57" i="13" s="1"/>
  <c r="F57" i="13"/>
  <c r="S57" i="13" s="1"/>
  <c r="G57" i="13"/>
  <c r="T57" i="13" s="1"/>
  <c r="I57" i="13"/>
  <c r="V57" i="13" s="1"/>
  <c r="J57" i="13"/>
  <c r="W57" i="13" s="1"/>
  <c r="K57" i="13"/>
  <c r="X57" i="13" s="1"/>
  <c r="L57" i="13"/>
  <c r="Y57" i="13" s="1"/>
  <c r="N57" i="13"/>
  <c r="AA57" i="13" s="1"/>
  <c r="O57" i="13"/>
  <c r="AB57" i="13" s="1"/>
  <c r="E58" i="13"/>
  <c r="R58" i="13" s="1"/>
  <c r="F58" i="13"/>
  <c r="S58" i="13"/>
  <c r="G58" i="13"/>
  <c r="T58" i="13" s="1"/>
  <c r="I58" i="13"/>
  <c r="V58" i="13"/>
  <c r="J58" i="13"/>
  <c r="W58" i="13" s="1"/>
  <c r="K58" i="13"/>
  <c r="X58" i="13"/>
  <c r="L58" i="13"/>
  <c r="Y58" i="13" s="1"/>
  <c r="N58" i="13"/>
  <c r="AA58" i="13"/>
  <c r="O58" i="13"/>
  <c r="AB58" i="13" s="1"/>
  <c r="E59" i="13"/>
  <c r="R59" i="13" s="1"/>
  <c r="F59" i="13"/>
  <c r="S59" i="13" s="1"/>
  <c r="G59" i="13"/>
  <c r="T59" i="13" s="1"/>
  <c r="I59" i="13"/>
  <c r="V59" i="13" s="1"/>
  <c r="J59" i="13"/>
  <c r="W59" i="13" s="1"/>
  <c r="K59" i="13"/>
  <c r="X59" i="13" s="1"/>
  <c r="L59" i="13"/>
  <c r="Y59" i="13" s="1"/>
  <c r="N59" i="13"/>
  <c r="AA59" i="13" s="1"/>
  <c r="O59" i="13"/>
  <c r="AB59" i="13" s="1"/>
  <c r="E60" i="13"/>
  <c r="R60" i="13"/>
  <c r="F60" i="13"/>
  <c r="S60" i="13" s="1"/>
  <c r="G60" i="13"/>
  <c r="T60" i="13"/>
  <c r="I60" i="13"/>
  <c r="V60" i="13" s="1"/>
  <c r="J60" i="13"/>
  <c r="W60" i="13"/>
  <c r="K60" i="13"/>
  <c r="X60" i="13" s="1"/>
  <c r="L60" i="13"/>
  <c r="Y60" i="13"/>
  <c r="N60" i="13"/>
  <c r="AA60" i="13" s="1"/>
  <c r="O60" i="13"/>
  <c r="AB60" i="13"/>
  <c r="E61" i="13"/>
  <c r="R61" i="13" s="1"/>
  <c r="F61" i="13"/>
  <c r="S61" i="13" s="1"/>
  <c r="G61" i="13"/>
  <c r="T61" i="13" s="1"/>
  <c r="I61" i="13"/>
  <c r="V61" i="13" s="1"/>
  <c r="J61" i="13"/>
  <c r="W61" i="13" s="1"/>
  <c r="K61" i="13"/>
  <c r="X61" i="13" s="1"/>
  <c r="L61" i="13"/>
  <c r="Y61" i="13" s="1"/>
  <c r="N61" i="13"/>
  <c r="AA61" i="13" s="1"/>
  <c r="O61" i="13"/>
  <c r="AB61" i="13" s="1"/>
  <c r="E62" i="13"/>
  <c r="R62" i="13" s="1"/>
  <c r="F62" i="13"/>
  <c r="S62" i="13"/>
  <c r="G62" i="13"/>
  <c r="T62" i="13" s="1"/>
  <c r="I62" i="13"/>
  <c r="V62" i="13"/>
  <c r="J62" i="13"/>
  <c r="W62" i="13" s="1"/>
  <c r="K62" i="13"/>
  <c r="X62" i="13"/>
  <c r="L62" i="13"/>
  <c r="Y62" i="13" s="1"/>
  <c r="N62" i="13"/>
  <c r="AA62" i="13"/>
  <c r="O62" i="13"/>
  <c r="AB62" i="13" s="1"/>
  <c r="E63" i="13"/>
  <c r="R63" i="13" s="1"/>
  <c r="F63" i="13"/>
  <c r="S63" i="13" s="1"/>
  <c r="G63" i="13"/>
  <c r="T63" i="13" s="1"/>
  <c r="I63" i="13"/>
  <c r="V63" i="13" s="1"/>
  <c r="J63" i="13"/>
  <c r="W63" i="13" s="1"/>
  <c r="K63" i="13"/>
  <c r="X63" i="13" s="1"/>
  <c r="L63" i="13"/>
  <c r="Y63" i="13" s="1"/>
  <c r="N63" i="13"/>
  <c r="AA63" i="13" s="1"/>
  <c r="O63" i="13"/>
  <c r="AB63" i="13" s="1"/>
  <c r="E64" i="13"/>
  <c r="R64" i="13"/>
  <c r="F64" i="13"/>
  <c r="S64" i="13" s="1"/>
  <c r="G64" i="13"/>
  <c r="T64" i="13"/>
  <c r="I64" i="13"/>
  <c r="V64" i="13" s="1"/>
  <c r="J64" i="13"/>
  <c r="W64" i="13"/>
  <c r="K64" i="13"/>
  <c r="X64" i="13" s="1"/>
  <c r="L64" i="13"/>
  <c r="Y64" i="13"/>
  <c r="N64" i="13"/>
  <c r="AA64" i="13" s="1"/>
  <c r="O64" i="13"/>
  <c r="AB64" i="13"/>
  <c r="E65" i="13"/>
  <c r="R65" i="13" s="1"/>
  <c r="F65" i="13"/>
  <c r="S65" i="13" s="1"/>
  <c r="G65" i="13"/>
  <c r="T65" i="13" s="1"/>
  <c r="I65" i="13"/>
  <c r="V65" i="13" s="1"/>
  <c r="J65" i="13"/>
  <c r="W65" i="13" s="1"/>
  <c r="K65" i="13"/>
  <c r="X65" i="13" s="1"/>
  <c r="L65" i="13"/>
  <c r="Y65" i="13" s="1"/>
  <c r="N65" i="13"/>
  <c r="AA65" i="13" s="1"/>
  <c r="O65" i="13"/>
  <c r="AB65" i="13" s="1"/>
  <c r="E66" i="13"/>
  <c r="R66" i="13" s="1"/>
  <c r="F66" i="13"/>
  <c r="S66" i="13"/>
  <c r="G66" i="13"/>
  <c r="T66" i="13" s="1"/>
  <c r="I66" i="13"/>
  <c r="V66" i="13"/>
  <c r="J66" i="13"/>
  <c r="W66" i="13" s="1"/>
  <c r="K66" i="13"/>
  <c r="X66" i="13"/>
  <c r="L66" i="13"/>
  <c r="Y66" i="13" s="1"/>
  <c r="N66" i="13"/>
  <c r="AA66" i="13"/>
  <c r="O66" i="13"/>
  <c r="AB66" i="13" s="1"/>
  <c r="E67" i="13"/>
  <c r="R67" i="13" s="1"/>
  <c r="F67" i="13"/>
  <c r="S67" i="13" s="1"/>
  <c r="G67" i="13"/>
  <c r="T67" i="13" s="1"/>
  <c r="I67" i="13"/>
  <c r="V67" i="13" s="1"/>
  <c r="J67" i="13"/>
  <c r="W67" i="13" s="1"/>
  <c r="K67" i="13"/>
  <c r="X67" i="13" s="1"/>
  <c r="L67" i="13"/>
  <c r="Y67" i="13" s="1"/>
  <c r="N67" i="13"/>
  <c r="AA67" i="13" s="1"/>
  <c r="O67" i="13"/>
  <c r="AB67" i="13" s="1"/>
  <c r="E68" i="13"/>
  <c r="R68" i="13"/>
  <c r="F68" i="13"/>
  <c r="S68" i="13" s="1"/>
  <c r="G68" i="13"/>
  <c r="T68" i="13"/>
  <c r="I68" i="13"/>
  <c r="V68" i="13" s="1"/>
  <c r="J68" i="13"/>
  <c r="W68" i="13"/>
  <c r="K68" i="13"/>
  <c r="X68" i="13" s="1"/>
  <c r="L68" i="13"/>
  <c r="Y68" i="13"/>
  <c r="N68" i="13"/>
  <c r="AA68" i="13" s="1"/>
  <c r="O68" i="13"/>
  <c r="AB68" i="13"/>
  <c r="E69" i="13"/>
  <c r="R69" i="13" s="1"/>
  <c r="F69" i="13"/>
  <c r="S69" i="13" s="1"/>
  <c r="G69" i="13"/>
  <c r="T69" i="13" s="1"/>
  <c r="I69" i="13"/>
  <c r="V69" i="13" s="1"/>
  <c r="J69" i="13"/>
  <c r="W69" i="13" s="1"/>
  <c r="K69" i="13"/>
  <c r="X69" i="13" s="1"/>
  <c r="L69" i="13"/>
  <c r="Y69" i="13" s="1"/>
  <c r="N69" i="13"/>
  <c r="AA69" i="13" s="1"/>
  <c r="O69" i="13"/>
  <c r="AB69" i="13" s="1"/>
  <c r="E70" i="13"/>
  <c r="R70" i="13" s="1"/>
  <c r="F70" i="13"/>
  <c r="S70" i="13"/>
  <c r="G70" i="13"/>
  <c r="T70" i="13" s="1"/>
  <c r="I70" i="13"/>
  <c r="V70" i="13"/>
  <c r="J70" i="13"/>
  <c r="W70" i="13" s="1"/>
  <c r="K70" i="13"/>
  <c r="X70" i="13"/>
  <c r="L70" i="13"/>
  <c r="Y70" i="13" s="1"/>
  <c r="N70" i="13"/>
  <c r="AA70" i="13"/>
  <c r="O70" i="13"/>
  <c r="AB70" i="13" s="1"/>
  <c r="E71" i="13"/>
  <c r="R71" i="13" s="1"/>
  <c r="F71" i="13"/>
  <c r="S71" i="13" s="1"/>
  <c r="G71" i="13"/>
  <c r="T71" i="13" s="1"/>
  <c r="I71" i="13"/>
  <c r="V71" i="13" s="1"/>
  <c r="J71" i="13"/>
  <c r="W71" i="13" s="1"/>
  <c r="K71" i="13"/>
  <c r="X71" i="13" s="1"/>
  <c r="L71" i="13"/>
  <c r="Y71" i="13" s="1"/>
  <c r="N71" i="13"/>
  <c r="AA71" i="13" s="1"/>
  <c r="O71" i="13"/>
  <c r="AB71" i="13" s="1"/>
  <c r="E72" i="13"/>
  <c r="R72" i="13"/>
  <c r="F72" i="13"/>
  <c r="S72" i="13" s="1"/>
  <c r="G72" i="13"/>
  <c r="T72" i="13"/>
  <c r="I72" i="13"/>
  <c r="V72" i="13" s="1"/>
  <c r="J72" i="13"/>
  <c r="W72" i="13"/>
  <c r="K72" i="13"/>
  <c r="X72" i="13" s="1"/>
  <c r="L72" i="13"/>
  <c r="Y72" i="13"/>
  <c r="N72" i="13"/>
  <c r="AA72" i="13" s="1"/>
  <c r="O72" i="13"/>
  <c r="AB72" i="13"/>
  <c r="E73" i="13"/>
  <c r="R73" i="13" s="1"/>
  <c r="F73" i="13"/>
  <c r="S73" i="13" s="1"/>
  <c r="G73" i="13"/>
  <c r="T73" i="13" s="1"/>
  <c r="I73" i="13"/>
  <c r="V73" i="13"/>
  <c r="J73" i="13"/>
  <c r="W73" i="13" s="1"/>
  <c r="K73" i="13"/>
  <c r="X73" i="13"/>
  <c r="L73" i="13"/>
  <c r="Y73" i="13" s="1"/>
  <c r="N73" i="13"/>
  <c r="AA73" i="13" s="1"/>
  <c r="O73" i="13"/>
  <c r="AB73" i="13" s="1"/>
  <c r="E74" i="13"/>
  <c r="R74" i="13" s="1"/>
  <c r="F74" i="13"/>
  <c r="S74" i="13"/>
  <c r="G74" i="13"/>
  <c r="T74" i="13" s="1"/>
  <c r="I74" i="13"/>
  <c r="V74" i="13"/>
  <c r="J74" i="13"/>
  <c r="W74" i="13" s="1"/>
  <c r="K74" i="13"/>
  <c r="X74" i="13"/>
  <c r="L74" i="13"/>
  <c r="Y74" i="13" s="1"/>
  <c r="N74" i="13"/>
  <c r="AA74" i="13"/>
  <c r="O74" i="13"/>
  <c r="AB74" i="13" s="1"/>
  <c r="E75" i="13"/>
  <c r="R75" i="13"/>
  <c r="F75" i="13"/>
  <c r="S75" i="13" s="1"/>
  <c r="G75" i="13"/>
  <c r="T75" i="13" s="1"/>
  <c r="I75" i="13"/>
  <c r="V75" i="13" s="1"/>
  <c r="J75" i="13"/>
  <c r="W75" i="13" s="1"/>
  <c r="K75" i="13"/>
  <c r="X75" i="13" s="1"/>
  <c r="L75" i="13"/>
  <c r="Y75" i="13"/>
  <c r="N75" i="13"/>
  <c r="AA75" i="13" s="1"/>
  <c r="O75" i="13"/>
  <c r="AB75" i="13"/>
  <c r="E76" i="13"/>
  <c r="R76" i="13"/>
  <c r="F76" i="13"/>
  <c r="S76" i="13" s="1"/>
  <c r="G76" i="13"/>
  <c r="T76" i="13"/>
  <c r="I76" i="13"/>
  <c r="V76" i="13" s="1"/>
  <c r="J76" i="13"/>
  <c r="W76" i="13"/>
  <c r="K76" i="13"/>
  <c r="X76" i="13" s="1"/>
  <c r="L76" i="13"/>
  <c r="Y76" i="13"/>
  <c r="N76" i="13"/>
  <c r="AA76" i="13" s="1"/>
  <c r="O76" i="13"/>
  <c r="AB76" i="13"/>
  <c r="E77" i="13"/>
  <c r="R77" i="13" s="1"/>
  <c r="F77" i="13"/>
  <c r="S77" i="13" s="1"/>
  <c r="G77" i="13"/>
  <c r="T77" i="13" s="1"/>
  <c r="I77" i="13"/>
  <c r="V77" i="13"/>
  <c r="J77" i="13"/>
  <c r="W77" i="13" s="1"/>
  <c r="K77" i="13"/>
  <c r="X77" i="13"/>
  <c r="L77" i="13"/>
  <c r="Y77" i="13" s="1"/>
  <c r="N77" i="13"/>
  <c r="AA77" i="13" s="1"/>
  <c r="O77" i="13"/>
  <c r="AB77" i="13" s="1"/>
  <c r="E78" i="13"/>
  <c r="R78" i="13" s="1"/>
  <c r="F78" i="13"/>
  <c r="S78" i="13"/>
  <c r="G78" i="13"/>
  <c r="T78" i="13" s="1"/>
  <c r="I78" i="13"/>
  <c r="V78" i="13"/>
  <c r="J78" i="13"/>
  <c r="W78" i="13" s="1"/>
  <c r="K78" i="13"/>
  <c r="X78" i="13"/>
  <c r="L78" i="13"/>
  <c r="Y78" i="13" s="1"/>
  <c r="N78" i="13"/>
  <c r="AA78" i="13"/>
  <c r="O78" i="13"/>
  <c r="AB78" i="13" s="1"/>
  <c r="E79" i="13"/>
  <c r="R79" i="13"/>
  <c r="F79" i="13"/>
  <c r="S79" i="13" s="1"/>
  <c r="G79" i="13"/>
  <c r="T79" i="13" s="1"/>
  <c r="I79" i="13"/>
  <c r="V79" i="13" s="1"/>
  <c r="J79" i="13"/>
  <c r="W79" i="13" s="1"/>
  <c r="K79" i="13"/>
  <c r="X79" i="13" s="1"/>
  <c r="L79" i="13"/>
  <c r="Y79" i="13"/>
  <c r="N79" i="13"/>
  <c r="AA79" i="13" s="1"/>
  <c r="O79" i="13"/>
  <c r="AB79" i="13"/>
  <c r="E80" i="13"/>
  <c r="R80" i="13"/>
  <c r="F80" i="13"/>
  <c r="S80" i="13" s="1"/>
  <c r="G80" i="13"/>
  <c r="T80" i="13"/>
  <c r="I80" i="13"/>
  <c r="V80" i="13" s="1"/>
  <c r="J80" i="13"/>
  <c r="W80" i="13"/>
  <c r="K80" i="13"/>
  <c r="X80" i="13" s="1"/>
  <c r="L80" i="13"/>
  <c r="Y80" i="13"/>
  <c r="N80" i="13"/>
  <c r="AA80" i="13" s="1"/>
  <c r="O80" i="13"/>
  <c r="AB80" i="13"/>
  <c r="E81" i="13"/>
  <c r="R81" i="13" s="1"/>
  <c r="F81" i="13"/>
  <c r="S81" i="13" s="1"/>
  <c r="G81" i="13"/>
  <c r="T81" i="13" s="1"/>
  <c r="I81" i="13"/>
  <c r="V81" i="13"/>
  <c r="J81" i="13"/>
  <c r="W81" i="13" s="1"/>
  <c r="K81" i="13"/>
  <c r="X81" i="13"/>
  <c r="L81" i="13"/>
  <c r="Y81" i="13" s="1"/>
  <c r="N81" i="13"/>
  <c r="AA81" i="13" s="1"/>
  <c r="O81" i="13"/>
  <c r="AB81" i="13"/>
  <c r="E82" i="13"/>
  <c r="R82" i="13"/>
  <c r="F82" i="13"/>
  <c r="S82" i="13" s="1"/>
  <c r="G82" i="13"/>
  <c r="T82" i="13"/>
  <c r="I82" i="13"/>
  <c r="V82" i="13" s="1"/>
  <c r="J82" i="13"/>
  <c r="W82" i="13"/>
  <c r="K82" i="13"/>
  <c r="X82" i="13" s="1"/>
  <c r="L82" i="13"/>
  <c r="Y82" i="13"/>
  <c r="N82" i="13"/>
  <c r="AA82" i="13" s="1"/>
  <c r="O82" i="13"/>
  <c r="AB82" i="13"/>
  <c r="E83" i="13"/>
  <c r="R83" i="13" s="1"/>
  <c r="F83" i="13"/>
  <c r="S83" i="13"/>
  <c r="G83" i="13"/>
  <c r="T83" i="13" s="1"/>
  <c r="I83" i="13"/>
  <c r="V83" i="13"/>
  <c r="J83" i="13"/>
  <c r="W83" i="13" s="1"/>
  <c r="K83" i="13"/>
  <c r="X83" i="13"/>
  <c r="L83" i="13"/>
  <c r="Y83" i="13" s="1"/>
  <c r="N83" i="13"/>
  <c r="AA83" i="13"/>
  <c r="O83" i="13"/>
  <c r="AB83" i="13" s="1"/>
  <c r="E84" i="13"/>
  <c r="R84" i="13" s="1"/>
  <c r="F84" i="13"/>
  <c r="S84" i="13"/>
  <c r="G84" i="13"/>
  <c r="T84" i="13" s="1"/>
  <c r="I84" i="13"/>
  <c r="V84" i="13"/>
  <c r="J84" i="13"/>
  <c r="W84" i="13" s="1"/>
  <c r="K84" i="13"/>
  <c r="X84" i="13"/>
  <c r="L84" i="13"/>
  <c r="Y84" i="13" s="1"/>
  <c r="N84" i="13"/>
  <c r="AA84" i="13"/>
  <c r="O84" i="13"/>
  <c r="AB84" i="13" s="1"/>
  <c r="E85" i="13"/>
  <c r="R85" i="13"/>
  <c r="F85" i="13"/>
  <c r="S85" i="13" s="1"/>
  <c r="G85" i="13"/>
  <c r="T85" i="13"/>
  <c r="I85" i="13"/>
  <c r="V85" i="13" s="1"/>
  <c r="J85" i="13"/>
  <c r="W85" i="13"/>
  <c r="K85" i="13"/>
  <c r="X85" i="13" s="1"/>
  <c r="L85" i="13"/>
  <c r="Y85" i="13"/>
  <c r="N85" i="13"/>
  <c r="AA85" i="13" s="1"/>
  <c r="O85" i="13"/>
  <c r="AB85" i="13"/>
  <c r="E86" i="13"/>
  <c r="R86" i="13"/>
  <c r="F86" i="13"/>
  <c r="S86" i="13" s="1"/>
  <c r="G86" i="13"/>
  <c r="T86" i="13"/>
  <c r="I86" i="13"/>
  <c r="V86" i="13" s="1"/>
  <c r="J86" i="13"/>
  <c r="W86" i="13"/>
  <c r="K86" i="13"/>
  <c r="X86" i="13" s="1"/>
  <c r="L86" i="13"/>
  <c r="Y86" i="13"/>
  <c r="N86" i="13"/>
  <c r="AA86" i="13" s="1"/>
  <c r="O86" i="13"/>
  <c r="AB86" i="13"/>
  <c r="E87" i="13"/>
  <c r="R87" i="13" s="1"/>
  <c r="F87" i="13"/>
  <c r="S87" i="13"/>
  <c r="G87" i="13"/>
  <c r="T87" i="13" s="1"/>
  <c r="I87" i="13"/>
  <c r="V87" i="13"/>
  <c r="J87" i="13"/>
  <c r="W87" i="13" s="1"/>
  <c r="K87" i="13"/>
  <c r="X87" i="13"/>
  <c r="L87" i="13"/>
  <c r="Y87" i="13" s="1"/>
  <c r="N87" i="13"/>
  <c r="AA87" i="13"/>
  <c r="O87" i="13"/>
  <c r="AB87" i="13" s="1"/>
  <c r="E88" i="13"/>
  <c r="R88" i="13" s="1"/>
  <c r="F88" i="13"/>
  <c r="S88" i="13"/>
  <c r="G88" i="13"/>
  <c r="T88" i="13" s="1"/>
  <c r="I88" i="13"/>
  <c r="V88" i="13"/>
  <c r="J88" i="13"/>
  <c r="W88" i="13" s="1"/>
  <c r="K88" i="13"/>
  <c r="X88" i="13"/>
  <c r="L88" i="13"/>
  <c r="Y88" i="13" s="1"/>
  <c r="N88" i="13"/>
  <c r="AA88" i="13"/>
  <c r="O88" i="13"/>
  <c r="AB88" i="13" s="1"/>
  <c r="E89" i="13"/>
  <c r="R89" i="13"/>
  <c r="F89" i="13"/>
  <c r="S89" i="13" s="1"/>
  <c r="G89" i="13"/>
  <c r="T89" i="13"/>
  <c r="I89" i="13"/>
  <c r="V89" i="13" s="1"/>
  <c r="J89" i="13"/>
  <c r="W89" i="13"/>
  <c r="K89" i="13"/>
  <c r="X89" i="13" s="1"/>
  <c r="L89" i="13"/>
  <c r="Y89" i="13"/>
  <c r="N89" i="13"/>
  <c r="AA89" i="13" s="1"/>
  <c r="O89" i="13"/>
  <c r="AB89" i="13"/>
  <c r="E90" i="13"/>
  <c r="R90" i="13"/>
  <c r="F90" i="13"/>
  <c r="S90" i="13" s="1"/>
  <c r="G90" i="13"/>
  <c r="T90" i="13"/>
  <c r="I90" i="13"/>
  <c r="V90" i="13" s="1"/>
  <c r="J90" i="13"/>
  <c r="W90" i="13"/>
  <c r="K90" i="13"/>
  <c r="X90" i="13" s="1"/>
  <c r="L90" i="13"/>
  <c r="Y90" i="13"/>
  <c r="N90" i="13"/>
  <c r="AA90" i="13" s="1"/>
  <c r="O90" i="13"/>
  <c r="AB90" i="13"/>
  <c r="E91" i="13"/>
  <c r="R91" i="13" s="1"/>
  <c r="F91" i="13"/>
  <c r="S91" i="13"/>
  <c r="G91" i="13"/>
  <c r="T91" i="13" s="1"/>
  <c r="I91" i="13"/>
  <c r="V91" i="13"/>
  <c r="J91" i="13"/>
  <c r="W91" i="13" s="1"/>
  <c r="K91" i="13"/>
  <c r="X91" i="13"/>
  <c r="L91" i="13"/>
  <c r="Y91" i="13" s="1"/>
  <c r="N91" i="13"/>
  <c r="AA91" i="13"/>
  <c r="O91" i="13"/>
  <c r="AB91" i="13" s="1"/>
  <c r="E92" i="13"/>
  <c r="R92" i="13" s="1"/>
  <c r="F92" i="13"/>
  <c r="S92" i="13"/>
  <c r="G92" i="13"/>
  <c r="T92" i="13" s="1"/>
  <c r="I92" i="13"/>
  <c r="V92" i="13"/>
  <c r="J92" i="13"/>
  <c r="W92" i="13" s="1"/>
  <c r="K92" i="13"/>
  <c r="X92" i="13"/>
  <c r="L92" i="13"/>
  <c r="Y92" i="13" s="1"/>
  <c r="N92" i="13"/>
  <c r="AA92" i="13"/>
  <c r="O92" i="13"/>
  <c r="AB92" i="13" s="1"/>
  <c r="E93" i="13"/>
  <c r="R93" i="13"/>
  <c r="F93" i="13"/>
  <c r="S93" i="13" s="1"/>
  <c r="G93" i="13"/>
  <c r="T93" i="13"/>
  <c r="I93" i="13"/>
  <c r="V93" i="13" s="1"/>
  <c r="J93" i="13"/>
  <c r="W93" i="13"/>
  <c r="K93" i="13"/>
  <c r="X93" i="13" s="1"/>
  <c r="L93" i="13"/>
  <c r="Y93" i="13"/>
  <c r="N93" i="13"/>
  <c r="AA93" i="13" s="1"/>
  <c r="O93" i="13"/>
  <c r="AB93" i="13"/>
  <c r="E94" i="13"/>
  <c r="R94" i="13"/>
  <c r="F94" i="13"/>
  <c r="S94" i="13" s="1"/>
  <c r="G94" i="13"/>
  <c r="T94" i="13"/>
  <c r="I94" i="13"/>
  <c r="V94" i="13" s="1"/>
  <c r="J94" i="13"/>
  <c r="W94" i="13"/>
  <c r="K94" i="13"/>
  <c r="X94" i="13" s="1"/>
  <c r="L94" i="13"/>
  <c r="Y94" i="13"/>
  <c r="N94" i="13"/>
  <c r="AA94" i="13" s="1"/>
  <c r="O94" i="13"/>
  <c r="AB94" i="13"/>
  <c r="E95" i="13"/>
  <c r="R95" i="13" s="1"/>
  <c r="F95" i="13"/>
  <c r="S95" i="13"/>
  <c r="G95" i="13"/>
  <c r="T95" i="13" s="1"/>
  <c r="I95" i="13"/>
  <c r="V95" i="13"/>
  <c r="J95" i="13"/>
  <c r="W95" i="13" s="1"/>
  <c r="K95" i="13"/>
  <c r="X95" i="13"/>
  <c r="L95" i="13"/>
  <c r="Y95" i="13" s="1"/>
  <c r="N95" i="13"/>
  <c r="AA95" i="13"/>
  <c r="O95" i="13"/>
  <c r="AB95" i="13" s="1"/>
  <c r="E96" i="13"/>
  <c r="R96" i="13" s="1"/>
  <c r="F96" i="13"/>
  <c r="S96" i="13"/>
  <c r="G96" i="13"/>
  <c r="T96" i="13" s="1"/>
  <c r="I96" i="13"/>
  <c r="V96" i="13"/>
  <c r="J96" i="13"/>
  <c r="W96" i="13" s="1"/>
  <c r="K96" i="13"/>
  <c r="X96" i="13"/>
  <c r="L96" i="13"/>
  <c r="Y96" i="13" s="1"/>
  <c r="N96" i="13"/>
  <c r="AA96" i="13"/>
  <c r="O96" i="13"/>
  <c r="AB96" i="13" s="1"/>
  <c r="E97" i="13"/>
  <c r="R97" i="13"/>
  <c r="F97" i="13"/>
  <c r="S97" i="13" s="1"/>
  <c r="G97" i="13"/>
  <c r="T97" i="13"/>
  <c r="I97" i="13"/>
  <c r="V97" i="13" s="1"/>
  <c r="J97" i="13"/>
  <c r="W97" i="13"/>
  <c r="K97" i="13"/>
  <c r="X97" i="13" s="1"/>
  <c r="L97" i="13"/>
  <c r="Y97" i="13"/>
  <c r="N97" i="13"/>
  <c r="AA97" i="13" s="1"/>
  <c r="O97" i="13"/>
  <c r="AB97" i="13"/>
  <c r="E98" i="13"/>
  <c r="R98" i="13"/>
  <c r="F98" i="13"/>
  <c r="S98" i="13" s="1"/>
  <c r="G98" i="13"/>
  <c r="T98" i="13"/>
  <c r="I98" i="13"/>
  <c r="V98" i="13" s="1"/>
  <c r="J98" i="13"/>
  <c r="W98" i="13"/>
  <c r="K98" i="13"/>
  <c r="X98" i="13" s="1"/>
  <c r="L98" i="13"/>
  <c r="Y98" i="13"/>
  <c r="N98" i="13"/>
  <c r="AA98" i="13" s="1"/>
  <c r="O98" i="13"/>
  <c r="AB98" i="13"/>
  <c r="E99" i="13"/>
  <c r="R99" i="13" s="1"/>
  <c r="F99" i="13"/>
  <c r="S99" i="13"/>
  <c r="G99" i="13"/>
  <c r="T99" i="13" s="1"/>
  <c r="I99" i="13"/>
  <c r="V99" i="13"/>
  <c r="J99" i="13"/>
  <c r="W99" i="13" s="1"/>
  <c r="K99" i="13"/>
  <c r="X99" i="13"/>
  <c r="L99" i="13"/>
  <c r="Y99" i="13" s="1"/>
  <c r="N99" i="13"/>
  <c r="AA99" i="13"/>
  <c r="O99" i="13"/>
  <c r="AB99" i="13" s="1"/>
  <c r="E100" i="13"/>
  <c r="R100" i="13" s="1"/>
  <c r="F100" i="13"/>
  <c r="S100" i="13"/>
  <c r="G100" i="13"/>
  <c r="T100" i="13" s="1"/>
  <c r="I100" i="13"/>
  <c r="V100" i="13"/>
  <c r="J100" i="13"/>
  <c r="W100" i="13" s="1"/>
  <c r="K100" i="13"/>
  <c r="X100" i="13"/>
  <c r="L100" i="13"/>
  <c r="Y100" i="13" s="1"/>
  <c r="N100" i="13"/>
  <c r="AA100" i="13"/>
  <c r="O100" i="13"/>
  <c r="AB100" i="13" s="1"/>
  <c r="E101" i="13"/>
  <c r="R101" i="13"/>
  <c r="F101" i="13"/>
  <c r="S101" i="13" s="1"/>
  <c r="G101" i="13"/>
  <c r="T101" i="13"/>
  <c r="I101" i="13"/>
  <c r="V101" i="13" s="1"/>
  <c r="J101" i="13"/>
  <c r="W101" i="13"/>
  <c r="K101" i="13"/>
  <c r="X101" i="13" s="1"/>
  <c r="L101" i="13"/>
  <c r="Y101" i="13"/>
  <c r="N101" i="13"/>
  <c r="AA101" i="13" s="1"/>
  <c r="O101" i="13"/>
  <c r="AB101" i="13"/>
  <c r="E102" i="13"/>
  <c r="R102" i="13"/>
  <c r="F102" i="13"/>
  <c r="S102" i="13" s="1"/>
  <c r="G102" i="13"/>
  <c r="T102" i="13"/>
  <c r="I102" i="13"/>
  <c r="V102" i="13" s="1"/>
  <c r="J102" i="13"/>
  <c r="W102" i="13"/>
  <c r="K102" i="13"/>
  <c r="X102" i="13" s="1"/>
  <c r="L102" i="13"/>
  <c r="Y102" i="13"/>
  <c r="N102" i="13"/>
  <c r="AA102" i="13" s="1"/>
  <c r="O102" i="13"/>
  <c r="AB102" i="13"/>
  <c r="E103" i="13"/>
  <c r="R103" i="13" s="1"/>
  <c r="F103" i="13"/>
  <c r="S103" i="13"/>
  <c r="G103" i="13"/>
  <c r="T103" i="13" s="1"/>
  <c r="I103" i="13"/>
  <c r="V103" i="13"/>
  <c r="J103" i="13"/>
  <c r="W103" i="13" s="1"/>
  <c r="K103" i="13"/>
  <c r="X103" i="13"/>
  <c r="L103" i="13"/>
  <c r="Y103" i="13" s="1"/>
  <c r="N103" i="13"/>
  <c r="AA103" i="13"/>
  <c r="O103" i="13"/>
  <c r="AB103" i="13" s="1"/>
  <c r="E104" i="13"/>
  <c r="R104" i="13" s="1"/>
  <c r="F104" i="13"/>
  <c r="S104" i="13"/>
  <c r="G104" i="13"/>
  <c r="T104" i="13" s="1"/>
  <c r="I104" i="13"/>
  <c r="V104" i="13"/>
  <c r="J104" i="13"/>
  <c r="W104" i="13" s="1"/>
  <c r="K104" i="13"/>
  <c r="X104" i="13"/>
  <c r="L104" i="13"/>
  <c r="Y104" i="13" s="1"/>
  <c r="N104" i="13"/>
  <c r="AA104" i="13"/>
  <c r="O104" i="13"/>
  <c r="AB104" i="13" s="1"/>
  <c r="E105" i="13"/>
  <c r="R105" i="13"/>
  <c r="F105" i="13"/>
  <c r="S105" i="13" s="1"/>
  <c r="G105" i="13"/>
  <c r="T105" i="13"/>
  <c r="I105" i="13"/>
  <c r="V105" i="13" s="1"/>
  <c r="J105" i="13"/>
  <c r="W105" i="13"/>
  <c r="K105" i="13"/>
  <c r="X105" i="13" s="1"/>
  <c r="L105" i="13"/>
  <c r="Y105" i="13"/>
  <c r="N105" i="13"/>
  <c r="AA105" i="13" s="1"/>
  <c r="O105" i="13"/>
  <c r="AB105" i="13"/>
  <c r="E106" i="13"/>
  <c r="R106" i="13"/>
  <c r="F106" i="13"/>
  <c r="S106" i="13" s="1"/>
  <c r="G106" i="13"/>
  <c r="T106" i="13"/>
  <c r="I106" i="13"/>
  <c r="V106" i="13" s="1"/>
  <c r="J106" i="13"/>
  <c r="W106" i="13"/>
  <c r="K106" i="13"/>
  <c r="X106" i="13" s="1"/>
  <c r="L106" i="13"/>
  <c r="Y106" i="13"/>
  <c r="N106" i="13"/>
  <c r="AA106" i="13" s="1"/>
  <c r="O106" i="13"/>
  <c r="AB106" i="13"/>
  <c r="E107" i="13"/>
  <c r="R107" i="13" s="1"/>
  <c r="F107" i="13"/>
  <c r="S107" i="13"/>
  <c r="G107" i="13"/>
  <c r="T107" i="13" s="1"/>
  <c r="I107" i="13"/>
  <c r="V107" i="13"/>
  <c r="J107" i="13"/>
  <c r="W107" i="13" s="1"/>
  <c r="K107" i="13"/>
  <c r="X107" i="13"/>
  <c r="L107" i="13"/>
  <c r="Y107" i="13" s="1"/>
  <c r="N107" i="13"/>
  <c r="AA107" i="13"/>
  <c r="O107" i="13"/>
  <c r="AB107" i="13" s="1"/>
  <c r="E108" i="13"/>
  <c r="R108" i="13" s="1"/>
  <c r="F108" i="13"/>
  <c r="S108" i="13"/>
  <c r="G108" i="13"/>
  <c r="T108" i="13" s="1"/>
  <c r="I108" i="13"/>
  <c r="V108" i="13"/>
  <c r="J108" i="13"/>
  <c r="W108" i="13" s="1"/>
  <c r="K108" i="13"/>
  <c r="X108" i="13"/>
  <c r="L108" i="13"/>
  <c r="Y108" i="13" s="1"/>
  <c r="N108" i="13"/>
  <c r="AA108" i="13"/>
  <c r="O108" i="13"/>
  <c r="AB108" i="13" s="1"/>
  <c r="E109" i="13"/>
  <c r="R109" i="13"/>
  <c r="F109" i="13"/>
  <c r="S109" i="13" s="1"/>
  <c r="G109" i="13"/>
  <c r="T109" i="13"/>
  <c r="I109" i="13"/>
  <c r="V109" i="13" s="1"/>
  <c r="J109" i="13"/>
  <c r="W109" i="13"/>
  <c r="K109" i="13"/>
  <c r="X109" i="13" s="1"/>
  <c r="L109" i="13"/>
  <c r="Y109" i="13"/>
  <c r="N109" i="13"/>
  <c r="AA109" i="13" s="1"/>
  <c r="O109" i="13"/>
  <c r="AB109" i="13"/>
  <c r="E110" i="13"/>
  <c r="R110" i="13"/>
  <c r="F110" i="13"/>
  <c r="S110" i="13" s="1"/>
  <c r="G110" i="13"/>
  <c r="T110" i="13"/>
  <c r="I110" i="13"/>
  <c r="V110" i="13" s="1"/>
  <c r="J110" i="13"/>
  <c r="W110" i="13"/>
  <c r="K110" i="13"/>
  <c r="X110" i="13" s="1"/>
  <c r="L110" i="13"/>
  <c r="Y110" i="13"/>
  <c r="N110" i="13"/>
  <c r="AA110" i="13" s="1"/>
  <c r="O110" i="13"/>
  <c r="AB110" i="13"/>
  <c r="E111" i="13"/>
  <c r="R111" i="13" s="1"/>
  <c r="F111" i="13"/>
  <c r="S111" i="13"/>
  <c r="G111" i="13"/>
  <c r="T111" i="13" s="1"/>
  <c r="I111" i="13"/>
  <c r="V111" i="13"/>
  <c r="J111" i="13"/>
  <c r="W111" i="13" s="1"/>
  <c r="K111" i="13"/>
  <c r="X111" i="13"/>
  <c r="L111" i="13"/>
  <c r="Y111" i="13" s="1"/>
  <c r="N111" i="13"/>
  <c r="AA111" i="13"/>
  <c r="O111" i="13"/>
  <c r="AB111" i="13" s="1"/>
  <c r="E112" i="13"/>
  <c r="R112" i="13" s="1"/>
  <c r="F112" i="13"/>
  <c r="S112" i="13"/>
  <c r="G112" i="13"/>
  <c r="T112" i="13" s="1"/>
  <c r="I112" i="13"/>
  <c r="V112" i="13"/>
  <c r="J112" i="13"/>
  <c r="W112" i="13" s="1"/>
  <c r="K112" i="13"/>
  <c r="X112" i="13"/>
  <c r="L112" i="13"/>
  <c r="Y112" i="13" s="1"/>
  <c r="N112" i="13"/>
  <c r="AA112" i="13"/>
  <c r="O112" i="13"/>
  <c r="AB112" i="13" s="1"/>
  <c r="E113" i="13"/>
  <c r="R113" i="13"/>
  <c r="F113" i="13"/>
  <c r="S113" i="13" s="1"/>
  <c r="G113" i="13"/>
  <c r="T113" i="13"/>
  <c r="I113" i="13"/>
  <c r="V113" i="13" s="1"/>
  <c r="J113" i="13"/>
  <c r="W113" i="13"/>
  <c r="K113" i="13"/>
  <c r="X113" i="13" s="1"/>
  <c r="L113" i="13"/>
  <c r="Y113" i="13"/>
  <c r="N113" i="13"/>
  <c r="AA113" i="13" s="1"/>
  <c r="O113" i="13"/>
  <c r="AB113" i="13"/>
  <c r="E114" i="13"/>
  <c r="R114" i="13"/>
  <c r="F114" i="13"/>
  <c r="S114" i="13" s="1"/>
  <c r="G114" i="13"/>
  <c r="T114" i="13"/>
  <c r="I114" i="13"/>
  <c r="V114" i="13" s="1"/>
  <c r="J114" i="13"/>
  <c r="W114" i="13"/>
  <c r="K114" i="13"/>
  <c r="X114" i="13" s="1"/>
  <c r="L114" i="13"/>
  <c r="Y114" i="13"/>
  <c r="N114" i="13"/>
  <c r="AA114" i="13" s="1"/>
  <c r="O114" i="13"/>
  <c r="AB114" i="13"/>
  <c r="E115" i="13"/>
  <c r="R115" i="13" s="1"/>
  <c r="F115" i="13"/>
  <c r="S115" i="13"/>
  <c r="G115" i="13"/>
  <c r="T115" i="13" s="1"/>
  <c r="I115" i="13"/>
  <c r="V115" i="13"/>
  <c r="J115" i="13"/>
  <c r="W115" i="13" s="1"/>
  <c r="K115" i="13"/>
  <c r="X115" i="13"/>
  <c r="L115" i="13"/>
  <c r="Y115" i="13" s="1"/>
  <c r="N115" i="13"/>
  <c r="AA115" i="13"/>
  <c r="O115" i="13"/>
  <c r="AB115" i="13" s="1"/>
  <c r="E116" i="13"/>
  <c r="R116" i="13" s="1"/>
  <c r="F116" i="13"/>
  <c r="S116" i="13"/>
  <c r="G116" i="13"/>
  <c r="T116" i="13" s="1"/>
  <c r="I116" i="13"/>
  <c r="V116" i="13"/>
  <c r="J116" i="13"/>
  <c r="W116" i="13" s="1"/>
  <c r="K116" i="13"/>
  <c r="X116" i="13"/>
  <c r="L116" i="13"/>
  <c r="Y116" i="13" s="1"/>
  <c r="N116" i="13"/>
  <c r="AA116" i="13"/>
  <c r="O116" i="13"/>
  <c r="AB116" i="13" s="1"/>
  <c r="E117" i="13"/>
  <c r="R117" i="13"/>
  <c r="F117" i="13"/>
  <c r="S117" i="13" s="1"/>
  <c r="G117" i="13"/>
  <c r="T117" i="13"/>
  <c r="I117" i="13"/>
  <c r="V117" i="13" s="1"/>
  <c r="J117" i="13"/>
  <c r="W117" i="13"/>
  <c r="K117" i="13"/>
  <c r="X117" i="13" s="1"/>
  <c r="L117" i="13"/>
  <c r="Y117" i="13"/>
  <c r="N117" i="13"/>
  <c r="AA117" i="13" s="1"/>
  <c r="O117" i="13"/>
  <c r="AB117" i="13"/>
  <c r="E118" i="13"/>
  <c r="R118" i="13"/>
  <c r="F118" i="13"/>
  <c r="S118" i="13" s="1"/>
  <c r="G118" i="13"/>
  <c r="T118" i="13"/>
  <c r="I118" i="13"/>
  <c r="V118" i="13" s="1"/>
  <c r="J118" i="13"/>
  <c r="W118" i="13"/>
  <c r="K118" i="13"/>
  <c r="X118" i="13" s="1"/>
  <c r="L118" i="13"/>
  <c r="Y118" i="13"/>
  <c r="N118" i="13"/>
  <c r="AA118" i="13" s="1"/>
  <c r="O118" i="13"/>
  <c r="AB118" i="13"/>
  <c r="E119" i="13"/>
  <c r="R119" i="13" s="1"/>
  <c r="F119" i="13"/>
  <c r="S119" i="13"/>
  <c r="G119" i="13"/>
  <c r="T119" i="13" s="1"/>
  <c r="I119" i="13"/>
  <c r="V119" i="13"/>
  <c r="J119" i="13"/>
  <c r="W119" i="13" s="1"/>
  <c r="K119" i="13"/>
  <c r="X119" i="13"/>
  <c r="L119" i="13"/>
  <c r="Y119" i="13" s="1"/>
  <c r="N119" i="13"/>
  <c r="AA119" i="13"/>
  <c r="O119" i="13"/>
  <c r="AB119" i="13" s="1"/>
  <c r="E120" i="13"/>
  <c r="R120" i="13" s="1"/>
  <c r="F120" i="13"/>
  <c r="S120" i="13"/>
  <c r="G120" i="13"/>
  <c r="T120" i="13" s="1"/>
  <c r="I120" i="13"/>
  <c r="V120" i="13"/>
  <c r="J120" i="13"/>
  <c r="W120" i="13" s="1"/>
  <c r="K120" i="13"/>
  <c r="X120" i="13"/>
  <c r="L120" i="13"/>
  <c r="Y120" i="13" s="1"/>
  <c r="N120" i="13"/>
  <c r="AA120" i="13"/>
  <c r="O120" i="13"/>
  <c r="AB120" i="13" s="1"/>
  <c r="E121" i="13"/>
  <c r="R121" i="13"/>
  <c r="F121" i="13"/>
  <c r="S121" i="13" s="1"/>
  <c r="G121" i="13"/>
  <c r="T121" i="13"/>
  <c r="I121" i="13"/>
  <c r="V121" i="13" s="1"/>
  <c r="J121" i="13"/>
  <c r="W121" i="13"/>
  <c r="K121" i="13"/>
  <c r="X121" i="13" s="1"/>
  <c r="L121" i="13"/>
  <c r="Y121" i="13"/>
  <c r="N121" i="13"/>
  <c r="AA121" i="13" s="1"/>
  <c r="O121" i="13"/>
  <c r="AB121" i="13"/>
  <c r="A2" i="12"/>
  <c r="C2" i="12" s="1"/>
  <c r="A3" i="12"/>
  <c r="C3" i="12" s="1"/>
  <c r="A4" i="12"/>
  <c r="C4" i="12" s="1"/>
  <c r="A5" i="12"/>
  <c r="C5" i="12" s="1"/>
  <c r="A6" i="12"/>
  <c r="C6" i="12" s="1"/>
  <c r="A7" i="12"/>
  <c r="C7" i="12" s="1"/>
  <c r="A8" i="12"/>
  <c r="C8" i="12" s="1"/>
  <c r="A9" i="12"/>
  <c r="C9" i="12" s="1"/>
  <c r="A10" i="12"/>
  <c r="C10" i="12" s="1"/>
  <c r="A11" i="12"/>
  <c r="C11" i="12" s="1"/>
  <c r="A12" i="12"/>
  <c r="C12" i="12" s="1"/>
  <c r="A13" i="12"/>
  <c r="C13" i="12" s="1"/>
  <c r="A14" i="12"/>
  <c r="C14" i="12" s="1"/>
  <c r="A15" i="12"/>
  <c r="C15" i="12" s="1"/>
  <c r="A16" i="12"/>
  <c r="C16" i="12" s="1"/>
  <c r="A17" i="12"/>
  <c r="C17" i="12" s="1"/>
  <c r="A18" i="12"/>
  <c r="C18" i="12" s="1"/>
  <c r="A19" i="12"/>
  <c r="C19" i="12" s="1"/>
  <c r="A20" i="12"/>
  <c r="C20" i="12" s="1"/>
  <c r="A21" i="12"/>
  <c r="C21" i="12" s="1"/>
  <c r="A22" i="12"/>
  <c r="C22" i="12" s="1"/>
  <c r="A23" i="12"/>
  <c r="C23" i="12" s="1"/>
  <c r="A24" i="12"/>
  <c r="C24" i="12" s="1"/>
  <c r="A25" i="12"/>
  <c r="C25" i="12" s="1"/>
  <c r="A26" i="12"/>
  <c r="C26" i="12" s="1"/>
  <c r="A27" i="12"/>
  <c r="C27" i="12" s="1"/>
  <c r="A28" i="12"/>
  <c r="C28" i="12" s="1"/>
  <c r="A29" i="12"/>
  <c r="C29" i="12" s="1"/>
  <c r="A30" i="12"/>
  <c r="C30" i="12" s="1"/>
  <c r="A31" i="12"/>
  <c r="C31" i="12" s="1"/>
  <c r="A32" i="12"/>
  <c r="C32" i="12" s="1"/>
  <c r="A33" i="12"/>
  <c r="C33" i="12" s="1"/>
  <c r="A34" i="12"/>
  <c r="C34" i="12" s="1"/>
  <c r="A35" i="12"/>
  <c r="C35" i="12" s="1"/>
  <c r="A36" i="12"/>
  <c r="C36" i="12" s="1"/>
  <c r="A37" i="12"/>
  <c r="C37" i="12" s="1"/>
  <c r="A38" i="12"/>
  <c r="C38" i="12" s="1"/>
  <c r="A39" i="12"/>
  <c r="C39" i="12" s="1"/>
  <c r="A40" i="12"/>
  <c r="C40" i="12" s="1"/>
  <c r="A41" i="12"/>
  <c r="C41" i="12" s="1"/>
  <c r="A42" i="12"/>
  <c r="C42" i="12" s="1"/>
  <c r="A43" i="12"/>
  <c r="C43" i="12" s="1"/>
  <c r="A44" i="12"/>
  <c r="C44" i="12" s="1"/>
  <c r="A45" i="12"/>
  <c r="C45" i="12" s="1"/>
  <c r="A46" i="12"/>
  <c r="C46" i="12" s="1"/>
  <c r="A47" i="12"/>
  <c r="C47" i="12" s="1"/>
  <c r="A48" i="12"/>
  <c r="C48" i="12" s="1"/>
  <c r="A49" i="12"/>
  <c r="C49" i="12" s="1"/>
  <c r="A50" i="12"/>
  <c r="C50" i="12" s="1"/>
  <c r="A51" i="12"/>
  <c r="C51" i="12" s="1"/>
  <c r="A52" i="12"/>
  <c r="C52" i="12" s="1"/>
  <c r="A53" i="12"/>
  <c r="C53" i="12" s="1"/>
  <c r="A54" i="12"/>
  <c r="C54" i="12" s="1"/>
  <c r="A55" i="12"/>
  <c r="C55" i="12" s="1"/>
  <c r="A56" i="12"/>
  <c r="C56" i="12" s="1"/>
  <c r="A57" i="12"/>
  <c r="C57" i="12" s="1"/>
  <c r="A58" i="12"/>
  <c r="C58" i="12" s="1"/>
  <c r="A59" i="12"/>
  <c r="C59" i="12" s="1"/>
  <c r="A60" i="12"/>
  <c r="C60" i="12" s="1"/>
  <c r="A61" i="12"/>
  <c r="C61" i="12" s="1"/>
  <c r="A62" i="12"/>
  <c r="C62" i="12" s="1"/>
  <c r="A63" i="12"/>
  <c r="C63" i="12" s="1"/>
  <c r="A64" i="12"/>
  <c r="C64" i="12" s="1"/>
  <c r="A65" i="12"/>
  <c r="C65" i="12" s="1"/>
  <c r="A66" i="12"/>
  <c r="C66" i="12" s="1"/>
  <c r="A67" i="12"/>
  <c r="C67" i="12" s="1"/>
  <c r="A68" i="12"/>
  <c r="C68" i="12" s="1"/>
  <c r="A69" i="12"/>
  <c r="C69" i="12" s="1"/>
  <c r="A70" i="12"/>
  <c r="C70" i="12" s="1"/>
  <c r="A71" i="12"/>
  <c r="C71" i="12" s="1"/>
  <c r="A72" i="12"/>
  <c r="C72" i="12" s="1"/>
  <c r="A73" i="12"/>
  <c r="C73" i="12" s="1"/>
  <c r="A74" i="12"/>
  <c r="C74" i="12" s="1"/>
  <c r="A75" i="12"/>
  <c r="C75" i="12" s="1"/>
  <c r="A76" i="12"/>
  <c r="C76" i="12" s="1"/>
  <c r="A77" i="12"/>
  <c r="C77" i="12" s="1"/>
  <c r="A78" i="12"/>
  <c r="C78" i="12" s="1"/>
  <c r="A79" i="12"/>
  <c r="C79" i="12" s="1"/>
  <c r="A80" i="12"/>
  <c r="C80" i="12" s="1"/>
  <c r="A81" i="12"/>
  <c r="C81" i="12" s="1"/>
  <c r="A82" i="12"/>
  <c r="C82" i="12" s="1"/>
  <c r="A83" i="12"/>
  <c r="C83" i="12" s="1"/>
  <c r="A84" i="12"/>
  <c r="C84" i="12" s="1"/>
  <c r="A85" i="12"/>
  <c r="C85" i="12" s="1"/>
  <c r="A86" i="12"/>
  <c r="C86" i="12" s="1"/>
  <c r="A87" i="12"/>
  <c r="C87" i="12" s="1"/>
  <c r="A88" i="12"/>
  <c r="C88" i="12" s="1"/>
  <c r="A89" i="12"/>
  <c r="C89" i="12" s="1"/>
  <c r="A90" i="12"/>
  <c r="C90" i="12" s="1"/>
  <c r="A91" i="12"/>
  <c r="C91" i="12" s="1"/>
  <c r="A92" i="12"/>
  <c r="C92" i="12" s="1"/>
  <c r="A93" i="12"/>
  <c r="C93" i="12" s="1"/>
  <c r="A94" i="12"/>
  <c r="C94" i="12" s="1"/>
  <c r="A95" i="12"/>
  <c r="C95" i="12" s="1"/>
  <c r="A96" i="12"/>
  <c r="C96" i="12" s="1"/>
  <c r="A97" i="12"/>
  <c r="C97" i="12" s="1"/>
  <c r="A98" i="12"/>
  <c r="C98" i="12" s="1"/>
  <c r="A99" i="12"/>
  <c r="C99" i="12" s="1"/>
  <c r="A100" i="12"/>
  <c r="C100" i="12" s="1"/>
  <c r="A101" i="12"/>
  <c r="C101" i="12" s="1"/>
  <c r="A102" i="12"/>
  <c r="C102" i="12" s="1"/>
  <c r="A103" i="12"/>
  <c r="C103" i="12" s="1"/>
  <c r="A104" i="12"/>
  <c r="C104" i="12" s="1"/>
  <c r="A105" i="12"/>
  <c r="C105" i="12" s="1"/>
  <c r="A106" i="12"/>
  <c r="C106" i="12" s="1"/>
  <c r="A107" i="12"/>
  <c r="C107" i="12" s="1"/>
  <c r="A108" i="12"/>
  <c r="C108" i="12" s="1"/>
  <c r="A109" i="12"/>
  <c r="C109" i="12" s="1"/>
  <c r="A110" i="12"/>
  <c r="C110" i="12" s="1"/>
  <c r="A111" i="12"/>
  <c r="C111" i="12" s="1"/>
  <c r="A112" i="12"/>
  <c r="C112" i="12" s="1"/>
  <c r="A113" i="12"/>
  <c r="C113" i="12" s="1"/>
  <c r="A114" i="12"/>
  <c r="C114" i="12" s="1"/>
  <c r="A115" i="12"/>
  <c r="C115" i="12" s="1"/>
  <c r="A116" i="12"/>
  <c r="C116" i="12" s="1"/>
  <c r="A117" i="12"/>
  <c r="C117" i="12" s="1"/>
  <c r="A118" i="12"/>
  <c r="C118" i="12" s="1"/>
  <c r="A119" i="12"/>
  <c r="C119" i="12" s="1"/>
  <c r="A120" i="12"/>
  <c r="C120" i="12" s="1"/>
  <c r="A121" i="12"/>
  <c r="B121" i="12" s="1"/>
  <c r="C121" i="12"/>
  <c r="D1" i="12"/>
  <c r="H69" i="36"/>
  <c r="G69" i="36"/>
  <c r="E69" i="36"/>
  <c r="C69" i="36"/>
  <c r="P2" i="45"/>
  <c r="P3" i="45"/>
  <c r="P4" i="45"/>
  <c r="P5" i="45"/>
  <c r="P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37" i="45"/>
  <c r="P38" i="45"/>
  <c r="P39" i="45"/>
  <c r="P40" i="45"/>
  <c r="P41" i="45"/>
  <c r="P42" i="45"/>
  <c r="P43" i="45"/>
  <c r="P44" i="45"/>
  <c r="P45" i="45"/>
  <c r="P46" i="45"/>
  <c r="P47" i="45"/>
  <c r="P48" i="45"/>
  <c r="P49" i="45"/>
  <c r="P50" i="45"/>
  <c r="P51" i="45"/>
  <c r="P52" i="45"/>
  <c r="P53" i="45"/>
  <c r="P54" i="45"/>
  <c r="P55" i="45"/>
  <c r="P56" i="45"/>
  <c r="P57" i="45"/>
  <c r="P58" i="45"/>
  <c r="P59" i="45"/>
  <c r="P60" i="45"/>
  <c r="P61" i="45"/>
  <c r="P62" i="45"/>
  <c r="P63" i="45"/>
  <c r="P64" i="45"/>
  <c r="P65" i="45"/>
  <c r="P66" i="45"/>
  <c r="P67" i="45"/>
  <c r="P68" i="45"/>
  <c r="P69" i="45"/>
  <c r="P70" i="45"/>
  <c r="P71" i="45"/>
  <c r="P72" i="45"/>
  <c r="P73" i="45"/>
  <c r="P74" i="45"/>
  <c r="P75" i="45"/>
  <c r="P76" i="45"/>
  <c r="P77" i="45"/>
  <c r="P78" i="45"/>
  <c r="P79" i="45"/>
  <c r="P80" i="45"/>
  <c r="P81" i="45"/>
  <c r="P82" i="45"/>
  <c r="P83" i="45"/>
  <c r="P84" i="45"/>
  <c r="P85" i="45"/>
  <c r="P86" i="45"/>
  <c r="P87" i="45"/>
  <c r="P88" i="45"/>
  <c r="P89" i="45"/>
  <c r="P90" i="45"/>
  <c r="P91" i="45"/>
  <c r="P92" i="45"/>
  <c r="P93" i="45"/>
  <c r="P94" i="45"/>
  <c r="P95" i="45"/>
  <c r="P96" i="45"/>
  <c r="P97" i="45"/>
  <c r="P98" i="45"/>
  <c r="P99" i="45"/>
  <c r="P100" i="45"/>
  <c r="P101" i="45"/>
  <c r="P102" i="45"/>
  <c r="P103" i="45"/>
  <c r="P104" i="45"/>
  <c r="P105" i="45"/>
  <c r="P106" i="45"/>
  <c r="P107" i="45"/>
  <c r="P108" i="45"/>
  <c r="P109" i="45"/>
  <c r="P110" i="45"/>
  <c r="P111" i="45"/>
  <c r="P112" i="45"/>
  <c r="P113" i="45"/>
  <c r="P114" i="45"/>
  <c r="P115" i="45"/>
  <c r="P116" i="45"/>
  <c r="P117" i="45"/>
  <c r="P118" i="45"/>
  <c r="P119" i="45"/>
  <c r="P120" i="45"/>
  <c r="P121" i="45"/>
  <c r="L121" i="45"/>
  <c r="G121" i="45"/>
  <c r="L120" i="45"/>
  <c r="G120" i="45"/>
  <c r="L119" i="45"/>
  <c r="G119" i="45"/>
  <c r="L118" i="45"/>
  <c r="G118" i="45"/>
  <c r="L117" i="45"/>
  <c r="G117" i="45"/>
  <c r="L116" i="45"/>
  <c r="G116" i="45"/>
  <c r="L115" i="45"/>
  <c r="G115" i="45"/>
  <c r="L114" i="45"/>
  <c r="G114" i="45"/>
  <c r="L113" i="45"/>
  <c r="G113" i="45"/>
  <c r="L112" i="45"/>
  <c r="G112" i="45"/>
  <c r="L111" i="45"/>
  <c r="G111" i="45"/>
  <c r="L110" i="45"/>
  <c r="G110" i="45"/>
  <c r="L109" i="45"/>
  <c r="G109" i="45"/>
  <c r="L108" i="45"/>
  <c r="G108" i="45"/>
  <c r="L107" i="45"/>
  <c r="G107" i="45"/>
  <c r="L106" i="45"/>
  <c r="G106" i="45"/>
  <c r="L105" i="45"/>
  <c r="G105" i="45"/>
  <c r="L104" i="45"/>
  <c r="G104" i="45"/>
  <c r="L103" i="45"/>
  <c r="G103" i="45"/>
  <c r="L102" i="45"/>
  <c r="G102" i="45"/>
  <c r="L101" i="45"/>
  <c r="G101" i="45"/>
  <c r="L100" i="45"/>
  <c r="G100" i="45"/>
  <c r="L99" i="45"/>
  <c r="G99" i="45"/>
  <c r="L98" i="45"/>
  <c r="G98" i="45"/>
  <c r="L97" i="45"/>
  <c r="G97" i="45"/>
  <c r="L96" i="45"/>
  <c r="G96" i="45"/>
  <c r="L95" i="45"/>
  <c r="G95" i="45"/>
  <c r="L94" i="45"/>
  <c r="G94" i="45"/>
  <c r="L93" i="45"/>
  <c r="G93" i="45"/>
  <c r="L92" i="45"/>
  <c r="G92" i="45"/>
  <c r="L91" i="45"/>
  <c r="G91" i="45"/>
  <c r="L90" i="45"/>
  <c r="G90" i="45"/>
  <c r="L89" i="45"/>
  <c r="G89" i="45"/>
  <c r="L88" i="45"/>
  <c r="G88" i="45"/>
  <c r="L87" i="45"/>
  <c r="G87" i="45"/>
  <c r="L86" i="45"/>
  <c r="G86" i="45"/>
  <c r="L85" i="45"/>
  <c r="G85" i="45"/>
  <c r="L84" i="45"/>
  <c r="G84" i="45"/>
  <c r="L83" i="45"/>
  <c r="G83" i="45"/>
  <c r="L82" i="45"/>
  <c r="G82" i="45"/>
  <c r="L81" i="45"/>
  <c r="G81" i="45"/>
  <c r="L80" i="45"/>
  <c r="G80" i="45"/>
  <c r="L79" i="45"/>
  <c r="G79" i="45"/>
  <c r="L78" i="45"/>
  <c r="G78" i="45"/>
  <c r="L77" i="45"/>
  <c r="G77" i="45"/>
  <c r="L76" i="45"/>
  <c r="G76" i="45"/>
  <c r="L75" i="45"/>
  <c r="G75" i="45"/>
  <c r="L74" i="45"/>
  <c r="G74" i="45"/>
  <c r="L73" i="45"/>
  <c r="G73" i="45"/>
  <c r="L72" i="45"/>
  <c r="G72" i="45"/>
  <c r="L71" i="45"/>
  <c r="G71" i="45"/>
  <c r="L70" i="45"/>
  <c r="G70" i="45"/>
  <c r="L69" i="45"/>
  <c r="G69" i="45"/>
  <c r="L68" i="45"/>
  <c r="G68" i="45"/>
  <c r="L67" i="45"/>
  <c r="G67" i="45"/>
  <c r="L66" i="45"/>
  <c r="G66" i="45"/>
  <c r="L65" i="45"/>
  <c r="G65" i="45"/>
  <c r="L64" i="45"/>
  <c r="G64" i="45"/>
  <c r="L63" i="45"/>
  <c r="G63" i="45"/>
  <c r="L62" i="45"/>
  <c r="G62" i="45"/>
  <c r="L61" i="45"/>
  <c r="G61" i="45"/>
  <c r="L60" i="45"/>
  <c r="G60" i="45"/>
  <c r="L59" i="45"/>
  <c r="G59" i="45"/>
  <c r="L58" i="45"/>
  <c r="G58" i="45"/>
  <c r="L57" i="45"/>
  <c r="G57" i="45"/>
  <c r="L56" i="45"/>
  <c r="G56" i="45"/>
  <c r="L55" i="45"/>
  <c r="G55" i="45"/>
  <c r="L54" i="45"/>
  <c r="G54" i="45"/>
  <c r="L53" i="45"/>
  <c r="G53" i="45"/>
  <c r="L52" i="45"/>
  <c r="G52" i="45"/>
  <c r="L51" i="45"/>
  <c r="G51" i="45"/>
  <c r="L50" i="45"/>
  <c r="G50" i="45"/>
  <c r="L49" i="45"/>
  <c r="G49" i="45"/>
  <c r="L48" i="45"/>
  <c r="G48" i="45"/>
  <c r="L47" i="45"/>
  <c r="G47" i="45"/>
  <c r="L46" i="45"/>
  <c r="G46" i="45"/>
  <c r="L45" i="45"/>
  <c r="G45" i="45"/>
  <c r="L44" i="45"/>
  <c r="G44" i="45"/>
  <c r="L43" i="45"/>
  <c r="G43" i="45"/>
  <c r="L42" i="45"/>
  <c r="G42" i="45"/>
  <c r="L41" i="45"/>
  <c r="G41" i="45"/>
  <c r="L40" i="45"/>
  <c r="G40" i="45"/>
  <c r="L39" i="45"/>
  <c r="G39" i="45"/>
  <c r="L38" i="45"/>
  <c r="G38" i="45"/>
  <c r="L37" i="45"/>
  <c r="G37" i="45"/>
  <c r="L36" i="45"/>
  <c r="G36" i="45"/>
  <c r="L35" i="45"/>
  <c r="G35" i="45"/>
  <c r="L34" i="45"/>
  <c r="G34" i="45"/>
  <c r="L33" i="45"/>
  <c r="G33" i="45"/>
  <c r="L32" i="45"/>
  <c r="G32" i="45"/>
  <c r="L31" i="45"/>
  <c r="G31" i="45"/>
  <c r="L30" i="45"/>
  <c r="G30" i="45"/>
  <c r="L29" i="45"/>
  <c r="G29" i="45"/>
  <c r="L28" i="45"/>
  <c r="G28" i="45"/>
  <c r="L27" i="45"/>
  <c r="G27" i="45"/>
  <c r="L26" i="45"/>
  <c r="G26" i="45"/>
  <c r="L25" i="45"/>
  <c r="G25" i="45"/>
  <c r="L24" i="45"/>
  <c r="G24" i="45"/>
  <c r="L23" i="45"/>
  <c r="G23" i="45"/>
  <c r="L22" i="45"/>
  <c r="G22" i="45"/>
  <c r="L21" i="45"/>
  <c r="G21" i="45"/>
  <c r="L20" i="45"/>
  <c r="G20" i="45"/>
  <c r="L19" i="45"/>
  <c r="G19" i="45"/>
  <c r="L18" i="45"/>
  <c r="G18" i="45"/>
  <c r="L17" i="45"/>
  <c r="G17" i="45"/>
  <c r="L16" i="45"/>
  <c r="G16" i="45"/>
  <c r="L15" i="45"/>
  <c r="G15" i="45"/>
  <c r="L14" i="45"/>
  <c r="G14" i="45"/>
  <c r="L13" i="45"/>
  <c r="G13" i="45"/>
  <c r="L12" i="45"/>
  <c r="G12" i="45"/>
  <c r="L11" i="45"/>
  <c r="G11" i="45"/>
  <c r="L10" i="45"/>
  <c r="G10" i="45"/>
  <c r="L9" i="45"/>
  <c r="G9" i="45"/>
  <c r="L8" i="45"/>
  <c r="G8" i="45"/>
  <c r="L7" i="45"/>
  <c r="G7" i="45"/>
  <c r="L6" i="45"/>
  <c r="G6" i="45"/>
  <c r="L5" i="45"/>
  <c r="G5" i="45"/>
  <c r="L4" i="45"/>
  <c r="G4" i="45"/>
  <c r="L3" i="45"/>
  <c r="G3" i="45"/>
  <c r="L2" i="45"/>
  <c r="G2" i="45"/>
  <c r="N1" i="45"/>
  <c r="AA1" i="45"/>
  <c r="M1" i="45"/>
  <c r="Z1" i="45"/>
  <c r="L1" i="45"/>
  <c r="Y1" i="45"/>
  <c r="K1" i="45"/>
  <c r="X1" i="45"/>
  <c r="J1" i="45"/>
  <c r="W1" i="45"/>
  <c r="I1" i="45"/>
  <c r="V1" i="45"/>
  <c r="H1" i="45"/>
  <c r="U1" i="45"/>
  <c r="G1" i="45"/>
  <c r="T1" i="45"/>
  <c r="F1" i="45"/>
  <c r="S1" i="45"/>
  <c r="E1" i="45"/>
  <c r="R1" i="45"/>
  <c r="D1" i="45"/>
  <c r="Q1" i="45"/>
  <c r="K2" i="43"/>
  <c r="K3" i="43"/>
  <c r="K4" i="43"/>
  <c r="K5" i="43"/>
  <c r="K6" i="43"/>
  <c r="K7" i="43"/>
  <c r="K8" i="43"/>
  <c r="K9" i="43"/>
  <c r="K10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83" i="43"/>
  <c r="K84" i="43"/>
  <c r="K85" i="43"/>
  <c r="K86" i="43"/>
  <c r="K87" i="43"/>
  <c r="K88" i="43"/>
  <c r="K89" i="43"/>
  <c r="K90" i="43"/>
  <c r="K91" i="43"/>
  <c r="K92" i="43"/>
  <c r="K93" i="43"/>
  <c r="K94" i="43"/>
  <c r="K95" i="43"/>
  <c r="K96" i="43"/>
  <c r="K97" i="43"/>
  <c r="K98" i="43"/>
  <c r="K99" i="43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6" i="43"/>
  <c r="F5" i="43"/>
  <c r="F4" i="43"/>
  <c r="F3" i="43"/>
  <c r="F2" i="43"/>
  <c r="I1" i="43"/>
  <c r="Q1" i="43"/>
  <c r="H1" i="43"/>
  <c r="P1" i="43"/>
  <c r="G1" i="43"/>
  <c r="O1" i="43"/>
  <c r="F1" i="43"/>
  <c r="N1" i="43"/>
  <c r="E1" i="43"/>
  <c r="M1" i="43"/>
  <c r="D1" i="43"/>
  <c r="L1" i="43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2" i="1"/>
  <c r="H94" i="36"/>
  <c r="BM16" i="18"/>
  <c r="F94" i="36"/>
  <c r="BM15" i="18"/>
  <c r="D94" i="36"/>
  <c r="BM14" i="18"/>
  <c r="B6" i="18"/>
  <c r="B7" i="18"/>
  <c r="B8" i="18"/>
  <c r="B9" i="18"/>
  <c r="B10" i="18"/>
  <c r="B11" i="18"/>
  <c r="B12" i="18"/>
  <c r="B13" i="18"/>
  <c r="B14" i="18"/>
  <c r="K14" i="18"/>
  <c r="T14" i="18"/>
  <c r="AD14" i="18"/>
  <c r="AM14" i="18"/>
  <c r="AX14" i="18"/>
  <c r="BG14" i="18"/>
  <c r="D93" i="36"/>
  <c r="BD14" i="18"/>
  <c r="H93" i="36"/>
  <c r="BD16" i="18"/>
  <c r="F93" i="36"/>
  <c r="BD15" i="18"/>
  <c r="H92" i="36"/>
  <c r="F92" i="36"/>
  <c r="H91" i="36"/>
  <c r="AJ16" i="18"/>
  <c r="F91" i="36"/>
  <c r="AJ15" i="18"/>
  <c r="D91" i="36"/>
  <c r="AJ14" i="18"/>
  <c r="H90" i="36"/>
  <c r="F90" i="36"/>
  <c r="D90" i="36"/>
  <c r="D89" i="36"/>
  <c r="Q14" i="18"/>
  <c r="F89" i="36"/>
  <c r="Q15" i="18"/>
  <c r="H89" i="36"/>
  <c r="Q16" i="18"/>
  <c r="D88" i="36"/>
  <c r="H14" i="18"/>
  <c r="H88" i="36"/>
  <c r="H16" i="18"/>
  <c r="F88" i="36"/>
  <c r="H15" i="18"/>
  <c r="E88" i="36"/>
  <c r="G88" i="36"/>
  <c r="E89" i="36"/>
  <c r="G89" i="36"/>
  <c r="E90" i="36"/>
  <c r="G90" i="36"/>
  <c r="E91" i="36"/>
  <c r="G91" i="36"/>
  <c r="E92" i="36"/>
  <c r="G92" i="36"/>
  <c r="E93" i="36"/>
  <c r="G93" i="36"/>
  <c r="E94" i="36"/>
  <c r="G94" i="36"/>
  <c r="E95" i="36"/>
  <c r="F95" i="36"/>
  <c r="G95" i="36"/>
  <c r="H95" i="36"/>
  <c r="E85" i="36"/>
  <c r="F85" i="36"/>
  <c r="H85" i="36"/>
  <c r="G85" i="36"/>
  <c r="D76" i="36"/>
  <c r="D77" i="36"/>
  <c r="D78" i="36"/>
  <c r="D79" i="36"/>
  <c r="D80" i="36"/>
  <c r="D81" i="36"/>
  <c r="D82" i="36"/>
  <c r="D83" i="36"/>
  <c r="D85" i="36"/>
  <c r="C76" i="36"/>
  <c r="C77" i="36"/>
  <c r="C78" i="36"/>
  <c r="C79" i="36"/>
  <c r="C80" i="36"/>
  <c r="C81" i="36"/>
  <c r="C82" i="36"/>
  <c r="C83" i="36"/>
  <c r="C85" i="36"/>
  <c r="E74" i="36"/>
  <c r="F74" i="36"/>
  <c r="G74" i="36"/>
  <c r="H74" i="36"/>
  <c r="D65" i="36"/>
  <c r="D66" i="36"/>
  <c r="D67" i="36"/>
  <c r="D68" i="36"/>
  <c r="D70" i="36"/>
  <c r="D71" i="36"/>
  <c r="D72" i="36"/>
  <c r="D74" i="36"/>
  <c r="C65" i="36"/>
  <c r="C66" i="36"/>
  <c r="C67" i="36"/>
  <c r="C68" i="36"/>
  <c r="C70" i="36"/>
  <c r="C71" i="36"/>
  <c r="C72" i="36"/>
  <c r="C74" i="36"/>
  <c r="B88" i="36"/>
  <c r="B89" i="36"/>
  <c r="C89" i="36"/>
  <c r="B90" i="36"/>
  <c r="C90" i="36"/>
  <c r="B91" i="36"/>
  <c r="C91" i="36"/>
  <c r="B92" i="36"/>
  <c r="C92" i="36"/>
  <c r="B93" i="36"/>
  <c r="C93" i="36"/>
  <c r="B94" i="36"/>
  <c r="C94" i="36"/>
  <c r="B95" i="36"/>
  <c r="C95" i="36"/>
  <c r="D95" i="36"/>
  <c r="C88" i="36"/>
  <c r="AA46" i="36"/>
  <c r="AB46" i="36"/>
  <c r="H110" i="36"/>
  <c r="G110" i="36"/>
  <c r="F110" i="36"/>
  <c r="E110" i="36"/>
  <c r="D110" i="36"/>
  <c r="C110" i="36"/>
  <c r="G9" i="20"/>
  <c r="G10" i="20"/>
  <c r="G11" i="20"/>
  <c r="G12" i="20"/>
  <c r="I12" i="20" s="1"/>
  <c r="G13" i="20"/>
  <c r="G14" i="20"/>
  <c r="G8" i="20"/>
  <c r="F9" i="20"/>
  <c r="F10" i="20"/>
  <c r="F11" i="20"/>
  <c r="F12" i="20"/>
  <c r="K12" i="20" s="1"/>
  <c r="F13" i="20"/>
  <c r="F14" i="20"/>
  <c r="F8" i="20"/>
  <c r="C10" i="20"/>
  <c r="K10" i="20" s="1"/>
  <c r="C11" i="20"/>
  <c r="C13" i="20"/>
  <c r="C14" i="20"/>
  <c r="E14" i="20" s="1"/>
  <c r="C9" i="20"/>
  <c r="C8" i="20"/>
  <c r="D45" i="20"/>
  <c r="E45" i="20"/>
  <c r="F45" i="20"/>
  <c r="G45" i="20"/>
  <c r="H45" i="20"/>
  <c r="C45" i="20"/>
  <c r="BZ14" i="1"/>
  <c r="BZ26" i="1"/>
  <c r="BZ38" i="1"/>
  <c r="BZ50" i="1"/>
  <c r="BZ62" i="1"/>
  <c r="BZ74" i="1"/>
  <c r="BZ86" i="1"/>
  <c r="F86" i="22"/>
  <c r="F98" i="22"/>
  <c r="F110" i="22"/>
  <c r="F122" i="22"/>
  <c r="F134" i="22"/>
  <c r="O134" i="22"/>
  <c r="CA14" i="1"/>
  <c r="CA26" i="1"/>
  <c r="CA38" i="1"/>
  <c r="CA50" i="1"/>
  <c r="CA62" i="1"/>
  <c r="CA74" i="1"/>
  <c r="CA86" i="1"/>
  <c r="G86" i="22"/>
  <c r="G98" i="22"/>
  <c r="G110" i="22"/>
  <c r="G122" i="22"/>
  <c r="G134" i="22"/>
  <c r="P134" i="22"/>
  <c r="CC14" i="1"/>
  <c r="CC26" i="1"/>
  <c r="CC38" i="1"/>
  <c r="CC86" i="1"/>
  <c r="H86" i="22"/>
  <c r="H134" i="22"/>
  <c r="Q134" i="22"/>
  <c r="BV14" i="1"/>
  <c r="BV26" i="1"/>
  <c r="BV38" i="1"/>
  <c r="BV50" i="1"/>
  <c r="BV62" i="1"/>
  <c r="BV74" i="1"/>
  <c r="BV86" i="1"/>
  <c r="I86" i="22"/>
  <c r="I98" i="22"/>
  <c r="I110" i="22"/>
  <c r="I122" i="22"/>
  <c r="I134" i="22"/>
  <c r="R134" i="22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S134" i="22"/>
  <c r="BZ15" i="1"/>
  <c r="BZ27" i="1"/>
  <c r="BZ39" i="1"/>
  <c r="BZ51" i="1"/>
  <c r="BZ63" i="1"/>
  <c r="BZ75" i="1"/>
  <c r="BZ87" i="1"/>
  <c r="F87" i="22"/>
  <c r="F99" i="22"/>
  <c r="F111" i="22"/>
  <c r="F123" i="22"/>
  <c r="F135" i="22"/>
  <c r="O135" i="22"/>
  <c r="CA15" i="1"/>
  <c r="CA27" i="1"/>
  <c r="CA39" i="1"/>
  <c r="CA51" i="1"/>
  <c r="CA63" i="1"/>
  <c r="CA75" i="1"/>
  <c r="CA87" i="1"/>
  <c r="G87" i="22"/>
  <c r="G99" i="22"/>
  <c r="G111" i="22"/>
  <c r="G123" i="22"/>
  <c r="G135" i="22"/>
  <c r="P135" i="22"/>
  <c r="CC87" i="1"/>
  <c r="H87" i="22"/>
  <c r="H135" i="22"/>
  <c r="Q135" i="22"/>
  <c r="BV15" i="1"/>
  <c r="BV27" i="1"/>
  <c r="BV39" i="1"/>
  <c r="BV51" i="1"/>
  <c r="BV63" i="1"/>
  <c r="BV75" i="1"/>
  <c r="BV87" i="1"/>
  <c r="I87" i="22"/>
  <c r="I99" i="22"/>
  <c r="I111" i="22"/>
  <c r="I123" i="22"/>
  <c r="I135" i="22"/>
  <c r="R135" i="22"/>
  <c r="J135" i="22"/>
  <c r="S135" i="22"/>
  <c r="BZ16" i="1"/>
  <c r="BZ28" i="1"/>
  <c r="BZ40" i="1"/>
  <c r="BZ52" i="1"/>
  <c r="BZ64" i="1"/>
  <c r="BZ76" i="1"/>
  <c r="BZ88" i="1"/>
  <c r="F88" i="22"/>
  <c r="F100" i="22"/>
  <c r="F112" i="22"/>
  <c r="F124" i="22"/>
  <c r="F136" i="22"/>
  <c r="O136" i="22"/>
  <c r="CA16" i="1"/>
  <c r="CA28" i="1"/>
  <c r="CA40" i="1"/>
  <c r="CA52" i="1"/>
  <c r="CA64" i="1"/>
  <c r="CA76" i="1"/>
  <c r="CA88" i="1"/>
  <c r="G88" i="22"/>
  <c r="G100" i="22"/>
  <c r="G112" i="22"/>
  <c r="G124" i="22"/>
  <c r="G136" i="22"/>
  <c r="P136" i="22"/>
  <c r="CC16" i="1"/>
  <c r="CC28" i="1"/>
  <c r="CC40" i="1"/>
  <c r="CC88" i="1"/>
  <c r="H88" i="22"/>
  <c r="H136" i="22"/>
  <c r="Q136" i="22"/>
  <c r="BV16" i="1"/>
  <c r="BV28" i="1"/>
  <c r="BV40" i="1"/>
  <c r="BV52" i="1"/>
  <c r="BV64" i="1"/>
  <c r="BV76" i="1"/>
  <c r="BV88" i="1"/>
  <c r="I88" i="22"/>
  <c r="I100" i="22"/>
  <c r="I112" i="22"/>
  <c r="I124" i="22"/>
  <c r="I136" i="22"/>
  <c r="R136" i="22"/>
  <c r="J136" i="22"/>
  <c r="S136" i="22"/>
  <c r="BZ17" i="1"/>
  <c r="BZ29" i="1"/>
  <c r="BZ41" i="1"/>
  <c r="BZ53" i="1"/>
  <c r="BZ65" i="1"/>
  <c r="BZ77" i="1"/>
  <c r="BZ89" i="1"/>
  <c r="F89" i="22"/>
  <c r="F101" i="22"/>
  <c r="F113" i="22"/>
  <c r="F125" i="22"/>
  <c r="F137" i="22"/>
  <c r="O137" i="22"/>
  <c r="CA17" i="1"/>
  <c r="CA29" i="1"/>
  <c r="CA41" i="1"/>
  <c r="CA53" i="1"/>
  <c r="CA65" i="1"/>
  <c r="CA77" i="1"/>
  <c r="CA89" i="1"/>
  <c r="G89" i="22"/>
  <c r="G101" i="22"/>
  <c r="G113" i="22"/>
  <c r="G125" i="22"/>
  <c r="G137" i="22"/>
  <c r="P137" i="22"/>
  <c r="CC17" i="1"/>
  <c r="CC29" i="1"/>
  <c r="CC41" i="1"/>
  <c r="CC89" i="1"/>
  <c r="H89" i="22"/>
  <c r="H137" i="22"/>
  <c r="Q137" i="22"/>
  <c r="BV17" i="1"/>
  <c r="BV29" i="1"/>
  <c r="BV41" i="1"/>
  <c r="BV53" i="1"/>
  <c r="BV65" i="1"/>
  <c r="BV77" i="1"/>
  <c r="BV89" i="1"/>
  <c r="I89" i="22"/>
  <c r="I101" i="22"/>
  <c r="I113" i="22"/>
  <c r="I125" i="22"/>
  <c r="I137" i="22"/>
  <c r="R137" i="22"/>
  <c r="J137" i="22"/>
  <c r="S137" i="22"/>
  <c r="F2" i="22"/>
  <c r="O2" i="22"/>
  <c r="G2" i="22"/>
  <c r="P2" i="22"/>
  <c r="H2" i="22"/>
  <c r="Q2" i="22"/>
  <c r="I2" i="22"/>
  <c r="R2" i="22"/>
  <c r="J2" i="22"/>
  <c r="S2" i="22"/>
  <c r="F3" i="22"/>
  <c r="O3" i="22"/>
  <c r="G3" i="22"/>
  <c r="P3" i="22"/>
  <c r="H3" i="22"/>
  <c r="Q3" i="22"/>
  <c r="I3" i="22"/>
  <c r="R3" i="22"/>
  <c r="J3" i="22"/>
  <c r="S3" i="22"/>
  <c r="F4" i="22"/>
  <c r="O4" i="22"/>
  <c r="G4" i="22"/>
  <c r="P4" i="22"/>
  <c r="H4" i="22"/>
  <c r="Q4" i="22"/>
  <c r="I4" i="22"/>
  <c r="R4" i="22"/>
  <c r="J4" i="22"/>
  <c r="S4" i="22"/>
  <c r="F5" i="22"/>
  <c r="O5" i="22"/>
  <c r="G5" i="22"/>
  <c r="P5" i="22"/>
  <c r="H5" i="22"/>
  <c r="Q5" i="22"/>
  <c r="I5" i="22"/>
  <c r="R5" i="22"/>
  <c r="J5" i="22"/>
  <c r="S5" i="22"/>
  <c r="F6" i="22"/>
  <c r="O6" i="22"/>
  <c r="G6" i="22"/>
  <c r="P6" i="22"/>
  <c r="H6" i="22"/>
  <c r="Q6" i="22"/>
  <c r="I6" i="22"/>
  <c r="R6" i="22"/>
  <c r="J6" i="22"/>
  <c r="S6" i="22"/>
  <c r="F7" i="22"/>
  <c r="O7" i="22"/>
  <c r="G7" i="22"/>
  <c r="P7" i="22"/>
  <c r="H7" i="22"/>
  <c r="Q7" i="22"/>
  <c r="I7" i="22"/>
  <c r="R7" i="22"/>
  <c r="J7" i="22"/>
  <c r="S7" i="22"/>
  <c r="F8" i="22"/>
  <c r="O8" i="22"/>
  <c r="G8" i="22"/>
  <c r="P8" i="22"/>
  <c r="H8" i="22"/>
  <c r="Q8" i="22"/>
  <c r="I8" i="22"/>
  <c r="R8" i="22"/>
  <c r="J8" i="22"/>
  <c r="S8" i="22"/>
  <c r="F9" i="22"/>
  <c r="O9" i="22"/>
  <c r="G9" i="22"/>
  <c r="P9" i="22"/>
  <c r="H9" i="22"/>
  <c r="Q9" i="22"/>
  <c r="I9" i="22"/>
  <c r="R9" i="22"/>
  <c r="J9" i="22"/>
  <c r="S9" i="22"/>
  <c r="F10" i="22"/>
  <c r="O10" i="22"/>
  <c r="G10" i="22"/>
  <c r="P10" i="22"/>
  <c r="H10" i="22"/>
  <c r="Q10" i="22"/>
  <c r="I10" i="22"/>
  <c r="R10" i="22"/>
  <c r="J10" i="22"/>
  <c r="S10" i="22"/>
  <c r="F11" i="22"/>
  <c r="O11" i="22"/>
  <c r="G11" i="22"/>
  <c r="P11" i="22"/>
  <c r="H11" i="22"/>
  <c r="Q11" i="22"/>
  <c r="I11" i="22"/>
  <c r="R11" i="22"/>
  <c r="J11" i="22"/>
  <c r="S11" i="22"/>
  <c r="F12" i="22"/>
  <c r="O12" i="22"/>
  <c r="G12" i="22"/>
  <c r="P12" i="22"/>
  <c r="H12" i="22"/>
  <c r="Q12" i="22"/>
  <c r="I12" i="22"/>
  <c r="R12" i="22"/>
  <c r="J12" i="22"/>
  <c r="S12" i="22"/>
  <c r="F13" i="22"/>
  <c r="O13" i="22"/>
  <c r="G13" i="22"/>
  <c r="P13" i="22"/>
  <c r="H13" i="22"/>
  <c r="Q13" i="22"/>
  <c r="I13" i="22"/>
  <c r="R13" i="22"/>
  <c r="J13" i="22"/>
  <c r="S13" i="22"/>
  <c r="F14" i="22"/>
  <c r="O14" i="22"/>
  <c r="G14" i="22"/>
  <c r="P14" i="22"/>
  <c r="H14" i="22"/>
  <c r="Q14" i="22"/>
  <c r="I14" i="22"/>
  <c r="R14" i="22"/>
  <c r="J14" i="22"/>
  <c r="S14" i="22"/>
  <c r="F15" i="22"/>
  <c r="O15" i="22"/>
  <c r="G15" i="22"/>
  <c r="P15" i="22"/>
  <c r="CC15" i="1"/>
  <c r="H15" i="22"/>
  <c r="Q15" i="22"/>
  <c r="I15" i="22"/>
  <c r="R15" i="22"/>
  <c r="J15" i="22"/>
  <c r="S15" i="22"/>
  <c r="F16" i="22"/>
  <c r="O16" i="22"/>
  <c r="G16" i="22"/>
  <c r="P16" i="22"/>
  <c r="H16" i="22"/>
  <c r="Q16" i="22"/>
  <c r="I16" i="22"/>
  <c r="R16" i="22"/>
  <c r="J16" i="22"/>
  <c r="S16" i="22"/>
  <c r="F17" i="22"/>
  <c r="O17" i="22"/>
  <c r="G17" i="22"/>
  <c r="P17" i="22"/>
  <c r="H17" i="22"/>
  <c r="Q17" i="22"/>
  <c r="I17" i="22"/>
  <c r="R17" i="22"/>
  <c r="J17" i="22"/>
  <c r="S17" i="22"/>
  <c r="BZ18" i="1"/>
  <c r="F18" i="22"/>
  <c r="O18" i="22"/>
  <c r="CA18" i="1"/>
  <c r="G18" i="22"/>
  <c r="P18" i="22"/>
  <c r="CC18" i="1"/>
  <c r="H18" i="22"/>
  <c r="Q18" i="22"/>
  <c r="BV18" i="1"/>
  <c r="I18" i="22"/>
  <c r="R18" i="22"/>
  <c r="J18" i="22"/>
  <c r="S18" i="22"/>
  <c r="BZ19" i="1"/>
  <c r="F19" i="22"/>
  <c r="O19" i="22"/>
  <c r="CA19" i="1"/>
  <c r="G19" i="22"/>
  <c r="P19" i="22"/>
  <c r="CC19" i="1"/>
  <c r="H19" i="22"/>
  <c r="Q19" i="22"/>
  <c r="BV19" i="1"/>
  <c r="I19" i="22"/>
  <c r="R19" i="22"/>
  <c r="J19" i="22"/>
  <c r="S19" i="22"/>
  <c r="BZ20" i="1"/>
  <c r="F20" i="22"/>
  <c r="O20" i="22"/>
  <c r="CA20" i="1"/>
  <c r="G20" i="22"/>
  <c r="P20" i="22"/>
  <c r="CC20" i="1"/>
  <c r="H20" i="22"/>
  <c r="Q20" i="22"/>
  <c r="BV20" i="1"/>
  <c r="I20" i="22"/>
  <c r="R20" i="22"/>
  <c r="J20" i="22"/>
  <c r="S20" i="22"/>
  <c r="BZ21" i="1"/>
  <c r="F21" i="22"/>
  <c r="O21" i="22"/>
  <c r="CA21" i="1"/>
  <c r="G21" i="22"/>
  <c r="P21" i="22"/>
  <c r="CC21" i="1"/>
  <c r="H21" i="22"/>
  <c r="Q21" i="22"/>
  <c r="BV21" i="1"/>
  <c r="I21" i="22"/>
  <c r="R21" i="22"/>
  <c r="J21" i="22"/>
  <c r="S21" i="22"/>
  <c r="BZ22" i="1"/>
  <c r="F22" i="22"/>
  <c r="O22" i="22"/>
  <c r="CA22" i="1"/>
  <c r="G22" i="22"/>
  <c r="P22" i="22"/>
  <c r="CC22" i="1"/>
  <c r="H22" i="22"/>
  <c r="Q22" i="22"/>
  <c r="BV22" i="1"/>
  <c r="I22" i="22"/>
  <c r="R22" i="22"/>
  <c r="J22" i="22"/>
  <c r="S22" i="22"/>
  <c r="BZ23" i="1"/>
  <c r="F23" i="22"/>
  <c r="O23" i="22"/>
  <c r="CA23" i="1"/>
  <c r="G23" i="22"/>
  <c r="P23" i="22"/>
  <c r="CC23" i="1"/>
  <c r="H23" i="22"/>
  <c r="Q23" i="22"/>
  <c r="BV23" i="1"/>
  <c r="I23" i="22"/>
  <c r="R23" i="22"/>
  <c r="J23" i="22"/>
  <c r="S23" i="22"/>
  <c r="BZ24" i="1"/>
  <c r="F24" i="22"/>
  <c r="O24" i="22"/>
  <c r="CA24" i="1"/>
  <c r="G24" i="22"/>
  <c r="P24" i="22"/>
  <c r="CC24" i="1"/>
  <c r="H24" i="22"/>
  <c r="Q24" i="22"/>
  <c r="BV24" i="1"/>
  <c r="I24" i="22"/>
  <c r="R24" i="22"/>
  <c r="J24" i="22"/>
  <c r="S24" i="22"/>
  <c r="BZ25" i="1"/>
  <c r="F25" i="22"/>
  <c r="O25" i="22"/>
  <c r="CA25" i="1"/>
  <c r="G25" i="22"/>
  <c r="P25" i="22"/>
  <c r="CC25" i="1"/>
  <c r="H25" i="22"/>
  <c r="Q25" i="22"/>
  <c r="BV25" i="1"/>
  <c r="I25" i="22"/>
  <c r="R25" i="22"/>
  <c r="J25" i="22"/>
  <c r="S25" i="22"/>
  <c r="F26" i="22"/>
  <c r="O26" i="22"/>
  <c r="G26" i="22"/>
  <c r="P26" i="22"/>
  <c r="H26" i="22"/>
  <c r="Q26" i="22"/>
  <c r="I26" i="22"/>
  <c r="R26" i="22"/>
  <c r="J26" i="22"/>
  <c r="S26" i="22"/>
  <c r="F27" i="22"/>
  <c r="O27" i="22"/>
  <c r="G27" i="22"/>
  <c r="P27" i="22"/>
  <c r="CC27" i="1"/>
  <c r="H27" i="22"/>
  <c r="Q27" i="22"/>
  <c r="I27" i="22"/>
  <c r="R27" i="22"/>
  <c r="J27" i="22"/>
  <c r="S27" i="22"/>
  <c r="F28" i="22"/>
  <c r="O28" i="22"/>
  <c r="G28" i="22"/>
  <c r="P28" i="22"/>
  <c r="H28" i="22"/>
  <c r="Q28" i="22"/>
  <c r="I28" i="22"/>
  <c r="R28" i="22"/>
  <c r="J28" i="22"/>
  <c r="S28" i="22"/>
  <c r="F29" i="22"/>
  <c r="O29" i="22"/>
  <c r="G29" i="22"/>
  <c r="P29" i="22"/>
  <c r="H29" i="22"/>
  <c r="Q29" i="22"/>
  <c r="I29" i="22"/>
  <c r="R29" i="22"/>
  <c r="J29" i="22"/>
  <c r="S29" i="22"/>
  <c r="BZ30" i="1"/>
  <c r="F30" i="22"/>
  <c r="O30" i="22"/>
  <c r="CA30" i="1"/>
  <c r="G30" i="22"/>
  <c r="P30" i="22"/>
  <c r="CC30" i="1"/>
  <c r="H30" i="22"/>
  <c r="Q30" i="22"/>
  <c r="BV30" i="1"/>
  <c r="I30" i="22"/>
  <c r="R30" i="22"/>
  <c r="J30" i="22"/>
  <c r="S30" i="22"/>
  <c r="BZ31" i="1"/>
  <c r="F31" i="22"/>
  <c r="O31" i="22"/>
  <c r="CA31" i="1"/>
  <c r="G31" i="22"/>
  <c r="P31" i="22"/>
  <c r="CC31" i="1"/>
  <c r="H31" i="22"/>
  <c r="Q31" i="22"/>
  <c r="BV31" i="1"/>
  <c r="I31" i="22"/>
  <c r="R31" i="22"/>
  <c r="J31" i="22"/>
  <c r="S31" i="22"/>
  <c r="BZ32" i="1"/>
  <c r="F32" i="22"/>
  <c r="O32" i="22"/>
  <c r="CA32" i="1"/>
  <c r="G32" i="22"/>
  <c r="P32" i="22"/>
  <c r="CC32" i="1"/>
  <c r="H32" i="22"/>
  <c r="Q32" i="22"/>
  <c r="BV32" i="1"/>
  <c r="I32" i="22"/>
  <c r="R32" i="22"/>
  <c r="J32" i="22"/>
  <c r="S32" i="22"/>
  <c r="BZ33" i="1"/>
  <c r="F33" i="22"/>
  <c r="O33" i="22"/>
  <c r="CA33" i="1"/>
  <c r="G33" i="22"/>
  <c r="P33" i="22"/>
  <c r="CC33" i="1"/>
  <c r="H33" i="22"/>
  <c r="Q33" i="22"/>
  <c r="BV33" i="1"/>
  <c r="I33" i="22"/>
  <c r="R33" i="22"/>
  <c r="J33" i="22"/>
  <c r="S33" i="22"/>
  <c r="BZ34" i="1"/>
  <c r="F34" i="22"/>
  <c r="O34" i="22"/>
  <c r="CA34" i="1"/>
  <c r="G34" i="22"/>
  <c r="P34" i="22"/>
  <c r="CC34" i="1"/>
  <c r="H34" i="22"/>
  <c r="Q34" i="22"/>
  <c r="BV34" i="1"/>
  <c r="I34" i="22"/>
  <c r="R34" i="22"/>
  <c r="J34" i="22"/>
  <c r="S34" i="22"/>
  <c r="BZ35" i="1"/>
  <c r="F35" i="22"/>
  <c r="O35" i="22"/>
  <c r="CA35" i="1"/>
  <c r="G35" i="22"/>
  <c r="P35" i="22"/>
  <c r="CC35" i="1"/>
  <c r="H35" i="22"/>
  <c r="Q35" i="22"/>
  <c r="BV35" i="1"/>
  <c r="I35" i="22"/>
  <c r="R35" i="22"/>
  <c r="J35" i="22"/>
  <c r="S35" i="22"/>
  <c r="BZ36" i="1"/>
  <c r="F36" i="22"/>
  <c r="O36" i="22"/>
  <c r="CA36" i="1"/>
  <c r="G36" i="22"/>
  <c r="P36" i="22"/>
  <c r="CC36" i="1"/>
  <c r="H36" i="22"/>
  <c r="Q36" i="22"/>
  <c r="BV36" i="1"/>
  <c r="I36" i="22"/>
  <c r="R36" i="22"/>
  <c r="J36" i="22"/>
  <c r="S36" i="22"/>
  <c r="BZ37" i="1"/>
  <c r="F37" i="22"/>
  <c r="O37" i="22"/>
  <c r="CA37" i="1"/>
  <c r="G37" i="22"/>
  <c r="P37" i="22"/>
  <c r="CC37" i="1"/>
  <c r="H37" i="22"/>
  <c r="Q37" i="22"/>
  <c r="BV37" i="1"/>
  <c r="I37" i="22"/>
  <c r="R37" i="22"/>
  <c r="J37" i="22"/>
  <c r="S37" i="22"/>
  <c r="F38" i="22"/>
  <c r="O38" i="22"/>
  <c r="G38" i="22"/>
  <c r="P38" i="22"/>
  <c r="H38" i="22"/>
  <c r="Q38" i="22"/>
  <c r="I38" i="22"/>
  <c r="R38" i="22"/>
  <c r="J38" i="22"/>
  <c r="S38" i="22"/>
  <c r="F39" i="22"/>
  <c r="O39" i="22"/>
  <c r="G39" i="22"/>
  <c r="P39" i="22"/>
  <c r="H39" i="22"/>
  <c r="Q39" i="22"/>
  <c r="I39" i="22"/>
  <c r="R39" i="22"/>
  <c r="J39" i="22"/>
  <c r="S39" i="22"/>
  <c r="F40" i="22"/>
  <c r="O40" i="22"/>
  <c r="G40" i="22"/>
  <c r="P40" i="22"/>
  <c r="H40" i="22"/>
  <c r="Q40" i="22"/>
  <c r="I40" i="22"/>
  <c r="R40" i="22"/>
  <c r="J40" i="22"/>
  <c r="S40" i="22"/>
  <c r="F41" i="22"/>
  <c r="O41" i="22"/>
  <c r="G41" i="22"/>
  <c r="P41" i="22"/>
  <c r="H41" i="22"/>
  <c r="Q41" i="22"/>
  <c r="I41" i="22"/>
  <c r="R41" i="22"/>
  <c r="J41" i="22"/>
  <c r="S41" i="22"/>
  <c r="BZ42" i="1"/>
  <c r="F42" i="22"/>
  <c r="O42" i="22"/>
  <c r="CA42" i="1"/>
  <c r="G42" i="22"/>
  <c r="P42" i="22"/>
  <c r="CC42" i="1"/>
  <c r="H42" i="22"/>
  <c r="Q42" i="22"/>
  <c r="BV42" i="1"/>
  <c r="I42" i="22"/>
  <c r="R42" i="22"/>
  <c r="J42" i="22"/>
  <c r="S42" i="22"/>
  <c r="BZ43" i="1"/>
  <c r="F43" i="22"/>
  <c r="O43" i="22"/>
  <c r="CA43" i="1"/>
  <c r="G43" i="22"/>
  <c r="P43" i="22"/>
  <c r="CC43" i="1"/>
  <c r="H43" i="22"/>
  <c r="Q43" i="22"/>
  <c r="BV43" i="1"/>
  <c r="I43" i="22"/>
  <c r="R43" i="22"/>
  <c r="J43" i="22"/>
  <c r="S43" i="22"/>
  <c r="BZ44" i="1"/>
  <c r="F44" i="22"/>
  <c r="O44" i="22"/>
  <c r="CA44" i="1"/>
  <c r="G44" i="22"/>
  <c r="P44" i="22"/>
  <c r="CC44" i="1"/>
  <c r="H44" i="22"/>
  <c r="Q44" i="22"/>
  <c r="BV44" i="1"/>
  <c r="I44" i="22"/>
  <c r="R44" i="22"/>
  <c r="J44" i="22"/>
  <c r="S44" i="22"/>
  <c r="BZ45" i="1"/>
  <c r="F45" i="22"/>
  <c r="O45" i="22"/>
  <c r="CA45" i="1"/>
  <c r="G45" i="22"/>
  <c r="P45" i="22"/>
  <c r="CC45" i="1"/>
  <c r="H45" i="22"/>
  <c r="Q45" i="22"/>
  <c r="BV45" i="1"/>
  <c r="I45" i="22"/>
  <c r="R45" i="22"/>
  <c r="J45" i="22"/>
  <c r="S45" i="22"/>
  <c r="BZ46" i="1"/>
  <c r="F46" i="22"/>
  <c r="O46" i="22"/>
  <c r="CA46" i="1"/>
  <c r="G46" i="22"/>
  <c r="P46" i="22"/>
  <c r="CC46" i="1"/>
  <c r="H46" i="22"/>
  <c r="Q46" i="22"/>
  <c r="BV46" i="1"/>
  <c r="I46" i="22"/>
  <c r="R46" i="22"/>
  <c r="J46" i="22"/>
  <c r="S46" i="22"/>
  <c r="BZ47" i="1"/>
  <c r="F47" i="22"/>
  <c r="O47" i="22"/>
  <c r="CA47" i="1"/>
  <c r="G47" i="22"/>
  <c r="P47" i="22"/>
  <c r="CC47" i="1"/>
  <c r="H47" i="22"/>
  <c r="Q47" i="22"/>
  <c r="BV47" i="1"/>
  <c r="I47" i="22"/>
  <c r="R47" i="22"/>
  <c r="J47" i="22"/>
  <c r="S47" i="22"/>
  <c r="BZ48" i="1"/>
  <c r="F48" i="22"/>
  <c r="O48" i="22"/>
  <c r="CA48" i="1"/>
  <c r="G48" i="22"/>
  <c r="P48" i="22"/>
  <c r="CC48" i="1"/>
  <c r="H48" i="22"/>
  <c r="Q48" i="22"/>
  <c r="BV48" i="1"/>
  <c r="I48" i="22"/>
  <c r="R48" i="22"/>
  <c r="J48" i="22"/>
  <c r="S48" i="22"/>
  <c r="BZ49" i="1"/>
  <c r="F49" i="22"/>
  <c r="O49" i="22"/>
  <c r="CA49" i="1"/>
  <c r="G49" i="22"/>
  <c r="P49" i="22"/>
  <c r="CC49" i="1"/>
  <c r="H49" i="22"/>
  <c r="Q49" i="22"/>
  <c r="BV49" i="1"/>
  <c r="I49" i="22"/>
  <c r="R49" i="22"/>
  <c r="J49" i="22"/>
  <c r="S49" i="22"/>
  <c r="F50" i="22"/>
  <c r="O50" i="22"/>
  <c r="G50" i="22"/>
  <c r="P50" i="22"/>
  <c r="CC50" i="1"/>
  <c r="H50" i="22"/>
  <c r="Q50" i="22"/>
  <c r="I50" i="22"/>
  <c r="R50" i="22"/>
  <c r="J50" i="22"/>
  <c r="S50" i="22"/>
  <c r="F51" i="22"/>
  <c r="O51" i="22"/>
  <c r="G51" i="22"/>
  <c r="P51" i="22"/>
  <c r="CC51" i="1"/>
  <c r="H51" i="22"/>
  <c r="Q51" i="22"/>
  <c r="I51" i="22"/>
  <c r="R51" i="22"/>
  <c r="J51" i="22"/>
  <c r="S51" i="22"/>
  <c r="F52" i="22"/>
  <c r="O52" i="22"/>
  <c r="G52" i="22"/>
  <c r="P52" i="22"/>
  <c r="CC52" i="1"/>
  <c r="H52" i="22"/>
  <c r="Q52" i="22"/>
  <c r="I52" i="22"/>
  <c r="R52" i="22"/>
  <c r="J52" i="22"/>
  <c r="S52" i="22"/>
  <c r="F53" i="22"/>
  <c r="O53" i="22"/>
  <c r="G53" i="22"/>
  <c r="P53" i="22"/>
  <c r="CC53" i="1"/>
  <c r="H53" i="22"/>
  <c r="Q53" i="22"/>
  <c r="I53" i="22"/>
  <c r="R53" i="22"/>
  <c r="J53" i="22"/>
  <c r="S53" i="22"/>
  <c r="BZ54" i="1"/>
  <c r="F54" i="22"/>
  <c r="O54" i="22"/>
  <c r="CA54" i="1"/>
  <c r="G54" i="22"/>
  <c r="P54" i="22"/>
  <c r="CC54" i="1"/>
  <c r="H54" i="22"/>
  <c r="Q54" i="22"/>
  <c r="BV54" i="1"/>
  <c r="I54" i="22"/>
  <c r="R54" i="22"/>
  <c r="J54" i="22"/>
  <c r="S54" i="22"/>
  <c r="BZ55" i="1"/>
  <c r="F55" i="22"/>
  <c r="O55" i="22"/>
  <c r="CA55" i="1"/>
  <c r="G55" i="22"/>
  <c r="P55" i="22"/>
  <c r="CC55" i="1"/>
  <c r="H55" i="22"/>
  <c r="Q55" i="22"/>
  <c r="BV55" i="1"/>
  <c r="I55" i="22"/>
  <c r="R55" i="22"/>
  <c r="J55" i="22"/>
  <c r="S55" i="22"/>
  <c r="BZ56" i="1"/>
  <c r="F56" i="22"/>
  <c r="O56" i="22"/>
  <c r="CA56" i="1"/>
  <c r="G56" i="22"/>
  <c r="P56" i="22"/>
  <c r="CC56" i="1"/>
  <c r="H56" i="22"/>
  <c r="Q56" i="22"/>
  <c r="BV56" i="1"/>
  <c r="I56" i="22"/>
  <c r="R56" i="22"/>
  <c r="J56" i="22"/>
  <c r="S56" i="22"/>
  <c r="BZ57" i="1"/>
  <c r="F57" i="22"/>
  <c r="O57" i="22"/>
  <c r="CA57" i="1"/>
  <c r="G57" i="22"/>
  <c r="P57" i="22"/>
  <c r="CC57" i="1"/>
  <c r="H57" i="22"/>
  <c r="Q57" i="22"/>
  <c r="BV57" i="1"/>
  <c r="I57" i="22"/>
  <c r="R57" i="22"/>
  <c r="J57" i="22"/>
  <c r="S57" i="22"/>
  <c r="BZ58" i="1"/>
  <c r="F58" i="22"/>
  <c r="O58" i="22"/>
  <c r="CA58" i="1"/>
  <c r="G58" i="22"/>
  <c r="P58" i="22"/>
  <c r="CC58" i="1"/>
  <c r="H58" i="22"/>
  <c r="Q58" i="22"/>
  <c r="BV58" i="1"/>
  <c r="I58" i="22"/>
  <c r="R58" i="22"/>
  <c r="J58" i="22"/>
  <c r="S58" i="22"/>
  <c r="BZ59" i="1"/>
  <c r="F59" i="22"/>
  <c r="O59" i="22"/>
  <c r="CA59" i="1"/>
  <c r="G59" i="22"/>
  <c r="P59" i="22"/>
  <c r="CC59" i="1"/>
  <c r="H59" i="22"/>
  <c r="Q59" i="22"/>
  <c r="BV59" i="1"/>
  <c r="I59" i="22"/>
  <c r="R59" i="22"/>
  <c r="J59" i="22"/>
  <c r="S59" i="22"/>
  <c r="BZ60" i="1"/>
  <c r="F60" i="22"/>
  <c r="O60" i="22"/>
  <c r="CA60" i="1"/>
  <c r="G60" i="22"/>
  <c r="P60" i="22"/>
  <c r="CC60" i="1"/>
  <c r="H60" i="22"/>
  <c r="Q60" i="22"/>
  <c r="BV60" i="1"/>
  <c r="I60" i="22"/>
  <c r="R60" i="22"/>
  <c r="J60" i="22"/>
  <c r="S60" i="22"/>
  <c r="BZ61" i="1"/>
  <c r="F61" i="22"/>
  <c r="O61" i="22"/>
  <c r="CA61" i="1"/>
  <c r="G61" i="22"/>
  <c r="P61" i="22"/>
  <c r="CC61" i="1"/>
  <c r="H61" i="22"/>
  <c r="Q61" i="22"/>
  <c r="BV61" i="1"/>
  <c r="I61" i="22"/>
  <c r="R61" i="22"/>
  <c r="J61" i="22"/>
  <c r="S61" i="22"/>
  <c r="F62" i="22"/>
  <c r="O62" i="22"/>
  <c r="G62" i="22"/>
  <c r="P62" i="22"/>
  <c r="CC62" i="1"/>
  <c r="H62" i="22"/>
  <c r="Q62" i="22"/>
  <c r="I62" i="22"/>
  <c r="R62" i="22"/>
  <c r="J62" i="22"/>
  <c r="S62" i="22"/>
  <c r="F63" i="22"/>
  <c r="O63" i="22"/>
  <c r="G63" i="22"/>
  <c r="P63" i="22"/>
  <c r="CC63" i="1"/>
  <c r="H63" i="22"/>
  <c r="Q63" i="22"/>
  <c r="I63" i="22"/>
  <c r="R63" i="22"/>
  <c r="J63" i="22"/>
  <c r="S63" i="22"/>
  <c r="F64" i="22"/>
  <c r="O64" i="22"/>
  <c r="G64" i="22"/>
  <c r="P64" i="22"/>
  <c r="CC64" i="1"/>
  <c r="H64" i="22"/>
  <c r="Q64" i="22"/>
  <c r="I64" i="22"/>
  <c r="R64" i="22"/>
  <c r="J64" i="22"/>
  <c r="S64" i="22"/>
  <c r="F65" i="22"/>
  <c r="O65" i="22"/>
  <c r="G65" i="22"/>
  <c r="P65" i="22"/>
  <c r="CC65" i="1"/>
  <c r="H65" i="22"/>
  <c r="Q65" i="22"/>
  <c r="I65" i="22"/>
  <c r="R65" i="22"/>
  <c r="J65" i="22"/>
  <c r="S65" i="22"/>
  <c r="BZ66" i="1"/>
  <c r="F66" i="22"/>
  <c r="O66" i="22"/>
  <c r="CA66" i="1"/>
  <c r="G66" i="22"/>
  <c r="P66" i="22"/>
  <c r="CC66" i="1"/>
  <c r="H66" i="22"/>
  <c r="Q66" i="22"/>
  <c r="BV66" i="1"/>
  <c r="I66" i="22"/>
  <c r="R66" i="22"/>
  <c r="J66" i="22"/>
  <c r="S66" i="22"/>
  <c r="BZ67" i="1"/>
  <c r="F67" i="22"/>
  <c r="O67" i="22"/>
  <c r="CA67" i="1"/>
  <c r="G67" i="22"/>
  <c r="P67" i="22"/>
  <c r="CC67" i="1"/>
  <c r="H67" i="22"/>
  <c r="Q67" i="22"/>
  <c r="BV67" i="1"/>
  <c r="I67" i="22"/>
  <c r="R67" i="22"/>
  <c r="J67" i="22"/>
  <c r="S67" i="22"/>
  <c r="BZ68" i="1"/>
  <c r="F68" i="22"/>
  <c r="O68" i="22"/>
  <c r="CA68" i="1"/>
  <c r="G68" i="22"/>
  <c r="P68" i="22"/>
  <c r="CC68" i="1"/>
  <c r="H68" i="22"/>
  <c r="Q68" i="22"/>
  <c r="BV68" i="1"/>
  <c r="I68" i="22"/>
  <c r="R68" i="22"/>
  <c r="J68" i="22"/>
  <c r="S68" i="22"/>
  <c r="BZ69" i="1"/>
  <c r="F69" i="22"/>
  <c r="O69" i="22"/>
  <c r="CA69" i="1"/>
  <c r="G69" i="22"/>
  <c r="P69" i="22"/>
  <c r="CC69" i="1"/>
  <c r="H69" i="22"/>
  <c r="Q69" i="22"/>
  <c r="BV69" i="1"/>
  <c r="I69" i="22"/>
  <c r="R69" i="22"/>
  <c r="J69" i="22"/>
  <c r="S69" i="22"/>
  <c r="BZ70" i="1"/>
  <c r="F70" i="22"/>
  <c r="O70" i="22"/>
  <c r="CA70" i="1"/>
  <c r="G70" i="22"/>
  <c r="P70" i="22"/>
  <c r="CC70" i="1"/>
  <c r="H70" i="22"/>
  <c r="Q70" i="22"/>
  <c r="BV70" i="1"/>
  <c r="I70" i="22"/>
  <c r="R70" i="22"/>
  <c r="J70" i="22"/>
  <c r="S70" i="22"/>
  <c r="BZ71" i="1"/>
  <c r="F71" i="22"/>
  <c r="O71" i="22"/>
  <c r="CA71" i="1"/>
  <c r="G71" i="22"/>
  <c r="P71" i="22"/>
  <c r="CC71" i="1"/>
  <c r="H71" i="22"/>
  <c r="Q71" i="22"/>
  <c r="BV71" i="1"/>
  <c r="I71" i="22"/>
  <c r="R71" i="22"/>
  <c r="J71" i="22"/>
  <c r="S71" i="22"/>
  <c r="BZ72" i="1"/>
  <c r="F72" i="22"/>
  <c r="O72" i="22"/>
  <c r="CA72" i="1"/>
  <c r="G72" i="22"/>
  <c r="P72" i="22"/>
  <c r="CC72" i="1"/>
  <c r="H72" i="22"/>
  <c r="Q72" i="22"/>
  <c r="BV72" i="1"/>
  <c r="I72" i="22"/>
  <c r="R72" i="22"/>
  <c r="J72" i="22"/>
  <c r="S72" i="22"/>
  <c r="BZ73" i="1"/>
  <c r="F73" i="22"/>
  <c r="O73" i="22"/>
  <c r="CA73" i="1"/>
  <c r="G73" i="22"/>
  <c r="P73" i="22"/>
  <c r="CC73" i="1"/>
  <c r="H73" i="22"/>
  <c r="Q73" i="22"/>
  <c r="BV73" i="1"/>
  <c r="I73" i="22"/>
  <c r="R73" i="22"/>
  <c r="J73" i="22"/>
  <c r="S73" i="22"/>
  <c r="F74" i="22"/>
  <c r="O74" i="22"/>
  <c r="G74" i="22"/>
  <c r="P74" i="22"/>
  <c r="CC74" i="1"/>
  <c r="H74" i="22"/>
  <c r="Q74" i="22"/>
  <c r="I74" i="22"/>
  <c r="R74" i="22"/>
  <c r="J74" i="22"/>
  <c r="S74" i="22"/>
  <c r="F75" i="22"/>
  <c r="O75" i="22"/>
  <c r="G75" i="22"/>
  <c r="P75" i="22"/>
  <c r="CC75" i="1"/>
  <c r="H75" i="22"/>
  <c r="Q75" i="22"/>
  <c r="I75" i="22"/>
  <c r="R75" i="22"/>
  <c r="J75" i="22"/>
  <c r="S75" i="22"/>
  <c r="F76" i="22"/>
  <c r="O76" i="22"/>
  <c r="G76" i="22"/>
  <c r="P76" i="22"/>
  <c r="CC76" i="1"/>
  <c r="H76" i="22"/>
  <c r="Q76" i="22"/>
  <c r="I76" i="22"/>
  <c r="R76" i="22"/>
  <c r="J76" i="22"/>
  <c r="S76" i="22"/>
  <c r="F77" i="22"/>
  <c r="O77" i="22"/>
  <c r="G77" i="22"/>
  <c r="P77" i="22"/>
  <c r="CC77" i="1"/>
  <c r="H77" i="22"/>
  <c r="Q77" i="22"/>
  <c r="I77" i="22"/>
  <c r="R77" i="22"/>
  <c r="J77" i="22"/>
  <c r="S77" i="22"/>
  <c r="BZ78" i="1"/>
  <c r="F78" i="22"/>
  <c r="O78" i="22"/>
  <c r="CA78" i="1"/>
  <c r="G78" i="22"/>
  <c r="P78" i="22"/>
  <c r="CC78" i="1"/>
  <c r="H78" i="22"/>
  <c r="Q78" i="22"/>
  <c r="BV78" i="1"/>
  <c r="I78" i="22"/>
  <c r="R78" i="22"/>
  <c r="J78" i="22"/>
  <c r="S78" i="22"/>
  <c r="BZ79" i="1"/>
  <c r="F79" i="22"/>
  <c r="O79" i="22"/>
  <c r="CA79" i="1"/>
  <c r="G79" i="22"/>
  <c r="P79" i="22"/>
  <c r="CC79" i="1"/>
  <c r="H79" i="22"/>
  <c r="Q79" i="22"/>
  <c r="BV79" i="1"/>
  <c r="I79" i="22"/>
  <c r="R79" i="22"/>
  <c r="J79" i="22"/>
  <c r="S79" i="22"/>
  <c r="BZ80" i="1"/>
  <c r="F80" i="22"/>
  <c r="O80" i="22"/>
  <c r="CA80" i="1"/>
  <c r="G80" i="22"/>
  <c r="P80" i="22"/>
  <c r="CC80" i="1"/>
  <c r="H80" i="22"/>
  <c r="Q80" i="22"/>
  <c r="BV80" i="1"/>
  <c r="I80" i="22"/>
  <c r="R80" i="22"/>
  <c r="J80" i="22"/>
  <c r="S80" i="22"/>
  <c r="BZ81" i="1"/>
  <c r="F81" i="22"/>
  <c r="O81" i="22"/>
  <c r="CA81" i="1"/>
  <c r="G81" i="22"/>
  <c r="P81" i="22"/>
  <c r="CC81" i="1"/>
  <c r="H81" i="22"/>
  <c r="Q81" i="22"/>
  <c r="BV81" i="1"/>
  <c r="I81" i="22"/>
  <c r="R81" i="22"/>
  <c r="J81" i="22"/>
  <c r="S81" i="22"/>
  <c r="BZ82" i="1"/>
  <c r="F82" i="22"/>
  <c r="O82" i="22"/>
  <c r="CA82" i="1"/>
  <c r="G82" i="22"/>
  <c r="P82" i="22"/>
  <c r="CC82" i="1"/>
  <c r="H82" i="22"/>
  <c r="Q82" i="22"/>
  <c r="BV82" i="1"/>
  <c r="I82" i="22"/>
  <c r="R82" i="22"/>
  <c r="J82" i="22"/>
  <c r="S82" i="22"/>
  <c r="BZ83" i="1"/>
  <c r="F83" i="22"/>
  <c r="O83" i="22"/>
  <c r="CA83" i="1"/>
  <c r="G83" i="22"/>
  <c r="P83" i="22"/>
  <c r="CC83" i="1"/>
  <c r="H83" i="22"/>
  <c r="Q83" i="22"/>
  <c r="BV83" i="1"/>
  <c r="I83" i="22"/>
  <c r="R83" i="22"/>
  <c r="J83" i="22"/>
  <c r="S83" i="22"/>
  <c r="BZ84" i="1"/>
  <c r="F84" i="22"/>
  <c r="O84" i="22"/>
  <c r="CA84" i="1"/>
  <c r="G84" i="22"/>
  <c r="P84" i="22"/>
  <c r="CC84" i="1"/>
  <c r="H84" i="22"/>
  <c r="Q84" i="22"/>
  <c r="BV84" i="1"/>
  <c r="I84" i="22"/>
  <c r="R84" i="22"/>
  <c r="J84" i="22"/>
  <c r="S84" i="22"/>
  <c r="BZ85" i="1"/>
  <c r="F85" i="22"/>
  <c r="O85" i="22"/>
  <c r="CA85" i="1"/>
  <c r="G85" i="22"/>
  <c r="P85" i="22"/>
  <c r="CC85" i="1"/>
  <c r="H85" i="22"/>
  <c r="Q85" i="22"/>
  <c r="BV85" i="1"/>
  <c r="I85" i="22"/>
  <c r="R85" i="22"/>
  <c r="J85" i="22"/>
  <c r="S85" i="22"/>
  <c r="O86" i="22"/>
  <c r="P86" i="22"/>
  <c r="Q86" i="22"/>
  <c r="R86" i="22"/>
  <c r="J86" i="22"/>
  <c r="S86" i="22"/>
  <c r="O87" i="22"/>
  <c r="P87" i="22"/>
  <c r="Q87" i="22"/>
  <c r="R87" i="22"/>
  <c r="J87" i="22"/>
  <c r="S87" i="22"/>
  <c r="O88" i="22"/>
  <c r="P88" i="22"/>
  <c r="Q88" i="22"/>
  <c r="R88" i="22"/>
  <c r="J88" i="22"/>
  <c r="S88" i="22"/>
  <c r="O89" i="22"/>
  <c r="P89" i="22"/>
  <c r="Q89" i="22"/>
  <c r="R89" i="22"/>
  <c r="J89" i="22"/>
  <c r="S89" i="22"/>
  <c r="BZ90" i="1"/>
  <c r="F90" i="22"/>
  <c r="O90" i="22"/>
  <c r="CA90" i="1"/>
  <c r="G90" i="22"/>
  <c r="P90" i="22"/>
  <c r="CC90" i="1"/>
  <c r="H90" i="22"/>
  <c r="Q90" i="22"/>
  <c r="BV90" i="1"/>
  <c r="I90" i="22"/>
  <c r="R90" i="22"/>
  <c r="J90" i="22"/>
  <c r="S90" i="22"/>
  <c r="BZ91" i="1"/>
  <c r="F91" i="22"/>
  <c r="O91" i="22"/>
  <c r="CA91" i="1"/>
  <c r="G91" i="22"/>
  <c r="P91" i="22"/>
  <c r="CC91" i="1"/>
  <c r="H91" i="22"/>
  <c r="Q91" i="22"/>
  <c r="BV91" i="1"/>
  <c r="I91" i="22"/>
  <c r="R91" i="22"/>
  <c r="J91" i="22"/>
  <c r="S91" i="22"/>
  <c r="BZ92" i="1"/>
  <c r="F92" i="22"/>
  <c r="O92" i="22"/>
  <c r="CA92" i="1"/>
  <c r="G92" i="22"/>
  <c r="P92" i="22"/>
  <c r="CC92" i="1"/>
  <c r="H92" i="22"/>
  <c r="Q92" i="22"/>
  <c r="BV92" i="1"/>
  <c r="I92" i="22"/>
  <c r="R92" i="22"/>
  <c r="J92" i="22"/>
  <c r="S92" i="22"/>
  <c r="BZ93" i="1"/>
  <c r="F93" i="22"/>
  <c r="O93" i="22"/>
  <c r="CA93" i="1"/>
  <c r="G93" i="22"/>
  <c r="P93" i="22"/>
  <c r="CC93" i="1"/>
  <c r="H93" i="22"/>
  <c r="Q93" i="22"/>
  <c r="BV93" i="1"/>
  <c r="I93" i="22"/>
  <c r="R93" i="22"/>
  <c r="J93" i="22"/>
  <c r="S93" i="22"/>
  <c r="BZ94" i="1"/>
  <c r="F94" i="22"/>
  <c r="O94" i="22"/>
  <c r="CA94" i="1"/>
  <c r="G94" i="22"/>
  <c r="P94" i="22"/>
  <c r="CC94" i="1"/>
  <c r="H94" i="22"/>
  <c r="Q94" i="22"/>
  <c r="BV94" i="1"/>
  <c r="I94" i="22"/>
  <c r="R94" i="22"/>
  <c r="J94" i="22"/>
  <c r="S94" i="22"/>
  <c r="BZ95" i="1"/>
  <c r="F95" i="22"/>
  <c r="O95" i="22"/>
  <c r="CA95" i="1"/>
  <c r="G95" i="22"/>
  <c r="P95" i="22"/>
  <c r="CC95" i="1"/>
  <c r="H95" i="22"/>
  <c r="Q95" i="22"/>
  <c r="BV95" i="1"/>
  <c r="I95" i="22"/>
  <c r="R95" i="22"/>
  <c r="J95" i="22"/>
  <c r="S95" i="22"/>
  <c r="BZ96" i="1"/>
  <c r="F96" i="22"/>
  <c r="O96" i="22"/>
  <c r="CA96" i="1"/>
  <c r="G96" i="22"/>
  <c r="P96" i="22"/>
  <c r="CC96" i="1"/>
  <c r="H96" i="22"/>
  <c r="Q96" i="22"/>
  <c r="BV96" i="1"/>
  <c r="I96" i="22"/>
  <c r="R96" i="22"/>
  <c r="J96" i="22"/>
  <c r="S96" i="22"/>
  <c r="BZ97" i="1"/>
  <c r="F97" i="22"/>
  <c r="O97" i="22"/>
  <c r="CA97" i="1"/>
  <c r="G97" i="22"/>
  <c r="P97" i="22"/>
  <c r="CC97" i="1"/>
  <c r="H97" i="22"/>
  <c r="Q97" i="22"/>
  <c r="BV97" i="1"/>
  <c r="I97" i="22"/>
  <c r="R97" i="22"/>
  <c r="S97" i="22"/>
  <c r="O98" i="22"/>
  <c r="P98" i="22"/>
  <c r="H98" i="22"/>
  <c r="Q98" i="22"/>
  <c r="R98" i="22"/>
  <c r="S98" i="22"/>
  <c r="O99" i="22"/>
  <c r="P99" i="22"/>
  <c r="H99" i="22"/>
  <c r="Q99" i="22"/>
  <c r="R99" i="22"/>
  <c r="S99" i="22"/>
  <c r="O100" i="22"/>
  <c r="P100" i="22"/>
  <c r="H100" i="22"/>
  <c r="Q100" i="22"/>
  <c r="R100" i="22"/>
  <c r="S100" i="22"/>
  <c r="O101" i="22"/>
  <c r="P101" i="22"/>
  <c r="H101" i="22"/>
  <c r="Q101" i="22"/>
  <c r="R101" i="22"/>
  <c r="S101" i="22"/>
  <c r="F102" i="22"/>
  <c r="O102" i="22"/>
  <c r="G102" i="22"/>
  <c r="P102" i="22"/>
  <c r="H102" i="22"/>
  <c r="Q102" i="22"/>
  <c r="I102" i="22"/>
  <c r="R102" i="22"/>
  <c r="S102" i="22"/>
  <c r="F103" i="22"/>
  <c r="O103" i="22"/>
  <c r="G103" i="22"/>
  <c r="P103" i="22"/>
  <c r="H103" i="22"/>
  <c r="Q103" i="22"/>
  <c r="I103" i="22"/>
  <c r="R103" i="22"/>
  <c r="S103" i="22"/>
  <c r="F104" i="22"/>
  <c r="O104" i="22"/>
  <c r="G104" i="22"/>
  <c r="P104" i="22"/>
  <c r="H104" i="22"/>
  <c r="Q104" i="22"/>
  <c r="I104" i="22"/>
  <c r="R104" i="22"/>
  <c r="S104" i="22"/>
  <c r="F105" i="22"/>
  <c r="O105" i="22"/>
  <c r="G105" i="22"/>
  <c r="P105" i="22"/>
  <c r="H105" i="22"/>
  <c r="Q105" i="22"/>
  <c r="I105" i="22"/>
  <c r="R105" i="22"/>
  <c r="S105" i="22"/>
  <c r="F106" i="22"/>
  <c r="O106" i="22"/>
  <c r="G106" i="22"/>
  <c r="P106" i="22"/>
  <c r="H106" i="22"/>
  <c r="Q106" i="22"/>
  <c r="I106" i="22"/>
  <c r="R106" i="22"/>
  <c r="S106" i="22"/>
  <c r="F107" i="22"/>
  <c r="O107" i="22"/>
  <c r="G107" i="22"/>
  <c r="P107" i="22"/>
  <c r="H107" i="22"/>
  <c r="Q107" i="22"/>
  <c r="I107" i="22"/>
  <c r="R107" i="22"/>
  <c r="S107" i="22"/>
  <c r="F108" i="22"/>
  <c r="O108" i="22"/>
  <c r="G108" i="22"/>
  <c r="P108" i="22"/>
  <c r="H108" i="22"/>
  <c r="Q108" i="22"/>
  <c r="I108" i="22"/>
  <c r="R108" i="22"/>
  <c r="S108" i="22"/>
  <c r="F109" i="22"/>
  <c r="O109" i="22"/>
  <c r="G109" i="22"/>
  <c r="P109" i="22"/>
  <c r="H109" i="22"/>
  <c r="Q109" i="22"/>
  <c r="I109" i="22"/>
  <c r="R109" i="22"/>
  <c r="S109" i="22"/>
  <c r="O110" i="22"/>
  <c r="P110" i="22"/>
  <c r="H110" i="22"/>
  <c r="Q110" i="22"/>
  <c r="R110" i="22"/>
  <c r="S110" i="22"/>
  <c r="O111" i="22"/>
  <c r="P111" i="22"/>
  <c r="H111" i="22"/>
  <c r="Q111" i="22"/>
  <c r="R111" i="22"/>
  <c r="S111" i="22"/>
  <c r="O112" i="22"/>
  <c r="P112" i="22"/>
  <c r="H112" i="22"/>
  <c r="Q112" i="22"/>
  <c r="R112" i="22"/>
  <c r="S112" i="22"/>
  <c r="O113" i="22"/>
  <c r="P113" i="22"/>
  <c r="H113" i="22"/>
  <c r="Q113" i="22"/>
  <c r="R113" i="22"/>
  <c r="S113" i="22"/>
  <c r="F114" i="22"/>
  <c r="O114" i="22"/>
  <c r="G114" i="22"/>
  <c r="P114" i="22"/>
  <c r="H114" i="22"/>
  <c r="Q114" i="22"/>
  <c r="I114" i="22"/>
  <c r="R114" i="22"/>
  <c r="S114" i="22"/>
  <c r="F115" i="22"/>
  <c r="O115" i="22"/>
  <c r="G115" i="22"/>
  <c r="P115" i="22"/>
  <c r="H115" i="22"/>
  <c r="Q115" i="22"/>
  <c r="I115" i="22"/>
  <c r="R115" i="22"/>
  <c r="S115" i="22"/>
  <c r="F116" i="22"/>
  <c r="O116" i="22"/>
  <c r="G116" i="22"/>
  <c r="P116" i="22"/>
  <c r="H116" i="22"/>
  <c r="Q116" i="22"/>
  <c r="I116" i="22"/>
  <c r="R116" i="22"/>
  <c r="S116" i="22"/>
  <c r="F117" i="22"/>
  <c r="O117" i="22"/>
  <c r="G117" i="22"/>
  <c r="P117" i="22"/>
  <c r="H117" i="22"/>
  <c r="Q117" i="22"/>
  <c r="I117" i="22"/>
  <c r="R117" i="22"/>
  <c r="S117" i="22"/>
  <c r="F118" i="22"/>
  <c r="O118" i="22"/>
  <c r="G118" i="22"/>
  <c r="P118" i="22"/>
  <c r="H118" i="22"/>
  <c r="Q118" i="22"/>
  <c r="I118" i="22"/>
  <c r="R118" i="22"/>
  <c r="S118" i="22"/>
  <c r="F119" i="22"/>
  <c r="O119" i="22"/>
  <c r="G119" i="22"/>
  <c r="P119" i="22"/>
  <c r="H119" i="22"/>
  <c r="Q119" i="22"/>
  <c r="I119" i="22"/>
  <c r="R119" i="22"/>
  <c r="S119" i="22"/>
  <c r="F120" i="22"/>
  <c r="O120" i="22"/>
  <c r="G120" i="22"/>
  <c r="P120" i="22"/>
  <c r="H120" i="22"/>
  <c r="Q120" i="22"/>
  <c r="I120" i="22"/>
  <c r="R120" i="22"/>
  <c r="S120" i="22"/>
  <c r="F121" i="22"/>
  <c r="O121" i="22"/>
  <c r="G121" i="22"/>
  <c r="P121" i="22"/>
  <c r="H121" i="22"/>
  <c r="Q121" i="22"/>
  <c r="I121" i="22"/>
  <c r="R121" i="22"/>
  <c r="S121" i="22"/>
  <c r="O122" i="22"/>
  <c r="P122" i="22"/>
  <c r="H122" i="22"/>
  <c r="Q122" i="22"/>
  <c r="R122" i="22"/>
  <c r="S122" i="22"/>
  <c r="O123" i="22"/>
  <c r="P123" i="22"/>
  <c r="H123" i="22"/>
  <c r="Q123" i="22"/>
  <c r="R123" i="22"/>
  <c r="S123" i="22"/>
  <c r="O124" i="22"/>
  <c r="P124" i="22"/>
  <c r="H124" i="22"/>
  <c r="Q124" i="22"/>
  <c r="R124" i="22"/>
  <c r="S124" i="22"/>
  <c r="O125" i="22"/>
  <c r="P125" i="22"/>
  <c r="H125" i="22"/>
  <c r="Q125" i="22"/>
  <c r="R125" i="22"/>
  <c r="S125" i="22"/>
  <c r="F126" i="22"/>
  <c r="O126" i="22"/>
  <c r="G126" i="22"/>
  <c r="P126" i="22"/>
  <c r="H126" i="22"/>
  <c r="Q126" i="22"/>
  <c r="I126" i="22"/>
  <c r="R126" i="22"/>
  <c r="S126" i="22"/>
  <c r="F127" i="22"/>
  <c r="O127" i="22"/>
  <c r="G127" i="22"/>
  <c r="P127" i="22"/>
  <c r="H127" i="22"/>
  <c r="Q127" i="22"/>
  <c r="I127" i="22"/>
  <c r="R127" i="22"/>
  <c r="S127" i="22"/>
  <c r="F128" i="22"/>
  <c r="O128" i="22"/>
  <c r="G128" i="22"/>
  <c r="P128" i="22"/>
  <c r="H128" i="22"/>
  <c r="Q128" i="22"/>
  <c r="I128" i="22"/>
  <c r="R128" i="22"/>
  <c r="S128" i="22"/>
  <c r="F129" i="22"/>
  <c r="O129" i="22"/>
  <c r="G129" i="22"/>
  <c r="P129" i="22"/>
  <c r="H129" i="22"/>
  <c r="Q129" i="22"/>
  <c r="I129" i="22"/>
  <c r="R129" i="22"/>
  <c r="S129" i="22"/>
  <c r="F130" i="22"/>
  <c r="O130" i="22"/>
  <c r="G130" i="22"/>
  <c r="P130" i="22"/>
  <c r="H130" i="22"/>
  <c r="Q130" i="22"/>
  <c r="I130" i="22"/>
  <c r="R130" i="22"/>
  <c r="S130" i="22"/>
  <c r="F131" i="22"/>
  <c r="O131" i="22"/>
  <c r="G131" i="22"/>
  <c r="P131" i="22"/>
  <c r="H131" i="22"/>
  <c r="Q131" i="22"/>
  <c r="I131" i="22"/>
  <c r="R131" i="22"/>
  <c r="S131" i="22"/>
  <c r="F132" i="22"/>
  <c r="O132" i="22"/>
  <c r="G132" i="22"/>
  <c r="P132" i="22"/>
  <c r="H132" i="22"/>
  <c r="Q132" i="22"/>
  <c r="I132" i="22"/>
  <c r="R132" i="22"/>
  <c r="S132" i="22"/>
  <c r="F133" i="22"/>
  <c r="O133" i="22"/>
  <c r="G133" i="22"/>
  <c r="P133" i="22"/>
  <c r="H133" i="22"/>
  <c r="Q133" i="22"/>
  <c r="I133" i="22"/>
  <c r="R133" i="22"/>
  <c r="S133" i="22"/>
  <c r="F138" i="22"/>
  <c r="O138" i="22"/>
  <c r="G138" i="22"/>
  <c r="P138" i="22"/>
  <c r="H138" i="22"/>
  <c r="Q138" i="22"/>
  <c r="I138" i="22"/>
  <c r="R138" i="22"/>
  <c r="J138" i="22"/>
  <c r="S138" i="22"/>
  <c r="F139" i="22"/>
  <c r="O139" i="22"/>
  <c r="G139" i="22"/>
  <c r="P139" i="22"/>
  <c r="H139" i="22"/>
  <c r="Q139" i="22"/>
  <c r="I139" i="22"/>
  <c r="R139" i="22"/>
  <c r="J139" i="22"/>
  <c r="S139" i="22"/>
  <c r="F140" i="22"/>
  <c r="O140" i="22"/>
  <c r="G140" i="22"/>
  <c r="P140" i="22"/>
  <c r="H140" i="22"/>
  <c r="Q140" i="22"/>
  <c r="I140" i="22"/>
  <c r="R140" i="22"/>
  <c r="J140" i="22"/>
  <c r="S140" i="22"/>
  <c r="F141" i="22"/>
  <c r="O141" i="22"/>
  <c r="G141" i="22"/>
  <c r="P141" i="22"/>
  <c r="H141" i="22"/>
  <c r="Q141" i="22"/>
  <c r="I141" i="22"/>
  <c r="R141" i="22"/>
  <c r="J141" i="22"/>
  <c r="S141" i="22"/>
  <c r="F142" i="22"/>
  <c r="O142" i="22"/>
  <c r="G142" i="22"/>
  <c r="P142" i="22"/>
  <c r="H142" i="22"/>
  <c r="Q142" i="22"/>
  <c r="I142" i="22"/>
  <c r="R142" i="22"/>
  <c r="J142" i="22"/>
  <c r="S142" i="22"/>
  <c r="F143" i="22"/>
  <c r="O143" i="22"/>
  <c r="G143" i="22"/>
  <c r="P143" i="22"/>
  <c r="H143" i="22"/>
  <c r="Q143" i="22"/>
  <c r="I143" i="22"/>
  <c r="R143" i="22"/>
  <c r="J143" i="22"/>
  <c r="S143" i="22"/>
  <c r="F144" i="22"/>
  <c r="O144" i="22"/>
  <c r="G144" i="22"/>
  <c r="P144" i="22"/>
  <c r="H144" i="22"/>
  <c r="Q144" i="22"/>
  <c r="I144" i="22"/>
  <c r="R144" i="22"/>
  <c r="J144" i="22"/>
  <c r="S144" i="22"/>
  <c r="F145" i="22"/>
  <c r="O145" i="22"/>
  <c r="G145" i="22"/>
  <c r="P145" i="22"/>
  <c r="H145" i="22"/>
  <c r="Q145" i="22"/>
  <c r="I145" i="22"/>
  <c r="R145" i="22"/>
  <c r="J145" i="22"/>
  <c r="S145" i="22"/>
  <c r="A2" i="22"/>
  <c r="B2" i="22"/>
  <c r="A3" i="22"/>
  <c r="B3" i="22"/>
  <c r="A4" i="22"/>
  <c r="B4" i="22"/>
  <c r="A5" i="22"/>
  <c r="B5" i="22"/>
  <c r="A6" i="22"/>
  <c r="B6" i="22"/>
  <c r="A7" i="22"/>
  <c r="B7" i="22"/>
  <c r="A8" i="22"/>
  <c r="B8" i="22"/>
  <c r="A9" i="22"/>
  <c r="B9" i="22"/>
  <c r="A10" i="22"/>
  <c r="B10" i="22"/>
  <c r="A11" i="22"/>
  <c r="B11" i="22"/>
  <c r="A12" i="22"/>
  <c r="B12" i="22"/>
  <c r="A13" i="22"/>
  <c r="B13" i="22"/>
  <c r="A14" i="22"/>
  <c r="B14" i="22"/>
  <c r="A15" i="22"/>
  <c r="B15" i="22"/>
  <c r="A16" i="22"/>
  <c r="B16" i="22"/>
  <c r="A17" i="22"/>
  <c r="B17" i="22"/>
  <c r="A18" i="22"/>
  <c r="B18" i="22"/>
  <c r="A19" i="22"/>
  <c r="B19" i="22"/>
  <c r="A20" i="22"/>
  <c r="B20" i="22"/>
  <c r="A21" i="22"/>
  <c r="B21" i="22"/>
  <c r="A22" i="22"/>
  <c r="B22" i="22"/>
  <c r="A23" i="22"/>
  <c r="B23" i="22"/>
  <c r="A24" i="22"/>
  <c r="B24" i="22"/>
  <c r="A25" i="22"/>
  <c r="B25" i="22"/>
  <c r="A26" i="22"/>
  <c r="B26" i="22"/>
  <c r="A27" i="22"/>
  <c r="B27" i="22"/>
  <c r="A28" i="22"/>
  <c r="B28" i="22"/>
  <c r="A29" i="22"/>
  <c r="B29" i="22"/>
  <c r="A30" i="22"/>
  <c r="B30" i="22"/>
  <c r="A31" i="22"/>
  <c r="B31" i="22"/>
  <c r="A32" i="22"/>
  <c r="B32" i="22"/>
  <c r="A33" i="22"/>
  <c r="B33" i="22"/>
  <c r="A34" i="22"/>
  <c r="B34" i="22"/>
  <c r="A35" i="22"/>
  <c r="B35" i="22"/>
  <c r="A36" i="22"/>
  <c r="B36" i="22"/>
  <c r="A37" i="22"/>
  <c r="B37" i="22"/>
  <c r="A38" i="22"/>
  <c r="B38" i="22"/>
  <c r="A39" i="22"/>
  <c r="B39" i="22"/>
  <c r="A40" i="22"/>
  <c r="B40" i="22"/>
  <c r="A41" i="22"/>
  <c r="B41" i="22"/>
  <c r="A42" i="22"/>
  <c r="B42" i="22"/>
  <c r="A43" i="22"/>
  <c r="B43" i="22"/>
  <c r="A44" i="22"/>
  <c r="B44" i="22"/>
  <c r="A45" i="22"/>
  <c r="B45" i="22"/>
  <c r="A46" i="22"/>
  <c r="B46" i="22"/>
  <c r="A47" i="22"/>
  <c r="B47" i="22"/>
  <c r="A48" i="22"/>
  <c r="B48" i="22"/>
  <c r="A49" i="22"/>
  <c r="B49" i="22"/>
  <c r="A50" i="22"/>
  <c r="B50" i="22"/>
  <c r="A51" i="22"/>
  <c r="B51" i="22"/>
  <c r="A52" i="22"/>
  <c r="B52" i="22"/>
  <c r="A53" i="22"/>
  <c r="B53" i="22"/>
  <c r="A54" i="22"/>
  <c r="B54" i="22"/>
  <c r="A55" i="22"/>
  <c r="B55" i="22"/>
  <c r="A56" i="22"/>
  <c r="B56" i="22"/>
  <c r="A57" i="22"/>
  <c r="B57" i="22"/>
  <c r="A58" i="22"/>
  <c r="B58" i="22"/>
  <c r="A59" i="22"/>
  <c r="B59" i="22"/>
  <c r="A60" i="22"/>
  <c r="B60" i="22"/>
  <c r="A61" i="22"/>
  <c r="B61" i="22"/>
  <c r="A62" i="22"/>
  <c r="B62" i="22"/>
  <c r="A63" i="22"/>
  <c r="B63" i="22"/>
  <c r="A64" i="22"/>
  <c r="B64" i="22"/>
  <c r="A65" i="22"/>
  <c r="B65" i="22"/>
  <c r="A66" i="22"/>
  <c r="B66" i="22"/>
  <c r="A67" i="22"/>
  <c r="B67" i="22"/>
  <c r="A68" i="22"/>
  <c r="B68" i="22"/>
  <c r="A69" i="22"/>
  <c r="B69" i="22"/>
  <c r="A70" i="22"/>
  <c r="B70" i="22"/>
  <c r="A71" i="22"/>
  <c r="B71" i="22"/>
  <c r="A72" i="22"/>
  <c r="B72" i="22"/>
  <c r="A73" i="22"/>
  <c r="B73" i="22"/>
  <c r="A74" i="22"/>
  <c r="B74" i="22"/>
  <c r="A75" i="22"/>
  <c r="B75" i="22"/>
  <c r="A76" i="22"/>
  <c r="B76" i="22"/>
  <c r="A77" i="22"/>
  <c r="B77" i="22"/>
  <c r="A78" i="22"/>
  <c r="B78" i="22"/>
  <c r="A79" i="22"/>
  <c r="B79" i="22"/>
  <c r="A80" i="22"/>
  <c r="B80" i="22"/>
  <c r="A81" i="22"/>
  <c r="B81" i="22"/>
  <c r="A82" i="22"/>
  <c r="B82" i="22"/>
  <c r="A83" i="22"/>
  <c r="B83" i="22"/>
  <c r="A84" i="22"/>
  <c r="B84" i="22"/>
  <c r="A85" i="22"/>
  <c r="B85" i="22"/>
  <c r="A86" i="22"/>
  <c r="B86" i="22"/>
  <c r="A87" i="22"/>
  <c r="B87" i="22"/>
  <c r="A88" i="22"/>
  <c r="B88" i="22"/>
  <c r="A89" i="22"/>
  <c r="B89" i="22"/>
  <c r="A90" i="22"/>
  <c r="B90" i="22"/>
  <c r="A91" i="22"/>
  <c r="B91" i="22"/>
  <c r="A92" i="22"/>
  <c r="B92" i="22"/>
  <c r="A93" i="22"/>
  <c r="B93" i="22"/>
  <c r="A94" i="22"/>
  <c r="B94" i="22"/>
  <c r="A95" i="22"/>
  <c r="B95" i="22"/>
  <c r="A96" i="22"/>
  <c r="B96" i="22"/>
  <c r="A97" i="22"/>
  <c r="B97" i="22"/>
  <c r="B15" i="18"/>
  <c r="B16" i="18"/>
  <c r="B50" i="36"/>
  <c r="AB50" i="36"/>
  <c r="J50" i="36"/>
  <c r="L50" i="36"/>
  <c r="N50" i="36"/>
  <c r="P50" i="36"/>
  <c r="R50" i="36"/>
  <c r="T50" i="36"/>
  <c r="V50" i="36"/>
  <c r="X50" i="36"/>
  <c r="Z50" i="36"/>
  <c r="E8" i="20"/>
  <c r="J8" i="20" s="1"/>
  <c r="I8" i="20"/>
  <c r="BK110" i="1"/>
  <c r="F110" i="23"/>
  <c r="F122" i="23"/>
  <c r="F134" i="23"/>
  <c r="P134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Q134" i="23"/>
  <c r="BP14" i="1"/>
  <c r="BP26" i="1"/>
  <c r="BP38" i="1"/>
  <c r="BP50" i="1"/>
  <c r="BP62" i="1"/>
  <c r="BP74" i="1"/>
  <c r="BP86" i="1"/>
  <c r="H86" i="23"/>
  <c r="H98" i="23"/>
  <c r="H110" i="23"/>
  <c r="H122" i="23"/>
  <c r="H134" i="23"/>
  <c r="R134" i="23"/>
  <c r="I86" i="23"/>
  <c r="I98" i="23"/>
  <c r="I110" i="23"/>
  <c r="I122" i="23"/>
  <c r="I134" i="23"/>
  <c r="S134" i="23"/>
  <c r="CB86" i="1"/>
  <c r="J86" i="23"/>
  <c r="J98" i="23"/>
  <c r="J110" i="23"/>
  <c r="J122" i="23"/>
  <c r="J134" i="23"/>
  <c r="T134" i="23"/>
  <c r="K86" i="23"/>
  <c r="K134" i="23"/>
  <c r="U134" i="23"/>
  <c r="BK111" i="1"/>
  <c r="F111" i="23"/>
  <c r="F123" i="23"/>
  <c r="F135" i="23"/>
  <c r="P135" i="23"/>
  <c r="G135" i="23"/>
  <c r="Q135" i="23"/>
  <c r="BP15" i="1"/>
  <c r="BP27" i="1"/>
  <c r="BP39" i="1"/>
  <c r="BP51" i="1"/>
  <c r="BP63" i="1"/>
  <c r="BP75" i="1"/>
  <c r="BP87" i="1"/>
  <c r="H87" i="23"/>
  <c r="H99" i="23"/>
  <c r="H111" i="23"/>
  <c r="H123" i="23"/>
  <c r="H135" i="23"/>
  <c r="R135" i="23"/>
  <c r="I87" i="23"/>
  <c r="I99" i="23"/>
  <c r="I111" i="23"/>
  <c r="I123" i="23"/>
  <c r="I135" i="23"/>
  <c r="S135" i="23"/>
  <c r="CB87" i="1"/>
  <c r="J87" i="23"/>
  <c r="J99" i="23"/>
  <c r="J111" i="23"/>
  <c r="J123" i="23"/>
  <c r="J135" i="23"/>
  <c r="T135" i="23"/>
  <c r="K87" i="23"/>
  <c r="K135" i="23"/>
  <c r="U135" i="23"/>
  <c r="BK112" i="1"/>
  <c r="F112" i="23"/>
  <c r="F124" i="23"/>
  <c r="F136" i="23"/>
  <c r="P136" i="23"/>
  <c r="G136" i="23"/>
  <c r="Q136" i="23"/>
  <c r="BP16" i="1"/>
  <c r="BP28" i="1"/>
  <c r="BP40" i="1"/>
  <c r="BP52" i="1"/>
  <c r="BP64" i="1"/>
  <c r="BP76" i="1"/>
  <c r="BP88" i="1"/>
  <c r="H88" i="23"/>
  <c r="H100" i="23"/>
  <c r="H112" i="23"/>
  <c r="H124" i="23"/>
  <c r="H136" i="23"/>
  <c r="R136" i="23"/>
  <c r="I88" i="23"/>
  <c r="I100" i="23"/>
  <c r="I112" i="23"/>
  <c r="I124" i="23"/>
  <c r="I136" i="23"/>
  <c r="S136" i="23"/>
  <c r="CB88" i="1"/>
  <c r="J88" i="23"/>
  <c r="J100" i="23"/>
  <c r="J112" i="23"/>
  <c r="J124" i="23"/>
  <c r="J136" i="23"/>
  <c r="T136" i="23"/>
  <c r="K88" i="23"/>
  <c r="K136" i="23"/>
  <c r="U136" i="23"/>
  <c r="BK113" i="1"/>
  <c r="F113" i="23"/>
  <c r="F125" i="23"/>
  <c r="F137" i="23"/>
  <c r="P137" i="23"/>
  <c r="G137" i="23"/>
  <c r="Q137" i="23"/>
  <c r="BP17" i="1"/>
  <c r="BP29" i="1"/>
  <c r="BP41" i="1"/>
  <c r="BP53" i="1"/>
  <c r="BP65" i="1"/>
  <c r="BP77" i="1"/>
  <c r="BP89" i="1"/>
  <c r="H89" i="23"/>
  <c r="H101" i="23"/>
  <c r="H113" i="23"/>
  <c r="H125" i="23"/>
  <c r="H137" i="23"/>
  <c r="R137" i="23"/>
  <c r="I89" i="23"/>
  <c r="I101" i="23"/>
  <c r="I113" i="23"/>
  <c r="I125" i="23"/>
  <c r="I137" i="23"/>
  <c r="S137" i="23"/>
  <c r="CB89" i="1"/>
  <c r="J89" i="23"/>
  <c r="J101" i="23"/>
  <c r="J113" i="23"/>
  <c r="J125" i="23"/>
  <c r="J137" i="23"/>
  <c r="T137" i="23"/>
  <c r="K89" i="23"/>
  <c r="K137" i="23"/>
  <c r="U137" i="23"/>
  <c r="BK2" i="1"/>
  <c r="F2" i="23"/>
  <c r="P2" i="23"/>
  <c r="G2" i="23"/>
  <c r="Q2" i="23"/>
  <c r="H2" i="23"/>
  <c r="R2" i="23"/>
  <c r="I2" i="23"/>
  <c r="S2" i="23"/>
  <c r="CB2" i="1"/>
  <c r="J2" i="23"/>
  <c r="T2" i="23"/>
  <c r="K2" i="23"/>
  <c r="U2" i="23"/>
  <c r="BK3" i="1"/>
  <c r="F3" i="23"/>
  <c r="P3" i="23"/>
  <c r="G3" i="23"/>
  <c r="Q3" i="23"/>
  <c r="H3" i="23"/>
  <c r="R3" i="23"/>
  <c r="I3" i="23"/>
  <c r="S3" i="23"/>
  <c r="CB3" i="1"/>
  <c r="J3" i="23"/>
  <c r="T3" i="23"/>
  <c r="K3" i="23"/>
  <c r="U3" i="23"/>
  <c r="BK4" i="1"/>
  <c r="F4" i="23"/>
  <c r="P4" i="23"/>
  <c r="G4" i="23"/>
  <c r="Q4" i="23"/>
  <c r="H4" i="23"/>
  <c r="R4" i="23"/>
  <c r="I4" i="23"/>
  <c r="S4" i="23"/>
  <c r="CB4" i="1"/>
  <c r="J4" i="23"/>
  <c r="T4" i="23"/>
  <c r="K4" i="23"/>
  <c r="U4" i="23"/>
  <c r="BK5" i="1"/>
  <c r="F5" i="23"/>
  <c r="P5" i="23"/>
  <c r="G5" i="23"/>
  <c r="Q5" i="23"/>
  <c r="H5" i="23"/>
  <c r="R5" i="23"/>
  <c r="I5" i="23"/>
  <c r="S5" i="23"/>
  <c r="CB5" i="1"/>
  <c r="J5" i="23"/>
  <c r="T5" i="23"/>
  <c r="K5" i="23"/>
  <c r="U5" i="23"/>
  <c r="BK6" i="1"/>
  <c r="F6" i="23"/>
  <c r="P6" i="23"/>
  <c r="G6" i="23"/>
  <c r="Q6" i="23"/>
  <c r="H6" i="23"/>
  <c r="R6" i="23"/>
  <c r="I6" i="23"/>
  <c r="S6" i="23"/>
  <c r="CB6" i="1"/>
  <c r="J6" i="23"/>
  <c r="T6" i="23"/>
  <c r="K6" i="23"/>
  <c r="U6" i="23"/>
  <c r="BK7" i="1"/>
  <c r="F7" i="23"/>
  <c r="P7" i="23"/>
  <c r="G7" i="23"/>
  <c r="Q7" i="23"/>
  <c r="H7" i="23"/>
  <c r="R7" i="23"/>
  <c r="I7" i="23"/>
  <c r="S7" i="23"/>
  <c r="CB7" i="1"/>
  <c r="J7" i="23"/>
  <c r="T7" i="23"/>
  <c r="K7" i="23"/>
  <c r="U7" i="23"/>
  <c r="BK8" i="1"/>
  <c r="F8" i="23"/>
  <c r="P8" i="23"/>
  <c r="G8" i="23"/>
  <c r="Q8" i="23"/>
  <c r="H8" i="23"/>
  <c r="R8" i="23"/>
  <c r="I8" i="23"/>
  <c r="S8" i="23"/>
  <c r="CB8" i="1"/>
  <c r="J8" i="23"/>
  <c r="T8" i="23"/>
  <c r="K8" i="23"/>
  <c r="U8" i="23"/>
  <c r="BK9" i="1"/>
  <c r="F9" i="23"/>
  <c r="P9" i="23"/>
  <c r="G9" i="23"/>
  <c r="Q9" i="23"/>
  <c r="H9" i="23"/>
  <c r="R9" i="23"/>
  <c r="I9" i="23"/>
  <c r="S9" i="23"/>
  <c r="CB9" i="1"/>
  <c r="J9" i="23"/>
  <c r="T9" i="23"/>
  <c r="K9" i="23"/>
  <c r="U9" i="23"/>
  <c r="BK10" i="1"/>
  <c r="F10" i="23"/>
  <c r="P10" i="23"/>
  <c r="G10" i="23"/>
  <c r="Q10" i="23"/>
  <c r="H10" i="23"/>
  <c r="R10" i="23"/>
  <c r="I10" i="23"/>
  <c r="S10" i="23"/>
  <c r="CB10" i="1"/>
  <c r="J10" i="23"/>
  <c r="T10" i="23"/>
  <c r="K10" i="23"/>
  <c r="U10" i="23"/>
  <c r="BK11" i="1"/>
  <c r="F11" i="23"/>
  <c r="P11" i="23"/>
  <c r="G11" i="23"/>
  <c r="Q11" i="23"/>
  <c r="H11" i="23"/>
  <c r="R11" i="23"/>
  <c r="I11" i="23"/>
  <c r="S11" i="23"/>
  <c r="CB11" i="1"/>
  <c r="J11" i="23"/>
  <c r="T11" i="23"/>
  <c r="K11" i="23"/>
  <c r="U11" i="23"/>
  <c r="BK12" i="1"/>
  <c r="F12" i="23"/>
  <c r="P12" i="23"/>
  <c r="G12" i="23"/>
  <c r="Q12" i="23"/>
  <c r="H12" i="23"/>
  <c r="R12" i="23"/>
  <c r="I12" i="23"/>
  <c r="S12" i="23"/>
  <c r="CB12" i="1"/>
  <c r="J12" i="23"/>
  <c r="T12" i="23"/>
  <c r="K12" i="23"/>
  <c r="U12" i="23"/>
  <c r="BK13" i="1"/>
  <c r="F13" i="23"/>
  <c r="P13" i="23"/>
  <c r="G13" i="23"/>
  <c r="Q13" i="23"/>
  <c r="H13" i="23"/>
  <c r="R13" i="23"/>
  <c r="I13" i="23"/>
  <c r="S13" i="23"/>
  <c r="CB13" i="1"/>
  <c r="J13" i="23"/>
  <c r="T13" i="23"/>
  <c r="K13" i="23"/>
  <c r="U13" i="23"/>
  <c r="BK14" i="1"/>
  <c r="F14" i="23"/>
  <c r="P14" i="23"/>
  <c r="G14" i="23"/>
  <c r="Q14" i="23"/>
  <c r="H14" i="23"/>
  <c r="R14" i="23"/>
  <c r="I14" i="23"/>
  <c r="S14" i="23"/>
  <c r="CB14" i="1"/>
  <c r="J14" i="23"/>
  <c r="T14" i="23"/>
  <c r="K14" i="23"/>
  <c r="U14" i="23"/>
  <c r="BK15" i="1"/>
  <c r="F15" i="23"/>
  <c r="P15" i="23"/>
  <c r="G15" i="23"/>
  <c r="Q15" i="23"/>
  <c r="H15" i="23"/>
  <c r="R15" i="23"/>
  <c r="I15" i="23"/>
  <c r="S15" i="23"/>
  <c r="CB15" i="1"/>
  <c r="J15" i="23"/>
  <c r="T15" i="23"/>
  <c r="K15" i="23"/>
  <c r="U15" i="23"/>
  <c r="BK16" i="1"/>
  <c r="F16" i="23"/>
  <c r="P16" i="23"/>
  <c r="G16" i="23"/>
  <c r="Q16" i="23"/>
  <c r="H16" i="23"/>
  <c r="R16" i="23"/>
  <c r="I16" i="23"/>
  <c r="S16" i="23"/>
  <c r="CB16" i="1"/>
  <c r="J16" i="23"/>
  <c r="T16" i="23"/>
  <c r="K16" i="23"/>
  <c r="U16" i="23"/>
  <c r="BK17" i="1"/>
  <c r="F17" i="23"/>
  <c r="P17" i="23"/>
  <c r="G17" i="23"/>
  <c r="Q17" i="23"/>
  <c r="H17" i="23"/>
  <c r="R17" i="23"/>
  <c r="I17" i="23"/>
  <c r="S17" i="23"/>
  <c r="CB17" i="1"/>
  <c r="J17" i="23"/>
  <c r="T17" i="23"/>
  <c r="K17" i="23"/>
  <c r="U17" i="23"/>
  <c r="BK18" i="1"/>
  <c r="F18" i="23"/>
  <c r="P18" i="23"/>
  <c r="G18" i="23"/>
  <c r="Q18" i="23"/>
  <c r="BP18" i="1"/>
  <c r="H18" i="23"/>
  <c r="R18" i="23"/>
  <c r="I18" i="23"/>
  <c r="S18" i="23"/>
  <c r="CB18" i="1"/>
  <c r="J18" i="23"/>
  <c r="T18" i="23"/>
  <c r="K18" i="23"/>
  <c r="U18" i="23"/>
  <c r="BK19" i="1"/>
  <c r="F19" i="23"/>
  <c r="P19" i="23"/>
  <c r="G19" i="23"/>
  <c r="Q19" i="23"/>
  <c r="BP19" i="1"/>
  <c r="H19" i="23"/>
  <c r="R19" i="23"/>
  <c r="I19" i="23"/>
  <c r="S19" i="23"/>
  <c r="CB19" i="1"/>
  <c r="J19" i="23"/>
  <c r="T19" i="23"/>
  <c r="K19" i="23"/>
  <c r="U19" i="23"/>
  <c r="BK20" i="1"/>
  <c r="F20" i="23"/>
  <c r="P20" i="23"/>
  <c r="G20" i="23"/>
  <c r="Q20" i="23"/>
  <c r="BP20" i="1"/>
  <c r="H20" i="23"/>
  <c r="R20" i="23"/>
  <c r="I20" i="23"/>
  <c r="S20" i="23"/>
  <c r="CB20" i="1"/>
  <c r="J20" i="23"/>
  <c r="T20" i="23"/>
  <c r="K20" i="23"/>
  <c r="U20" i="23"/>
  <c r="BK21" i="1"/>
  <c r="F21" i="23"/>
  <c r="P21" i="23"/>
  <c r="G21" i="23"/>
  <c r="Q21" i="23"/>
  <c r="BP21" i="1"/>
  <c r="H21" i="23"/>
  <c r="R21" i="23"/>
  <c r="I21" i="23"/>
  <c r="S21" i="23"/>
  <c r="CB21" i="1"/>
  <c r="J21" i="23"/>
  <c r="T21" i="23"/>
  <c r="K21" i="23"/>
  <c r="U21" i="23"/>
  <c r="BK22" i="1"/>
  <c r="F22" i="23"/>
  <c r="P22" i="23"/>
  <c r="G22" i="23"/>
  <c r="Q22" i="23"/>
  <c r="BP22" i="1"/>
  <c r="H22" i="23"/>
  <c r="R22" i="23"/>
  <c r="I22" i="23"/>
  <c r="S22" i="23"/>
  <c r="CB22" i="1"/>
  <c r="J22" i="23"/>
  <c r="T22" i="23"/>
  <c r="K22" i="23"/>
  <c r="U22" i="23"/>
  <c r="BK23" i="1"/>
  <c r="F23" i="23"/>
  <c r="P23" i="23"/>
  <c r="G23" i="23"/>
  <c r="Q23" i="23"/>
  <c r="BP23" i="1"/>
  <c r="H23" i="23"/>
  <c r="R23" i="23"/>
  <c r="I23" i="23"/>
  <c r="S23" i="23"/>
  <c r="CB23" i="1"/>
  <c r="J23" i="23"/>
  <c r="T23" i="23"/>
  <c r="K23" i="23"/>
  <c r="U23" i="23"/>
  <c r="BK24" i="1"/>
  <c r="F24" i="23"/>
  <c r="P24" i="23"/>
  <c r="G24" i="23"/>
  <c r="Q24" i="23"/>
  <c r="BP24" i="1"/>
  <c r="H24" i="23"/>
  <c r="R24" i="23"/>
  <c r="I24" i="23"/>
  <c r="S24" i="23"/>
  <c r="CB24" i="1"/>
  <c r="J24" i="23"/>
  <c r="T24" i="23"/>
  <c r="K24" i="23"/>
  <c r="U24" i="23"/>
  <c r="BK25" i="1"/>
  <c r="F25" i="23"/>
  <c r="P25" i="23"/>
  <c r="G25" i="23"/>
  <c r="Q25" i="23"/>
  <c r="BP25" i="1"/>
  <c r="H25" i="23"/>
  <c r="R25" i="23"/>
  <c r="I25" i="23"/>
  <c r="S25" i="23"/>
  <c r="CB25" i="1"/>
  <c r="J25" i="23"/>
  <c r="T25" i="23"/>
  <c r="K25" i="23"/>
  <c r="U25" i="23"/>
  <c r="BK26" i="1"/>
  <c r="F26" i="23"/>
  <c r="P26" i="23"/>
  <c r="G26" i="23"/>
  <c r="Q26" i="23"/>
  <c r="H26" i="23"/>
  <c r="R26" i="23"/>
  <c r="I26" i="23"/>
  <c r="S26" i="23"/>
  <c r="CB26" i="1"/>
  <c r="J26" i="23"/>
  <c r="T26" i="23"/>
  <c r="K26" i="23"/>
  <c r="U26" i="23"/>
  <c r="BK27" i="1"/>
  <c r="F27" i="23"/>
  <c r="P27" i="23"/>
  <c r="G27" i="23"/>
  <c r="Q27" i="23"/>
  <c r="H27" i="23"/>
  <c r="R27" i="23"/>
  <c r="I27" i="23"/>
  <c r="S27" i="23"/>
  <c r="CB27" i="1"/>
  <c r="J27" i="23"/>
  <c r="T27" i="23"/>
  <c r="K27" i="23"/>
  <c r="U27" i="23"/>
  <c r="BK28" i="1"/>
  <c r="F28" i="23"/>
  <c r="P28" i="23"/>
  <c r="G28" i="23"/>
  <c r="Q28" i="23"/>
  <c r="H28" i="23"/>
  <c r="R28" i="23"/>
  <c r="I28" i="23"/>
  <c r="S28" i="23"/>
  <c r="CB28" i="1"/>
  <c r="J28" i="23"/>
  <c r="T28" i="23"/>
  <c r="K28" i="23"/>
  <c r="U28" i="23"/>
  <c r="BK29" i="1"/>
  <c r="F29" i="23"/>
  <c r="P29" i="23"/>
  <c r="G29" i="23"/>
  <c r="Q29" i="23"/>
  <c r="H29" i="23"/>
  <c r="R29" i="23"/>
  <c r="I29" i="23"/>
  <c r="S29" i="23"/>
  <c r="CB29" i="1"/>
  <c r="J29" i="23"/>
  <c r="T29" i="23"/>
  <c r="K29" i="23"/>
  <c r="U29" i="23"/>
  <c r="BK30" i="1"/>
  <c r="F30" i="23"/>
  <c r="P30" i="23"/>
  <c r="G30" i="23"/>
  <c r="Q30" i="23"/>
  <c r="BP30" i="1"/>
  <c r="H30" i="23"/>
  <c r="R30" i="23"/>
  <c r="I30" i="23"/>
  <c r="S30" i="23"/>
  <c r="CB30" i="1"/>
  <c r="J30" i="23"/>
  <c r="T30" i="23"/>
  <c r="K30" i="23"/>
  <c r="U30" i="23"/>
  <c r="BK31" i="1"/>
  <c r="F31" i="23"/>
  <c r="P31" i="23"/>
  <c r="G31" i="23"/>
  <c r="Q31" i="23"/>
  <c r="BP31" i="1"/>
  <c r="H31" i="23"/>
  <c r="R31" i="23"/>
  <c r="I31" i="23"/>
  <c r="S31" i="23"/>
  <c r="CB31" i="1"/>
  <c r="J31" i="23"/>
  <c r="T31" i="23"/>
  <c r="K31" i="23"/>
  <c r="U31" i="23"/>
  <c r="BK32" i="1"/>
  <c r="F32" i="23"/>
  <c r="P32" i="23"/>
  <c r="G32" i="23"/>
  <c r="Q32" i="23"/>
  <c r="BP32" i="1"/>
  <c r="H32" i="23"/>
  <c r="R32" i="23"/>
  <c r="I32" i="23"/>
  <c r="S32" i="23"/>
  <c r="CB32" i="1"/>
  <c r="J32" i="23"/>
  <c r="T32" i="23"/>
  <c r="K32" i="23"/>
  <c r="U32" i="23"/>
  <c r="BK33" i="1"/>
  <c r="F33" i="23"/>
  <c r="P33" i="23"/>
  <c r="G33" i="23"/>
  <c r="Q33" i="23"/>
  <c r="BP33" i="1"/>
  <c r="H33" i="23"/>
  <c r="R33" i="23"/>
  <c r="I33" i="23"/>
  <c r="S33" i="23"/>
  <c r="CB33" i="1"/>
  <c r="J33" i="23"/>
  <c r="T33" i="23"/>
  <c r="K33" i="23"/>
  <c r="U33" i="23"/>
  <c r="BK34" i="1"/>
  <c r="F34" i="23"/>
  <c r="P34" i="23"/>
  <c r="G34" i="23"/>
  <c r="Q34" i="23"/>
  <c r="BP34" i="1"/>
  <c r="H34" i="23"/>
  <c r="R34" i="23"/>
  <c r="I34" i="23"/>
  <c r="S34" i="23"/>
  <c r="CB34" i="1"/>
  <c r="J34" i="23"/>
  <c r="T34" i="23"/>
  <c r="K34" i="23"/>
  <c r="U34" i="23"/>
  <c r="BK35" i="1"/>
  <c r="F35" i="23"/>
  <c r="P35" i="23"/>
  <c r="G35" i="23"/>
  <c r="Q35" i="23"/>
  <c r="BP35" i="1"/>
  <c r="H35" i="23"/>
  <c r="R35" i="23"/>
  <c r="I35" i="23"/>
  <c r="S35" i="23"/>
  <c r="CB35" i="1"/>
  <c r="J35" i="23"/>
  <c r="T35" i="23"/>
  <c r="K35" i="23"/>
  <c r="U35" i="23"/>
  <c r="BK36" i="1"/>
  <c r="F36" i="23"/>
  <c r="P36" i="23"/>
  <c r="G36" i="23"/>
  <c r="Q36" i="23"/>
  <c r="BP36" i="1"/>
  <c r="H36" i="23"/>
  <c r="R36" i="23"/>
  <c r="I36" i="23"/>
  <c r="S36" i="23"/>
  <c r="CB36" i="1"/>
  <c r="J36" i="23"/>
  <c r="T36" i="23"/>
  <c r="K36" i="23"/>
  <c r="U36" i="23"/>
  <c r="BK37" i="1"/>
  <c r="F37" i="23"/>
  <c r="P37" i="23"/>
  <c r="G37" i="23"/>
  <c r="Q37" i="23"/>
  <c r="BP37" i="1"/>
  <c r="H37" i="23"/>
  <c r="R37" i="23"/>
  <c r="I37" i="23"/>
  <c r="S37" i="23"/>
  <c r="CB37" i="1"/>
  <c r="J37" i="23"/>
  <c r="T37" i="23"/>
  <c r="K37" i="23"/>
  <c r="U37" i="23"/>
  <c r="BK38" i="1"/>
  <c r="F38" i="23"/>
  <c r="P38" i="23"/>
  <c r="G38" i="23"/>
  <c r="Q38" i="23"/>
  <c r="H38" i="23"/>
  <c r="R38" i="23"/>
  <c r="I38" i="23"/>
  <c r="S38" i="23"/>
  <c r="CB38" i="1"/>
  <c r="J38" i="23"/>
  <c r="T38" i="23"/>
  <c r="K38" i="23"/>
  <c r="U38" i="23"/>
  <c r="BK39" i="1"/>
  <c r="F39" i="23"/>
  <c r="P39" i="23"/>
  <c r="G39" i="23"/>
  <c r="Q39" i="23"/>
  <c r="H39" i="23"/>
  <c r="R39" i="23"/>
  <c r="I39" i="23"/>
  <c r="S39" i="23"/>
  <c r="CB39" i="1"/>
  <c r="J39" i="23"/>
  <c r="T39" i="23"/>
  <c r="K39" i="23"/>
  <c r="U39" i="23"/>
  <c r="BK40" i="1"/>
  <c r="F40" i="23"/>
  <c r="P40" i="23"/>
  <c r="G40" i="23"/>
  <c r="Q40" i="23"/>
  <c r="H40" i="23"/>
  <c r="R40" i="23"/>
  <c r="I40" i="23"/>
  <c r="S40" i="23"/>
  <c r="CB40" i="1"/>
  <c r="J40" i="23"/>
  <c r="T40" i="23"/>
  <c r="K40" i="23"/>
  <c r="U40" i="23"/>
  <c r="BK41" i="1"/>
  <c r="F41" i="23"/>
  <c r="P41" i="23"/>
  <c r="G41" i="23"/>
  <c r="Q41" i="23"/>
  <c r="H41" i="23"/>
  <c r="R41" i="23"/>
  <c r="I41" i="23"/>
  <c r="S41" i="23"/>
  <c r="CB41" i="1"/>
  <c r="J41" i="23"/>
  <c r="T41" i="23"/>
  <c r="K41" i="23"/>
  <c r="U41" i="23"/>
  <c r="BK42" i="1"/>
  <c r="F42" i="23"/>
  <c r="P42" i="23"/>
  <c r="G42" i="23"/>
  <c r="Q42" i="23"/>
  <c r="BP42" i="1"/>
  <c r="H42" i="23"/>
  <c r="R42" i="23"/>
  <c r="I42" i="23"/>
  <c r="S42" i="23"/>
  <c r="CB42" i="1"/>
  <c r="J42" i="23"/>
  <c r="T42" i="23"/>
  <c r="K42" i="23"/>
  <c r="U42" i="23"/>
  <c r="BK43" i="1"/>
  <c r="F43" i="23"/>
  <c r="P43" i="23"/>
  <c r="G43" i="23"/>
  <c r="Q43" i="23"/>
  <c r="BP43" i="1"/>
  <c r="H43" i="23"/>
  <c r="R43" i="23"/>
  <c r="I43" i="23"/>
  <c r="S43" i="23"/>
  <c r="CB43" i="1"/>
  <c r="J43" i="23"/>
  <c r="T43" i="23"/>
  <c r="K43" i="23"/>
  <c r="U43" i="23"/>
  <c r="BK44" i="1"/>
  <c r="F44" i="23"/>
  <c r="P44" i="23"/>
  <c r="G44" i="23"/>
  <c r="Q44" i="23"/>
  <c r="BP44" i="1"/>
  <c r="H44" i="23"/>
  <c r="R44" i="23"/>
  <c r="I44" i="23"/>
  <c r="S44" i="23"/>
  <c r="CB44" i="1"/>
  <c r="J44" i="23"/>
  <c r="T44" i="23"/>
  <c r="K44" i="23"/>
  <c r="U44" i="23"/>
  <c r="BK45" i="1"/>
  <c r="F45" i="23"/>
  <c r="P45" i="23"/>
  <c r="G45" i="23"/>
  <c r="Q45" i="23"/>
  <c r="BP45" i="1"/>
  <c r="H45" i="23"/>
  <c r="R45" i="23"/>
  <c r="I45" i="23"/>
  <c r="S45" i="23"/>
  <c r="CB45" i="1"/>
  <c r="J45" i="23"/>
  <c r="T45" i="23"/>
  <c r="K45" i="23"/>
  <c r="U45" i="23"/>
  <c r="BK46" i="1"/>
  <c r="F46" i="23"/>
  <c r="P46" i="23"/>
  <c r="G46" i="23"/>
  <c r="Q46" i="23"/>
  <c r="BP46" i="1"/>
  <c r="H46" i="23"/>
  <c r="R46" i="23"/>
  <c r="I46" i="23"/>
  <c r="S46" i="23"/>
  <c r="CB46" i="1"/>
  <c r="J46" i="23"/>
  <c r="T46" i="23"/>
  <c r="K46" i="23"/>
  <c r="U46" i="23"/>
  <c r="BK47" i="1"/>
  <c r="F47" i="23"/>
  <c r="P47" i="23"/>
  <c r="G47" i="23"/>
  <c r="Q47" i="23"/>
  <c r="BP47" i="1"/>
  <c r="H47" i="23"/>
  <c r="R47" i="23"/>
  <c r="I47" i="23"/>
  <c r="S47" i="23"/>
  <c r="CB47" i="1"/>
  <c r="J47" i="23"/>
  <c r="T47" i="23"/>
  <c r="K47" i="23"/>
  <c r="U47" i="23"/>
  <c r="BK48" i="1"/>
  <c r="F48" i="23"/>
  <c r="P48" i="23"/>
  <c r="G48" i="23"/>
  <c r="Q48" i="23"/>
  <c r="BP48" i="1"/>
  <c r="H48" i="23"/>
  <c r="R48" i="23"/>
  <c r="I48" i="23"/>
  <c r="S48" i="23"/>
  <c r="CB48" i="1"/>
  <c r="J48" i="23"/>
  <c r="T48" i="23"/>
  <c r="K48" i="23"/>
  <c r="U48" i="23"/>
  <c r="BK49" i="1"/>
  <c r="F49" i="23"/>
  <c r="P49" i="23"/>
  <c r="G49" i="23"/>
  <c r="Q49" i="23"/>
  <c r="BP49" i="1"/>
  <c r="H49" i="23"/>
  <c r="R49" i="23"/>
  <c r="I49" i="23"/>
  <c r="S49" i="23"/>
  <c r="CB49" i="1"/>
  <c r="J49" i="23"/>
  <c r="T49" i="23"/>
  <c r="K49" i="23"/>
  <c r="U49" i="23"/>
  <c r="BK50" i="1"/>
  <c r="F50" i="23"/>
  <c r="P50" i="23"/>
  <c r="G50" i="23"/>
  <c r="Q50" i="23"/>
  <c r="H50" i="23"/>
  <c r="R50" i="23"/>
  <c r="I50" i="23"/>
  <c r="S50" i="23"/>
  <c r="CB50" i="1"/>
  <c r="J50" i="23"/>
  <c r="T50" i="23"/>
  <c r="K50" i="23"/>
  <c r="U50" i="23"/>
  <c r="BK51" i="1"/>
  <c r="F51" i="23"/>
  <c r="P51" i="23"/>
  <c r="G51" i="23"/>
  <c r="Q51" i="23"/>
  <c r="H51" i="23"/>
  <c r="R51" i="23"/>
  <c r="I51" i="23"/>
  <c r="S51" i="23"/>
  <c r="CB51" i="1"/>
  <c r="J51" i="23"/>
  <c r="T51" i="23"/>
  <c r="K51" i="23"/>
  <c r="U51" i="23"/>
  <c r="BK52" i="1"/>
  <c r="F52" i="23"/>
  <c r="P52" i="23"/>
  <c r="G52" i="23"/>
  <c r="Q52" i="23"/>
  <c r="H52" i="23"/>
  <c r="R52" i="23"/>
  <c r="I52" i="23"/>
  <c r="S52" i="23"/>
  <c r="CB52" i="1"/>
  <c r="J52" i="23"/>
  <c r="T52" i="23"/>
  <c r="K52" i="23"/>
  <c r="U52" i="23"/>
  <c r="BK53" i="1"/>
  <c r="F53" i="23"/>
  <c r="P53" i="23"/>
  <c r="G53" i="23"/>
  <c r="Q53" i="23"/>
  <c r="H53" i="23"/>
  <c r="R53" i="23"/>
  <c r="I53" i="23"/>
  <c r="S53" i="23"/>
  <c r="CB53" i="1"/>
  <c r="J53" i="23"/>
  <c r="T53" i="23"/>
  <c r="K53" i="23"/>
  <c r="U53" i="23"/>
  <c r="BK54" i="1"/>
  <c r="F54" i="23"/>
  <c r="P54" i="23"/>
  <c r="G54" i="23"/>
  <c r="Q54" i="23"/>
  <c r="BP54" i="1"/>
  <c r="H54" i="23"/>
  <c r="R54" i="23"/>
  <c r="I54" i="23"/>
  <c r="S54" i="23"/>
  <c r="CB54" i="1"/>
  <c r="J54" i="23"/>
  <c r="T54" i="23"/>
  <c r="K54" i="23"/>
  <c r="U54" i="23"/>
  <c r="BK55" i="1"/>
  <c r="F55" i="23"/>
  <c r="P55" i="23"/>
  <c r="G55" i="23"/>
  <c r="Q55" i="23"/>
  <c r="BP55" i="1"/>
  <c r="H55" i="23"/>
  <c r="R55" i="23"/>
  <c r="I55" i="23"/>
  <c r="S55" i="23"/>
  <c r="CB55" i="1"/>
  <c r="J55" i="23"/>
  <c r="T55" i="23"/>
  <c r="K55" i="23"/>
  <c r="U55" i="23"/>
  <c r="BK56" i="1"/>
  <c r="F56" i="23"/>
  <c r="P56" i="23"/>
  <c r="G56" i="23"/>
  <c r="Q56" i="23"/>
  <c r="BP56" i="1"/>
  <c r="H56" i="23"/>
  <c r="R56" i="23"/>
  <c r="I56" i="23"/>
  <c r="S56" i="23"/>
  <c r="CB56" i="1"/>
  <c r="J56" i="23"/>
  <c r="T56" i="23"/>
  <c r="K56" i="23"/>
  <c r="U56" i="23"/>
  <c r="BK57" i="1"/>
  <c r="F57" i="23"/>
  <c r="P57" i="23"/>
  <c r="G57" i="23"/>
  <c r="Q57" i="23"/>
  <c r="BP57" i="1"/>
  <c r="H57" i="23"/>
  <c r="R57" i="23"/>
  <c r="I57" i="23"/>
  <c r="S57" i="23"/>
  <c r="CB57" i="1"/>
  <c r="J57" i="23"/>
  <c r="T57" i="23"/>
  <c r="K57" i="23"/>
  <c r="U57" i="23"/>
  <c r="BK58" i="1"/>
  <c r="F58" i="23"/>
  <c r="P58" i="23"/>
  <c r="G58" i="23"/>
  <c r="Q58" i="23"/>
  <c r="BP58" i="1"/>
  <c r="H58" i="23"/>
  <c r="R58" i="23"/>
  <c r="I58" i="23"/>
  <c r="S58" i="23"/>
  <c r="CB58" i="1"/>
  <c r="J58" i="23"/>
  <c r="T58" i="23"/>
  <c r="K58" i="23"/>
  <c r="U58" i="23"/>
  <c r="BK59" i="1"/>
  <c r="F59" i="23"/>
  <c r="P59" i="23"/>
  <c r="G59" i="23"/>
  <c r="Q59" i="23"/>
  <c r="BP59" i="1"/>
  <c r="H59" i="23"/>
  <c r="R59" i="23"/>
  <c r="I59" i="23"/>
  <c r="S59" i="23"/>
  <c r="CB59" i="1"/>
  <c r="J59" i="23"/>
  <c r="T59" i="23"/>
  <c r="K59" i="23"/>
  <c r="U59" i="23"/>
  <c r="BK60" i="1"/>
  <c r="F60" i="23"/>
  <c r="P60" i="23"/>
  <c r="G60" i="23"/>
  <c r="Q60" i="23"/>
  <c r="BP60" i="1"/>
  <c r="H60" i="23"/>
  <c r="R60" i="23"/>
  <c r="I60" i="23"/>
  <c r="S60" i="23"/>
  <c r="CB60" i="1"/>
  <c r="J60" i="23"/>
  <c r="T60" i="23"/>
  <c r="K60" i="23"/>
  <c r="U60" i="23"/>
  <c r="BK61" i="1"/>
  <c r="F61" i="23"/>
  <c r="P61" i="23"/>
  <c r="G61" i="23"/>
  <c r="Q61" i="23"/>
  <c r="BP61" i="1"/>
  <c r="H61" i="23"/>
  <c r="R61" i="23"/>
  <c r="I61" i="23"/>
  <c r="S61" i="23"/>
  <c r="CB61" i="1"/>
  <c r="J61" i="23"/>
  <c r="T61" i="23"/>
  <c r="K61" i="23"/>
  <c r="U61" i="23"/>
  <c r="BK62" i="1"/>
  <c r="F62" i="23"/>
  <c r="P62" i="23"/>
  <c r="G62" i="23"/>
  <c r="Q62" i="23"/>
  <c r="H62" i="23"/>
  <c r="R62" i="23"/>
  <c r="I62" i="23"/>
  <c r="S62" i="23"/>
  <c r="CB62" i="1"/>
  <c r="J62" i="23"/>
  <c r="T62" i="23"/>
  <c r="K62" i="23"/>
  <c r="U62" i="23"/>
  <c r="BK63" i="1"/>
  <c r="F63" i="23"/>
  <c r="P63" i="23"/>
  <c r="G63" i="23"/>
  <c r="Q63" i="23"/>
  <c r="H63" i="23"/>
  <c r="R63" i="23"/>
  <c r="I63" i="23"/>
  <c r="S63" i="23"/>
  <c r="CB63" i="1"/>
  <c r="J63" i="23"/>
  <c r="T63" i="23"/>
  <c r="K63" i="23"/>
  <c r="U63" i="23"/>
  <c r="BK64" i="1"/>
  <c r="F64" i="23"/>
  <c r="P64" i="23"/>
  <c r="G64" i="23"/>
  <c r="Q64" i="23"/>
  <c r="H64" i="23"/>
  <c r="R64" i="23"/>
  <c r="I64" i="23"/>
  <c r="S64" i="23"/>
  <c r="CB64" i="1"/>
  <c r="J64" i="23"/>
  <c r="T64" i="23"/>
  <c r="K64" i="23"/>
  <c r="U64" i="23"/>
  <c r="BK65" i="1"/>
  <c r="F65" i="23"/>
  <c r="P65" i="23"/>
  <c r="G65" i="23"/>
  <c r="Q65" i="23"/>
  <c r="H65" i="23"/>
  <c r="R65" i="23"/>
  <c r="I65" i="23"/>
  <c r="S65" i="23"/>
  <c r="CB65" i="1"/>
  <c r="J65" i="23"/>
  <c r="T65" i="23"/>
  <c r="K65" i="23"/>
  <c r="U65" i="23"/>
  <c r="BK66" i="1"/>
  <c r="F66" i="23"/>
  <c r="P66" i="23"/>
  <c r="G66" i="23"/>
  <c r="Q66" i="23"/>
  <c r="BP66" i="1"/>
  <c r="H66" i="23"/>
  <c r="R66" i="23"/>
  <c r="I66" i="23"/>
  <c r="S66" i="23"/>
  <c r="CB66" i="1"/>
  <c r="J66" i="23"/>
  <c r="T66" i="23"/>
  <c r="K66" i="23"/>
  <c r="U66" i="23"/>
  <c r="BK67" i="1"/>
  <c r="F67" i="23"/>
  <c r="P67" i="23"/>
  <c r="G67" i="23"/>
  <c r="Q67" i="23"/>
  <c r="BP67" i="1"/>
  <c r="H67" i="23"/>
  <c r="R67" i="23"/>
  <c r="I67" i="23"/>
  <c r="S67" i="23"/>
  <c r="CB67" i="1"/>
  <c r="J67" i="23"/>
  <c r="T67" i="23"/>
  <c r="K67" i="23"/>
  <c r="U67" i="23"/>
  <c r="BK68" i="1"/>
  <c r="F68" i="23"/>
  <c r="P68" i="23"/>
  <c r="G68" i="23"/>
  <c r="Q68" i="23"/>
  <c r="BP68" i="1"/>
  <c r="H68" i="23"/>
  <c r="R68" i="23"/>
  <c r="I68" i="23"/>
  <c r="S68" i="23"/>
  <c r="CB68" i="1"/>
  <c r="J68" i="23"/>
  <c r="T68" i="23"/>
  <c r="K68" i="23"/>
  <c r="U68" i="23"/>
  <c r="BK69" i="1"/>
  <c r="F69" i="23"/>
  <c r="P69" i="23"/>
  <c r="G69" i="23"/>
  <c r="Q69" i="23"/>
  <c r="BP69" i="1"/>
  <c r="H69" i="23"/>
  <c r="R69" i="23"/>
  <c r="I69" i="23"/>
  <c r="S69" i="23"/>
  <c r="CB69" i="1"/>
  <c r="J69" i="23"/>
  <c r="T69" i="23"/>
  <c r="K69" i="23"/>
  <c r="U69" i="23"/>
  <c r="BK70" i="1"/>
  <c r="F70" i="23"/>
  <c r="P70" i="23"/>
  <c r="G70" i="23"/>
  <c r="Q70" i="23"/>
  <c r="BP70" i="1"/>
  <c r="H70" i="23"/>
  <c r="R70" i="23"/>
  <c r="I70" i="23"/>
  <c r="S70" i="23"/>
  <c r="CB70" i="1"/>
  <c r="J70" i="23"/>
  <c r="T70" i="23"/>
  <c r="K70" i="23"/>
  <c r="U70" i="23"/>
  <c r="BK71" i="1"/>
  <c r="F71" i="23"/>
  <c r="P71" i="23"/>
  <c r="G71" i="23"/>
  <c r="Q71" i="23"/>
  <c r="BP71" i="1"/>
  <c r="H71" i="23"/>
  <c r="R71" i="23"/>
  <c r="I71" i="23"/>
  <c r="S71" i="23"/>
  <c r="CB71" i="1"/>
  <c r="J71" i="23"/>
  <c r="T71" i="23"/>
  <c r="K71" i="23"/>
  <c r="U71" i="23"/>
  <c r="BK72" i="1"/>
  <c r="F72" i="23"/>
  <c r="P72" i="23"/>
  <c r="G72" i="23"/>
  <c r="Q72" i="23"/>
  <c r="BP72" i="1"/>
  <c r="H72" i="23"/>
  <c r="R72" i="23"/>
  <c r="I72" i="23"/>
  <c r="S72" i="23"/>
  <c r="CB72" i="1"/>
  <c r="J72" i="23"/>
  <c r="T72" i="23"/>
  <c r="K72" i="23"/>
  <c r="U72" i="23"/>
  <c r="BK73" i="1"/>
  <c r="F73" i="23"/>
  <c r="P73" i="23"/>
  <c r="G73" i="23"/>
  <c r="Q73" i="23"/>
  <c r="BP73" i="1"/>
  <c r="H73" i="23"/>
  <c r="R73" i="23"/>
  <c r="I73" i="23"/>
  <c r="S73" i="23"/>
  <c r="CB73" i="1"/>
  <c r="J73" i="23"/>
  <c r="T73" i="23"/>
  <c r="K73" i="23"/>
  <c r="U73" i="23"/>
  <c r="BK74" i="1"/>
  <c r="F74" i="23"/>
  <c r="P74" i="23"/>
  <c r="G74" i="23"/>
  <c r="Q74" i="23"/>
  <c r="H74" i="23"/>
  <c r="R74" i="23"/>
  <c r="I74" i="23"/>
  <c r="S74" i="23"/>
  <c r="CB74" i="1"/>
  <c r="J74" i="23"/>
  <c r="T74" i="23"/>
  <c r="K74" i="23"/>
  <c r="U74" i="23"/>
  <c r="BK75" i="1"/>
  <c r="F75" i="23"/>
  <c r="P75" i="23"/>
  <c r="G75" i="23"/>
  <c r="Q75" i="23"/>
  <c r="H75" i="23"/>
  <c r="R75" i="23"/>
  <c r="I75" i="23"/>
  <c r="S75" i="23"/>
  <c r="CB75" i="1"/>
  <c r="J75" i="23"/>
  <c r="T75" i="23"/>
  <c r="K75" i="23"/>
  <c r="U75" i="23"/>
  <c r="BK76" i="1"/>
  <c r="F76" i="23"/>
  <c r="P76" i="23"/>
  <c r="G76" i="23"/>
  <c r="Q76" i="23"/>
  <c r="H76" i="23"/>
  <c r="R76" i="23"/>
  <c r="I76" i="23"/>
  <c r="S76" i="23"/>
  <c r="CB76" i="1"/>
  <c r="J76" i="23"/>
  <c r="T76" i="23"/>
  <c r="K76" i="23"/>
  <c r="U76" i="23"/>
  <c r="BK77" i="1"/>
  <c r="F77" i="23"/>
  <c r="P77" i="23"/>
  <c r="G77" i="23"/>
  <c r="Q77" i="23"/>
  <c r="H77" i="23"/>
  <c r="R77" i="23"/>
  <c r="I77" i="23"/>
  <c r="S77" i="23"/>
  <c r="CB77" i="1"/>
  <c r="J77" i="23"/>
  <c r="T77" i="23"/>
  <c r="K77" i="23"/>
  <c r="U77" i="23"/>
  <c r="BK78" i="1"/>
  <c r="F78" i="23"/>
  <c r="P78" i="23"/>
  <c r="G78" i="23"/>
  <c r="Q78" i="23"/>
  <c r="BP78" i="1"/>
  <c r="H78" i="23"/>
  <c r="R78" i="23"/>
  <c r="I78" i="23"/>
  <c r="S78" i="23"/>
  <c r="CB78" i="1"/>
  <c r="J78" i="23"/>
  <c r="T78" i="23"/>
  <c r="K78" i="23"/>
  <c r="U78" i="23"/>
  <c r="BK79" i="1"/>
  <c r="F79" i="23"/>
  <c r="P79" i="23"/>
  <c r="G79" i="23"/>
  <c r="Q79" i="23"/>
  <c r="BP79" i="1"/>
  <c r="H79" i="23"/>
  <c r="R79" i="23"/>
  <c r="I79" i="23"/>
  <c r="S79" i="23"/>
  <c r="CB79" i="1"/>
  <c r="J79" i="23"/>
  <c r="T79" i="23"/>
  <c r="K79" i="23"/>
  <c r="U79" i="23"/>
  <c r="BK80" i="1"/>
  <c r="F80" i="23"/>
  <c r="P80" i="23"/>
  <c r="G80" i="23"/>
  <c r="Q80" i="23"/>
  <c r="BP80" i="1"/>
  <c r="H80" i="23"/>
  <c r="R80" i="23"/>
  <c r="I80" i="23"/>
  <c r="S80" i="23"/>
  <c r="CB80" i="1"/>
  <c r="J80" i="23"/>
  <c r="T80" i="23"/>
  <c r="K80" i="23"/>
  <c r="U80" i="23"/>
  <c r="BK81" i="1"/>
  <c r="F81" i="23"/>
  <c r="P81" i="23"/>
  <c r="G81" i="23"/>
  <c r="Q81" i="23"/>
  <c r="BP81" i="1"/>
  <c r="H81" i="23"/>
  <c r="R81" i="23"/>
  <c r="I81" i="23"/>
  <c r="S81" i="23"/>
  <c r="CB81" i="1"/>
  <c r="J81" i="23"/>
  <c r="T81" i="23"/>
  <c r="K81" i="23"/>
  <c r="U81" i="23"/>
  <c r="BK82" i="1"/>
  <c r="F82" i="23"/>
  <c r="P82" i="23"/>
  <c r="G82" i="23"/>
  <c r="Q82" i="23"/>
  <c r="BP82" i="1"/>
  <c r="H82" i="23"/>
  <c r="R82" i="23"/>
  <c r="I82" i="23"/>
  <c r="S82" i="23"/>
  <c r="CB82" i="1"/>
  <c r="J82" i="23"/>
  <c r="T82" i="23"/>
  <c r="K82" i="23"/>
  <c r="U82" i="23"/>
  <c r="BK83" i="1"/>
  <c r="F83" i="23"/>
  <c r="P83" i="23"/>
  <c r="G83" i="23"/>
  <c r="Q83" i="23"/>
  <c r="BP83" i="1"/>
  <c r="H83" i="23"/>
  <c r="R83" i="23"/>
  <c r="I83" i="23"/>
  <c r="S83" i="23"/>
  <c r="CB83" i="1"/>
  <c r="J83" i="23"/>
  <c r="T83" i="23"/>
  <c r="K83" i="23"/>
  <c r="U83" i="23"/>
  <c r="BK84" i="1"/>
  <c r="F84" i="23"/>
  <c r="P84" i="23"/>
  <c r="G84" i="23"/>
  <c r="Q84" i="23"/>
  <c r="BP84" i="1"/>
  <c r="H84" i="23"/>
  <c r="R84" i="23"/>
  <c r="I84" i="23"/>
  <c r="S84" i="23"/>
  <c r="CB84" i="1"/>
  <c r="J84" i="23"/>
  <c r="T84" i="23"/>
  <c r="K84" i="23"/>
  <c r="U84" i="23"/>
  <c r="BK85" i="1"/>
  <c r="F85" i="23"/>
  <c r="P85" i="23"/>
  <c r="G85" i="23"/>
  <c r="Q85" i="23"/>
  <c r="BP85" i="1"/>
  <c r="H85" i="23"/>
  <c r="R85" i="23"/>
  <c r="I85" i="23"/>
  <c r="S85" i="23"/>
  <c r="CB85" i="1"/>
  <c r="J85" i="23"/>
  <c r="T85" i="23"/>
  <c r="K85" i="23"/>
  <c r="U85" i="23"/>
  <c r="BK86" i="1"/>
  <c r="F86" i="23"/>
  <c r="P86" i="23"/>
  <c r="G86" i="23"/>
  <c r="Q86" i="23"/>
  <c r="R86" i="23"/>
  <c r="S86" i="23"/>
  <c r="T86" i="23"/>
  <c r="U86" i="23"/>
  <c r="BK87" i="1"/>
  <c r="F87" i="23"/>
  <c r="P87" i="23"/>
  <c r="G87" i="23"/>
  <c r="Q87" i="23"/>
  <c r="R87" i="23"/>
  <c r="S87" i="23"/>
  <c r="T87" i="23"/>
  <c r="U87" i="23"/>
  <c r="BK88" i="1"/>
  <c r="F88" i="23"/>
  <c r="P88" i="23"/>
  <c r="G88" i="23"/>
  <c r="Q88" i="23"/>
  <c r="R88" i="23"/>
  <c r="S88" i="23"/>
  <c r="T88" i="23"/>
  <c r="U88" i="23"/>
  <c r="BK89" i="1"/>
  <c r="F89" i="23"/>
  <c r="P89" i="23"/>
  <c r="G89" i="23"/>
  <c r="Q89" i="23"/>
  <c r="R89" i="23"/>
  <c r="S89" i="23"/>
  <c r="T89" i="23"/>
  <c r="U89" i="23"/>
  <c r="BK90" i="1"/>
  <c r="F90" i="23"/>
  <c r="P90" i="23"/>
  <c r="G90" i="23"/>
  <c r="Q90" i="23"/>
  <c r="BP90" i="1"/>
  <c r="H90" i="23"/>
  <c r="R90" i="23"/>
  <c r="I90" i="23"/>
  <c r="S90" i="23"/>
  <c r="CB90" i="1"/>
  <c r="J90" i="23"/>
  <c r="T90" i="23"/>
  <c r="K90" i="23"/>
  <c r="U90" i="23"/>
  <c r="BK91" i="1"/>
  <c r="F91" i="23"/>
  <c r="P91" i="23"/>
  <c r="G91" i="23"/>
  <c r="Q91" i="23"/>
  <c r="BP91" i="1"/>
  <c r="H91" i="23"/>
  <c r="R91" i="23"/>
  <c r="I91" i="23"/>
  <c r="S91" i="23"/>
  <c r="CB91" i="1"/>
  <c r="J91" i="23"/>
  <c r="T91" i="23"/>
  <c r="K91" i="23"/>
  <c r="U91" i="23"/>
  <c r="BK92" i="1"/>
  <c r="F92" i="23"/>
  <c r="P92" i="23"/>
  <c r="G92" i="23"/>
  <c r="Q92" i="23"/>
  <c r="BP92" i="1"/>
  <c r="H92" i="23"/>
  <c r="R92" i="23"/>
  <c r="I92" i="23"/>
  <c r="S92" i="23"/>
  <c r="CB92" i="1"/>
  <c r="J92" i="23"/>
  <c r="T92" i="23"/>
  <c r="K92" i="23"/>
  <c r="U92" i="23"/>
  <c r="BK93" i="1"/>
  <c r="F93" i="23"/>
  <c r="P93" i="23"/>
  <c r="G93" i="23"/>
  <c r="Q93" i="23"/>
  <c r="BP93" i="1"/>
  <c r="H93" i="23"/>
  <c r="R93" i="23"/>
  <c r="I93" i="23"/>
  <c r="S93" i="23"/>
  <c r="CB93" i="1"/>
  <c r="J93" i="23"/>
  <c r="T93" i="23"/>
  <c r="K93" i="23"/>
  <c r="U93" i="23"/>
  <c r="BK94" i="1"/>
  <c r="F94" i="23"/>
  <c r="P94" i="23"/>
  <c r="G94" i="23"/>
  <c r="Q94" i="23"/>
  <c r="BP94" i="1"/>
  <c r="H94" i="23"/>
  <c r="R94" i="23"/>
  <c r="I94" i="23"/>
  <c r="S94" i="23"/>
  <c r="CB94" i="1"/>
  <c r="J94" i="23"/>
  <c r="T94" i="23"/>
  <c r="K94" i="23"/>
  <c r="U94" i="23"/>
  <c r="BK95" i="1"/>
  <c r="F95" i="23"/>
  <c r="P95" i="23"/>
  <c r="G95" i="23"/>
  <c r="Q95" i="23"/>
  <c r="BP95" i="1"/>
  <c r="H95" i="23"/>
  <c r="R95" i="23"/>
  <c r="I95" i="23"/>
  <c r="S95" i="23"/>
  <c r="CB95" i="1"/>
  <c r="J95" i="23"/>
  <c r="T95" i="23"/>
  <c r="K95" i="23"/>
  <c r="U95" i="23"/>
  <c r="BK96" i="1"/>
  <c r="F96" i="23"/>
  <c r="P96" i="23"/>
  <c r="G96" i="23"/>
  <c r="Q96" i="23"/>
  <c r="BP96" i="1"/>
  <c r="H96" i="23"/>
  <c r="R96" i="23"/>
  <c r="I96" i="23"/>
  <c r="S96" i="23"/>
  <c r="CB96" i="1"/>
  <c r="J96" i="23"/>
  <c r="T96" i="23"/>
  <c r="K96" i="23"/>
  <c r="U96" i="23"/>
  <c r="BK97" i="1"/>
  <c r="F97" i="23"/>
  <c r="P97" i="23"/>
  <c r="Q97" i="23"/>
  <c r="BP97" i="1"/>
  <c r="H97" i="23"/>
  <c r="R97" i="23"/>
  <c r="I97" i="23"/>
  <c r="S97" i="23"/>
  <c r="CB97" i="1"/>
  <c r="J97" i="23"/>
  <c r="T97" i="23"/>
  <c r="K97" i="23"/>
  <c r="U97" i="23"/>
  <c r="BK98" i="1"/>
  <c r="F98" i="23"/>
  <c r="P98" i="23"/>
  <c r="Q98" i="23"/>
  <c r="R98" i="23"/>
  <c r="S98" i="23"/>
  <c r="T98" i="23"/>
  <c r="K98" i="23"/>
  <c r="U98" i="23"/>
  <c r="BK99" i="1"/>
  <c r="F99" i="23"/>
  <c r="P99" i="23"/>
  <c r="Q99" i="23"/>
  <c r="R99" i="23"/>
  <c r="S99" i="23"/>
  <c r="T99" i="23"/>
  <c r="K99" i="23"/>
  <c r="U99" i="23"/>
  <c r="BK100" i="1"/>
  <c r="F100" i="23"/>
  <c r="P100" i="23"/>
  <c r="Q100" i="23"/>
  <c r="R100" i="23"/>
  <c r="S100" i="23"/>
  <c r="T100" i="23"/>
  <c r="K100" i="23"/>
  <c r="U100" i="23"/>
  <c r="BK101" i="1"/>
  <c r="F101" i="23"/>
  <c r="P101" i="23"/>
  <c r="Q101" i="23"/>
  <c r="R101" i="23"/>
  <c r="S101" i="23"/>
  <c r="T101" i="23"/>
  <c r="K101" i="23"/>
  <c r="U101" i="23"/>
  <c r="BK102" i="1"/>
  <c r="F102" i="23"/>
  <c r="P102" i="23"/>
  <c r="Q102" i="23"/>
  <c r="H102" i="23"/>
  <c r="R102" i="23"/>
  <c r="I102" i="23"/>
  <c r="S102" i="23"/>
  <c r="J102" i="23"/>
  <c r="T102" i="23"/>
  <c r="K102" i="23"/>
  <c r="U102" i="23"/>
  <c r="BK103" i="1"/>
  <c r="F103" i="23"/>
  <c r="P103" i="23"/>
  <c r="Q103" i="23"/>
  <c r="H103" i="23"/>
  <c r="R103" i="23"/>
  <c r="I103" i="23"/>
  <c r="S103" i="23"/>
  <c r="J103" i="23"/>
  <c r="T103" i="23"/>
  <c r="K103" i="23"/>
  <c r="U103" i="23"/>
  <c r="BK104" i="1"/>
  <c r="F104" i="23"/>
  <c r="P104" i="23"/>
  <c r="Q104" i="23"/>
  <c r="H104" i="23"/>
  <c r="R104" i="23"/>
  <c r="I104" i="23"/>
  <c r="S104" i="23"/>
  <c r="J104" i="23"/>
  <c r="T104" i="23"/>
  <c r="K104" i="23"/>
  <c r="U104" i="23"/>
  <c r="BK105" i="1"/>
  <c r="F105" i="23"/>
  <c r="P105" i="23"/>
  <c r="Q105" i="23"/>
  <c r="H105" i="23"/>
  <c r="R105" i="23"/>
  <c r="I105" i="23"/>
  <c r="S105" i="23"/>
  <c r="J105" i="23"/>
  <c r="T105" i="23"/>
  <c r="K105" i="23"/>
  <c r="U105" i="23"/>
  <c r="BK106" i="1"/>
  <c r="F106" i="23"/>
  <c r="P106" i="23"/>
  <c r="Q106" i="23"/>
  <c r="H106" i="23"/>
  <c r="R106" i="23"/>
  <c r="I106" i="23"/>
  <c r="S106" i="23"/>
  <c r="J106" i="23"/>
  <c r="T106" i="23"/>
  <c r="K106" i="23"/>
  <c r="U106" i="23"/>
  <c r="BK107" i="1"/>
  <c r="F107" i="23"/>
  <c r="P107" i="23"/>
  <c r="Q107" i="23"/>
  <c r="H107" i="23"/>
  <c r="R107" i="23"/>
  <c r="I107" i="23"/>
  <c r="S107" i="23"/>
  <c r="J107" i="23"/>
  <c r="T107" i="23"/>
  <c r="K107" i="23"/>
  <c r="U107" i="23"/>
  <c r="BK108" i="1"/>
  <c r="F108" i="23"/>
  <c r="P108" i="23"/>
  <c r="Q108" i="23"/>
  <c r="H108" i="23"/>
  <c r="R108" i="23"/>
  <c r="I108" i="23"/>
  <c r="S108" i="23"/>
  <c r="J108" i="23"/>
  <c r="T108" i="23"/>
  <c r="K108" i="23"/>
  <c r="U108" i="23"/>
  <c r="BK109" i="1"/>
  <c r="F109" i="23"/>
  <c r="P109" i="23"/>
  <c r="Q109" i="23"/>
  <c r="H109" i="23"/>
  <c r="R109" i="23"/>
  <c r="I109" i="23"/>
  <c r="S109" i="23"/>
  <c r="J109" i="23"/>
  <c r="T109" i="23"/>
  <c r="K109" i="23"/>
  <c r="U109" i="23"/>
  <c r="P110" i="23"/>
  <c r="Q110" i="23"/>
  <c r="R110" i="23"/>
  <c r="S110" i="23"/>
  <c r="T110" i="23"/>
  <c r="K110" i="23"/>
  <c r="U110" i="23"/>
  <c r="P111" i="23"/>
  <c r="Q111" i="23"/>
  <c r="R111" i="23"/>
  <c r="S111" i="23"/>
  <c r="T111" i="23"/>
  <c r="K111" i="23"/>
  <c r="U111" i="23"/>
  <c r="P112" i="23"/>
  <c r="Q112" i="23"/>
  <c r="R112" i="23"/>
  <c r="S112" i="23"/>
  <c r="T112" i="23"/>
  <c r="K112" i="23"/>
  <c r="U112" i="23"/>
  <c r="P113" i="23"/>
  <c r="Q113" i="23"/>
  <c r="R113" i="23"/>
  <c r="S113" i="23"/>
  <c r="T113" i="23"/>
  <c r="K113" i="23"/>
  <c r="U113" i="23"/>
  <c r="BK114" i="1"/>
  <c r="F114" i="23"/>
  <c r="P114" i="23"/>
  <c r="Q114" i="23"/>
  <c r="H114" i="23"/>
  <c r="R114" i="23"/>
  <c r="I114" i="23"/>
  <c r="S114" i="23"/>
  <c r="J114" i="23"/>
  <c r="T114" i="23"/>
  <c r="K114" i="23"/>
  <c r="U114" i="23"/>
  <c r="BK115" i="1"/>
  <c r="F115" i="23"/>
  <c r="P115" i="23"/>
  <c r="Q115" i="23"/>
  <c r="H115" i="23"/>
  <c r="R115" i="23"/>
  <c r="I115" i="23"/>
  <c r="S115" i="23"/>
  <c r="J115" i="23"/>
  <c r="T115" i="23"/>
  <c r="K115" i="23"/>
  <c r="U115" i="23"/>
  <c r="BK116" i="1"/>
  <c r="F116" i="23"/>
  <c r="P116" i="23"/>
  <c r="Q116" i="23"/>
  <c r="H116" i="23"/>
  <c r="R116" i="23"/>
  <c r="I116" i="23"/>
  <c r="S116" i="23"/>
  <c r="J116" i="23"/>
  <c r="T116" i="23"/>
  <c r="K116" i="23"/>
  <c r="U116" i="23"/>
  <c r="BK117" i="1"/>
  <c r="F117" i="23"/>
  <c r="P117" i="23"/>
  <c r="Q117" i="23"/>
  <c r="H117" i="23"/>
  <c r="R117" i="23"/>
  <c r="I117" i="23"/>
  <c r="S117" i="23"/>
  <c r="J117" i="23"/>
  <c r="T117" i="23"/>
  <c r="K117" i="23"/>
  <c r="U117" i="23"/>
  <c r="BK118" i="1"/>
  <c r="F118" i="23"/>
  <c r="P118" i="23"/>
  <c r="Q118" i="23"/>
  <c r="H118" i="23"/>
  <c r="R118" i="23"/>
  <c r="I118" i="23"/>
  <c r="S118" i="23"/>
  <c r="J118" i="23"/>
  <c r="T118" i="23"/>
  <c r="K118" i="23"/>
  <c r="U118" i="23"/>
  <c r="BK119" i="1"/>
  <c r="F119" i="23"/>
  <c r="P119" i="23"/>
  <c r="Q119" i="23"/>
  <c r="H119" i="23"/>
  <c r="R119" i="23"/>
  <c r="I119" i="23"/>
  <c r="S119" i="23"/>
  <c r="J119" i="23"/>
  <c r="T119" i="23"/>
  <c r="K119" i="23"/>
  <c r="U119" i="23"/>
  <c r="BK120" i="1"/>
  <c r="F120" i="23"/>
  <c r="P120" i="23"/>
  <c r="Q120" i="23"/>
  <c r="H120" i="23"/>
  <c r="R120" i="23"/>
  <c r="I120" i="23"/>
  <c r="S120" i="23"/>
  <c r="J120" i="23"/>
  <c r="T120" i="23"/>
  <c r="K120" i="23"/>
  <c r="U120" i="23"/>
  <c r="BK121" i="1"/>
  <c r="F121" i="23"/>
  <c r="P121" i="23"/>
  <c r="Q121" i="23"/>
  <c r="H121" i="23"/>
  <c r="R121" i="23"/>
  <c r="I121" i="23"/>
  <c r="S121" i="23"/>
  <c r="J121" i="23"/>
  <c r="T121" i="23"/>
  <c r="K121" i="23"/>
  <c r="U121" i="23"/>
  <c r="P122" i="23"/>
  <c r="Q122" i="23"/>
  <c r="R122" i="23"/>
  <c r="S122" i="23"/>
  <c r="T122" i="23"/>
  <c r="K122" i="23"/>
  <c r="U122" i="23"/>
  <c r="P123" i="23"/>
  <c r="Q123" i="23"/>
  <c r="R123" i="23"/>
  <c r="S123" i="23"/>
  <c r="T123" i="23"/>
  <c r="K123" i="23"/>
  <c r="U123" i="23"/>
  <c r="P124" i="23"/>
  <c r="Q124" i="23"/>
  <c r="R124" i="23"/>
  <c r="S124" i="23"/>
  <c r="T124" i="23"/>
  <c r="K124" i="23"/>
  <c r="U124" i="23"/>
  <c r="P125" i="23"/>
  <c r="Q125" i="23"/>
  <c r="R125" i="23"/>
  <c r="S125" i="23"/>
  <c r="T125" i="23"/>
  <c r="K125" i="23"/>
  <c r="U125" i="23"/>
  <c r="F126" i="23"/>
  <c r="P126" i="23"/>
  <c r="Q126" i="23"/>
  <c r="H126" i="23"/>
  <c r="R126" i="23"/>
  <c r="I126" i="23"/>
  <c r="S126" i="23"/>
  <c r="J126" i="23"/>
  <c r="T126" i="23"/>
  <c r="K126" i="23"/>
  <c r="U126" i="23"/>
  <c r="F127" i="23"/>
  <c r="P127" i="23"/>
  <c r="Q127" i="23"/>
  <c r="H127" i="23"/>
  <c r="R127" i="23"/>
  <c r="I127" i="23"/>
  <c r="S127" i="23"/>
  <c r="J127" i="23"/>
  <c r="T127" i="23"/>
  <c r="K127" i="23"/>
  <c r="U127" i="23"/>
  <c r="F128" i="23"/>
  <c r="P128" i="23"/>
  <c r="Q128" i="23"/>
  <c r="H128" i="23"/>
  <c r="R128" i="23"/>
  <c r="I128" i="23"/>
  <c r="S128" i="23"/>
  <c r="J128" i="23"/>
  <c r="T128" i="23"/>
  <c r="K128" i="23"/>
  <c r="U128" i="23"/>
  <c r="F129" i="23"/>
  <c r="P129" i="23"/>
  <c r="Q129" i="23"/>
  <c r="H129" i="23"/>
  <c r="R129" i="23"/>
  <c r="I129" i="23"/>
  <c r="S129" i="23"/>
  <c r="J129" i="23"/>
  <c r="T129" i="23"/>
  <c r="K129" i="23"/>
  <c r="U129" i="23"/>
  <c r="F130" i="23"/>
  <c r="P130" i="23"/>
  <c r="Q130" i="23"/>
  <c r="H130" i="23"/>
  <c r="R130" i="23"/>
  <c r="I130" i="23"/>
  <c r="S130" i="23"/>
  <c r="J130" i="23"/>
  <c r="T130" i="23"/>
  <c r="K130" i="23"/>
  <c r="U130" i="23"/>
  <c r="F131" i="23"/>
  <c r="P131" i="23"/>
  <c r="Q131" i="23"/>
  <c r="H131" i="23"/>
  <c r="R131" i="23"/>
  <c r="I131" i="23"/>
  <c r="S131" i="23"/>
  <c r="J131" i="23"/>
  <c r="T131" i="23"/>
  <c r="K131" i="23"/>
  <c r="U131" i="23"/>
  <c r="F132" i="23"/>
  <c r="P132" i="23"/>
  <c r="Q132" i="23"/>
  <c r="H132" i="23"/>
  <c r="R132" i="23"/>
  <c r="I132" i="23"/>
  <c r="S132" i="23"/>
  <c r="J132" i="23"/>
  <c r="T132" i="23"/>
  <c r="K132" i="23"/>
  <c r="U132" i="23"/>
  <c r="F133" i="23"/>
  <c r="P133" i="23"/>
  <c r="Q133" i="23"/>
  <c r="H133" i="23"/>
  <c r="R133" i="23"/>
  <c r="I133" i="23"/>
  <c r="S133" i="23"/>
  <c r="J133" i="23"/>
  <c r="T133" i="23"/>
  <c r="K133" i="23"/>
  <c r="U133" i="23"/>
  <c r="F138" i="23"/>
  <c r="P138" i="23"/>
  <c r="G138" i="23"/>
  <c r="Q138" i="23"/>
  <c r="H138" i="23"/>
  <c r="R138" i="23"/>
  <c r="I138" i="23"/>
  <c r="S138" i="23"/>
  <c r="J138" i="23"/>
  <c r="T138" i="23"/>
  <c r="K138" i="23"/>
  <c r="U138" i="23"/>
  <c r="F139" i="23"/>
  <c r="P139" i="23"/>
  <c r="G139" i="23"/>
  <c r="Q139" i="23"/>
  <c r="H139" i="23"/>
  <c r="R139" i="23"/>
  <c r="I139" i="23"/>
  <c r="S139" i="23"/>
  <c r="J139" i="23"/>
  <c r="T139" i="23"/>
  <c r="K139" i="23"/>
  <c r="U139" i="23"/>
  <c r="F140" i="23"/>
  <c r="P140" i="23"/>
  <c r="G140" i="23"/>
  <c r="Q140" i="23"/>
  <c r="H140" i="23"/>
  <c r="R140" i="23"/>
  <c r="I140" i="23"/>
  <c r="S140" i="23"/>
  <c r="J140" i="23"/>
  <c r="T140" i="23"/>
  <c r="K140" i="23"/>
  <c r="U140" i="23"/>
  <c r="F141" i="23"/>
  <c r="P141" i="23"/>
  <c r="G141" i="23"/>
  <c r="Q141" i="23"/>
  <c r="H141" i="23"/>
  <c r="R141" i="23"/>
  <c r="I141" i="23"/>
  <c r="S141" i="23"/>
  <c r="J141" i="23"/>
  <c r="T141" i="23"/>
  <c r="K141" i="23"/>
  <c r="U141" i="23"/>
  <c r="F142" i="23"/>
  <c r="P142" i="23"/>
  <c r="G142" i="23"/>
  <c r="Q142" i="23"/>
  <c r="H142" i="23"/>
  <c r="R142" i="23"/>
  <c r="I142" i="23"/>
  <c r="S142" i="23"/>
  <c r="J142" i="23"/>
  <c r="T142" i="23"/>
  <c r="K142" i="23"/>
  <c r="U142" i="23"/>
  <c r="F143" i="23"/>
  <c r="P143" i="23"/>
  <c r="G143" i="23"/>
  <c r="Q143" i="23"/>
  <c r="H143" i="23"/>
  <c r="R143" i="23"/>
  <c r="I143" i="23"/>
  <c r="S143" i="23"/>
  <c r="J143" i="23"/>
  <c r="T143" i="23"/>
  <c r="K143" i="23"/>
  <c r="U143" i="23"/>
  <c r="F144" i="23"/>
  <c r="P144" i="23"/>
  <c r="G144" i="23"/>
  <c r="Q144" i="23"/>
  <c r="H144" i="23"/>
  <c r="R144" i="23"/>
  <c r="I144" i="23"/>
  <c r="S144" i="23"/>
  <c r="J144" i="23"/>
  <c r="T144" i="23"/>
  <c r="K144" i="23"/>
  <c r="U144" i="23"/>
  <c r="F145" i="23"/>
  <c r="P145" i="23"/>
  <c r="G145" i="23"/>
  <c r="Q145" i="23"/>
  <c r="H145" i="23"/>
  <c r="R145" i="23"/>
  <c r="I145" i="23"/>
  <c r="S145" i="23"/>
  <c r="J145" i="23"/>
  <c r="T145" i="23"/>
  <c r="K145" i="23"/>
  <c r="U145" i="23"/>
  <c r="A2" i="23"/>
  <c r="B2" i="23"/>
  <c r="A3" i="23"/>
  <c r="B3" i="23"/>
  <c r="A4" i="23"/>
  <c r="B4" i="23"/>
  <c r="A5" i="23"/>
  <c r="B5" i="23"/>
  <c r="A6" i="23"/>
  <c r="B6" i="23"/>
  <c r="A7" i="23"/>
  <c r="B7" i="23"/>
  <c r="A8" i="23"/>
  <c r="B8" i="23"/>
  <c r="A9" i="23"/>
  <c r="B9" i="23"/>
  <c r="A10" i="23"/>
  <c r="B10" i="23"/>
  <c r="A11" i="23"/>
  <c r="B11" i="23"/>
  <c r="A12" i="23"/>
  <c r="B12" i="23"/>
  <c r="A13" i="23"/>
  <c r="B13" i="23"/>
  <c r="A14" i="23"/>
  <c r="B14" i="23"/>
  <c r="A15" i="23"/>
  <c r="B15" i="23"/>
  <c r="A16" i="23"/>
  <c r="B16" i="23"/>
  <c r="A17" i="23"/>
  <c r="B17" i="23"/>
  <c r="A18" i="23"/>
  <c r="B18" i="23"/>
  <c r="A19" i="23"/>
  <c r="B19" i="23"/>
  <c r="A20" i="23"/>
  <c r="B20" i="23"/>
  <c r="A21" i="23"/>
  <c r="B21" i="23"/>
  <c r="A22" i="23"/>
  <c r="B22" i="23"/>
  <c r="A23" i="23"/>
  <c r="B23" i="23"/>
  <c r="A24" i="23"/>
  <c r="B24" i="23"/>
  <c r="A25" i="23"/>
  <c r="B25" i="23"/>
  <c r="A26" i="23"/>
  <c r="B26" i="23"/>
  <c r="A27" i="23"/>
  <c r="B27" i="23"/>
  <c r="A28" i="23"/>
  <c r="B28" i="23"/>
  <c r="A29" i="23"/>
  <c r="B29" i="23"/>
  <c r="A30" i="23"/>
  <c r="B30" i="23"/>
  <c r="A31" i="23"/>
  <c r="B31" i="23"/>
  <c r="A32" i="23"/>
  <c r="B32" i="23"/>
  <c r="A33" i="23"/>
  <c r="B33" i="23"/>
  <c r="A34" i="23"/>
  <c r="B34" i="23"/>
  <c r="A35" i="23"/>
  <c r="B35" i="23"/>
  <c r="A36" i="23"/>
  <c r="B36" i="23"/>
  <c r="A37" i="23"/>
  <c r="B37" i="23"/>
  <c r="A38" i="23"/>
  <c r="B38" i="23"/>
  <c r="A39" i="23"/>
  <c r="B39" i="23"/>
  <c r="A40" i="23"/>
  <c r="B40" i="23"/>
  <c r="A41" i="23"/>
  <c r="B41" i="23"/>
  <c r="A42" i="23"/>
  <c r="B42" i="23"/>
  <c r="A43" i="23"/>
  <c r="B43" i="23"/>
  <c r="A44" i="23"/>
  <c r="B44" i="23"/>
  <c r="A45" i="23"/>
  <c r="B45" i="23"/>
  <c r="A46" i="23"/>
  <c r="B46" i="23"/>
  <c r="A47" i="23"/>
  <c r="B47" i="23"/>
  <c r="A48" i="23"/>
  <c r="B48" i="23"/>
  <c r="A49" i="23"/>
  <c r="B49" i="23"/>
  <c r="A50" i="23"/>
  <c r="B50" i="23"/>
  <c r="A51" i="23"/>
  <c r="B51" i="23"/>
  <c r="A52" i="23"/>
  <c r="B52" i="23"/>
  <c r="A53" i="23"/>
  <c r="B53" i="23"/>
  <c r="A54" i="23"/>
  <c r="B54" i="23"/>
  <c r="A55" i="23"/>
  <c r="B55" i="23"/>
  <c r="A56" i="23"/>
  <c r="B56" i="23"/>
  <c r="A57" i="23"/>
  <c r="B57" i="23"/>
  <c r="A58" i="23"/>
  <c r="B58" i="23"/>
  <c r="A59" i="23"/>
  <c r="B59" i="23"/>
  <c r="A60" i="23"/>
  <c r="B60" i="23"/>
  <c r="A61" i="23"/>
  <c r="B61" i="23"/>
  <c r="A62" i="23"/>
  <c r="B62" i="23"/>
  <c r="A63" i="23"/>
  <c r="B63" i="23"/>
  <c r="A64" i="23"/>
  <c r="B64" i="23"/>
  <c r="A65" i="23"/>
  <c r="B65" i="23"/>
  <c r="A66" i="23"/>
  <c r="B66" i="23"/>
  <c r="A67" i="23"/>
  <c r="B67" i="23"/>
  <c r="A68" i="23"/>
  <c r="B68" i="23"/>
  <c r="A69" i="23"/>
  <c r="B69" i="23"/>
  <c r="A70" i="23"/>
  <c r="B70" i="23"/>
  <c r="A71" i="23"/>
  <c r="B71" i="23"/>
  <c r="A72" i="23"/>
  <c r="B72" i="23"/>
  <c r="A73" i="23"/>
  <c r="B73" i="23"/>
  <c r="A74" i="23"/>
  <c r="B74" i="23"/>
  <c r="A75" i="23"/>
  <c r="B75" i="23"/>
  <c r="A76" i="23"/>
  <c r="B76" i="23"/>
  <c r="A77" i="23"/>
  <c r="B77" i="23"/>
  <c r="A78" i="23"/>
  <c r="B78" i="23"/>
  <c r="A79" i="23"/>
  <c r="B79" i="23"/>
  <c r="A80" i="23"/>
  <c r="B80" i="23"/>
  <c r="A81" i="23"/>
  <c r="B81" i="23"/>
  <c r="A82" i="23"/>
  <c r="B82" i="23"/>
  <c r="A83" i="23"/>
  <c r="B83" i="23"/>
  <c r="A84" i="23"/>
  <c r="B84" i="23"/>
  <c r="A85" i="23"/>
  <c r="B85" i="23"/>
  <c r="A86" i="23"/>
  <c r="B86" i="23"/>
  <c r="A87" i="23"/>
  <c r="B87" i="23"/>
  <c r="A88" i="23"/>
  <c r="B88" i="23"/>
  <c r="A89" i="23"/>
  <c r="B89" i="23"/>
  <c r="A90" i="23"/>
  <c r="B90" i="23"/>
  <c r="A91" i="23"/>
  <c r="B91" i="23"/>
  <c r="A92" i="23"/>
  <c r="B92" i="23"/>
  <c r="A93" i="23"/>
  <c r="B93" i="23"/>
  <c r="A94" i="23"/>
  <c r="B94" i="23"/>
  <c r="A95" i="23"/>
  <c r="B95" i="23"/>
  <c r="A96" i="23"/>
  <c r="B96" i="23"/>
  <c r="A97" i="23"/>
  <c r="B97" i="23"/>
  <c r="K16" i="18"/>
  <c r="B51" i="36"/>
  <c r="AB51" i="36"/>
  <c r="J51" i="36"/>
  <c r="L51" i="36"/>
  <c r="N51" i="36"/>
  <c r="P51" i="36"/>
  <c r="R51" i="36"/>
  <c r="T51" i="36"/>
  <c r="V51" i="36"/>
  <c r="X51" i="36"/>
  <c r="Z51" i="36"/>
  <c r="E9" i="20"/>
  <c r="J9" i="20" s="1"/>
  <c r="I9" i="20"/>
  <c r="BL110" i="1"/>
  <c r="BQ14" i="1"/>
  <c r="BQ26" i="1"/>
  <c r="BQ38" i="1"/>
  <c r="BQ50" i="1"/>
  <c r="BQ62" i="1"/>
  <c r="BQ74" i="1"/>
  <c r="BQ86" i="1"/>
  <c r="BS14" i="1"/>
  <c r="BS26" i="1"/>
  <c r="BS38" i="1"/>
  <c r="BS50" i="1"/>
  <c r="BS62" i="1"/>
  <c r="BS74" i="1"/>
  <c r="BS86" i="1"/>
  <c r="BU14" i="1"/>
  <c r="BU26" i="1"/>
  <c r="BU38" i="1"/>
  <c r="BU50" i="1"/>
  <c r="BU62" i="1"/>
  <c r="BU74" i="1"/>
  <c r="BU86" i="1"/>
  <c r="BL111" i="1"/>
  <c r="BQ15" i="1"/>
  <c r="BQ27" i="1"/>
  <c r="BQ39" i="1"/>
  <c r="BQ51" i="1"/>
  <c r="BQ63" i="1"/>
  <c r="BQ75" i="1"/>
  <c r="BQ87" i="1"/>
  <c r="BS15" i="1"/>
  <c r="BS27" i="1"/>
  <c r="BS39" i="1"/>
  <c r="BS51" i="1"/>
  <c r="BS63" i="1"/>
  <c r="BS75" i="1"/>
  <c r="BS87" i="1"/>
  <c r="BU15" i="1"/>
  <c r="BU27" i="1"/>
  <c r="BU39" i="1"/>
  <c r="BU51" i="1"/>
  <c r="BU63" i="1"/>
  <c r="BU75" i="1"/>
  <c r="BU87" i="1"/>
  <c r="BL112" i="1"/>
  <c r="BQ16" i="1"/>
  <c r="BQ28" i="1"/>
  <c r="BQ40" i="1"/>
  <c r="BQ52" i="1"/>
  <c r="BQ64" i="1"/>
  <c r="BQ76" i="1"/>
  <c r="BQ88" i="1"/>
  <c r="BS16" i="1"/>
  <c r="BS28" i="1"/>
  <c r="BS40" i="1"/>
  <c r="BS52" i="1"/>
  <c r="BS64" i="1"/>
  <c r="BS76" i="1"/>
  <c r="BS88" i="1"/>
  <c r="BU16" i="1"/>
  <c r="BU28" i="1"/>
  <c r="BU40" i="1"/>
  <c r="BU52" i="1"/>
  <c r="BU64" i="1"/>
  <c r="BU76" i="1"/>
  <c r="BU88" i="1"/>
  <c r="BL113" i="1"/>
  <c r="BQ17" i="1"/>
  <c r="BQ29" i="1"/>
  <c r="BQ41" i="1"/>
  <c r="BQ53" i="1"/>
  <c r="BQ65" i="1"/>
  <c r="BQ77" i="1"/>
  <c r="BQ89" i="1"/>
  <c r="BS17" i="1"/>
  <c r="BS29" i="1"/>
  <c r="BS41" i="1"/>
  <c r="BS53" i="1"/>
  <c r="BS65" i="1"/>
  <c r="BS77" i="1"/>
  <c r="BS89" i="1"/>
  <c r="BU17" i="1"/>
  <c r="BU29" i="1"/>
  <c r="BU41" i="1"/>
  <c r="BU53" i="1"/>
  <c r="BU65" i="1"/>
  <c r="BU77" i="1"/>
  <c r="BU89" i="1"/>
  <c r="BL2" i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Q18" i="1"/>
  <c r="BS18" i="1"/>
  <c r="BU18" i="1"/>
  <c r="BL19" i="1"/>
  <c r="BQ19" i="1"/>
  <c r="BS19" i="1"/>
  <c r="BU19" i="1"/>
  <c r="BL20" i="1"/>
  <c r="BQ20" i="1"/>
  <c r="BS20" i="1"/>
  <c r="BU20" i="1"/>
  <c r="BL21" i="1"/>
  <c r="BQ21" i="1"/>
  <c r="BS21" i="1"/>
  <c r="BU21" i="1"/>
  <c r="BL22" i="1"/>
  <c r="BQ22" i="1"/>
  <c r="BS22" i="1"/>
  <c r="BU22" i="1"/>
  <c r="BL23" i="1"/>
  <c r="BQ23" i="1"/>
  <c r="BS23" i="1"/>
  <c r="BU23" i="1"/>
  <c r="BL24" i="1"/>
  <c r="BQ24" i="1"/>
  <c r="BS24" i="1"/>
  <c r="BU24" i="1"/>
  <c r="BL25" i="1"/>
  <c r="BQ25" i="1"/>
  <c r="BS25" i="1"/>
  <c r="BU25" i="1"/>
  <c r="BL26" i="1"/>
  <c r="BL27" i="1"/>
  <c r="BL28" i="1"/>
  <c r="BL29" i="1"/>
  <c r="BL30" i="1"/>
  <c r="BQ30" i="1"/>
  <c r="BS30" i="1"/>
  <c r="BU30" i="1"/>
  <c r="BL31" i="1"/>
  <c r="BQ31" i="1"/>
  <c r="BS31" i="1"/>
  <c r="BU31" i="1"/>
  <c r="BL32" i="1"/>
  <c r="BQ32" i="1"/>
  <c r="BS32" i="1"/>
  <c r="BU32" i="1"/>
  <c r="BL33" i="1"/>
  <c r="BQ33" i="1"/>
  <c r="BS33" i="1"/>
  <c r="BU33" i="1"/>
  <c r="BL34" i="1"/>
  <c r="BQ34" i="1"/>
  <c r="BS34" i="1"/>
  <c r="BU34" i="1"/>
  <c r="BL35" i="1"/>
  <c r="BQ35" i="1"/>
  <c r="BS35" i="1"/>
  <c r="BU35" i="1"/>
  <c r="BL36" i="1"/>
  <c r="BQ36" i="1"/>
  <c r="BS36" i="1"/>
  <c r="BU36" i="1"/>
  <c r="BL37" i="1"/>
  <c r="BQ37" i="1"/>
  <c r="BS37" i="1"/>
  <c r="BU37" i="1"/>
  <c r="BL38" i="1"/>
  <c r="BL39" i="1"/>
  <c r="BL40" i="1"/>
  <c r="BL41" i="1"/>
  <c r="BL42" i="1"/>
  <c r="BQ42" i="1"/>
  <c r="BS42" i="1"/>
  <c r="BU42" i="1"/>
  <c r="BL43" i="1"/>
  <c r="BQ43" i="1"/>
  <c r="BS43" i="1"/>
  <c r="BU43" i="1"/>
  <c r="BL44" i="1"/>
  <c r="BQ44" i="1"/>
  <c r="BS44" i="1"/>
  <c r="BU44" i="1"/>
  <c r="BL45" i="1"/>
  <c r="BQ45" i="1"/>
  <c r="BS45" i="1"/>
  <c r="BU45" i="1"/>
  <c r="BL46" i="1"/>
  <c r="BQ46" i="1"/>
  <c r="BS46" i="1"/>
  <c r="BU46" i="1"/>
  <c r="BL47" i="1"/>
  <c r="BQ47" i="1"/>
  <c r="BS47" i="1"/>
  <c r="BU47" i="1"/>
  <c r="BL48" i="1"/>
  <c r="BQ48" i="1"/>
  <c r="BS48" i="1"/>
  <c r="BU48" i="1"/>
  <c r="BL49" i="1"/>
  <c r="BQ49" i="1"/>
  <c r="BS49" i="1"/>
  <c r="BU49" i="1"/>
  <c r="BL50" i="1"/>
  <c r="BL51" i="1"/>
  <c r="BL52" i="1"/>
  <c r="BL53" i="1"/>
  <c r="BL54" i="1"/>
  <c r="BQ54" i="1"/>
  <c r="BS54" i="1"/>
  <c r="BU54" i="1"/>
  <c r="BL55" i="1"/>
  <c r="BQ55" i="1"/>
  <c r="BS55" i="1"/>
  <c r="BU55" i="1"/>
  <c r="BL56" i="1"/>
  <c r="BQ56" i="1"/>
  <c r="BS56" i="1"/>
  <c r="BU56" i="1"/>
  <c r="BL57" i="1"/>
  <c r="BQ57" i="1"/>
  <c r="BS57" i="1"/>
  <c r="BU57" i="1"/>
  <c r="BL58" i="1"/>
  <c r="BQ58" i="1"/>
  <c r="BS58" i="1"/>
  <c r="BU58" i="1"/>
  <c r="BL59" i="1"/>
  <c r="BQ59" i="1"/>
  <c r="BS59" i="1"/>
  <c r="BU59" i="1"/>
  <c r="BL60" i="1"/>
  <c r="BQ60" i="1"/>
  <c r="BS60" i="1"/>
  <c r="BU60" i="1"/>
  <c r="BL61" i="1"/>
  <c r="BQ61" i="1"/>
  <c r="BS61" i="1"/>
  <c r="BU61" i="1"/>
  <c r="BL62" i="1"/>
  <c r="BL63" i="1"/>
  <c r="BL64" i="1"/>
  <c r="BL65" i="1"/>
  <c r="BL66" i="1"/>
  <c r="BQ66" i="1"/>
  <c r="BS66" i="1"/>
  <c r="BU66" i="1"/>
  <c r="BL67" i="1"/>
  <c r="BQ67" i="1"/>
  <c r="BS67" i="1"/>
  <c r="BU67" i="1"/>
  <c r="BL68" i="1"/>
  <c r="BQ68" i="1"/>
  <c r="BS68" i="1"/>
  <c r="BU68" i="1"/>
  <c r="BL69" i="1"/>
  <c r="BQ69" i="1"/>
  <c r="BS69" i="1"/>
  <c r="BU69" i="1"/>
  <c r="BL70" i="1"/>
  <c r="BQ70" i="1"/>
  <c r="BS70" i="1"/>
  <c r="BU70" i="1"/>
  <c r="BL71" i="1"/>
  <c r="BQ71" i="1"/>
  <c r="BS71" i="1"/>
  <c r="BU71" i="1"/>
  <c r="BL72" i="1"/>
  <c r="BQ72" i="1"/>
  <c r="BS72" i="1"/>
  <c r="BU72" i="1"/>
  <c r="BL73" i="1"/>
  <c r="BQ73" i="1"/>
  <c r="BS73" i="1"/>
  <c r="BU73" i="1"/>
  <c r="BL74" i="1"/>
  <c r="BL75" i="1"/>
  <c r="BL76" i="1"/>
  <c r="BL77" i="1"/>
  <c r="BL78" i="1"/>
  <c r="BQ78" i="1"/>
  <c r="BS78" i="1"/>
  <c r="BU78" i="1"/>
  <c r="BL79" i="1"/>
  <c r="BQ79" i="1"/>
  <c r="BS79" i="1"/>
  <c r="BU79" i="1"/>
  <c r="BL80" i="1"/>
  <c r="BQ80" i="1"/>
  <c r="BS80" i="1"/>
  <c r="BU80" i="1"/>
  <c r="BL81" i="1"/>
  <c r="BQ81" i="1"/>
  <c r="BS81" i="1"/>
  <c r="BU81" i="1"/>
  <c r="BL82" i="1"/>
  <c r="BQ82" i="1"/>
  <c r="BS82" i="1"/>
  <c r="BU82" i="1"/>
  <c r="BL83" i="1"/>
  <c r="BQ83" i="1"/>
  <c r="BS83" i="1"/>
  <c r="BU83" i="1"/>
  <c r="BL84" i="1"/>
  <c r="BQ84" i="1"/>
  <c r="BS84" i="1"/>
  <c r="BU84" i="1"/>
  <c r="BL85" i="1"/>
  <c r="BQ85" i="1"/>
  <c r="BS85" i="1"/>
  <c r="BU85" i="1"/>
  <c r="BL86" i="1"/>
  <c r="BL87" i="1"/>
  <c r="BL88" i="1"/>
  <c r="BL89" i="1"/>
  <c r="BL90" i="1"/>
  <c r="BQ90" i="1"/>
  <c r="BS90" i="1"/>
  <c r="BU90" i="1"/>
  <c r="BL91" i="1"/>
  <c r="BQ91" i="1"/>
  <c r="BS91" i="1"/>
  <c r="BU91" i="1"/>
  <c r="BL92" i="1"/>
  <c r="BQ92" i="1"/>
  <c r="BS92" i="1"/>
  <c r="BU92" i="1"/>
  <c r="BL93" i="1"/>
  <c r="BQ93" i="1"/>
  <c r="BS93" i="1"/>
  <c r="BU93" i="1"/>
  <c r="BL94" i="1"/>
  <c r="BQ94" i="1"/>
  <c r="BS94" i="1"/>
  <c r="BU94" i="1"/>
  <c r="BL95" i="1"/>
  <c r="BQ95" i="1"/>
  <c r="BS95" i="1"/>
  <c r="BU95" i="1"/>
  <c r="BL96" i="1"/>
  <c r="BQ96" i="1"/>
  <c r="BS96" i="1"/>
  <c r="BU96" i="1"/>
  <c r="BL97" i="1"/>
  <c r="BQ97" i="1"/>
  <c r="BS97" i="1"/>
  <c r="BU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4" i="1"/>
  <c r="BL115" i="1"/>
  <c r="BL116" i="1"/>
  <c r="BL117" i="1"/>
  <c r="BL118" i="1"/>
  <c r="BL119" i="1"/>
  <c r="BL120" i="1"/>
  <c r="BL121" i="1"/>
  <c r="T16" i="18"/>
  <c r="B52" i="36"/>
  <c r="AB52" i="36"/>
  <c r="J52" i="36"/>
  <c r="L52" i="36"/>
  <c r="N52" i="36"/>
  <c r="P52" i="36"/>
  <c r="R52" i="36"/>
  <c r="T52" i="36"/>
  <c r="V52" i="36"/>
  <c r="X52" i="36"/>
  <c r="Z52" i="36"/>
  <c r="E10" i="20"/>
  <c r="J10" i="20" s="1"/>
  <c r="D24" i="20" s="1"/>
  <c r="I10" i="20"/>
  <c r="B53" i="36"/>
  <c r="AB53" i="36"/>
  <c r="O14" i="36"/>
  <c r="Y116" i="1" s="1"/>
  <c r="Z116" i="1" s="1"/>
  <c r="J53" i="36"/>
  <c r="F14" i="36"/>
  <c r="Y6" i="1" s="1"/>
  <c r="Z6" i="1" s="1"/>
  <c r="C6" i="25" s="1"/>
  <c r="L53" i="36"/>
  <c r="G14" i="36"/>
  <c r="Y14" i="1" s="1"/>
  <c r="N53" i="36"/>
  <c r="H14" i="36"/>
  <c r="P53" i="36"/>
  <c r="I14" i="36"/>
  <c r="R53" i="36"/>
  <c r="J14" i="36"/>
  <c r="Y55" i="1" s="1"/>
  <c r="Z55" i="1" s="1"/>
  <c r="C55" i="25" s="1"/>
  <c r="T53" i="36"/>
  <c r="K14" i="36"/>
  <c r="V53" i="36"/>
  <c r="L14" i="36"/>
  <c r="Y74" i="1" s="1"/>
  <c r="Z74" i="1" s="1"/>
  <c r="C74" i="14" s="1"/>
  <c r="X53" i="36"/>
  <c r="M14" i="36"/>
  <c r="Y89" i="1" s="1"/>
  <c r="Z89" i="1" s="1"/>
  <c r="C89" i="25" s="1"/>
  <c r="Z53" i="36"/>
  <c r="N14" i="36"/>
  <c r="Y103" i="1" s="1"/>
  <c r="Z103" i="1" s="1"/>
  <c r="C103" i="30" s="1"/>
  <c r="A2" i="25"/>
  <c r="B2" i="25"/>
  <c r="A3" i="25"/>
  <c r="B3" i="25"/>
  <c r="A4" i="25"/>
  <c r="B4" i="25"/>
  <c r="A5" i="25"/>
  <c r="B5" i="25"/>
  <c r="A6" i="25"/>
  <c r="B6" i="25"/>
  <c r="A7" i="25"/>
  <c r="B7" i="25"/>
  <c r="A8" i="25"/>
  <c r="B8" i="25"/>
  <c r="A9" i="25"/>
  <c r="B9" i="25"/>
  <c r="A10" i="25"/>
  <c r="B10" i="25"/>
  <c r="A11" i="25"/>
  <c r="B11" i="25"/>
  <c r="A12" i="25"/>
  <c r="B12" i="25"/>
  <c r="A13" i="25"/>
  <c r="B13" i="25"/>
  <c r="A14" i="25"/>
  <c r="B14" i="25"/>
  <c r="A15" i="25"/>
  <c r="B15" i="25"/>
  <c r="A16" i="25"/>
  <c r="B16" i="25"/>
  <c r="A17" i="25"/>
  <c r="B17" i="25"/>
  <c r="A18" i="25"/>
  <c r="B18" i="25"/>
  <c r="A19" i="25"/>
  <c r="B19" i="25"/>
  <c r="A20" i="25"/>
  <c r="B20" i="25"/>
  <c r="A21" i="25"/>
  <c r="B21" i="25"/>
  <c r="A22" i="25"/>
  <c r="B22" i="25"/>
  <c r="A23" i="25"/>
  <c r="B23" i="25"/>
  <c r="A24" i="25"/>
  <c r="B24" i="25"/>
  <c r="A25" i="25"/>
  <c r="B25" i="25"/>
  <c r="A26" i="25"/>
  <c r="B26" i="25"/>
  <c r="A27" i="25"/>
  <c r="B27" i="25"/>
  <c r="A28" i="25"/>
  <c r="B28" i="25"/>
  <c r="A29" i="25"/>
  <c r="B29" i="25"/>
  <c r="A30" i="25"/>
  <c r="B30" i="25"/>
  <c r="A31" i="25"/>
  <c r="B31" i="25"/>
  <c r="A32" i="25"/>
  <c r="B32" i="25"/>
  <c r="A33" i="25"/>
  <c r="B33" i="25"/>
  <c r="A34" i="25"/>
  <c r="B34" i="25"/>
  <c r="A35" i="25"/>
  <c r="B35" i="25"/>
  <c r="A36" i="25"/>
  <c r="B36" i="25"/>
  <c r="A37" i="25"/>
  <c r="B37" i="25"/>
  <c r="A38" i="25"/>
  <c r="B38" i="25"/>
  <c r="A39" i="25"/>
  <c r="B39" i="25"/>
  <c r="A40" i="25"/>
  <c r="B40" i="25"/>
  <c r="A41" i="25"/>
  <c r="B41" i="25"/>
  <c r="A42" i="25"/>
  <c r="B42" i="25"/>
  <c r="A43" i="25"/>
  <c r="B43" i="25"/>
  <c r="A44" i="25"/>
  <c r="B44" i="25"/>
  <c r="A45" i="25"/>
  <c r="B45" i="25"/>
  <c r="A46" i="25"/>
  <c r="B46" i="25"/>
  <c r="A47" i="25"/>
  <c r="B47" i="25"/>
  <c r="A48" i="25"/>
  <c r="B48" i="25"/>
  <c r="A49" i="25"/>
  <c r="B49" i="25"/>
  <c r="A50" i="25"/>
  <c r="B50" i="25"/>
  <c r="A51" i="25"/>
  <c r="B51" i="25"/>
  <c r="A52" i="25"/>
  <c r="B52" i="25"/>
  <c r="A53" i="25"/>
  <c r="B53" i="25"/>
  <c r="A54" i="25"/>
  <c r="B54" i="25"/>
  <c r="A55" i="25"/>
  <c r="B55" i="25"/>
  <c r="A56" i="25"/>
  <c r="B56" i="25"/>
  <c r="A57" i="25"/>
  <c r="B57" i="25"/>
  <c r="A58" i="25"/>
  <c r="B58" i="25"/>
  <c r="A59" i="25"/>
  <c r="B59" i="25"/>
  <c r="A60" i="25"/>
  <c r="B60" i="25"/>
  <c r="A61" i="25"/>
  <c r="B61" i="25"/>
  <c r="A62" i="25"/>
  <c r="B62" i="25"/>
  <c r="A63" i="25"/>
  <c r="B63" i="25"/>
  <c r="A64" i="25"/>
  <c r="B64" i="25"/>
  <c r="A65" i="25"/>
  <c r="B65" i="25"/>
  <c r="A66" i="25"/>
  <c r="B66" i="25"/>
  <c r="A67" i="25"/>
  <c r="B67" i="25"/>
  <c r="A68" i="25"/>
  <c r="B68" i="25"/>
  <c r="A69" i="25"/>
  <c r="B69" i="25"/>
  <c r="A70" i="25"/>
  <c r="B70" i="25"/>
  <c r="A71" i="25"/>
  <c r="B71" i="25"/>
  <c r="A72" i="25"/>
  <c r="B72" i="25"/>
  <c r="A73" i="25"/>
  <c r="B73" i="25"/>
  <c r="A74" i="25"/>
  <c r="B74" i="25"/>
  <c r="A75" i="25"/>
  <c r="B75" i="25"/>
  <c r="A76" i="25"/>
  <c r="B76" i="25"/>
  <c r="A77" i="25"/>
  <c r="B77" i="25"/>
  <c r="A78" i="25"/>
  <c r="B78" i="25"/>
  <c r="A79" i="25"/>
  <c r="B79" i="25"/>
  <c r="A80" i="25"/>
  <c r="B80" i="25"/>
  <c r="A81" i="25"/>
  <c r="B81" i="25"/>
  <c r="A82" i="25"/>
  <c r="B82" i="25"/>
  <c r="A83" i="25"/>
  <c r="B83" i="25"/>
  <c r="A84" i="25"/>
  <c r="B84" i="25"/>
  <c r="A85" i="25"/>
  <c r="B85" i="25"/>
  <c r="A86" i="25"/>
  <c r="B86" i="25"/>
  <c r="A87" i="25"/>
  <c r="B87" i="25"/>
  <c r="A88" i="25"/>
  <c r="B88" i="25"/>
  <c r="A89" i="25"/>
  <c r="B89" i="25"/>
  <c r="A90" i="25"/>
  <c r="B90" i="25"/>
  <c r="A91" i="25"/>
  <c r="B91" i="25"/>
  <c r="A92" i="25"/>
  <c r="B92" i="25"/>
  <c r="A93" i="25"/>
  <c r="B93" i="25"/>
  <c r="A94" i="25"/>
  <c r="B94" i="25"/>
  <c r="A95" i="25"/>
  <c r="B95" i="25"/>
  <c r="A96" i="25"/>
  <c r="B96" i="25"/>
  <c r="A97" i="25"/>
  <c r="B97" i="25"/>
  <c r="D2" i="25"/>
  <c r="L2" i="25"/>
  <c r="F2" i="25"/>
  <c r="N2" i="25"/>
  <c r="G2" i="25"/>
  <c r="O2" i="25"/>
  <c r="H2" i="25"/>
  <c r="P2" i="25"/>
  <c r="I2" i="25"/>
  <c r="Q2" i="25"/>
  <c r="R2" i="25"/>
  <c r="D3" i="25"/>
  <c r="L3" i="25"/>
  <c r="F3" i="25"/>
  <c r="N3" i="25"/>
  <c r="G3" i="25"/>
  <c r="O3" i="25"/>
  <c r="H3" i="25"/>
  <c r="P3" i="25"/>
  <c r="I3" i="25"/>
  <c r="Q3" i="25"/>
  <c r="R3" i="25"/>
  <c r="D4" i="25"/>
  <c r="L4" i="25"/>
  <c r="F4" i="25"/>
  <c r="N4" i="25"/>
  <c r="G4" i="25"/>
  <c r="O4" i="25"/>
  <c r="H4" i="25"/>
  <c r="P4" i="25"/>
  <c r="I4" i="25"/>
  <c r="Q4" i="25"/>
  <c r="R4" i="25"/>
  <c r="D5" i="25"/>
  <c r="L5" i="25"/>
  <c r="F5" i="25"/>
  <c r="N5" i="25"/>
  <c r="G5" i="25"/>
  <c r="O5" i="25"/>
  <c r="H5" i="25"/>
  <c r="P5" i="25"/>
  <c r="I5" i="25"/>
  <c r="Q5" i="25"/>
  <c r="R5" i="25"/>
  <c r="D6" i="25"/>
  <c r="L6" i="25"/>
  <c r="F6" i="25"/>
  <c r="N6" i="25"/>
  <c r="G6" i="25"/>
  <c r="O6" i="25"/>
  <c r="H6" i="25"/>
  <c r="P6" i="25"/>
  <c r="I6" i="25"/>
  <c r="Q6" i="25"/>
  <c r="R6" i="25"/>
  <c r="D7" i="25"/>
  <c r="L7" i="25"/>
  <c r="F7" i="25"/>
  <c r="N7" i="25"/>
  <c r="G7" i="25"/>
  <c r="O7" i="25"/>
  <c r="H7" i="25"/>
  <c r="P7" i="25"/>
  <c r="I7" i="25"/>
  <c r="Q7" i="25"/>
  <c r="R7" i="25"/>
  <c r="D8" i="25"/>
  <c r="L8" i="25"/>
  <c r="F8" i="25"/>
  <c r="N8" i="25"/>
  <c r="G8" i="25"/>
  <c r="O8" i="25"/>
  <c r="H8" i="25"/>
  <c r="P8" i="25"/>
  <c r="I8" i="25"/>
  <c r="Q8" i="25"/>
  <c r="R8" i="25"/>
  <c r="D9" i="25"/>
  <c r="L9" i="25"/>
  <c r="F9" i="25"/>
  <c r="N9" i="25"/>
  <c r="G9" i="25"/>
  <c r="O9" i="25"/>
  <c r="H9" i="25"/>
  <c r="P9" i="25"/>
  <c r="I9" i="25"/>
  <c r="Q9" i="25"/>
  <c r="R9" i="25"/>
  <c r="D10" i="25"/>
  <c r="L10" i="25"/>
  <c r="F10" i="25"/>
  <c r="N10" i="25"/>
  <c r="G10" i="25"/>
  <c r="O10" i="25"/>
  <c r="H10" i="25"/>
  <c r="P10" i="25"/>
  <c r="I10" i="25"/>
  <c r="Q10" i="25"/>
  <c r="R10" i="25"/>
  <c r="D11" i="25"/>
  <c r="L11" i="25"/>
  <c r="F11" i="25"/>
  <c r="N11" i="25"/>
  <c r="G11" i="25"/>
  <c r="O11" i="25"/>
  <c r="H11" i="25"/>
  <c r="P11" i="25"/>
  <c r="I11" i="25"/>
  <c r="Q11" i="25"/>
  <c r="R11" i="25"/>
  <c r="D12" i="25"/>
  <c r="L12" i="25"/>
  <c r="F12" i="25"/>
  <c r="N12" i="25"/>
  <c r="G12" i="25"/>
  <c r="O12" i="25"/>
  <c r="H12" i="25"/>
  <c r="P12" i="25"/>
  <c r="I12" i="25"/>
  <c r="Q12" i="25"/>
  <c r="R12" i="25"/>
  <c r="D13" i="25"/>
  <c r="L13" i="25"/>
  <c r="F13" i="25"/>
  <c r="N13" i="25"/>
  <c r="G13" i="25"/>
  <c r="O13" i="25"/>
  <c r="H13" i="25"/>
  <c r="P13" i="25"/>
  <c r="I13" i="25"/>
  <c r="Q13" i="25"/>
  <c r="R13" i="25"/>
  <c r="D14" i="25"/>
  <c r="L14" i="25"/>
  <c r="F14" i="25"/>
  <c r="N14" i="25"/>
  <c r="BT14" i="1"/>
  <c r="G14" i="25"/>
  <c r="O14" i="25"/>
  <c r="H14" i="25"/>
  <c r="P14" i="25"/>
  <c r="I14" i="25"/>
  <c r="Q14" i="25"/>
  <c r="R14" i="25"/>
  <c r="D15" i="25"/>
  <c r="L15" i="25"/>
  <c r="F15" i="25"/>
  <c r="N15" i="25"/>
  <c r="BT15" i="1"/>
  <c r="G15" i="25"/>
  <c r="O15" i="25"/>
  <c r="H15" i="25"/>
  <c r="P15" i="25"/>
  <c r="I15" i="25"/>
  <c r="Q15" i="25"/>
  <c r="R15" i="25"/>
  <c r="D16" i="25"/>
  <c r="L16" i="25"/>
  <c r="F16" i="25"/>
  <c r="N16" i="25"/>
  <c r="BT16" i="1"/>
  <c r="G16" i="25"/>
  <c r="O16" i="25"/>
  <c r="H16" i="25"/>
  <c r="P16" i="25"/>
  <c r="I16" i="25"/>
  <c r="Q16" i="25"/>
  <c r="R16" i="25"/>
  <c r="D17" i="25"/>
  <c r="L17" i="25"/>
  <c r="F17" i="25"/>
  <c r="N17" i="25"/>
  <c r="BT17" i="1"/>
  <c r="G17" i="25"/>
  <c r="O17" i="25"/>
  <c r="H17" i="25"/>
  <c r="P17" i="25"/>
  <c r="I17" i="25"/>
  <c r="Q17" i="25"/>
  <c r="R17" i="25"/>
  <c r="D18" i="25"/>
  <c r="L18" i="25"/>
  <c r="F18" i="25"/>
  <c r="N18" i="25"/>
  <c r="BT18" i="1"/>
  <c r="G18" i="25"/>
  <c r="O18" i="25"/>
  <c r="H18" i="25"/>
  <c r="P18" i="25"/>
  <c r="I18" i="25"/>
  <c r="Q18" i="25"/>
  <c r="R18" i="25"/>
  <c r="D19" i="25"/>
  <c r="L19" i="25"/>
  <c r="F19" i="25"/>
  <c r="N19" i="25"/>
  <c r="BT19" i="1"/>
  <c r="G19" i="25"/>
  <c r="O19" i="25"/>
  <c r="H19" i="25"/>
  <c r="P19" i="25"/>
  <c r="I19" i="25"/>
  <c r="Q19" i="25"/>
  <c r="R19" i="25"/>
  <c r="D20" i="25"/>
  <c r="L20" i="25"/>
  <c r="F20" i="25"/>
  <c r="N20" i="25"/>
  <c r="BT20" i="1"/>
  <c r="G20" i="25"/>
  <c r="O20" i="25"/>
  <c r="H20" i="25"/>
  <c r="P20" i="25"/>
  <c r="I20" i="25"/>
  <c r="Q20" i="25"/>
  <c r="R20" i="25"/>
  <c r="D21" i="25"/>
  <c r="L21" i="25"/>
  <c r="F21" i="25"/>
  <c r="N21" i="25"/>
  <c r="BT21" i="1"/>
  <c r="G21" i="25"/>
  <c r="O21" i="25"/>
  <c r="H21" i="25"/>
  <c r="P21" i="25"/>
  <c r="I21" i="25"/>
  <c r="Q21" i="25"/>
  <c r="R21" i="25"/>
  <c r="D22" i="25"/>
  <c r="L22" i="25"/>
  <c r="F22" i="25"/>
  <c r="N22" i="25"/>
  <c r="BT22" i="1"/>
  <c r="G22" i="25"/>
  <c r="O22" i="25"/>
  <c r="H22" i="25"/>
  <c r="P22" i="25"/>
  <c r="I22" i="25"/>
  <c r="Q22" i="25"/>
  <c r="R22" i="25"/>
  <c r="D23" i="25"/>
  <c r="L23" i="25"/>
  <c r="F23" i="25"/>
  <c r="N23" i="25"/>
  <c r="BT23" i="1"/>
  <c r="G23" i="25"/>
  <c r="O23" i="25"/>
  <c r="H23" i="25"/>
  <c r="P23" i="25"/>
  <c r="I23" i="25"/>
  <c r="Q23" i="25"/>
  <c r="R23" i="25"/>
  <c r="D24" i="25"/>
  <c r="L24" i="25"/>
  <c r="F24" i="25"/>
  <c r="N24" i="25"/>
  <c r="BT24" i="1"/>
  <c r="G24" i="25"/>
  <c r="O24" i="25"/>
  <c r="H24" i="25"/>
  <c r="P24" i="25"/>
  <c r="I24" i="25"/>
  <c r="Q24" i="25"/>
  <c r="R24" i="25"/>
  <c r="D25" i="25"/>
  <c r="L25" i="25"/>
  <c r="F25" i="25"/>
  <c r="N25" i="25"/>
  <c r="BT25" i="1"/>
  <c r="G25" i="25"/>
  <c r="O25" i="25"/>
  <c r="H25" i="25"/>
  <c r="P25" i="25"/>
  <c r="I25" i="25"/>
  <c r="Q25" i="25"/>
  <c r="R25" i="25"/>
  <c r="D26" i="25"/>
  <c r="L26" i="25"/>
  <c r="F26" i="25"/>
  <c r="N26" i="25"/>
  <c r="BT26" i="1"/>
  <c r="G26" i="25"/>
  <c r="O26" i="25"/>
  <c r="H26" i="25"/>
  <c r="P26" i="25"/>
  <c r="I26" i="25"/>
  <c r="Q26" i="25"/>
  <c r="R26" i="25"/>
  <c r="D27" i="25"/>
  <c r="L27" i="25"/>
  <c r="F27" i="25"/>
  <c r="N27" i="25"/>
  <c r="BT27" i="1"/>
  <c r="G27" i="25"/>
  <c r="O27" i="25"/>
  <c r="H27" i="25"/>
  <c r="P27" i="25"/>
  <c r="I27" i="25"/>
  <c r="Q27" i="25"/>
  <c r="R27" i="25"/>
  <c r="D28" i="25"/>
  <c r="L28" i="25"/>
  <c r="F28" i="25"/>
  <c r="N28" i="25"/>
  <c r="BT28" i="1"/>
  <c r="G28" i="25"/>
  <c r="O28" i="25"/>
  <c r="H28" i="25"/>
  <c r="P28" i="25"/>
  <c r="I28" i="25"/>
  <c r="Q28" i="25"/>
  <c r="R28" i="25"/>
  <c r="D29" i="25"/>
  <c r="L29" i="25"/>
  <c r="F29" i="25"/>
  <c r="N29" i="25"/>
  <c r="BT29" i="1"/>
  <c r="G29" i="25"/>
  <c r="O29" i="25"/>
  <c r="H29" i="25"/>
  <c r="P29" i="25"/>
  <c r="I29" i="25"/>
  <c r="Q29" i="25"/>
  <c r="R29" i="25"/>
  <c r="D30" i="25"/>
  <c r="L30" i="25"/>
  <c r="F30" i="25"/>
  <c r="N30" i="25"/>
  <c r="BT30" i="1"/>
  <c r="G30" i="25"/>
  <c r="O30" i="25"/>
  <c r="H30" i="25"/>
  <c r="P30" i="25"/>
  <c r="I30" i="25"/>
  <c r="Q30" i="25"/>
  <c r="R30" i="25"/>
  <c r="D31" i="25"/>
  <c r="L31" i="25"/>
  <c r="F31" i="25"/>
  <c r="N31" i="25"/>
  <c r="BT31" i="1"/>
  <c r="G31" i="25"/>
  <c r="O31" i="25"/>
  <c r="H31" i="25"/>
  <c r="P31" i="25"/>
  <c r="I31" i="25"/>
  <c r="Q31" i="25"/>
  <c r="R31" i="25"/>
  <c r="D32" i="25"/>
  <c r="L32" i="25"/>
  <c r="F32" i="25"/>
  <c r="N32" i="25"/>
  <c r="BT32" i="1"/>
  <c r="G32" i="25"/>
  <c r="O32" i="25"/>
  <c r="H32" i="25"/>
  <c r="P32" i="25"/>
  <c r="I32" i="25"/>
  <c r="Q32" i="25"/>
  <c r="R32" i="25"/>
  <c r="D33" i="25"/>
  <c r="L33" i="25"/>
  <c r="F33" i="25"/>
  <c r="N33" i="25"/>
  <c r="BT33" i="1"/>
  <c r="G33" i="25"/>
  <c r="O33" i="25"/>
  <c r="H33" i="25"/>
  <c r="P33" i="25"/>
  <c r="I33" i="25"/>
  <c r="Q33" i="25"/>
  <c r="R33" i="25"/>
  <c r="D34" i="25"/>
  <c r="L34" i="25"/>
  <c r="F34" i="25"/>
  <c r="N34" i="25"/>
  <c r="BT34" i="1"/>
  <c r="G34" i="25"/>
  <c r="O34" i="25"/>
  <c r="H34" i="25"/>
  <c r="P34" i="25"/>
  <c r="I34" i="25"/>
  <c r="Q34" i="25"/>
  <c r="R34" i="25"/>
  <c r="D35" i="25"/>
  <c r="L35" i="25"/>
  <c r="F35" i="25"/>
  <c r="N35" i="25"/>
  <c r="BT35" i="1"/>
  <c r="G35" i="25"/>
  <c r="O35" i="25"/>
  <c r="H35" i="25"/>
  <c r="P35" i="25"/>
  <c r="I35" i="25"/>
  <c r="Q35" i="25"/>
  <c r="R35" i="25"/>
  <c r="D36" i="25"/>
  <c r="L36" i="25"/>
  <c r="F36" i="25"/>
  <c r="N36" i="25"/>
  <c r="BT36" i="1"/>
  <c r="G36" i="25"/>
  <c r="O36" i="25"/>
  <c r="H36" i="25"/>
  <c r="P36" i="25"/>
  <c r="I36" i="25"/>
  <c r="Q36" i="25"/>
  <c r="R36" i="25"/>
  <c r="D37" i="25"/>
  <c r="L37" i="25"/>
  <c r="F37" i="25"/>
  <c r="N37" i="25"/>
  <c r="BT37" i="1"/>
  <c r="G37" i="25"/>
  <c r="O37" i="25"/>
  <c r="H37" i="25"/>
  <c r="P37" i="25"/>
  <c r="I37" i="25"/>
  <c r="Q37" i="25"/>
  <c r="R37" i="25"/>
  <c r="D38" i="25"/>
  <c r="L38" i="25"/>
  <c r="F38" i="25"/>
  <c r="N38" i="25"/>
  <c r="BT38" i="1"/>
  <c r="G38" i="25"/>
  <c r="O38" i="25"/>
  <c r="H38" i="25"/>
  <c r="P38" i="25"/>
  <c r="I38" i="25"/>
  <c r="Q38" i="25"/>
  <c r="R38" i="25"/>
  <c r="D39" i="25"/>
  <c r="L39" i="25"/>
  <c r="F39" i="25"/>
  <c r="N39" i="25"/>
  <c r="BT39" i="1"/>
  <c r="G39" i="25"/>
  <c r="O39" i="25"/>
  <c r="H39" i="25"/>
  <c r="P39" i="25"/>
  <c r="I39" i="25"/>
  <c r="Q39" i="25"/>
  <c r="R39" i="25"/>
  <c r="D40" i="25"/>
  <c r="L40" i="25"/>
  <c r="F40" i="25"/>
  <c r="N40" i="25"/>
  <c r="BT40" i="1"/>
  <c r="G40" i="25"/>
  <c r="O40" i="25"/>
  <c r="H40" i="25"/>
  <c r="P40" i="25"/>
  <c r="I40" i="25"/>
  <c r="Q40" i="25"/>
  <c r="R40" i="25"/>
  <c r="D41" i="25"/>
  <c r="L41" i="25"/>
  <c r="F41" i="25"/>
  <c r="N41" i="25"/>
  <c r="BT41" i="1"/>
  <c r="G41" i="25"/>
  <c r="O41" i="25"/>
  <c r="H41" i="25"/>
  <c r="P41" i="25"/>
  <c r="I41" i="25"/>
  <c r="Q41" i="25"/>
  <c r="R41" i="25"/>
  <c r="D42" i="25"/>
  <c r="L42" i="25"/>
  <c r="F42" i="25"/>
  <c r="N42" i="25"/>
  <c r="BT42" i="1"/>
  <c r="G42" i="25"/>
  <c r="O42" i="25"/>
  <c r="H42" i="25"/>
  <c r="P42" i="25"/>
  <c r="I42" i="25"/>
  <c r="Q42" i="25"/>
  <c r="R42" i="25"/>
  <c r="D43" i="25"/>
  <c r="L43" i="25"/>
  <c r="F43" i="25"/>
  <c r="N43" i="25"/>
  <c r="BT43" i="1"/>
  <c r="G43" i="25"/>
  <c r="O43" i="25"/>
  <c r="H43" i="25"/>
  <c r="P43" i="25"/>
  <c r="I43" i="25"/>
  <c r="Q43" i="25"/>
  <c r="R43" i="25"/>
  <c r="D44" i="25"/>
  <c r="L44" i="25"/>
  <c r="F44" i="25"/>
  <c r="N44" i="25"/>
  <c r="BT44" i="1"/>
  <c r="G44" i="25"/>
  <c r="O44" i="25"/>
  <c r="H44" i="25"/>
  <c r="P44" i="25"/>
  <c r="I44" i="25"/>
  <c r="Q44" i="25"/>
  <c r="R44" i="25"/>
  <c r="D45" i="25"/>
  <c r="L45" i="25"/>
  <c r="F45" i="25"/>
  <c r="N45" i="25"/>
  <c r="BT45" i="1"/>
  <c r="G45" i="25"/>
  <c r="O45" i="25"/>
  <c r="H45" i="25"/>
  <c r="P45" i="25"/>
  <c r="I45" i="25"/>
  <c r="Q45" i="25"/>
  <c r="R45" i="25"/>
  <c r="D46" i="25"/>
  <c r="L46" i="25"/>
  <c r="F46" i="25"/>
  <c r="N46" i="25"/>
  <c r="BT46" i="1"/>
  <c r="G46" i="25"/>
  <c r="O46" i="25"/>
  <c r="H46" i="25"/>
  <c r="P46" i="25"/>
  <c r="I46" i="25"/>
  <c r="Q46" i="25"/>
  <c r="R46" i="25"/>
  <c r="D47" i="25"/>
  <c r="L47" i="25"/>
  <c r="F47" i="25"/>
  <c r="N47" i="25"/>
  <c r="BT47" i="1"/>
  <c r="G47" i="25"/>
  <c r="O47" i="25"/>
  <c r="H47" i="25"/>
  <c r="P47" i="25"/>
  <c r="I47" i="25"/>
  <c r="Q47" i="25"/>
  <c r="R47" i="25"/>
  <c r="D48" i="25"/>
  <c r="L48" i="25"/>
  <c r="F48" i="25"/>
  <c r="N48" i="25"/>
  <c r="BT48" i="1"/>
  <c r="G48" i="25"/>
  <c r="O48" i="25"/>
  <c r="H48" i="25"/>
  <c r="P48" i="25"/>
  <c r="I48" i="25"/>
  <c r="Q48" i="25"/>
  <c r="R48" i="25"/>
  <c r="D49" i="25"/>
  <c r="L49" i="25"/>
  <c r="F49" i="25"/>
  <c r="N49" i="25"/>
  <c r="BT49" i="1"/>
  <c r="G49" i="25"/>
  <c r="O49" i="25"/>
  <c r="H49" i="25"/>
  <c r="P49" i="25"/>
  <c r="I49" i="25"/>
  <c r="Q49" i="25"/>
  <c r="R49" i="25"/>
  <c r="D50" i="25"/>
  <c r="L50" i="25"/>
  <c r="F50" i="25"/>
  <c r="N50" i="25"/>
  <c r="BT50" i="1"/>
  <c r="G50" i="25"/>
  <c r="O50" i="25"/>
  <c r="H50" i="25"/>
  <c r="P50" i="25"/>
  <c r="I50" i="25"/>
  <c r="Q50" i="25"/>
  <c r="R50" i="25"/>
  <c r="D51" i="25"/>
  <c r="L51" i="25"/>
  <c r="F51" i="25"/>
  <c r="N51" i="25"/>
  <c r="BT51" i="1"/>
  <c r="G51" i="25"/>
  <c r="O51" i="25"/>
  <c r="H51" i="25"/>
  <c r="P51" i="25"/>
  <c r="I51" i="25"/>
  <c r="Q51" i="25"/>
  <c r="R51" i="25"/>
  <c r="D52" i="25"/>
  <c r="L52" i="25"/>
  <c r="F52" i="25"/>
  <c r="N52" i="25"/>
  <c r="BT52" i="1"/>
  <c r="G52" i="25"/>
  <c r="O52" i="25"/>
  <c r="H52" i="25"/>
  <c r="P52" i="25"/>
  <c r="I52" i="25"/>
  <c r="Q52" i="25"/>
  <c r="R52" i="25"/>
  <c r="D53" i="25"/>
  <c r="L53" i="25"/>
  <c r="F53" i="25"/>
  <c r="N53" i="25"/>
  <c r="BT53" i="1"/>
  <c r="G53" i="25"/>
  <c r="O53" i="25"/>
  <c r="H53" i="25"/>
  <c r="P53" i="25"/>
  <c r="I53" i="25"/>
  <c r="Q53" i="25"/>
  <c r="R53" i="25"/>
  <c r="D54" i="25"/>
  <c r="L54" i="25"/>
  <c r="F54" i="25"/>
  <c r="N54" i="25"/>
  <c r="BT54" i="1"/>
  <c r="G54" i="25"/>
  <c r="O54" i="25"/>
  <c r="H54" i="25"/>
  <c r="P54" i="25"/>
  <c r="I54" i="25"/>
  <c r="Q54" i="25"/>
  <c r="R54" i="25"/>
  <c r="D55" i="25"/>
  <c r="L55" i="25"/>
  <c r="F55" i="25"/>
  <c r="N55" i="25"/>
  <c r="BT55" i="1"/>
  <c r="G55" i="25"/>
  <c r="O55" i="25"/>
  <c r="H55" i="25"/>
  <c r="P55" i="25"/>
  <c r="I55" i="25"/>
  <c r="Q55" i="25"/>
  <c r="R55" i="25"/>
  <c r="D56" i="25"/>
  <c r="L56" i="25"/>
  <c r="F56" i="25"/>
  <c r="N56" i="25"/>
  <c r="BT56" i="1"/>
  <c r="G56" i="25"/>
  <c r="O56" i="25"/>
  <c r="H56" i="25"/>
  <c r="P56" i="25"/>
  <c r="I56" i="25"/>
  <c r="Q56" i="25"/>
  <c r="R56" i="25"/>
  <c r="D57" i="25"/>
  <c r="L57" i="25"/>
  <c r="F57" i="25"/>
  <c r="N57" i="25"/>
  <c r="BT57" i="1"/>
  <c r="G57" i="25"/>
  <c r="O57" i="25"/>
  <c r="H57" i="25"/>
  <c r="P57" i="25"/>
  <c r="I57" i="25"/>
  <c r="Q57" i="25"/>
  <c r="R57" i="25"/>
  <c r="D58" i="25"/>
  <c r="L58" i="25"/>
  <c r="F58" i="25"/>
  <c r="N58" i="25"/>
  <c r="BT58" i="1"/>
  <c r="G58" i="25"/>
  <c r="O58" i="25"/>
  <c r="H58" i="25"/>
  <c r="P58" i="25"/>
  <c r="I58" i="25"/>
  <c r="Q58" i="25"/>
  <c r="R58" i="25"/>
  <c r="D59" i="25"/>
  <c r="L59" i="25"/>
  <c r="F59" i="25"/>
  <c r="N59" i="25"/>
  <c r="BT59" i="1"/>
  <c r="G59" i="25"/>
  <c r="O59" i="25"/>
  <c r="H59" i="25"/>
  <c r="P59" i="25"/>
  <c r="I59" i="25"/>
  <c r="Q59" i="25"/>
  <c r="R59" i="25"/>
  <c r="D60" i="25"/>
  <c r="L60" i="25"/>
  <c r="F60" i="25"/>
  <c r="N60" i="25"/>
  <c r="BT60" i="1"/>
  <c r="G60" i="25"/>
  <c r="O60" i="25"/>
  <c r="H60" i="25"/>
  <c r="P60" i="25"/>
  <c r="I60" i="25"/>
  <c r="Q60" i="25"/>
  <c r="R60" i="25"/>
  <c r="D61" i="25"/>
  <c r="L61" i="25"/>
  <c r="F61" i="25"/>
  <c r="N61" i="25"/>
  <c r="BT61" i="1"/>
  <c r="G61" i="25"/>
  <c r="O61" i="25"/>
  <c r="H61" i="25"/>
  <c r="P61" i="25"/>
  <c r="I61" i="25"/>
  <c r="Q61" i="25"/>
  <c r="R61" i="25"/>
  <c r="D62" i="25"/>
  <c r="L62" i="25"/>
  <c r="F62" i="25"/>
  <c r="N62" i="25"/>
  <c r="BT62" i="1"/>
  <c r="G62" i="25"/>
  <c r="O62" i="25"/>
  <c r="H62" i="25"/>
  <c r="P62" i="25"/>
  <c r="I62" i="25"/>
  <c r="Q62" i="25"/>
  <c r="R62" i="25"/>
  <c r="D63" i="25"/>
  <c r="L63" i="25"/>
  <c r="F63" i="25"/>
  <c r="N63" i="25"/>
  <c r="BT63" i="1"/>
  <c r="G63" i="25"/>
  <c r="O63" i="25"/>
  <c r="H63" i="25"/>
  <c r="P63" i="25"/>
  <c r="I63" i="25"/>
  <c r="Q63" i="25"/>
  <c r="R63" i="25"/>
  <c r="D64" i="25"/>
  <c r="L64" i="25"/>
  <c r="F64" i="25"/>
  <c r="N64" i="25"/>
  <c r="BT64" i="1"/>
  <c r="G64" i="25"/>
  <c r="O64" i="25"/>
  <c r="H64" i="25"/>
  <c r="P64" i="25"/>
  <c r="I64" i="25"/>
  <c r="Q64" i="25"/>
  <c r="R64" i="25"/>
  <c r="D65" i="25"/>
  <c r="L65" i="25"/>
  <c r="F65" i="25"/>
  <c r="N65" i="25"/>
  <c r="BT65" i="1"/>
  <c r="G65" i="25"/>
  <c r="O65" i="25"/>
  <c r="H65" i="25"/>
  <c r="P65" i="25"/>
  <c r="I65" i="25"/>
  <c r="Q65" i="25"/>
  <c r="R65" i="25"/>
  <c r="D66" i="25"/>
  <c r="L66" i="25"/>
  <c r="F66" i="25"/>
  <c r="N66" i="25"/>
  <c r="BT66" i="1"/>
  <c r="G66" i="25"/>
  <c r="O66" i="25"/>
  <c r="H66" i="25"/>
  <c r="P66" i="25"/>
  <c r="I66" i="25"/>
  <c r="Q66" i="25"/>
  <c r="R66" i="25"/>
  <c r="D67" i="25"/>
  <c r="L67" i="25"/>
  <c r="F67" i="25"/>
  <c r="N67" i="25"/>
  <c r="BT67" i="1"/>
  <c r="G67" i="25"/>
  <c r="O67" i="25"/>
  <c r="H67" i="25"/>
  <c r="P67" i="25"/>
  <c r="I67" i="25"/>
  <c r="Q67" i="25"/>
  <c r="R67" i="25"/>
  <c r="D68" i="25"/>
  <c r="L68" i="25"/>
  <c r="F68" i="25"/>
  <c r="N68" i="25"/>
  <c r="BT68" i="1"/>
  <c r="G68" i="25"/>
  <c r="O68" i="25"/>
  <c r="H68" i="25"/>
  <c r="P68" i="25"/>
  <c r="I68" i="25"/>
  <c r="Q68" i="25"/>
  <c r="R68" i="25"/>
  <c r="D69" i="25"/>
  <c r="L69" i="25"/>
  <c r="F69" i="25"/>
  <c r="N69" i="25"/>
  <c r="BT69" i="1"/>
  <c r="G69" i="25"/>
  <c r="O69" i="25"/>
  <c r="H69" i="25"/>
  <c r="P69" i="25"/>
  <c r="I69" i="25"/>
  <c r="Q69" i="25"/>
  <c r="R69" i="25"/>
  <c r="D70" i="25"/>
  <c r="L70" i="25"/>
  <c r="F70" i="25"/>
  <c r="N70" i="25"/>
  <c r="BT70" i="1"/>
  <c r="G70" i="25"/>
  <c r="O70" i="25"/>
  <c r="H70" i="25"/>
  <c r="P70" i="25"/>
  <c r="I70" i="25"/>
  <c r="Q70" i="25"/>
  <c r="R70" i="25"/>
  <c r="D71" i="25"/>
  <c r="L71" i="25"/>
  <c r="F71" i="25"/>
  <c r="N71" i="25"/>
  <c r="BT71" i="1"/>
  <c r="G71" i="25"/>
  <c r="O71" i="25"/>
  <c r="H71" i="25"/>
  <c r="P71" i="25"/>
  <c r="I71" i="25"/>
  <c r="Q71" i="25"/>
  <c r="R71" i="25"/>
  <c r="D72" i="25"/>
  <c r="L72" i="25"/>
  <c r="F72" i="25"/>
  <c r="N72" i="25"/>
  <c r="BT72" i="1"/>
  <c r="G72" i="25"/>
  <c r="O72" i="25"/>
  <c r="H72" i="25"/>
  <c r="P72" i="25"/>
  <c r="I72" i="25"/>
  <c r="Q72" i="25"/>
  <c r="R72" i="25"/>
  <c r="D73" i="25"/>
  <c r="L73" i="25"/>
  <c r="F73" i="25"/>
  <c r="N73" i="25"/>
  <c r="BT73" i="1"/>
  <c r="G73" i="25"/>
  <c r="O73" i="25"/>
  <c r="H73" i="25"/>
  <c r="P73" i="25"/>
  <c r="I73" i="25"/>
  <c r="Q73" i="25"/>
  <c r="R73" i="25"/>
  <c r="D74" i="25"/>
  <c r="L74" i="25"/>
  <c r="F74" i="25"/>
  <c r="N74" i="25"/>
  <c r="BT74" i="1"/>
  <c r="G74" i="25"/>
  <c r="O74" i="25"/>
  <c r="H74" i="25"/>
  <c r="P74" i="25"/>
  <c r="I74" i="25"/>
  <c r="Q74" i="25"/>
  <c r="R74" i="25"/>
  <c r="D75" i="25"/>
  <c r="L75" i="25"/>
  <c r="F75" i="25"/>
  <c r="N75" i="25"/>
  <c r="BT75" i="1"/>
  <c r="G75" i="25"/>
  <c r="O75" i="25"/>
  <c r="H75" i="25"/>
  <c r="P75" i="25"/>
  <c r="I75" i="25"/>
  <c r="Q75" i="25"/>
  <c r="R75" i="25"/>
  <c r="D76" i="25"/>
  <c r="L76" i="25"/>
  <c r="F76" i="25"/>
  <c r="N76" i="25"/>
  <c r="BT76" i="1"/>
  <c r="G76" i="25"/>
  <c r="O76" i="25"/>
  <c r="H76" i="25"/>
  <c r="P76" i="25"/>
  <c r="I76" i="25"/>
  <c r="Q76" i="25"/>
  <c r="R76" i="25"/>
  <c r="D77" i="25"/>
  <c r="L77" i="25"/>
  <c r="F77" i="25"/>
  <c r="N77" i="25"/>
  <c r="BT77" i="1"/>
  <c r="G77" i="25"/>
  <c r="O77" i="25"/>
  <c r="H77" i="25"/>
  <c r="P77" i="25"/>
  <c r="I77" i="25"/>
  <c r="Q77" i="25"/>
  <c r="R77" i="25"/>
  <c r="D78" i="25"/>
  <c r="L78" i="25"/>
  <c r="F78" i="25"/>
  <c r="N78" i="25"/>
  <c r="BT78" i="1"/>
  <c r="G78" i="25"/>
  <c r="O78" i="25"/>
  <c r="H78" i="25"/>
  <c r="P78" i="25"/>
  <c r="I78" i="25"/>
  <c r="Q78" i="25"/>
  <c r="R78" i="25"/>
  <c r="D79" i="25"/>
  <c r="L79" i="25"/>
  <c r="F79" i="25"/>
  <c r="N79" i="25"/>
  <c r="BT79" i="1"/>
  <c r="G79" i="25"/>
  <c r="O79" i="25"/>
  <c r="H79" i="25"/>
  <c r="P79" i="25"/>
  <c r="I79" i="25"/>
  <c r="Q79" i="25"/>
  <c r="R79" i="25"/>
  <c r="D80" i="25"/>
  <c r="L80" i="25"/>
  <c r="F80" i="25"/>
  <c r="N80" i="25"/>
  <c r="BT80" i="1"/>
  <c r="G80" i="25"/>
  <c r="O80" i="25"/>
  <c r="H80" i="25"/>
  <c r="P80" i="25"/>
  <c r="I80" i="25"/>
  <c r="Q80" i="25"/>
  <c r="R80" i="25"/>
  <c r="D81" i="25"/>
  <c r="L81" i="25"/>
  <c r="F81" i="25"/>
  <c r="N81" i="25"/>
  <c r="BT81" i="1"/>
  <c r="G81" i="25"/>
  <c r="O81" i="25"/>
  <c r="H81" i="25"/>
  <c r="P81" i="25"/>
  <c r="I81" i="25"/>
  <c r="Q81" i="25"/>
  <c r="R81" i="25"/>
  <c r="D82" i="25"/>
  <c r="L82" i="25"/>
  <c r="F82" i="25"/>
  <c r="N82" i="25"/>
  <c r="BT82" i="1"/>
  <c r="G82" i="25"/>
  <c r="O82" i="25"/>
  <c r="H82" i="25"/>
  <c r="P82" i="25"/>
  <c r="I82" i="25"/>
  <c r="Q82" i="25"/>
  <c r="R82" i="25"/>
  <c r="D83" i="25"/>
  <c r="L83" i="25"/>
  <c r="F83" i="25"/>
  <c r="N83" i="25"/>
  <c r="BT83" i="1"/>
  <c r="G83" i="25"/>
  <c r="O83" i="25"/>
  <c r="H83" i="25"/>
  <c r="P83" i="25"/>
  <c r="I83" i="25"/>
  <c r="Q83" i="25"/>
  <c r="R83" i="25"/>
  <c r="D84" i="25"/>
  <c r="L84" i="25"/>
  <c r="F84" i="25"/>
  <c r="N84" i="25"/>
  <c r="BT84" i="1"/>
  <c r="G84" i="25"/>
  <c r="O84" i="25"/>
  <c r="H84" i="25"/>
  <c r="P84" i="25"/>
  <c r="I84" i="25"/>
  <c r="Q84" i="25"/>
  <c r="R84" i="25"/>
  <c r="D85" i="25"/>
  <c r="L85" i="25"/>
  <c r="F85" i="25"/>
  <c r="N85" i="25"/>
  <c r="BT85" i="1"/>
  <c r="G85" i="25"/>
  <c r="O85" i="25"/>
  <c r="H85" i="25"/>
  <c r="P85" i="25"/>
  <c r="I85" i="25"/>
  <c r="Q85" i="25"/>
  <c r="R85" i="25"/>
  <c r="D86" i="25"/>
  <c r="L86" i="25"/>
  <c r="F86" i="25"/>
  <c r="N86" i="25"/>
  <c r="BT86" i="1"/>
  <c r="G86" i="25"/>
  <c r="O86" i="25"/>
  <c r="H86" i="25"/>
  <c r="P86" i="25"/>
  <c r="I86" i="25"/>
  <c r="Q86" i="25"/>
  <c r="R86" i="25"/>
  <c r="D87" i="25"/>
  <c r="L87" i="25"/>
  <c r="F87" i="25"/>
  <c r="N87" i="25"/>
  <c r="BT87" i="1"/>
  <c r="G87" i="25"/>
  <c r="O87" i="25"/>
  <c r="H87" i="25"/>
  <c r="P87" i="25"/>
  <c r="I87" i="25"/>
  <c r="Q87" i="25"/>
  <c r="R87" i="25"/>
  <c r="D88" i="25"/>
  <c r="L88" i="25"/>
  <c r="F88" i="25"/>
  <c r="N88" i="25"/>
  <c r="BT88" i="1"/>
  <c r="G88" i="25"/>
  <c r="O88" i="25"/>
  <c r="H88" i="25"/>
  <c r="P88" i="25"/>
  <c r="I88" i="25"/>
  <c r="Q88" i="25"/>
  <c r="R88" i="25"/>
  <c r="D89" i="25"/>
  <c r="L89" i="25"/>
  <c r="F89" i="25"/>
  <c r="N89" i="25"/>
  <c r="BT89" i="1"/>
  <c r="G89" i="25"/>
  <c r="O89" i="25"/>
  <c r="H89" i="25"/>
  <c r="P89" i="25"/>
  <c r="I89" i="25"/>
  <c r="Q89" i="25"/>
  <c r="R89" i="25"/>
  <c r="D90" i="25"/>
  <c r="L90" i="25"/>
  <c r="F90" i="25"/>
  <c r="N90" i="25"/>
  <c r="BT90" i="1"/>
  <c r="G90" i="25"/>
  <c r="O90" i="25"/>
  <c r="H90" i="25"/>
  <c r="P90" i="25"/>
  <c r="I90" i="25"/>
  <c r="Q90" i="25"/>
  <c r="R90" i="25"/>
  <c r="D91" i="25"/>
  <c r="L91" i="25"/>
  <c r="F91" i="25"/>
  <c r="N91" i="25"/>
  <c r="BT91" i="1"/>
  <c r="G91" i="25"/>
  <c r="O91" i="25"/>
  <c r="H91" i="25"/>
  <c r="P91" i="25"/>
  <c r="I91" i="25"/>
  <c r="Q91" i="25"/>
  <c r="R91" i="25"/>
  <c r="D92" i="25"/>
  <c r="L92" i="25"/>
  <c r="F92" i="25"/>
  <c r="N92" i="25"/>
  <c r="BT92" i="1"/>
  <c r="G92" i="25"/>
  <c r="O92" i="25"/>
  <c r="H92" i="25"/>
  <c r="P92" i="25"/>
  <c r="I92" i="25"/>
  <c r="Q92" i="25"/>
  <c r="R92" i="25"/>
  <c r="D93" i="25"/>
  <c r="L93" i="25"/>
  <c r="F93" i="25"/>
  <c r="N93" i="25"/>
  <c r="BT93" i="1"/>
  <c r="G93" i="25"/>
  <c r="O93" i="25"/>
  <c r="H93" i="25"/>
  <c r="P93" i="25"/>
  <c r="I93" i="25"/>
  <c r="Q93" i="25"/>
  <c r="R93" i="25"/>
  <c r="D94" i="25"/>
  <c r="L94" i="25"/>
  <c r="F94" i="25"/>
  <c r="N94" i="25"/>
  <c r="BT94" i="1"/>
  <c r="G94" i="25"/>
  <c r="O94" i="25"/>
  <c r="H94" i="25"/>
  <c r="P94" i="25"/>
  <c r="I94" i="25"/>
  <c r="Q94" i="25"/>
  <c r="R94" i="25"/>
  <c r="D95" i="25"/>
  <c r="L95" i="25"/>
  <c r="F95" i="25"/>
  <c r="N95" i="25"/>
  <c r="BT95" i="1"/>
  <c r="G95" i="25"/>
  <c r="O95" i="25"/>
  <c r="H95" i="25"/>
  <c r="P95" i="25"/>
  <c r="I95" i="25"/>
  <c r="Q95" i="25"/>
  <c r="R95" i="25"/>
  <c r="D96" i="25"/>
  <c r="L96" i="25"/>
  <c r="F96" i="25"/>
  <c r="N96" i="25"/>
  <c r="BT96" i="1"/>
  <c r="G96" i="25"/>
  <c r="O96" i="25"/>
  <c r="H96" i="25"/>
  <c r="P96" i="25"/>
  <c r="I96" i="25"/>
  <c r="Q96" i="25"/>
  <c r="R96" i="25"/>
  <c r="D97" i="25"/>
  <c r="L97" i="25"/>
  <c r="F97" i="25"/>
  <c r="N97" i="25"/>
  <c r="BT97" i="1"/>
  <c r="G97" i="25"/>
  <c r="O97" i="25"/>
  <c r="H97" i="25"/>
  <c r="P97" i="25"/>
  <c r="I97" i="25"/>
  <c r="Q97" i="25"/>
  <c r="R97" i="25"/>
  <c r="D98" i="25"/>
  <c r="L98" i="25"/>
  <c r="BS98" i="1"/>
  <c r="F98" i="25"/>
  <c r="N98" i="25"/>
  <c r="BT98" i="1"/>
  <c r="G98" i="25"/>
  <c r="O98" i="25"/>
  <c r="CA98" i="1"/>
  <c r="H98" i="25"/>
  <c r="P98" i="25"/>
  <c r="CC98" i="1"/>
  <c r="I98" i="25"/>
  <c r="Q98" i="25"/>
  <c r="R98" i="25"/>
  <c r="D99" i="25"/>
  <c r="L99" i="25"/>
  <c r="BS99" i="1"/>
  <c r="F99" i="25"/>
  <c r="N99" i="25"/>
  <c r="BT99" i="1"/>
  <c r="G99" i="25"/>
  <c r="O99" i="25"/>
  <c r="CA99" i="1"/>
  <c r="H99" i="25"/>
  <c r="P99" i="25"/>
  <c r="CC99" i="1"/>
  <c r="I99" i="25"/>
  <c r="Q99" i="25"/>
  <c r="R99" i="25"/>
  <c r="D100" i="25"/>
  <c r="L100" i="25"/>
  <c r="BS100" i="1"/>
  <c r="F100" i="25"/>
  <c r="N100" i="25"/>
  <c r="BT100" i="1"/>
  <c r="G100" i="25"/>
  <c r="O100" i="25"/>
  <c r="CA100" i="1"/>
  <c r="H100" i="25"/>
  <c r="P100" i="25"/>
  <c r="CC100" i="1"/>
  <c r="I100" i="25"/>
  <c r="Q100" i="25"/>
  <c r="R100" i="25"/>
  <c r="D101" i="25"/>
  <c r="L101" i="25"/>
  <c r="BS101" i="1"/>
  <c r="F101" i="25"/>
  <c r="N101" i="25"/>
  <c r="BT101" i="1"/>
  <c r="G101" i="25"/>
  <c r="O101" i="25"/>
  <c r="CA101" i="1"/>
  <c r="H101" i="25"/>
  <c r="P101" i="25"/>
  <c r="CC101" i="1"/>
  <c r="I101" i="25"/>
  <c r="Q101" i="25"/>
  <c r="R101" i="25"/>
  <c r="D102" i="25"/>
  <c r="L102" i="25"/>
  <c r="BS102" i="1"/>
  <c r="F102" i="25"/>
  <c r="N102" i="25"/>
  <c r="BT102" i="1"/>
  <c r="G102" i="25"/>
  <c r="O102" i="25"/>
  <c r="CA102" i="1"/>
  <c r="H102" i="25"/>
  <c r="P102" i="25"/>
  <c r="CC102" i="1"/>
  <c r="I102" i="25"/>
  <c r="Q102" i="25"/>
  <c r="R102" i="25"/>
  <c r="D103" i="25"/>
  <c r="L103" i="25"/>
  <c r="BS103" i="1"/>
  <c r="F103" i="25"/>
  <c r="N103" i="25"/>
  <c r="BT103" i="1"/>
  <c r="G103" i="25"/>
  <c r="O103" i="25"/>
  <c r="CA103" i="1"/>
  <c r="H103" i="25"/>
  <c r="P103" i="25"/>
  <c r="CC103" i="1"/>
  <c r="I103" i="25"/>
  <c r="Q103" i="25"/>
  <c r="R103" i="25"/>
  <c r="D104" i="25"/>
  <c r="L104" i="25"/>
  <c r="BS104" i="1"/>
  <c r="F104" i="25"/>
  <c r="N104" i="25"/>
  <c r="BT104" i="1"/>
  <c r="G104" i="25"/>
  <c r="O104" i="25"/>
  <c r="CA104" i="1"/>
  <c r="H104" i="25"/>
  <c r="P104" i="25"/>
  <c r="CC104" i="1"/>
  <c r="I104" i="25"/>
  <c r="Q104" i="25"/>
  <c r="R104" i="25"/>
  <c r="D105" i="25"/>
  <c r="L105" i="25"/>
  <c r="BS105" i="1"/>
  <c r="F105" i="25"/>
  <c r="N105" i="25"/>
  <c r="BT105" i="1"/>
  <c r="G105" i="25"/>
  <c r="O105" i="25"/>
  <c r="CA105" i="1"/>
  <c r="H105" i="25"/>
  <c r="P105" i="25"/>
  <c r="CC105" i="1"/>
  <c r="I105" i="25"/>
  <c r="Q105" i="25"/>
  <c r="R105" i="25"/>
  <c r="D106" i="25"/>
  <c r="L106" i="25"/>
  <c r="BS106" i="1"/>
  <c r="F106" i="25"/>
  <c r="N106" i="25"/>
  <c r="BT106" i="1"/>
  <c r="G106" i="25"/>
  <c r="O106" i="25"/>
  <c r="CA106" i="1"/>
  <c r="H106" i="25"/>
  <c r="P106" i="25"/>
  <c r="CC106" i="1"/>
  <c r="I106" i="25"/>
  <c r="Q106" i="25"/>
  <c r="R106" i="25"/>
  <c r="D107" i="25"/>
  <c r="L107" i="25"/>
  <c r="BS107" i="1"/>
  <c r="F107" i="25"/>
  <c r="N107" i="25"/>
  <c r="BT107" i="1"/>
  <c r="G107" i="25"/>
  <c r="O107" i="25"/>
  <c r="CA107" i="1"/>
  <c r="H107" i="25"/>
  <c r="P107" i="25"/>
  <c r="CC107" i="1"/>
  <c r="I107" i="25"/>
  <c r="Q107" i="25"/>
  <c r="R107" i="25"/>
  <c r="D108" i="25"/>
  <c r="L108" i="25"/>
  <c r="BS108" i="1"/>
  <c r="F108" i="25"/>
  <c r="N108" i="25"/>
  <c r="BT108" i="1"/>
  <c r="G108" i="25"/>
  <c r="O108" i="25"/>
  <c r="CA108" i="1"/>
  <c r="H108" i="25"/>
  <c r="P108" i="25"/>
  <c r="CC108" i="1"/>
  <c r="I108" i="25"/>
  <c r="Q108" i="25"/>
  <c r="R108" i="25"/>
  <c r="D109" i="25"/>
  <c r="L109" i="25"/>
  <c r="BS109" i="1"/>
  <c r="F109" i="25"/>
  <c r="N109" i="25"/>
  <c r="BT109" i="1"/>
  <c r="G109" i="25"/>
  <c r="O109" i="25"/>
  <c r="CA109" i="1"/>
  <c r="H109" i="25"/>
  <c r="P109" i="25"/>
  <c r="CC109" i="1"/>
  <c r="I109" i="25"/>
  <c r="Q109" i="25"/>
  <c r="R109" i="25"/>
  <c r="D110" i="25"/>
  <c r="L110" i="25"/>
  <c r="BS110" i="1"/>
  <c r="F110" i="25"/>
  <c r="N110" i="25"/>
  <c r="BT110" i="1"/>
  <c r="G110" i="25"/>
  <c r="O110" i="25"/>
  <c r="CA110" i="1"/>
  <c r="H110" i="25"/>
  <c r="P110" i="25"/>
  <c r="CC110" i="1"/>
  <c r="I110" i="25"/>
  <c r="Q110" i="25"/>
  <c r="R110" i="25"/>
  <c r="D111" i="25"/>
  <c r="L111" i="25"/>
  <c r="BS111" i="1"/>
  <c r="F111" i="25"/>
  <c r="N111" i="25"/>
  <c r="BT111" i="1"/>
  <c r="G111" i="25"/>
  <c r="O111" i="25"/>
  <c r="CA111" i="1"/>
  <c r="H111" i="25"/>
  <c r="P111" i="25"/>
  <c r="CC111" i="1"/>
  <c r="I111" i="25"/>
  <c r="Q111" i="25"/>
  <c r="R111" i="25"/>
  <c r="D112" i="25"/>
  <c r="L112" i="25"/>
  <c r="BS112" i="1"/>
  <c r="F112" i="25"/>
  <c r="N112" i="25"/>
  <c r="BT112" i="1"/>
  <c r="G112" i="25"/>
  <c r="O112" i="25"/>
  <c r="CA112" i="1"/>
  <c r="H112" i="25"/>
  <c r="P112" i="25"/>
  <c r="CC112" i="1"/>
  <c r="I112" i="25"/>
  <c r="Q112" i="25"/>
  <c r="R112" i="25"/>
  <c r="D113" i="25"/>
  <c r="L113" i="25"/>
  <c r="BS113" i="1"/>
  <c r="F113" i="25"/>
  <c r="N113" i="25"/>
  <c r="BT113" i="1"/>
  <c r="G113" i="25"/>
  <c r="O113" i="25"/>
  <c r="CA113" i="1"/>
  <c r="H113" i="25"/>
  <c r="P113" i="25"/>
  <c r="CC113" i="1"/>
  <c r="I113" i="25"/>
  <c r="Q113" i="25"/>
  <c r="R113" i="25"/>
  <c r="D114" i="25"/>
  <c r="L114" i="25"/>
  <c r="BS114" i="1"/>
  <c r="F114" i="25"/>
  <c r="N114" i="25"/>
  <c r="BT114" i="1"/>
  <c r="G114" i="25"/>
  <c r="O114" i="25"/>
  <c r="CA114" i="1"/>
  <c r="H114" i="25"/>
  <c r="P114" i="25"/>
  <c r="CC114" i="1"/>
  <c r="I114" i="25"/>
  <c r="Q114" i="25"/>
  <c r="R114" i="25"/>
  <c r="D115" i="25"/>
  <c r="L115" i="25"/>
  <c r="BS115" i="1"/>
  <c r="F115" i="25"/>
  <c r="N115" i="25"/>
  <c r="BT115" i="1"/>
  <c r="G115" i="25"/>
  <c r="O115" i="25"/>
  <c r="CA115" i="1"/>
  <c r="H115" i="25"/>
  <c r="P115" i="25"/>
  <c r="CC115" i="1"/>
  <c r="I115" i="25"/>
  <c r="Q115" i="25"/>
  <c r="R115" i="25"/>
  <c r="D116" i="25"/>
  <c r="L116" i="25"/>
  <c r="BS116" i="1"/>
  <c r="F116" i="25"/>
  <c r="N116" i="25"/>
  <c r="BT116" i="1"/>
  <c r="G116" i="25"/>
  <c r="O116" i="25"/>
  <c r="CA116" i="1"/>
  <c r="H116" i="25"/>
  <c r="P116" i="25"/>
  <c r="CC116" i="1"/>
  <c r="I116" i="25"/>
  <c r="Q116" i="25"/>
  <c r="R116" i="25"/>
  <c r="D117" i="25"/>
  <c r="L117" i="25"/>
  <c r="BS117" i="1"/>
  <c r="F117" i="25"/>
  <c r="N117" i="25"/>
  <c r="BT117" i="1"/>
  <c r="G117" i="25"/>
  <c r="O117" i="25"/>
  <c r="CA117" i="1"/>
  <c r="H117" i="25"/>
  <c r="P117" i="25"/>
  <c r="CC117" i="1"/>
  <c r="I117" i="25"/>
  <c r="Q117" i="25"/>
  <c r="R117" i="25"/>
  <c r="D118" i="25"/>
  <c r="L118" i="25"/>
  <c r="BS118" i="1"/>
  <c r="F118" i="25"/>
  <c r="N118" i="25"/>
  <c r="BT118" i="1"/>
  <c r="G118" i="25"/>
  <c r="O118" i="25"/>
  <c r="CA118" i="1"/>
  <c r="H118" i="25"/>
  <c r="P118" i="25"/>
  <c r="CC118" i="1"/>
  <c r="I118" i="25"/>
  <c r="Q118" i="25"/>
  <c r="R118" i="25"/>
  <c r="D119" i="25"/>
  <c r="L119" i="25"/>
  <c r="BS119" i="1"/>
  <c r="F119" i="25"/>
  <c r="N119" i="25"/>
  <c r="BT119" i="1"/>
  <c r="G119" i="25"/>
  <c r="O119" i="25"/>
  <c r="CA119" i="1"/>
  <c r="H119" i="25"/>
  <c r="P119" i="25"/>
  <c r="CC119" i="1"/>
  <c r="I119" i="25"/>
  <c r="Q119" i="25"/>
  <c r="R119" i="25"/>
  <c r="D120" i="25"/>
  <c r="L120" i="25"/>
  <c r="BS120" i="1"/>
  <c r="F120" i="25"/>
  <c r="N120" i="25"/>
  <c r="BT120" i="1"/>
  <c r="G120" i="25"/>
  <c r="O120" i="25"/>
  <c r="CA120" i="1"/>
  <c r="H120" i="25"/>
  <c r="P120" i="25"/>
  <c r="CC120" i="1"/>
  <c r="I120" i="25"/>
  <c r="Q120" i="25"/>
  <c r="R120" i="25"/>
  <c r="D121" i="25"/>
  <c r="L121" i="25"/>
  <c r="BS121" i="1"/>
  <c r="F121" i="25"/>
  <c r="N121" i="25"/>
  <c r="BT121" i="1"/>
  <c r="G121" i="25"/>
  <c r="O121" i="25"/>
  <c r="CA121" i="1"/>
  <c r="H121" i="25"/>
  <c r="P121" i="25"/>
  <c r="CC121" i="1"/>
  <c r="I121" i="25"/>
  <c r="Q121" i="25"/>
  <c r="R121" i="25"/>
  <c r="D122" i="25"/>
  <c r="L122" i="25"/>
  <c r="F122" i="25"/>
  <c r="N122" i="25"/>
  <c r="G122" i="25"/>
  <c r="O122" i="25"/>
  <c r="H122" i="25"/>
  <c r="P122" i="25"/>
  <c r="I122" i="25"/>
  <c r="Q122" i="25"/>
  <c r="R122" i="25"/>
  <c r="D123" i="25"/>
  <c r="L123" i="25"/>
  <c r="F123" i="25"/>
  <c r="N123" i="25"/>
  <c r="G123" i="25"/>
  <c r="O123" i="25"/>
  <c r="H123" i="25"/>
  <c r="P123" i="25"/>
  <c r="I123" i="25"/>
  <c r="Q123" i="25"/>
  <c r="R123" i="25"/>
  <c r="D124" i="25"/>
  <c r="L124" i="25"/>
  <c r="F124" i="25"/>
  <c r="N124" i="25"/>
  <c r="G124" i="25"/>
  <c r="O124" i="25"/>
  <c r="H124" i="25"/>
  <c r="P124" i="25"/>
  <c r="I124" i="25"/>
  <c r="Q124" i="25"/>
  <c r="R124" i="25"/>
  <c r="D125" i="25"/>
  <c r="L125" i="25"/>
  <c r="F125" i="25"/>
  <c r="N125" i="25"/>
  <c r="G125" i="25"/>
  <c r="O125" i="25"/>
  <c r="H125" i="25"/>
  <c r="P125" i="25"/>
  <c r="I125" i="25"/>
  <c r="Q125" i="25"/>
  <c r="R125" i="25"/>
  <c r="D126" i="25"/>
  <c r="L126" i="25"/>
  <c r="F126" i="25"/>
  <c r="N126" i="25"/>
  <c r="G126" i="25"/>
  <c r="O126" i="25"/>
  <c r="H126" i="25"/>
  <c r="P126" i="25"/>
  <c r="I126" i="25"/>
  <c r="Q126" i="25"/>
  <c r="R126" i="25"/>
  <c r="D127" i="25"/>
  <c r="L127" i="25"/>
  <c r="F127" i="25"/>
  <c r="N127" i="25"/>
  <c r="G127" i="25"/>
  <c r="O127" i="25"/>
  <c r="H127" i="25"/>
  <c r="P127" i="25"/>
  <c r="I127" i="25"/>
  <c r="Q127" i="25"/>
  <c r="R127" i="25"/>
  <c r="D128" i="25"/>
  <c r="L128" i="25"/>
  <c r="F128" i="25"/>
  <c r="N128" i="25"/>
  <c r="G128" i="25"/>
  <c r="O128" i="25"/>
  <c r="H128" i="25"/>
  <c r="P128" i="25"/>
  <c r="I128" i="25"/>
  <c r="Q128" i="25"/>
  <c r="R128" i="25"/>
  <c r="D129" i="25"/>
  <c r="L129" i="25"/>
  <c r="F129" i="25"/>
  <c r="N129" i="25"/>
  <c r="G129" i="25"/>
  <c r="O129" i="25"/>
  <c r="H129" i="25"/>
  <c r="P129" i="25"/>
  <c r="I129" i="25"/>
  <c r="Q129" i="25"/>
  <c r="R129" i="25"/>
  <c r="D130" i="25"/>
  <c r="L130" i="25"/>
  <c r="F130" i="25"/>
  <c r="N130" i="25"/>
  <c r="G130" i="25"/>
  <c r="O130" i="25"/>
  <c r="H130" i="25"/>
  <c r="P130" i="25"/>
  <c r="I130" i="25"/>
  <c r="Q130" i="25"/>
  <c r="R130" i="25"/>
  <c r="D131" i="25"/>
  <c r="L131" i="25"/>
  <c r="F131" i="25"/>
  <c r="N131" i="25"/>
  <c r="G131" i="25"/>
  <c r="O131" i="25"/>
  <c r="H131" i="25"/>
  <c r="P131" i="25"/>
  <c r="I131" i="25"/>
  <c r="Q131" i="25"/>
  <c r="R131" i="25"/>
  <c r="D132" i="25"/>
  <c r="L132" i="25"/>
  <c r="F132" i="25"/>
  <c r="N132" i="25"/>
  <c r="G132" i="25"/>
  <c r="O132" i="25"/>
  <c r="H132" i="25"/>
  <c r="P132" i="25"/>
  <c r="I132" i="25"/>
  <c r="Q132" i="25"/>
  <c r="R132" i="25"/>
  <c r="D133" i="25"/>
  <c r="L133" i="25"/>
  <c r="F133" i="25"/>
  <c r="N133" i="25"/>
  <c r="G133" i="25"/>
  <c r="O133" i="25"/>
  <c r="H133" i="25"/>
  <c r="P133" i="25"/>
  <c r="I133" i="25"/>
  <c r="Q133" i="25"/>
  <c r="R133" i="25"/>
  <c r="D134" i="25"/>
  <c r="L134" i="25"/>
  <c r="F134" i="25"/>
  <c r="N134" i="25"/>
  <c r="G134" i="25"/>
  <c r="O134" i="25"/>
  <c r="H134" i="25"/>
  <c r="P134" i="25"/>
  <c r="I134" i="25"/>
  <c r="Q134" i="25"/>
  <c r="R134" i="25"/>
  <c r="D135" i="25"/>
  <c r="L135" i="25"/>
  <c r="F135" i="25"/>
  <c r="N135" i="25"/>
  <c r="G135" i="25"/>
  <c r="O135" i="25"/>
  <c r="H135" i="25"/>
  <c r="P135" i="25"/>
  <c r="I135" i="25"/>
  <c r="Q135" i="25"/>
  <c r="R135" i="25"/>
  <c r="D136" i="25"/>
  <c r="L136" i="25"/>
  <c r="F136" i="25"/>
  <c r="N136" i="25"/>
  <c r="G136" i="25"/>
  <c r="O136" i="25"/>
  <c r="H136" i="25"/>
  <c r="P136" i="25"/>
  <c r="I136" i="25"/>
  <c r="Q136" i="25"/>
  <c r="R136" i="25"/>
  <c r="D137" i="25"/>
  <c r="L137" i="25"/>
  <c r="F137" i="25"/>
  <c r="N137" i="25"/>
  <c r="G137" i="25"/>
  <c r="O137" i="25"/>
  <c r="H137" i="25"/>
  <c r="P137" i="25"/>
  <c r="I137" i="25"/>
  <c r="Q137" i="25"/>
  <c r="R137" i="25"/>
  <c r="D138" i="25"/>
  <c r="L138" i="25"/>
  <c r="F138" i="25"/>
  <c r="N138" i="25"/>
  <c r="G138" i="25"/>
  <c r="O138" i="25"/>
  <c r="H138" i="25"/>
  <c r="P138" i="25"/>
  <c r="I138" i="25"/>
  <c r="Q138" i="25"/>
  <c r="R138" i="25"/>
  <c r="D139" i="25"/>
  <c r="L139" i="25"/>
  <c r="F139" i="25"/>
  <c r="N139" i="25"/>
  <c r="G139" i="25"/>
  <c r="O139" i="25"/>
  <c r="H139" i="25"/>
  <c r="P139" i="25"/>
  <c r="I139" i="25"/>
  <c r="Q139" i="25"/>
  <c r="R139" i="25"/>
  <c r="D140" i="25"/>
  <c r="L140" i="25"/>
  <c r="F140" i="25"/>
  <c r="N140" i="25"/>
  <c r="G140" i="25"/>
  <c r="O140" i="25"/>
  <c r="H140" i="25"/>
  <c r="P140" i="25"/>
  <c r="I140" i="25"/>
  <c r="Q140" i="25"/>
  <c r="R140" i="25"/>
  <c r="D141" i="25"/>
  <c r="L141" i="25"/>
  <c r="F141" i="25"/>
  <c r="N141" i="25"/>
  <c r="G141" i="25"/>
  <c r="O141" i="25"/>
  <c r="H141" i="25"/>
  <c r="P141" i="25"/>
  <c r="I141" i="25"/>
  <c r="Q141" i="25"/>
  <c r="R141" i="25"/>
  <c r="D142" i="25"/>
  <c r="L142" i="25"/>
  <c r="F142" i="25"/>
  <c r="N142" i="25"/>
  <c r="G142" i="25"/>
  <c r="O142" i="25"/>
  <c r="H142" i="25"/>
  <c r="P142" i="25"/>
  <c r="I142" i="25"/>
  <c r="Q142" i="25"/>
  <c r="R142" i="25"/>
  <c r="D143" i="25"/>
  <c r="L143" i="25"/>
  <c r="F143" i="25"/>
  <c r="N143" i="25"/>
  <c r="G143" i="25"/>
  <c r="O143" i="25"/>
  <c r="H143" i="25"/>
  <c r="P143" i="25"/>
  <c r="I143" i="25"/>
  <c r="Q143" i="25"/>
  <c r="R143" i="25"/>
  <c r="D144" i="25"/>
  <c r="L144" i="25"/>
  <c r="F144" i="25"/>
  <c r="N144" i="25"/>
  <c r="G144" i="25"/>
  <c r="O144" i="25"/>
  <c r="H144" i="25"/>
  <c r="P144" i="25"/>
  <c r="I144" i="25"/>
  <c r="Q144" i="25"/>
  <c r="R144" i="25"/>
  <c r="D145" i="25"/>
  <c r="L145" i="25"/>
  <c r="F145" i="25"/>
  <c r="N145" i="25"/>
  <c r="G145" i="25"/>
  <c r="O145" i="25"/>
  <c r="H145" i="25"/>
  <c r="P145" i="25"/>
  <c r="I145" i="25"/>
  <c r="Q145" i="25"/>
  <c r="R145" i="25"/>
  <c r="AD16" i="18"/>
  <c r="AI16" i="18"/>
  <c r="AK16" i="18"/>
  <c r="L6" i="21"/>
  <c r="E11" i="20"/>
  <c r="I11" i="20"/>
  <c r="BJ110" i="1"/>
  <c r="BY14" i="1"/>
  <c r="BY26" i="1"/>
  <c r="BY38" i="1"/>
  <c r="BY50" i="1"/>
  <c r="BY62" i="1"/>
  <c r="BY74" i="1"/>
  <c r="BY86" i="1"/>
  <c r="BJ111" i="1"/>
  <c r="BY15" i="1"/>
  <c r="BY27" i="1"/>
  <c r="BY39" i="1"/>
  <c r="BY51" i="1"/>
  <c r="BY63" i="1"/>
  <c r="BY75" i="1"/>
  <c r="BY87" i="1"/>
  <c r="BJ112" i="1"/>
  <c r="BY16" i="1"/>
  <c r="BY28" i="1"/>
  <c r="BY40" i="1"/>
  <c r="BY52" i="1"/>
  <c r="BY64" i="1"/>
  <c r="BY76" i="1"/>
  <c r="BY88" i="1"/>
  <c r="BJ113" i="1"/>
  <c r="BY17" i="1"/>
  <c r="BY29" i="1"/>
  <c r="BY41" i="1"/>
  <c r="BY53" i="1"/>
  <c r="BY65" i="1"/>
  <c r="BY77" i="1"/>
  <c r="BY89" i="1"/>
  <c r="BJ2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Y18" i="1"/>
  <c r="BJ19" i="1"/>
  <c r="BY19" i="1"/>
  <c r="BJ20" i="1"/>
  <c r="BY20" i="1"/>
  <c r="BJ21" i="1"/>
  <c r="BY21" i="1"/>
  <c r="BJ22" i="1"/>
  <c r="BY22" i="1"/>
  <c r="BJ23" i="1"/>
  <c r="BY23" i="1"/>
  <c r="BJ24" i="1"/>
  <c r="BY24" i="1"/>
  <c r="BJ25" i="1"/>
  <c r="BY25" i="1"/>
  <c r="BJ26" i="1"/>
  <c r="BJ27" i="1"/>
  <c r="BJ28" i="1"/>
  <c r="BJ29" i="1"/>
  <c r="BJ30" i="1"/>
  <c r="BY30" i="1"/>
  <c r="BJ31" i="1"/>
  <c r="BY31" i="1"/>
  <c r="BJ32" i="1"/>
  <c r="BY32" i="1"/>
  <c r="BJ33" i="1"/>
  <c r="BY33" i="1"/>
  <c r="BJ34" i="1"/>
  <c r="BY34" i="1"/>
  <c r="BJ35" i="1"/>
  <c r="BY35" i="1"/>
  <c r="BJ36" i="1"/>
  <c r="BY36" i="1"/>
  <c r="BJ37" i="1"/>
  <c r="BY37" i="1"/>
  <c r="BJ38" i="1"/>
  <c r="BJ39" i="1"/>
  <c r="BJ40" i="1"/>
  <c r="BJ41" i="1"/>
  <c r="BJ42" i="1"/>
  <c r="BY42" i="1"/>
  <c r="BJ43" i="1"/>
  <c r="BY43" i="1"/>
  <c r="BJ44" i="1"/>
  <c r="BY44" i="1"/>
  <c r="BJ45" i="1"/>
  <c r="BY45" i="1"/>
  <c r="BJ46" i="1"/>
  <c r="BY46" i="1"/>
  <c r="BJ47" i="1"/>
  <c r="BY47" i="1"/>
  <c r="BJ48" i="1"/>
  <c r="BY48" i="1"/>
  <c r="BJ49" i="1"/>
  <c r="BY49" i="1"/>
  <c r="BJ50" i="1"/>
  <c r="BJ51" i="1"/>
  <c r="BJ52" i="1"/>
  <c r="BJ53" i="1"/>
  <c r="BJ54" i="1"/>
  <c r="BY54" i="1"/>
  <c r="BJ55" i="1"/>
  <c r="BY55" i="1"/>
  <c r="BJ56" i="1"/>
  <c r="BY56" i="1"/>
  <c r="BJ57" i="1"/>
  <c r="BY57" i="1"/>
  <c r="BJ58" i="1"/>
  <c r="BY58" i="1"/>
  <c r="BJ59" i="1"/>
  <c r="BY59" i="1"/>
  <c r="BJ60" i="1"/>
  <c r="BY60" i="1"/>
  <c r="BJ61" i="1"/>
  <c r="BY61" i="1"/>
  <c r="BJ62" i="1"/>
  <c r="BJ63" i="1"/>
  <c r="BJ64" i="1"/>
  <c r="BJ65" i="1"/>
  <c r="BJ66" i="1"/>
  <c r="BY66" i="1"/>
  <c r="BJ67" i="1"/>
  <c r="BY67" i="1"/>
  <c r="BJ68" i="1"/>
  <c r="BY68" i="1"/>
  <c r="BJ69" i="1"/>
  <c r="BY69" i="1"/>
  <c r="BJ70" i="1"/>
  <c r="BY70" i="1"/>
  <c r="BJ71" i="1"/>
  <c r="BY71" i="1"/>
  <c r="BJ72" i="1"/>
  <c r="BY72" i="1"/>
  <c r="BJ73" i="1"/>
  <c r="BY73" i="1"/>
  <c r="BJ74" i="1"/>
  <c r="BJ75" i="1"/>
  <c r="BJ76" i="1"/>
  <c r="BJ77" i="1"/>
  <c r="BJ78" i="1"/>
  <c r="BY78" i="1"/>
  <c r="BJ79" i="1"/>
  <c r="BY79" i="1"/>
  <c r="BJ80" i="1"/>
  <c r="BY80" i="1"/>
  <c r="BJ81" i="1"/>
  <c r="BY81" i="1"/>
  <c r="BJ82" i="1"/>
  <c r="BY82" i="1"/>
  <c r="BJ83" i="1"/>
  <c r="BY83" i="1"/>
  <c r="BJ84" i="1"/>
  <c r="BY84" i="1"/>
  <c r="BJ85" i="1"/>
  <c r="BY85" i="1"/>
  <c r="BJ86" i="1"/>
  <c r="BJ87" i="1"/>
  <c r="BJ88" i="1"/>
  <c r="BJ89" i="1"/>
  <c r="BJ90" i="1"/>
  <c r="BY90" i="1"/>
  <c r="BJ91" i="1"/>
  <c r="BY91" i="1"/>
  <c r="BJ92" i="1"/>
  <c r="BY92" i="1"/>
  <c r="BJ93" i="1"/>
  <c r="BY93" i="1"/>
  <c r="BJ94" i="1"/>
  <c r="BY94" i="1"/>
  <c r="BJ95" i="1"/>
  <c r="BY95" i="1"/>
  <c r="BJ96" i="1"/>
  <c r="BY96" i="1"/>
  <c r="BJ97" i="1"/>
  <c r="BY97" i="1"/>
  <c r="BJ98" i="1"/>
  <c r="BY98" i="1"/>
  <c r="BJ99" i="1"/>
  <c r="BY99" i="1"/>
  <c r="BJ100" i="1"/>
  <c r="BY100" i="1"/>
  <c r="BJ101" i="1"/>
  <c r="BY101" i="1"/>
  <c r="BJ102" i="1"/>
  <c r="BY102" i="1"/>
  <c r="BJ103" i="1"/>
  <c r="BY103" i="1"/>
  <c r="BJ104" i="1"/>
  <c r="BY104" i="1"/>
  <c r="BJ105" i="1"/>
  <c r="BY105" i="1"/>
  <c r="BJ106" i="1"/>
  <c r="BY106" i="1"/>
  <c r="BJ107" i="1"/>
  <c r="BY107" i="1"/>
  <c r="BJ108" i="1"/>
  <c r="BY108" i="1"/>
  <c r="BJ109" i="1"/>
  <c r="BY109" i="1"/>
  <c r="BY110" i="1"/>
  <c r="BY111" i="1"/>
  <c r="BY112" i="1"/>
  <c r="BY113" i="1"/>
  <c r="BJ114" i="1"/>
  <c r="BY114" i="1"/>
  <c r="BJ115" i="1"/>
  <c r="BY115" i="1"/>
  <c r="BJ116" i="1"/>
  <c r="BY116" i="1"/>
  <c r="BJ117" i="1"/>
  <c r="BY117" i="1"/>
  <c r="BJ118" i="1"/>
  <c r="BY118" i="1"/>
  <c r="BJ119" i="1"/>
  <c r="BY119" i="1"/>
  <c r="BJ120" i="1"/>
  <c r="BY120" i="1"/>
  <c r="BJ121" i="1"/>
  <c r="BY121" i="1"/>
  <c r="AM16" i="18"/>
  <c r="B54" i="36"/>
  <c r="AB54" i="36"/>
  <c r="J54" i="36"/>
  <c r="L54" i="36"/>
  <c r="N54" i="36"/>
  <c r="P54" i="36"/>
  <c r="R54" i="36"/>
  <c r="T54" i="36"/>
  <c r="V54" i="36"/>
  <c r="X54" i="36"/>
  <c r="Z54" i="36"/>
  <c r="E12" i="20"/>
  <c r="J12" i="20" s="1"/>
  <c r="D26" i="20" s="1"/>
  <c r="B55" i="36"/>
  <c r="L55" i="36"/>
  <c r="J55" i="36"/>
  <c r="N55" i="36"/>
  <c r="P55" i="36"/>
  <c r="R55" i="36"/>
  <c r="T55" i="36"/>
  <c r="V55" i="36"/>
  <c r="X55" i="36"/>
  <c r="Z55" i="36"/>
  <c r="AB55" i="36"/>
  <c r="K6" i="18"/>
  <c r="T6" i="18"/>
  <c r="AD6" i="18"/>
  <c r="AM6" i="18"/>
  <c r="AX6" i="18"/>
  <c r="K7" i="18"/>
  <c r="T7" i="18"/>
  <c r="AD7" i="18"/>
  <c r="AM7" i="18"/>
  <c r="AX7" i="18"/>
  <c r="K8" i="18"/>
  <c r="T8" i="18"/>
  <c r="AD8" i="18"/>
  <c r="AM8" i="18"/>
  <c r="AX8" i="18"/>
  <c r="K9" i="18"/>
  <c r="T9" i="18"/>
  <c r="AD9" i="18"/>
  <c r="AM9" i="18"/>
  <c r="AX9" i="18"/>
  <c r="K10" i="18"/>
  <c r="T10" i="18"/>
  <c r="AD10" i="18"/>
  <c r="AM10" i="18"/>
  <c r="AX10" i="18"/>
  <c r="K11" i="18"/>
  <c r="T11" i="18"/>
  <c r="AD11" i="18"/>
  <c r="AM11" i="18"/>
  <c r="AX11" i="18"/>
  <c r="K12" i="18"/>
  <c r="T12" i="18"/>
  <c r="AD12" i="18"/>
  <c r="AM12" i="18"/>
  <c r="AX12" i="18"/>
  <c r="K13" i="18"/>
  <c r="T13" i="18"/>
  <c r="AD13" i="18"/>
  <c r="AM13" i="18"/>
  <c r="AX13" i="18"/>
  <c r="E13" i="20"/>
  <c r="I13" i="20"/>
  <c r="B56" i="36"/>
  <c r="J56" i="36"/>
  <c r="L56" i="36"/>
  <c r="N56" i="36"/>
  <c r="P56" i="36"/>
  <c r="R56" i="36"/>
  <c r="T56" i="36"/>
  <c r="V56" i="36"/>
  <c r="X56" i="36"/>
  <c r="Z56" i="36"/>
  <c r="AB56" i="36"/>
  <c r="K5" i="18"/>
  <c r="T5" i="18"/>
  <c r="AD5" i="18"/>
  <c r="AM5" i="18"/>
  <c r="AX5" i="18"/>
  <c r="BG5" i="18"/>
  <c r="BH5" i="18"/>
  <c r="AB5" i="19" s="1"/>
  <c r="BG6" i="18"/>
  <c r="BH6" i="18"/>
  <c r="AB6" i="19" s="1"/>
  <c r="BG7" i="18"/>
  <c r="BH7" i="18"/>
  <c r="AB7" i="19" s="1"/>
  <c r="BG8" i="18"/>
  <c r="BH8" i="18"/>
  <c r="AB8" i="19" s="1"/>
  <c r="BG9" i="18"/>
  <c r="BH9" i="18"/>
  <c r="AB9" i="19" s="1"/>
  <c r="BG10" i="18"/>
  <c r="BH10" i="18"/>
  <c r="AB10" i="19" s="1"/>
  <c r="BG11" i="18"/>
  <c r="BH11" i="18"/>
  <c r="AB11" i="19" s="1"/>
  <c r="BG12" i="18"/>
  <c r="BH12" i="18"/>
  <c r="AB12" i="19" s="1"/>
  <c r="BG13" i="18"/>
  <c r="BH13" i="18"/>
  <c r="AB13" i="19" s="1"/>
  <c r="BH14" i="18"/>
  <c r="AB14" i="19" s="1"/>
  <c r="AX16" i="18"/>
  <c r="BG16" i="18"/>
  <c r="I14" i="20"/>
  <c r="BP14" i="18"/>
  <c r="BQ14" i="18"/>
  <c r="AH14" i="19" s="1"/>
  <c r="BR14" i="18"/>
  <c r="BS14" i="18"/>
  <c r="BS15" i="18" s="1"/>
  <c r="BR16" i="18"/>
  <c r="BV14" i="18"/>
  <c r="BW14" i="18"/>
  <c r="BX14" i="18"/>
  <c r="BY14" i="18"/>
  <c r="BY15" i="18"/>
  <c r="BY16" i="18"/>
  <c r="BX16" i="18"/>
  <c r="BZ16" i="18"/>
  <c r="L11" i="21"/>
  <c r="C25" i="21" s="1"/>
  <c r="E25" i="21" s="1"/>
  <c r="CB14" i="18"/>
  <c r="CC14" i="18"/>
  <c r="CD14" i="18"/>
  <c r="CE14" i="18"/>
  <c r="CE15" i="18"/>
  <c r="CE16" i="18"/>
  <c r="CD16" i="18"/>
  <c r="CF16" i="18"/>
  <c r="L12" i="21"/>
  <c r="C26" i="21" s="1"/>
  <c r="E26" i="21" s="1"/>
  <c r="M55" i="36"/>
  <c r="H7" i="36"/>
  <c r="O55" i="36"/>
  <c r="I7" i="36"/>
  <c r="Q55" i="36"/>
  <c r="J7" i="36"/>
  <c r="S55" i="36"/>
  <c r="K7" i="36"/>
  <c r="U55" i="36"/>
  <c r="L7" i="36"/>
  <c r="W55" i="36"/>
  <c r="M7" i="36"/>
  <c r="Y55" i="36"/>
  <c r="N7" i="36"/>
  <c r="AA55" i="36"/>
  <c r="O7" i="36"/>
  <c r="I53" i="36"/>
  <c r="F5" i="36"/>
  <c r="K53" i="36"/>
  <c r="G5" i="36"/>
  <c r="M53" i="36"/>
  <c r="H5" i="36"/>
  <c r="O53" i="36"/>
  <c r="I5" i="36"/>
  <c r="Q53" i="36"/>
  <c r="J5" i="36"/>
  <c r="S53" i="36"/>
  <c r="K5" i="36"/>
  <c r="U53" i="36"/>
  <c r="L5" i="36"/>
  <c r="W53" i="36"/>
  <c r="M5" i="36"/>
  <c r="Y53" i="36"/>
  <c r="N5" i="36"/>
  <c r="AA53" i="36"/>
  <c r="O5" i="36"/>
  <c r="G38" i="4"/>
  <c r="G39" i="4"/>
  <c r="G40" i="4"/>
  <c r="G41" i="4"/>
  <c r="G42" i="4"/>
  <c r="G43" i="4"/>
  <c r="G44" i="4"/>
  <c r="G45" i="4"/>
  <c r="G46" i="4"/>
  <c r="G47" i="4"/>
  <c r="H38" i="4"/>
  <c r="H39" i="4"/>
  <c r="H40" i="4"/>
  <c r="H41" i="4"/>
  <c r="H42" i="4"/>
  <c r="H43" i="4"/>
  <c r="H44" i="4"/>
  <c r="H45" i="4"/>
  <c r="H46" i="4"/>
  <c r="H47" i="4"/>
  <c r="I38" i="4"/>
  <c r="I39" i="4"/>
  <c r="I40" i="4"/>
  <c r="I41" i="4"/>
  <c r="I42" i="4"/>
  <c r="I43" i="4"/>
  <c r="I44" i="4"/>
  <c r="I45" i="4"/>
  <c r="I46" i="4"/>
  <c r="I47" i="4"/>
  <c r="J38" i="4"/>
  <c r="J39" i="4"/>
  <c r="J40" i="4"/>
  <c r="J41" i="4"/>
  <c r="J42" i="4"/>
  <c r="J43" i="4"/>
  <c r="J44" i="4"/>
  <c r="J45" i="4"/>
  <c r="J46" i="4"/>
  <c r="J47" i="4"/>
  <c r="K38" i="4"/>
  <c r="K39" i="4"/>
  <c r="K40" i="4"/>
  <c r="K41" i="4"/>
  <c r="K42" i="4"/>
  <c r="K43" i="4"/>
  <c r="K44" i="4"/>
  <c r="K45" i="4"/>
  <c r="K46" i="4"/>
  <c r="K47" i="4"/>
  <c r="L38" i="4"/>
  <c r="L39" i="4"/>
  <c r="L40" i="4"/>
  <c r="L41" i="4"/>
  <c r="L42" i="4"/>
  <c r="L43" i="4"/>
  <c r="L44" i="4"/>
  <c r="L45" i="4"/>
  <c r="L46" i="4"/>
  <c r="L47" i="4"/>
  <c r="M38" i="4"/>
  <c r="M39" i="4"/>
  <c r="M40" i="4"/>
  <c r="M41" i="4"/>
  <c r="M42" i="4"/>
  <c r="M43" i="4"/>
  <c r="M44" i="4"/>
  <c r="M45" i="4"/>
  <c r="M46" i="4"/>
  <c r="M47" i="4"/>
  <c r="N38" i="4"/>
  <c r="N39" i="4"/>
  <c r="N40" i="4"/>
  <c r="N41" i="4"/>
  <c r="N42" i="4"/>
  <c r="N43" i="4"/>
  <c r="N44" i="4"/>
  <c r="N45" i="4"/>
  <c r="N46" i="4"/>
  <c r="N47" i="4"/>
  <c r="O38" i="4"/>
  <c r="O39" i="4"/>
  <c r="O40" i="4"/>
  <c r="O41" i="4"/>
  <c r="O42" i="4"/>
  <c r="O43" i="4"/>
  <c r="O44" i="4"/>
  <c r="O45" i="4"/>
  <c r="O46" i="4"/>
  <c r="O47" i="4"/>
  <c r="P38" i="4"/>
  <c r="P39" i="4"/>
  <c r="P40" i="4"/>
  <c r="P41" i="4"/>
  <c r="P42" i="4"/>
  <c r="P43" i="4"/>
  <c r="P44" i="4"/>
  <c r="P45" i="4"/>
  <c r="P46" i="4"/>
  <c r="P47" i="4"/>
  <c r="Q38" i="4"/>
  <c r="Q39" i="4"/>
  <c r="Q40" i="4"/>
  <c r="Q41" i="4"/>
  <c r="Q42" i="4"/>
  <c r="Q43" i="4"/>
  <c r="Q44" i="4"/>
  <c r="Q45" i="4"/>
  <c r="Q46" i="4"/>
  <c r="Q47" i="4"/>
  <c r="F38" i="4"/>
  <c r="F39" i="4"/>
  <c r="F40" i="4"/>
  <c r="F41" i="4"/>
  <c r="F42" i="4"/>
  <c r="F43" i="4"/>
  <c r="F44" i="4"/>
  <c r="F45" i="4"/>
  <c r="F46" i="4"/>
  <c r="F47" i="4"/>
  <c r="F37" i="4"/>
  <c r="F25" i="4"/>
  <c r="G25" i="4"/>
  <c r="H25" i="4"/>
  <c r="I25" i="4"/>
  <c r="J25" i="4"/>
  <c r="K25" i="4"/>
  <c r="L25" i="4"/>
  <c r="M25" i="4"/>
  <c r="N25" i="4"/>
  <c r="O25" i="4"/>
  <c r="P25" i="4"/>
  <c r="Q25" i="4"/>
  <c r="F5" i="4"/>
  <c r="F6" i="4"/>
  <c r="F7" i="4"/>
  <c r="F8" i="4"/>
  <c r="F9" i="4"/>
  <c r="F10" i="4"/>
  <c r="F11" i="4"/>
  <c r="F12" i="4"/>
  <c r="F13" i="4"/>
  <c r="F14" i="4"/>
  <c r="G5" i="4"/>
  <c r="G6" i="4"/>
  <c r="G7" i="4"/>
  <c r="G8" i="4"/>
  <c r="G9" i="4"/>
  <c r="G10" i="4"/>
  <c r="G11" i="4"/>
  <c r="G12" i="4"/>
  <c r="G13" i="4"/>
  <c r="G14" i="4"/>
  <c r="H5" i="4"/>
  <c r="H6" i="4"/>
  <c r="H7" i="4"/>
  <c r="H8" i="4"/>
  <c r="H9" i="4"/>
  <c r="H10" i="4"/>
  <c r="H11" i="4"/>
  <c r="H12" i="4"/>
  <c r="H13" i="4"/>
  <c r="H14" i="4"/>
  <c r="I5" i="4"/>
  <c r="I6" i="4"/>
  <c r="I7" i="4"/>
  <c r="I8" i="4"/>
  <c r="I9" i="4"/>
  <c r="I10" i="4"/>
  <c r="I11" i="4"/>
  <c r="I12" i="4"/>
  <c r="I13" i="4"/>
  <c r="I14" i="4"/>
  <c r="J5" i="4"/>
  <c r="J6" i="4"/>
  <c r="J7" i="4"/>
  <c r="J8" i="4"/>
  <c r="J9" i="4"/>
  <c r="J10" i="4"/>
  <c r="J11" i="4"/>
  <c r="J12" i="4"/>
  <c r="J13" i="4"/>
  <c r="J14" i="4"/>
  <c r="K5" i="4"/>
  <c r="K6" i="4"/>
  <c r="K7" i="4"/>
  <c r="K8" i="4"/>
  <c r="K9" i="4"/>
  <c r="K10" i="4"/>
  <c r="K11" i="4"/>
  <c r="K12" i="4"/>
  <c r="K13" i="4"/>
  <c r="K14" i="4"/>
  <c r="L5" i="4"/>
  <c r="L6" i="4"/>
  <c r="L7" i="4"/>
  <c r="L8" i="4"/>
  <c r="L9" i="4"/>
  <c r="L10" i="4"/>
  <c r="L11" i="4"/>
  <c r="L12" i="4"/>
  <c r="L13" i="4"/>
  <c r="L14" i="4"/>
  <c r="M5" i="4"/>
  <c r="M6" i="4"/>
  <c r="M7" i="4"/>
  <c r="M8" i="4"/>
  <c r="M9" i="4"/>
  <c r="M10" i="4"/>
  <c r="M11" i="4"/>
  <c r="M12" i="4"/>
  <c r="M13" i="4"/>
  <c r="M14" i="4"/>
  <c r="N5" i="4"/>
  <c r="N6" i="4"/>
  <c r="N7" i="4"/>
  <c r="N8" i="4"/>
  <c r="N9" i="4"/>
  <c r="N10" i="4"/>
  <c r="N11" i="4"/>
  <c r="N12" i="4"/>
  <c r="N13" i="4"/>
  <c r="N14" i="4"/>
  <c r="O5" i="4"/>
  <c r="O6" i="4"/>
  <c r="O7" i="4"/>
  <c r="O8" i="4"/>
  <c r="O9" i="4"/>
  <c r="O10" i="4"/>
  <c r="O11" i="4"/>
  <c r="O12" i="4"/>
  <c r="O13" i="4"/>
  <c r="O14" i="4"/>
  <c r="P5" i="4"/>
  <c r="P6" i="4"/>
  <c r="P7" i="4"/>
  <c r="P8" i="4"/>
  <c r="P9" i="4"/>
  <c r="P10" i="4"/>
  <c r="P11" i="4"/>
  <c r="P12" i="4"/>
  <c r="P13" i="4"/>
  <c r="P14" i="4"/>
  <c r="Q5" i="4"/>
  <c r="Q6" i="4"/>
  <c r="Q7" i="4"/>
  <c r="Q8" i="4"/>
  <c r="Q9" i="4"/>
  <c r="Q10" i="4"/>
  <c r="Q11" i="4"/>
  <c r="Q12" i="4"/>
  <c r="Q13" i="4"/>
  <c r="Q14" i="4"/>
  <c r="I54" i="36"/>
  <c r="K54" i="36"/>
  <c r="M54" i="36"/>
  <c r="O54" i="36"/>
  <c r="Q54" i="36"/>
  <c r="S54" i="36"/>
  <c r="U54" i="36"/>
  <c r="W54" i="36"/>
  <c r="Y54" i="36"/>
  <c r="AA54" i="36"/>
  <c r="K15" i="18"/>
  <c r="T15" i="18"/>
  <c r="AD15" i="18"/>
  <c r="AM15" i="18"/>
  <c r="AI15" i="18"/>
  <c r="AK15" i="18"/>
  <c r="AD15" i="40"/>
  <c r="I52" i="36"/>
  <c r="K52" i="36"/>
  <c r="M52" i="36"/>
  <c r="O52" i="36"/>
  <c r="Q52" i="36"/>
  <c r="S52" i="36"/>
  <c r="U52" i="36"/>
  <c r="W52" i="36"/>
  <c r="Y52" i="36"/>
  <c r="AA52" i="36"/>
  <c r="M56" i="36"/>
  <c r="H8" i="36"/>
  <c r="O56" i="36"/>
  <c r="I8" i="36"/>
  <c r="Q56" i="36"/>
  <c r="J8" i="36"/>
  <c r="S56" i="36"/>
  <c r="K8" i="36"/>
  <c r="U56" i="36"/>
  <c r="L8" i="36"/>
  <c r="W56" i="36"/>
  <c r="M8" i="36"/>
  <c r="Y56" i="36"/>
  <c r="N8" i="36"/>
  <c r="AA56" i="36"/>
  <c r="O8" i="36"/>
  <c r="AX15" i="18"/>
  <c r="BG15" i="18"/>
  <c r="J14" i="40"/>
  <c r="O14" i="40"/>
  <c r="U14" i="40"/>
  <c r="AB14" i="40"/>
  <c r="AI14" i="40"/>
  <c r="AP14" i="40"/>
  <c r="AW14" i="40"/>
  <c r="BD14" i="40"/>
  <c r="BK14" i="40"/>
  <c r="BR14" i="40"/>
  <c r="C14" i="18"/>
  <c r="K14" i="40"/>
  <c r="L14" i="18"/>
  <c r="P14" i="40"/>
  <c r="V14" i="40"/>
  <c r="AE14" i="18"/>
  <c r="AC14" i="40"/>
  <c r="AJ14" i="40"/>
  <c r="AX14" i="40"/>
  <c r="BL14" i="40"/>
  <c r="BS14" i="40"/>
  <c r="AD14" i="40"/>
  <c r="I37" i="40" s="1"/>
  <c r="I66" i="40" s="1"/>
  <c r="BZ14" i="18"/>
  <c r="BM14" i="40"/>
  <c r="CF14" i="18"/>
  <c r="BT14" i="40"/>
  <c r="AG6" i="19"/>
  <c r="AG7" i="19"/>
  <c r="AG8" i="19" s="1"/>
  <c r="AF14" i="17"/>
  <c r="AN14" i="17"/>
  <c r="AM14" i="17"/>
  <c r="AN15" i="17"/>
  <c r="AM15" i="17"/>
  <c r="AI15" i="17"/>
  <c r="AI14" i="17"/>
  <c r="G3" i="14"/>
  <c r="O3" i="14"/>
  <c r="G4" i="14"/>
  <c r="O4" i="14"/>
  <c r="G5" i="14"/>
  <c r="O5" i="14"/>
  <c r="G6" i="14"/>
  <c r="O6" i="14"/>
  <c r="G7" i="14"/>
  <c r="O7" i="14"/>
  <c r="G8" i="14"/>
  <c r="O8" i="14"/>
  <c r="G9" i="14"/>
  <c r="O9" i="14"/>
  <c r="G10" i="14"/>
  <c r="O10" i="14"/>
  <c r="G11" i="14"/>
  <c r="O11" i="14"/>
  <c r="G12" i="14"/>
  <c r="O12" i="14"/>
  <c r="G13" i="14"/>
  <c r="O13" i="14"/>
  <c r="G14" i="14"/>
  <c r="O14" i="14"/>
  <c r="G15" i="14"/>
  <c r="O15" i="14"/>
  <c r="G16" i="14"/>
  <c r="O16" i="14"/>
  <c r="G17" i="14"/>
  <c r="O17" i="14"/>
  <c r="G18" i="14"/>
  <c r="O18" i="14"/>
  <c r="G19" i="14"/>
  <c r="O19" i="14"/>
  <c r="G20" i="14"/>
  <c r="O20" i="14"/>
  <c r="G21" i="14"/>
  <c r="O21" i="14"/>
  <c r="G22" i="14"/>
  <c r="O22" i="14"/>
  <c r="G23" i="14"/>
  <c r="O23" i="14"/>
  <c r="G24" i="14"/>
  <c r="O24" i="14"/>
  <c r="G25" i="14"/>
  <c r="O25" i="14"/>
  <c r="G26" i="14"/>
  <c r="O26" i="14"/>
  <c r="G27" i="14"/>
  <c r="O27" i="14"/>
  <c r="G28" i="14"/>
  <c r="O28" i="14"/>
  <c r="G29" i="14"/>
  <c r="O29" i="14"/>
  <c r="G30" i="14"/>
  <c r="O30" i="14"/>
  <c r="G31" i="14"/>
  <c r="O31" i="14"/>
  <c r="G32" i="14"/>
  <c r="O32" i="14"/>
  <c r="G33" i="14"/>
  <c r="O33" i="14"/>
  <c r="G34" i="14"/>
  <c r="O34" i="14"/>
  <c r="G35" i="14"/>
  <c r="O35" i="14"/>
  <c r="G36" i="14"/>
  <c r="O36" i="14"/>
  <c r="G37" i="14"/>
  <c r="O37" i="14"/>
  <c r="G38" i="14"/>
  <c r="O38" i="14"/>
  <c r="G39" i="14"/>
  <c r="O39" i="14"/>
  <c r="G40" i="14"/>
  <c r="O40" i="14"/>
  <c r="G41" i="14"/>
  <c r="O41" i="14"/>
  <c r="G42" i="14"/>
  <c r="O42" i="14"/>
  <c r="G43" i="14"/>
  <c r="O43" i="14"/>
  <c r="G44" i="14"/>
  <c r="O44" i="14"/>
  <c r="G45" i="14"/>
  <c r="O45" i="14"/>
  <c r="G46" i="14"/>
  <c r="O46" i="14"/>
  <c r="G47" i="14"/>
  <c r="O47" i="14"/>
  <c r="G48" i="14"/>
  <c r="O48" i="14"/>
  <c r="G49" i="14"/>
  <c r="O49" i="14"/>
  <c r="G50" i="14"/>
  <c r="O50" i="14"/>
  <c r="G51" i="14"/>
  <c r="O51" i="14"/>
  <c r="G52" i="14"/>
  <c r="O52" i="14"/>
  <c r="G53" i="14"/>
  <c r="O53" i="14"/>
  <c r="G54" i="14"/>
  <c r="O54" i="14"/>
  <c r="G55" i="14"/>
  <c r="O55" i="14"/>
  <c r="G56" i="14"/>
  <c r="O56" i="14"/>
  <c r="G57" i="14"/>
  <c r="O57" i="14"/>
  <c r="G58" i="14"/>
  <c r="O58" i="14"/>
  <c r="G59" i="14"/>
  <c r="O59" i="14"/>
  <c r="G60" i="14"/>
  <c r="O60" i="14"/>
  <c r="G61" i="14"/>
  <c r="O61" i="14"/>
  <c r="G62" i="14"/>
  <c r="O62" i="14"/>
  <c r="G63" i="14"/>
  <c r="O63" i="14"/>
  <c r="G64" i="14"/>
  <c r="O64" i="14"/>
  <c r="G65" i="14"/>
  <c r="O65" i="14"/>
  <c r="G66" i="14"/>
  <c r="O66" i="14"/>
  <c r="G67" i="14"/>
  <c r="O67" i="14"/>
  <c r="G68" i="14"/>
  <c r="O68" i="14"/>
  <c r="G69" i="14"/>
  <c r="O69" i="14"/>
  <c r="G70" i="14"/>
  <c r="O70" i="14"/>
  <c r="G71" i="14"/>
  <c r="O71" i="14"/>
  <c r="G72" i="14"/>
  <c r="O72" i="14"/>
  <c r="G73" i="14"/>
  <c r="O73" i="14"/>
  <c r="G74" i="14"/>
  <c r="O74" i="14"/>
  <c r="G75" i="14"/>
  <c r="O75" i="14"/>
  <c r="G76" i="14"/>
  <c r="O76" i="14"/>
  <c r="G77" i="14"/>
  <c r="O77" i="14"/>
  <c r="G78" i="14"/>
  <c r="O78" i="14"/>
  <c r="G79" i="14"/>
  <c r="O79" i="14"/>
  <c r="G80" i="14"/>
  <c r="O80" i="14"/>
  <c r="G81" i="14"/>
  <c r="O81" i="14"/>
  <c r="G82" i="14"/>
  <c r="O82" i="14"/>
  <c r="G83" i="14"/>
  <c r="O83" i="14"/>
  <c r="G84" i="14"/>
  <c r="O84" i="14"/>
  <c r="G85" i="14"/>
  <c r="O85" i="14"/>
  <c r="G86" i="14"/>
  <c r="O86" i="14"/>
  <c r="G87" i="14"/>
  <c r="O87" i="14"/>
  <c r="G88" i="14"/>
  <c r="O88" i="14"/>
  <c r="G89" i="14"/>
  <c r="O89" i="14"/>
  <c r="G90" i="14"/>
  <c r="O90" i="14"/>
  <c r="G91" i="14"/>
  <c r="O91" i="14"/>
  <c r="G92" i="14"/>
  <c r="O92" i="14"/>
  <c r="G93" i="14"/>
  <c r="O93" i="14"/>
  <c r="G94" i="14"/>
  <c r="O94" i="14"/>
  <c r="G95" i="14"/>
  <c r="O95" i="14"/>
  <c r="G96" i="14"/>
  <c r="O96" i="14"/>
  <c r="G97" i="14"/>
  <c r="O97" i="14"/>
  <c r="G98" i="14"/>
  <c r="O98" i="14"/>
  <c r="G99" i="14"/>
  <c r="O99" i="14"/>
  <c r="G100" i="14"/>
  <c r="O100" i="14"/>
  <c r="G101" i="14"/>
  <c r="O101" i="14"/>
  <c r="G102" i="14"/>
  <c r="O102" i="14"/>
  <c r="G103" i="14"/>
  <c r="O103" i="14"/>
  <c r="G104" i="14"/>
  <c r="O104" i="14"/>
  <c r="G105" i="14"/>
  <c r="O105" i="14"/>
  <c r="G106" i="14"/>
  <c r="O106" i="14"/>
  <c r="G107" i="14"/>
  <c r="O107" i="14"/>
  <c r="G108" i="14"/>
  <c r="O108" i="14"/>
  <c r="G109" i="14"/>
  <c r="O109" i="14"/>
  <c r="G110" i="14"/>
  <c r="O110" i="14"/>
  <c r="G111" i="14"/>
  <c r="O111" i="14"/>
  <c r="G112" i="14"/>
  <c r="O112" i="14"/>
  <c r="G113" i="14"/>
  <c r="O113" i="14"/>
  <c r="G114" i="14"/>
  <c r="O114" i="14"/>
  <c r="G115" i="14"/>
  <c r="O115" i="14"/>
  <c r="G116" i="14"/>
  <c r="O116" i="14"/>
  <c r="G117" i="14"/>
  <c r="O117" i="14"/>
  <c r="G118" i="14"/>
  <c r="O118" i="14"/>
  <c r="G119" i="14"/>
  <c r="O119" i="14"/>
  <c r="G120" i="14"/>
  <c r="O120" i="14"/>
  <c r="G121" i="14"/>
  <c r="O121" i="14"/>
  <c r="G2" i="14"/>
  <c r="O2" i="14"/>
  <c r="L10" i="5"/>
  <c r="L9" i="5"/>
  <c r="L5" i="5"/>
  <c r="L4" i="5"/>
  <c r="C135" i="5"/>
  <c r="C136" i="5"/>
  <c r="C137" i="5"/>
  <c r="C138" i="5"/>
  <c r="C139" i="5"/>
  <c r="C140" i="5"/>
  <c r="C141" i="5"/>
  <c r="C142" i="5"/>
  <c r="C143" i="5"/>
  <c r="C144" i="5"/>
  <c r="C145" i="5"/>
  <c r="B135" i="5"/>
  <c r="B136" i="5"/>
  <c r="B137" i="5"/>
  <c r="B138" i="5"/>
  <c r="B139" i="5"/>
  <c r="B140" i="5"/>
  <c r="B141" i="5"/>
  <c r="B142" i="5"/>
  <c r="B143" i="5"/>
  <c r="B144" i="5"/>
  <c r="B145" i="5"/>
  <c r="AE14" i="17"/>
  <c r="AF15" i="17"/>
  <c r="AE15" i="17"/>
  <c r="G2" i="12"/>
  <c r="Q2" i="12"/>
  <c r="BH2" i="1"/>
  <c r="E2" i="12"/>
  <c r="O2" i="12"/>
  <c r="BI2" i="1"/>
  <c r="F2" i="12"/>
  <c r="P2" i="12" s="1"/>
  <c r="H2" i="12"/>
  <c r="R2" i="12"/>
  <c r="I2" i="12"/>
  <c r="S2" i="12" s="1"/>
  <c r="J2" i="12"/>
  <c r="T2" i="12"/>
  <c r="K2" i="12"/>
  <c r="U2" i="12" s="1"/>
  <c r="L2" i="12"/>
  <c r="V2" i="12"/>
  <c r="G3" i="12"/>
  <c r="Q3" i="12"/>
  <c r="BH3" i="1"/>
  <c r="E3" i="12"/>
  <c r="O3" i="12" s="1"/>
  <c r="BI3" i="1"/>
  <c r="F3" i="12"/>
  <c r="P3" i="12"/>
  <c r="H3" i="12"/>
  <c r="R3" i="12" s="1"/>
  <c r="I3" i="12"/>
  <c r="S3" i="12"/>
  <c r="J3" i="12"/>
  <c r="T3" i="12" s="1"/>
  <c r="K3" i="12"/>
  <c r="U3" i="12"/>
  <c r="L3" i="12"/>
  <c r="V3" i="12" s="1"/>
  <c r="G4" i="12"/>
  <c r="Q4" i="12" s="1"/>
  <c r="BH4" i="1"/>
  <c r="E4" i="12"/>
  <c r="O4" i="12"/>
  <c r="BI4" i="1"/>
  <c r="F4" i="12"/>
  <c r="P4" i="12"/>
  <c r="H4" i="12"/>
  <c r="R4" i="12" s="1"/>
  <c r="I4" i="12"/>
  <c r="S4" i="12"/>
  <c r="J4" i="12"/>
  <c r="T4" i="12" s="1"/>
  <c r="K4" i="12"/>
  <c r="U4" i="12"/>
  <c r="L4" i="12"/>
  <c r="V4" i="12" s="1"/>
  <c r="G5" i="12"/>
  <c r="Q5" i="12"/>
  <c r="BH5" i="1"/>
  <c r="E5" i="12"/>
  <c r="O5" i="12"/>
  <c r="BI5" i="1"/>
  <c r="F5" i="12"/>
  <c r="P5" i="12"/>
  <c r="H5" i="12"/>
  <c r="R5" i="12" s="1"/>
  <c r="I5" i="12"/>
  <c r="S5" i="12"/>
  <c r="J5" i="12"/>
  <c r="T5" i="12" s="1"/>
  <c r="K5" i="12"/>
  <c r="U5" i="12"/>
  <c r="L5" i="12"/>
  <c r="V5" i="12" s="1"/>
  <c r="G6" i="12"/>
  <c r="Q6" i="12"/>
  <c r="BH6" i="1"/>
  <c r="E6" i="12"/>
  <c r="O6" i="12"/>
  <c r="BI6" i="1"/>
  <c r="F6" i="12"/>
  <c r="P6" i="12" s="1"/>
  <c r="H6" i="12"/>
  <c r="R6" i="12"/>
  <c r="I6" i="12"/>
  <c r="S6" i="12" s="1"/>
  <c r="J6" i="12"/>
  <c r="T6" i="12"/>
  <c r="K6" i="12"/>
  <c r="U6" i="12" s="1"/>
  <c r="L6" i="12"/>
  <c r="V6" i="12"/>
  <c r="G7" i="12"/>
  <c r="Q7" i="12"/>
  <c r="BH7" i="1"/>
  <c r="E7" i="12"/>
  <c r="O7" i="12" s="1"/>
  <c r="BI7" i="1"/>
  <c r="F7" i="12"/>
  <c r="P7" i="12"/>
  <c r="H7" i="12"/>
  <c r="R7" i="12"/>
  <c r="I7" i="12"/>
  <c r="S7" i="12"/>
  <c r="J7" i="12"/>
  <c r="T7" i="12"/>
  <c r="K7" i="12"/>
  <c r="U7" i="12"/>
  <c r="L7" i="12"/>
  <c r="V7" i="12"/>
  <c r="G8" i="12"/>
  <c r="Q8" i="12" s="1"/>
  <c r="BH8" i="1"/>
  <c r="E8" i="12"/>
  <c r="O8" i="12"/>
  <c r="BI8" i="1"/>
  <c r="F8" i="12"/>
  <c r="P8" i="12"/>
  <c r="H8" i="12"/>
  <c r="R8" i="12" s="1"/>
  <c r="I8" i="12"/>
  <c r="S8" i="12"/>
  <c r="J8" i="12"/>
  <c r="T8" i="12" s="1"/>
  <c r="K8" i="12"/>
  <c r="U8" i="12"/>
  <c r="L8" i="12"/>
  <c r="V8" i="12" s="1"/>
  <c r="G9" i="12"/>
  <c r="Q9" i="12" s="1"/>
  <c r="BH9" i="1"/>
  <c r="E9" i="12"/>
  <c r="O9" i="12"/>
  <c r="BI9" i="1"/>
  <c r="F9" i="12"/>
  <c r="P9" i="12"/>
  <c r="H9" i="12"/>
  <c r="R9" i="12" s="1"/>
  <c r="I9" i="12"/>
  <c r="S9" i="12"/>
  <c r="J9" i="12"/>
  <c r="T9" i="12" s="1"/>
  <c r="K9" i="12"/>
  <c r="U9" i="12"/>
  <c r="L9" i="12"/>
  <c r="V9" i="12" s="1"/>
  <c r="G10" i="12"/>
  <c r="Q10" i="12"/>
  <c r="BH10" i="1"/>
  <c r="E10" i="12"/>
  <c r="O10" i="12"/>
  <c r="BI10" i="1"/>
  <c r="F10" i="12"/>
  <c r="P10" i="12" s="1"/>
  <c r="H10" i="12"/>
  <c r="R10" i="12"/>
  <c r="I10" i="12"/>
  <c r="S10" i="12" s="1"/>
  <c r="J10" i="12"/>
  <c r="T10" i="12"/>
  <c r="K10" i="12"/>
  <c r="U10" i="12" s="1"/>
  <c r="L10" i="12"/>
  <c r="V10" i="12"/>
  <c r="G11" i="12"/>
  <c r="Q11" i="12"/>
  <c r="BH11" i="1"/>
  <c r="E11" i="12"/>
  <c r="O11" i="12" s="1"/>
  <c r="BI11" i="1"/>
  <c r="F11" i="12"/>
  <c r="P11" i="12" s="1"/>
  <c r="H11" i="12"/>
  <c r="R11" i="12"/>
  <c r="I11" i="12"/>
  <c r="S11" i="12" s="1"/>
  <c r="J11" i="12"/>
  <c r="T11" i="12"/>
  <c r="K11" i="12"/>
  <c r="U11" i="12" s="1"/>
  <c r="L11" i="12"/>
  <c r="V11" i="12"/>
  <c r="G12" i="12"/>
  <c r="Q12" i="12" s="1"/>
  <c r="BH12" i="1"/>
  <c r="E12" i="12"/>
  <c r="O12" i="12" s="1"/>
  <c r="BI12" i="1"/>
  <c r="F12" i="12"/>
  <c r="P12" i="12"/>
  <c r="H12" i="12"/>
  <c r="R12" i="12" s="1"/>
  <c r="I12" i="12"/>
  <c r="S12" i="12"/>
  <c r="J12" i="12"/>
  <c r="T12" i="12" s="1"/>
  <c r="K12" i="12"/>
  <c r="U12" i="12"/>
  <c r="L12" i="12"/>
  <c r="V12" i="12" s="1"/>
  <c r="G13" i="12"/>
  <c r="Q13" i="12" s="1"/>
  <c r="BH13" i="1"/>
  <c r="E13" i="12"/>
  <c r="O13" i="12"/>
  <c r="BI13" i="1"/>
  <c r="F13" i="12"/>
  <c r="P13" i="12"/>
  <c r="H13" i="12"/>
  <c r="R13" i="12" s="1"/>
  <c r="I13" i="12"/>
  <c r="S13" i="12"/>
  <c r="J13" i="12"/>
  <c r="T13" i="12" s="1"/>
  <c r="K13" i="12"/>
  <c r="U13" i="12"/>
  <c r="L13" i="12"/>
  <c r="V13" i="12" s="1"/>
  <c r="G14" i="12"/>
  <c r="Q14" i="12"/>
  <c r="BH14" i="1"/>
  <c r="E14" i="12"/>
  <c r="O14" i="12"/>
  <c r="BI14" i="1"/>
  <c r="F14" i="12"/>
  <c r="P14" i="12" s="1"/>
  <c r="H14" i="12"/>
  <c r="R14" i="12"/>
  <c r="I14" i="12"/>
  <c r="S14" i="12" s="1"/>
  <c r="J14" i="12"/>
  <c r="T14" i="12"/>
  <c r="K14" i="12"/>
  <c r="U14" i="12" s="1"/>
  <c r="L14" i="12"/>
  <c r="V14" i="12"/>
  <c r="G15" i="12"/>
  <c r="Q15" i="12"/>
  <c r="BH15" i="1"/>
  <c r="E15" i="12"/>
  <c r="O15" i="12" s="1"/>
  <c r="BI15" i="1"/>
  <c r="F15" i="12"/>
  <c r="P15" i="12" s="1"/>
  <c r="H15" i="12"/>
  <c r="R15" i="12"/>
  <c r="I15" i="12"/>
  <c r="S15" i="12" s="1"/>
  <c r="J15" i="12"/>
  <c r="T15" i="12"/>
  <c r="K15" i="12"/>
  <c r="U15" i="12" s="1"/>
  <c r="L15" i="12"/>
  <c r="V15" i="12"/>
  <c r="G16" i="12"/>
  <c r="Q16" i="12" s="1"/>
  <c r="BH16" i="1"/>
  <c r="E16" i="12"/>
  <c r="O16" i="12" s="1"/>
  <c r="BI16" i="1"/>
  <c r="F16" i="12"/>
  <c r="P16" i="12"/>
  <c r="H16" i="12"/>
  <c r="R16" i="12" s="1"/>
  <c r="I16" i="12"/>
  <c r="S16" i="12"/>
  <c r="J16" i="12"/>
  <c r="T16" i="12" s="1"/>
  <c r="K16" i="12"/>
  <c r="U16" i="12"/>
  <c r="L16" i="12"/>
  <c r="V16" i="12" s="1"/>
  <c r="G17" i="12"/>
  <c r="Q17" i="12" s="1"/>
  <c r="BH17" i="1"/>
  <c r="E17" i="12"/>
  <c r="O17" i="12"/>
  <c r="BI17" i="1"/>
  <c r="F17" i="12"/>
  <c r="P17" i="12"/>
  <c r="H17" i="12"/>
  <c r="R17" i="12" s="1"/>
  <c r="I17" i="12"/>
  <c r="S17" i="12"/>
  <c r="J17" i="12"/>
  <c r="T17" i="12" s="1"/>
  <c r="K17" i="12"/>
  <c r="U17" i="12"/>
  <c r="L17" i="12"/>
  <c r="V17" i="12" s="1"/>
  <c r="G18" i="12"/>
  <c r="Q18" i="12"/>
  <c r="BH18" i="1"/>
  <c r="E18" i="12"/>
  <c r="O18" i="12"/>
  <c r="BI18" i="1"/>
  <c r="F18" i="12"/>
  <c r="P18" i="12" s="1"/>
  <c r="H18" i="12"/>
  <c r="R18" i="12"/>
  <c r="I18" i="12"/>
  <c r="S18" i="12" s="1"/>
  <c r="J18" i="12"/>
  <c r="T18" i="12"/>
  <c r="K18" i="12"/>
  <c r="U18" i="12" s="1"/>
  <c r="L18" i="12"/>
  <c r="V18" i="12"/>
  <c r="G19" i="12"/>
  <c r="Q19" i="12"/>
  <c r="BH19" i="1"/>
  <c r="E19" i="12"/>
  <c r="O19" i="12" s="1"/>
  <c r="BI19" i="1"/>
  <c r="F19" i="12"/>
  <c r="P19" i="12"/>
  <c r="H19" i="12"/>
  <c r="R19" i="12"/>
  <c r="I19" i="12"/>
  <c r="S19" i="12"/>
  <c r="J19" i="12"/>
  <c r="T19" i="12"/>
  <c r="K19" i="12"/>
  <c r="U19" i="12"/>
  <c r="L19" i="12"/>
  <c r="V19" i="12"/>
  <c r="G20" i="12"/>
  <c r="Q20" i="12" s="1"/>
  <c r="BH20" i="1"/>
  <c r="E20" i="12"/>
  <c r="O20" i="12"/>
  <c r="BI20" i="1"/>
  <c r="F20" i="12"/>
  <c r="P20" i="12"/>
  <c r="H20" i="12"/>
  <c r="R20" i="12" s="1"/>
  <c r="I20" i="12"/>
  <c r="S20" i="12"/>
  <c r="J20" i="12"/>
  <c r="T20" i="12" s="1"/>
  <c r="K20" i="12"/>
  <c r="U20" i="12"/>
  <c r="L20" i="12"/>
  <c r="V20" i="12" s="1"/>
  <c r="G21" i="12"/>
  <c r="Q21" i="12"/>
  <c r="BH21" i="1"/>
  <c r="E21" i="12"/>
  <c r="O21" i="12"/>
  <c r="BI21" i="1"/>
  <c r="F21" i="12"/>
  <c r="P21" i="12"/>
  <c r="H21" i="12"/>
  <c r="R21" i="12" s="1"/>
  <c r="I21" i="12"/>
  <c r="S21" i="12"/>
  <c r="J21" i="12"/>
  <c r="T21" i="12" s="1"/>
  <c r="K21" i="12"/>
  <c r="U21" i="12"/>
  <c r="L21" i="12"/>
  <c r="V21" i="12" s="1"/>
  <c r="G22" i="12"/>
  <c r="Q22" i="12"/>
  <c r="BH22" i="1"/>
  <c r="E22" i="12"/>
  <c r="O22" i="12"/>
  <c r="BI22" i="1"/>
  <c r="F22" i="12"/>
  <c r="P22" i="12" s="1"/>
  <c r="H22" i="12"/>
  <c r="R22" i="12" s="1"/>
  <c r="I22" i="12"/>
  <c r="S22" i="12" s="1"/>
  <c r="J22" i="12"/>
  <c r="T22" i="12" s="1"/>
  <c r="K22" i="12"/>
  <c r="U22" i="12" s="1"/>
  <c r="L22" i="12"/>
  <c r="V22" i="12"/>
  <c r="G23" i="12"/>
  <c r="Q23" i="12"/>
  <c r="BH23" i="1"/>
  <c r="E23" i="12"/>
  <c r="O23" i="12" s="1"/>
  <c r="BI23" i="1"/>
  <c r="F23" i="12"/>
  <c r="P23" i="12"/>
  <c r="H23" i="12"/>
  <c r="R23" i="12" s="1"/>
  <c r="I23" i="12"/>
  <c r="S23" i="12"/>
  <c r="J23" i="12"/>
  <c r="T23" i="12" s="1"/>
  <c r="K23" i="12"/>
  <c r="U23" i="12"/>
  <c r="L23" i="12"/>
  <c r="V23" i="12" s="1"/>
  <c r="G24" i="12"/>
  <c r="Q24" i="12" s="1"/>
  <c r="BH24" i="1"/>
  <c r="E24" i="12"/>
  <c r="O24" i="12"/>
  <c r="BI24" i="1"/>
  <c r="F24" i="12"/>
  <c r="P24" i="12"/>
  <c r="H24" i="12"/>
  <c r="R24" i="12" s="1"/>
  <c r="I24" i="12"/>
  <c r="S24" i="12"/>
  <c r="J24" i="12"/>
  <c r="T24" i="12" s="1"/>
  <c r="K24" i="12"/>
  <c r="U24" i="12"/>
  <c r="L24" i="12"/>
  <c r="V24" i="12" s="1"/>
  <c r="G25" i="12"/>
  <c r="Q25" i="12"/>
  <c r="BH25" i="1"/>
  <c r="E25" i="12"/>
  <c r="O25" i="12"/>
  <c r="BI25" i="1"/>
  <c r="F25" i="12"/>
  <c r="P25" i="12" s="1"/>
  <c r="H25" i="12"/>
  <c r="R25" i="12"/>
  <c r="I25" i="12"/>
  <c r="S25" i="12" s="1"/>
  <c r="J25" i="12"/>
  <c r="T25" i="12"/>
  <c r="K25" i="12"/>
  <c r="U25" i="12" s="1"/>
  <c r="L25" i="12"/>
  <c r="V25" i="12"/>
  <c r="G26" i="12"/>
  <c r="Q26" i="12"/>
  <c r="BH26" i="1"/>
  <c r="E26" i="12"/>
  <c r="O26" i="12" s="1"/>
  <c r="BI26" i="1"/>
  <c r="F26" i="12"/>
  <c r="P26" i="12" s="1"/>
  <c r="H26" i="12"/>
  <c r="R26" i="12"/>
  <c r="I26" i="12"/>
  <c r="S26" i="12" s="1"/>
  <c r="J26" i="12"/>
  <c r="T26" i="12"/>
  <c r="K26" i="12"/>
  <c r="U26" i="12" s="1"/>
  <c r="L26" i="12"/>
  <c r="V26" i="12"/>
  <c r="G27" i="12"/>
  <c r="Q27" i="12" s="1"/>
  <c r="BH27" i="1"/>
  <c r="E27" i="12"/>
  <c r="O27" i="12" s="1"/>
  <c r="BI27" i="1"/>
  <c r="F27" i="12"/>
  <c r="P27" i="12"/>
  <c r="H27" i="12"/>
  <c r="R27" i="12" s="1"/>
  <c r="I27" i="12"/>
  <c r="S27" i="12"/>
  <c r="J27" i="12"/>
  <c r="T27" i="12" s="1"/>
  <c r="K27" i="12"/>
  <c r="U27" i="12"/>
  <c r="L27" i="12"/>
  <c r="V27" i="12" s="1"/>
  <c r="G28" i="12"/>
  <c r="Q28" i="12" s="1"/>
  <c r="BH28" i="1"/>
  <c r="E28" i="12"/>
  <c r="O28" i="12"/>
  <c r="BI28" i="1"/>
  <c r="F28" i="12"/>
  <c r="P28" i="12"/>
  <c r="H28" i="12"/>
  <c r="R28" i="12" s="1"/>
  <c r="I28" i="12"/>
  <c r="S28" i="12"/>
  <c r="J28" i="12"/>
  <c r="T28" i="12" s="1"/>
  <c r="K28" i="12"/>
  <c r="U28" i="12"/>
  <c r="L28" i="12"/>
  <c r="V28" i="12" s="1"/>
  <c r="G29" i="12"/>
  <c r="Q29" i="12"/>
  <c r="BH29" i="1"/>
  <c r="E29" i="12"/>
  <c r="O29" i="12"/>
  <c r="BI29" i="1"/>
  <c r="F29" i="12"/>
  <c r="P29" i="12" s="1"/>
  <c r="H29" i="12"/>
  <c r="R29" i="12" s="1"/>
  <c r="I29" i="12"/>
  <c r="S29" i="12" s="1"/>
  <c r="J29" i="12"/>
  <c r="T29" i="12" s="1"/>
  <c r="K29" i="12"/>
  <c r="U29" i="12" s="1"/>
  <c r="L29" i="12"/>
  <c r="V29" i="12" s="1"/>
  <c r="G30" i="12"/>
  <c r="Q30" i="12"/>
  <c r="BH30" i="1"/>
  <c r="E30" i="12"/>
  <c r="O30" i="12" s="1"/>
  <c r="BI30" i="1"/>
  <c r="F30" i="12"/>
  <c r="P30" i="12" s="1"/>
  <c r="H30" i="12"/>
  <c r="R30" i="12"/>
  <c r="I30" i="12"/>
  <c r="S30" i="12" s="1"/>
  <c r="J30" i="12"/>
  <c r="T30" i="12"/>
  <c r="K30" i="12"/>
  <c r="U30" i="12" s="1"/>
  <c r="L30" i="12"/>
  <c r="V30" i="12"/>
  <c r="G31" i="12"/>
  <c r="Q31" i="12" s="1"/>
  <c r="BH31" i="1"/>
  <c r="E31" i="12"/>
  <c r="O31" i="12" s="1"/>
  <c r="BI31" i="1"/>
  <c r="F31" i="12"/>
  <c r="P31" i="12" s="1"/>
  <c r="H31" i="12"/>
  <c r="R31" i="12" s="1"/>
  <c r="I31" i="12"/>
  <c r="S31" i="12" s="1"/>
  <c r="J31" i="12"/>
  <c r="T31" i="12" s="1"/>
  <c r="K31" i="12"/>
  <c r="U31" i="12" s="1"/>
  <c r="L31" i="12"/>
  <c r="V31" i="12" s="1"/>
  <c r="G32" i="12"/>
  <c r="Q32" i="12" s="1"/>
  <c r="BH32" i="1"/>
  <c r="E32" i="12"/>
  <c r="O32" i="12" s="1"/>
  <c r="BI32" i="1"/>
  <c r="F32" i="12"/>
  <c r="P32" i="12"/>
  <c r="H32" i="12"/>
  <c r="R32" i="12" s="1"/>
  <c r="I32" i="12"/>
  <c r="S32" i="12"/>
  <c r="J32" i="12"/>
  <c r="T32" i="12" s="1"/>
  <c r="K32" i="12"/>
  <c r="U32" i="12"/>
  <c r="L32" i="12"/>
  <c r="V32" i="12" s="1"/>
  <c r="G33" i="12"/>
  <c r="Q33" i="12" s="1"/>
  <c r="BH33" i="1"/>
  <c r="E33" i="12"/>
  <c r="O33" i="12"/>
  <c r="BI33" i="1"/>
  <c r="F33" i="12"/>
  <c r="P33" i="12"/>
  <c r="H33" i="12"/>
  <c r="R33" i="12" s="1"/>
  <c r="I33" i="12"/>
  <c r="S33" i="12"/>
  <c r="J33" i="12"/>
  <c r="T33" i="12" s="1"/>
  <c r="K33" i="12"/>
  <c r="U33" i="12"/>
  <c r="L33" i="12"/>
  <c r="V33" i="12" s="1"/>
  <c r="G34" i="12"/>
  <c r="Q34" i="12"/>
  <c r="BH34" i="1"/>
  <c r="E34" i="12"/>
  <c r="O34" i="12"/>
  <c r="BI34" i="1"/>
  <c r="F34" i="12"/>
  <c r="P34" i="12" s="1"/>
  <c r="H34" i="12"/>
  <c r="R34" i="12"/>
  <c r="I34" i="12"/>
  <c r="S34" i="12" s="1"/>
  <c r="J34" i="12"/>
  <c r="T34" i="12"/>
  <c r="K34" i="12"/>
  <c r="U34" i="12" s="1"/>
  <c r="L34" i="12"/>
  <c r="V34" i="12"/>
  <c r="G35" i="12"/>
  <c r="Q35" i="12"/>
  <c r="BH35" i="1"/>
  <c r="E35" i="12"/>
  <c r="O35" i="12" s="1"/>
  <c r="BI35" i="1"/>
  <c r="F35" i="12"/>
  <c r="P35" i="12" s="1"/>
  <c r="H35" i="12"/>
  <c r="R35" i="12"/>
  <c r="I35" i="12"/>
  <c r="S35" i="12" s="1"/>
  <c r="J35" i="12"/>
  <c r="T35" i="12"/>
  <c r="K35" i="12"/>
  <c r="U35" i="12" s="1"/>
  <c r="L35" i="12"/>
  <c r="V35" i="12"/>
  <c r="G36" i="12"/>
  <c r="Q36" i="12" s="1"/>
  <c r="BH36" i="1"/>
  <c r="E36" i="12"/>
  <c r="O36" i="12" s="1"/>
  <c r="BI36" i="1"/>
  <c r="F36" i="12"/>
  <c r="P36" i="12"/>
  <c r="H36" i="12"/>
  <c r="R36" i="12" s="1"/>
  <c r="I36" i="12"/>
  <c r="S36" i="12"/>
  <c r="J36" i="12"/>
  <c r="T36" i="12" s="1"/>
  <c r="K36" i="12"/>
  <c r="U36" i="12"/>
  <c r="L36" i="12"/>
  <c r="V36" i="12" s="1"/>
  <c r="G37" i="12"/>
  <c r="Q37" i="12" s="1"/>
  <c r="BH37" i="1"/>
  <c r="E37" i="12"/>
  <c r="O37" i="12"/>
  <c r="BI37" i="1"/>
  <c r="F37" i="12"/>
  <c r="P37" i="12"/>
  <c r="H37" i="12"/>
  <c r="R37" i="12" s="1"/>
  <c r="I37" i="12"/>
  <c r="S37" i="12"/>
  <c r="J37" i="12"/>
  <c r="T37" i="12" s="1"/>
  <c r="K37" i="12"/>
  <c r="U37" i="12"/>
  <c r="L37" i="12"/>
  <c r="V37" i="12" s="1"/>
  <c r="G38" i="12"/>
  <c r="Q38" i="12"/>
  <c r="BH38" i="1"/>
  <c r="E38" i="12"/>
  <c r="O38" i="12"/>
  <c r="BI38" i="1"/>
  <c r="F38" i="12"/>
  <c r="P38" i="12" s="1"/>
  <c r="H38" i="12"/>
  <c r="R38" i="12"/>
  <c r="I38" i="12"/>
  <c r="S38" i="12" s="1"/>
  <c r="J38" i="12"/>
  <c r="T38" i="12"/>
  <c r="K38" i="12"/>
  <c r="U38" i="12" s="1"/>
  <c r="L38" i="12"/>
  <c r="V38" i="12"/>
  <c r="G39" i="12"/>
  <c r="Q39" i="12"/>
  <c r="BH39" i="1"/>
  <c r="E39" i="12"/>
  <c r="O39" i="12" s="1"/>
  <c r="BI39" i="1"/>
  <c r="F39" i="12"/>
  <c r="P39" i="12" s="1"/>
  <c r="H39" i="12"/>
  <c r="R39" i="12"/>
  <c r="I39" i="12"/>
  <c r="S39" i="12" s="1"/>
  <c r="J39" i="12"/>
  <c r="T39" i="12"/>
  <c r="K39" i="12"/>
  <c r="U39" i="12" s="1"/>
  <c r="L39" i="12"/>
  <c r="V39" i="12"/>
  <c r="G40" i="12"/>
  <c r="Q40" i="12" s="1"/>
  <c r="BH40" i="1"/>
  <c r="E40" i="12"/>
  <c r="O40" i="12" s="1"/>
  <c r="BI40" i="1"/>
  <c r="F40" i="12"/>
  <c r="P40" i="12"/>
  <c r="H40" i="12"/>
  <c r="R40" i="12" s="1"/>
  <c r="I40" i="12"/>
  <c r="S40" i="12"/>
  <c r="J40" i="12"/>
  <c r="T40" i="12" s="1"/>
  <c r="K40" i="12"/>
  <c r="U40" i="12"/>
  <c r="L40" i="12"/>
  <c r="V40" i="12" s="1"/>
  <c r="G41" i="12"/>
  <c r="Q41" i="12" s="1"/>
  <c r="BH41" i="1"/>
  <c r="E41" i="12"/>
  <c r="O41" i="12"/>
  <c r="BI41" i="1"/>
  <c r="F41" i="12"/>
  <c r="P41" i="12"/>
  <c r="H41" i="12"/>
  <c r="R41" i="12" s="1"/>
  <c r="I41" i="12"/>
  <c r="S41" i="12"/>
  <c r="J41" i="12"/>
  <c r="T41" i="12" s="1"/>
  <c r="K41" i="12"/>
  <c r="U41" i="12"/>
  <c r="L41" i="12"/>
  <c r="V41" i="12" s="1"/>
  <c r="G42" i="12"/>
  <c r="Q42" i="12" s="1"/>
  <c r="BH42" i="1"/>
  <c r="E42" i="12"/>
  <c r="O42" i="12"/>
  <c r="BI42" i="1"/>
  <c r="F42" i="12"/>
  <c r="P42" i="12" s="1"/>
  <c r="H42" i="12"/>
  <c r="R42" i="12" s="1"/>
  <c r="I42" i="12"/>
  <c r="S42" i="12" s="1"/>
  <c r="J42" i="12"/>
  <c r="T42" i="12" s="1"/>
  <c r="K42" i="12"/>
  <c r="U42" i="12" s="1"/>
  <c r="L42" i="12"/>
  <c r="V42" i="12" s="1"/>
  <c r="G43" i="12"/>
  <c r="Q43" i="12"/>
  <c r="BH43" i="1"/>
  <c r="E43" i="12"/>
  <c r="O43" i="12" s="1"/>
  <c r="BI43" i="1"/>
  <c r="F43" i="12"/>
  <c r="P43" i="12" s="1"/>
  <c r="H43" i="12"/>
  <c r="R43" i="12"/>
  <c r="I43" i="12"/>
  <c r="S43" i="12" s="1"/>
  <c r="J43" i="12"/>
  <c r="T43" i="12"/>
  <c r="K43" i="12"/>
  <c r="U43" i="12" s="1"/>
  <c r="L43" i="12"/>
  <c r="V43" i="12"/>
  <c r="G44" i="12"/>
  <c r="Q44" i="12" s="1"/>
  <c r="BH44" i="1"/>
  <c r="E44" i="12"/>
  <c r="O44" i="12" s="1"/>
  <c r="BI44" i="1"/>
  <c r="F44" i="12"/>
  <c r="P44" i="12" s="1"/>
  <c r="H44" i="12"/>
  <c r="R44" i="12" s="1"/>
  <c r="I44" i="12"/>
  <c r="S44" i="12" s="1"/>
  <c r="J44" i="12"/>
  <c r="T44" i="12" s="1"/>
  <c r="K44" i="12"/>
  <c r="U44" i="12" s="1"/>
  <c r="L44" i="12"/>
  <c r="V44" i="12" s="1"/>
  <c r="G45" i="12"/>
  <c r="Q45" i="12" s="1"/>
  <c r="BH45" i="1"/>
  <c r="E45" i="12"/>
  <c r="O45" i="12" s="1"/>
  <c r="BI45" i="1"/>
  <c r="F45" i="12"/>
  <c r="P45" i="12"/>
  <c r="H45" i="12"/>
  <c r="R45" i="12" s="1"/>
  <c r="I45" i="12"/>
  <c r="S45" i="12"/>
  <c r="J45" i="12"/>
  <c r="T45" i="12" s="1"/>
  <c r="K45" i="12"/>
  <c r="U45" i="12"/>
  <c r="L45" i="12"/>
  <c r="V45" i="12" s="1"/>
  <c r="G46" i="12"/>
  <c r="Q46" i="12" s="1"/>
  <c r="BH46" i="1"/>
  <c r="E46" i="12"/>
  <c r="O46" i="12"/>
  <c r="BI46" i="1"/>
  <c r="F46" i="12"/>
  <c r="P46" i="12" s="1"/>
  <c r="H46" i="12"/>
  <c r="R46" i="12" s="1"/>
  <c r="I46" i="12"/>
  <c r="S46" i="12" s="1"/>
  <c r="J46" i="12"/>
  <c r="T46" i="12" s="1"/>
  <c r="K46" i="12"/>
  <c r="U46" i="12" s="1"/>
  <c r="L46" i="12"/>
  <c r="V46" i="12" s="1"/>
  <c r="G47" i="12"/>
  <c r="Q47" i="12"/>
  <c r="BH47" i="1"/>
  <c r="E47" i="12"/>
  <c r="O47" i="12" s="1"/>
  <c r="BI47" i="1"/>
  <c r="F47" i="12"/>
  <c r="P47" i="12"/>
  <c r="H47" i="12"/>
  <c r="R47" i="12"/>
  <c r="I47" i="12"/>
  <c r="S47" i="12"/>
  <c r="J47" i="12"/>
  <c r="T47" i="12"/>
  <c r="K47" i="12"/>
  <c r="U47" i="12"/>
  <c r="L47" i="12"/>
  <c r="V47" i="12"/>
  <c r="G48" i="12"/>
  <c r="Q48" i="12" s="1"/>
  <c r="BH48" i="1"/>
  <c r="E48" i="12"/>
  <c r="O48" i="12"/>
  <c r="BI48" i="1"/>
  <c r="F48" i="12"/>
  <c r="P48" i="12" s="1"/>
  <c r="H48" i="12"/>
  <c r="R48" i="12" s="1"/>
  <c r="I48" i="12"/>
  <c r="S48" i="12" s="1"/>
  <c r="J48" i="12"/>
  <c r="T48" i="12" s="1"/>
  <c r="K48" i="12"/>
  <c r="U48" i="12" s="1"/>
  <c r="L48" i="12"/>
  <c r="V48" i="12" s="1"/>
  <c r="G49" i="12"/>
  <c r="Q49" i="12"/>
  <c r="BH49" i="1"/>
  <c r="E49" i="12"/>
  <c r="O49" i="12" s="1"/>
  <c r="BI49" i="1"/>
  <c r="F49" i="12"/>
  <c r="P49" i="12"/>
  <c r="H49" i="12"/>
  <c r="R49" i="12"/>
  <c r="I49" i="12"/>
  <c r="S49" i="12"/>
  <c r="J49" i="12"/>
  <c r="T49" i="12"/>
  <c r="K49" i="12"/>
  <c r="U49" i="12"/>
  <c r="L49" i="12"/>
  <c r="V49" i="12"/>
  <c r="G50" i="12"/>
  <c r="Q50" i="12" s="1"/>
  <c r="BH50" i="1"/>
  <c r="E50" i="12"/>
  <c r="O50" i="12"/>
  <c r="BI50" i="1"/>
  <c r="F50" i="12"/>
  <c r="P50" i="12" s="1"/>
  <c r="H50" i="12"/>
  <c r="R50" i="12" s="1"/>
  <c r="I50" i="12"/>
  <c r="S50" i="12" s="1"/>
  <c r="J50" i="12"/>
  <c r="T50" i="12" s="1"/>
  <c r="K50" i="12"/>
  <c r="U50" i="12" s="1"/>
  <c r="L50" i="12"/>
  <c r="V50" i="12" s="1"/>
  <c r="G51" i="12"/>
  <c r="Q51" i="12"/>
  <c r="BH51" i="1"/>
  <c r="E51" i="12"/>
  <c r="O51" i="12" s="1"/>
  <c r="BI51" i="1"/>
  <c r="F51" i="12"/>
  <c r="P51" i="12"/>
  <c r="H51" i="12"/>
  <c r="R51" i="12"/>
  <c r="I51" i="12"/>
  <c r="S51" i="12"/>
  <c r="J51" i="12"/>
  <c r="T51" i="12"/>
  <c r="K51" i="12"/>
  <c r="U51" i="12"/>
  <c r="L51" i="12"/>
  <c r="V51" i="12"/>
  <c r="G52" i="12"/>
  <c r="Q52" i="12" s="1"/>
  <c r="BH52" i="1"/>
  <c r="E52" i="12"/>
  <c r="O52" i="12"/>
  <c r="BI52" i="1"/>
  <c r="F52" i="12"/>
  <c r="P52" i="12" s="1"/>
  <c r="H52" i="12"/>
  <c r="R52" i="12" s="1"/>
  <c r="I52" i="12"/>
  <c r="S52" i="12" s="1"/>
  <c r="J52" i="12"/>
  <c r="T52" i="12" s="1"/>
  <c r="K52" i="12"/>
  <c r="U52" i="12" s="1"/>
  <c r="L52" i="12"/>
  <c r="V52" i="12" s="1"/>
  <c r="G53" i="12"/>
  <c r="Q53" i="12"/>
  <c r="BH53" i="1"/>
  <c r="E53" i="12"/>
  <c r="O53" i="12" s="1"/>
  <c r="BI53" i="1"/>
  <c r="F53" i="12"/>
  <c r="P53" i="12"/>
  <c r="H53" i="12"/>
  <c r="R53" i="12"/>
  <c r="I53" i="12"/>
  <c r="S53" i="12"/>
  <c r="J53" i="12"/>
  <c r="T53" i="12"/>
  <c r="K53" i="12"/>
  <c r="U53" i="12"/>
  <c r="L53" i="12"/>
  <c r="V53" i="12"/>
  <c r="G54" i="12"/>
  <c r="Q54" i="12" s="1"/>
  <c r="BH54" i="1"/>
  <c r="E54" i="12"/>
  <c r="O54" i="12"/>
  <c r="BI54" i="1"/>
  <c r="F54" i="12"/>
  <c r="P54" i="12" s="1"/>
  <c r="H54" i="12"/>
  <c r="R54" i="12" s="1"/>
  <c r="I54" i="12"/>
  <c r="S54" i="12" s="1"/>
  <c r="J54" i="12"/>
  <c r="T54" i="12" s="1"/>
  <c r="K54" i="12"/>
  <c r="U54" i="12" s="1"/>
  <c r="L54" i="12"/>
  <c r="V54" i="12" s="1"/>
  <c r="G55" i="12"/>
  <c r="Q55" i="12"/>
  <c r="BH55" i="1"/>
  <c r="E55" i="12"/>
  <c r="O55" i="12" s="1"/>
  <c r="BI55" i="1"/>
  <c r="F55" i="12"/>
  <c r="P55" i="12"/>
  <c r="H55" i="12"/>
  <c r="R55" i="12"/>
  <c r="I55" i="12"/>
  <c r="S55" i="12"/>
  <c r="J55" i="12"/>
  <c r="T55" i="12"/>
  <c r="K55" i="12"/>
  <c r="U55" i="12"/>
  <c r="L55" i="12"/>
  <c r="V55" i="12"/>
  <c r="G56" i="12"/>
  <c r="Q56" i="12" s="1"/>
  <c r="BH56" i="1"/>
  <c r="E56" i="12"/>
  <c r="O56" i="12"/>
  <c r="BI56" i="1"/>
  <c r="F56" i="12"/>
  <c r="P56" i="12" s="1"/>
  <c r="H56" i="12"/>
  <c r="R56" i="12" s="1"/>
  <c r="I56" i="12"/>
  <c r="S56" i="12" s="1"/>
  <c r="J56" i="12"/>
  <c r="T56" i="12" s="1"/>
  <c r="K56" i="12"/>
  <c r="U56" i="12" s="1"/>
  <c r="L56" i="12"/>
  <c r="V56" i="12" s="1"/>
  <c r="G57" i="12"/>
  <c r="Q57" i="12"/>
  <c r="BH57" i="1"/>
  <c r="E57" i="12"/>
  <c r="O57" i="12" s="1"/>
  <c r="BI57" i="1"/>
  <c r="F57" i="12"/>
  <c r="P57" i="12"/>
  <c r="H57" i="12"/>
  <c r="R57" i="12"/>
  <c r="I57" i="12"/>
  <c r="S57" i="12"/>
  <c r="J57" i="12"/>
  <c r="T57" i="12"/>
  <c r="K57" i="12"/>
  <c r="U57" i="12"/>
  <c r="L57" i="12"/>
  <c r="V57" i="12"/>
  <c r="G58" i="12"/>
  <c r="Q58" i="12" s="1"/>
  <c r="BH58" i="1"/>
  <c r="E58" i="12"/>
  <c r="O58" i="12"/>
  <c r="BI58" i="1"/>
  <c r="F58" i="12"/>
  <c r="P58" i="12" s="1"/>
  <c r="H58" i="12"/>
  <c r="R58" i="12" s="1"/>
  <c r="I58" i="12"/>
  <c r="S58" i="12" s="1"/>
  <c r="J58" i="12"/>
  <c r="T58" i="12" s="1"/>
  <c r="K58" i="12"/>
  <c r="U58" i="12" s="1"/>
  <c r="L58" i="12"/>
  <c r="V58" i="12" s="1"/>
  <c r="G59" i="12"/>
  <c r="Q59" i="12"/>
  <c r="BH59" i="1"/>
  <c r="E59" i="12"/>
  <c r="O59" i="12" s="1"/>
  <c r="BI59" i="1"/>
  <c r="F59" i="12"/>
  <c r="P59" i="12"/>
  <c r="H59" i="12"/>
  <c r="R59" i="12"/>
  <c r="I59" i="12"/>
  <c r="S59" i="12"/>
  <c r="J59" i="12"/>
  <c r="T59" i="12"/>
  <c r="K59" i="12"/>
  <c r="U59" i="12"/>
  <c r="L59" i="12"/>
  <c r="V59" i="12"/>
  <c r="G60" i="12"/>
  <c r="Q60" i="12" s="1"/>
  <c r="BH60" i="1"/>
  <c r="E60" i="12"/>
  <c r="O60" i="12"/>
  <c r="BI60" i="1"/>
  <c r="F60" i="12"/>
  <c r="P60" i="12" s="1"/>
  <c r="H60" i="12"/>
  <c r="R60" i="12" s="1"/>
  <c r="I60" i="12"/>
  <c r="S60" i="12" s="1"/>
  <c r="J60" i="12"/>
  <c r="T60" i="12" s="1"/>
  <c r="K60" i="12"/>
  <c r="U60" i="12" s="1"/>
  <c r="L60" i="12"/>
  <c r="V60" i="12" s="1"/>
  <c r="G61" i="12"/>
  <c r="Q61" i="12"/>
  <c r="BH61" i="1"/>
  <c r="E61" i="12"/>
  <c r="O61" i="12" s="1"/>
  <c r="BI61" i="1"/>
  <c r="F61" i="12"/>
  <c r="P61" i="12"/>
  <c r="H61" i="12"/>
  <c r="R61" i="12"/>
  <c r="I61" i="12"/>
  <c r="S61" i="12"/>
  <c r="J61" i="12"/>
  <c r="T61" i="12"/>
  <c r="K61" i="12"/>
  <c r="U61" i="12"/>
  <c r="L61" i="12"/>
  <c r="V61" i="12"/>
  <c r="G62" i="12"/>
  <c r="Q62" i="12" s="1"/>
  <c r="BH62" i="1"/>
  <c r="E62" i="12"/>
  <c r="O62" i="12"/>
  <c r="BI62" i="1"/>
  <c r="F62" i="12"/>
  <c r="P62" i="12" s="1"/>
  <c r="H62" i="12"/>
  <c r="R62" i="12" s="1"/>
  <c r="I62" i="12"/>
  <c r="S62" i="12" s="1"/>
  <c r="J62" i="12"/>
  <c r="T62" i="12" s="1"/>
  <c r="K62" i="12"/>
  <c r="U62" i="12" s="1"/>
  <c r="L62" i="12"/>
  <c r="V62" i="12" s="1"/>
  <c r="G63" i="12"/>
  <c r="Q63" i="12"/>
  <c r="BH63" i="1"/>
  <c r="E63" i="12"/>
  <c r="O63" i="12" s="1"/>
  <c r="BI63" i="1"/>
  <c r="F63" i="12"/>
  <c r="P63" i="12"/>
  <c r="H63" i="12"/>
  <c r="R63" i="12"/>
  <c r="I63" i="12"/>
  <c r="S63" i="12"/>
  <c r="J63" i="12"/>
  <c r="T63" i="12"/>
  <c r="K63" i="12"/>
  <c r="U63" i="12"/>
  <c r="L63" i="12"/>
  <c r="V63" i="12"/>
  <c r="G64" i="12"/>
  <c r="Q64" i="12" s="1"/>
  <c r="BH64" i="1"/>
  <c r="E64" i="12"/>
  <c r="O64" i="12"/>
  <c r="BI64" i="1"/>
  <c r="F64" i="12"/>
  <c r="P64" i="12" s="1"/>
  <c r="H64" i="12"/>
  <c r="R64" i="12" s="1"/>
  <c r="I64" i="12"/>
  <c r="S64" i="12" s="1"/>
  <c r="J64" i="12"/>
  <c r="T64" i="12" s="1"/>
  <c r="K64" i="12"/>
  <c r="U64" i="12" s="1"/>
  <c r="L64" i="12"/>
  <c r="V64" i="12" s="1"/>
  <c r="G65" i="12"/>
  <c r="Q65" i="12"/>
  <c r="BH65" i="1"/>
  <c r="E65" i="12"/>
  <c r="O65" i="12" s="1"/>
  <c r="BI65" i="1"/>
  <c r="F65" i="12"/>
  <c r="P65" i="12"/>
  <c r="H65" i="12"/>
  <c r="R65" i="12"/>
  <c r="I65" i="12"/>
  <c r="S65" i="12"/>
  <c r="J65" i="12"/>
  <c r="T65" i="12"/>
  <c r="K65" i="12"/>
  <c r="U65" i="12"/>
  <c r="L65" i="12"/>
  <c r="V65" i="12"/>
  <c r="G66" i="12"/>
  <c r="Q66" i="12" s="1"/>
  <c r="BH66" i="1"/>
  <c r="E66" i="12"/>
  <c r="O66" i="12"/>
  <c r="BI66" i="1"/>
  <c r="F66" i="12"/>
  <c r="P66" i="12" s="1"/>
  <c r="H66" i="12"/>
  <c r="R66" i="12" s="1"/>
  <c r="I66" i="12"/>
  <c r="S66" i="12" s="1"/>
  <c r="J66" i="12"/>
  <c r="T66" i="12" s="1"/>
  <c r="K66" i="12"/>
  <c r="U66" i="12" s="1"/>
  <c r="L66" i="12"/>
  <c r="V66" i="12" s="1"/>
  <c r="G67" i="12"/>
  <c r="Q67" i="12"/>
  <c r="BH67" i="1"/>
  <c r="E67" i="12"/>
  <c r="O67" i="12" s="1"/>
  <c r="BI67" i="1"/>
  <c r="F67" i="12"/>
  <c r="P67" i="12"/>
  <c r="H67" i="12"/>
  <c r="R67" i="12"/>
  <c r="I67" i="12"/>
  <c r="S67" i="12"/>
  <c r="J67" i="12"/>
  <c r="T67" i="12"/>
  <c r="K67" i="12"/>
  <c r="U67" i="12"/>
  <c r="L67" i="12"/>
  <c r="V67" i="12"/>
  <c r="G68" i="12"/>
  <c r="Q68" i="12" s="1"/>
  <c r="BH68" i="1"/>
  <c r="E68" i="12"/>
  <c r="O68" i="12"/>
  <c r="BI68" i="1"/>
  <c r="F68" i="12"/>
  <c r="P68" i="12" s="1"/>
  <c r="H68" i="12"/>
  <c r="R68" i="12" s="1"/>
  <c r="I68" i="12"/>
  <c r="S68" i="12" s="1"/>
  <c r="J68" i="12"/>
  <c r="T68" i="12" s="1"/>
  <c r="K68" i="12"/>
  <c r="U68" i="12" s="1"/>
  <c r="L68" i="12"/>
  <c r="V68" i="12" s="1"/>
  <c r="G69" i="12"/>
  <c r="Q69" i="12"/>
  <c r="BH69" i="1"/>
  <c r="E69" i="12"/>
  <c r="O69" i="12" s="1"/>
  <c r="BI69" i="1"/>
  <c r="F69" i="12"/>
  <c r="P69" i="12"/>
  <c r="H69" i="12"/>
  <c r="R69" i="12"/>
  <c r="I69" i="12"/>
  <c r="S69" i="12"/>
  <c r="J69" i="12"/>
  <c r="T69" i="12"/>
  <c r="K69" i="12"/>
  <c r="U69" i="12"/>
  <c r="L69" i="12"/>
  <c r="V69" i="12"/>
  <c r="G70" i="12"/>
  <c r="Q70" i="12" s="1"/>
  <c r="BH70" i="1"/>
  <c r="E70" i="12"/>
  <c r="O70" i="12"/>
  <c r="BI70" i="1"/>
  <c r="F70" i="12"/>
  <c r="P70" i="12" s="1"/>
  <c r="H70" i="12"/>
  <c r="R70" i="12" s="1"/>
  <c r="I70" i="12"/>
  <c r="S70" i="12" s="1"/>
  <c r="J70" i="12"/>
  <c r="T70" i="12" s="1"/>
  <c r="K70" i="12"/>
  <c r="U70" i="12" s="1"/>
  <c r="L70" i="12"/>
  <c r="V70" i="12" s="1"/>
  <c r="G71" i="12"/>
  <c r="Q71" i="12"/>
  <c r="BH71" i="1"/>
  <c r="E71" i="12"/>
  <c r="O71" i="12" s="1"/>
  <c r="BI71" i="1"/>
  <c r="F71" i="12"/>
  <c r="P71" i="12"/>
  <c r="H71" i="12"/>
  <c r="R71" i="12"/>
  <c r="I71" i="12"/>
  <c r="S71" i="12"/>
  <c r="J71" i="12"/>
  <c r="T71" i="12"/>
  <c r="K71" i="12"/>
  <c r="U71" i="12"/>
  <c r="L71" i="12"/>
  <c r="V71" i="12"/>
  <c r="G72" i="12"/>
  <c r="Q72" i="12" s="1"/>
  <c r="BH72" i="1"/>
  <c r="E72" i="12"/>
  <c r="O72" i="12"/>
  <c r="BI72" i="1"/>
  <c r="F72" i="12"/>
  <c r="P72" i="12" s="1"/>
  <c r="H72" i="12"/>
  <c r="R72" i="12" s="1"/>
  <c r="I72" i="12"/>
  <c r="S72" i="12" s="1"/>
  <c r="J72" i="12"/>
  <c r="T72" i="12" s="1"/>
  <c r="K72" i="12"/>
  <c r="U72" i="12" s="1"/>
  <c r="L72" i="12"/>
  <c r="V72" i="12" s="1"/>
  <c r="G73" i="12"/>
  <c r="Q73" i="12"/>
  <c r="BH73" i="1"/>
  <c r="E73" i="12"/>
  <c r="O73" i="12" s="1"/>
  <c r="BI73" i="1"/>
  <c r="F73" i="12"/>
  <c r="P73" i="12"/>
  <c r="H73" i="12"/>
  <c r="R73" i="12"/>
  <c r="I73" i="12"/>
  <c r="S73" i="12"/>
  <c r="J73" i="12"/>
  <c r="T73" i="12"/>
  <c r="K73" i="12"/>
  <c r="U73" i="12"/>
  <c r="L73" i="12"/>
  <c r="V73" i="12"/>
  <c r="G74" i="12"/>
  <c r="Q74" i="12" s="1"/>
  <c r="BH74" i="1"/>
  <c r="E74" i="12"/>
  <c r="O74" i="12"/>
  <c r="BI74" i="1"/>
  <c r="F74" i="12"/>
  <c r="P74" i="12" s="1"/>
  <c r="H74" i="12"/>
  <c r="R74" i="12" s="1"/>
  <c r="I74" i="12"/>
  <c r="S74" i="12" s="1"/>
  <c r="J74" i="12"/>
  <c r="T74" i="12" s="1"/>
  <c r="K74" i="12"/>
  <c r="U74" i="12" s="1"/>
  <c r="L74" i="12"/>
  <c r="V74" i="12" s="1"/>
  <c r="G75" i="12"/>
  <c r="Q75" i="12"/>
  <c r="BH75" i="1"/>
  <c r="E75" i="12"/>
  <c r="O75" i="12" s="1"/>
  <c r="BI75" i="1"/>
  <c r="F75" i="12"/>
  <c r="P75" i="12"/>
  <c r="H75" i="12"/>
  <c r="R75" i="12"/>
  <c r="I75" i="12"/>
  <c r="S75" i="12"/>
  <c r="J75" i="12"/>
  <c r="T75" i="12"/>
  <c r="K75" i="12"/>
  <c r="U75" i="12"/>
  <c r="L75" i="12"/>
  <c r="V75" i="12"/>
  <c r="G76" i="12"/>
  <c r="Q76" i="12" s="1"/>
  <c r="BH76" i="1"/>
  <c r="E76" i="12"/>
  <c r="O76" i="12" s="1"/>
  <c r="BI76" i="1"/>
  <c r="F76" i="12"/>
  <c r="P76" i="12"/>
  <c r="H76" i="12"/>
  <c r="R76" i="12" s="1"/>
  <c r="I76" i="12"/>
  <c r="S76" i="12" s="1"/>
  <c r="J76" i="12"/>
  <c r="T76" i="12" s="1"/>
  <c r="K76" i="12"/>
  <c r="U76" i="12"/>
  <c r="L76" i="12"/>
  <c r="V76" i="12" s="1"/>
  <c r="G77" i="12"/>
  <c r="Q77" i="12"/>
  <c r="BH77" i="1"/>
  <c r="E77" i="12"/>
  <c r="O77" i="12" s="1"/>
  <c r="BI77" i="1"/>
  <c r="F77" i="12"/>
  <c r="P77" i="12"/>
  <c r="H77" i="12"/>
  <c r="R77" i="12"/>
  <c r="I77" i="12"/>
  <c r="S77" i="12"/>
  <c r="J77" i="12"/>
  <c r="T77" i="12"/>
  <c r="K77" i="12"/>
  <c r="U77" i="12"/>
  <c r="L77" i="12"/>
  <c r="V77" i="12"/>
  <c r="G78" i="12"/>
  <c r="Q78" i="12" s="1"/>
  <c r="BH78" i="1"/>
  <c r="E78" i="12"/>
  <c r="O78" i="12"/>
  <c r="BI78" i="1"/>
  <c r="F78" i="12"/>
  <c r="P78" i="12" s="1"/>
  <c r="H78" i="12"/>
  <c r="R78" i="12" s="1"/>
  <c r="I78" i="12"/>
  <c r="S78" i="12" s="1"/>
  <c r="J78" i="12"/>
  <c r="T78" i="12" s="1"/>
  <c r="K78" i="12"/>
  <c r="U78" i="12" s="1"/>
  <c r="L78" i="12"/>
  <c r="V78" i="12" s="1"/>
  <c r="G79" i="12"/>
  <c r="Q79" i="12"/>
  <c r="BH79" i="1"/>
  <c r="E79" i="12"/>
  <c r="O79" i="12" s="1"/>
  <c r="BI79" i="1"/>
  <c r="F79" i="12"/>
  <c r="P79" i="12"/>
  <c r="H79" i="12"/>
  <c r="R79" i="12"/>
  <c r="I79" i="12"/>
  <c r="S79" i="12"/>
  <c r="J79" i="12"/>
  <c r="T79" i="12"/>
  <c r="K79" i="12"/>
  <c r="U79" i="12"/>
  <c r="L79" i="12"/>
  <c r="V79" i="12"/>
  <c r="G80" i="12"/>
  <c r="Q80" i="12" s="1"/>
  <c r="BH80" i="1"/>
  <c r="E80" i="12"/>
  <c r="O80" i="12"/>
  <c r="BI80" i="1"/>
  <c r="F80" i="12"/>
  <c r="P80" i="12" s="1"/>
  <c r="H80" i="12"/>
  <c r="R80" i="12" s="1"/>
  <c r="I80" i="12"/>
  <c r="S80" i="12" s="1"/>
  <c r="J80" i="12"/>
  <c r="T80" i="12" s="1"/>
  <c r="K80" i="12"/>
  <c r="U80" i="12" s="1"/>
  <c r="L80" i="12"/>
  <c r="V80" i="12" s="1"/>
  <c r="G81" i="12"/>
  <c r="Q81" i="12"/>
  <c r="BH81" i="1"/>
  <c r="E81" i="12"/>
  <c r="O81" i="12" s="1"/>
  <c r="BI81" i="1"/>
  <c r="F81" i="12"/>
  <c r="P81" i="12"/>
  <c r="H81" i="12"/>
  <c r="R81" i="12"/>
  <c r="I81" i="12"/>
  <c r="S81" i="12"/>
  <c r="J81" i="12"/>
  <c r="T81" i="12"/>
  <c r="K81" i="12"/>
  <c r="U81" i="12"/>
  <c r="L81" i="12"/>
  <c r="V81" i="12"/>
  <c r="G82" i="12"/>
  <c r="Q82" i="12" s="1"/>
  <c r="BH82" i="1"/>
  <c r="E82" i="12"/>
  <c r="O82" i="12"/>
  <c r="BI82" i="1"/>
  <c r="F82" i="12"/>
  <c r="P82" i="12" s="1"/>
  <c r="H82" i="12"/>
  <c r="R82" i="12" s="1"/>
  <c r="I82" i="12"/>
  <c r="S82" i="12" s="1"/>
  <c r="J82" i="12"/>
  <c r="T82" i="12" s="1"/>
  <c r="K82" i="12"/>
  <c r="U82" i="12" s="1"/>
  <c r="L82" i="12"/>
  <c r="V82" i="12" s="1"/>
  <c r="G83" i="12"/>
  <c r="Q83" i="12"/>
  <c r="BH83" i="1"/>
  <c r="E83" i="12"/>
  <c r="O83" i="12" s="1"/>
  <c r="BI83" i="1"/>
  <c r="F83" i="12"/>
  <c r="P83" i="12"/>
  <c r="H83" i="12"/>
  <c r="R83" i="12"/>
  <c r="I83" i="12"/>
  <c r="S83" i="12"/>
  <c r="J83" i="12"/>
  <c r="T83" i="12"/>
  <c r="K83" i="12"/>
  <c r="U83" i="12"/>
  <c r="L83" i="12"/>
  <c r="V83" i="12"/>
  <c r="G84" i="12"/>
  <c r="Q84" i="12" s="1"/>
  <c r="BH84" i="1"/>
  <c r="E84" i="12"/>
  <c r="O84" i="12"/>
  <c r="BI84" i="1"/>
  <c r="F84" i="12"/>
  <c r="P84" i="12" s="1"/>
  <c r="H84" i="12"/>
  <c r="R84" i="12" s="1"/>
  <c r="I84" i="12"/>
  <c r="S84" i="12" s="1"/>
  <c r="J84" i="12"/>
  <c r="T84" i="12" s="1"/>
  <c r="K84" i="12"/>
  <c r="U84" i="12" s="1"/>
  <c r="L84" i="12"/>
  <c r="V84" i="12" s="1"/>
  <c r="G85" i="12"/>
  <c r="Q85" i="12"/>
  <c r="BH85" i="1"/>
  <c r="E85" i="12"/>
  <c r="O85" i="12" s="1"/>
  <c r="BI85" i="1"/>
  <c r="F85" i="12"/>
  <c r="P85" i="12"/>
  <c r="H85" i="12"/>
  <c r="R85" i="12"/>
  <c r="I85" i="12"/>
  <c r="S85" i="12"/>
  <c r="J85" i="12"/>
  <c r="T85" i="12"/>
  <c r="K85" i="12"/>
  <c r="U85" i="12"/>
  <c r="L85" i="12"/>
  <c r="V85" i="12"/>
  <c r="G86" i="12"/>
  <c r="Q86" i="12" s="1"/>
  <c r="BH86" i="1"/>
  <c r="E86" i="12"/>
  <c r="O86" i="12"/>
  <c r="BI86" i="1"/>
  <c r="F86" i="12"/>
  <c r="P86" i="12" s="1"/>
  <c r="H86" i="12"/>
  <c r="R86" i="12" s="1"/>
  <c r="I86" i="12"/>
  <c r="S86" i="12" s="1"/>
  <c r="J86" i="12"/>
  <c r="T86" i="12" s="1"/>
  <c r="K86" i="12"/>
  <c r="U86" i="12" s="1"/>
  <c r="L86" i="12"/>
  <c r="V86" i="12" s="1"/>
  <c r="G87" i="12"/>
  <c r="Q87" i="12"/>
  <c r="BH87" i="1"/>
  <c r="E87" i="12"/>
  <c r="O87" i="12" s="1"/>
  <c r="BI87" i="1"/>
  <c r="F87" i="12"/>
  <c r="P87" i="12"/>
  <c r="H87" i="12"/>
  <c r="R87" i="12"/>
  <c r="I87" i="12"/>
  <c r="S87" i="12"/>
  <c r="J87" i="12"/>
  <c r="T87" i="12"/>
  <c r="K87" i="12"/>
  <c r="U87" i="12"/>
  <c r="L87" i="12"/>
  <c r="V87" i="12"/>
  <c r="G88" i="12"/>
  <c r="Q88" i="12" s="1"/>
  <c r="BH88" i="1"/>
  <c r="E88" i="12"/>
  <c r="O88" i="12"/>
  <c r="BI88" i="1"/>
  <c r="F88" i="12"/>
  <c r="P88" i="12" s="1"/>
  <c r="H88" i="12"/>
  <c r="R88" i="12" s="1"/>
  <c r="I88" i="12"/>
  <c r="S88" i="12" s="1"/>
  <c r="J88" i="12"/>
  <c r="T88" i="12" s="1"/>
  <c r="K88" i="12"/>
  <c r="U88" i="12" s="1"/>
  <c r="L88" i="12"/>
  <c r="V88" i="12" s="1"/>
  <c r="G89" i="12"/>
  <c r="Q89" i="12"/>
  <c r="BH89" i="1"/>
  <c r="E89" i="12"/>
  <c r="O89" i="12" s="1"/>
  <c r="BI89" i="1"/>
  <c r="F89" i="12"/>
  <c r="P89" i="12"/>
  <c r="H89" i="12"/>
  <c r="R89" i="12"/>
  <c r="I89" i="12"/>
  <c r="S89" i="12"/>
  <c r="J89" i="12"/>
  <c r="T89" i="12"/>
  <c r="K89" i="12"/>
  <c r="U89" i="12"/>
  <c r="L89" i="12"/>
  <c r="V89" i="12"/>
  <c r="G90" i="12"/>
  <c r="Q90" i="12" s="1"/>
  <c r="BH90" i="1"/>
  <c r="E90" i="12"/>
  <c r="O90" i="12"/>
  <c r="BI90" i="1"/>
  <c r="F90" i="12"/>
  <c r="P90" i="12" s="1"/>
  <c r="H90" i="12"/>
  <c r="R90" i="12" s="1"/>
  <c r="I90" i="12"/>
  <c r="S90" i="12" s="1"/>
  <c r="J90" i="12"/>
  <c r="T90" i="12" s="1"/>
  <c r="K90" i="12"/>
  <c r="U90" i="12" s="1"/>
  <c r="L90" i="12"/>
  <c r="V90" i="12" s="1"/>
  <c r="G91" i="12"/>
  <c r="Q91" i="12"/>
  <c r="BH91" i="1"/>
  <c r="E91" i="12"/>
  <c r="O91" i="12" s="1"/>
  <c r="BI91" i="1"/>
  <c r="F91" i="12"/>
  <c r="P91" i="12"/>
  <c r="H91" i="12"/>
  <c r="R91" i="12"/>
  <c r="I91" i="12"/>
  <c r="S91" i="12"/>
  <c r="J91" i="12"/>
  <c r="T91" i="12"/>
  <c r="K91" i="12"/>
  <c r="U91" i="12"/>
  <c r="L91" i="12"/>
  <c r="V91" i="12"/>
  <c r="G92" i="12"/>
  <c r="Q92" i="12" s="1"/>
  <c r="BH92" i="1"/>
  <c r="E92" i="12"/>
  <c r="O92" i="12"/>
  <c r="BI92" i="1"/>
  <c r="F92" i="12"/>
  <c r="P92" i="12" s="1"/>
  <c r="H92" i="12"/>
  <c r="R92" i="12" s="1"/>
  <c r="I92" i="12"/>
  <c r="S92" i="12" s="1"/>
  <c r="J92" i="12"/>
  <c r="T92" i="12" s="1"/>
  <c r="K92" i="12"/>
  <c r="U92" i="12" s="1"/>
  <c r="L92" i="12"/>
  <c r="V92" i="12" s="1"/>
  <c r="G93" i="12"/>
  <c r="Q93" i="12"/>
  <c r="BH93" i="1"/>
  <c r="E93" i="12"/>
  <c r="O93" i="12" s="1"/>
  <c r="BI93" i="1"/>
  <c r="F93" i="12"/>
  <c r="P93" i="12"/>
  <c r="H93" i="12"/>
  <c r="R93" i="12"/>
  <c r="I93" i="12"/>
  <c r="S93" i="12"/>
  <c r="J93" i="12"/>
  <c r="T93" i="12"/>
  <c r="K93" i="12"/>
  <c r="U93" i="12"/>
  <c r="L93" i="12"/>
  <c r="V93" i="12"/>
  <c r="G94" i="12"/>
  <c r="Q94" i="12" s="1"/>
  <c r="BH94" i="1"/>
  <c r="E94" i="12"/>
  <c r="O94" i="12"/>
  <c r="BI94" i="1"/>
  <c r="F94" i="12"/>
  <c r="P94" i="12" s="1"/>
  <c r="H94" i="12"/>
  <c r="R94" i="12" s="1"/>
  <c r="I94" i="12"/>
  <c r="S94" i="12" s="1"/>
  <c r="J94" i="12"/>
  <c r="T94" i="12" s="1"/>
  <c r="K94" i="12"/>
  <c r="U94" i="12" s="1"/>
  <c r="L94" i="12"/>
  <c r="V94" i="12" s="1"/>
  <c r="G95" i="12"/>
  <c r="Q95" i="12"/>
  <c r="BH95" i="1"/>
  <c r="E95" i="12"/>
  <c r="O95" i="12" s="1"/>
  <c r="BI95" i="1"/>
  <c r="F95" i="12"/>
  <c r="P95" i="12"/>
  <c r="H95" i="12"/>
  <c r="R95" i="12"/>
  <c r="I95" i="12"/>
  <c r="S95" i="12"/>
  <c r="J95" i="12"/>
  <c r="T95" i="12"/>
  <c r="K95" i="12"/>
  <c r="U95" i="12"/>
  <c r="L95" i="12"/>
  <c r="V95" i="12"/>
  <c r="G96" i="12"/>
  <c r="Q96" i="12" s="1"/>
  <c r="BH96" i="1"/>
  <c r="E96" i="12"/>
  <c r="O96" i="12"/>
  <c r="BI96" i="1"/>
  <c r="F96" i="12"/>
  <c r="P96" i="12" s="1"/>
  <c r="H96" i="12"/>
  <c r="R96" i="12" s="1"/>
  <c r="I96" i="12"/>
  <c r="S96" i="12" s="1"/>
  <c r="J96" i="12"/>
  <c r="T96" i="12" s="1"/>
  <c r="K96" i="12"/>
  <c r="U96" i="12" s="1"/>
  <c r="L96" i="12"/>
  <c r="V96" i="12" s="1"/>
  <c r="G97" i="12"/>
  <c r="Q97" i="12"/>
  <c r="BH97" i="1"/>
  <c r="E97" i="12"/>
  <c r="O97" i="12" s="1"/>
  <c r="BI97" i="1"/>
  <c r="F97" i="12"/>
  <c r="P97" i="12"/>
  <c r="H97" i="12"/>
  <c r="R97" i="12"/>
  <c r="I97" i="12"/>
  <c r="S97" i="12"/>
  <c r="J97" i="12"/>
  <c r="T97" i="12"/>
  <c r="K97" i="12"/>
  <c r="U97" i="12"/>
  <c r="L97" i="12"/>
  <c r="V97" i="12"/>
  <c r="G98" i="12"/>
  <c r="Q98" i="12" s="1"/>
  <c r="BH98" i="1"/>
  <c r="E98" i="12"/>
  <c r="O98" i="12"/>
  <c r="BI98" i="1"/>
  <c r="F98" i="12"/>
  <c r="P98" i="12" s="1"/>
  <c r="BM98" i="1"/>
  <c r="H98" i="12"/>
  <c r="R98" i="12"/>
  <c r="BP98" i="1"/>
  <c r="I98" i="12"/>
  <c r="S98" i="12" s="1"/>
  <c r="BV98" i="1"/>
  <c r="J98" i="12"/>
  <c r="T98" i="12"/>
  <c r="BZ98" i="1"/>
  <c r="CB98" i="1"/>
  <c r="K98" i="12"/>
  <c r="U98" i="12"/>
  <c r="L98" i="12"/>
  <c r="V98" i="12"/>
  <c r="G99" i="12"/>
  <c r="Q99" i="12" s="1"/>
  <c r="BH99" i="1"/>
  <c r="E99" i="12"/>
  <c r="O99" i="12"/>
  <c r="BI99" i="1"/>
  <c r="F99" i="12"/>
  <c r="P99" i="12" s="1"/>
  <c r="BM99" i="1"/>
  <c r="H99" i="12"/>
  <c r="R99" i="12"/>
  <c r="BP99" i="1"/>
  <c r="I99" i="12"/>
  <c r="S99" i="12" s="1"/>
  <c r="BV99" i="1"/>
  <c r="J99" i="12"/>
  <c r="T99" i="12"/>
  <c r="BZ99" i="1"/>
  <c r="CB99" i="1"/>
  <c r="K99" i="12"/>
  <c r="U99" i="12"/>
  <c r="L99" i="12"/>
  <c r="V99" i="12"/>
  <c r="G100" i="12"/>
  <c r="Q100" i="12" s="1"/>
  <c r="BH100" i="1"/>
  <c r="E100" i="12"/>
  <c r="O100" i="12"/>
  <c r="BI100" i="1"/>
  <c r="F100" i="12"/>
  <c r="P100" i="12" s="1"/>
  <c r="BM100" i="1"/>
  <c r="H100" i="12"/>
  <c r="R100" i="12"/>
  <c r="BP100" i="1"/>
  <c r="I100" i="12"/>
  <c r="S100" i="12" s="1"/>
  <c r="BV100" i="1"/>
  <c r="J100" i="12"/>
  <c r="T100" i="12"/>
  <c r="BZ100" i="1"/>
  <c r="CB100" i="1"/>
  <c r="K100" i="12"/>
  <c r="U100" i="12"/>
  <c r="L100" i="12"/>
  <c r="V100" i="12"/>
  <c r="G101" i="12"/>
  <c r="Q101" i="12" s="1"/>
  <c r="BH101" i="1"/>
  <c r="E101" i="12"/>
  <c r="O101" i="12"/>
  <c r="BI101" i="1"/>
  <c r="F101" i="12"/>
  <c r="P101" i="12" s="1"/>
  <c r="BM101" i="1"/>
  <c r="H101" i="12"/>
  <c r="R101" i="12"/>
  <c r="BP101" i="1"/>
  <c r="I101" i="12"/>
  <c r="S101" i="12" s="1"/>
  <c r="BV101" i="1"/>
  <c r="J101" i="12"/>
  <c r="T101" i="12"/>
  <c r="BZ101" i="1"/>
  <c r="CB101" i="1"/>
  <c r="K101" i="12"/>
  <c r="U101" i="12"/>
  <c r="L101" i="12"/>
  <c r="V101" i="12"/>
  <c r="G102" i="12"/>
  <c r="Q102" i="12" s="1"/>
  <c r="BH102" i="1"/>
  <c r="E102" i="12"/>
  <c r="O102" i="12"/>
  <c r="BI102" i="1"/>
  <c r="F102" i="12"/>
  <c r="P102" i="12" s="1"/>
  <c r="BM102" i="1"/>
  <c r="H102" i="12"/>
  <c r="R102" i="12"/>
  <c r="BP102" i="1"/>
  <c r="I102" i="12"/>
  <c r="S102" i="12" s="1"/>
  <c r="BV102" i="1"/>
  <c r="J102" i="12"/>
  <c r="T102" i="12"/>
  <c r="BZ102" i="1"/>
  <c r="CB102" i="1"/>
  <c r="K102" i="12"/>
  <c r="U102" i="12"/>
  <c r="L102" i="12"/>
  <c r="V102" i="12"/>
  <c r="G103" i="12"/>
  <c r="Q103" i="12" s="1"/>
  <c r="BH103" i="1"/>
  <c r="E103" i="12"/>
  <c r="O103" i="12"/>
  <c r="BI103" i="1"/>
  <c r="F103" i="12"/>
  <c r="P103" i="12" s="1"/>
  <c r="BM103" i="1"/>
  <c r="H103" i="12"/>
  <c r="R103" i="12"/>
  <c r="BP103" i="1"/>
  <c r="I103" i="12"/>
  <c r="S103" i="12" s="1"/>
  <c r="BV103" i="1"/>
  <c r="J103" i="12"/>
  <c r="T103" i="12"/>
  <c r="BZ103" i="1"/>
  <c r="CB103" i="1"/>
  <c r="K103" i="12"/>
  <c r="U103" i="12"/>
  <c r="L103" i="12"/>
  <c r="V103" i="12"/>
  <c r="G104" i="12"/>
  <c r="Q104" i="12" s="1"/>
  <c r="BH104" i="1"/>
  <c r="E104" i="12"/>
  <c r="O104" i="12"/>
  <c r="BI104" i="1"/>
  <c r="F104" i="12"/>
  <c r="P104" i="12" s="1"/>
  <c r="BM104" i="1"/>
  <c r="H104" i="12"/>
  <c r="R104" i="12"/>
  <c r="BP104" i="1"/>
  <c r="I104" i="12"/>
  <c r="S104" i="12" s="1"/>
  <c r="BV104" i="1"/>
  <c r="J104" i="12"/>
  <c r="T104" i="12"/>
  <c r="BZ104" i="1"/>
  <c r="CB104" i="1"/>
  <c r="K104" i="12"/>
  <c r="U104" i="12"/>
  <c r="L104" i="12"/>
  <c r="V104" i="12"/>
  <c r="G105" i="12"/>
  <c r="Q105" i="12" s="1"/>
  <c r="BH105" i="1"/>
  <c r="E105" i="12"/>
  <c r="O105" i="12"/>
  <c r="BI105" i="1"/>
  <c r="F105" i="12"/>
  <c r="P105" i="12" s="1"/>
  <c r="BM105" i="1"/>
  <c r="H105" i="12"/>
  <c r="R105" i="12"/>
  <c r="BP105" i="1"/>
  <c r="I105" i="12"/>
  <c r="S105" i="12" s="1"/>
  <c r="BV105" i="1"/>
  <c r="J105" i="12"/>
  <c r="T105" i="12"/>
  <c r="BZ105" i="1"/>
  <c r="CB105" i="1"/>
  <c r="K105" i="12"/>
  <c r="U105" i="12"/>
  <c r="L105" i="12"/>
  <c r="V105" i="12"/>
  <c r="G106" i="12"/>
  <c r="Q106" i="12" s="1"/>
  <c r="BH106" i="1"/>
  <c r="E106" i="12"/>
  <c r="O106" i="12"/>
  <c r="BI106" i="1"/>
  <c r="F106" i="12"/>
  <c r="P106" i="12" s="1"/>
  <c r="BM106" i="1"/>
  <c r="H106" i="12"/>
  <c r="R106" i="12"/>
  <c r="BP106" i="1"/>
  <c r="I106" i="12"/>
  <c r="S106" i="12" s="1"/>
  <c r="BV106" i="1"/>
  <c r="J106" i="12"/>
  <c r="T106" i="12"/>
  <c r="BZ106" i="1"/>
  <c r="CB106" i="1"/>
  <c r="K106" i="12"/>
  <c r="U106" i="12"/>
  <c r="L106" i="12"/>
  <c r="V106" i="12"/>
  <c r="G107" i="12"/>
  <c r="Q107" i="12" s="1"/>
  <c r="BH107" i="1"/>
  <c r="E107" i="12"/>
  <c r="O107" i="12"/>
  <c r="BI107" i="1"/>
  <c r="F107" i="12"/>
  <c r="P107" i="12" s="1"/>
  <c r="BM107" i="1"/>
  <c r="H107" i="12"/>
  <c r="R107" i="12"/>
  <c r="BP107" i="1"/>
  <c r="I107" i="12"/>
  <c r="S107" i="12" s="1"/>
  <c r="BV107" i="1"/>
  <c r="J107" i="12"/>
  <c r="T107" i="12"/>
  <c r="BZ107" i="1"/>
  <c r="CB107" i="1"/>
  <c r="K107" i="12"/>
  <c r="U107" i="12"/>
  <c r="L107" i="12"/>
  <c r="V107" i="12"/>
  <c r="G108" i="12"/>
  <c r="Q108" i="12" s="1"/>
  <c r="BH108" i="1"/>
  <c r="E108" i="12"/>
  <c r="O108" i="12"/>
  <c r="BI108" i="1"/>
  <c r="F108" i="12"/>
  <c r="P108" i="12" s="1"/>
  <c r="BM108" i="1"/>
  <c r="H108" i="12"/>
  <c r="R108" i="12"/>
  <c r="BP108" i="1"/>
  <c r="I108" i="12"/>
  <c r="S108" i="12" s="1"/>
  <c r="BV108" i="1"/>
  <c r="J108" i="12"/>
  <c r="T108" i="12"/>
  <c r="BZ108" i="1"/>
  <c r="CB108" i="1"/>
  <c r="K108" i="12"/>
  <c r="U108" i="12"/>
  <c r="L108" i="12"/>
  <c r="V108" i="12"/>
  <c r="G109" i="12"/>
  <c r="Q109" i="12" s="1"/>
  <c r="BH109" i="1"/>
  <c r="E109" i="12"/>
  <c r="O109" i="12"/>
  <c r="BI109" i="1"/>
  <c r="F109" i="12"/>
  <c r="P109" i="12" s="1"/>
  <c r="BM109" i="1"/>
  <c r="H109" i="12"/>
  <c r="R109" i="12"/>
  <c r="BP109" i="1"/>
  <c r="I109" i="12"/>
  <c r="S109" i="12" s="1"/>
  <c r="BV109" i="1"/>
  <c r="J109" i="12"/>
  <c r="T109" i="12"/>
  <c r="BZ109" i="1"/>
  <c r="CB109" i="1"/>
  <c r="K109" i="12"/>
  <c r="U109" i="12"/>
  <c r="L109" i="12"/>
  <c r="V109" i="12"/>
  <c r="G110" i="12"/>
  <c r="Q110" i="12" s="1"/>
  <c r="BH110" i="1"/>
  <c r="E110" i="12"/>
  <c r="O110" i="12"/>
  <c r="BI110" i="1"/>
  <c r="F110" i="12"/>
  <c r="P110" i="12" s="1"/>
  <c r="BM110" i="1"/>
  <c r="H110" i="12"/>
  <c r="R110" i="12"/>
  <c r="BP110" i="1"/>
  <c r="I110" i="12"/>
  <c r="S110" i="12" s="1"/>
  <c r="BV110" i="1"/>
  <c r="J110" i="12"/>
  <c r="T110" i="12"/>
  <c r="BZ110" i="1"/>
  <c r="CB110" i="1"/>
  <c r="K110" i="12"/>
  <c r="U110" i="12"/>
  <c r="L110" i="12"/>
  <c r="V110" i="12"/>
  <c r="G111" i="12"/>
  <c r="Q111" i="12" s="1"/>
  <c r="BH111" i="1"/>
  <c r="E111" i="12"/>
  <c r="O111" i="12"/>
  <c r="BI111" i="1"/>
  <c r="F111" i="12"/>
  <c r="P111" i="12" s="1"/>
  <c r="BM111" i="1"/>
  <c r="H111" i="12"/>
  <c r="R111" i="12"/>
  <c r="BP111" i="1"/>
  <c r="I111" i="12"/>
  <c r="S111" i="12" s="1"/>
  <c r="BV111" i="1"/>
  <c r="J111" i="12"/>
  <c r="T111" i="12"/>
  <c r="BZ111" i="1"/>
  <c r="CB111" i="1"/>
  <c r="K111" i="12"/>
  <c r="U111" i="12"/>
  <c r="L111" i="12"/>
  <c r="V111" i="12"/>
  <c r="G112" i="12"/>
  <c r="Q112" i="12" s="1"/>
  <c r="BH112" i="1"/>
  <c r="E112" i="12"/>
  <c r="O112" i="12"/>
  <c r="BI112" i="1"/>
  <c r="F112" i="12"/>
  <c r="P112" i="12" s="1"/>
  <c r="BM112" i="1"/>
  <c r="H112" i="12"/>
  <c r="R112" i="12"/>
  <c r="BP112" i="1"/>
  <c r="I112" i="12"/>
  <c r="S112" i="12" s="1"/>
  <c r="BV112" i="1"/>
  <c r="J112" i="12"/>
  <c r="T112" i="12"/>
  <c r="BZ112" i="1"/>
  <c r="CB112" i="1"/>
  <c r="K112" i="12"/>
  <c r="U112" i="12"/>
  <c r="L112" i="12"/>
  <c r="V112" i="12"/>
  <c r="G113" i="12"/>
  <c r="Q113" i="12" s="1"/>
  <c r="BH113" i="1"/>
  <c r="E113" i="12"/>
  <c r="O113" i="12"/>
  <c r="BI113" i="1"/>
  <c r="F113" i="12"/>
  <c r="P113" i="12" s="1"/>
  <c r="BM113" i="1"/>
  <c r="H113" i="12"/>
  <c r="R113" i="12"/>
  <c r="BP113" i="1"/>
  <c r="I113" i="12"/>
  <c r="S113" i="12" s="1"/>
  <c r="BV113" i="1"/>
  <c r="J113" i="12"/>
  <c r="T113" i="12"/>
  <c r="BZ113" i="1"/>
  <c r="CB113" i="1"/>
  <c r="K113" i="12"/>
  <c r="U113" i="12"/>
  <c r="L113" i="12"/>
  <c r="V113" i="12"/>
  <c r="G114" i="12"/>
  <c r="Q114" i="12" s="1"/>
  <c r="BH114" i="1"/>
  <c r="E114" i="12"/>
  <c r="O114" i="12"/>
  <c r="BI114" i="1"/>
  <c r="F114" i="12"/>
  <c r="P114" i="12" s="1"/>
  <c r="BM114" i="1"/>
  <c r="H114" i="12"/>
  <c r="R114" i="12"/>
  <c r="BP114" i="1"/>
  <c r="I114" i="12"/>
  <c r="S114" i="12" s="1"/>
  <c r="BV114" i="1"/>
  <c r="J114" i="12"/>
  <c r="T114" i="12" s="1"/>
  <c r="BZ114" i="1"/>
  <c r="CB114" i="1"/>
  <c r="K114" i="12"/>
  <c r="U114" i="12" s="1"/>
  <c r="L114" i="12"/>
  <c r="V114" i="12"/>
  <c r="G115" i="12"/>
  <c r="Q115" i="12" s="1"/>
  <c r="BH115" i="1"/>
  <c r="E115" i="12"/>
  <c r="O115" i="12"/>
  <c r="BI115" i="1"/>
  <c r="F115" i="12"/>
  <c r="P115" i="12" s="1"/>
  <c r="BM115" i="1"/>
  <c r="H115" i="12"/>
  <c r="R115" i="12"/>
  <c r="BP115" i="1"/>
  <c r="I115" i="12"/>
  <c r="S115" i="12" s="1"/>
  <c r="BV115" i="1"/>
  <c r="J115" i="12"/>
  <c r="T115" i="12" s="1"/>
  <c r="BZ115" i="1"/>
  <c r="CB115" i="1"/>
  <c r="K115" i="12"/>
  <c r="U115" i="12" s="1"/>
  <c r="L115" i="12"/>
  <c r="V115" i="12"/>
  <c r="G116" i="12"/>
  <c r="Q116" i="12" s="1"/>
  <c r="BH116" i="1"/>
  <c r="E116" i="12"/>
  <c r="O116" i="12"/>
  <c r="BI116" i="1"/>
  <c r="F116" i="12"/>
  <c r="P116" i="12" s="1"/>
  <c r="BM116" i="1"/>
  <c r="H116" i="12"/>
  <c r="R116" i="12"/>
  <c r="BP116" i="1"/>
  <c r="I116" i="12"/>
  <c r="S116" i="12" s="1"/>
  <c r="BV116" i="1"/>
  <c r="J116" i="12"/>
  <c r="T116" i="12" s="1"/>
  <c r="BZ116" i="1"/>
  <c r="CB116" i="1"/>
  <c r="K116" i="12"/>
  <c r="U116" i="12" s="1"/>
  <c r="L116" i="12"/>
  <c r="V116" i="12" s="1"/>
  <c r="G117" i="12"/>
  <c r="Q117" i="12"/>
  <c r="BH117" i="1"/>
  <c r="E117" i="12"/>
  <c r="O117" i="12" s="1"/>
  <c r="BI117" i="1"/>
  <c r="F117" i="12"/>
  <c r="P117" i="12"/>
  <c r="BM117" i="1"/>
  <c r="H117" i="12"/>
  <c r="R117" i="12" s="1"/>
  <c r="BP117" i="1"/>
  <c r="I117" i="12"/>
  <c r="S117" i="12"/>
  <c r="BV117" i="1"/>
  <c r="J117" i="12"/>
  <c r="T117" i="12" s="1"/>
  <c r="BZ117" i="1"/>
  <c r="CB117" i="1"/>
  <c r="K117" i="12"/>
  <c r="U117" i="12" s="1"/>
  <c r="L117" i="12"/>
  <c r="V117" i="12" s="1"/>
  <c r="G118" i="12"/>
  <c r="Q118" i="12"/>
  <c r="BH118" i="1"/>
  <c r="E118" i="12"/>
  <c r="O118" i="12" s="1"/>
  <c r="BI118" i="1"/>
  <c r="F118" i="12"/>
  <c r="P118" i="12"/>
  <c r="BM118" i="1"/>
  <c r="H118" i="12"/>
  <c r="R118" i="12" s="1"/>
  <c r="BP118" i="1"/>
  <c r="I118" i="12"/>
  <c r="S118" i="12"/>
  <c r="BV118" i="1"/>
  <c r="J118" i="12"/>
  <c r="T118" i="12" s="1"/>
  <c r="BZ118" i="1"/>
  <c r="CB118" i="1"/>
  <c r="K118" i="12"/>
  <c r="U118" i="12" s="1"/>
  <c r="L118" i="12"/>
  <c r="V118" i="12" s="1"/>
  <c r="G119" i="12"/>
  <c r="Q119" i="12"/>
  <c r="BH119" i="1"/>
  <c r="E119" i="12"/>
  <c r="O119" i="12" s="1"/>
  <c r="BI119" i="1"/>
  <c r="F119" i="12"/>
  <c r="P119" i="12"/>
  <c r="BM119" i="1"/>
  <c r="H119" i="12"/>
  <c r="R119" i="12" s="1"/>
  <c r="BP119" i="1"/>
  <c r="I119" i="12"/>
  <c r="S119" i="12"/>
  <c r="BV119" i="1"/>
  <c r="J119" i="12"/>
  <c r="T119" i="12" s="1"/>
  <c r="BZ119" i="1"/>
  <c r="CB119" i="1"/>
  <c r="K119" i="12"/>
  <c r="U119" i="12" s="1"/>
  <c r="L119" i="12"/>
  <c r="V119" i="12" s="1"/>
  <c r="G120" i="12"/>
  <c r="Q120" i="12"/>
  <c r="BH120" i="1"/>
  <c r="E120" i="12"/>
  <c r="O120" i="12" s="1"/>
  <c r="BI120" i="1"/>
  <c r="F120" i="12"/>
  <c r="P120" i="12"/>
  <c r="BM120" i="1"/>
  <c r="H120" i="12"/>
  <c r="R120" i="12" s="1"/>
  <c r="BP120" i="1"/>
  <c r="I120" i="12"/>
  <c r="S120" i="12"/>
  <c r="BV120" i="1"/>
  <c r="J120" i="12"/>
  <c r="T120" i="12" s="1"/>
  <c r="BZ120" i="1"/>
  <c r="CB120" i="1"/>
  <c r="K120" i="12"/>
  <c r="U120" i="12" s="1"/>
  <c r="L120" i="12"/>
  <c r="V120" i="12" s="1"/>
  <c r="G121" i="12"/>
  <c r="Q121" i="12"/>
  <c r="BH121" i="1"/>
  <c r="E121" i="12"/>
  <c r="O121" i="12" s="1"/>
  <c r="BI121" i="1"/>
  <c r="F121" i="12"/>
  <c r="P121" i="12"/>
  <c r="BM121" i="1"/>
  <c r="H121" i="12"/>
  <c r="R121" i="12" s="1"/>
  <c r="BP121" i="1"/>
  <c r="I121" i="12"/>
  <c r="S121" i="12"/>
  <c r="BV121" i="1"/>
  <c r="J121" i="12"/>
  <c r="T121" i="12" s="1"/>
  <c r="BZ121" i="1"/>
  <c r="CB121" i="1"/>
  <c r="K121" i="12"/>
  <c r="U121" i="12" s="1"/>
  <c r="L121" i="12"/>
  <c r="V121" i="12" s="1"/>
  <c r="A2" i="11"/>
  <c r="C2" i="11"/>
  <c r="A3" i="11"/>
  <c r="C3" i="11"/>
  <c r="A4" i="11"/>
  <c r="C4" i="11"/>
  <c r="A5" i="11"/>
  <c r="C5" i="11"/>
  <c r="A6" i="11"/>
  <c r="C6" i="11"/>
  <c r="A7" i="11"/>
  <c r="C7" i="11"/>
  <c r="A8" i="11"/>
  <c r="C8" i="11"/>
  <c r="A9" i="11"/>
  <c r="C9" i="11"/>
  <c r="A10" i="11"/>
  <c r="C10" i="11"/>
  <c r="A11" i="11"/>
  <c r="C11" i="11"/>
  <c r="A12" i="11"/>
  <c r="C12" i="11"/>
  <c r="A13" i="11"/>
  <c r="C13" i="11"/>
  <c r="A14" i="11"/>
  <c r="C14" i="11"/>
  <c r="A15" i="11"/>
  <c r="C15" i="11"/>
  <c r="A16" i="11"/>
  <c r="C16" i="11"/>
  <c r="A17" i="11"/>
  <c r="C17" i="11"/>
  <c r="A18" i="11"/>
  <c r="C18" i="11"/>
  <c r="A19" i="11"/>
  <c r="C19" i="11"/>
  <c r="A20" i="11"/>
  <c r="C20" i="11"/>
  <c r="A21" i="11"/>
  <c r="C21" i="11"/>
  <c r="A22" i="11"/>
  <c r="C22" i="11"/>
  <c r="A23" i="11"/>
  <c r="C23" i="11"/>
  <c r="A24" i="11"/>
  <c r="C24" i="11"/>
  <c r="A25" i="11"/>
  <c r="C25" i="11"/>
  <c r="A26" i="11"/>
  <c r="C26" i="11"/>
  <c r="A27" i="11"/>
  <c r="C27" i="11"/>
  <c r="A28" i="11"/>
  <c r="C28" i="11"/>
  <c r="A29" i="11"/>
  <c r="C29" i="11"/>
  <c r="A30" i="11"/>
  <c r="C30" i="11"/>
  <c r="A31" i="11"/>
  <c r="C31" i="11"/>
  <c r="A32" i="11"/>
  <c r="C32" i="11"/>
  <c r="A33" i="11"/>
  <c r="C33" i="11"/>
  <c r="A34" i="11"/>
  <c r="C34" i="11"/>
  <c r="A35" i="11"/>
  <c r="C35" i="11"/>
  <c r="A36" i="11"/>
  <c r="C36" i="11"/>
  <c r="A37" i="11"/>
  <c r="C37" i="11"/>
  <c r="A38" i="11"/>
  <c r="C38" i="11"/>
  <c r="A39" i="11"/>
  <c r="C39" i="11"/>
  <c r="A40" i="11"/>
  <c r="C40" i="11"/>
  <c r="A41" i="11"/>
  <c r="C41" i="11"/>
  <c r="A42" i="11"/>
  <c r="C42" i="11"/>
  <c r="A43" i="11"/>
  <c r="C43" i="11"/>
  <c r="A44" i="11"/>
  <c r="C44" i="11"/>
  <c r="A45" i="11"/>
  <c r="C45" i="11"/>
  <c r="A46" i="11"/>
  <c r="C46" i="11"/>
  <c r="A47" i="11"/>
  <c r="C47" i="11"/>
  <c r="A48" i="11"/>
  <c r="C48" i="11"/>
  <c r="A49" i="11"/>
  <c r="C49" i="11"/>
  <c r="A50" i="11"/>
  <c r="C50" i="11"/>
  <c r="A51" i="11"/>
  <c r="C51" i="11"/>
  <c r="A52" i="11"/>
  <c r="C52" i="11"/>
  <c r="A53" i="11"/>
  <c r="C53" i="11"/>
  <c r="A54" i="11"/>
  <c r="C54" i="11"/>
  <c r="A55" i="11"/>
  <c r="C55" i="11"/>
  <c r="A56" i="11"/>
  <c r="C56" i="11"/>
  <c r="A57" i="11"/>
  <c r="C57" i="11"/>
  <c r="A58" i="11"/>
  <c r="C58" i="11"/>
  <c r="A59" i="11"/>
  <c r="C59" i="11"/>
  <c r="A60" i="11"/>
  <c r="C60" i="11"/>
  <c r="A61" i="11"/>
  <c r="C61" i="11"/>
  <c r="A62" i="11"/>
  <c r="C62" i="11"/>
  <c r="A63" i="11"/>
  <c r="C63" i="11"/>
  <c r="A64" i="11"/>
  <c r="C64" i="11"/>
  <c r="A65" i="11"/>
  <c r="C65" i="11"/>
  <c r="A66" i="11"/>
  <c r="C66" i="11"/>
  <c r="A67" i="11"/>
  <c r="C67" i="11"/>
  <c r="A68" i="11"/>
  <c r="C68" i="11"/>
  <c r="A69" i="11"/>
  <c r="C69" i="11"/>
  <c r="A70" i="11"/>
  <c r="C70" i="11"/>
  <c r="A71" i="11"/>
  <c r="C71" i="11"/>
  <c r="A72" i="11"/>
  <c r="C72" i="11"/>
  <c r="A73" i="11"/>
  <c r="C73" i="11"/>
  <c r="A74" i="11"/>
  <c r="C74" i="11"/>
  <c r="A75" i="11"/>
  <c r="C75" i="11"/>
  <c r="A76" i="11"/>
  <c r="C76" i="11"/>
  <c r="A77" i="11"/>
  <c r="C77" i="11"/>
  <c r="A78" i="11"/>
  <c r="C78" i="11"/>
  <c r="A79" i="11"/>
  <c r="C79" i="11"/>
  <c r="A80" i="11"/>
  <c r="C80" i="11"/>
  <c r="A81" i="11"/>
  <c r="C81" i="11"/>
  <c r="A82" i="11"/>
  <c r="C82" i="11"/>
  <c r="A83" i="11"/>
  <c r="C83" i="11"/>
  <c r="A84" i="11"/>
  <c r="C84" i="11"/>
  <c r="A85" i="11"/>
  <c r="C85" i="11"/>
  <c r="A86" i="11"/>
  <c r="C86" i="11"/>
  <c r="A87" i="11"/>
  <c r="C87" i="11"/>
  <c r="A88" i="11"/>
  <c r="C88" i="11"/>
  <c r="A89" i="11"/>
  <c r="C89" i="11"/>
  <c r="A90" i="11"/>
  <c r="C90" i="11"/>
  <c r="A91" i="11"/>
  <c r="C91" i="11"/>
  <c r="A92" i="11"/>
  <c r="C92" i="11"/>
  <c r="A93" i="11"/>
  <c r="C93" i="11"/>
  <c r="A94" i="11"/>
  <c r="C94" i="11"/>
  <c r="A95" i="11"/>
  <c r="C95" i="11"/>
  <c r="A96" i="11"/>
  <c r="C96" i="11"/>
  <c r="A97" i="11"/>
  <c r="C97" i="11"/>
  <c r="A98" i="11"/>
  <c r="C98" i="11"/>
  <c r="A99" i="11"/>
  <c r="C99" i="11"/>
  <c r="A100" i="11"/>
  <c r="C100" i="11"/>
  <c r="A101" i="11"/>
  <c r="C101" i="11"/>
  <c r="A102" i="11"/>
  <c r="C102" i="11"/>
  <c r="A103" i="11"/>
  <c r="C103" i="11"/>
  <c r="A104" i="11"/>
  <c r="C104" i="11"/>
  <c r="A105" i="11"/>
  <c r="C105" i="11"/>
  <c r="A106" i="11"/>
  <c r="C106" i="11"/>
  <c r="A107" i="11"/>
  <c r="C107" i="11"/>
  <c r="A108" i="11"/>
  <c r="C108" i="11"/>
  <c r="A109" i="11"/>
  <c r="C109" i="11"/>
  <c r="A110" i="11"/>
  <c r="C110" i="11"/>
  <c r="A111" i="11"/>
  <c r="C111" i="11"/>
  <c r="A112" i="11"/>
  <c r="C112" i="11"/>
  <c r="A113" i="11"/>
  <c r="C113" i="11"/>
  <c r="A114" i="11"/>
  <c r="C114" i="11"/>
  <c r="A115" i="11"/>
  <c r="C115" i="11"/>
  <c r="A116" i="11"/>
  <c r="C116" i="11"/>
  <c r="A117" i="11"/>
  <c r="C117" i="11"/>
  <c r="A118" i="11"/>
  <c r="C118" i="11"/>
  <c r="A119" i="11"/>
  <c r="C119" i="11"/>
  <c r="A120" i="11"/>
  <c r="C120" i="11"/>
  <c r="A121" i="11"/>
  <c r="C121" i="11"/>
  <c r="D1" i="11"/>
  <c r="E2" i="11"/>
  <c r="N2" i="11"/>
  <c r="F2" i="11"/>
  <c r="O2" i="11"/>
  <c r="G2" i="11"/>
  <c r="P2" i="11"/>
  <c r="H2" i="11"/>
  <c r="Q2" i="11"/>
  <c r="I2" i="11"/>
  <c r="R2" i="11"/>
  <c r="J2" i="11"/>
  <c r="S2" i="11"/>
  <c r="K2" i="11"/>
  <c r="T2" i="11"/>
  <c r="U2" i="11"/>
  <c r="E3" i="11"/>
  <c r="N3" i="11"/>
  <c r="F3" i="11"/>
  <c r="O3" i="11"/>
  <c r="G3" i="11"/>
  <c r="P3" i="11"/>
  <c r="H3" i="11"/>
  <c r="Q3" i="11"/>
  <c r="I3" i="11"/>
  <c r="R3" i="11"/>
  <c r="J3" i="11"/>
  <c r="S3" i="11"/>
  <c r="K3" i="11"/>
  <c r="T3" i="11"/>
  <c r="U3" i="11"/>
  <c r="E4" i="11"/>
  <c r="N4" i="11"/>
  <c r="F4" i="11"/>
  <c r="O4" i="11"/>
  <c r="G4" i="11"/>
  <c r="P4" i="11"/>
  <c r="H4" i="11"/>
  <c r="Q4" i="11"/>
  <c r="I4" i="11"/>
  <c r="R4" i="11"/>
  <c r="J4" i="11"/>
  <c r="S4" i="11"/>
  <c r="K4" i="11"/>
  <c r="T4" i="11"/>
  <c r="U4" i="11"/>
  <c r="E5" i="11"/>
  <c r="N5" i="11"/>
  <c r="F5" i="11"/>
  <c r="O5" i="11"/>
  <c r="G5" i="11"/>
  <c r="P5" i="11"/>
  <c r="H5" i="11"/>
  <c r="Q5" i="11"/>
  <c r="I5" i="11"/>
  <c r="R5" i="11"/>
  <c r="J5" i="11"/>
  <c r="S5" i="11"/>
  <c r="K5" i="11"/>
  <c r="T5" i="11"/>
  <c r="U5" i="11"/>
  <c r="E6" i="11"/>
  <c r="N6" i="11"/>
  <c r="F6" i="11"/>
  <c r="O6" i="11"/>
  <c r="G6" i="11"/>
  <c r="P6" i="11"/>
  <c r="H6" i="11"/>
  <c r="Q6" i="11"/>
  <c r="I6" i="11"/>
  <c r="R6" i="11"/>
  <c r="J6" i="11"/>
  <c r="S6" i="11"/>
  <c r="K6" i="11"/>
  <c r="T6" i="11"/>
  <c r="U6" i="11"/>
  <c r="E7" i="11"/>
  <c r="N7" i="11"/>
  <c r="F7" i="11"/>
  <c r="O7" i="11"/>
  <c r="G7" i="11"/>
  <c r="P7" i="11"/>
  <c r="H7" i="11"/>
  <c r="Q7" i="11"/>
  <c r="I7" i="11"/>
  <c r="R7" i="11"/>
  <c r="J7" i="11"/>
  <c r="S7" i="11"/>
  <c r="K7" i="11"/>
  <c r="T7" i="11"/>
  <c r="U7" i="11"/>
  <c r="E8" i="11"/>
  <c r="N8" i="11"/>
  <c r="F8" i="11"/>
  <c r="O8" i="11"/>
  <c r="G8" i="11"/>
  <c r="P8" i="11"/>
  <c r="H8" i="11"/>
  <c r="Q8" i="11"/>
  <c r="I8" i="11"/>
  <c r="R8" i="11"/>
  <c r="J8" i="11"/>
  <c r="S8" i="11"/>
  <c r="K8" i="11"/>
  <c r="T8" i="11"/>
  <c r="U8" i="11"/>
  <c r="E9" i="11"/>
  <c r="N9" i="11"/>
  <c r="F9" i="11"/>
  <c r="O9" i="11"/>
  <c r="G9" i="11"/>
  <c r="P9" i="11"/>
  <c r="H9" i="11"/>
  <c r="Q9" i="11"/>
  <c r="I9" i="11"/>
  <c r="R9" i="11"/>
  <c r="J9" i="11"/>
  <c r="S9" i="11"/>
  <c r="K9" i="11"/>
  <c r="T9" i="11"/>
  <c r="U9" i="11"/>
  <c r="E10" i="11"/>
  <c r="N10" i="11"/>
  <c r="F10" i="11"/>
  <c r="O10" i="11"/>
  <c r="G10" i="11"/>
  <c r="P10" i="11"/>
  <c r="H10" i="11"/>
  <c r="Q10" i="11"/>
  <c r="I10" i="11"/>
  <c r="R10" i="11"/>
  <c r="J10" i="11"/>
  <c r="S10" i="11"/>
  <c r="K10" i="11"/>
  <c r="T10" i="11"/>
  <c r="U10" i="11"/>
  <c r="E11" i="11"/>
  <c r="N11" i="11"/>
  <c r="F11" i="11"/>
  <c r="O11" i="11"/>
  <c r="G11" i="11"/>
  <c r="P11" i="11"/>
  <c r="H11" i="11"/>
  <c r="Q11" i="11"/>
  <c r="I11" i="11"/>
  <c r="R11" i="11"/>
  <c r="J11" i="11"/>
  <c r="S11" i="11"/>
  <c r="K11" i="11"/>
  <c r="T11" i="11"/>
  <c r="U11" i="11"/>
  <c r="E12" i="11"/>
  <c r="N12" i="11"/>
  <c r="F12" i="11"/>
  <c r="O12" i="11"/>
  <c r="G12" i="11"/>
  <c r="P12" i="11"/>
  <c r="H12" i="11"/>
  <c r="Q12" i="11"/>
  <c r="I12" i="11"/>
  <c r="R12" i="11"/>
  <c r="J12" i="11"/>
  <c r="S12" i="11"/>
  <c r="K12" i="11"/>
  <c r="T12" i="11"/>
  <c r="U12" i="11"/>
  <c r="E13" i="11"/>
  <c r="N13" i="11"/>
  <c r="F13" i="11"/>
  <c r="O13" i="11"/>
  <c r="G13" i="11"/>
  <c r="P13" i="11"/>
  <c r="H13" i="11"/>
  <c r="Q13" i="11"/>
  <c r="I13" i="11"/>
  <c r="R13" i="11"/>
  <c r="J13" i="11"/>
  <c r="S13" i="11"/>
  <c r="K13" i="11"/>
  <c r="T13" i="11"/>
  <c r="U13" i="11"/>
  <c r="E14" i="11"/>
  <c r="N14" i="11"/>
  <c r="F14" i="11"/>
  <c r="O14" i="11"/>
  <c r="G14" i="11"/>
  <c r="P14" i="11"/>
  <c r="H14" i="11"/>
  <c r="Q14" i="11"/>
  <c r="I14" i="11"/>
  <c r="R14" i="11"/>
  <c r="J14" i="11"/>
  <c r="S14" i="11"/>
  <c r="K14" i="11"/>
  <c r="T14" i="11"/>
  <c r="U14" i="11"/>
  <c r="E15" i="11"/>
  <c r="N15" i="11"/>
  <c r="F15" i="11"/>
  <c r="O15" i="11"/>
  <c r="G15" i="11"/>
  <c r="P15" i="11"/>
  <c r="H15" i="11"/>
  <c r="Q15" i="11"/>
  <c r="I15" i="11"/>
  <c r="R15" i="11"/>
  <c r="J15" i="11"/>
  <c r="S15" i="11"/>
  <c r="K15" i="11"/>
  <c r="T15" i="11"/>
  <c r="U15" i="11"/>
  <c r="E16" i="11"/>
  <c r="N16" i="11"/>
  <c r="F16" i="11"/>
  <c r="O16" i="11"/>
  <c r="G16" i="11"/>
  <c r="P16" i="11"/>
  <c r="H16" i="11"/>
  <c r="Q16" i="11"/>
  <c r="I16" i="11"/>
  <c r="R16" i="11"/>
  <c r="J16" i="11"/>
  <c r="S16" i="11"/>
  <c r="K16" i="11"/>
  <c r="T16" i="11"/>
  <c r="U16" i="11"/>
  <c r="E17" i="11"/>
  <c r="N17" i="11"/>
  <c r="F17" i="11"/>
  <c r="O17" i="11"/>
  <c r="G17" i="11"/>
  <c r="P17" i="11"/>
  <c r="H17" i="11"/>
  <c r="Q17" i="11"/>
  <c r="I17" i="11"/>
  <c r="R17" i="11"/>
  <c r="J17" i="11"/>
  <c r="S17" i="11"/>
  <c r="K17" i="11"/>
  <c r="T17" i="11"/>
  <c r="U17" i="11"/>
  <c r="E18" i="11"/>
  <c r="N18" i="11"/>
  <c r="F18" i="11"/>
  <c r="O18" i="11"/>
  <c r="G18" i="11"/>
  <c r="P18" i="11"/>
  <c r="H18" i="11"/>
  <c r="Q18" i="11"/>
  <c r="I18" i="11"/>
  <c r="R18" i="11"/>
  <c r="J18" i="11"/>
  <c r="S18" i="11"/>
  <c r="K18" i="11"/>
  <c r="T18" i="11"/>
  <c r="U18" i="11"/>
  <c r="E19" i="11"/>
  <c r="N19" i="11"/>
  <c r="F19" i="11"/>
  <c r="O19" i="11"/>
  <c r="G19" i="11"/>
  <c r="P19" i="11"/>
  <c r="H19" i="11"/>
  <c r="Q19" i="11"/>
  <c r="I19" i="11"/>
  <c r="R19" i="11"/>
  <c r="J19" i="11"/>
  <c r="S19" i="11"/>
  <c r="K19" i="11"/>
  <c r="T19" i="11"/>
  <c r="U19" i="11"/>
  <c r="E20" i="11"/>
  <c r="N20" i="11"/>
  <c r="F20" i="11"/>
  <c r="O20" i="11"/>
  <c r="G20" i="11"/>
  <c r="P20" i="11"/>
  <c r="H20" i="11"/>
  <c r="Q20" i="11"/>
  <c r="I20" i="11"/>
  <c r="R20" i="11"/>
  <c r="J20" i="11"/>
  <c r="S20" i="11"/>
  <c r="K20" i="11"/>
  <c r="T20" i="11"/>
  <c r="U20" i="11"/>
  <c r="E21" i="11"/>
  <c r="N21" i="11"/>
  <c r="F21" i="11"/>
  <c r="O21" i="11"/>
  <c r="G21" i="11"/>
  <c r="P21" i="11"/>
  <c r="H21" i="11"/>
  <c r="Q21" i="11"/>
  <c r="I21" i="11"/>
  <c r="R21" i="11"/>
  <c r="J21" i="11"/>
  <c r="S21" i="11"/>
  <c r="K21" i="11"/>
  <c r="T21" i="11"/>
  <c r="U21" i="11"/>
  <c r="E22" i="11"/>
  <c r="N22" i="11"/>
  <c r="F22" i="11"/>
  <c r="O22" i="11"/>
  <c r="G22" i="11"/>
  <c r="P22" i="11"/>
  <c r="H22" i="11"/>
  <c r="Q22" i="11"/>
  <c r="I22" i="11"/>
  <c r="R22" i="11"/>
  <c r="J22" i="11"/>
  <c r="S22" i="11"/>
  <c r="K22" i="11"/>
  <c r="T22" i="11"/>
  <c r="U22" i="11"/>
  <c r="E23" i="11"/>
  <c r="N23" i="11"/>
  <c r="F23" i="11"/>
  <c r="O23" i="11"/>
  <c r="G23" i="11"/>
  <c r="P23" i="11"/>
  <c r="H23" i="11"/>
  <c r="Q23" i="11"/>
  <c r="I23" i="11"/>
  <c r="R23" i="11"/>
  <c r="J23" i="11"/>
  <c r="S23" i="11"/>
  <c r="K23" i="11"/>
  <c r="T23" i="11"/>
  <c r="U23" i="11"/>
  <c r="E24" i="11"/>
  <c r="N24" i="11"/>
  <c r="F24" i="11"/>
  <c r="O24" i="11"/>
  <c r="G24" i="11"/>
  <c r="P24" i="11"/>
  <c r="H24" i="11"/>
  <c r="Q24" i="11"/>
  <c r="I24" i="11"/>
  <c r="R24" i="11"/>
  <c r="J24" i="11"/>
  <c r="S24" i="11"/>
  <c r="K24" i="11"/>
  <c r="T24" i="11"/>
  <c r="U24" i="11"/>
  <c r="E25" i="11"/>
  <c r="N25" i="11"/>
  <c r="F25" i="11"/>
  <c r="O25" i="11"/>
  <c r="G25" i="11"/>
  <c r="P25" i="11"/>
  <c r="H25" i="11"/>
  <c r="Q25" i="11"/>
  <c r="I25" i="11"/>
  <c r="R25" i="11"/>
  <c r="J25" i="11"/>
  <c r="S25" i="11"/>
  <c r="K25" i="11"/>
  <c r="T25" i="11"/>
  <c r="U25" i="11"/>
  <c r="E26" i="11"/>
  <c r="N26" i="11"/>
  <c r="F26" i="11"/>
  <c r="O26" i="11"/>
  <c r="G26" i="11"/>
  <c r="P26" i="11"/>
  <c r="H26" i="11"/>
  <c r="Q26" i="11"/>
  <c r="I26" i="11"/>
  <c r="R26" i="11"/>
  <c r="J26" i="11"/>
  <c r="S26" i="11"/>
  <c r="K26" i="11"/>
  <c r="T26" i="11"/>
  <c r="U26" i="11"/>
  <c r="E27" i="11"/>
  <c r="N27" i="11"/>
  <c r="F27" i="11"/>
  <c r="O27" i="11"/>
  <c r="G27" i="11"/>
  <c r="P27" i="11"/>
  <c r="H27" i="11"/>
  <c r="Q27" i="11"/>
  <c r="I27" i="11"/>
  <c r="R27" i="11"/>
  <c r="J27" i="11"/>
  <c r="S27" i="11"/>
  <c r="K27" i="11"/>
  <c r="T27" i="11"/>
  <c r="U27" i="11"/>
  <c r="E28" i="11"/>
  <c r="N28" i="11"/>
  <c r="F28" i="11"/>
  <c r="O28" i="11"/>
  <c r="G28" i="11"/>
  <c r="P28" i="11"/>
  <c r="H28" i="11"/>
  <c r="Q28" i="11"/>
  <c r="I28" i="11"/>
  <c r="R28" i="11"/>
  <c r="J28" i="11"/>
  <c r="S28" i="11"/>
  <c r="K28" i="11"/>
  <c r="T28" i="11"/>
  <c r="U28" i="11"/>
  <c r="E29" i="11"/>
  <c r="N29" i="11"/>
  <c r="F29" i="11"/>
  <c r="O29" i="11"/>
  <c r="G29" i="11"/>
  <c r="P29" i="11"/>
  <c r="H29" i="11"/>
  <c r="Q29" i="11"/>
  <c r="I29" i="11"/>
  <c r="R29" i="11"/>
  <c r="J29" i="11"/>
  <c r="S29" i="11"/>
  <c r="K29" i="11"/>
  <c r="T29" i="11"/>
  <c r="U29" i="11"/>
  <c r="E30" i="11"/>
  <c r="N30" i="11"/>
  <c r="F30" i="11"/>
  <c r="O30" i="11"/>
  <c r="G30" i="11"/>
  <c r="P30" i="11"/>
  <c r="H30" i="11"/>
  <c r="Q30" i="11"/>
  <c r="I30" i="11"/>
  <c r="R30" i="11"/>
  <c r="J30" i="11"/>
  <c r="S30" i="11"/>
  <c r="K30" i="11"/>
  <c r="T30" i="11"/>
  <c r="U30" i="11"/>
  <c r="E31" i="11"/>
  <c r="N31" i="11"/>
  <c r="F31" i="11"/>
  <c r="O31" i="11"/>
  <c r="G31" i="11"/>
  <c r="P31" i="11"/>
  <c r="H31" i="11"/>
  <c r="Q31" i="11"/>
  <c r="I31" i="11"/>
  <c r="R31" i="11"/>
  <c r="J31" i="11"/>
  <c r="S31" i="11"/>
  <c r="K31" i="11"/>
  <c r="T31" i="11"/>
  <c r="U31" i="11"/>
  <c r="E32" i="11"/>
  <c r="N32" i="11"/>
  <c r="F32" i="11"/>
  <c r="O32" i="11"/>
  <c r="G32" i="11"/>
  <c r="P32" i="11"/>
  <c r="H32" i="11"/>
  <c r="Q32" i="11"/>
  <c r="I32" i="11"/>
  <c r="R32" i="11"/>
  <c r="J32" i="11"/>
  <c r="S32" i="11"/>
  <c r="K32" i="11"/>
  <c r="T32" i="11"/>
  <c r="U32" i="11"/>
  <c r="E33" i="11"/>
  <c r="N33" i="11"/>
  <c r="F33" i="11"/>
  <c r="O33" i="11"/>
  <c r="G33" i="11"/>
  <c r="P33" i="11"/>
  <c r="H33" i="11"/>
  <c r="Q33" i="11"/>
  <c r="I33" i="11"/>
  <c r="R33" i="11"/>
  <c r="J33" i="11"/>
  <c r="S33" i="11"/>
  <c r="K33" i="11"/>
  <c r="T33" i="11"/>
  <c r="U33" i="11"/>
  <c r="E34" i="11"/>
  <c r="N34" i="11"/>
  <c r="F34" i="11"/>
  <c r="O34" i="11"/>
  <c r="G34" i="11"/>
  <c r="P34" i="11"/>
  <c r="H34" i="11"/>
  <c r="Q34" i="11"/>
  <c r="I34" i="11"/>
  <c r="R34" i="11"/>
  <c r="J34" i="11"/>
  <c r="S34" i="11"/>
  <c r="K34" i="11"/>
  <c r="T34" i="11"/>
  <c r="U34" i="11"/>
  <c r="E35" i="11"/>
  <c r="N35" i="11"/>
  <c r="F35" i="11"/>
  <c r="O35" i="11"/>
  <c r="G35" i="11"/>
  <c r="P35" i="11"/>
  <c r="H35" i="11"/>
  <c r="Q35" i="11"/>
  <c r="I35" i="11"/>
  <c r="R35" i="11"/>
  <c r="J35" i="11"/>
  <c r="S35" i="11"/>
  <c r="K35" i="11"/>
  <c r="T35" i="11"/>
  <c r="U35" i="11"/>
  <c r="E36" i="11"/>
  <c r="N36" i="11"/>
  <c r="F36" i="11"/>
  <c r="O36" i="11"/>
  <c r="G36" i="11"/>
  <c r="P36" i="11"/>
  <c r="H36" i="11"/>
  <c r="Q36" i="11"/>
  <c r="I36" i="11"/>
  <c r="R36" i="11"/>
  <c r="J36" i="11"/>
  <c r="S36" i="11"/>
  <c r="K36" i="11"/>
  <c r="T36" i="11"/>
  <c r="U36" i="11"/>
  <c r="E37" i="11"/>
  <c r="N37" i="11"/>
  <c r="F37" i="11"/>
  <c r="O37" i="11"/>
  <c r="G37" i="11"/>
  <c r="P37" i="11"/>
  <c r="H37" i="11"/>
  <c r="Q37" i="11"/>
  <c r="I37" i="11"/>
  <c r="R37" i="11"/>
  <c r="J37" i="11"/>
  <c r="S37" i="11"/>
  <c r="K37" i="11"/>
  <c r="T37" i="11"/>
  <c r="U37" i="11"/>
  <c r="E38" i="11"/>
  <c r="N38" i="11"/>
  <c r="F38" i="11"/>
  <c r="O38" i="11"/>
  <c r="G38" i="11"/>
  <c r="P38" i="11"/>
  <c r="H38" i="11"/>
  <c r="Q38" i="11"/>
  <c r="I38" i="11"/>
  <c r="R38" i="11"/>
  <c r="J38" i="11"/>
  <c r="S38" i="11"/>
  <c r="K38" i="11"/>
  <c r="T38" i="11"/>
  <c r="U38" i="11"/>
  <c r="E39" i="11"/>
  <c r="N39" i="11"/>
  <c r="F39" i="11"/>
  <c r="O39" i="11"/>
  <c r="G39" i="11"/>
  <c r="P39" i="11"/>
  <c r="H39" i="11"/>
  <c r="Q39" i="11"/>
  <c r="I39" i="11"/>
  <c r="R39" i="11"/>
  <c r="J39" i="11"/>
  <c r="S39" i="11"/>
  <c r="K39" i="11"/>
  <c r="T39" i="11"/>
  <c r="U39" i="11"/>
  <c r="E40" i="11"/>
  <c r="N40" i="11"/>
  <c r="F40" i="11"/>
  <c r="O40" i="11"/>
  <c r="G40" i="11"/>
  <c r="P40" i="11"/>
  <c r="H40" i="11"/>
  <c r="Q40" i="11"/>
  <c r="I40" i="11"/>
  <c r="R40" i="11"/>
  <c r="J40" i="11"/>
  <c r="S40" i="11"/>
  <c r="K40" i="11"/>
  <c r="T40" i="11"/>
  <c r="U40" i="11"/>
  <c r="E41" i="11"/>
  <c r="N41" i="11"/>
  <c r="F41" i="11"/>
  <c r="O41" i="11"/>
  <c r="G41" i="11"/>
  <c r="P41" i="11"/>
  <c r="H41" i="11"/>
  <c r="Q41" i="11"/>
  <c r="I41" i="11"/>
  <c r="R41" i="11"/>
  <c r="J41" i="11"/>
  <c r="S41" i="11"/>
  <c r="K41" i="11"/>
  <c r="T41" i="11"/>
  <c r="U41" i="11"/>
  <c r="E42" i="11"/>
  <c r="N42" i="11"/>
  <c r="F42" i="11"/>
  <c r="O42" i="11"/>
  <c r="G42" i="11"/>
  <c r="P42" i="11"/>
  <c r="H42" i="11"/>
  <c r="Q42" i="11"/>
  <c r="I42" i="11"/>
  <c r="R42" i="11"/>
  <c r="J42" i="11"/>
  <c r="S42" i="11"/>
  <c r="K42" i="11"/>
  <c r="T42" i="11"/>
  <c r="U42" i="11"/>
  <c r="E43" i="11"/>
  <c r="N43" i="11"/>
  <c r="F43" i="11"/>
  <c r="O43" i="11"/>
  <c r="G43" i="11"/>
  <c r="P43" i="11"/>
  <c r="H43" i="11"/>
  <c r="Q43" i="11"/>
  <c r="I43" i="11"/>
  <c r="R43" i="11"/>
  <c r="J43" i="11"/>
  <c r="S43" i="11"/>
  <c r="K43" i="11"/>
  <c r="T43" i="11"/>
  <c r="U43" i="11"/>
  <c r="E44" i="11"/>
  <c r="N44" i="11"/>
  <c r="F44" i="11"/>
  <c r="O44" i="11"/>
  <c r="G44" i="11"/>
  <c r="P44" i="11"/>
  <c r="H44" i="11"/>
  <c r="Q44" i="11"/>
  <c r="I44" i="11"/>
  <c r="R44" i="11"/>
  <c r="J44" i="11"/>
  <c r="S44" i="11"/>
  <c r="K44" i="11"/>
  <c r="T44" i="11"/>
  <c r="U44" i="11"/>
  <c r="E45" i="11"/>
  <c r="N45" i="11"/>
  <c r="F45" i="11"/>
  <c r="O45" i="11"/>
  <c r="G45" i="11"/>
  <c r="P45" i="11"/>
  <c r="H45" i="11"/>
  <c r="Q45" i="11"/>
  <c r="I45" i="11"/>
  <c r="R45" i="11"/>
  <c r="J45" i="11"/>
  <c r="S45" i="11"/>
  <c r="K45" i="11"/>
  <c r="T45" i="11"/>
  <c r="U45" i="11"/>
  <c r="E46" i="11"/>
  <c r="N46" i="11"/>
  <c r="F46" i="11"/>
  <c r="O46" i="11"/>
  <c r="G46" i="11"/>
  <c r="P46" i="11"/>
  <c r="H46" i="11"/>
  <c r="Q46" i="11"/>
  <c r="I46" i="11"/>
  <c r="R46" i="11"/>
  <c r="J46" i="11"/>
  <c r="S46" i="11"/>
  <c r="K46" i="11"/>
  <c r="T46" i="11"/>
  <c r="U46" i="11"/>
  <c r="E47" i="11"/>
  <c r="N47" i="11"/>
  <c r="F47" i="11"/>
  <c r="O47" i="11"/>
  <c r="G47" i="11"/>
  <c r="P47" i="11"/>
  <c r="H47" i="11"/>
  <c r="Q47" i="11"/>
  <c r="I47" i="11"/>
  <c r="R47" i="11"/>
  <c r="J47" i="11"/>
  <c r="S47" i="11"/>
  <c r="K47" i="11"/>
  <c r="T47" i="11"/>
  <c r="U47" i="11"/>
  <c r="E48" i="11"/>
  <c r="N48" i="11"/>
  <c r="F48" i="11"/>
  <c r="O48" i="11"/>
  <c r="G48" i="11"/>
  <c r="P48" i="11"/>
  <c r="H48" i="11"/>
  <c r="Q48" i="11"/>
  <c r="I48" i="11"/>
  <c r="R48" i="11"/>
  <c r="J48" i="11"/>
  <c r="S48" i="11"/>
  <c r="K48" i="11"/>
  <c r="T48" i="11"/>
  <c r="U48" i="11"/>
  <c r="E49" i="11"/>
  <c r="N49" i="11"/>
  <c r="F49" i="11"/>
  <c r="O49" i="11"/>
  <c r="G49" i="11"/>
  <c r="P49" i="11"/>
  <c r="H49" i="11"/>
  <c r="Q49" i="11"/>
  <c r="I49" i="11"/>
  <c r="R49" i="11"/>
  <c r="J49" i="11"/>
  <c r="S49" i="11"/>
  <c r="K49" i="11"/>
  <c r="T49" i="11"/>
  <c r="U49" i="11"/>
  <c r="E50" i="11"/>
  <c r="N50" i="11"/>
  <c r="F50" i="11"/>
  <c r="O50" i="11"/>
  <c r="G50" i="11"/>
  <c r="P50" i="11"/>
  <c r="H50" i="11"/>
  <c r="Q50" i="11"/>
  <c r="I50" i="11"/>
  <c r="R50" i="11"/>
  <c r="J50" i="11"/>
  <c r="S50" i="11"/>
  <c r="K50" i="11"/>
  <c r="T50" i="11"/>
  <c r="U50" i="11"/>
  <c r="E51" i="11"/>
  <c r="N51" i="11"/>
  <c r="F51" i="11"/>
  <c r="O51" i="11"/>
  <c r="G51" i="11"/>
  <c r="P51" i="11"/>
  <c r="H51" i="11"/>
  <c r="Q51" i="11"/>
  <c r="I51" i="11"/>
  <c r="R51" i="11"/>
  <c r="J51" i="11"/>
  <c r="S51" i="11"/>
  <c r="K51" i="11"/>
  <c r="T51" i="11"/>
  <c r="U51" i="11"/>
  <c r="E52" i="11"/>
  <c r="N52" i="11"/>
  <c r="F52" i="11"/>
  <c r="O52" i="11"/>
  <c r="G52" i="11"/>
  <c r="P52" i="11"/>
  <c r="H52" i="11"/>
  <c r="Q52" i="11"/>
  <c r="I52" i="11"/>
  <c r="R52" i="11"/>
  <c r="J52" i="11"/>
  <c r="S52" i="11"/>
  <c r="K52" i="11"/>
  <c r="T52" i="11"/>
  <c r="U52" i="11"/>
  <c r="E53" i="11"/>
  <c r="N53" i="11"/>
  <c r="F53" i="11"/>
  <c r="O53" i="11"/>
  <c r="G53" i="11"/>
  <c r="P53" i="11"/>
  <c r="H53" i="11"/>
  <c r="Q53" i="11"/>
  <c r="I53" i="11"/>
  <c r="R53" i="11"/>
  <c r="J53" i="11"/>
  <c r="S53" i="11"/>
  <c r="K53" i="11"/>
  <c r="T53" i="11"/>
  <c r="U53" i="11"/>
  <c r="E54" i="11"/>
  <c r="N54" i="11"/>
  <c r="F54" i="11"/>
  <c r="O54" i="11"/>
  <c r="G54" i="11"/>
  <c r="P54" i="11"/>
  <c r="H54" i="11"/>
  <c r="Q54" i="11"/>
  <c r="I54" i="11"/>
  <c r="R54" i="11"/>
  <c r="J54" i="11"/>
  <c r="S54" i="11"/>
  <c r="K54" i="11"/>
  <c r="T54" i="11"/>
  <c r="U54" i="11"/>
  <c r="E55" i="11"/>
  <c r="N55" i="11"/>
  <c r="F55" i="11"/>
  <c r="O55" i="11"/>
  <c r="G55" i="11"/>
  <c r="P55" i="11"/>
  <c r="H55" i="11"/>
  <c r="Q55" i="11"/>
  <c r="I55" i="11"/>
  <c r="R55" i="11"/>
  <c r="J55" i="11"/>
  <c r="S55" i="11"/>
  <c r="K55" i="11"/>
  <c r="T55" i="11"/>
  <c r="U55" i="11"/>
  <c r="E56" i="11"/>
  <c r="N56" i="11"/>
  <c r="F56" i="11"/>
  <c r="O56" i="11"/>
  <c r="G56" i="11"/>
  <c r="P56" i="11"/>
  <c r="H56" i="11"/>
  <c r="Q56" i="11"/>
  <c r="I56" i="11"/>
  <c r="R56" i="11"/>
  <c r="J56" i="11"/>
  <c r="S56" i="11"/>
  <c r="K56" i="11"/>
  <c r="T56" i="11"/>
  <c r="U56" i="11"/>
  <c r="E57" i="11"/>
  <c r="N57" i="11"/>
  <c r="F57" i="11"/>
  <c r="O57" i="11"/>
  <c r="G57" i="11"/>
  <c r="P57" i="11"/>
  <c r="H57" i="11"/>
  <c r="Q57" i="11"/>
  <c r="I57" i="11"/>
  <c r="R57" i="11"/>
  <c r="J57" i="11"/>
  <c r="S57" i="11"/>
  <c r="K57" i="11"/>
  <c r="T57" i="11"/>
  <c r="U57" i="11"/>
  <c r="E58" i="11"/>
  <c r="N58" i="11"/>
  <c r="F58" i="11"/>
  <c r="O58" i="11"/>
  <c r="G58" i="11"/>
  <c r="P58" i="11"/>
  <c r="H58" i="11"/>
  <c r="Q58" i="11"/>
  <c r="I58" i="11"/>
  <c r="R58" i="11"/>
  <c r="J58" i="11"/>
  <c r="S58" i="11"/>
  <c r="K58" i="11"/>
  <c r="T58" i="11"/>
  <c r="U58" i="11"/>
  <c r="E59" i="11"/>
  <c r="N59" i="11"/>
  <c r="F59" i="11"/>
  <c r="O59" i="11"/>
  <c r="G59" i="11"/>
  <c r="P59" i="11"/>
  <c r="H59" i="11"/>
  <c r="Q59" i="11"/>
  <c r="I59" i="11"/>
  <c r="R59" i="11"/>
  <c r="J59" i="11"/>
  <c r="S59" i="11"/>
  <c r="K59" i="11"/>
  <c r="T59" i="11"/>
  <c r="U59" i="11"/>
  <c r="E60" i="11"/>
  <c r="N60" i="11"/>
  <c r="F60" i="11"/>
  <c r="O60" i="11"/>
  <c r="G60" i="11"/>
  <c r="P60" i="11"/>
  <c r="H60" i="11"/>
  <c r="Q60" i="11"/>
  <c r="I60" i="11"/>
  <c r="R60" i="11"/>
  <c r="J60" i="11"/>
  <c r="S60" i="11"/>
  <c r="K60" i="11"/>
  <c r="T60" i="11"/>
  <c r="U60" i="11"/>
  <c r="E61" i="11"/>
  <c r="N61" i="11"/>
  <c r="F61" i="11"/>
  <c r="O61" i="11"/>
  <c r="G61" i="11"/>
  <c r="P61" i="11"/>
  <c r="H61" i="11"/>
  <c r="Q61" i="11"/>
  <c r="I61" i="11"/>
  <c r="R61" i="11"/>
  <c r="J61" i="11"/>
  <c r="S61" i="11"/>
  <c r="K61" i="11"/>
  <c r="T61" i="11"/>
  <c r="U61" i="11"/>
  <c r="E62" i="11"/>
  <c r="N62" i="11"/>
  <c r="F62" i="11"/>
  <c r="O62" i="11"/>
  <c r="G62" i="11"/>
  <c r="P62" i="11"/>
  <c r="H62" i="11"/>
  <c r="Q62" i="11"/>
  <c r="I62" i="11"/>
  <c r="R62" i="11"/>
  <c r="J62" i="11"/>
  <c r="S62" i="11"/>
  <c r="K62" i="11"/>
  <c r="T62" i="11"/>
  <c r="U62" i="11"/>
  <c r="E63" i="11"/>
  <c r="N63" i="11"/>
  <c r="F63" i="11"/>
  <c r="O63" i="11"/>
  <c r="G63" i="11"/>
  <c r="P63" i="11"/>
  <c r="H63" i="11"/>
  <c r="Q63" i="11"/>
  <c r="I63" i="11"/>
  <c r="R63" i="11"/>
  <c r="J63" i="11"/>
  <c r="S63" i="11"/>
  <c r="K63" i="11"/>
  <c r="T63" i="11"/>
  <c r="U63" i="11"/>
  <c r="E64" i="11"/>
  <c r="N64" i="11"/>
  <c r="F64" i="11"/>
  <c r="O64" i="11"/>
  <c r="G64" i="11"/>
  <c r="P64" i="11"/>
  <c r="H64" i="11"/>
  <c r="Q64" i="11"/>
  <c r="I64" i="11"/>
  <c r="R64" i="11"/>
  <c r="J64" i="11"/>
  <c r="S64" i="11"/>
  <c r="K64" i="11"/>
  <c r="T64" i="11"/>
  <c r="U64" i="11"/>
  <c r="E65" i="11"/>
  <c r="N65" i="11"/>
  <c r="F65" i="11"/>
  <c r="O65" i="11"/>
  <c r="G65" i="11"/>
  <c r="P65" i="11"/>
  <c r="H65" i="11"/>
  <c r="Q65" i="11"/>
  <c r="I65" i="11"/>
  <c r="R65" i="11"/>
  <c r="J65" i="11"/>
  <c r="S65" i="11"/>
  <c r="K65" i="11"/>
  <c r="T65" i="11"/>
  <c r="U65" i="11"/>
  <c r="E66" i="11"/>
  <c r="N66" i="11"/>
  <c r="F66" i="11"/>
  <c r="O66" i="11"/>
  <c r="G66" i="11"/>
  <c r="P66" i="11"/>
  <c r="H66" i="11"/>
  <c r="Q66" i="11"/>
  <c r="I66" i="11"/>
  <c r="R66" i="11"/>
  <c r="J66" i="11"/>
  <c r="S66" i="11"/>
  <c r="K66" i="11"/>
  <c r="T66" i="11"/>
  <c r="U66" i="11"/>
  <c r="E67" i="11"/>
  <c r="N67" i="11"/>
  <c r="F67" i="11"/>
  <c r="O67" i="11"/>
  <c r="G67" i="11"/>
  <c r="P67" i="11"/>
  <c r="H67" i="11"/>
  <c r="Q67" i="11"/>
  <c r="I67" i="11"/>
  <c r="R67" i="11"/>
  <c r="J67" i="11"/>
  <c r="S67" i="11"/>
  <c r="K67" i="11"/>
  <c r="T67" i="11"/>
  <c r="U67" i="11"/>
  <c r="E68" i="11"/>
  <c r="N68" i="11"/>
  <c r="F68" i="11"/>
  <c r="O68" i="11"/>
  <c r="G68" i="11"/>
  <c r="P68" i="11"/>
  <c r="H68" i="11"/>
  <c r="Q68" i="11"/>
  <c r="I68" i="11"/>
  <c r="R68" i="11"/>
  <c r="J68" i="11"/>
  <c r="S68" i="11"/>
  <c r="K68" i="11"/>
  <c r="T68" i="11"/>
  <c r="U68" i="11"/>
  <c r="E69" i="11"/>
  <c r="N69" i="11"/>
  <c r="F69" i="11"/>
  <c r="O69" i="11"/>
  <c r="G69" i="11"/>
  <c r="P69" i="11"/>
  <c r="H69" i="11"/>
  <c r="Q69" i="11"/>
  <c r="I69" i="11"/>
  <c r="R69" i="11"/>
  <c r="J69" i="11"/>
  <c r="S69" i="11"/>
  <c r="K69" i="11"/>
  <c r="T69" i="11"/>
  <c r="U69" i="11"/>
  <c r="E70" i="11"/>
  <c r="N70" i="11"/>
  <c r="F70" i="11"/>
  <c r="O70" i="11"/>
  <c r="G70" i="11"/>
  <c r="P70" i="11"/>
  <c r="H70" i="11"/>
  <c r="Q70" i="11"/>
  <c r="I70" i="11"/>
  <c r="R70" i="11"/>
  <c r="J70" i="11"/>
  <c r="S70" i="11"/>
  <c r="K70" i="11"/>
  <c r="T70" i="11"/>
  <c r="U70" i="11"/>
  <c r="E71" i="11"/>
  <c r="N71" i="11"/>
  <c r="F71" i="11"/>
  <c r="O71" i="11"/>
  <c r="G71" i="11"/>
  <c r="P71" i="11"/>
  <c r="H71" i="11"/>
  <c r="Q71" i="11"/>
  <c r="I71" i="11"/>
  <c r="R71" i="11"/>
  <c r="J71" i="11"/>
  <c r="S71" i="11"/>
  <c r="K71" i="11"/>
  <c r="T71" i="11"/>
  <c r="U71" i="11"/>
  <c r="E72" i="11"/>
  <c r="N72" i="11"/>
  <c r="F72" i="11"/>
  <c r="O72" i="11"/>
  <c r="G72" i="11"/>
  <c r="P72" i="11"/>
  <c r="H72" i="11"/>
  <c r="Q72" i="11"/>
  <c r="I72" i="11"/>
  <c r="R72" i="11"/>
  <c r="J72" i="11"/>
  <c r="S72" i="11"/>
  <c r="K72" i="11"/>
  <c r="T72" i="11"/>
  <c r="U72" i="11"/>
  <c r="E73" i="11"/>
  <c r="N73" i="11"/>
  <c r="F73" i="11"/>
  <c r="O73" i="11"/>
  <c r="G73" i="11"/>
  <c r="P73" i="11"/>
  <c r="H73" i="11"/>
  <c r="Q73" i="11"/>
  <c r="I73" i="11"/>
  <c r="R73" i="11"/>
  <c r="J73" i="11"/>
  <c r="S73" i="11"/>
  <c r="K73" i="11"/>
  <c r="T73" i="11"/>
  <c r="U73" i="11"/>
  <c r="E74" i="11"/>
  <c r="N74" i="11"/>
  <c r="F74" i="11"/>
  <c r="O74" i="11"/>
  <c r="G74" i="11"/>
  <c r="P74" i="11"/>
  <c r="H74" i="11"/>
  <c r="Q74" i="11"/>
  <c r="I74" i="11"/>
  <c r="R74" i="11"/>
  <c r="J74" i="11"/>
  <c r="S74" i="11"/>
  <c r="K74" i="11"/>
  <c r="T74" i="11"/>
  <c r="U74" i="11"/>
  <c r="E75" i="11"/>
  <c r="N75" i="11"/>
  <c r="F75" i="11"/>
  <c r="O75" i="11"/>
  <c r="G75" i="11"/>
  <c r="P75" i="11"/>
  <c r="H75" i="11"/>
  <c r="Q75" i="11"/>
  <c r="I75" i="11"/>
  <c r="R75" i="11"/>
  <c r="J75" i="11"/>
  <c r="S75" i="11"/>
  <c r="K75" i="11"/>
  <c r="T75" i="11"/>
  <c r="U75" i="11"/>
  <c r="E76" i="11"/>
  <c r="N76" i="11"/>
  <c r="F76" i="11"/>
  <c r="O76" i="11"/>
  <c r="G76" i="11"/>
  <c r="P76" i="11"/>
  <c r="H76" i="11"/>
  <c r="Q76" i="11"/>
  <c r="I76" i="11"/>
  <c r="R76" i="11"/>
  <c r="J76" i="11"/>
  <c r="S76" i="11"/>
  <c r="K76" i="11"/>
  <c r="T76" i="11"/>
  <c r="U76" i="11"/>
  <c r="E77" i="11"/>
  <c r="N77" i="11"/>
  <c r="F77" i="11"/>
  <c r="O77" i="11"/>
  <c r="G77" i="11"/>
  <c r="P77" i="11"/>
  <c r="H77" i="11"/>
  <c r="Q77" i="11"/>
  <c r="I77" i="11"/>
  <c r="R77" i="11"/>
  <c r="J77" i="11"/>
  <c r="S77" i="11"/>
  <c r="K77" i="11"/>
  <c r="T77" i="11"/>
  <c r="U77" i="11"/>
  <c r="E78" i="11"/>
  <c r="N78" i="11"/>
  <c r="F78" i="11"/>
  <c r="O78" i="11"/>
  <c r="G78" i="11"/>
  <c r="P78" i="11"/>
  <c r="H78" i="11"/>
  <c r="Q78" i="11"/>
  <c r="I78" i="11"/>
  <c r="R78" i="11"/>
  <c r="J78" i="11"/>
  <c r="S78" i="11"/>
  <c r="K78" i="11"/>
  <c r="T78" i="11"/>
  <c r="U78" i="11"/>
  <c r="E79" i="11"/>
  <c r="N79" i="11"/>
  <c r="F79" i="11"/>
  <c r="O79" i="11"/>
  <c r="G79" i="11"/>
  <c r="P79" i="11"/>
  <c r="H79" i="11"/>
  <c r="Q79" i="11"/>
  <c r="I79" i="11"/>
  <c r="R79" i="11"/>
  <c r="J79" i="11"/>
  <c r="S79" i="11"/>
  <c r="K79" i="11"/>
  <c r="T79" i="11"/>
  <c r="U79" i="11"/>
  <c r="E80" i="11"/>
  <c r="N80" i="11"/>
  <c r="F80" i="11"/>
  <c r="O80" i="11"/>
  <c r="G80" i="11"/>
  <c r="P80" i="11"/>
  <c r="H80" i="11"/>
  <c r="Q80" i="11"/>
  <c r="I80" i="11"/>
  <c r="R80" i="11"/>
  <c r="J80" i="11"/>
  <c r="S80" i="11"/>
  <c r="K80" i="11"/>
  <c r="T80" i="11"/>
  <c r="U80" i="11"/>
  <c r="E81" i="11"/>
  <c r="N81" i="11"/>
  <c r="F81" i="11"/>
  <c r="O81" i="11"/>
  <c r="G81" i="11"/>
  <c r="P81" i="11"/>
  <c r="H81" i="11"/>
  <c r="Q81" i="11"/>
  <c r="I81" i="11"/>
  <c r="R81" i="11"/>
  <c r="J81" i="11"/>
  <c r="S81" i="11"/>
  <c r="K81" i="11"/>
  <c r="T81" i="11"/>
  <c r="U81" i="11"/>
  <c r="E82" i="11"/>
  <c r="N82" i="11"/>
  <c r="F82" i="11"/>
  <c r="O82" i="11"/>
  <c r="G82" i="11"/>
  <c r="P82" i="11"/>
  <c r="H82" i="11"/>
  <c r="Q82" i="11"/>
  <c r="I82" i="11"/>
  <c r="R82" i="11"/>
  <c r="J82" i="11"/>
  <c r="S82" i="11"/>
  <c r="K82" i="11"/>
  <c r="T82" i="11"/>
  <c r="U82" i="11"/>
  <c r="E83" i="11"/>
  <c r="N83" i="11"/>
  <c r="F83" i="11"/>
  <c r="O83" i="11"/>
  <c r="G83" i="11"/>
  <c r="P83" i="11"/>
  <c r="H83" i="11"/>
  <c r="Q83" i="11"/>
  <c r="I83" i="11"/>
  <c r="R83" i="11"/>
  <c r="J83" i="11"/>
  <c r="S83" i="11"/>
  <c r="K83" i="11"/>
  <c r="T83" i="11"/>
  <c r="U83" i="11"/>
  <c r="E84" i="11"/>
  <c r="N84" i="11"/>
  <c r="F84" i="11"/>
  <c r="O84" i="11"/>
  <c r="G84" i="11"/>
  <c r="P84" i="11"/>
  <c r="H84" i="11"/>
  <c r="Q84" i="11"/>
  <c r="I84" i="11"/>
  <c r="R84" i="11"/>
  <c r="J84" i="11"/>
  <c r="S84" i="11"/>
  <c r="K84" i="11"/>
  <c r="T84" i="11"/>
  <c r="U84" i="11"/>
  <c r="E85" i="11"/>
  <c r="N85" i="11"/>
  <c r="F85" i="11"/>
  <c r="O85" i="11"/>
  <c r="G85" i="11"/>
  <c r="P85" i="11"/>
  <c r="H85" i="11"/>
  <c r="Q85" i="11"/>
  <c r="I85" i="11"/>
  <c r="R85" i="11"/>
  <c r="J85" i="11"/>
  <c r="S85" i="11"/>
  <c r="K85" i="11"/>
  <c r="T85" i="11"/>
  <c r="U85" i="11"/>
  <c r="E86" i="11"/>
  <c r="N86" i="11"/>
  <c r="F86" i="11"/>
  <c r="O86" i="11"/>
  <c r="G86" i="11"/>
  <c r="P86" i="11"/>
  <c r="H86" i="11"/>
  <c r="Q86" i="11"/>
  <c r="I86" i="11"/>
  <c r="R86" i="11"/>
  <c r="J86" i="11"/>
  <c r="S86" i="11"/>
  <c r="K86" i="11"/>
  <c r="T86" i="11"/>
  <c r="U86" i="11"/>
  <c r="E87" i="11"/>
  <c r="N87" i="11"/>
  <c r="F87" i="11"/>
  <c r="O87" i="11"/>
  <c r="G87" i="11"/>
  <c r="P87" i="11"/>
  <c r="H87" i="11"/>
  <c r="Q87" i="11"/>
  <c r="I87" i="11"/>
  <c r="R87" i="11"/>
  <c r="J87" i="11"/>
  <c r="S87" i="11"/>
  <c r="K87" i="11"/>
  <c r="T87" i="11"/>
  <c r="U87" i="11"/>
  <c r="E88" i="11"/>
  <c r="N88" i="11"/>
  <c r="F88" i="11"/>
  <c r="O88" i="11"/>
  <c r="G88" i="11"/>
  <c r="P88" i="11"/>
  <c r="H88" i="11"/>
  <c r="Q88" i="11"/>
  <c r="I88" i="11"/>
  <c r="R88" i="11"/>
  <c r="J88" i="11"/>
  <c r="S88" i="11"/>
  <c r="K88" i="11"/>
  <c r="T88" i="11"/>
  <c r="U88" i="11"/>
  <c r="E89" i="11"/>
  <c r="N89" i="11"/>
  <c r="F89" i="11"/>
  <c r="O89" i="11"/>
  <c r="G89" i="11"/>
  <c r="P89" i="11"/>
  <c r="H89" i="11"/>
  <c r="Q89" i="11"/>
  <c r="I89" i="11"/>
  <c r="R89" i="11"/>
  <c r="J89" i="11"/>
  <c r="S89" i="11"/>
  <c r="K89" i="11"/>
  <c r="T89" i="11"/>
  <c r="U89" i="11"/>
  <c r="E90" i="11"/>
  <c r="N90" i="11"/>
  <c r="F90" i="11"/>
  <c r="O90" i="11"/>
  <c r="G90" i="11"/>
  <c r="P90" i="11"/>
  <c r="H90" i="11"/>
  <c r="Q90" i="11"/>
  <c r="I90" i="11"/>
  <c r="R90" i="11"/>
  <c r="J90" i="11"/>
  <c r="S90" i="11"/>
  <c r="K90" i="11"/>
  <c r="T90" i="11"/>
  <c r="U90" i="11"/>
  <c r="E91" i="11"/>
  <c r="N91" i="11"/>
  <c r="F91" i="11"/>
  <c r="O91" i="11"/>
  <c r="G91" i="11"/>
  <c r="P91" i="11"/>
  <c r="H91" i="11"/>
  <c r="Q91" i="11"/>
  <c r="I91" i="11"/>
  <c r="R91" i="11"/>
  <c r="J91" i="11"/>
  <c r="S91" i="11"/>
  <c r="K91" i="11"/>
  <c r="T91" i="11"/>
  <c r="U91" i="11"/>
  <c r="E92" i="11"/>
  <c r="N92" i="11"/>
  <c r="F92" i="11"/>
  <c r="O92" i="11"/>
  <c r="G92" i="11"/>
  <c r="P92" i="11"/>
  <c r="H92" i="11"/>
  <c r="Q92" i="11"/>
  <c r="I92" i="11"/>
  <c r="R92" i="11"/>
  <c r="J92" i="11"/>
  <c r="S92" i="11"/>
  <c r="K92" i="11"/>
  <c r="T92" i="11"/>
  <c r="U92" i="11"/>
  <c r="E93" i="11"/>
  <c r="N93" i="11"/>
  <c r="F93" i="11"/>
  <c r="O93" i="11"/>
  <c r="G93" i="11"/>
  <c r="P93" i="11"/>
  <c r="H93" i="11"/>
  <c r="Q93" i="11"/>
  <c r="I93" i="11"/>
  <c r="R93" i="11"/>
  <c r="J93" i="11"/>
  <c r="S93" i="11"/>
  <c r="K93" i="11"/>
  <c r="T93" i="11"/>
  <c r="U93" i="11"/>
  <c r="E94" i="11"/>
  <c r="N94" i="11"/>
  <c r="F94" i="11"/>
  <c r="O94" i="11"/>
  <c r="G94" i="11"/>
  <c r="P94" i="11"/>
  <c r="H94" i="11"/>
  <c r="Q94" i="11"/>
  <c r="I94" i="11"/>
  <c r="R94" i="11"/>
  <c r="J94" i="11"/>
  <c r="S94" i="11"/>
  <c r="K94" i="11"/>
  <c r="T94" i="11"/>
  <c r="U94" i="11"/>
  <c r="E95" i="11"/>
  <c r="N95" i="11"/>
  <c r="F95" i="11"/>
  <c r="O95" i="11"/>
  <c r="G95" i="11"/>
  <c r="P95" i="11"/>
  <c r="H95" i="11"/>
  <c r="Q95" i="11"/>
  <c r="I95" i="11"/>
  <c r="R95" i="11"/>
  <c r="J95" i="11"/>
  <c r="S95" i="11"/>
  <c r="K95" i="11"/>
  <c r="T95" i="11"/>
  <c r="U95" i="11"/>
  <c r="E96" i="11"/>
  <c r="N96" i="11"/>
  <c r="F96" i="11"/>
  <c r="O96" i="11"/>
  <c r="G96" i="11"/>
  <c r="P96" i="11"/>
  <c r="H96" i="11"/>
  <c r="Q96" i="11"/>
  <c r="I96" i="11"/>
  <c r="R96" i="11"/>
  <c r="J96" i="11"/>
  <c r="S96" i="11"/>
  <c r="K96" i="11"/>
  <c r="T96" i="11"/>
  <c r="U96" i="11"/>
  <c r="E97" i="11"/>
  <c r="N97" i="11"/>
  <c r="F97" i="11"/>
  <c r="O97" i="11"/>
  <c r="G97" i="11"/>
  <c r="P97" i="11"/>
  <c r="H97" i="11"/>
  <c r="Q97" i="11"/>
  <c r="I97" i="11"/>
  <c r="R97" i="11"/>
  <c r="J97" i="11"/>
  <c r="S97" i="11"/>
  <c r="K97" i="11"/>
  <c r="T97" i="11"/>
  <c r="U97" i="11"/>
  <c r="E98" i="11"/>
  <c r="N98" i="11"/>
  <c r="F98" i="11"/>
  <c r="O98" i="11"/>
  <c r="G98" i="11"/>
  <c r="P98" i="11"/>
  <c r="H98" i="11"/>
  <c r="Q98" i="11"/>
  <c r="I98" i="11"/>
  <c r="R98" i="11"/>
  <c r="J98" i="11"/>
  <c r="S98" i="11"/>
  <c r="K98" i="11"/>
  <c r="T98" i="11"/>
  <c r="U98" i="11"/>
  <c r="E99" i="11"/>
  <c r="N99" i="11"/>
  <c r="F99" i="11"/>
  <c r="O99" i="11"/>
  <c r="G99" i="11"/>
  <c r="P99" i="11"/>
  <c r="H99" i="11"/>
  <c r="Q99" i="11"/>
  <c r="I99" i="11"/>
  <c r="R99" i="11"/>
  <c r="J99" i="11"/>
  <c r="S99" i="11"/>
  <c r="K99" i="11"/>
  <c r="T99" i="11"/>
  <c r="U99" i="11"/>
  <c r="E100" i="11"/>
  <c r="N100" i="11"/>
  <c r="F100" i="11"/>
  <c r="O100" i="11"/>
  <c r="G100" i="11"/>
  <c r="P100" i="11"/>
  <c r="H100" i="11"/>
  <c r="Q100" i="11"/>
  <c r="I100" i="11"/>
  <c r="R100" i="11"/>
  <c r="J100" i="11"/>
  <c r="S100" i="11"/>
  <c r="K100" i="11"/>
  <c r="T100" i="11"/>
  <c r="U100" i="11"/>
  <c r="E101" i="11"/>
  <c r="N101" i="11"/>
  <c r="F101" i="11"/>
  <c r="O101" i="11"/>
  <c r="G101" i="11"/>
  <c r="P101" i="11"/>
  <c r="H101" i="11"/>
  <c r="Q101" i="11"/>
  <c r="I101" i="11"/>
  <c r="R101" i="11"/>
  <c r="J101" i="11"/>
  <c r="S101" i="11"/>
  <c r="K101" i="11"/>
  <c r="T101" i="11"/>
  <c r="U101" i="11"/>
  <c r="E102" i="11"/>
  <c r="N102" i="11"/>
  <c r="F102" i="11"/>
  <c r="O102" i="11"/>
  <c r="G102" i="11"/>
  <c r="P102" i="11"/>
  <c r="H102" i="11"/>
  <c r="Q102" i="11"/>
  <c r="I102" i="11"/>
  <c r="R102" i="11"/>
  <c r="J102" i="11"/>
  <c r="S102" i="11"/>
  <c r="K102" i="11"/>
  <c r="T102" i="11"/>
  <c r="U102" i="11"/>
  <c r="E103" i="11"/>
  <c r="N103" i="11"/>
  <c r="F103" i="11"/>
  <c r="O103" i="11"/>
  <c r="G103" i="11"/>
  <c r="P103" i="11"/>
  <c r="H103" i="11"/>
  <c r="Q103" i="11"/>
  <c r="I103" i="11"/>
  <c r="R103" i="11"/>
  <c r="J103" i="11"/>
  <c r="S103" i="11"/>
  <c r="K103" i="11"/>
  <c r="T103" i="11"/>
  <c r="U103" i="11"/>
  <c r="E104" i="11"/>
  <c r="N104" i="11"/>
  <c r="F104" i="11"/>
  <c r="O104" i="11"/>
  <c r="G104" i="11"/>
  <c r="P104" i="11"/>
  <c r="H104" i="11"/>
  <c r="Q104" i="11"/>
  <c r="I104" i="11"/>
  <c r="R104" i="11"/>
  <c r="J104" i="11"/>
  <c r="S104" i="11"/>
  <c r="K104" i="11"/>
  <c r="T104" i="11"/>
  <c r="U104" i="11"/>
  <c r="E105" i="11"/>
  <c r="N105" i="11"/>
  <c r="F105" i="11"/>
  <c r="O105" i="11"/>
  <c r="G105" i="11"/>
  <c r="P105" i="11"/>
  <c r="H105" i="11"/>
  <c r="Q105" i="11"/>
  <c r="I105" i="11"/>
  <c r="R105" i="11"/>
  <c r="J105" i="11"/>
  <c r="S105" i="11"/>
  <c r="K105" i="11"/>
  <c r="T105" i="11"/>
  <c r="U105" i="11"/>
  <c r="E106" i="11"/>
  <c r="N106" i="11"/>
  <c r="F106" i="11"/>
  <c r="O106" i="11"/>
  <c r="G106" i="11"/>
  <c r="P106" i="11"/>
  <c r="H106" i="11"/>
  <c r="Q106" i="11"/>
  <c r="I106" i="11"/>
  <c r="R106" i="11"/>
  <c r="J106" i="11"/>
  <c r="S106" i="11"/>
  <c r="K106" i="11"/>
  <c r="T106" i="11"/>
  <c r="U106" i="11"/>
  <c r="E107" i="11"/>
  <c r="N107" i="11"/>
  <c r="F107" i="11"/>
  <c r="O107" i="11"/>
  <c r="G107" i="11"/>
  <c r="P107" i="11"/>
  <c r="H107" i="11"/>
  <c r="Q107" i="11"/>
  <c r="I107" i="11"/>
  <c r="R107" i="11"/>
  <c r="J107" i="11"/>
  <c r="S107" i="11"/>
  <c r="K107" i="11"/>
  <c r="T107" i="11"/>
  <c r="U107" i="11"/>
  <c r="E108" i="11"/>
  <c r="N108" i="11"/>
  <c r="F108" i="11"/>
  <c r="O108" i="11"/>
  <c r="G108" i="11"/>
  <c r="P108" i="11"/>
  <c r="H108" i="11"/>
  <c r="Q108" i="11"/>
  <c r="I108" i="11"/>
  <c r="R108" i="11"/>
  <c r="J108" i="11"/>
  <c r="S108" i="11"/>
  <c r="K108" i="11"/>
  <c r="T108" i="11"/>
  <c r="U108" i="11"/>
  <c r="E109" i="11"/>
  <c r="N109" i="11"/>
  <c r="F109" i="11"/>
  <c r="O109" i="11"/>
  <c r="G109" i="11"/>
  <c r="P109" i="11"/>
  <c r="H109" i="11"/>
  <c r="Q109" i="11"/>
  <c r="I109" i="11"/>
  <c r="R109" i="11"/>
  <c r="J109" i="11"/>
  <c r="S109" i="11"/>
  <c r="K109" i="11"/>
  <c r="T109" i="11"/>
  <c r="U109" i="11"/>
  <c r="E110" i="11"/>
  <c r="N110" i="11"/>
  <c r="F110" i="11"/>
  <c r="O110" i="11"/>
  <c r="G110" i="11"/>
  <c r="P110" i="11"/>
  <c r="H110" i="11"/>
  <c r="Q110" i="11"/>
  <c r="I110" i="11"/>
  <c r="R110" i="11"/>
  <c r="J110" i="11"/>
  <c r="S110" i="11"/>
  <c r="K110" i="11"/>
  <c r="T110" i="11"/>
  <c r="U110" i="11"/>
  <c r="E111" i="11"/>
  <c r="N111" i="11"/>
  <c r="F111" i="11"/>
  <c r="O111" i="11"/>
  <c r="G111" i="11"/>
  <c r="P111" i="11"/>
  <c r="H111" i="11"/>
  <c r="Q111" i="11"/>
  <c r="I111" i="11"/>
  <c r="R111" i="11"/>
  <c r="J111" i="11"/>
  <c r="S111" i="11"/>
  <c r="K111" i="11"/>
  <c r="T111" i="11"/>
  <c r="U111" i="11"/>
  <c r="E112" i="11"/>
  <c r="N112" i="11"/>
  <c r="F112" i="11"/>
  <c r="O112" i="11"/>
  <c r="G112" i="11"/>
  <c r="P112" i="11"/>
  <c r="H112" i="11"/>
  <c r="Q112" i="11"/>
  <c r="I112" i="11"/>
  <c r="R112" i="11"/>
  <c r="J112" i="11"/>
  <c r="S112" i="11"/>
  <c r="K112" i="11"/>
  <c r="T112" i="11"/>
  <c r="U112" i="11"/>
  <c r="E113" i="11"/>
  <c r="N113" i="11"/>
  <c r="F113" i="11"/>
  <c r="O113" i="11"/>
  <c r="G113" i="11"/>
  <c r="P113" i="11"/>
  <c r="H113" i="11"/>
  <c r="Q113" i="11"/>
  <c r="I113" i="11"/>
  <c r="R113" i="11"/>
  <c r="J113" i="11"/>
  <c r="S113" i="11"/>
  <c r="K113" i="11"/>
  <c r="T113" i="11"/>
  <c r="U113" i="11"/>
  <c r="E114" i="11"/>
  <c r="N114" i="11"/>
  <c r="F114" i="11"/>
  <c r="O114" i="11"/>
  <c r="G114" i="11"/>
  <c r="P114" i="11"/>
  <c r="H114" i="11"/>
  <c r="Q114" i="11"/>
  <c r="I114" i="11"/>
  <c r="R114" i="11"/>
  <c r="J114" i="11"/>
  <c r="S114" i="11"/>
  <c r="K114" i="11"/>
  <c r="T114" i="11"/>
  <c r="U114" i="11"/>
  <c r="E115" i="11"/>
  <c r="N115" i="11"/>
  <c r="F115" i="11"/>
  <c r="O115" i="11"/>
  <c r="G115" i="11"/>
  <c r="P115" i="11"/>
  <c r="H115" i="11"/>
  <c r="Q115" i="11"/>
  <c r="I115" i="11"/>
  <c r="R115" i="11"/>
  <c r="J115" i="11"/>
  <c r="S115" i="11"/>
  <c r="K115" i="11"/>
  <c r="T115" i="11"/>
  <c r="U115" i="11"/>
  <c r="E116" i="11"/>
  <c r="N116" i="11"/>
  <c r="F116" i="11"/>
  <c r="O116" i="11"/>
  <c r="G116" i="11"/>
  <c r="P116" i="11"/>
  <c r="H116" i="11"/>
  <c r="Q116" i="11"/>
  <c r="I116" i="11"/>
  <c r="R116" i="11"/>
  <c r="J116" i="11"/>
  <c r="S116" i="11"/>
  <c r="K116" i="11"/>
  <c r="T116" i="11"/>
  <c r="U116" i="11"/>
  <c r="E117" i="11"/>
  <c r="N117" i="11"/>
  <c r="F117" i="11"/>
  <c r="O117" i="11"/>
  <c r="G117" i="11"/>
  <c r="P117" i="11"/>
  <c r="H117" i="11"/>
  <c r="Q117" i="11"/>
  <c r="I117" i="11"/>
  <c r="R117" i="11"/>
  <c r="J117" i="11"/>
  <c r="S117" i="11"/>
  <c r="K117" i="11"/>
  <c r="T117" i="11"/>
  <c r="U117" i="11"/>
  <c r="E118" i="11"/>
  <c r="N118" i="11"/>
  <c r="F118" i="11"/>
  <c r="O118" i="11"/>
  <c r="G118" i="11"/>
  <c r="P118" i="11"/>
  <c r="H118" i="11"/>
  <c r="Q118" i="11"/>
  <c r="I118" i="11"/>
  <c r="R118" i="11"/>
  <c r="J118" i="11"/>
  <c r="S118" i="11"/>
  <c r="K118" i="11"/>
  <c r="T118" i="11"/>
  <c r="U118" i="11"/>
  <c r="E119" i="11"/>
  <c r="N119" i="11"/>
  <c r="F119" i="11"/>
  <c r="O119" i="11"/>
  <c r="G119" i="11"/>
  <c r="P119" i="11"/>
  <c r="H119" i="11"/>
  <c r="Q119" i="11"/>
  <c r="I119" i="11"/>
  <c r="R119" i="11"/>
  <c r="J119" i="11"/>
  <c r="S119" i="11"/>
  <c r="K119" i="11"/>
  <c r="T119" i="11"/>
  <c r="U119" i="11"/>
  <c r="E120" i="11"/>
  <c r="N120" i="11"/>
  <c r="F120" i="11"/>
  <c r="O120" i="11"/>
  <c r="G120" i="11"/>
  <c r="P120" i="11"/>
  <c r="H120" i="11"/>
  <c r="Q120" i="11"/>
  <c r="I120" i="11"/>
  <c r="R120" i="11"/>
  <c r="J120" i="11"/>
  <c r="S120" i="11"/>
  <c r="K120" i="11"/>
  <c r="T120" i="11"/>
  <c r="U120" i="11"/>
  <c r="E121" i="11"/>
  <c r="N121" i="11"/>
  <c r="F121" i="11"/>
  <c r="O121" i="11"/>
  <c r="G121" i="11"/>
  <c r="P121" i="11"/>
  <c r="H121" i="11"/>
  <c r="Q121" i="11"/>
  <c r="I121" i="11"/>
  <c r="R121" i="11"/>
  <c r="J121" i="11"/>
  <c r="S121" i="11"/>
  <c r="K121" i="11"/>
  <c r="T121" i="11"/>
  <c r="U121" i="11"/>
  <c r="D4" i="16"/>
  <c r="D5" i="16"/>
  <c r="D6" i="16"/>
  <c r="D7" i="16"/>
  <c r="D8" i="16"/>
  <c r="D9" i="16"/>
  <c r="D10" i="16"/>
  <c r="D11" i="16"/>
  <c r="D12" i="16"/>
  <c r="D13" i="16"/>
  <c r="B6" i="34"/>
  <c r="K6" i="34" s="1"/>
  <c r="B7" i="34"/>
  <c r="K7" i="34" s="1"/>
  <c r="B8" i="34"/>
  <c r="K8" i="34" s="1"/>
  <c r="B9" i="34"/>
  <c r="K9" i="34" s="1"/>
  <c r="B10" i="34"/>
  <c r="K10" i="34" s="1"/>
  <c r="B11" i="34"/>
  <c r="K11" i="34" s="1"/>
  <c r="B12" i="34"/>
  <c r="K12" i="34" s="1"/>
  <c r="B13" i="34"/>
  <c r="K13" i="34" s="1"/>
  <c r="B14" i="34"/>
  <c r="K14" i="34"/>
  <c r="T14" i="34" s="1"/>
  <c r="E4" i="31"/>
  <c r="M4" i="31"/>
  <c r="E5" i="31"/>
  <c r="M5" i="31"/>
  <c r="E6" i="31"/>
  <c r="M6" i="31"/>
  <c r="E7" i="31"/>
  <c r="M7" i="31"/>
  <c r="E8" i="31"/>
  <c r="M8" i="31"/>
  <c r="E9" i="31"/>
  <c r="M9" i="31"/>
  <c r="E10" i="31"/>
  <c r="M10" i="31"/>
  <c r="E11" i="31"/>
  <c r="M11" i="31"/>
  <c r="E12" i="31"/>
  <c r="M12" i="31"/>
  <c r="E13" i="31"/>
  <c r="M13" i="31"/>
  <c r="E14" i="31"/>
  <c r="M14" i="31"/>
  <c r="E15" i="31"/>
  <c r="M15" i="31"/>
  <c r="E16" i="31"/>
  <c r="M16" i="31"/>
  <c r="E17" i="31"/>
  <c r="M17" i="31"/>
  <c r="E18" i="31"/>
  <c r="M18" i="31"/>
  <c r="E19" i="31"/>
  <c r="M19" i="31"/>
  <c r="E20" i="31"/>
  <c r="M20" i="31"/>
  <c r="E21" i="31"/>
  <c r="M21" i="31"/>
  <c r="E22" i="31"/>
  <c r="M22" i="31"/>
  <c r="E23" i="31"/>
  <c r="M23" i="31"/>
  <c r="E24" i="31"/>
  <c r="M24" i="31"/>
  <c r="E25" i="31"/>
  <c r="M25" i="31"/>
  <c r="E26" i="31"/>
  <c r="M26" i="31"/>
  <c r="E27" i="31"/>
  <c r="M27" i="31"/>
  <c r="E28" i="31"/>
  <c r="M28" i="31"/>
  <c r="E29" i="31"/>
  <c r="M29" i="31"/>
  <c r="E30" i="31"/>
  <c r="M30" i="31"/>
  <c r="E31" i="31"/>
  <c r="M31" i="31"/>
  <c r="E32" i="31"/>
  <c r="M32" i="31"/>
  <c r="E33" i="31"/>
  <c r="M33" i="31"/>
  <c r="E34" i="31"/>
  <c r="M34" i="31"/>
  <c r="E35" i="31"/>
  <c r="M35" i="31"/>
  <c r="E36" i="31"/>
  <c r="M36" i="31"/>
  <c r="E37" i="31"/>
  <c r="M37" i="31"/>
  <c r="E38" i="31"/>
  <c r="M38" i="31"/>
  <c r="E39" i="31"/>
  <c r="M39" i="31"/>
  <c r="E40" i="31"/>
  <c r="M40" i="31"/>
  <c r="E41" i="31"/>
  <c r="M41" i="31"/>
  <c r="E42" i="31"/>
  <c r="M42" i="31"/>
  <c r="E43" i="31"/>
  <c r="M43" i="31"/>
  <c r="E44" i="31"/>
  <c r="M44" i="31"/>
  <c r="E45" i="31"/>
  <c r="M45" i="31"/>
  <c r="E46" i="31"/>
  <c r="M46" i="31"/>
  <c r="E47" i="31"/>
  <c r="M47" i="31"/>
  <c r="E48" i="31"/>
  <c r="M48" i="31"/>
  <c r="E49" i="31"/>
  <c r="M49" i="31"/>
  <c r="E50" i="31"/>
  <c r="M50" i="31"/>
  <c r="E51" i="31"/>
  <c r="M51" i="31"/>
  <c r="E52" i="31"/>
  <c r="M52" i="31"/>
  <c r="E53" i="31"/>
  <c r="M53" i="31"/>
  <c r="E54" i="31"/>
  <c r="M54" i="31"/>
  <c r="E55" i="31"/>
  <c r="M55" i="31"/>
  <c r="E56" i="31"/>
  <c r="M56" i="31"/>
  <c r="E57" i="31"/>
  <c r="M57" i="31"/>
  <c r="E58" i="31"/>
  <c r="M58" i="31"/>
  <c r="E59" i="31"/>
  <c r="M59" i="31"/>
  <c r="E60" i="31"/>
  <c r="M60" i="31"/>
  <c r="E61" i="31"/>
  <c r="M61" i="31"/>
  <c r="E62" i="31"/>
  <c r="M62" i="31"/>
  <c r="E63" i="31"/>
  <c r="M63" i="31"/>
  <c r="E64" i="31"/>
  <c r="M64" i="31"/>
  <c r="E65" i="31"/>
  <c r="M65" i="31"/>
  <c r="E66" i="31"/>
  <c r="M66" i="31"/>
  <c r="E67" i="31"/>
  <c r="M67" i="31"/>
  <c r="E68" i="31"/>
  <c r="M68" i="31"/>
  <c r="E69" i="31"/>
  <c r="M69" i="31"/>
  <c r="E70" i="31"/>
  <c r="M70" i="31"/>
  <c r="E71" i="31"/>
  <c r="M71" i="31"/>
  <c r="E72" i="31"/>
  <c r="M72" i="31"/>
  <c r="E73" i="31"/>
  <c r="M73" i="31"/>
  <c r="E74" i="31"/>
  <c r="M74" i="31"/>
  <c r="E75" i="31"/>
  <c r="M75" i="31"/>
  <c r="E76" i="31"/>
  <c r="M76" i="31"/>
  <c r="E77" i="31"/>
  <c r="M77" i="31"/>
  <c r="E78" i="31"/>
  <c r="M78" i="31"/>
  <c r="E79" i="31"/>
  <c r="M79" i="31"/>
  <c r="E80" i="31"/>
  <c r="M80" i="31"/>
  <c r="E81" i="31"/>
  <c r="M81" i="31"/>
  <c r="E82" i="31"/>
  <c r="M82" i="31"/>
  <c r="E83" i="31"/>
  <c r="M83" i="31"/>
  <c r="E84" i="31"/>
  <c r="M84" i="31"/>
  <c r="E85" i="31"/>
  <c r="M85" i="31"/>
  <c r="E86" i="31"/>
  <c r="M86" i="31"/>
  <c r="E87" i="31"/>
  <c r="M87" i="31"/>
  <c r="E88" i="31"/>
  <c r="M88" i="31"/>
  <c r="E89" i="31"/>
  <c r="M89" i="31"/>
  <c r="E90" i="31"/>
  <c r="M90" i="31"/>
  <c r="E91" i="31"/>
  <c r="M91" i="31"/>
  <c r="E92" i="31"/>
  <c r="M92" i="31"/>
  <c r="E93" i="31"/>
  <c r="M93" i="31"/>
  <c r="E94" i="31"/>
  <c r="M94" i="31"/>
  <c r="E95" i="31"/>
  <c r="M95" i="31"/>
  <c r="E96" i="31"/>
  <c r="M96" i="31"/>
  <c r="E97" i="31"/>
  <c r="M97" i="31"/>
  <c r="E98" i="31"/>
  <c r="M98" i="31"/>
  <c r="E99" i="31"/>
  <c r="M99" i="31"/>
  <c r="E100" i="31"/>
  <c r="M100" i="31"/>
  <c r="E101" i="31"/>
  <c r="M101" i="31"/>
  <c r="E102" i="31"/>
  <c r="M102" i="31"/>
  <c r="E103" i="31"/>
  <c r="M103" i="31"/>
  <c r="E104" i="31"/>
  <c r="M104" i="31"/>
  <c r="E105" i="31"/>
  <c r="M105" i="31"/>
  <c r="E106" i="31"/>
  <c r="M106" i="31"/>
  <c r="E107" i="31"/>
  <c r="M107" i="31"/>
  <c r="E108" i="31"/>
  <c r="M108" i="31"/>
  <c r="E109" i="31"/>
  <c r="M109" i="31"/>
  <c r="E110" i="31"/>
  <c r="M110" i="31"/>
  <c r="E111" i="31"/>
  <c r="M111" i="31"/>
  <c r="E112" i="31"/>
  <c r="M112" i="31"/>
  <c r="E113" i="31"/>
  <c r="M113" i="31"/>
  <c r="E114" i="31"/>
  <c r="M114" i="31"/>
  <c r="E115" i="31"/>
  <c r="M115" i="31"/>
  <c r="E116" i="31"/>
  <c r="M116" i="31"/>
  <c r="E117" i="31"/>
  <c r="M117" i="31"/>
  <c r="E118" i="31"/>
  <c r="M118" i="31"/>
  <c r="E119" i="31"/>
  <c r="M119" i="31"/>
  <c r="E120" i="31"/>
  <c r="M120" i="31"/>
  <c r="E121" i="31"/>
  <c r="M121" i="31"/>
  <c r="E122" i="31"/>
  <c r="M122" i="31"/>
  <c r="E123" i="31"/>
  <c r="M123" i="31"/>
  <c r="E124" i="31"/>
  <c r="M124" i="31"/>
  <c r="E125" i="31"/>
  <c r="M125" i="31"/>
  <c r="E126" i="31"/>
  <c r="M126" i="31"/>
  <c r="E127" i="31"/>
  <c r="M127" i="31"/>
  <c r="E128" i="31"/>
  <c r="M128" i="31"/>
  <c r="E129" i="31"/>
  <c r="M129" i="31"/>
  <c r="E130" i="31"/>
  <c r="M130" i="31"/>
  <c r="E131" i="31"/>
  <c r="M131" i="31"/>
  <c r="E132" i="31"/>
  <c r="M132" i="31"/>
  <c r="E133" i="31"/>
  <c r="M133" i="31"/>
  <c r="E134" i="31"/>
  <c r="M134" i="31"/>
  <c r="E135" i="31"/>
  <c r="M135" i="31"/>
  <c r="E136" i="31"/>
  <c r="M136" i="31"/>
  <c r="E137" i="31"/>
  <c r="M137" i="31"/>
  <c r="E138" i="31"/>
  <c r="M138" i="31"/>
  <c r="E139" i="31"/>
  <c r="M139" i="31"/>
  <c r="E140" i="31"/>
  <c r="M140" i="31"/>
  <c r="E141" i="31"/>
  <c r="M141" i="31"/>
  <c r="E142" i="31"/>
  <c r="M142" i="31"/>
  <c r="E143" i="31"/>
  <c r="M143" i="31"/>
  <c r="E144" i="31"/>
  <c r="M144" i="31"/>
  <c r="E145" i="31"/>
  <c r="M145" i="31"/>
  <c r="E3" i="31"/>
  <c r="M3" i="31"/>
  <c r="E2" i="31"/>
  <c r="M2" i="31"/>
  <c r="G4" i="31"/>
  <c r="O4" i="31"/>
  <c r="H4" i="31"/>
  <c r="P4" i="31"/>
  <c r="I4" i="31"/>
  <c r="Q4" i="31"/>
  <c r="G5" i="31"/>
  <c r="O5" i="31"/>
  <c r="H5" i="31"/>
  <c r="P5" i="31"/>
  <c r="I5" i="31"/>
  <c r="Q5" i="31"/>
  <c r="G6" i="31"/>
  <c r="O6" i="31"/>
  <c r="H6" i="31"/>
  <c r="P6" i="31"/>
  <c r="I6" i="31"/>
  <c r="Q6" i="31"/>
  <c r="G7" i="31"/>
  <c r="O7" i="31"/>
  <c r="H7" i="31"/>
  <c r="P7" i="31"/>
  <c r="I7" i="31"/>
  <c r="Q7" i="31"/>
  <c r="G8" i="31"/>
  <c r="O8" i="31"/>
  <c r="H8" i="31"/>
  <c r="P8" i="31"/>
  <c r="I8" i="31"/>
  <c r="Q8" i="31"/>
  <c r="G9" i="31"/>
  <c r="O9" i="31"/>
  <c r="H9" i="31"/>
  <c r="P9" i="31"/>
  <c r="I9" i="31"/>
  <c r="Q9" i="31"/>
  <c r="G10" i="31"/>
  <c r="O10" i="31"/>
  <c r="H10" i="31"/>
  <c r="P10" i="31"/>
  <c r="I10" i="31"/>
  <c r="Q10" i="31"/>
  <c r="G11" i="31"/>
  <c r="O11" i="31"/>
  <c r="H11" i="31"/>
  <c r="P11" i="31"/>
  <c r="I11" i="31"/>
  <c r="Q11" i="31"/>
  <c r="G12" i="31"/>
  <c r="O12" i="31"/>
  <c r="H12" i="31"/>
  <c r="P12" i="31"/>
  <c r="I12" i="31"/>
  <c r="Q12" i="31"/>
  <c r="G13" i="31"/>
  <c r="O13" i="31"/>
  <c r="H13" i="31"/>
  <c r="P13" i="31"/>
  <c r="I13" i="31"/>
  <c r="Q13" i="31"/>
  <c r="G14" i="31"/>
  <c r="O14" i="31"/>
  <c r="H14" i="31"/>
  <c r="P14" i="31"/>
  <c r="I14" i="31"/>
  <c r="Q14" i="31"/>
  <c r="G15" i="31"/>
  <c r="O15" i="31"/>
  <c r="H15" i="31"/>
  <c r="P15" i="31"/>
  <c r="I15" i="31"/>
  <c r="Q15" i="31"/>
  <c r="G16" i="31"/>
  <c r="O16" i="31"/>
  <c r="H16" i="31"/>
  <c r="P16" i="31"/>
  <c r="I16" i="31"/>
  <c r="Q16" i="31"/>
  <c r="G17" i="31"/>
  <c r="O17" i="31"/>
  <c r="H17" i="31"/>
  <c r="P17" i="31"/>
  <c r="I17" i="31"/>
  <c r="Q17" i="31"/>
  <c r="G18" i="31"/>
  <c r="O18" i="31"/>
  <c r="H18" i="31"/>
  <c r="P18" i="31"/>
  <c r="I18" i="31"/>
  <c r="Q18" i="31"/>
  <c r="G19" i="31"/>
  <c r="O19" i="31"/>
  <c r="H19" i="31"/>
  <c r="P19" i="31"/>
  <c r="I19" i="31"/>
  <c r="Q19" i="31"/>
  <c r="G20" i="31"/>
  <c r="O20" i="31"/>
  <c r="H20" i="31"/>
  <c r="P20" i="31"/>
  <c r="I20" i="31"/>
  <c r="Q20" i="31"/>
  <c r="G21" i="31"/>
  <c r="O21" i="31"/>
  <c r="H21" i="31"/>
  <c r="P21" i="31"/>
  <c r="I21" i="31"/>
  <c r="Q21" i="31"/>
  <c r="G22" i="31"/>
  <c r="O22" i="31"/>
  <c r="H22" i="31"/>
  <c r="P22" i="31"/>
  <c r="I22" i="31"/>
  <c r="Q22" i="31"/>
  <c r="G23" i="31"/>
  <c r="O23" i="31"/>
  <c r="H23" i="31"/>
  <c r="P23" i="31"/>
  <c r="I23" i="31"/>
  <c r="Q23" i="31"/>
  <c r="G24" i="31"/>
  <c r="O24" i="31"/>
  <c r="H24" i="31"/>
  <c r="P24" i="31"/>
  <c r="I24" i="31"/>
  <c r="Q24" i="31"/>
  <c r="G25" i="31"/>
  <c r="O25" i="31"/>
  <c r="H25" i="31"/>
  <c r="P25" i="31"/>
  <c r="I25" i="31"/>
  <c r="Q25" i="31"/>
  <c r="G26" i="31"/>
  <c r="O26" i="31"/>
  <c r="H26" i="31"/>
  <c r="P26" i="31"/>
  <c r="I26" i="31"/>
  <c r="Q26" i="31"/>
  <c r="G27" i="31"/>
  <c r="O27" i="31"/>
  <c r="H27" i="31"/>
  <c r="P27" i="31"/>
  <c r="I27" i="31"/>
  <c r="Q27" i="31"/>
  <c r="G28" i="31"/>
  <c r="O28" i="31"/>
  <c r="H28" i="31"/>
  <c r="P28" i="31"/>
  <c r="I28" i="31"/>
  <c r="Q28" i="31"/>
  <c r="G29" i="31"/>
  <c r="O29" i="31"/>
  <c r="H29" i="31"/>
  <c r="P29" i="31"/>
  <c r="I29" i="31"/>
  <c r="Q29" i="31"/>
  <c r="G30" i="31"/>
  <c r="O30" i="31"/>
  <c r="H30" i="31"/>
  <c r="P30" i="31"/>
  <c r="I30" i="31"/>
  <c r="Q30" i="31"/>
  <c r="G31" i="31"/>
  <c r="O31" i="31"/>
  <c r="H31" i="31"/>
  <c r="P31" i="31"/>
  <c r="I31" i="31"/>
  <c r="Q31" i="31"/>
  <c r="G32" i="31"/>
  <c r="O32" i="31"/>
  <c r="H32" i="31"/>
  <c r="P32" i="31"/>
  <c r="I32" i="31"/>
  <c r="Q32" i="31"/>
  <c r="G33" i="31"/>
  <c r="O33" i="31"/>
  <c r="H33" i="31"/>
  <c r="P33" i="31"/>
  <c r="I33" i="31"/>
  <c r="Q33" i="31"/>
  <c r="G34" i="31"/>
  <c r="O34" i="31"/>
  <c r="H34" i="31"/>
  <c r="P34" i="31"/>
  <c r="I34" i="31"/>
  <c r="Q34" i="31"/>
  <c r="G35" i="31"/>
  <c r="O35" i="31"/>
  <c r="H35" i="31"/>
  <c r="P35" i="31"/>
  <c r="I35" i="31"/>
  <c r="Q35" i="31"/>
  <c r="G36" i="31"/>
  <c r="O36" i="31"/>
  <c r="H36" i="31"/>
  <c r="P36" i="31"/>
  <c r="I36" i="31"/>
  <c r="Q36" i="31"/>
  <c r="G37" i="31"/>
  <c r="O37" i="31"/>
  <c r="H37" i="31"/>
  <c r="P37" i="31"/>
  <c r="I37" i="31"/>
  <c r="Q37" i="31"/>
  <c r="G38" i="31"/>
  <c r="O38" i="31"/>
  <c r="H38" i="31"/>
  <c r="P38" i="31"/>
  <c r="I38" i="31"/>
  <c r="Q38" i="31"/>
  <c r="G39" i="31"/>
  <c r="O39" i="31"/>
  <c r="H39" i="31"/>
  <c r="P39" i="31"/>
  <c r="I39" i="31"/>
  <c r="Q39" i="31"/>
  <c r="G40" i="31"/>
  <c r="O40" i="31"/>
  <c r="H40" i="31"/>
  <c r="P40" i="31"/>
  <c r="I40" i="31"/>
  <c r="Q40" i="31"/>
  <c r="G41" i="31"/>
  <c r="O41" i="31"/>
  <c r="H41" i="31"/>
  <c r="P41" i="31"/>
  <c r="I41" i="31"/>
  <c r="Q41" i="31"/>
  <c r="G42" i="31"/>
  <c r="O42" i="31"/>
  <c r="H42" i="31"/>
  <c r="P42" i="31"/>
  <c r="I42" i="31"/>
  <c r="Q42" i="31"/>
  <c r="G43" i="31"/>
  <c r="O43" i="31"/>
  <c r="H43" i="31"/>
  <c r="P43" i="31"/>
  <c r="I43" i="31"/>
  <c r="Q43" i="31"/>
  <c r="G44" i="31"/>
  <c r="O44" i="31"/>
  <c r="H44" i="31"/>
  <c r="P44" i="31"/>
  <c r="I44" i="31"/>
  <c r="Q44" i="31"/>
  <c r="G45" i="31"/>
  <c r="O45" i="31"/>
  <c r="H45" i="31"/>
  <c r="P45" i="31"/>
  <c r="I45" i="31"/>
  <c r="Q45" i="31"/>
  <c r="G46" i="31"/>
  <c r="O46" i="31"/>
  <c r="H46" i="31"/>
  <c r="P46" i="31"/>
  <c r="I46" i="31"/>
  <c r="Q46" i="31"/>
  <c r="G47" i="31"/>
  <c r="O47" i="31"/>
  <c r="H47" i="31"/>
  <c r="P47" i="31"/>
  <c r="I47" i="31"/>
  <c r="Q47" i="31"/>
  <c r="G48" i="31"/>
  <c r="O48" i="31"/>
  <c r="H48" i="31"/>
  <c r="P48" i="31"/>
  <c r="I48" i="31"/>
  <c r="Q48" i="31"/>
  <c r="G49" i="31"/>
  <c r="O49" i="31"/>
  <c r="H49" i="31"/>
  <c r="P49" i="31"/>
  <c r="I49" i="31"/>
  <c r="Q49" i="31"/>
  <c r="G50" i="31"/>
  <c r="O50" i="31"/>
  <c r="H50" i="31"/>
  <c r="P50" i="31"/>
  <c r="I50" i="31"/>
  <c r="Q50" i="31"/>
  <c r="G51" i="31"/>
  <c r="O51" i="31"/>
  <c r="H51" i="31"/>
  <c r="P51" i="31"/>
  <c r="I51" i="31"/>
  <c r="Q51" i="31"/>
  <c r="G52" i="31"/>
  <c r="O52" i="31"/>
  <c r="H52" i="31"/>
  <c r="P52" i="31"/>
  <c r="I52" i="31"/>
  <c r="Q52" i="31"/>
  <c r="G53" i="31"/>
  <c r="O53" i="31"/>
  <c r="H53" i="31"/>
  <c r="P53" i="31"/>
  <c r="I53" i="31"/>
  <c r="Q53" i="31"/>
  <c r="G54" i="31"/>
  <c r="O54" i="31"/>
  <c r="H54" i="31"/>
  <c r="P54" i="31"/>
  <c r="I54" i="31"/>
  <c r="Q54" i="31"/>
  <c r="G55" i="31"/>
  <c r="O55" i="31"/>
  <c r="H55" i="31"/>
  <c r="P55" i="31"/>
  <c r="I55" i="31"/>
  <c r="Q55" i="31"/>
  <c r="G56" i="31"/>
  <c r="O56" i="31"/>
  <c r="H56" i="31"/>
  <c r="P56" i="31"/>
  <c r="I56" i="31"/>
  <c r="Q56" i="31"/>
  <c r="G57" i="31"/>
  <c r="O57" i="31"/>
  <c r="H57" i="31"/>
  <c r="P57" i="31"/>
  <c r="I57" i="31"/>
  <c r="Q57" i="31"/>
  <c r="G58" i="31"/>
  <c r="O58" i="31"/>
  <c r="H58" i="31"/>
  <c r="P58" i="31"/>
  <c r="I58" i="31"/>
  <c r="Q58" i="31"/>
  <c r="G59" i="31"/>
  <c r="O59" i="31"/>
  <c r="H59" i="31"/>
  <c r="P59" i="31"/>
  <c r="I59" i="31"/>
  <c r="Q59" i="31"/>
  <c r="G60" i="31"/>
  <c r="O60" i="31"/>
  <c r="H60" i="31"/>
  <c r="P60" i="31"/>
  <c r="I60" i="31"/>
  <c r="Q60" i="31"/>
  <c r="G61" i="31"/>
  <c r="O61" i="31"/>
  <c r="H61" i="31"/>
  <c r="P61" i="31"/>
  <c r="I61" i="31"/>
  <c r="Q61" i="31"/>
  <c r="G62" i="31"/>
  <c r="O62" i="31"/>
  <c r="H62" i="31"/>
  <c r="P62" i="31"/>
  <c r="I62" i="31"/>
  <c r="Q62" i="31"/>
  <c r="G63" i="31"/>
  <c r="O63" i="31"/>
  <c r="H63" i="31"/>
  <c r="P63" i="31"/>
  <c r="I63" i="31"/>
  <c r="Q63" i="31"/>
  <c r="G64" i="31"/>
  <c r="O64" i="31"/>
  <c r="H64" i="31"/>
  <c r="P64" i="31"/>
  <c r="I64" i="31"/>
  <c r="Q64" i="31"/>
  <c r="G65" i="31"/>
  <c r="O65" i="31"/>
  <c r="H65" i="31"/>
  <c r="P65" i="31"/>
  <c r="I65" i="31"/>
  <c r="Q65" i="31"/>
  <c r="G66" i="31"/>
  <c r="O66" i="31"/>
  <c r="H66" i="31"/>
  <c r="P66" i="31"/>
  <c r="I66" i="31"/>
  <c r="Q66" i="31"/>
  <c r="G67" i="31"/>
  <c r="O67" i="31"/>
  <c r="H67" i="31"/>
  <c r="P67" i="31"/>
  <c r="I67" i="31"/>
  <c r="Q67" i="31"/>
  <c r="G68" i="31"/>
  <c r="O68" i="31"/>
  <c r="H68" i="31"/>
  <c r="P68" i="31"/>
  <c r="I68" i="31"/>
  <c r="Q68" i="31"/>
  <c r="G69" i="31"/>
  <c r="O69" i="31"/>
  <c r="H69" i="31"/>
  <c r="P69" i="31"/>
  <c r="I69" i="31"/>
  <c r="Q69" i="31"/>
  <c r="G70" i="31"/>
  <c r="O70" i="31"/>
  <c r="H70" i="31"/>
  <c r="P70" i="31"/>
  <c r="I70" i="31"/>
  <c r="Q70" i="31"/>
  <c r="G71" i="31"/>
  <c r="O71" i="31"/>
  <c r="H71" i="31"/>
  <c r="P71" i="31"/>
  <c r="I71" i="31"/>
  <c r="Q71" i="31"/>
  <c r="G72" i="31"/>
  <c r="O72" i="31"/>
  <c r="H72" i="31"/>
  <c r="P72" i="31"/>
  <c r="I72" i="31"/>
  <c r="Q72" i="31"/>
  <c r="G73" i="31"/>
  <c r="O73" i="31"/>
  <c r="H73" i="31"/>
  <c r="P73" i="31"/>
  <c r="I73" i="31"/>
  <c r="Q73" i="31"/>
  <c r="G74" i="31"/>
  <c r="O74" i="31"/>
  <c r="H74" i="31"/>
  <c r="P74" i="31"/>
  <c r="I74" i="31"/>
  <c r="Q74" i="31"/>
  <c r="G75" i="31"/>
  <c r="O75" i="31"/>
  <c r="H75" i="31"/>
  <c r="P75" i="31"/>
  <c r="I75" i="31"/>
  <c r="Q75" i="31"/>
  <c r="G76" i="31"/>
  <c r="O76" i="31"/>
  <c r="H76" i="31"/>
  <c r="P76" i="31"/>
  <c r="I76" i="31"/>
  <c r="Q76" i="31"/>
  <c r="G77" i="31"/>
  <c r="O77" i="31"/>
  <c r="H77" i="31"/>
  <c r="P77" i="31"/>
  <c r="I77" i="31"/>
  <c r="Q77" i="31"/>
  <c r="G78" i="31"/>
  <c r="O78" i="31"/>
  <c r="H78" i="31"/>
  <c r="P78" i="31"/>
  <c r="I78" i="31"/>
  <c r="Q78" i="31"/>
  <c r="G79" i="31"/>
  <c r="O79" i="31"/>
  <c r="H79" i="31"/>
  <c r="P79" i="31"/>
  <c r="I79" i="31"/>
  <c r="Q79" i="31"/>
  <c r="G80" i="31"/>
  <c r="O80" i="31"/>
  <c r="H80" i="31"/>
  <c r="P80" i="31"/>
  <c r="I80" i="31"/>
  <c r="Q80" i="31"/>
  <c r="G81" i="31"/>
  <c r="O81" i="31"/>
  <c r="H81" i="31"/>
  <c r="P81" i="31"/>
  <c r="I81" i="31"/>
  <c r="Q81" i="31"/>
  <c r="G82" i="31"/>
  <c r="O82" i="31"/>
  <c r="H82" i="31"/>
  <c r="P82" i="31"/>
  <c r="I82" i="31"/>
  <c r="Q82" i="31"/>
  <c r="G83" i="31"/>
  <c r="O83" i="31"/>
  <c r="H83" i="31"/>
  <c r="P83" i="31"/>
  <c r="I83" i="31"/>
  <c r="Q83" i="31"/>
  <c r="G84" i="31"/>
  <c r="O84" i="31"/>
  <c r="H84" i="31"/>
  <c r="P84" i="31"/>
  <c r="I84" i="31"/>
  <c r="Q84" i="31"/>
  <c r="G85" i="31"/>
  <c r="O85" i="31"/>
  <c r="H85" i="31"/>
  <c r="P85" i="31"/>
  <c r="I85" i="31"/>
  <c r="Q85" i="31"/>
  <c r="G86" i="31"/>
  <c r="O86" i="31"/>
  <c r="H86" i="31"/>
  <c r="P86" i="31"/>
  <c r="I86" i="31"/>
  <c r="Q86" i="31"/>
  <c r="G87" i="31"/>
  <c r="O87" i="31"/>
  <c r="H87" i="31"/>
  <c r="P87" i="31"/>
  <c r="I87" i="31"/>
  <c r="Q87" i="31"/>
  <c r="G88" i="31"/>
  <c r="O88" i="31"/>
  <c r="H88" i="31"/>
  <c r="P88" i="31"/>
  <c r="I88" i="31"/>
  <c r="Q88" i="31"/>
  <c r="G89" i="31"/>
  <c r="O89" i="31"/>
  <c r="H89" i="31"/>
  <c r="P89" i="31"/>
  <c r="I89" i="31"/>
  <c r="Q89" i="31"/>
  <c r="G90" i="31"/>
  <c r="O90" i="31"/>
  <c r="H90" i="31"/>
  <c r="P90" i="31"/>
  <c r="I90" i="31"/>
  <c r="Q90" i="31"/>
  <c r="G91" i="31"/>
  <c r="O91" i="31"/>
  <c r="H91" i="31"/>
  <c r="P91" i="31"/>
  <c r="I91" i="31"/>
  <c r="Q91" i="31"/>
  <c r="G92" i="31"/>
  <c r="O92" i="31"/>
  <c r="H92" i="31"/>
  <c r="P92" i="31"/>
  <c r="I92" i="31"/>
  <c r="Q92" i="31"/>
  <c r="G93" i="31"/>
  <c r="O93" i="31"/>
  <c r="H93" i="31"/>
  <c r="P93" i="31"/>
  <c r="I93" i="31"/>
  <c r="Q93" i="31"/>
  <c r="G94" i="31"/>
  <c r="O94" i="31"/>
  <c r="H94" i="31"/>
  <c r="P94" i="31"/>
  <c r="I94" i="31"/>
  <c r="Q94" i="31"/>
  <c r="G95" i="31"/>
  <c r="O95" i="31"/>
  <c r="H95" i="31"/>
  <c r="P95" i="31"/>
  <c r="I95" i="31"/>
  <c r="Q95" i="31"/>
  <c r="G96" i="31"/>
  <c r="O96" i="31"/>
  <c r="H96" i="31"/>
  <c r="P96" i="31"/>
  <c r="I96" i="31"/>
  <c r="Q96" i="31"/>
  <c r="G97" i="31"/>
  <c r="O97" i="31"/>
  <c r="H97" i="31"/>
  <c r="P97" i="31"/>
  <c r="I97" i="31"/>
  <c r="Q97" i="31"/>
  <c r="G98" i="31"/>
  <c r="O98" i="31"/>
  <c r="H98" i="31"/>
  <c r="P98" i="31"/>
  <c r="I98" i="31"/>
  <c r="Q98" i="31"/>
  <c r="G99" i="31"/>
  <c r="O99" i="31"/>
  <c r="H99" i="31"/>
  <c r="P99" i="31"/>
  <c r="I99" i="31"/>
  <c r="Q99" i="31"/>
  <c r="G100" i="31"/>
  <c r="O100" i="31"/>
  <c r="H100" i="31"/>
  <c r="P100" i="31"/>
  <c r="I100" i="31"/>
  <c r="Q100" i="31"/>
  <c r="G101" i="31"/>
  <c r="O101" i="31"/>
  <c r="H101" i="31"/>
  <c r="P101" i="31"/>
  <c r="I101" i="31"/>
  <c r="Q101" i="31"/>
  <c r="G102" i="31"/>
  <c r="O102" i="31"/>
  <c r="H102" i="31"/>
  <c r="P102" i="31"/>
  <c r="I102" i="31"/>
  <c r="Q102" i="31"/>
  <c r="G103" i="31"/>
  <c r="O103" i="31"/>
  <c r="H103" i="31"/>
  <c r="P103" i="31"/>
  <c r="I103" i="31"/>
  <c r="Q103" i="31"/>
  <c r="G104" i="31"/>
  <c r="O104" i="31"/>
  <c r="H104" i="31"/>
  <c r="P104" i="31"/>
  <c r="I104" i="31"/>
  <c r="Q104" i="31"/>
  <c r="G105" i="31"/>
  <c r="O105" i="31"/>
  <c r="H105" i="31"/>
  <c r="P105" i="31"/>
  <c r="I105" i="31"/>
  <c r="Q105" i="31"/>
  <c r="G106" i="31"/>
  <c r="O106" i="31"/>
  <c r="H106" i="31"/>
  <c r="P106" i="31"/>
  <c r="I106" i="31"/>
  <c r="Q106" i="31"/>
  <c r="G107" i="31"/>
  <c r="O107" i="31"/>
  <c r="H107" i="31"/>
  <c r="P107" i="31"/>
  <c r="I107" i="31"/>
  <c r="Q107" i="31"/>
  <c r="G108" i="31"/>
  <c r="O108" i="31"/>
  <c r="H108" i="31"/>
  <c r="P108" i="31"/>
  <c r="I108" i="31"/>
  <c r="Q108" i="31"/>
  <c r="G109" i="31"/>
  <c r="O109" i="31"/>
  <c r="H109" i="31"/>
  <c r="P109" i="31"/>
  <c r="I109" i="31"/>
  <c r="Q109" i="31"/>
  <c r="G110" i="31"/>
  <c r="O110" i="31"/>
  <c r="H110" i="31"/>
  <c r="P110" i="31"/>
  <c r="I110" i="31"/>
  <c r="Q110" i="31"/>
  <c r="G111" i="31"/>
  <c r="O111" i="31"/>
  <c r="H111" i="31"/>
  <c r="P111" i="31"/>
  <c r="I111" i="31"/>
  <c r="Q111" i="31"/>
  <c r="G112" i="31"/>
  <c r="O112" i="31"/>
  <c r="H112" i="31"/>
  <c r="P112" i="31"/>
  <c r="I112" i="31"/>
  <c r="Q112" i="31"/>
  <c r="G113" i="31"/>
  <c r="O113" i="31"/>
  <c r="H113" i="31"/>
  <c r="P113" i="31"/>
  <c r="I113" i="31"/>
  <c r="Q113" i="31"/>
  <c r="G114" i="31"/>
  <c r="O114" i="31"/>
  <c r="H114" i="31"/>
  <c r="P114" i="31"/>
  <c r="I114" i="31"/>
  <c r="Q114" i="31"/>
  <c r="G115" i="31"/>
  <c r="O115" i="31"/>
  <c r="H115" i="31"/>
  <c r="P115" i="31"/>
  <c r="I115" i="31"/>
  <c r="Q115" i="31"/>
  <c r="G116" i="31"/>
  <c r="O116" i="31"/>
  <c r="H116" i="31"/>
  <c r="P116" i="31"/>
  <c r="I116" i="31"/>
  <c r="Q116" i="31"/>
  <c r="G117" i="31"/>
  <c r="O117" i="31"/>
  <c r="H117" i="31"/>
  <c r="P117" i="31"/>
  <c r="I117" i="31"/>
  <c r="Q117" i="31"/>
  <c r="G118" i="31"/>
  <c r="O118" i="31"/>
  <c r="H118" i="31"/>
  <c r="P118" i="31"/>
  <c r="I118" i="31"/>
  <c r="Q118" i="31"/>
  <c r="G119" i="31"/>
  <c r="O119" i="31"/>
  <c r="H119" i="31"/>
  <c r="P119" i="31"/>
  <c r="I119" i="31"/>
  <c r="Q119" i="31"/>
  <c r="G120" i="31"/>
  <c r="O120" i="31"/>
  <c r="H120" i="31"/>
  <c r="P120" i="31"/>
  <c r="I120" i="31"/>
  <c r="Q120" i="31"/>
  <c r="G121" i="31"/>
  <c r="O121" i="31"/>
  <c r="H121" i="31"/>
  <c r="P121" i="31"/>
  <c r="I121" i="31"/>
  <c r="Q121" i="31"/>
  <c r="G122" i="31"/>
  <c r="O122" i="31"/>
  <c r="H122" i="31"/>
  <c r="P122" i="31"/>
  <c r="I122" i="31"/>
  <c r="Q122" i="31"/>
  <c r="G123" i="31"/>
  <c r="O123" i="31"/>
  <c r="H123" i="31"/>
  <c r="P123" i="31"/>
  <c r="I123" i="31"/>
  <c r="Q123" i="31"/>
  <c r="G124" i="31"/>
  <c r="O124" i="31"/>
  <c r="H124" i="31"/>
  <c r="P124" i="31"/>
  <c r="I124" i="31"/>
  <c r="Q124" i="31"/>
  <c r="G125" i="31"/>
  <c r="O125" i="31"/>
  <c r="H125" i="31"/>
  <c r="P125" i="31"/>
  <c r="I125" i="31"/>
  <c r="Q125" i="31"/>
  <c r="G126" i="31"/>
  <c r="O126" i="31"/>
  <c r="H126" i="31"/>
  <c r="P126" i="31"/>
  <c r="I126" i="31"/>
  <c r="Q126" i="31"/>
  <c r="G127" i="31"/>
  <c r="O127" i="31"/>
  <c r="H127" i="31"/>
  <c r="P127" i="31"/>
  <c r="I127" i="31"/>
  <c r="Q127" i="31"/>
  <c r="G128" i="31"/>
  <c r="O128" i="31"/>
  <c r="H128" i="31"/>
  <c r="P128" i="31"/>
  <c r="I128" i="31"/>
  <c r="Q128" i="31"/>
  <c r="G129" i="31"/>
  <c r="O129" i="31"/>
  <c r="H129" i="31"/>
  <c r="P129" i="31"/>
  <c r="I129" i="31"/>
  <c r="Q129" i="31"/>
  <c r="G130" i="31"/>
  <c r="O130" i="31"/>
  <c r="H130" i="31"/>
  <c r="P130" i="31"/>
  <c r="I130" i="31"/>
  <c r="Q130" i="31"/>
  <c r="G131" i="31"/>
  <c r="O131" i="31"/>
  <c r="H131" i="31"/>
  <c r="P131" i="31"/>
  <c r="I131" i="31"/>
  <c r="Q131" i="31"/>
  <c r="G132" i="31"/>
  <c r="O132" i="31"/>
  <c r="H132" i="31"/>
  <c r="P132" i="31"/>
  <c r="I132" i="31"/>
  <c r="Q132" i="31"/>
  <c r="G133" i="31"/>
  <c r="O133" i="31"/>
  <c r="H133" i="31"/>
  <c r="P133" i="31"/>
  <c r="I133" i="31"/>
  <c r="Q133" i="31"/>
  <c r="G134" i="31"/>
  <c r="O134" i="31"/>
  <c r="H134" i="31"/>
  <c r="P134" i="31"/>
  <c r="I134" i="31"/>
  <c r="Q134" i="31"/>
  <c r="G135" i="31"/>
  <c r="O135" i="31"/>
  <c r="H135" i="31"/>
  <c r="P135" i="31"/>
  <c r="I135" i="31"/>
  <c r="Q135" i="31"/>
  <c r="G136" i="31"/>
  <c r="O136" i="31"/>
  <c r="H136" i="31"/>
  <c r="P136" i="31"/>
  <c r="I136" i="31"/>
  <c r="Q136" i="31"/>
  <c r="G137" i="31"/>
  <c r="O137" i="31"/>
  <c r="H137" i="31"/>
  <c r="P137" i="31"/>
  <c r="I137" i="31"/>
  <c r="Q137" i="31"/>
  <c r="G138" i="31"/>
  <c r="O138" i="31"/>
  <c r="H138" i="31"/>
  <c r="P138" i="31"/>
  <c r="I138" i="31"/>
  <c r="Q138" i="31"/>
  <c r="G139" i="31"/>
  <c r="O139" i="31"/>
  <c r="H139" i="31"/>
  <c r="P139" i="31"/>
  <c r="I139" i="31"/>
  <c r="Q139" i="31"/>
  <c r="G140" i="31"/>
  <c r="O140" i="31"/>
  <c r="H140" i="31"/>
  <c r="P140" i="31"/>
  <c r="I140" i="31"/>
  <c r="Q140" i="31"/>
  <c r="G141" i="31"/>
  <c r="O141" i="31"/>
  <c r="H141" i="31"/>
  <c r="P141" i="31"/>
  <c r="I141" i="31"/>
  <c r="Q141" i="31"/>
  <c r="G142" i="31"/>
  <c r="O142" i="31"/>
  <c r="H142" i="31"/>
  <c r="P142" i="31"/>
  <c r="I142" i="31"/>
  <c r="Q142" i="31"/>
  <c r="G143" i="31"/>
  <c r="O143" i="31"/>
  <c r="H143" i="31"/>
  <c r="P143" i="31"/>
  <c r="I143" i="31"/>
  <c r="Q143" i="31"/>
  <c r="G144" i="31"/>
  <c r="O144" i="31"/>
  <c r="H144" i="31"/>
  <c r="P144" i="31"/>
  <c r="I144" i="31"/>
  <c r="Q144" i="31"/>
  <c r="G145" i="31"/>
  <c r="O145" i="31"/>
  <c r="H145" i="31"/>
  <c r="P145" i="31"/>
  <c r="I145" i="31"/>
  <c r="Q145" i="31"/>
  <c r="G3" i="31"/>
  <c r="O3" i="31"/>
  <c r="H3" i="31"/>
  <c r="P3" i="31"/>
  <c r="I3" i="31"/>
  <c r="Q3" i="31"/>
  <c r="I2" i="31"/>
  <c r="Q2" i="31"/>
  <c r="H2" i="31"/>
  <c r="P2" i="31"/>
  <c r="G2" i="31"/>
  <c r="O2" i="31"/>
  <c r="D3" i="30"/>
  <c r="L3" i="30"/>
  <c r="F3" i="30"/>
  <c r="N3" i="30"/>
  <c r="G3" i="30"/>
  <c r="O3" i="30"/>
  <c r="H3" i="30"/>
  <c r="P3" i="30"/>
  <c r="I3" i="30"/>
  <c r="Q3" i="30"/>
  <c r="D4" i="30"/>
  <c r="L4" i="30"/>
  <c r="F4" i="30"/>
  <c r="N4" i="30"/>
  <c r="G4" i="30"/>
  <c r="O4" i="30"/>
  <c r="H4" i="30"/>
  <c r="P4" i="30"/>
  <c r="I4" i="30"/>
  <c r="Q4" i="30"/>
  <c r="D5" i="30"/>
  <c r="L5" i="30"/>
  <c r="F5" i="30"/>
  <c r="N5" i="30"/>
  <c r="G5" i="30"/>
  <c r="O5" i="30"/>
  <c r="H5" i="30"/>
  <c r="P5" i="30"/>
  <c r="I5" i="30"/>
  <c r="Q5" i="30"/>
  <c r="D6" i="30"/>
  <c r="L6" i="30"/>
  <c r="F6" i="30"/>
  <c r="N6" i="30"/>
  <c r="G6" i="30"/>
  <c r="O6" i="30"/>
  <c r="H6" i="30"/>
  <c r="P6" i="30"/>
  <c r="I6" i="30"/>
  <c r="Q6" i="30"/>
  <c r="D7" i="30"/>
  <c r="L7" i="30"/>
  <c r="F7" i="30"/>
  <c r="N7" i="30"/>
  <c r="G7" i="30"/>
  <c r="O7" i="30"/>
  <c r="H7" i="30"/>
  <c r="P7" i="30"/>
  <c r="I7" i="30"/>
  <c r="Q7" i="30"/>
  <c r="D8" i="30"/>
  <c r="L8" i="30"/>
  <c r="F8" i="30"/>
  <c r="N8" i="30"/>
  <c r="G8" i="30"/>
  <c r="O8" i="30"/>
  <c r="H8" i="30"/>
  <c r="P8" i="30"/>
  <c r="I8" i="30"/>
  <c r="Q8" i="30"/>
  <c r="D9" i="30"/>
  <c r="L9" i="30"/>
  <c r="F9" i="30"/>
  <c r="N9" i="30"/>
  <c r="G9" i="30"/>
  <c r="O9" i="30"/>
  <c r="H9" i="30"/>
  <c r="P9" i="30"/>
  <c r="I9" i="30"/>
  <c r="Q9" i="30"/>
  <c r="D10" i="30"/>
  <c r="L10" i="30"/>
  <c r="F10" i="30"/>
  <c r="N10" i="30"/>
  <c r="G10" i="30"/>
  <c r="O10" i="30"/>
  <c r="H10" i="30"/>
  <c r="P10" i="30"/>
  <c r="I10" i="30"/>
  <c r="Q10" i="30"/>
  <c r="D11" i="30"/>
  <c r="L11" i="30"/>
  <c r="F11" i="30"/>
  <c r="N11" i="30"/>
  <c r="G11" i="30"/>
  <c r="O11" i="30"/>
  <c r="H11" i="30"/>
  <c r="P11" i="30"/>
  <c r="I11" i="30"/>
  <c r="Q11" i="30"/>
  <c r="D12" i="30"/>
  <c r="L12" i="30"/>
  <c r="F12" i="30"/>
  <c r="N12" i="30"/>
  <c r="G12" i="30"/>
  <c r="O12" i="30"/>
  <c r="H12" i="30"/>
  <c r="P12" i="30"/>
  <c r="I12" i="30"/>
  <c r="Q12" i="30"/>
  <c r="D13" i="30"/>
  <c r="L13" i="30"/>
  <c r="F13" i="30"/>
  <c r="N13" i="30"/>
  <c r="G13" i="30"/>
  <c r="O13" i="30"/>
  <c r="H13" i="30"/>
  <c r="P13" i="30"/>
  <c r="I13" i="30"/>
  <c r="Q13" i="30"/>
  <c r="D14" i="30"/>
  <c r="L14" i="30"/>
  <c r="F14" i="30"/>
  <c r="N14" i="30"/>
  <c r="G14" i="30"/>
  <c r="O14" i="30"/>
  <c r="H14" i="30"/>
  <c r="P14" i="30"/>
  <c r="I14" i="30"/>
  <c r="Q14" i="30"/>
  <c r="D15" i="30"/>
  <c r="L15" i="30"/>
  <c r="F15" i="30"/>
  <c r="N15" i="30"/>
  <c r="G15" i="30"/>
  <c r="O15" i="30"/>
  <c r="H15" i="30"/>
  <c r="P15" i="30"/>
  <c r="I15" i="30"/>
  <c r="Q15" i="30"/>
  <c r="D16" i="30"/>
  <c r="L16" i="30"/>
  <c r="F16" i="30"/>
  <c r="N16" i="30"/>
  <c r="G16" i="30"/>
  <c r="O16" i="30"/>
  <c r="H16" i="30"/>
  <c r="P16" i="30"/>
  <c r="I16" i="30"/>
  <c r="Q16" i="30"/>
  <c r="D17" i="30"/>
  <c r="L17" i="30"/>
  <c r="F17" i="30"/>
  <c r="N17" i="30"/>
  <c r="G17" i="30"/>
  <c r="O17" i="30"/>
  <c r="H17" i="30"/>
  <c r="P17" i="30"/>
  <c r="I17" i="30"/>
  <c r="Q17" i="30"/>
  <c r="D18" i="30"/>
  <c r="L18" i="30"/>
  <c r="F18" i="30"/>
  <c r="N18" i="30"/>
  <c r="G18" i="30"/>
  <c r="O18" i="30"/>
  <c r="H18" i="30"/>
  <c r="P18" i="30"/>
  <c r="I18" i="30"/>
  <c r="Q18" i="30"/>
  <c r="D19" i="30"/>
  <c r="L19" i="30"/>
  <c r="F19" i="30"/>
  <c r="N19" i="30"/>
  <c r="G19" i="30"/>
  <c r="O19" i="30"/>
  <c r="H19" i="30"/>
  <c r="P19" i="30"/>
  <c r="I19" i="30"/>
  <c r="Q19" i="30"/>
  <c r="D20" i="30"/>
  <c r="L20" i="30"/>
  <c r="F20" i="30"/>
  <c r="N20" i="30"/>
  <c r="G20" i="30"/>
  <c r="O20" i="30"/>
  <c r="H20" i="30"/>
  <c r="P20" i="30"/>
  <c r="I20" i="30"/>
  <c r="Q20" i="30"/>
  <c r="D21" i="30"/>
  <c r="L21" i="30"/>
  <c r="F21" i="30"/>
  <c r="N21" i="30"/>
  <c r="G21" i="30"/>
  <c r="O21" i="30"/>
  <c r="H21" i="30"/>
  <c r="P21" i="30"/>
  <c r="I21" i="30"/>
  <c r="Q21" i="30"/>
  <c r="D22" i="30"/>
  <c r="L22" i="30"/>
  <c r="F22" i="30"/>
  <c r="N22" i="30"/>
  <c r="G22" i="30"/>
  <c r="O22" i="30"/>
  <c r="H22" i="30"/>
  <c r="P22" i="30"/>
  <c r="I22" i="30"/>
  <c r="Q22" i="30"/>
  <c r="D23" i="30"/>
  <c r="L23" i="30"/>
  <c r="F23" i="30"/>
  <c r="N23" i="30"/>
  <c r="G23" i="30"/>
  <c r="O23" i="30"/>
  <c r="H23" i="30"/>
  <c r="P23" i="30"/>
  <c r="I23" i="30"/>
  <c r="Q23" i="30"/>
  <c r="D24" i="30"/>
  <c r="L24" i="30"/>
  <c r="F24" i="30"/>
  <c r="N24" i="30"/>
  <c r="G24" i="30"/>
  <c r="O24" i="30"/>
  <c r="H24" i="30"/>
  <c r="P24" i="30"/>
  <c r="I24" i="30"/>
  <c r="Q24" i="30"/>
  <c r="D25" i="30"/>
  <c r="L25" i="30"/>
  <c r="F25" i="30"/>
  <c r="N25" i="30"/>
  <c r="G25" i="30"/>
  <c r="O25" i="30"/>
  <c r="H25" i="30"/>
  <c r="P25" i="30"/>
  <c r="I25" i="30"/>
  <c r="Q25" i="30"/>
  <c r="D26" i="30"/>
  <c r="L26" i="30"/>
  <c r="F26" i="30"/>
  <c r="N26" i="30"/>
  <c r="G26" i="30"/>
  <c r="O26" i="30"/>
  <c r="H26" i="30"/>
  <c r="P26" i="30"/>
  <c r="I26" i="30"/>
  <c r="Q26" i="30"/>
  <c r="D27" i="30"/>
  <c r="L27" i="30"/>
  <c r="F27" i="30"/>
  <c r="N27" i="30"/>
  <c r="G27" i="30"/>
  <c r="O27" i="30"/>
  <c r="H27" i="30"/>
  <c r="P27" i="30"/>
  <c r="I27" i="30"/>
  <c r="Q27" i="30"/>
  <c r="D28" i="30"/>
  <c r="L28" i="30"/>
  <c r="F28" i="30"/>
  <c r="N28" i="30"/>
  <c r="G28" i="30"/>
  <c r="O28" i="30"/>
  <c r="H28" i="30"/>
  <c r="P28" i="30"/>
  <c r="I28" i="30"/>
  <c r="Q28" i="30"/>
  <c r="D29" i="30"/>
  <c r="L29" i="30"/>
  <c r="F29" i="30"/>
  <c r="N29" i="30"/>
  <c r="G29" i="30"/>
  <c r="O29" i="30"/>
  <c r="H29" i="30"/>
  <c r="P29" i="30"/>
  <c r="I29" i="30"/>
  <c r="Q29" i="30"/>
  <c r="D30" i="30"/>
  <c r="L30" i="30"/>
  <c r="F30" i="30"/>
  <c r="N30" i="30"/>
  <c r="G30" i="30"/>
  <c r="O30" i="30"/>
  <c r="H30" i="30"/>
  <c r="P30" i="30"/>
  <c r="I30" i="30"/>
  <c r="Q30" i="30"/>
  <c r="D31" i="30"/>
  <c r="L31" i="30"/>
  <c r="F31" i="30"/>
  <c r="N31" i="30"/>
  <c r="G31" i="30"/>
  <c r="O31" i="30"/>
  <c r="H31" i="30"/>
  <c r="P31" i="30"/>
  <c r="I31" i="30"/>
  <c r="Q31" i="30"/>
  <c r="D32" i="30"/>
  <c r="L32" i="30"/>
  <c r="F32" i="30"/>
  <c r="N32" i="30"/>
  <c r="G32" i="30"/>
  <c r="O32" i="30"/>
  <c r="H32" i="30"/>
  <c r="P32" i="30"/>
  <c r="I32" i="30"/>
  <c r="Q32" i="30"/>
  <c r="D33" i="30"/>
  <c r="L33" i="30"/>
  <c r="F33" i="30"/>
  <c r="N33" i="30"/>
  <c r="G33" i="30"/>
  <c r="O33" i="30"/>
  <c r="H33" i="30"/>
  <c r="P33" i="30"/>
  <c r="I33" i="30"/>
  <c r="Q33" i="30"/>
  <c r="D34" i="30"/>
  <c r="L34" i="30"/>
  <c r="F34" i="30"/>
  <c r="N34" i="30"/>
  <c r="G34" i="30"/>
  <c r="O34" i="30"/>
  <c r="H34" i="30"/>
  <c r="P34" i="30"/>
  <c r="I34" i="30"/>
  <c r="Q34" i="30"/>
  <c r="D35" i="30"/>
  <c r="L35" i="30"/>
  <c r="F35" i="30"/>
  <c r="N35" i="30"/>
  <c r="G35" i="30"/>
  <c r="O35" i="30"/>
  <c r="H35" i="30"/>
  <c r="P35" i="30"/>
  <c r="I35" i="30"/>
  <c r="Q35" i="30"/>
  <c r="D36" i="30"/>
  <c r="L36" i="30"/>
  <c r="F36" i="30"/>
  <c r="N36" i="30"/>
  <c r="G36" i="30"/>
  <c r="O36" i="30"/>
  <c r="H36" i="30"/>
  <c r="P36" i="30"/>
  <c r="I36" i="30"/>
  <c r="Q36" i="30"/>
  <c r="D37" i="30"/>
  <c r="L37" i="30"/>
  <c r="F37" i="30"/>
  <c r="N37" i="30"/>
  <c r="G37" i="30"/>
  <c r="O37" i="30"/>
  <c r="H37" i="30"/>
  <c r="P37" i="30"/>
  <c r="I37" i="30"/>
  <c r="Q37" i="30"/>
  <c r="D38" i="30"/>
  <c r="L38" i="30"/>
  <c r="F38" i="30"/>
  <c r="N38" i="30"/>
  <c r="G38" i="30"/>
  <c r="O38" i="30"/>
  <c r="H38" i="30"/>
  <c r="P38" i="30"/>
  <c r="I38" i="30"/>
  <c r="Q38" i="30"/>
  <c r="D39" i="30"/>
  <c r="L39" i="30"/>
  <c r="F39" i="30"/>
  <c r="N39" i="30"/>
  <c r="G39" i="30"/>
  <c r="O39" i="30"/>
  <c r="H39" i="30"/>
  <c r="P39" i="30"/>
  <c r="I39" i="30"/>
  <c r="Q39" i="30"/>
  <c r="D40" i="30"/>
  <c r="L40" i="30"/>
  <c r="F40" i="30"/>
  <c r="N40" i="30"/>
  <c r="G40" i="30"/>
  <c r="O40" i="30"/>
  <c r="H40" i="30"/>
  <c r="P40" i="30"/>
  <c r="I40" i="30"/>
  <c r="Q40" i="30"/>
  <c r="D41" i="30"/>
  <c r="L41" i="30"/>
  <c r="F41" i="30"/>
  <c r="N41" i="30"/>
  <c r="G41" i="30"/>
  <c r="O41" i="30"/>
  <c r="H41" i="30"/>
  <c r="P41" i="30"/>
  <c r="I41" i="30"/>
  <c r="Q41" i="30"/>
  <c r="D42" i="30"/>
  <c r="L42" i="30"/>
  <c r="F42" i="30"/>
  <c r="N42" i="30"/>
  <c r="G42" i="30"/>
  <c r="O42" i="30"/>
  <c r="H42" i="30"/>
  <c r="P42" i="30"/>
  <c r="I42" i="30"/>
  <c r="Q42" i="30"/>
  <c r="D43" i="30"/>
  <c r="L43" i="30"/>
  <c r="F43" i="30"/>
  <c r="N43" i="30"/>
  <c r="G43" i="30"/>
  <c r="O43" i="30"/>
  <c r="H43" i="30"/>
  <c r="P43" i="30"/>
  <c r="I43" i="30"/>
  <c r="Q43" i="30"/>
  <c r="D44" i="30"/>
  <c r="L44" i="30"/>
  <c r="F44" i="30"/>
  <c r="N44" i="30"/>
  <c r="G44" i="30"/>
  <c r="O44" i="30"/>
  <c r="H44" i="30"/>
  <c r="P44" i="30"/>
  <c r="I44" i="30"/>
  <c r="Q44" i="30"/>
  <c r="D45" i="30"/>
  <c r="L45" i="30"/>
  <c r="F45" i="30"/>
  <c r="N45" i="30"/>
  <c r="G45" i="30"/>
  <c r="O45" i="30"/>
  <c r="H45" i="30"/>
  <c r="P45" i="30"/>
  <c r="I45" i="30"/>
  <c r="Q45" i="30"/>
  <c r="D46" i="30"/>
  <c r="L46" i="30"/>
  <c r="F46" i="30"/>
  <c r="N46" i="30"/>
  <c r="G46" i="30"/>
  <c r="O46" i="30"/>
  <c r="H46" i="30"/>
  <c r="P46" i="30"/>
  <c r="I46" i="30"/>
  <c r="Q46" i="30"/>
  <c r="D47" i="30"/>
  <c r="L47" i="30"/>
  <c r="F47" i="30"/>
  <c r="N47" i="30"/>
  <c r="G47" i="30"/>
  <c r="O47" i="30"/>
  <c r="H47" i="30"/>
  <c r="P47" i="30"/>
  <c r="I47" i="30"/>
  <c r="Q47" i="30"/>
  <c r="D48" i="30"/>
  <c r="L48" i="30"/>
  <c r="F48" i="30"/>
  <c r="N48" i="30"/>
  <c r="G48" i="30"/>
  <c r="O48" i="30"/>
  <c r="H48" i="30"/>
  <c r="P48" i="30"/>
  <c r="I48" i="30"/>
  <c r="Q48" i="30"/>
  <c r="D49" i="30"/>
  <c r="L49" i="30"/>
  <c r="F49" i="30"/>
  <c r="N49" i="30"/>
  <c r="G49" i="30"/>
  <c r="O49" i="30"/>
  <c r="H49" i="30"/>
  <c r="P49" i="30"/>
  <c r="I49" i="30"/>
  <c r="Q49" i="30"/>
  <c r="D50" i="30"/>
  <c r="L50" i="30"/>
  <c r="F50" i="30"/>
  <c r="N50" i="30"/>
  <c r="G50" i="30"/>
  <c r="O50" i="30"/>
  <c r="H50" i="30"/>
  <c r="P50" i="30"/>
  <c r="I50" i="30"/>
  <c r="Q50" i="30"/>
  <c r="D51" i="30"/>
  <c r="L51" i="30"/>
  <c r="F51" i="30"/>
  <c r="N51" i="30"/>
  <c r="G51" i="30"/>
  <c r="O51" i="30"/>
  <c r="H51" i="30"/>
  <c r="P51" i="30"/>
  <c r="I51" i="30"/>
  <c r="Q51" i="30"/>
  <c r="D52" i="30"/>
  <c r="L52" i="30"/>
  <c r="F52" i="30"/>
  <c r="N52" i="30"/>
  <c r="G52" i="30"/>
  <c r="O52" i="30"/>
  <c r="H52" i="30"/>
  <c r="P52" i="30"/>
  <c r="I52" i="30"/>
  <c r="Q52" i="30"/>
  <c r="D53" i="30"/>
  <c r="L53" i="30"/>
  <c r="F53" i="30"/>
  <c r="N53" i="30"/>
  <c r="G53" i="30"/>
  <c r="O53" i="30"/>
  <c r="H53" i="30"/>
  <c r="P53" i="30"/>
  <c r="I53" i="30"/>
  <c r="Q53" i="30"/>
  <c r="D54" i="30"/>
  <c r="L54" i="30"/>
  <c r="F54" i="30"/>
  <c r="N54" i="30"/>
  <c r="G54" i="30"/>
  <c r="O54" i="30"/>
  <c r="H54" i="30"/>
  <c r="P54" i="30"/>
  <c r="I54" i="30"/>
  <c r="Q54" i="30"/>
  <c r="D55" i="30"/>
  <c r="L55" i="30"/>
  <c r="F55" i="30"/>
  <c r="N55" i="30"/>
  <c r="G55" i="30"/>
  <c r="O55" i="30"/>
  <c r="H55" i="30"/>
  <c r="P55" i="30"/>
  <c r="I55" i="30"/>
  <c r="Q55" i="30"/>
  <c r="D56" i="30"/>
  <c r="L56" i="30"/>
  <c r="F56" i="30"/>
  <c r="N56" i="30"/>
  <c r="G56" i="30"/>
  <c r="O56" i="30"/>
  <c r="H56" i="30"/>
  <c r="P56" i="30"/>
  <c r="I56" i="30"/>
  <c r="Q56" i="30"/>
  <c r="D57" i="30"/>
  <c r="L57" i="30"/>
  <c r="F57" i="30"/>
  <c r="N57" i="30"/>
  <c r="G57" i="30"/>
  <c r="O57" i="30"/>
  <c r="H57" i="30"/>
  <c r="P57" i="30"/>
  <c r="I57" i="30"/>
  <c r="Q57" i="30"/>
  <c r="D58" i="30"/>
  <c r="L58" i="30"/>
  <c r="F58" i="30"/>
  <c r="N58" i="30"/>
  <c r="G58" i="30"/>
  <c r="O58" i="30"/>
  <c r="H58" i="30"/>
  <c r="P58" i="30"/>
  <c r="I58" i="30"/>
  <c r="Q58" i="30"/>
  <c r="D59" i="30"/>
  <c r="L59" i="30"/>
  <c r="F59" i="30"/>
  <c r="N59" i="30"/>
  <c r="G59" i="30"/>
  <c r="O59" i="30"/>
  <c r="H59" i="30"/>
  <c r="P59" i="30"/>
  <c r="I59" i="30"/>
  <c r="Q59" i="30"/>
  <c r="D60" i="30"/>
  <c r="L60" i="30"/>
  <c r="F60" i="30"/>
  <c r="N60" i="30"/>
  <c r="G60" i="30"/>
  <c r="O60" i="30"/>
  <c r="H60" i="30"/>
  <c r="P60" i="30"/>
  <c r="I60" i="30"/>
  <c r="Q60" i="30"/>
  <c r="D61" i="30"/>
  <c r="L61" i="30"/>
  <c r="F61" i="30"/>
  <c r="N61" i="30"/>
  <c r="G61" i="30"/>
  <c r="O61" i="30"/>
  <c r="H61" i="30"/>
  <c r="P61" i="30"/>
  <c r="I61" i="30"/>
  <c r="Q61" i="30"/>
  <c r="D62" i="30"/>
  <c r="L62" i="30"/>
  <c r="F62" i="30"/>
  <c r="N62" i="30"/>
  <c r="G62" i="30"/>
  <c r="O62" i="30"/>
  <c r="H62" i="30"/>
  <c r="P62" i="30"/>
  <c r="I62" i="30"/>
  <c r="Q62" i="30"/>
  <c r="D63" i="30"/>
  <c r="L63" i="30"/>
  <c r="F63" i="30"/>
  <c r="N63" i="30"/>
  <c r="G63" i="30"/>
  <c r="O63" i="30"/>
  <c r="H63" i="30"/>
  <c r="P63" i="30"/>
  <c r="I63" i="30"/>
  <c r="Q63" i="30"/>
  <c r="D64" i="30"/>
  <c r="L64" i="30"/>
  <c r="F64" i="30"/>
  <c r="N64" i="30"/>
  <c r="G64" i="30"/>
  <c r="O64" i="30"/>
  <c r="H64" i="30"/>
  <c r="P64" i="30"/>
  <c r="I64" i="30"/>
  <c r="Q64" i="30"/>
  <c r="D65" i="30"/>
  <c r="L65" i="30"/>
  <c r="F65" i="30"/>
  <c r="N65" i="30"/>
  <c r="G65" i="30"/>
  <c r="O65" i="30"/>
  <c r="H65" i="30"/>
  <c r="P65" i="30"/>
  <c r="I65" i="30"/>
  <c r="Q65" i="30"/>
  <c r="D66" i="30"/>
  <c r="L66" i="30"/>
  <c r="F66" i="30"/>
  <c r="N66" i="30"/>
  <c r="G66" i="30"/>
  <c r="O66" i="30"/>
  <c r="H66" i="30"/>
  <c r="P66" i="30"/>
  <c r="I66" i="30"/>
  <c r="Q66" i="30"/>
  <c r="D67" i="30"/>
  <c r="L67" i="30"/>
  <c r="F67" i="30"/>
  <c r="N67" i="30"/>
  <c r="G67" i="30"/>
  <c r="O67" i="30"/>
  <c r="H67" i="30"/>
  <c r="P67" i="30"/>
  <c r="I67" i="30"/>
  <c r="Q67" i="30"/>
  <c r="D68" i="30"/>
  <c r="L68" i="30"/>
  <c r="F68" i="30"/>
  <c r="N68" i="30"/>
  <c r="G68" i="30"/>
  <c r="O68" i="30"/>
  <c r="H68" i="30"/>
  <c r="P68" i="30"/>
  <c r="I68" i="30"/>
  <c r="Q68" i="30"/>
  <c r="D69" i="30"/>
  <c r="L69" i="30"/>
  <c r="F69" i="30"/>
  <c r="N69" i="30"/>
  <c r="G69" i="30"/>
  <c r="O69" i="30"/>
  <c r="H69" i="30"/>
  <c r="P69" i="30"/>
  <c r="I69" i="30"/>
  <c r="Q69" i="30"/>
  <c r="D70" i="30"/>
  <c r="L70" i="30"/>
  <c r="F70" i="30"/>
  <c r="N70" i="30"/>
  <c r="G70" i="30"/>
  <c r="O70" i="30"/>
  <c r="H70" i="30"/>
  <c r="P70" i="30"/>
  <c r="I70" i="30"/>
  <c r="Q70" i="30"/>
  <c r="D71" i="30"/>
  <c r="L71" i="30"/>
  <c r="F71" i="30"/>
  <c r="N71" i="30"/>
  <c r="G71" i="30"/>
  <c r="O71" i="30"/>
  <c r="H71" i="30"/>
  <c r="P71" i="30"/>
  <c r="I71" i="30"/>
  <c r="Q71" i="30"/>
  <c r="D72" i="30"/>
  <c r="L72" i="30"/>
  <c r="F72" i="30"/>
  <c r="N72" i="30"/>
  <c r="G72" i="30"/>
  <c r="O72" i="30"/>
  <c r="H72" i="30"/>
  <c r="P72" i="30"/>
  <c r="I72" i="30"/>
  <c r="Q72" i="30"/>
  <c r="D73" i="30"/>
  <c r="L73" i="30"/>
  <c r="F73" i="30"/>
  <c r="N73" i="30"/>
  <c r="G73" i="30"/>
  <c r="O73" i="30"/>
  <c r="H73" i="30"/>
  <c r="P73" i="30"/>
  <c r="I73" i="30"/>
  <c r="Q73" i="30"/>
  <c r="D74" i="30"/>
  <c r="L74" i="30"/>
  <c r="F74" i="30"/>
  <c r="N74" i="30"/>
  <c r="G74" i="30"/>
  <c r="O74" i="30"/>
  <c r="H74" i="30"/>
  <c r="P74" i="30"/>
  <c r="I74" i="30"/>
  <c r="Q74" i="30"/>
  <c r="D75" i="30"/>
  <c r="L75" i="30"/>
  <c r="F75" i="30"/>
  <c r="N75" i="30"/>
  <c r="G75" i="30"/>
  <c r="O75" i="30"/>
  <c r="H75" i="30"/>
  <c r="P75" i="30"/>
  <c r="I75" i="30"/>
  <c r="Q75" i="30"/>
  <c r="D76" i="30"/>
  <c r="L76" i="30"/>
  <c r="F76" i="30"/>
  <c r="N76" i="30"/>
  <c r="G76" i="30"/>
  <c r="O76" i="30"/>
  <c r="H76" i="30"/>
  <c r="P76" i="30"/>
  <c r="I76" i="30"/>
  <c r="Q76" i="30"/>
  <c r="D77" i="30"/>
  <c r="L77" i="30"/>
  <c r="F77" i="30"/>
  <c r="N77" i="30"/>
  <c r="G77" i="30"/>
  <c r="O77" i="30"/>
  <c r="H77" i="30"/>
  <c r="P77" i="30"/>
  <c r="I77" i="30"/>
  <c r="Q77" i="30"/>
  <c r="D78" i="30"/>
  <c r="L78" i="30"/>
  <c r="F78" i="30"/>
  <c r="N78" i="30"/>
  <c r="G78" i="30"/>
  <c r="O78" i="30"/>
  <c r="H78" i="30"/>
  <c r="P78" i="30"/>
  <c r="I78" i="30"/>
  <c r="Q78" i="30"/>
  <c r="D79" i="30"/>
  <c r="L79" i="30"/>
  <c r="F79" i="30"/>
  <c r="N79" i="30"/>
  <c r="G79" i="30"/>
  <c r="O79" i="30"/>
  <c r="H79" i="30"/>
  <c r="P79" i="30"/>
  <c r="I79" i="30"/>
  <c r="Q79" i="30"/>
  <c r="D80" i="30"/>
  <c r="L80" i="30"/>
  <c r="F80" i="30"/>
  <c r="N80" i="30"/>
  <c r="G80" i="30"/>
  <c r="O80" i="30"/>
  <c r="H80" i="30"/>
  <c r="P80" i="30"/>
  <c r="I80" i="30"/>
  <c r="Q80" i="30"/>
  <c r="D81" i="30"/>
  <c r="L81" i="30"/>
  <c r="F81" i="30"/>
  <c r="N81" i="30"/>
  <c r="G81" i="30"/>
  <c r="O81" i="30"/>
  <c r="H81" i="30"/>
  <c r="P81" i="30"/>
  <c r="I81" i="30"/>
  <c r="Q81" i="30"/>
  <c r="D82" i="30"/>
  <c r="L82" i="30"/>
  <c r="F82" i="30"/>
  <c r="N82" i="30"/>
  <c r="G82" i="30"/>
  <c r="O82" i="30"/>
  <c r="H82" i="30"/>
  <c r="P82" i="30"/>
  <c r="I82" i="30"/>
  <c r="Q82" i="30"/>
  <c r="D83" i="30"/>
  <c r="L83" i="30"/>
  <c r="F83" i="30"/>
  <c r="N83" i="30"/>
  <c r="G83" i="30"/>
  <c r="O83" i="30"/>
  <c r="H83" i="30"/>
  <c r="P83" i="30"/>
  <c r="I83" i="30"/>
  <c r="Q83" i="30"/>
  <c r="D84" i="30"/>
  <c r="L84" i="30"/>
  <c r="F84" i="30"/>
  <c r="N84" i="30"/>
  <c r="G84" i="30"/>
  <c r="O84" i="30"/>
  <c r="H84" i="30"/>
  <c r="P84" i="30"/>
  <c r="I84" i="30"/>
  <c r="Q84" i="30"/>
  <c r="D85" i="30"/>
  <c r="L85" i="30"/>
  <c r="F85" i="30"/>
  <c r="N85" i="30"/>
  <c r="G85" i="30"/>
  <c r="O85" i="30"/>
  <c r="H85" i="30"/>
  <c r="P85" i="30"/>
  <c r="I85" i="30"/>
  <c r="Q85" i="30"/>
  <c r="D86" i="30"/>
  <c r="L86" i="30"/>
  <c r="F86" i="30"/>
  <c r="N86" i="30"/>
  <c r="G86" i="30"/>
  <c r="O86" i="30"/>
  <c r="H86" i="30"/>
  <c r="P86" i="30"/>
  <c r="I86" i="30"/>
  <c r="Q86" i="30"/>
  <c r="D87" i="30"/>
  <c r="L87" i="30"/>
  <c r="F87" i="30"/>
  <c r="N87" i="30"/>
  <c r="G87" i="30"/>
  <c r="O87" i="30"/>
  <c r="H87" i="30"/>
  <c r="P87" i="30"/>
  <c r="I87" i="30"/>
  <c r="Q87" i="30"/>
  <c r="D88" i="30"/>
  <c r="L88" i="30"/>
  <c r="F88" i="30"/>
  <c r="N88" i="30"/>
  <c r="G88" i="30"/>
  <c r="O88" i="30"/>
  <c r="H88" i="30"/>
  <c r="P88" i="30"/>
  <c r="I88" i="30"/>
  <c r="Q88" i="30"/>
  <c r="D89" i="30"/>
  <c r="L89" i="30"/>
  <c r="F89" i="30"/>
  <c r="N89" i="30"/>
  <c r="G89" i="30"/>
  <c r="O89" i="30"/>
  <c r="H89" i="30"/>
  <c r="P89" i="30"/>
  <c r="I89" i="30"/>
  <c r="Q89" i="30"/>
  <c r="D90" i="30"/>
  <c r="L90" i="30"/>
  <c r="F90" i="30"/>
  <c r="N90" i="30"/>
  <c r="G90" i="30"/>
  <c r="O90" i="30"/>
  <c r="H90" i="30"/>
  <c r="P90" i="30"/>
  <c r="I90" i="30"/>
  <c r="Q90" i="30"/>
  <c r="D91" i="30"/>
  <c r="L91" i="30"/>
  <c r="F91" i="30"/>
  <c r="N91" i="30"/>
  <c r="G91" i="30"/>
  <c r="O91" i="30"/>
  <c r="H91" i="30"/>
  <c r="P91" i="30"/>
  <c r="I91" i="30"/>
  <c r="Q91" i="30"/>
  <c r="D92" i="30"/>
  <c r="L92" i="30"/>
  <c r="F92" i="30"/>
  <c r="N92" i="30"/>
  <c r="G92" i="30"/>
  <c r="O92" i="30"/>
  <c r="H92" i="30"/>
  <c r="P92" i="30"/>
  <c r="I92" i="30"/>
  <c r="Q92" i="30"/>
  <c r="D93" i="30"/>
  <c r="L93" i="30"/>
  <c r="F93" i="30"/>
  <c r="N93" i="30"/>
  <c r="G93" i="30"/>
  <c r="O93" i="30"/>
  <c r="H93" i="30"/>
  <c r="P93" i="30"/>
  <c r="I93" i="30"/>
  <c r="Q93" i="30"/>
  <c r="D94" i="30"/>
  <c r="L94" i="30"/>
  <c r="F94" i="30"/>
  <c r="N94" i="30"/>
  <c r="G94" i="30"/>
  <c r="O94" i="30"/>
  <c r="H94" i="30"/>
  <c r="P94" i="30"/>
  <c r="I94" i="30"/>
  <c r="Q94" i="30"/>
  <c r="D95" i="30"/>
  <c r="L95" i="30"/>
  <c r="F95" i="30"/>
  <c r="N95" i="30"/>
  <c r="G95" i="30"/>
  <c r="O95" i="30"/>
  <c r="H95" i="30"/>
  <c r="P95" i="30"/>
  <c r="I95" i="30"/>
  <c r="Q95" i="30"/>
  <c r="D96" i="30"/>
  <c r="L96" i="30"/>
  <c r="F96" i="30"/>
  <c r="N96" i="30"/>
  <c r="G96" i="30"/>
  <c r="O96" i="30"/>
  <c r="H96" i="30"/>
  <c r="P96" i="30"/>
  <c r="I96" i="30"/>
  <c r="Q96" i="30"/>
  <c r="D97" i="30"/>
  <c r="L97" i="30"/>
  <c r="F97" i="30"/>
  <c r="N97" i="30"/>
  <c r="G97" i="30"/>
  <c r="O97" i="30"/>
  <c r="H97" i="30"/>
  <c r="P97" i="30"/>
  <c r="I97" i="30"/>
  <c r="Q97" i="30"/>
  <c r="D98" i="30"/>
  <c r="L98" i="30"/>
  <c r="F98" i="30"/>
  <c r="N98" i="30"/>
  <c r="G98" i="30"/>
  <c r="O98" i="30"/>
  <c r="H98" i="30"/>
  <c r="P98" i="30"/>
  <c r="I98" i="30"/>
  <c r="Q98" i="30"/>
  <c r="D99" i="30"/>
  <c r="L99" i="30"/>
  <c r="F99" i="30"/>
  <c r="N99" i="30"/>
  <c r="G99" i="30"/>
  <c r="O99" i="30"/>
  <c r="H99" i="30"/>
  <c r="P99" i="30"/>
  <c r="I99" i="30"/>
  <c r="Q99" i="30"/>
  <c r="D100" i="30"/>
  <c r="L100" i="30"/>
  <c r="F100" i="30"/>
  <c r="N100" i="30"/>
  <c r="G100" i="30"/>
  <c r="O100" i="30"/>
  <c r="H100" i="30"/>
  <c r="P100" i="30"/>
  <c r="I100" i="30"/>
  <c r="Q100" i="30"/>
  <c r="D101" i="30"/>
  <c r="L101" i="30"/>
  <c r="F101" i="30"/>
  <c r="N101" i="30"/>
  <c r="G101" i="30"/>
  <c r="O101" i="30"/>
  <c r="H101" i="30"/>
  <c r="P101" i="30"/>
  <c r="I101" i="30"/>
  <c r="Q101" i="30"/>
  <c r="D102" i="30"/>
  <c r="L102" i="30"/>
  <c r="F102" i="30"/>
  <c r="N102" i="30"/>
  <c r="G102" i="30"/>
  <c r="O102" i="30"/>
  <c r="H102" i="30"/>
  <c r="P102" i="30"/>
  <c r="I102" i="30"/>
  <c r="Q102" i="30"/>
  <c r="D103" i="30"/>
  <c r="L103" i="30"/>
  <c r="F103" i="30"/>
  <c r="N103" i="30"/>
  <c r="G103" i="30"/>
  <c r="O103" i="30"/>
  <c r="H103" i="30"/>
  <c r="P103" i="30"/>
  <c r="I103" i="30"/>
  <c r="Q103" i="30"/>
  <c r="D104" i="30"/>
  <c r="L104" i="30"/>
  <c r="F104" i="30"/>
  <c r="N104" i="30"/>
  <c r="G104" i="30"/>
  <c r="O104" i="30"/>
  <c r="H104" i="30"/>
  <c r="P104" i="30"/>
  <c r="I104" i="30"/>
  <c r="Q104" i="30"/>
  <c r="D105" i="30"/>
  <c r="L105" i="30"/>
  <c r="F105" i="30"/>
  <c r="N105" i="30"/>
  <c r="G105" i="30"/>
  <c r="O105" i="30"/>
  <c r="H105" i="30"/>
  <c r="P105" i="30"/>
  <c r="I105" i="30"/>
  <c r="Q105" i="30"/>
  <c r="D106" i="30"/>
  <c r="L106" i="30"/>
  <c r="F106" i="30"/>
  <c r="N106" i="30"/>
  <c r="G106" i="30"/>
  <c r="O106" i="30"/>
  <c r="H106" i="30"/>
  <c r="P106" i="30"/>
  <c r="I106" i="30"/>
  <c r="Q106" i="30"/>
  <c r="D107" i="30"/>
  <c r="L107" i="30"/>
  <c r="F107" i="30"/>
  <c r="N107" i="30"/>
  <c r="G107" i="30"/>
  <c r="O107" i="30"/>
  <c r="H107" i="30"/>
  <c r="P107" i="30"/>
  <c r="I107" i="30"/>
  <c r="Q107" i="30"/>
  <c r="D108" i="30"/>
  <c r="L108" i="30"/>
  <c r="F108" i="30"/>
  <c r="N108" i="30"/>
  <c r="G108" i="30"/>
  <c r="O108" i="30"/>
  <c r="H108" i="30"/>
  <c r="P108" i="30"/>
  <c r="I108" i="30"/>
  <c r="Q108" i="30"/>
  <c r="D109" i="30"/>
  <c r="L109" i="30"/>
  <c r="F109" i="30"/>
  <c r="N109" i="30"/>
  <c r="G109" i="30"/>
  <c r="O109" i="30"/>
  <c r="H109" i="30"/>
  <c r="P109" i="30"/>
  <c r="I109" i="30"/>
  <c r="Q109" i="30"/>
  <c r="D110" i="30"/>
  <c r="L110" i="30"/>
  <c r="F110" i="30"/>
  <c r="N110" i="30"/>
  <c r="G110" i="30"/>
  <c r="O110" i="30"/>
  <c r="H110" i="30"/>
  <c r="P110" i="30"/>
  <c r="I110" i="30"/>
  <c r="Q110" i="30"/>
  <c r="D111" i="30"/>
  <c r="L111" i="30"/>
  <c r="F111" i="30"/>
  <c r="N111" i="30"/>
  <c r="G111" i="30"/>
  <c r="O111" i="30"/>
  <c r="H111" i="30"/>
  <c r="P111" i="30"/>
  <c r="I111" i="30"/>
  <c r="Q111" i="30"/>
  <c r="D112" i="30"/>
  <c r="L112" i="30"/>
  <c r="F112" i="30"/>
  <c r="N112" i="30"/>
  <c r="G112" i="30"/>
  <c r="O112" i="30"/>
  <c r="H112" i="30"/>
  <c r="P112" i="30"/>
  <c r="I112" i="30"/>
  <c r="Q112" i="30"/>
  <c r="D113" i="30"/>
  <c r="L113" i="30"/>
  <c r="F113" i="30"/>
  <c r="N113" i="30"/>
  <c r="G113" i="30"/>
  <c r="O113" i="30"/>
  <c r="H113" i="30"/>
  <c r="P113" i="30"/>
  <c r="I113" i="30"/>
  <c r="Q113" i="30"/>
  <c r="D114" i="30"/>
  <c r="L114" i="30"/>
  <c r="F114" i="30"/>
  <c r="N114" i="30"/>
  <c r="G114" i="30"/>
  <c r="O114" i="30"/>
  <c r="H114" i="30"/>
  <c r="P114" i="30"/>
  <c r="I114" i="30"/>
  <c r="Q114" i="30"/>
  <c r="D115" i="30"/>
  <c r="L115" i="30"/>
  <c r="F115" i="30"/>
  <c r="N115" i="30"/>
  <c r="G115" i="30"/>
  <c r="O115" i="30"/>
  <c r="H115" i="30"/>
  <c r="P115" i="30"/>
  <c r="I115" i="30"/>
  <c r="Q115" i="30"/>
  <c r="D116" i="30"/>
  <c r="L116" i="30"/>
  <c r="F116" i="30"/>
  <c r="N116" i="30"/>
  <c r="G116" i="30"/>
  <c r="O116" i="30"/>
  <c r="H116" i="30"/>
  <c r="P116" i="30"/>
  <c r="I116" i="30"/>
  <c r="Q116" i="30"/>
  <c r="D117" i="30"/>
  <c r="L117" i="30"/>
  <c r="F117" i="30"/>
  <c r="N117" i="30"/>
  <c r="G117" i="30"/>
  <c r="O117" i="30"/>
  <c r="H117" i="30"/>
  <c r="P117" i="30"/>
  <c r="I117" i="30"/>
  <c r="Q117" i="30"/>
  <c r="D118" i="30"/>
  <c r="L118" i="30"/>
  <c r="F118" i="30"/>
  <c r="N118" i="30"/>
  <c r="G118" i="30"/>
  <c r="O118" i="30"/>
  <c r="H118" i="30"/>
  <c r="P118" i="30"/>
  <c r="I118" i="30"/>
  <c r="Q118" i="30"/>
  <c r="D119" i="30"/>
  <c r="L119" i="30"/>
  <c r="F119" i="30"/>
  <c r="N119" i="30"/>
  <c r="G119" i="30"/>
  <c r="O119" i="30"/>
  <c r="H119" i="30"/>
  <c r="P119" i="30"/>
  <c r="I119" i="30"/>
  <c r="Q119" i="30"/>
  <c r="D120" i="30"/>
  <c r="L120" i="30"/>
  <c r="F120" i="30"/>
  <c r="N120" i="30"/>
  <c r="G120" i="30"/>
  <c r="O120" i="30"/>
  <c r="H120" i="30"/>
  <c r="P120" i="30"/>
  <c r="I120" i="30"/>
  <c r="Q120" i="30"/>
  <c r="D121" i="30"/>
  <c r="L121" i="30"/>
  <c r="F121" i="30"/>
  <c r="N121" i="30"/>
  <c r="G121" i="30"/>
  <c r="O121" i="30"/>
  <c r="H121" i="30"/>
  <c r="P121" i="30"/>
  <c r="I121" i="30"/>
  <c r="Q121" i="30"/>
  <c r="D122" i="30"/>
  <c r="L122" i="30"/>
  <c r="F122" i="30"/>
  <c r="N122" i="30"/>
  <c r="G122" i="30"/>
  <c r="O122" i="30"/>
  <c r="H122" i="30"/>
  <c r="P122" i="30"/>
  <c r="I122" i="30"/>
  <c r="Q122" i="30"/>
  <c r="D123" i="30"/>
  <c r="L123" i="30"/>
  <c r="F123" i="30"/>
  <c r="N123" i="30"/>
  <c r="G123" i="30"/>
  <c r="O123" i="30"/>
  <c r="H123" i="30"/>
  <c r="P123" i="30"/>
  <c r="I123" i="30"/>
  <c r="Q123" i="30"/>
  <c r="D124" i="30"/>
  <c r="L124" i="30"/>
  <c r="F124" i="30"/>
  <c r="N124" i="30"/>
  <c r="G124" i="30"/>
  <c r="O124" i="30"/>
  <c r="H124" i="30"/>
  <c r="P124" i="30"/>
  <c r="I124" i="30"/>
  <c r="Q124" i="30"/>
  <c r="D125" i="30"/>
  <c r="L125" i="30"/>
  <c r="F125" i="30"/>
  <c r="N125" i="30"/>
  <c r="G125" i="30"/>
  <c r="O125" i="30"/>
  <c r="H125" i="30"/>
  <c r="P125" i="30"/>
  <c r="I125" i="30"/>
  <c r="Q125" i="30"/>
  <c r="D126" i="30"/>
  <c r="L126" i="30"/>
  <c r="F126" i="30"/>
  <c r="N126" i="30"/>
  <c r="G126" i="30"/>
  <c r="O126" i="30"/>
  <c r="H126" i="30"/>
  <c r="P126" i="30"/>
  <c r="I126" i="30"/>
  <c r="Q126" i="30"/>
  <c r="D127" i="30"/>
  <c r="L127" i="30"/>
  <c r="F127" i="30"/>
  <c r="N127" i="30"/>
  <c r="G127" i="30"/>
  <c r="O127" i="30"/>
  <c r="H127" i="30"/>
  <c r="P127" i="30"/>
  <c r="I127" i="30"/>
  <c r="Q127" i="30"/>
  <c r="D128" i="30"/>
  <c r="L128" i="30"/>
  <c r="F128" i="30"/>
  <c r="N128" i="30"/>
  <c r="G128" i="30"/>
  <c r="O128" i="30"/>
  <c r="H128" i="30"/>
  <c r="P128" i="30"/>
  <c r="I128" i="30"/>
  <c r="Q128" i="30"/>
  <c r="D129" i="30"/>
  <c r="L129" i="30"/>
  <c r="F129" i="30"/>
  <c r="N129" i="30"/>
  <c r="G129" i="30"/>
  <c r="O129" i="30"/>
  <c r="H129" i="30"/>
  <c r="P129" i="30"/>
  <c r="I129" i="30"/>
  <c r="Q129" i="30"/>
  <c r="D130" i="30"/>
  <c r="L130" i="30"/>
  <c r="F130" i="30"/>
  <c r="N130" i="30"/>
  <c r="G130" i="30"/>
  <c r="O130" i="30"/>
  <c r="H130" i="30"/>
  <c r="P130" i="30"/>
  <c r="I130" i="30"/>
  <c r="Q130" i="30"/>
  <c r="D131" i="30"/>
  <c r="L131" i="30"/>
  <c r="F131" i="30"/>
  <c r="N131" i="30"/>
  <c r="G131" i="30"/>
  <c r="O131" i="30"/>
  <c r="H131" i="30"/>
  <c r="P131" i="30"/>
  <c r="I131" i="30"/>
  <c r="Q131" i="30"/>
  <c r="D132" i="30"/>
  <c r="L132" i="30"/>
  <c r="F132" i="30"/>
  <c r="N132" i="30"/>
  <c r="G132" i="30"/>
  <c r="O132" i="30"/>
  <c r="H132" i="30"/>
  <c r="P132" i="30"/>
  <c r="I132" i="30"/>
  <c r="Q132" i="30"/>
  <c r="D133" i="30"/>
  <c r="L133" i="30"/>
  <c r="F133" i="30"/>
  <c r="N133" i="30"/>
  <c r="G133" i="30"/>
  <c r="O133" i="30"/>
  <c r="H133" i="30"/>
  <c r="P133" i="30"/>
  <c r="I133" i="30"/>
  <c r="Q133" i="30"/>
  <c r="D134" i="30"/>
  <c r="L134" i="30"/>
  <c r="F134" i="30"/>
  <c r="N134" i="30"/>
  <c r="G134" i="30"/>
  <c r="O134" i="30"/>
  <c r="H134" i="30"/>
  <c r="P134" i="30"/>
  <c r="I134" i="30"/>
  <c r="Q134" i="30"/>
  <c r="D135" i="30"/>
  <c r="L135" i="30"/>
  <c r="F135" i="30"/>
  <c r="N135" i="30"/>
  <c r="G135" i="30"/>
  <c r="O135" i="30"/>
  <c r="H135" i="30"/>
  <c r="P135" i="30"/>
  <c r="I135" i="30"/>
  <c r="Q135" i="30"/>
  <c r="D136" i="30"/>
  <c r="L136" i="30"/>
  <c r="F136" i="30"/>
  <c r="N136" i="30"/>
  <c r="G136" i="30"/>
  <c r="O136" i="30"/>
  <c r="H136" i="30"/>
  <c r="P136" i="30"/>
  <c r="I136" i="30"/>
  <c r="Q136" i="30"/>
  <c r="D137" i="30"/>
  <c r="L137" i="30"/>
  <c r="F137" i="30"/>
  <c r="N137" i="30"/>
  <c r="G137" i="30"/>
  <c r="O137" i="30"/>
  <c r="H137" i="30"/>
  <c r="P137" i="30"/>
  <c r="I137" i="30"/>
  <c r="Q137" i="30"/>
  <c r="D138" i="30"/>
  <c r="L138" i="30"/>
  <c r="F138" i="30"/>
  <c r="N138" i="30"/>
  <c r="G138" i="30"/>
  <c r="O138" i="30"/>
  <c r="H138" i="30"/>
  <c r="P138" i="30"/>
  <c r="I138" i="30"/>
  <c r="Q138" i="30"/>
  <c r="D139" i="30"/>
  <c r="L139" i="30"/>
  <c r="F139" i="30"/>
  <c r="N139" i="30"/>
  <c r="G139" i="30"/>
  <c r="O139" i="30"/>
  <c r="H139" i="30"/>
  <c r="P139" i="30"/>
  <c r="I139" i="30"/>
  <c r="Q139" i="30"/>
  <c r="D140" i="30"/>
  <c r="L140" i="30"/>
  <c r="F140" i="30"/>
  <c r="N140" i="30"/>
  <c r="G140" i="30"/>
  <c r="O140" i="30"/>
  <c r="H140" i="30"/>
  <c r="P140" i="30"/>
  <c r="I140" i="30"/>
  <c r="Q140" i="30"/>
  <c r="D141" i="30"/>
  <c r="L141" i="30"/>
  <c r="F141" i="30"/>
  <c r="N141" i="30"/>
  <c r="G141" i="30"/>
  <c r="O141" i="30"/>
  <c r="H141" i="30"/>
  <c r="P141" i="30"/>
  <c r="I141" i="30"/>
  <c r="Q141" i="30"/>
  <c r="D142" i="30"/>
  <c r="L142" i="30"/>
  <c r="F142" i="30"/>
  <c r="N142" i="30"/>
  <c r="G142" i="30"/>
  <c r="O142" i="30"/>
  <c r="H142" i="30"/>
  <c r="P142" i="30"/>
  <c r="I142" i="30"/>
  <c r="Q142" i="30"/>
  <c r="D143" i="30"/>
  <c r="L143" i="30"/>
  <c r="F143" i="30"/>
  <c r="N143" i="30"/>
  <c r="G143" i="30"/>
  <c r="O143" i="30"/>
  <c r="H143" i="30"/>
  <c r="P143" i="30"/>
  <c r="I143" i="30"/>
  <c r="Q143" i="30"/>
  <c r="D144" i="30"/>
  <c r="L144" i="30"/>
  <c r="F144" i="30"/>
  <c r="N144" i="30"/>
  <c r="G144" i="30"/>
  <c r="O144" i="30"/>
  <c r="H144" i="30"/>
  <c r="P144" i="30"/>
  <c r="I144" i="30"/>
  <c r="Q144" i="30"/>
  <c r="D145" i="30"/>
  <c r="L145" i="30"/>
  <c r="F145" i="30"/>
  <c r="N145" i="30"/>
  <c r="G145" i="30"/>
  <c r="O145" i="30"/>
  <c r="H145" i="30"/>
  <c r="P145" i="30"/>
  <c r="I145" i="30"/>
  <c r="Q145" i="30"/>
  <c r="I2" i="30"/>
  <c r="Q2" i="30"/>
  <c r="H2" i="30"/>
  <c r="P2" i="30"/>
  <c r="G2" i="30"/>
  <c r="O2" i="30"/>
  <c r="F2" i="30"/>
  <c r="N2" i="30"/>
  <c r="F3" i="29"/>
  <c r="S3" i="29"/>
  <c r="F4" i="29"/>
  <c r="S4" i="29"/>
  <c r="F5" i="29"/>
  <c r="S5" i="29"/>
  <c r="F6" i="29"/>
  <c r="S6" i="29"/>
  <c r="F7" i="29"/>
  <c r="S7" i="29"/>
  <c r="F8" i="29"/>
  <c r="S8" i="29"/>
  <c r="F9" i="29"/>
  <c r="S9" i="29"/>
  <c r="F10" i="29"/>
  <c r="S10" i="29"/>
  <c r="F11" i="29"/>
  <c r="S11" i="29"/>
  <c r="F12" i="29"/>
  <c r="S12" i="29"/>
  <c r="F13" i="29"/>
  <c r="S13" i="29"/>
  <c r="F14" i="29"/>
  <c r="S14" i="29"/>
  <c r="F15" i="29"/>
  <c r="S15" i="29"/>
  <c r="F16" i="29"/>
  <c r="S16" i="29"/>
  <c r="F17" i="29"/>
  <c r="S17" i="29"/>
  <c r="F18" i="29"/>
  <c r="S18" i="29"/>
  <c r="F19" i="29"/>
  <c r="S19" i="29"/>
  <c r="F20" i="29"/>
  <c r="S20" i="29"/>
  <c r="F21" i="29"/>
  <c r="S21" i="29"/>
  <c r="F22" i="29"/>
  <c r="S22" i="29"/>
  <c r="F23" i="29"/>
  <c r="S23" i="29"/>
  <c r="F24" i="29"/>
  <c r="S24" i="29"/>
  <c r="F25" i="29"/>
  <c r="S25" i="29"/>
  <c r="F26" i="29"/>
  <c r="S26" i="29"/>
  <c r="F27" i="29"/>
  <c r="S27" i="29"/>
  <c r="F28" i="29"/>
  <c r="S28" i="29"/>
  <c r="F29" i="29"/>
  <c r="S29" i="29"/>
  <c r="F30" i="29"/>
  <c r="S30" i="29"/>
  <c r="F31" i="29"/>
  <c r="S31" i="29"/>
  <c r="F32" i="29"/>
  <c r="S32" i="29"/>
  <c r="F33" i="29"/>
  <c r="S33" i="29"/>
  <c r="F34" i="29"/>
  <c r="S34" i="29"/>
  <c r="F35" i="29"/>
  <c r="S35" i="29"/>
  <c r="F36" i="29"/>
  <c r="S36" i="29"/>
  <c r="F37" i="29"/>
  <c r="S37" i="29"/>
  <c r="F38" i="29"/>
  <c r="S38" i="29"/>
  <c r="F39" i="29"/>
  <c r="S39" i="29"/>
  <c r="F40" i="29"/>
  <c r="S40" i="29"/>
  <c r="F41" i="29"/>
  <c r="S41" i="29"/>
  <c r="F42" i="29"/>
  <c r="S42" i="29"/>
  <c r="F43" i="29"/>
  <c r="S43" i="29"/>
  <c r="F44" i="29"/>
  <c r="S44" i="29"/>
  <c r="F45" i="29"/>
  <c r="S45" i="29"/>
  <c r="F46" i="29"/>
  <c r="S46" i="29"/>
  <c r="F47" i="29"/>
  <c r="S47" i="29"/>
  <c r="F48" i="29"/>
  <c r="S48" i="29"/>
  <c r="F49" i="29"/>
  <c r="S49" i="29"/>
  <c r="F50" i="29"/>
  <c r="S50" i="29"/>
  <c r="F51" i="29"/>
  <c r="S51" i="29"/>
  <c r="F52" i="29"/>
  <c r="S52" i="29"/>
  <c r="F53" i="29"/>
  <c r="S53" i="29"/>
  <c r="F54" i="29"/>
  <c r="S54" i="29"/>
  <c r="F55" i="29"/>
  <c r="S55" i="29"/>
  <c r="F56" i="29"/>
  <c r="S56" i="29"/>
  <c r="F57" i="29"/>
  <c r="S57" i="29"/>
  <c r="F58" i="29"/>
  <c r="S58" i="29"/>
  <c r="F59" i="29"/>
  <c r="S59" i="29"/>
  <c r="F60" i="29"/>
  <c r="S60" i="29"/>
  <c r="F61" i="29"/>
  <c r="S61" i="29"/>
  <c r="F62" i="29"/>
  <c r="S62" i="29"/>
  <c r="F63" i="29"/>
  <c r="S63" i="29"/>
  <c r="F64" i="29"/>
  <c r="S64" i="29"/>
  <c r="F65" i="29"/>
  <c r="S65" i="29"/>
  <c r="F66" i="29"/>
  <c r="S66" i="29"/>
  <c r="F67" i="29"/>
  <c r="S67" i="29"/>
  <c r="F68" i="29"/>
  <c r="S68" i="29"/>
  <c r="F69" i="29"/>
  <c r="S69" i="29"/>
  <c r="F70" i="29"/>
  <c r="S70" i="29"/>
  <c r="F71" i="29"/>
  <c r="S71" i="29"/>
  <c r="F72" i="29"/>
  <c r="S72" i="29"/>
  <c r="F73" i="29"/>
  <c r="S73" i="29"/>
  <c r="F74" i="29"/>
  <c r="S74" i="29"/>
  <c r="F75" i="29"/>
  <c r="S75" i="29"/>
  <c r="F76" i="29"/>
  <c r="S76" i="29"/>
  <c r="F77" i="29"/>
  <c r="S77" i="29"/>
  <c r="F78" i="29"/>
  <c r="S78" i="29"/>
  <c r="F79" i="29"/>
  <c r="S79" i="29"/>
  <c r="F80" i="29"/>
  <c r="S80" i="29"/>
  <c r="F81" i="29"/>
  <c r="S81" i="29"/>
  <c r="F82" i="29"/>
  <c r="S82" i="29"/>
  <c r="F83" i="29"/>
  <c r="S83" i="29"/>
  <c r="F84" i="29"/>
  <c r="S84" i="29"/>
  <c r="F85" i="29"/>
  <c r="S85" i="29"/>
  <c r="F86" i="29"/>
  <c r="S86" i="29"/>
  <c r="F87" i="29"/>
  <c r="S87" i="29"/>
  <c r="F88" i="29"/>
  <c r="S88" i="29"/>
  <c r="F89" i="29"/>
  <c r="S89" i="29"/>
  <c r="F90" i="29"/>
  <c r="S90" i="29"/>
  <c r="F91" i="29"/>
  <c r="S91" i="29"/>
  <c r="F92" i="29"/>
  <c r="S92" i="29"/>
  <c r="F93" i="29"/>
  <c r="S93" i="29"/>
  <c r="F94" i="29"/>
  <c r="S94" i="29"/>
  <c r="F95" i="29"/>
  <c r="S95" i="29"/>
  <c r="F96" i="29"/>
  <c r="S96" i="29"/>
  <c r="F97" i="29"/>
  <c r="S97" i="29"/>
  <c r="F98" i="29"/>
  <c r="S98" i="29"/>
  <c r="F99" i="29"/>
  <c r="S99" i="29"/>
  <c r="F100" i="29"/>
  <c r="S100" i="29"/>
  <c r="F101" i="29"/>
  <c r="S101" i="29"/>
  <c r="F102" i="29"/>
  <c r="S102" i="29"/>
  <c r="F103" i="29"/>
  <c r="S103" i="29"/>
  <c r="F104" i="29"/>
  <c r="S104" i="29"/>
  <c r="F105" i="29"/>
  <c r="S105" i="29"/>
  <c r="F106" i="29"/>
  <c r="S106" i="29"/>
  <c r="F107" i="29"/>
  <c r="S107" i="29"/>
  <c r="F108" i="29"/>
  <c r="S108" i="29"/>
  <c r="F109" i="29"/>
  <c r="S109" i="29"/>
  <c r="F110" i="29"/>
  <c r="S110" i="29"/>
  <c r="F111" i="29"/>
  <c r="S111" i="29"/>
  <c r="F112" i="29"/>
  <c r="S112" i="29"/>
  <c r="F113" i="29"/>
  <c r="S113" i="29"/>
  <c r="F114" i="29"/>
  <c r="S114" i="29"/>
  <c r="F115" i="29"/>
  <c r="S115" i="29"/>
  <c r="F116" i="29"/>
  <c r="S116" i="29"/>
  <c r="F117" i="29"/>
  <c r="S117" i="29"/>
  <c r="F118" i="29"/>
  <c r="S118" i="29"/>
  <c r="F119" i="29"/>
  <c r="S119" i="29"/>
  <c r="F120" i="29"/>
  <c r="S120" i="29"/>
  <c r="F121" i="29"/>
  <c r="S121" i="29"/>
  <c r="F122" i="29"/>
  <c r="S122" i="29"/>
  <c r="F123" i="29"/>
  <c r="S123" i="29"/>
  <c r="F124" i="29"/>
  <c r="S124" i="29"/>
  <c r="F125" i="29"/>
  <c r="S125" i="29"/>
  <c r="F126" i="29"/>
  <c r="S126" i="29"/>
  <c r="F127" i="29"/>
  <c r="S127" i="29"/>
  <c r="F128" i="29"/>
  <c r="S128" i="29"/>
  <c r="F129" i="29"/>
  <c r="S129" i="29"/>
  <c r="F130" i="29"/>
  <c r="S130" i="29"/>
  <c r="F131" i="29"/>
  <c r="S131" i="29"/>
  <c r="F132" i="29"/>
  <c r="S132" i="29"/>
  <c r="F133" i="29"/>
  <c r="S133" i="29"/>
  <c r="F134" i="29"/>
  <c r="S134" i="29"/>
  <c r="F135" i="29"/>
  <c r="S135" i="29"/>
  <c r="F136" i="29"/>
  <c r="S136" i="29"/>
  <c r="F137" i="29"/>
  <c r="S137" i="29"/>
  <c r="F138" i="29"/>
  <c r="S138" i="29"/>
  <c r="F139" i="29"/>
  <c r="S139" i="29"/>
  <c r="F140" i="29"/>
  <c r="S140" i="29"/>
  <c r="F141" i="29"/>
  <c r="S141" i="29"/>
  <c r="F142" i="29"/>
  <c r="S142" i="29"/>
  <c r="F143" i="29"/>
  <c r="S143" i="29"/>
  <c r="F144" i="29"/>
  <c r="S144" i="29"/>
  <c r="F145" i="29"/>
  <c r="S145" i="29"/>
  <c r="F2" i="29"/>
  <c r="S2" i="29"/>
  <c r="H3" i="29"/>
  <c r="U3" i="29"/>
  <c r="I3" i="29"/>
  <c r="V3" i="29"/>
  <c r="J3" i="29"/>
  <c r="W3" i="29"/>
  <c r="K3" i="29"/>
  <c r="X3" i="29"/>
  <c r="M3" i="29"/>
  <c r="Z3" i="29"/>
  <c r="N3" i="29"/>
  <c r="AA3" i="29"/>
  <c r="H4" i="29"/>
  <c r="U4" i="29"/>
  <c r="I4" i="29"/>
  <c r="V4" i="29"/>
  <c r="J4" i="29"/>
  <c r="W4" i="29"/>
  <c r="K4" i="29"/>
  <c r="X4" i="29"/>
  <c r="M4" i="29"/>
  <c r="Z4" i="29"/>
  <c r="N4" i="29"/>
  <c r="AA4" i="29"/>
  <c r="H5" i="29"/>
  <c r="U5" i="29"/>
  <c r="I5" i="29"/>
  <c r="V5" i="29"/>
  <c r="J5" i="29"/>
  <c r="W5" i="29"/>
  <c r="K5" i="29"/>
  <c r="X5" i="29"/>
  <c r="M5" i="29"/>
  <c r="Z5" i="29"/>
  <c r="N5" i="29"/>
  <c r="AA5" i="29"/>
  <c r="H6" i="29"/>
  <c r="U6" i="29"/>
  <c r="I6" i="29"/>
  <c r="V6" i="29"/>
  <c r="J6" i="29"/>
  <c r="W6" i="29"/>
  <c r="K6" i="29"/>
  <c r="X6" i="29"/>
  <c r="M6" i="29"/>
  <c r="Z6" i="29"/>
  <c r="N6" i="29"/>
  <c r="AA6" i="29"/>
  <c r="H7" i="29"/>
  <c r="U7" i="29"/>
  <c r="I7" i="29"/>
  <c r="V7" i="29"/>
  <c r="J7" i="29"/>
  <c r="W7" i="29"/>
  <c r="K7" i="29"/>
  <c r="X7" i="29"/>
  <c r="M7" i="29"/>
  <c r="Z7" i="29"/>
  <c r="N7" i="29"/>
  <c r="AA7" i="29"/>
  <c r="H8" i="29"/>
  <c r="U8" i="29"/>
  <c r="I8" i="29"/>
  <c r="V8" i="29"/>
  <c r="J8" i="29"/>
  <c r="W8" i="29"/>
  <c r="K8" i="29"/>
  <c r="X8" i="29"/>
  <c r="M8" i="29"/>
  <c r="Z8" i="29"/>
  <c r="N8" i="29"/>
  <c r="AA8" i="29"/>
  <c r="H9" i="29"/>
  <c r="U9" i="29"/>
  <c r="I9" i="29"/>
  <c r="V9" i="29"/>
  <c r="J9" i="29"/>
  <c r="W9" i="29"/>
  <c r="K9" i="29"/>
  <c r="X9" i="29"/>
  <c r="M9" i="29"/>
  <c r="Z9" i="29"/>
  <c r="N9" i="29"/>
  <c r="AA9" i="29"/>
  <c r="H10" i="29"/>
  <c r="U10" i="29"/>
  <c r="I10" i="29"/>
  <c r="V10" i="29"/>
  <c r="J10" i="29"/>
  <c r="W10" i="29"/>
  <c r="K10" i="29"/>
  <c r="X10" i="29"/>
  <c r="M10" i="29"/>
  <c r="Z10" i="29"/>
  <c r="N10" i="29"/>
  <c r="AA10" i="29"/>
  <c r="H11" i="29"/>
  <c r="U11" i="29"/>
  <c r="I11" i="29"/>
  <c r="V11" i="29"/>
  <c r="J11" i="29"/>
  <c r="W11" i="29"/>
  <c r="K11" i="29"/>
  <c r="X11" i="29"/>
  <c r="M11" i="29"/>
  <c r="Z11" i="29"/>
  <c r="N11" i="29"/>
  <c r="AA11" i="29"/>
  <c r="H12" i="29"/>
  <c r="U12" i="29"/>
  <c r="I12" i="29"/>
  <c r="V12" i="29"/>
  <c r="J12" i="29"/>
  <c r="W12" i="29"/>
  <c r="K12" i="29"/>
  <c r="X12" i="29"/>
  <c r="M12" i="29"/>
  <c r="Z12" i="29"/>
  <c r="N12" i="29"/>
  <c r="AA12" i="29"/>
  <c r="H13" i="29"/>
  <c r="U13" i="29"/>
  <c r="I13" i="29"/>
  <c r="V13" i="29"/>
  <c r="J13" i="29"/>
  <c r="W13" i="29"/>
  <c r="K13" i="29"/>
  <c r="X13" i="29"/>
  <c r="M13" i="29"/>
  <c r="Z13" i="29"/>
  <c r="N13" i="29"/>
  <c r="AA13" i="29"/>
  <c r="H14" i="29"/>
  <c r="U14" i="29"/>
  <c r="I14" i="29"/>
  <c r="V14" i="29"/>
  <c r="J14" i="29"/>
  <c r="W14" i="29"/>
  <c r="K14" i="29"/>
  <c r="X14" i="29"/>
  <c r="M14" i="29"/>
  <c r="Z14" i="29"/>
  <c r="N14" i="29"/>
  <c r="AA14" i="29"/>
  <c r="H15" i="29"/>
  <c r="U15" i="29"/>
  <c r="I15" i="29"/>
  <c r="V15" i="29"/>
  <c r="J15" i="29"/>
  <c r="W15" i="29"/>
  <c r="K15" i="29"/>
  <c r="X15" i="29"/>
  <c r="M15" i="29"/>
  <c r="Z15" i="29"/>
  <c r="N15" i="29"/>
  <c r="AA15" i="29"/>
  <c r="H16" i="29"/>
  <c r="U16" i="29"/>
  <c r="I16" i="29"/>
  <c r="V16" i="29"/>
  <c r="J16" i="29"/>
  <c r="W16" i="29"/>
  <c r="K16" i="29"/>
  <c r="X16" i="29"/>
  <c r="M16" i="29"/>
  <c r="Z16" i="29"/>
  <c r="N16" i="29"/>
  <c r="AA16" i="29"/>
  <c r="H17" i="29"/>
  <c r="U17" i="29"/>
  <c r="I17" i="29"/>
  <c r="V17" i="29"/>
  <c r="J17" i="29"/>
  <c r="W17" i="29"/>
  <c r="K17" i="29"/>
  <c r="X17" i="29"/>
  <c r="M17" i="29"/>
  <c r="Z17" i="29"/>
  <c r="N17" i="29"/>
  <c r="AA17" i="29"/>
  <c r="H18" i="29"/>
  <c r="U18" i="29"/>
  <c r="I18" i="29"/>
  <c r="V18" i="29"/>
  <c r="J18" i="29"/>
  <c r="W18" i="29"/>
  <c r="K18" i="29"/>
  <c r="X18" i="29"/>
  <c r="M18" i="29"/>
  <c r="Z18" i="29"/>
  <c r="N18" i="29"/>
  <c r="AA18" i="29"/>
  <c r="H19" i="29"/>
  <c r="U19" i="29"/>
  <c r="I19" i="29"/>
  <c r="V19" i="29"/>
  <c r="J19" i="29"/>
  <c r="W19" i="29"/>
  <c r="K19" i="29"/>
  <c r="X19" i="29"/>
  <c r="M19" i="29"/>
  <c r="Z19" i="29"/>
  <c r="N19" i="29"/>
  <c r="AA19" i="29"/>
  <c r="H20" i="29"/>
  <c r="U20" i="29"/>
  <c r="I20" i="29"/>
  <c r="V20" i="29"/>
  <c r="J20" i="29"/>
  <c r="W20" i="29"/>
  <c r="K20" i="29"/>
  <c r="X20" i="29"/>
  <c r="M20" i="29"/>
  <c r="Z20" i="29"/>
  <c r="N20" i="29"/>
  <c r="AA20" i="29"/>
  <c r="H21" i="29"/>
  <c r="U21" i="29"/>
  <c r="I21" i="29"/>
  <c r="V21" i="29"/>
  <c r="J21" i="29"/>
  <c r="W21" i="29"/>
  <c r="K21" i="29"/>
  <c r="X21" i="29"/>
  <c r="M21" i="29"/>
  <c r="Z21" i="29"/>
  <c r="N21" i="29"/>
  <c r="AA21" i="29"/>
  <c r="H22" i="29"/>
  <c r="U22" i="29"/>
  <c r="I22" i="29"/>
  <c r="V22" i="29"/>
  <c r="J22" i="29"/>
  <c r="W22" i="29"/>
  <c r="K22" i="29"/>
  <c r="X22" i="29"/>
  <c r="M22" i="29"/>
  <c r="Z22" i="29"/>
  <c r="N22" i="29"/>
  <c r="AA22" i="29"/>
  <c r="H23" i="29"/>
  <c r="U23" i="29"/>
  <c r="I23" i="29"/>
  <c r="V23" i="29"/>
  <c r="J23" i="29"/>
  <c r="W23" i="29"/>
  <c r="K23" i="29"/>
  <c r="X23" i="29"/>
  <c r="M23" i="29"/>
  <c r="Z23" i="29"/>
  <c r="N23" i="29"/>
  <c r="AA23" i="29"/>
  <c r="H24" i="29"/>
  <c r="U24" i="29"/>
  <c r="I24" i="29"/>
  <c r="V24" i="29"/>
  <c r="J24" i="29"/>
  <c r="W24" i="29"/>
  <c r="K24" i="29"/>
  <c r="X24" i="29"/>
  <c r="M24" i="29"/>
  <c r="Z24" i="29"/>
  <c r="N24" i="29"/>
  <c r="AA24" i="29"/>
  <c r="H25" i="29"/>
  <c r="U25" i="29"/>
  <c r="I25" i="29"/>
  <c r="V25" i="29"/>
  <c r="J25" i="29"/>
  <c r="W25" i="29"/>
  <c r="K25" i="29"/>
  <c r="X25" i="29"/>
  <c r="M25" i="29"/>
  <c r="Z25" i="29"/>
  <c r="N25" i="29"/>
  <c r="AA25" i="29"/>
  <c r="H26" i="29"/>
  <c r="U26" i="29"/>
  <c r="I26" i="29"/>
  <c r="V26" i="29"/>
  <c r="J26" i="29"/>
  <c r="W26" i="29"/>
  <c r="K26" i="29"/>
  <c r="X26" i="29"/>
  <c r="M26" i="29"/>
  <c r="Z26" i="29"/>
  <c r="N26" i="29"/>
  <c r="AA26" i="29"/>
  <c r="H27" i="29"/>
  <c r="U27" i="29"/>
  <c r="I27" i="29"/>
  <c r="V27" i="29"/>
  <c r="J27" i="29"/>
  <c r="W27" i="29"/>
  <c r="K27" i="29"/>
  <c r="X27" i="29"/>
  <c r="M27" i="29"/>
  <c r="Z27" i="29"/>
  <c r="N27" i="29"/>
  <c r="AA27" i="29"/>
  <c r="H28" i="29"/>
  <c r="U28" i="29"/>
  <c r="I28" i="29"/>
  <c r="V28" i="29"/>
  <c r="J28" i="29"/>
  <c r="W28" i="29"/>
  <c r="K28" i="29"/>
  <c r="X28" i="29"/>
  <c r="M28" i="29"/>
  <c r="Z28" i="29"/>
  <c r="N28" i="29"/>
  <c r="AA28" i="29"/>
  <c r="H29" i="29"/>
  <c r="U29" i="29"/>
  <c r="I29" i="29"/>
  <c r="V29" i="29"/>
  <c r="J29" i="29"/>
  <c r="W29" i="29"/>
  <c r="K29" i="29"/>
  <c r="X29" i="29"/>
  <c r="M29" i="29"/>
  <c r="Z29" i="29"/>
  <c r="N29" i="29"/>
  <c r="AA29" i="29"/>
  <c r="H30" i="29"/>
  <c r="U30" i="29"/>
  <c r="I30" i="29"/>
  <c r="V30" i="29"/>
  <c r="J30" i="29"/>
  <c r="W30" i="29"/>
  <c r="K30" i="29"/>
  <c r="X30" i="29"/>
  <c r="M30" i="29"/>
  <c r="Z30" i="29"/>
  <c r="N30" i="29"/>
  <c r="AA30" i="29"/>
  <c r="H31" i="29"/>
  <c r="U31" i="29"/>
  <c r="I31" i="29"/>
  <c r="V31" i="29"/>
  <c r="J31" i="29"/>
  <c r="W31" i="29"/>
  <c r="K31" i="29"/>
  <c r="X31" i="29"/>
  <c r="M31" i="29"/>
  <c r="Z31" i="29"/>
  <c r="N31" i="29"/>
  <c r="AA31" i="29"/>
  <c r="H32" i="29"/>
  <c r="U32" i="29"/>
  <c r="I32" i="29"/>
  <c r="V32" i="29"/>
  <c r="J32" i="29"/>
  <c r="W32" i="29"/>
  <c r="K32" i="29"/>
  <c r="X32" i="29"/>
  <c r="M32" i="29"/>
  <c r="Z32" i="29"/>
  <c r="N32" i="29"/>
  <c r="AA32" i="29"/>
  <c r="H33" i="29"/>
  <c r="U33" i="29"/>
  <c r="I33" i="29"/>
  <c r="V33" i="29"/>
  <c r="J33" i="29"/>
  <c r="W33" i="29"/>
  <c r="K33" i="29"/>
  <c r="X33" i="29"/>
  <c r="M33" i="29"/>
  <c r="Z33" i="29"/>
  <c r="N33" i="29"/>
  <c r="AA33" i="29"/>
  <c r="H34" i="29"/>
  <c r="U34" i="29"/>
  <c r="I34" i="29"/>
  <c r="V34" i="29"/>
  <c r="J34" i="29"/>
  <c r="W34" i="29"/>
  <c r="K34" i="29"/>
  <c r="X34" i="29"/>
  <c r="M34" i="29"/>
  <c r="Z34" i="29"/>
  <c r="N34" i="29"/>
  <c r="AA34" i="29"/>
  <c r="H35" i="29"/>
  <c r="U35" i="29"/>
  <c r="I35" i="29"/>
  <c r="V35" i="29"/>
  <c r="J35" i="29"/>
  <c r="W35" i="29"/>
  <c r="K35" i="29"/>
  <c r="X35" i="29"/>
  <c r="M35" i="29"/>
  <c r="Z35" i="29"/>
  <c r="N35" i="29"/>
  <c r="AA35" i="29"/>
  <c r="H36" i="29"/>
  <c r="U36" i="29"/>
  <c r="I36" i="29"/>
  <c r="V36" i="29"/>
  <c r="J36" i="29"/>
  <c r="W36" i="29"/>
  <c r="K36" i="29"/>
  <c r="X36" i="29"/>
  <c r="M36" i="29"/>
  <c r="Z36" i="29"/>
  <c r="N36" i="29"/>
  <c r="AA36" i="29"/>
  <c r="H37" i="29"/>
  <c r="U37" i="29"/>
  <c r="I37" i="29"/>
  <c r="V37" i="29"/>
  <c r="J37" i="29"/>
  <c r="W37" i="29"/>
  <c r="K37" i="29"/>
  <c r="X37" i="29"/>
  <c r="M37" i="29"/>
  <c r="Z37" i="29"/>
  <c r="N37" i="29"/>
  <c r="AA37" i="29"/>
  <c r="H38" i="29"/>
  <c r="U38" i="29"/>
  <c r="I38" i="29"/>
  <c r="V38" i="29"/>
  <c r="J38" i="29"/>
  <c r="W38" i="29"/>
  <c r="K38" i="29"/>
  <c r="X38" i="29"/>
  <c r="M38" i="29"/>
  <c r="Z38" i="29"/>
  <c r="N38" i="29"/>
  <c r="AA38" i="29"/>
  <c r="H39" i="29"/>
  <c r="U39" i="29"/>
  <c r="I39" i="29"/>
  <c r="V39" i="29"/>
  <c r="J39" i="29"/>
  <c r="W39" i="29"/>
  <c r="K39" i="29"/>
  <c r="X39" i="29"/>
  <c r="M39" i="29"/>
  <c r="Z39" i="29"/>
  <c r="N39" i="29"/>
  <c r="AA39" i="29"/>
  <c r="H40" i="29"/>
  <c r="U40" i="29"/>
  <c r="I40" i="29"/>
  <c r="V40" i="29"/>
  <c r="J40" i="29"/>
  <c r="W40" i="29"/>
  <c r="K40" i="29"/>
  <c r="X40" i="29"/>
  <c r="M40" i="29"/>
  <c r="Z40" i="29"/>
  <c r="N40" i="29"/>
  <c r="AA40" i="29"/>
  <c r="H41" i="29"/>
  <c r="U41" i="29"/>
  <c r="I41" i="29"/>
  <c r="V41" i="29"/>
  <c r="J41" i="29"/>
  <c r="W41" i="29"/>
  <c r="K41" i="29"/>
  <c r="X41" i="29"/>
  <c r="M41" i="29"/>
  <c r="Z41" i="29"/>
  <c r="N41" i="29"/>
  <c r="AA41" i="29"/>
  <c r="H42" i="29"/>
  <c r="U42" i="29"/>
  <c r="I42" i="29"/>
  <c r="V42" i="29"/>
  <c r="J42" i="29"/>
  <c r="W42" i="29"/>
  <c r="K42" i="29"/>
  <c r="X42" i="29"/>
  <c r="M42" i="29"/>
  <c r="Z42" i="29"/>
  <c r="N42" i="29"/>
  <c r="AA42" i="29"/>
  <c r="H43" i="29"/>
  <c r="U43" i="29"/>
  <c r="I43" i="29"/>
  <c r="V43" i="29"/>
  <c r="J43" i="29"/>
  <c r="W43" i="29"/>
  <c r="K43" i="29"/>
  <c r="X43" i="29"/>
  <c r="M43" i="29"/>
  <c r="Z43" i="29"/>
  <c r="N43" i="29"/>
  <c r="AA43" i="29"/>
  <c r="H44" i="29"/>
  <c r="U44" i="29"/>
  <c r="I44" i="29"/>
  <c r="V44" i="29"/>
  <c r="J44" i="29"/>
  <c r="W44" i="29"/>
  <c r="K44" i="29"/>
  <c r="X44" i="29"/>
  <c r="M44" i="29"/>
  <c r="Z44" i="29"/>
  <c r="N44" i="29"/>
  <c r="AA44" i="29"/>
  <c r="H45" i="29"/>
  <c r="U45" i="29"/>
  <c r="I45" i="29"/>
  <c r="V45" i="29"/>
  <c r="J45" i="29"/>
  <c r="W45" i="29"/>
  <c r="K45" i="29"/>
  <c r="X45" i="29"/>
  <c r="M45" i="29"/>
  <c r="Z45" i="29"/>
  <c r="N45" i="29"/>
  <c r="AA45" i="29"/>
  <c r="H46" i="29"/>
  <c r="U46" i="29"/>
  <c r="I46" i="29"/>
  <c r="V46" i="29"/>
  <c r="J46" i="29"/>
  <c r="W46" i="29"/>
  <c r="K46" i="29"/>
  <c r="X46" i="29"/>
  <c r="M46" i="29"/>
  <c r="Z46" i="29"/>
  <c r="N46" i="29"/>
  <c r="AA46" i="29"/>
  <c r="H47" i="29"/>
  <c r="U47" i="29"/>
  <c r="I47" i="29"/>
  <c r="V47" i="29"/>
  <c r="J47" i="29"/>
  <c r="W47" i="29"/>
  <c r="K47" i="29"/>
  <c r="X47" i="29"/>
  <c r="M47" i="29"/>
  <c r="Z47" i="29"/>
  <c r="N47" i="29"/>
  <c r="AA47" i="29"/>
  <c r="H48" i="29"/>
  <c r="U48" i="29"/>
  <c r="I48" i="29"/>
  <c r="V48" i="29"/>
  <c r="J48" i="29"/>
  <c r="W48" i="29"/>
  <c r="K48" i="29"/>
  <c r="X48" i="29"/>
  <c r="M48" i="29"/>
  <c r="Z48" i="29"/>
  <c r="N48" i="29"/>
  <c r="AA48" i="29"/>
  <c r="H49" i="29"/>
  <c r="U49" i="29"/>
  <c r="I49" i="29"/>
  <c r="V49" i="29"/>
  <c r="J49" i="29"/>
  <c r="W49" i="29"/>
  <c r="K49" i="29"/>
  <c r="X49" i="29"/>
  <c r="M49" i="29"/>
  <c r="Z49" i="29"/>
  <c r="N49" i="29"/>
  <c r="AA49" i="29"/>
  <c r="H50" i="29"/>
  <c r="U50" i="29"/>
  <c r="I50" i="29"/>
  <c r="V50" i="29"/>
  <c r="J50" i="29"/>
  <c r="W50" i="29"/>
  <c r="K50" i="29"/>
  <c r="X50" i="29"/>
  <c r="M50" i="29"/>
  <c r="Z50" i="29"/>
  <c r="N50" i="29"/>
  <c r="AA50" i="29"/>
  <c r="H51" i="29"/>
  <c r="U51" i="29"/>
  <c r="I51" i="29"/>
  <c r="V51" i="29"/>
  <c r="J51" i="29"/>
  <c r="W51" i="29"/>
  <c r="K51" i="29"/>
  <c r="X51" i="29"/>
  <c r="M51" i="29"/>
  <c r="Z51" i="29"/>
  <c r="N51" i="29"/>
  <c r="AA51" i="29"/>
  <c r="H52" i="29"/>
  <c r="U52" i="29"/>
  <c r="I52" i="29"/>
  <c r="V52" i="29"/>
  <c r="J52" i="29"/>
  <c r="W52" i="29"/>
  <c r="K52" i="29"/>
  <c r="X52" i="29"/>
  <c r="M52" i="29"/>
  <c r="Z52" i="29"/>
  <c r="N52" i="29"/>
  <c r="AA52" i="29"/>
  <c r="H53" i="29"/>
  <c r="U53" i="29"/>
  <c r="I53" i="29"/>
  <c r="V53" i="29"/>
  <c r="J53" i="29"/>
  <c r="W53" i="29"/>
  <c r="K53" i="29"/>
  <c r="X53" i="29"/>
  <c r="M53" i="29"/>
  <c r="Z53" i="29"/>
  <c r="N53" i="29"/>
  <c r="AA53" i="29"/>
  <c r="H54" i="29"/>
  <c r="U54" i="29"/>
  <c r="I54" i="29"/>
  <c r="V54" i="29"/>
  <c r="J54" i="29"/>
  <c r="W54" i="29"/>
  <c r="K54" i="29"/>
  <c r="X54" i="29"/>
  <c r="M54" i="29"/>
  <c r="Z54" i="29"/>
  <c r="N54" i="29"/>
  <c r="AA54" i="29"/>
  <c r="H55" i="29"/>
  <c r="U55" i="29"/>
  <c r="I55" i="29"/>
  <c r="V55" i="29"/>
  <c r="J55" i="29"/>
  <c r="W55" i="29"/>
  <c r="K55" i="29"/>
  <c r="X55" i="29"/>
  <c r="M55" i="29"/>
  <c r="Z55" i="29"/>
  <c r="N55" i="29"/>
  <c r="AA55" i="29"/>
  <c r="H56" i="29"/>
  <c r="U56" i="29"/>
  <c r="I56" i="29"/>
  <c r="V56" i="29"/>
  <c r="J56" i="29"/>
  <c r="W56" i="29"/>
  <c r="K56" i="29"/>
  <c r="X56" i="29"/>
  <c r="M56" i="29"/>
  <c r="Z56" i="29"/>
  <c r="N56" i="29"/>
  <c r="AA56" i="29"/>
  <c r="H57" i="29"/>
  <c r="U57" i="29"/>
  <c r="I57" i="29"/>
  <c r="V57" i="29"/>
  <c r="J57" i="29"/>
  <c r="W57" i="29"/>
  <c r="K57" i="29"/>
  <c r="X57" i="29"/>
  <c r="M57" i="29"/>
  <c r="Z57" i="29"/>
  <c r="N57" i="29"/>
  <c r="AA57" i="29"/>
  <c r="H58" i="29"/>
  <c r="U58" i="29"/>
  <c r="I58" i="29"/>
  <c r="V58" i="29"/>
  <c r="J58" i="29"/>
  <c r="W58" i="29"/>
  <c r="K58" i="29"/>
  <c r="X58" i="29"/>
  <c r="M58" i="29"/>
  <c r="Z58" i="29"/>
  <c r="N58" i="29"/>
  <c r="AA58" i="29"/>
  <c r="H59" i="29"/>
  <c r="U59" i="29"/>
  <c r="I59" i="29"/>
  <c r="V59" i="29"/>
  <c r="J59" i="29"/>
  <c r="W59" i="29"/>
  <c r="K59" i="29"/>
  <c r="X59" i="29"/>
  <c r="M59" i="29"/>
  <c r="Z59" i="29"/>
  <c r="N59" i="29"/>
  <c r="AA59" i="29"/>
  <c r="H60" i="29"/>
  <c r="U60" i="29"/>
  <c r="I60" i="29"/>
  <c r="V60" i="29"/>
  <c r="J60" i="29"/>
  <c r="W60" i="29"/>
  <c r="K60" i="29"/>
  <c r="X60" i="29"/>
  <c r="M60" i="29"/>
  <c r="Z60" i="29"/>
  <c r="N60" i="29"/>
  <c r="AA60" i="29"/>
  <c r="H61" i="29"/>
  <c r="U61" i="29"/>
  <c r="I61" i="29"/>
  <c r="V61" i="29"/>
  <c r="J61" i="29"/>
  <c r="W61" i="29"/>
  <c r="K61" i="29"/>
  <c r="X61" i="29"/>
  <c r="M61" i="29"/>
  <c r="Z61" i="29"/>
  <c r="N61" i="29"/>
  <c r="AA61" i="29"/>
  <c r="H62" i="29"/>
  <c r="U62" i="29"/>
  <c r="I62" i="29"/>
  <c r="V62" i="29"/>
  <c r="J62" i="29"/>
  <c r="W62" i="29"/>
  <c r="K62" i="29"/>
  <c r="X62" i="29"/>
  <c r="M62" i="29"/>
  <c r="Z62" i="29"/>
  <c r="N62" i="29"/>
  <c r="AA62" i="29"/>
  <c r="H63" i="29"/>
  <c r="U63" i="29"/>
  <c r="I63" i="29"/>
  <c r="V63" i="29"/>
  <c r="J63" i="29"/>
  <c r="W63" i="29"/>
  <c r="K63" i="29"/>
  <c r="X63" i="29"/>
  <c r="M63" i="29"/>
  <c r="Z63" i="29"/>
  <c r="N63" i="29"/>
  <c r="AA63" i="29"/>
  <c r="H64" i="29"/>
  <c r="U64" i="29"/>
  <c r="I64" i="29"/>
  <c r="V64" i="29"/>
  <c r="J64" i="29"/>
  <c r="W64" i="29"/>
  <c r="K64" i="29"/>
  <c r="X64" i="29"/>
  <c r="M64" i="29"/>
  <c r="Z64" i="29"/>
  <c r="N64" i="29"/>
  <c r="AA64" i="29"/>
  <c r="H65" i="29"/>
  <c r="U65" i="29"/>
  <c r="I65" i="29"/>
  <c r="V65" i="29"/>
  <c r="J65" i="29"/>
  <c r="W65" i="29"/>
  <c r="K65" i="29"/>
  <c r="X65" i="29"/>
  <c r="M65" i="29"/>
  <c r="Z65" i="29"/>
  <c r="N65" i="29"/>
  <c r="AA65" i="29"/>
  <c r="H66" i="29"/>
  <c r="U66" i="29"/>
  <c r="I66" i="29"/>
  <c r="V66" i="29"/>
  <c r="J66" i="29"/>
  <c r="W66" i="29"/>
  <c r="K66" i="29"/>
  <c r="X66" i="29"/>
  <c r="M66" i="29"/>
  <c r="Z66" i="29"/>
  <c r="N66" i="29"/>
  <c r="AA66" i="29"/>
  <c r="H67" i="29"/>
  <c r="U67" i="29"/>
  <c r="I67" i="29"/>
  <c r="V67" i="29"/>
  <c r="J67" i="29"/>
  <c r="W67" i="29"/>
  <c r="K67" i="29"/>
  <c r="X67" i="29"/>
  <c r="M67" i="29"/>
  <c r="Z67" i="29"/>
  <c r="N67" i="29"/>
  <c r="AA67" i="29"/>
  <c r="H68" i="29"/>
  <c r="U68" i="29"/>
  <c r="I68" i="29"/>
  <c r="V68" i="29"/>
  <c r="J68" i="29"/>
  <c r="W68" i="29"/>
  <c r="K68" i="29"/>
  <c r="X68" i="29"/>
  <c r="M68" i="29"/>
  <c r="Z68" i="29"/>
  <c r="N68" i="29"/>
  <c r="AA68" i="29"/>
  <c r="H69" i="29"/>
  <c r="U69" i="29"/>
  <c r="I69" i="29"/>
  <c r="V69" i="29"/>
  <c r="J69" i="29"/>
  <c r="W69" i="29"/>
  <c r="K69" i="29"/>
  <c r="X69" i="29"/>
  <c r="M69" i="29"/>
  <c r="Z69" i="29"/>
  <c r="N69" i="29"/>
  <c r="AA69" i="29"/>
  <c r="H70" i="29"/>
  <c r="U70" i="29"/>
  <c r="I70" i="29"/>
  <c r="V70" i="29"/>
  <c r="J70" i="29"/>
  <c r="W70" i="29"/>
  <c r="K70" i="29"/>
  <c r="X70" i="29"/>
  <c r="M70" i="29"/>
  <c r="Z70" i="29"/>
  <c r="N70" i="29"/>
  <c r="AA70" i="29"/>
  <c r="H71" i="29"/>
  <c r="U71" i="29"/>
  <c r="I71" i="29"/>
  <c r="V71" i="29"/>
  <c r="J71" i="29"/>
  <c r="W71" i="29"/>
  <c r="K71" i="29"/>
  <c r="X71" i="29"/>
  <c r="M71" i="29"/>
  <c r="Z71" i="29"/>
  <c r="N71" i="29"/>
  <c r="AA71" i="29"/>
  <c r="H72" i="29"/>
  <c r="U72" i="29"/>
  <c r="I72" i="29"/>
  <c r="V72" i="29"/>
  <c r="J72" i="29"/>
  <c r="W72" i="29"/>
  <c r="K72" i="29"/>
  <c r="X72" i="29"/>
  <c r="M72" i="29"/>
  <c r="Z72" i="29"/>
  <c r="N72" i="29"/>
  <c r="AA72" i="29"/>
  <c r="H73" i="29"/>
  <c r="U73" i="29"/>
  <c r="I73" i="29"/>
  <c r="V73" i="29"/>
  <c r="J73" i="29"/>
  <c r="W73" i="29"/>
  <c r="K73" i="29"/>
  <c r="X73" i="29"/>
  <c r="M73" i="29"/>
  <c r="Z73" i="29"/>
  <c r="N73" i="29"/>
  <c r="AA73" i="29"/>
  <c r="H74" i="29"/>
  <c r="U74" i="29"/>
  <c r="I74" i="29"/>
  <c r="V74" i="29"/>
  <c r="J74" i="29"/>
  <c r="W74" i="29"/>
  <c r="K74" i="29"/>
  <c r="X74" i="29"/>
  <c r="M74" i="29"/>
  <c r="Z74" i="29"/>
  <c r="N74" i="29"/>
  <c r="AA74" i="29"/>
  <c r="H75" i="29"/>
  <c r="U75" i="29"/>
  <c r="I75" i="29"/>
  <c r="V75" i="29"/>
  <c r="J75" i="29"/>
  <c r="W75" i="29"/>
  <c r="K75" i="29"/>
  <c r="X75" i="29"/>
  <c r="M75" i="29"/>
  <c r="Z75" i="29"/>
  <c r="N75" i="29"/>
  <c r="AA75" i="29"/>
  <c r="H76" i="29"/>
  <c r="U76" i="29"/>
  <c r="I76" i="29"/>
  <c r="V76" i="29"/>
  <c r="J76" i="29"/>
  <c r="W76" i="29"/>
  <c r="K76" i="29"/>
  <c r="X76" i="29"/>
  <c r="M76" i="29"/>
  <c r="Z76" i="29"/>
  <c r="N76" i="29"/>
  <c r="AA76" i="29"/>
  <c r="H77" i="29"/>
  <c r="U77" i="29"/>
  <c r="I77" i="29"/>
  <c r="V77" i="29"/>
  <c r="J77" i="29"/>
  <c r="W77" i="29"/>
  <c r="K77" i="29"/>
  <c r="X77" i="29"/>
  <c r="M77" i="29"/>
  <c r="Z77" i="29"/>
  <c r="N77" i="29"/>
  <c r="AA77" i="29"/>
  <c r="H78" i="29"/>
  <c r="U78" i="29"/>
  <c r="I78" i="29"/>
  <c r="V78" i="29"/>
  <c r="J78" i="29"/>
  <c r="W78" i="29"/>
  <c r="K78" i="29"/>
  <c r="X78" i="29"/>
  <c r="M78" i="29"/>
  <c r="Z78" i="29"/>
  <c r="N78" i="29"/>
  <c r="AA78" i="29"/>
  <c r="H79" i="29"/>
  <c r="U79" i="29"/>
  <c r="I79" i="29"/>
  <c r="V79" i="29"/>
  <c r="J79" i="29"/>
  <c r="W79" i="29"/>
  <c r="K79" i="29"/>
  <c r="X79" i="29"/>
  <c r="M79" i="29"/>
  <c r="Z79" i="29"/>
  <c r="N79" i="29"/>
  <c r="AA79" i="29"/>
  <c r="H80" i="29"/>
  <c r="U80" i="29"/>
  <c r="I80" i="29"/>
  <c r="V80" i="29"/>
  <c r="J80" i="29"/>
  <c r="W80" i="29"/>
  <c r="K80" i="29"/>
  <c r="X80" i="29"/>
  <c r="M80" i="29"/>
  <c r="Z80" i="29"/>
  <c r="N80" i="29"/>
  <c r="AA80" i="29"/>
  <c r="H81" i="29"/>
  <c r="U81" i="29"/>
  <c r="I81" i="29"/>
  <c r="V81" i="29"/>
  <c r="J81" i="29"/>
  <c r="W81" i="29"/>
  <c r="K81" i="29"/>
  <c r="X81" i="29"/>
  <c r="M81" i="29"/>
  <c r="Z81" i="29"/>
  <c r="N81" i="29"/>
  <c r="AA81" i="29"/>
  <c r="H82" i="29"/>
  <c r="U82" i="29"/>
  <c r="I82" i="29"/>
  <c r="V82" i="29"/>
  <c r="J82" i="29"/>
  <c r="W82" i="29"/>
  <c r="K82" i="29"/>
  <c r="X82" i="29"/>
  <c r="M82" i="29"/>
  <c r="Z82" i="29"/>
  <c r="N82" i="29"/>
  <c r="AA82" i="29"/>
  <c r="H83" i="29"/>
  <c r="U83" i="29"/>
  <c r="I83" i="29"/>
  <c r="V83" i="29"/>
  <c r="J83" i="29"/>
  <c r="W83" i="29"/>
  <c r="K83" i="29"/>
  <c r="X83" i="29"/>
  <c r="M83" i="29"/>
  <c r="Z83" i="29"/>
  <c r="N83" i="29"/>
  <c r="AA83" i="29"/>
  <c r="H84" i="29"/>
  <c r="U84" i="29"/>
  <c r="I84" i="29"/>
  <c r="V84" i="29"/>
  <c r="J84" i="29"/>
  <c r="W84" i="29"/>
  <c r="K84" i="29"/>
  <c r="X84" i="29"/>
  <c r="M84" i="29"/>
  <c r="Z84" i="29"/>
  <c r="N84" i="29"/>
  <c r="AA84" i="29"/>
  <c r="H85" i="29"/>
  <c r="U85" i="29"/>
  <c r="I85" i="29"/>
  <c r="V85" i="29"/>
  <c r="J85" i="29"/>
  <c r="W85" i="29"/>
  <c r="K85" i="29"/>
  <c r="X85" i="29"/>
  <c r="M85" i="29"/>
  <c r="Z85" i="29"/>
  <c r="N85" i="29"/>
  <c r="AA85" i="29"/>
  <c r="H86" i="29"/>
  <c r="U86" i="29"/>
  <c r="I86" i="29"/>
  <c r="V86" i="29"/>
  <c r="J86" i="29"/>
  <c r="W86" i="29"/>
  <c r="K86" i="29"/>
  <c r="X86" i="29"/>
  <c r="M86" i="29"/>
  <c r="Z86" i="29"/>
  <c r="N86" i="29"/>
  <c r="AA86" i="29"/>
  <c r="H87" i="29"/>
  <c r="U87" i="29"/>
  <c r="I87" i="29"/>
  <c r="V87" i="29"/>
  <c r="J87" i="29"/>
  <c r="W87" i="29"/>
  <c r="K87" i="29"/>
  <c r="X87" i="29"/>
  <c r="M87" i="29"/>
  <c r="Z87" i="29"/>
  <c r="N87" i="29"/>
  <c r="AA87" i="29"/>
  <c r="H88" i="29"/>
  <c r="U88" i="29"/>
  <c r="I88" i="29"/>
  <c r="V88" i="29"/>
  <c r="J88" i="29"/>
  <c r="W88" i="29"/>
  <c r="K88" i="29"/>
  <c r="X88" i="29"/>
  <c r="M88" i="29"/>
  <c r="Z88" i="29"/>
  <c r="N88" i="29"/>
  <c r="AA88" i="29"/>
  <c r="H89" i="29"/>
  <c r="U89" i="29"/>
  <c r="I89" i="29"/>
  <c r="V89" i="29"/>
  <c r="J89" i="29"/>
  <c r="W89" i="29"/>
  <c r="K89" i="29"/>
  <c r="X89" i="29"/>
  <c r="M89" i="29"/>
  <c r="Z89" i="29"/>
  <c r="N89" i="29"/>
  <c r="AA89" i="29"/>
  <c r="H90" i="29"/>
  <c r="U90" i="29"/>
  <c r="I90" i="29"/>
  <c r="V90" i="29"/>
  <c r="J90" i="29"/>
  <c r="W90" i="29"/>
  <c r="K90" i="29"/>
  <c r="X90" i="29"/>
  <c r="M90" i="29"/>
  <c r="Z90" i="29"/>
  <c r="N90" i="29"/>
  <c r="AA90" i="29"/>
  <c r="H91" i="29"/>
  <c r="U91" i="29"/>
  <c r="I91" i="29"/>
  <c r="V91" i="29"/>
  <c r="J91" i="29"/>
  <c r="W91" i="29"/>
  <c r="K91" i="29"/>
  <c r="X91" i="29"/>
  <c r="M91" i="29"/>
  <c r="Z91" i="29"/>
  <c r="N91" i="29"/>
  <c r="AA91" i="29"/>
  <c r="H92" i="29"/>
  <c r="U92" i="29"/>
  <c r="I92" i="29"/>
  <c r="V92" i="29"/>
  <c r="J92" i="29"/>
  <c r="W92" i="29"/>
  <c r="K92" i="29"/>
  <c r="X92" i="29"/>
  <c r="M92" i="29"/>
  <c r="Z92" i="29"/>
  <c r="N92" i="29"/>
  <c r="AA92" i="29"/>
  <c r="H93" i="29"/>
  <c r="U93" i="29"/>
  <c r="I93" i="29"/>
  <c r="V93" i="29"/>
  <c r="J93" i="29"/>
  <c r="W93" i="29"/>
  <c r="K93" i="29"/>
  <c r="X93" i="29"/>
  <c r="M93" i="29"/>
  <c r="Z93" i="29"/>
  <c r="N93" i="29"/>
  <c r="AA93" i="29"/>
  <c r="H94" i="29"/>
  <c r="U94" i="29"/>
  <c r="I94" i="29"/>
  <c r="V94" i="29"/>
  <c r="J94" i="29"/>
  <c r="W94" i="29"/>
  <c r="K94" i="29"/>
  <c r="X94" i="29"/>
  <c r="M94" i="29"/>
  <c r="Z94" i="29"/>
  <c r="N94" i="29"/>
  <c r="AA94" i="29"/>
  <c r="H95" i="29"/>
  <c r="U95" i="29"/>
  <c r="I95" i="29"/>
  <c r="V95" i="29"/>
  <c r="J95" i="29"/>
  <c r="W95" i="29"/>
  <c r="K95" i="29"/>
  <c r="X95" i="29"/>
  <c r="M95" i="29"/>
  <c r="Z95" i="29"/>
  <c r="N95" i="29"/>
  <c r="AA95" i="29"/>
  <c r="H96" i="29"/>
  <c r="U96" i="29"/>
  <c r="I96" i="29"/>
  <c r="V96" i="29"/>
  <c r="J96" i="29"/>
  <c r="W96" i="29"/>
  <c r="K96" i="29"/>
  <c r="X96" i="29"/>
  <c r="M96" i="29"/>
  <c r="Z96" i="29"/>
  <c r="N96" i="29"/>
  <c r="AA96" i="29"/>
  <c r="H97" i="29"/>
  <c r="U97" i="29"/>
  <c r="I97" i="29"/>
  <c r="V97" i="29"/>
  <c r="J97" i="29"/>
  <c r="W97" i="29"/>
  <c r="K97" i="29"/>
  <c r="X97" i="29"/>
  <c r="M97" i="29"/>
  <c r="Z97" i="29"/>
  <c r="N97" i="29"/>
  <c r="AA97" i="29"/>
  <c r="H98" i="29"/>
  <c r="U98" i="29"/>
  <c r="I98" i="29"/>
  <c r="V98" i="29"/>
  <c r="J98" i="29"/>
  <c r="W98" i="29"/>
  <c r="K98" i="29"/>
  <c r="X98" i="29"/>
  <c r="M98" i="29"/>
  <c r="Z98" i="29"/>
  <c r="AA98" i="29"/>
  <c r="H99" i="29"/>
  <c r="U99" i="29"/>
  <c r="I99" i="29"/>
  <c r="V99" i="29"/>
  <c r="J99" i="29"/>
  <c r="W99" i="29"/>
  <c r="K99" i="29"/>
  <c r="X99" i="29"/>
  <c r="M99" i="29"/>
  <c r="Z99" i="29"/>
  <c r="AA99" i="29"/>
  <c r="H100" i="29"/>
  <c r="U100" i="29"/>
  <c r="I100" i="29"/>
  <c r="V100" i="29"/>
  <c r="J100" i="29"/>
  <c r="W100" i="29"/>
  <c r="K100" i="29"/>
  <c r="X100" i="29"/>
  <c r="M100" i="29"/>
  <c r="Z100" i="29"/>
  <c r="AA100" i="29"/>
  <c r="H101" i="29"/>
  <c r="U101" i="29"/>
  <c r="I101" i="29"/>
  <c r="V101" i="29"/>
  <c r="J101" i="29"/>
  <c r="W101" i="29"/>
  <c r="K101" i="29"/>
  <c r="X101" i="29"/>
  <c r="M101" i="29"/>
  <c r="Z101" i="29"/>
  <c r="AA101" i="29"/>
  <c r="H102" i="29"/>
  <c r="U102" i="29"/>
  <c r="I102" i="29"/>
  <c r="V102" i="29"/>
  <c r="J102" i="29"/>
  <c r="W102" i="29"/>
  <c r="K102" i="29"/>
  <c r="X102" i="29"/>
  <c r="M102" i="29"/>
  <c r="Z102" i="29"/>
  <c r="AA102" i="29"/>
  <c r="H103" i="29"/>
  <c r="U103" i="29"/>
  <c r="I103" i="29"/>
  <c r="V103" i="29"/>
  <c r="J103" i="29"/>
  <c r="W103" i="29"/>
  <c r="K103" i="29"/>
  <c r="X103" i="29"/>
  <c r="M103" i="29"/>
  <c r="Z103" i="29"/>
  <c r="AA103" i="29"/>
  <c r="H104" i="29"/>
  <c r="U104" i="29"/>
  <c r="I104" i="29"/>
  <c r="V104" i="29"/>
  <c r="J104" i="29"/>
  <c r="W104" i="29"/>
  <c r="K104" i="29"/>
  <c r="X104" i="29"/>
  <c r="M104" i="29"/>
  <c r="Z104" i="29"/>
  <c r="AA104" i="29"/>
  <c r="H105" i="29"/>
  <c r="U105" i="29"/>
  <c r="I105" i="29"/>
  <c r="V105" i="29"/>
  <c r="J105" i="29"/>
  <c r="W105" i="29"/>
  <c r="K105" i="29"/>
  <c r="X105" i="29"/>
  <c r="M105" i="29"/>
  <c r="Z105" i="29"/>
  <c r="AA105" i="29"/>
  <c r="H106" i="29"/>
  <c r="U106" i="29"/>
  <c r="I106" i="29"/>
  <c r="V106" i="29"/>
  <c r="J106" i="29"/>
  <c r="W106" i="29"/>
  <c r="K106" i="29"/>
  <c r="X106" i="29"/>
  <c r="M106" i="29"/>
  <c r="Z106" i="29"/>
  <c r="AA106" i="29"/>
  <c r="H107" i="29"/>
  <c r="U107" i="29"/>
  <c r="I107" i="29"/>
  <c r="V107" i="29"/>
  <c r="J107" i="29"/>
  <c r="W107" i="29"/>
  <c r="K107" i="29"/>
  <c r="X107" i="29"/>
  <c r="M107" i="29"/>
  <c r="Z107" i="29"/>
  <c r="AA107" i="29"/>
  <c r="H108" i="29"/>
  <c r="U108" i="29"/>
  <c r="I108" i="29"/>
  <c r="V108" i="29"/>
  <c r="J108" i="29"/>
  <c r="W108" i="29"/>
  <c r="K108" i="29"/>
  <c r="X108" i="29"/>
  <c r="M108" i="29"/>
  <c r="Z108" i="29"/>
  <c r="AA108" i="29"/>
  <c r="H109" i="29"/>
  <c r="U109" i="29"/>
  <c r="I109" i="29"/>
  <c r="V109" i="29"/>
  <c r="J109" i="29"/>
  <c r="W109" i="29"/>
  <c r="K109" i="29"/>
  <c r="X109" i="29"/>
  <c r="M109" i="29"/>
  <c r="Z109" i="29"/>
  <c r="AA109" i="29"/>
  <c r="H110" i="29"/>
  <c r="U110" i="29"/>
  <c r="I110" i="29"/>
  <c r="V110" i="29"/>
  <c r="J110" i="29"/>
  <c r="W110" i="29"/>
  <c r="K110" i="29"/>
  <c r="X110" i="29"/>
  <c r="M110" i="29"/>
  <c r="Z110" i="29"/>
  <c r="AA110" i="29"/>
  <c r="H111" i="29"/>
  <c r="U111" i="29"/>
  <c r="I111" i="29"/>
  <c r="V111" i="29"/>
  <c r="J111" i="29"/>
  <c r="W111" i="29"/>
  <c r="K111" i="29"/>
  <c r="X111" i="29"/>
  <c r="M111" i="29"/>
  <c r="Z111" i="29"/>
  <c r="AA111" i="29"/>
  <c r="H112" i="29"/>
  <c r="U112" i="29"/>
  <c r="I112" i="29"/>
  <c r="V112" i="29"/>
  <c r="J112" i="29"/>
  <c r="W112" i="29"/>
  <c r="K112" i="29"/>
  <c r="X112" i="29"/>
  <c r="M112" i="29"/>
  <c r="Z112" i="29"/>
  <c r="AA112" i="29"/>
  <c r="H113" i="29"/>
  <c r="U113" i="29"/>
  <c r="I113" i="29"/>
  <c r="V113" i="29"/>
  <c r="J113" i="29"/>
  <c r="W113" i="29"/>
  <c r="K113" i="29"/>
  <c r="X113" i="29"/>
  <c r="M113" i="29"/>
  <c r="Z113" i="29"/>
  <c r="AA113" i="29"/>
  <c r="H114" i="29"/>
  <c r="U114" i="29"/>
  <c r="I114" i="29"/>
  <c r="V114" i="29"/>
  <c r="J114" i="29"/>
  <c r="W114" i="29"/>
  <c r="K114" i="29"/>
  <c r="X114" i="29"/>
  <c r="M114" i="29"/>
  <c r="Z114" i="29"/>
  <c r="AA114" i="29"/>
  <c r="H115" i="29"/>
  <c r="U115" i="29"/>
  <c r="I115" i="29"/>
  <c r="V115" i="29"/>
  <c r="J115" i="29"/>
  <c r="W115" i="29"/>
  <c r="K115" i="29"/>
  <c r="X115" i="29"/>
  <c r="M115" i="29"/>
  <c r="Z115" i="29"/>
  <c r="AA115" i="29"/>
  <c r="H116" i="29"/>
  <c r="U116" i="29"/>
  <c r="I116" i="29"/>
  <c r="V116" i="29"/>
  <c r="J116" i="29"/>
  <c r="W116" i="29"/>
  <c r="K116" i="29"/>
  <c r="X116" i="29"/>
  <c r="M116" i="29"/>
  <c r="Z116" i="29"/>
  <c r="AA116" i="29"/>
  <c r="H117" i="29"/>
  <c r="U117" i="29"/>
  <c r="I117" i="29"/>
  <c r="V117" i="29"/>
  <c r="J117" i="29"/>
  <c r="W117" i="29"/>
  <c r="K117" i="29"/>
  <c r="X117" i="29"/>
  <c r="M117" i="29"/>
  <c r="Z117" i="29"/>
  <c r="AA117" i="29"/>
  <c r="H118" i="29"/>
  <c r="U118" i="29"/>
  <c r="I118" i="29"/>
  <c r="V118" i="29"/>
  <c r="J118" i="29"/>
  <c r="W118" i="29"/>
  <c r="K118" i="29"/>
  <c r="X118" i="29"/>
  <c r="M118" i="29"/>
  <c r="Z118" i="29"/>
  <c r="AA118" i="29"/>
  <c r="H119" i="29"/>
  <c r="U119" i="29"/>
  <c r="I119" i="29"/>
  <c r="V119" i="29"/>
  <c r="J119" i="29"/>
  <c r="W119" i="29"/>
  <c r="K119" i="29"/>
  <c r="X119" i="29"/>
  <c r="M119" i="29"/>
  <c r="Z119" i="29"/>
  <c r="AA119" i="29"/>
  <c r="H120" i="29"/>
  <c r="U120" i="29"/>
  <c r="I120" i="29"/>
  <c r="V120" i="29"/>
  <c r="J120" i="29"/>
  <c r="W120" i="29"/>
  <c r="K120" i="29"/>
  <c r="X120" i="29"/>
  <c r="M120" i="29"/>
  <c r="Z120" i="29"/>
  <c r="AA120" i="29"/>
  <c r="H121" i="29"/>
  <c r="U121" i="29"/>
  <c r="I121" i="29"/>
  <c r="V121" i="29"/>
  <c r="J121" i="29"/>
  <c r="W121" i="29"/>
  <c r="K121" i="29"/>
  <c r="X121" i="29"/>
  <c r="M121" i="29"/>
  <c r="Z121" i="29"/>
  <c r="AA121" i="29"/>
  <c r="H122" i="29"/>
  <c r="U122" i="29"/>
  <c r="I122" i="29"/>
  <c r="V122" i="29"/>
  <c r="J122" i="29"/>
  <c r="W122" i="29"/>
  <c r="K122" i="29"/>
  <c r="X122" i="29"/>
  <c r="M122" i="29"/>
  <c r="Z122" i="29"/>
  <c r="AA122" i="29"/>
  <c r="H123" i="29"/>
  <c r="U123" i="29"/>
  <c r="I123" i="29"/>
  <c r="V123" i="29"/>
  <c r="J123" i="29"/>
  <c r="W123" i="29"/>
  <c r="K123" i="29"/>
  <c r="X123" i="29"/>
  <c r="M123" i="29"/>
  <c r="Z123" i="29"/>
  <c r="AA123" i="29"/>
  <c r="H124" i="29"/>
  <c r="U124" i="29"/>
  <c r="I124" i="29"/>
  <c r="V124" i="29"/>
  <c r="J124" i="29"/>
  <c r="W124" i="29"/>
  <c r="K124" i="29"/>
  <c r="X124" i="29"/>
  <c r="M124" i="29"/>
  <c r="Z124" i="29"/>
  <c r="AA124" i="29"/>
  <c r="H125" i="29"/>
  <c r="U125" i="29"/>
  <c r="I125" i="29"/>
  <c r="V125" i="29"/>
  <c r="J125" i="29"/>
  <c r="W125" i="29"/>
  <c r="K125" i="29"/>
  <c r="X125" i="29"/>
  <c r="M125" i="29"/>
  <c r="Z125" i="29"/>
  <c r="AA125" i="29"/>
  <c r="H126" i="29"/>
  <c r="U126" i="29"/>
  <c r="I126" i="29"/>
  <c r="V126" i="29"/>
  <c r="J126" i="29"/>
  <c r="W126" i="29"/>
  <c r="K126" i="29"/>
  <c r="X126" i="29"/>
  <c r="M126" i="29"/>
  <c r="Z126" i="29"/>
  <c r="AA126" i="29"/>
  <c r="H127" i="29"/>
  <c r="U127" i="29"/>
  <c r="I127" i="29"/>
  <c r="V127" i="29"/>
  <c r="J127" i="29"/>
  <c r="W127" i="29"/>
  <c r="K127" i="29"/>
  <c r="X127" i="29"/>
  <c r="M127" i="29"/>
  <c r="Z127" i="29"/>
  <c r="AA127" i="29"/>
  <c r="H128" i="29"/>
  <c r="U128" i="29"/>
  <c r="I128" i="29"/>
  <c r="V128" i="29"/>
  <c r="J128" i="29"/>
  <c r="W128" i="29"/>
  <c r="K128" i="29"/>
  <c r="X128" i="29"/>
  <c r="M128" i="29"/>
  <c r="Z128" i="29"/>
  <c r="AA128" i="29"/>
  <c r="H129" i="29"/>
  <c r="U129" i="29"/>
  <c r="I129" i="29"/>
  <c r="V129" i="29"/>
  <c r="J129" i="29"/>
  <c r="W129" i="29"/>
  <c r="K129" i="29"/>
  <c r="X129" i="29"/>
  <c r="M129" i="29"/>
  <c r="Z129" i="29"/>
  <c r="AA129" i="29"/>
  <c r="H130" i="29"/>
  <c r="U130" i="29"/>
  <c r="I130" i="29"/>
  <c r="V130" i="29"/>
  <c r="J130" i="29"/>
  <c r="W130" i="29"/>
  <c r="K130" i="29"/>
  <c r="X130" i="29"/>
  <c r="M130" i="29"/>
  <c r="Z130" i="29"/>
  <c r="AA130" i="29"/>
  <c r="H131" i="29"/>
  <c r="U131" i="29"/>
  <c r="I131" i="29"/>
  <c r="V131" i="29"/>
  <c r="J131" i="29"/>
  <c r="W131" i="29"/>
  <c r="K131" i="29"/>
  <c r="X131" i="29"/>
  <c r="M131" i="29"/>
  <c r="Z131" i="29"/>
  <c r="AA131" i="29"/>
  <c r="H132" i="29"/>
  <c r="U132" i="29"/>
  <c r="I132" i="29"/>
  <c r="V132" i="29"/>
  <c r="J132" i="29"/>
  <c r="W132" i="29"/>
  <c r="K132" i="29"/>
  <c r="X132" i="29"/>
  <c r="M132" i="29"/>
  <c r="Z132" i="29"/>
  <c r="AA132" i="29"/>
  <c r="H133" i="29"/>
  <c r="U133" i="29"/>
  <c r="I133" i="29"/>
  <c r="V133" i="29"/>
  <c r="J133" i="29"/>
  <c r="W133" i="29"/>
  <c r="K133" i="29"/>
  <c r="X133" i="29"/>
  <c r="M133" i="29"/>
  <c r="Z133" i="29"/>
  <c r="AA133" i="29"/>
  <c r="H134" i="29"/>
  <c r="U134" i="29"/>
  <c r="I134" i="29"/>
  <c r="V134" i="29"/>
  <c r="J134" i="29"/>
  <c r="W134" i="29"/>
  <c r="K134" i="29"/>
  <c r="X134" i="29"/>
  <c r="M134" i="29"/>
  <c r="Z134" i="29"/>
  <c r="AA134" i="29"/>
  <c r="H135" i="29"/>
  <c r="U135" i="29"/>
  <c r="I135" i="29"/>
  <c r="V135" i="29"/>
  <c r="J135" i="29"/>
  <c r="W135" i="29"/>
  <c r="K135" i="29"/>
  <c r="X135" i="29"/>
  <c r="M135" i="29"/>
  <c r="Z135" i="29"/>
  <c r="AA135" i="29"/>
  <c r="H136" i="29"/>
  <c r="U136" i="29"/>
  <c r="I136" i="29"/>
  <c r="V136" i="29"/>
  <c r="J136" i="29"/>
  <c r="W136" i="29"/>
  <c r="K136" i="29"/>
  <c r="X136" i="29"/>
  <c r="M136" i="29"/>
  <c r="Z136" i="29"/>
  <c r="AA136" i="29"/>
  <c r="H137" i="29"/>
  <c r="U137" i="29"/>
  <c r="I137" i="29"/>
  <c r="V137" i="29"/>
  <c r="J137" i="29"/>
  <c r="W137" i="29"/>
  <c r="K137" i="29"/>
  <c r="X137" i="29"/>
  <c r="M137" i="29"/>
  <c r="Z137" i="29"/>
  <c r="AA137" i="29"/>
  <c r="H138" i="29"/>
  <c r="U138" i="29"/>
  <c r="I138" i="29"/>
  <c r="V138" i="29"/>
  <c r="J138" i="29"/>
  <c r="W138" i="29"/>
  <c r="K138" i="29"/>
  <c r="X138" i="29"/>
  <c r="M138" i="29"/>
  <c r="Z138" i="29"/>
  <c r="AA138" i="29"/>
  <c r="H139" i="29"/>
  <c r="U139" i="29"/>
  <c r="I139" i="29"/>
  <c r="V139" i="29"/>
  <c r="J139" i="29"/>
  <c r="W139" i="29"/>
  <c r="K139" i="29"/>
  <c r="X139" i="29"/>
  <c r="M139" i="29"/>
  <c r="Z139" i="29"/>
  <c r="AA139" i="29"/>
  <c r="H140" i="29"/>
  <c r="U140" i="29"/>
  <c r="I140" i="29"/>
  <c r="V140" i="29"/>
  <c r="J140" i="29"/>
  <c r="W140" i="29"/>
  <c r="K140" i="29"/>
  <c r="X140" i="29"/>
  <c r="M140" i="29"/>
  <c r="Z140" i="29"/>
  <c r="AA140" i="29"/>
  <c r="H141" i="29"/>
  <c r="U141" i="29"/>
  <c r="I141" i="29"/>
  <c r="V141" i="29"/>
  <c r="J141" i="29"/>
  <c r="W141" i="29"/>
  <c r="K141" i="29"/>
  <c r="X141" i="29"/>
  <c r="M141" i="29"/>
  <c r="Z141" i="29"/>
  <c r="AA141" i="29"/>
  <c r="H142" i="29"/>
  <c r="U142" i="29"/>
  <c r="I142" i="29"/>
  <c r="V142" i="29"/>
  <c r="J142" i="29"/>
  <c r="W142" i="29"/>
  <c r="K142" i="29"/>
  <c r="X142" i="29"/>
  <c r="M142" i="29"/>
  <c r="Z142" i="29"/>
  <c r="AA142" i="29"/>
  <c r="H143" i="29"/>
  <c r="U143" i="29"/>
  <c r="I143" i="29"/>
  <c r="V143" i="29"/>
  <c r="J143" i="29"/>
  <c r="W143" i="29"/>
  <c r="K143" i="29"/>
  <c r="X143" i="29"/>
  <c r="M143" i="29"/>
  <c r="Z143" i="29"/>
  <c r="AA143" i="29"/>
  <c r="H144" i="29"/>
  <c r="U144" i="29"/>
  <c r="I144" i="29"/>
  <c r="V144" i="29"/>
  <c r="J144" i="29"/>
  <c r="W144" i="29"/>
  <c r="K144" i="29"/>
  <c r="X144" i="29"/>
  <c r="M144" i="29"/>
  <c r="Z144" i="29"/>
  <c r="AA144" i="29"/>
  <c r="H145" i="29"/>
  <c r="U145" i="29"/>
  <c r="I145" i="29"/>
  <c r="V145" i="29"/>
  <c r="J145" i="29"/>
  <c r="W145" i="29"/>
  <c r="K145" i="29"/>
  <c r="X145" i="29"/>
  <c r="M145" i="29"/>
  <c r="Z145" i="29"/>
  <c r="AA145" i="29"/>
  <c r="N2" i="29"/>
  <c r="AA2" i="29"/>
  <c r="M2" i="29"/>
  <c r="Z2" i="29"/>
  <c r="K2" i="29"/>
  <c r="X2" i="29"/>
  <c r="J2" i="29"/>
  <c r="W2" i="29"/>
  <c r="I2" i="29"/>
  <c r="V2" i="29"/>
  <c r="H2" i="29"/>
  <c r="U2" i="29"/>
  <c r="BQ98" i="1"/>
  <c r="BU98" i="1"/>
  <c r="BQ99" i="1"/>
  <c r="BU99" i="1"/>
  <c r="BQ100" i="1"/>
  <c r="BU100" i="1"/>
  <c r="BQ101" i="1"/>
  <c r="BU101" i="1"/>
  <c r="BQ102" i="1"/>
  <c r="BU102" i="1"/>
  <c r="BQ103" i="1"/>
  <c r="BU103" i="1"/>
  <c r="BQ104" i="1"/>
  <c r="BU104" i="1"/>
  <c r="BQ105" i="1"/>
  <c r="BU105" i="1"/>
  <c r="BQ106" i="1"/>
  <c r="BU106" i="1"/>
  <c r="BQ107" i="1"/>
  <c r="BU107" i="1"/>
  <c r="BQ108" i="1"/>
  <c r="BU108" i="1"/>
  <c r="BQ109" i="1"/>
  <c r="BU109" i="1"/>
  <c r="BQ110" i="1"/>
  <c r="BU110" i="1"/>
  <c r="BQ111" i="1"/>
  <c r="BU111" i="1"/>
  <c r="BQ112" i="1"/>
  <c r="BU112" i="1"/>
  <c r="BQ113" i="1"/>
  <c r="BU113" i="1"/>
  <c r="BQ114" i="1"/>
  <c r="BU114" i="1"/>
  <c r="BQ115" i="1"/>
  <c r="BU115" i="1"/>
  <c r="BQ116" i="1"/>
  <c r="BU116" i="1"/>
  <c r="BQ117" i="1"/>
  <c r="BU117" i="1"/>
  <c r="BQ118" i="1"/>
  <c r="BU118" i="1"/>
  <c r="BQ119" i="1"/>
  <c r="BU119" i="1"/>
  <c r="BQ120" i="1"/>
  <c r="BU120" i="1"/>
  <c r="BQ121" i="1"/>
  <c r="BU121" i="1"/>
  <c r="D2" i="14"/>
  <c r="L2" i="14"/>
  <c r="F2" i="14"/>
  <c r="N2" i="14"/>
  <c r="H2" i="14"/>
  <c r="P2" i="14"/>
  <c r="I2" i="14"/>
  <c r="Q2" i="14"/>
  <c r="R2" i="14"/>
  <c r="D3" i="14"/>
  <c r="L3" i="14"/>
  <c r="F3" i="14"/>
  <c r="N3" i="14"/>
  <c r="H3" i="14"/>
  <c r="P3" i="14"/>
  <c r="I3" i="14"/>
  <c r="Q3" i="14"/>
  <c r="R3" i="14"/>
  <c r="D4" i="14"/>
  <c r="L4" i="14"/>
  <c r="F4" i="14"/>
  <c r="N4" i="14"/>
  <c r="H4" i="14"/>
  <c r="P4" i="14"/>
  <c r="I4" i="14"/>
  <c r="Q4" i="14"/>
  <c r="R4" i="14"/>
  <c r="D5" i="14"/>
  <c r="L5" i="14"/>
  <c r="F5" i="14"/>
  <c r="N5" i="14"/>
  <c r="H5" i="14"/>
  <c r="P5" i="14"/>
  <c r="I5" i="14"/>
  <c r="Q5" i="14"/>
  <c r="R5" i="14"/>
  <c r="D6" i="14"/>
  <c r="L6" i="14"/>
  <c r="F6" i="14"/>
  <c r="N6" i="14"/>
  <c r="H6" i="14"/>
  <c r="P6" i="14"/>
  <c r="I6" i="14"/>
  <c r="Q6" i="14"/>
  <c r="R6" i="14"/>
  <c r="D7" i="14"/>
  <c r="L7" i="14"/>
  <c r="F7" i="14"/>
  <c r="N7" i="14"/>
  <c r="H7" i="14"/>
  <c r="P7" i="14"/>
  <c r="I7" i="14"/>
  <c r="Q7" i="14"/>
  <c r="R7" i="14"/>
  <c r="D8" i="14"/>
  <c r="L8" i="14"/>
  <c r="F8" i="14"/>
  <c r="N8" i="14"/>
  <c r="H8" i="14"/>
  <c r="P8" i="14"/>
  <c r="I8" i="14"/>
  <c r="Q8" i="14"/>
  <c r="R8" i="14"/>
  <c r="D9" i="14"/>
  <c r="L9" i="14"/>
  <c r="F9" i="14"/>
  <c r="N9" i="14"/>
  <c r="H9" i="14"/>
  <c r="P9" i="14"/>
  <c r="I9" i="14"/>
  <c r="Q9" i="14"/>
  <c r="R9" i="14"/>
  <c r="D10" i="14"/>
  <c r="L10" i="14"/>
  <c r="F10" i="14"/>
  <c r="N10" i="14"/>
  <c r="H10" i="14"/>
  <c r="P10" i="14"/>
  <c r="I10" i="14"/>
  <c r="Q10" i="14"/>
  <c r="R10" i="14"/>
  <c r="D11" i="14"/>
  <c r="L11" i="14"/>
  <c r="F11" i="14"/>
  <c r="N11" i="14"/>
  <c r="H11" i="14"/>
  <c r="P11" i="14"/>
  <c r="I11" i="14"/>
  <c r="Q11" i="14"/>
  <c r="R11" i="14"/>
  <c r="D12" i="14"/>
  <c r="L12" i="14"/>
  <c r="F12" i="14"/>
  <c r="N12" i="14"/>
  <c r="H12" i="14"/>
  <c r="P12" i="14"/>
  <c r="I12" i="14"/>
  <c r="Q12" i="14"/>
  <c r="R12" i="14"/>
  <c r="D13" i="14"/>
  <c r="L13" i="14"/>
  <c r="F13" i="14"/>
  <c r="N13" i="14"/>
  <c r="H13" i="14"/>
  <c r="P13" i="14"/>
  <c r="I13" i="14"/>
  <c r="Q13" i="14"/>
  <c r="R13" i="14"/>
  <c r="D14" i="14"/>
  <c r="L14" i="14"/>
  <c r="F14" i="14"/>
  <c r="N14" i="14"/>
  <c r="H14" i="14"/>
  <c r="P14" i="14"/>
  <c r="I14" i="14"/>
  <c r="Q14" i="14"/>
  <c r="R14" i="14"/>
  <c r="D15" i="14"/>
  <c r="L15" i="14"/>
  <c r="F15" i="14"/>
  <c r="N15" i="14"/>
  <c r="H15" i="14"/>
  <c r="P15" i="14"/>
  <c r="I15" i="14"/>
  <c r="Q15" i="14"/>
  <c r="R15" i="14"/>
  <c r="D16" i="14"/>
  <c r="L16" i="14"/>
  <c r="F16" i="14"/>
  <c r="N16" i="14"/>
  <c r="H16" i="14"/>
  <c r="P16" i="14"/>
  <c r="I16" i="14"/>
  <c r="Q16" i="14"/>
  <c r="R16" i="14"/>
  <c r="D17" i="14"/>
  <c r="L17" i="14"/>
  <c r="F17" i="14"/>
  <c r="N17" i="14"/>
  <c r="H17" i="14"/>
  <c r="P17" i="14"/>
  <c r="I17" i="14"/>
  <c r="Q17" i="14"/>
  <c r="R17" i="14"/>
  <c r="D18" i="14"/>
  <c r="L18" i="14"/>
  <c r="F18" i="14"/>
  <c r="N18" i="14"/>
  <c r="H18" i="14"/>
  <c r="P18" i="14"/>
  <c r="I18" i="14"/>
  <c r="Q18" i="14"/>
  <c r="R18" i="14"/>
  <c r="D19" i="14"/>
  <c r="L19" i="14"/>
  <c r="F19" i="14"/>
  <c r="N19" i="14"/>
  <c r="H19" i="14"/>
  <c r="P19" i="14"/>
  <c r="I19" i="14"/>
  <c r="Q19" i="14"/>
  <c r="R19" i="14"/>
  <c r="D20" i="14"/>
  <c r="L20" i="14"/>
  <c r="F20" i="14"/>
  <c r="N20" i="14"/>
  <c r="H20" i="14"/>
  <c r="P20" i="14"/>
  <c r="I20" i="14"/>
  <c r="Q20" i="14"/>
  <c r="R20" i="14"/>
  <c r="D21" i="14"/>
  <c r="L21" i="14"/>
  <c r="F21" i="14"/>
  <c r="N21" i="14"/>
  <c r="H21" i="14"/>
  <c r="P21" i="14"/>
  <c r="I21" i="14"/>
  <c r="Q21" i="14"/>
  <c r="R21" i="14"/>
  <c r="D22" i="14"/>
  <c r="L22" i="14"/>
  <c r="F22" i="14"/>
  <c r="N22" i="14"/>
  <c r="H22" i="14"/>
  <c r="P22" i="14"/>
  <c r="I22" i="14"/>
  <c r="Q22" i="14"/>
  <c r="R22" i="14"/>
  <c r="D23" i="14"/>
  <c r="L23" i="14"/>
  <c r="F23" i="14"/>
  <c r="N23" i="14"/>
  <c r="H23" i="14"/>
  <c r="P23" i="14"/>
  <c r="I23" i="14"/>
  <c r="Q23" i="14"/>
  <c r="R23" i="14"/>
  <c r="D24" i="14"/>
  <c r="L24" i="14"/>
  <c r="F24" i="14"/>
  <c r="N24" i="14"/>
  <c r="H24" i="14"/>
  <c r="P24" i="14"/>
  <c r="I24" i="14"/>
  <c r="Q24" i="14"/>
  <c r="R24" i="14"/>
  <c r="D25" i="14"/>
  <c r="L25" i="14"/>
  <c r="F25" i="14"/>
  <c r="N25" i="14"/>
  <c r="H25" i="14"/>
  <c r="P25" i="14"/>
  <c r="I25" i="14"/>
  <c r="Q25" i="14"/>
  <c r="R25" i="14"/>
  <c r="D26" i="14"/>
  <c r="L26" i="14"/>
  <c r="F26" i="14"/>
  <c r="N26" i="14"/>
  <c r="H26" i="14"/>
  <c r="P26" i="14"/>
  <c r="I26" i="14"/>
  <c r="Q26" i="14"/>
  <c r="R26" i="14"/>
  <c r="D27" i="14"/>
  <c r="L27" i="14"/>
  <c r="F27" i="14"/>
  <c r="N27" i="14"/>
  <c r="H27" i="14"/>
  <c r="P27" i="14"/>
  <c r="I27" i="14"/>
  <c r="Q27" i="14"/>
  <c r="R27" i="14"/>
  <c r="D28" i="14"/>
  <c r="L28" i="14"/>
  <c r="F28" i="14"/>
  <c r="N28" i="14"/>
  <c r="H28" i="14"/>
  <c r="P28" i="14"/>
  <c r="I28" i="14"/>
  <c r="Q28" i="14"/>
  <c r="R28" i="14"/>
  <c r="D29" i="14"/>
  <c r="L29" i="14"/>
  <c r="F29" i="14"/>
  <c r="N29" i="14"/>
  <c r="H29" i="14"/>
  <c r="P29" i="14"/>
  <c r="I29" i="14"/>
  <c r="Q29" i="14"/>
  <c r="R29" i="14"/>
  <c r="D30" i="14"/>
  <c r="L30" i="14"/>
  <c r="F30" i="14"/>
  <c r="N30" i="14"/>
  <c r="H30" i="14"/>
  <c r="P30" i="14"/>
  <c r="I30" i="14"/>
  <c r="Q30" i="14"/>
  <c r="R30" i="14"/>
  <c r="D31" i="14"/>
  <c r="L31" i="14"/>
  <c r="F31" i="14"/>
  <c r="N31" i="14"/>
  <c r="H31" i="14"/>
  <c r="P31" i="14"/>
  <c r="I31" i="14"/>
  <c r="Q31" i="14"/>
  <c r="R31" i="14"/>
  <c r="D32" i="14"/>
  <c r="L32" i="14"/>
  <c r="F32" i="14"/>
  <c r="N32" i="14"/>
  <c r="H32" i="14"/>
  <c r="P32" i="14"/>
  <c r="I32" i="14"/>
  <c r="Q32" i="14"/>
  <c r="R32" i="14"/>
  <c r="D33" i="14"/>
  <c r="L33" i="14"/>
  <c r="F33" i="14"/>
  <c r="N33" i="14"/>
  <c r="H33" i="14"/>
  <c r="P33" i="14"/>
  <c r="I33" i="14"/>
  <c r="Q33" i="14"/>
  <c r="R33" i="14"/>
  <c r="D34" i="14"/>
  <c r="L34" i="14"/>
  <c r="F34" i="14"/>
  <c r="N34" i="14"/>
  <c r="H34" i="14"/>
  <c r="P34" i="14"/>
  <c r="I34" i="14"/>
  <c r="Q34" i="14"/>
  <c r="R34" i="14"/>
  <c r="D35" i="14"/>
  <c r="L35" i="14"/>
  <c r="F35" i="14"/>
  <c r="N35" i="14"/>
  <c r="H35" i="14"/>
  <c r="P35" i="14"/>
  <c r="I35" i="14"/>
  <c r="Q35" i="14"/>
  <c r="R35" i="14"/>
  <c r="D36" i="14"/>
  <c r="L36" i="14"/>
  <c r="F36" i="14"/>
  <c r="N36" i="14"/>
  <c r="H36" i="14"/>
  <c r="P36" i="14"/>
  <c r="I36" i="14"/>
  <c r="Q36" i="14"/>
  <c r="R36" i="14"/>
  <c r="D37" i="14"/>
  <c r="L37" i="14"/>
  <c r="F37" i="14"/>
  <c r="N37" i="14"/>
  <c r="H37" i="14"/>
  <c r="P37" i="14"/>
  <c r="I37" i="14"/>
  <c r="Q37" i="14"/>
  <c r="R37" i="14"/>
  <c r="D38" i="14"/>
  <c r="L38" i="14"/>
  <c r="F38" i="14"/>
  <c r="N38" i="14"/>
  <c r="H38" i="14"/>
  <c r="P38" i="14"/>
  <c r="I38" i="14"/>
  <c r="Q38" i="14"/>
  <c r="R38" i="14"/>
  <c r="D39" i="14"/>
  <c r="L39" i="14"/>
  <c r="F39" i="14"/>
  <c r="N39" i="14"/>
  <c r="H39" i="14"/>
  <c r="P39" i="14"/>
  <c r="I39" i="14"/>
  <c r="Q39" i="14"/>
  <c r="R39" i="14"/>
  <c r="D40" i="14"/>
  <c r="L40" i="14"/>
  <c r="F40" i="14"/>
  <c r="N40" i="14"/>
  <c r="H40" i="14"/>
  <c r="P40" i="14"/>
  <c r="I40" i="14"/>
  <c r="Q40" i="14"/>
  <c r="R40" i="14"/>
  <c r="D41" i="14"/>
  <c r="L41" i="14"/>
  <c r="F41" i="14"/>
  <c r="N41" i="14"/>
  <c r="H41" i="14"/>
  <c r="P41" i="14"/>
  <c r="I41" i="14"/>
  <c r="Q41" i="14"/>
  <c r="R41" i="14"/>
  <c r="D42" i="14"/>
  <c r="L42" i="14"/>
  <c r="F42" i="14"/>
  <c r="N42" i="14"/>
  <c r="H42" i="14"/>
  <c r="P42" i="14"/>
  <c r="I42" i="14"/>
  <c r="Q42" i="14"/>
  <c r="R42" i="14"/>
  <c r="D43" i="14"/>
  <c r="L43" i="14"/>
  <c r="F43" i="14"/>
  <c r="N43" i="14"/>
  <c r="H43" i="14"/>
  <c r="P43" i="14"/>
  <c r="I43" i="14"/>
  <c r="Q43" i="14"/>
  <c r="R43" i="14"/>
  <c r="D44" i="14"/>
  <c r="L44" i="14"/>
  <c r="F44" i="14"/>
  <c r="N44" i="14"/>
  <c r="H44" i="14"/>
  <c r="P44" i="14"/>
  <c r="I44" i="14"/>
  <c r="Q44" i="14"/>
  <c r="R44" i="14"/>
  <c r="D45" i="14"/>
  <c r="L45" i="14"/>
  <c r="F45" i="14"/>
  <c r="N45" i="14"/>
  <c r="H45" i="14"/>
  <c r="P45" i="14"/>
  <c r="I45" i="14"/>
  <c r="Q45" i="14"/>
  <c r="R45" i="14"/>
  <c r="D46" i="14"/>
  <c r="L46" i="14"/>
  <c r="F46" i="14"/>
  <c r="N46" i="14"/>
  <c r="H46" i="14"/>
  <c r="P46" i="14"/>
  <c r="I46" i="14"/>
  <c r="Q46" i="14"/>
  <c r="R46" i="14"/>
  <c r="D47" i="14"/>
  <c r="L47" i="14"/>
  <c r="F47" i="14"/>
  <c r="N47" i="14"/>
  <c r="H47" i="14"/>
  <c r="P47" i="14"/>
  <c r="I47" i="14"/>
  <c r="Q47" i="14"/>
  <c r="R47" i="14"/>
  <c r="D48" i="14"/>
  <c r="L48" i="14"/>
  <c r="F48" i="14"/>
  <c r="N48" i="14"/>
  <c r="H48" i="14"/>
  <c r="P48" i="14"/>
  <c r="I48" i="14"/>
  <c r="Q48" i="14"/>
  <c r="R48" i="14"/>
  <c r="D49" i="14"/>
  <c r="L49" i="14"/>
  <c r="F49" i="14"/>
  <c r="N49" i="14"/>
  <c r="H49" i="14"/>
  <c r="P49" i="14"/>
  <c r="I49" i="14"/>
  <c r="Q49" i="14"/>
  <c r="R49" i="14"/>
  <c r="D50" i="14"/>
  <c r="L50" i="14"/>
  <c r="F50" i="14"/>
  <c r="N50" i="14"/>
  <c r="H50" i="14"/>
  <c r="P50" i="14"/>
  <c r="I50" i="14"/>
  <c r="Q50" i="14"/>
  <c r="R50" i="14"/>
  <c r="D51" i="14"/>
  <c r="L51" i="14"/>
  <c r="F51" i="14"/>
  <c r="N51" i="14"/>
  <c r="H51" i="14"/>
  <c r="P51" i="14"/>
  <c r="I51" i="14"/>
  <c r="Q51" i="14"/>
  <c r="R51" i="14"/>
  <c r="D52" i="14"/>
  <c r="L52" i="14"/>
  <c r="F52" i="14"/>
  <c r="N52" i="14"/>
  <c r="H52" i="14"/>
  <c r="P52" i="14"/>
  <c r="I52" i="14"/>
  <c r="Q52" i="14"/>
  <c r="R52" i="14"/>
  <c r="D53" i="14"/>
  <c r="L53" i="14"/>
  <c r="F53" i="14"/>
  <c r="N53" i="14"/>
  <c r="H53" i="14"/>
  <c r="P53" i="14"/>
  <c r="I53" i="14"/>
  <c r="Q53" i="14"/>
  <c r="R53" i="14"/>
  <c r="D54" i="14"/>
  <c r="L54" i="14"/>
  <c r="F54" i="14"/>
  <c r="N54" i="14"/>
  <c r="H54" i="14"/>
  <c r="P54" i="14"/>
  <c r="I54" i="14"/>
  <c r="Q54" i="14"/>
  <c r="R54" i="14"/>
  <c r="D55" i="14"/>
  <c r="L55" i="14"/>
  <c r="F55" i="14"/>
  <c r="N55" i="14"/>
  <c r="H55" i="14"/>
  <c r="P55" i="14"/>
  <c r="I55" i="14"/>
  <c r="Q55" i="14"/>
  <c r="R55" i="14"/>
  <c r="D56" i="14"/>
  <c r="L56" i="14"/>
  <c r="F56" i="14"/>
  <c r="N56" i="14"/>
  <c r="H56" i="14"/>
  <c r="P56" i="14"/>
  <c r="I56" i="14"/>
  <c r="Q56" i="14"/>
  <c r="R56" i="14"/>
  <c r="D57" i="14"/>
  <c r="L57" i="14"/>
  <c r="F57" i="14"/>
  <c r="N57" i="14"/>
  <c r="H57" i="14"/>
  <c r="P57" i="14"/>
  <c r="I57" i="14"/>
  <c r="Q57" i="14"/>
  <c r="R57" i="14"/>
  <c r="D58" i="14"/>
  <c r="L58" i="14"/>
  <c r="F58" i="14"/>
  <c r="N58" i="14"/>
  <c r="H58" i="14"/>
  <c r="P58" i="14"/>
  <c r="I58" i="14"/>
  <c r="Q58" i="14"/>
  <c r="R58" i="14"/>
  <c r="D59" i="14"/>
  <c r="L59" i="14"/>
  <c r="F59" i="14"/>
  <c r="N59" i="14"/>
  <c r="H59" i="14"/>
  <c r="P59" i="14"/>
  <c r="I59" i="14"/>
  <c r="Q59" i="14"/>
  <c r="R59" i="14"/>
  <c r="D60" i="14"/>
  <c r="L60" i="14"/>
  <c r="F60" i="14"/>
  <c r="N60" i="14"/>
  <c r="H60" i="14"/>
  <c r="P60" i="14"/>
  <c r="I60" i="14"/>
  <c r="Q60" i="14"/>
  <c r="R60" i="14"/>
  <c r="D61" i="14"/>
  <c r="L61" i="14"/>
  <c r="F61" i="14"/>
  <c r="N61" i="14"/>
  <c r="H61" i="14"/>
  <c r="P61" i="14"/>
  <c r="I61" i="14"/>
  <c r="Q61" i="14"/>
  <c r="R61" i="14"/>
  <c r="D62" i="14"/>
  <c r="L62" i="14"/>
  <c r="F62" i="14"/>
  <c r="N62" i="14"/>
  <c r="H62" i="14"/>
  <c r="P62" i="14"/>
  <c r="I62" i="14"/>
  <c r="Q62" i="14"/>
  <c r="R62" i="14"/>
  <c r="D63" i="14"/>
  <c r="L63" i="14"/>
  <c r="F63" i="14"/>
  <c r="N63" i="14"/>
  <c r="H63" i="14"/>
  <c r="P63" i="14"/>
  <c r="I63" i="14"/>
  <c r="Q63" i="14"/>
  <c r="R63" i="14"/>
  <c r="D64" i="14"/>
  <c r="L64" i="14"/>
  <c r="F64" i="14"/>
  <c r="N64" i="14"/>
  <c r="H64" i="14"/>
  <c r="P64" i="14"/>
  <c r="I64" i="14"/>
  <c r="Q64" i="14"/>
  <c r="R64" i="14"/>
  <c r="D65" i="14"/>
  <c r="L65" i="14"/>
  <c r="F65" i="14"/>
  <c r="N65" i="14"/>
  <c r="H65" i="14"/>
  <c r="P65" i="14"/>
  <c r="I65" i="14"/>
  <c r="Q65" i="14"/>
  <c r="R65" i="14"/>
  <c r="D66" i="14"/>
  <c r="L66" i="14"/>
  <c r="F66" i="14"/>
  <c r="N66" i="14"/>
  <c r="H66" i="14"/>
  <c r="P66" i="14"/>
  <c r="I66" i="14"/>
  <c r="Q66" i="14"/>
  <c r="R66" i="14"/>
  <c r="D67" i="14"/>
  <c r="L67" i="14"/>
  <c r="F67" i="14"/>
  <c r="N67" i="14"/>
  <c r="H67" i="14"/>
  <c r="P67" i="14"/>
  <c r="I67" i="14"/>
  <c r="Q67" i="14"/>
  <c r="R67" i="14"/>
  <c r="D68" i="14"/>
  <c r="L68" i="14"/>
  <c r="F68" i="14"/>
  <c r="N68" i="14"/>
  <c r="H68" i="14"/>
  <c r="P68" i="14"/>
  <c r="I68" i="14"/>
  <c r="Q68" i="14"/>
  <c r="R68" i="14"/>
  <c r="D69" i="14"/>
  <c r="L69" i="14"/>
  <c r="F69" i="14"/>
  <c r="N69" i="14"/>
  <c r="H69" i="14"/>
  <c r="P69" i="14"/>
  <c r="I69" i="14"/>
  <c r="Q69" i="14"/>
  <c r="R69" i="14"/>
  <c r="D70" i="14"/>
  <c r="L70" i="14"/>
  <c r="F70" i="14"/>
  <c r="N70" i="14"/>
  <c r="H70" i="14"/>
  <c r="P70" i="14"/>
  <c r="I70" i="14"/>
  <c r="Q70" i="14"/>
  <c r="R70" i="14"/>
  <c r="D71" i="14"/>
  <c r="L71" i="14"/>
  <c r="F71" i="14"/>
  <c r="N71" i="14"/>
  <c r="H71" i="14"/>
  <c r="P71" i="14"/>
  <c r="I71" i="14"/>
  <c r="Q71" i="14"/>
  <c r="R71" i="14"/>
  <c r="D72" i="14"/>
  <c r="L72" i="14"/>
  <c r="F72" i="14"/>
  <c r="N72" i="14"/>
  <c r="H72" i="14"/>
  <c r="P72" i="14"/>
  <c r="I72" i="14"/>
  <c r="Q72" i="14"/>
  <c r="R72" i="14"/>
  <c r="D73" i="14"/>
  <c r="L73" i="14"/>
  <c r="F73" i="14"/>
  <c r="N73" i="14"/>
  <c r="H73" i="14"/>
  <c r="P73" i="14"/>
  <c r="I73" i="14"/>
  <c r="Q73" i="14"/>
  <c r="R73" i="14"/>
  <c r="D74" i="14"/>
  <c r="L74" i="14"/>
  <c r="F74" i="14"/>
  <c r="N74" i="14"/>
  <c r="H74" i="14"/>
  <c r="P74" i="14"/>
  <c r="I74" i="14"/>
  <c r="Q74" i="14"/>
  <c r="R74" i="14"/>
  <c r="D75" i="14"/>
  <c r="L75" i="14"/>
  <c r="F75" i="14"/>
  <c r="N75" i="14"/>
  <c r="H75" i="14"/>
  <c r="P75" i="14"/>
  <c r="I75" i="14"/>
  <c r="Q75" i="14"/>
  <c r="R75" i="14"/>
  <c r="D76" i="14"/>
  <c r="L76" i="14"/>
  <c r="F76" i="14"/>
  <c r="N76" i="14"/>
  <c r="H76" i="14"/>
  <c r="P76" i="14"/>
  <c r="I76" i="14"/>
  <c r="Q76" i="14"/>
  <c r="R76" i="14"/>
  <c r="D77" i="14"/>
  <c r="L77" i="14"/>
  <c r="F77" i="14"/>
  <c r="N77" i="14"/>
  <c r="H77" i="14"/>
  <c r="P77" i="14"/>
  <c r="I77" i="14"/>
  <c r="Q77" i="14"/>
  <c r="R77" i="14"/>
  <c r="D78" i="14"/>
  <c r="L78" i="14"/>
  <c r="F78" i="14"/>
  <c r="N78" i="14"/>
  <c r="H78" i="14"/>
  <c r="P78" i="14"/>
  <c r="I78" i="14"/>
  <c r="Q78" i="14"/>
  <c r="R78" i="14"/>
  <c r="D79" i="14"/>
  <c r="L79" i="14"/>
  <c r="F79" i="14"/>
  <c r="N79" i="14"/>
  <c r="H79" i="14"/>
  <c r="P79" i="14"/>
  <c r="I79" i="14"/>
  <c r="Q79" i="14"/>
  <c r="R79" i="14"/>
  <c r="D80" i="14"/>
  <c r="L80" i="14"/>
  <c r="F80" i="14"/>
  <c r="N80" i="14"/>
  <c r="H80" i="14"/>
  <c r="P80" i="14"/>
  <c r="I80" i="14"/>
  <c r="Q80" i="14"/>
  <c r="R80" i="14"/>
  <c r="D81" i="14"/>
  <c r="L81" i="14"/>
  <c r="F81" i="14"/>
  <c r="N81" i="14"/>
  <c r="H81" i="14"/>
  <c r="P81" i="14"/>
  <c r="I81" i="14"/>
  <c r="Q81" i="14"/>
  <c r="R81" i="14"/>
  <c r="D82" i="14"/>
  <c r="L82" i="14"/>
  <c r="F82" i="14"/>
  <c r="N82" i="14"/>
  <c r="H82" i="14"/>
  <c r="P82" i="14"/>
  <c r="I82" i="14"/>
  <c r="Q82" i="14"/>
  <c r="R82" i="14"/>
  <c r="D83" i="14"/>
  <c r="L83" i="14"/>
  <c r="F83" i="14"/>
  <c r="N83" i="14"/>
  <c r="H83" i="14"/>
  <c r="P83" i="14"/>
  <c r="I83" i="14"/>
  <c r="Q83" i="14"/>
  <c r="R83" i="14"/>
  <c r="D84" i="14"/>
  <c r="L84" i="14"/>
  <c r="F84" i="14"/>
  <c r="N84" i="14"/>
  <c r="H84" i="14"/>
  <c r="P84" i="14"/>
  <c r="I84" i="14"/>
  <c r="Q84" i="14"/>
  <c r="R84" i="14"/>
  <c r="D85" i="14"/>
  <c r="L85" i="14"/>
  <c r="F85" i="14"/>
  <c r="N85" i="14"/>
  <c r="H85" i="14"/>
  <c r="P85" i="14"/>
  <c r="I85" i="14"/>
  <c r="Q85" i="14"/>
  <c r="R85" i="14"/>
  <c r="D86" i="14"/>
  <c r="L86" i="14"/>
  <c r="F86" i="14"/>
  <c r="N86" i="14"/>
  <c r="H86" i="14"/>
  <c r="P86" i="14"/>
  <c r="I86" i="14"/>
  <c r="Q86" i="14"/>
  <c r="R86" i="14"/>
  <c r="D87" i="14"/>
  <c r="L87" i="14"/>
  <c r="F87" i="14"/>
  <c r="N87" i="14"/>
  <c r="H87" i="14"/>
  <c r="P87" i="14"/>
  <c r="I87" i="14"/>
  <c r="Q87" i="14"/>
  <c r="R87" i="14"/>
  <c r="D88" i="14"/>
  <c r="L88" i="14"/>
  <c r="F88" i="14"/>
  <c r="N88" i="14"/>
  <c r="H88" i="14"/>
  <c r="P88" i="14"/>
  <c r="I88" i="14"/>
  <c r="Q88" i="14"/>
  <c r="R88" i="14"/>
  <c r="D89" i="14"/>
  <c r="L89" i="14"/>
  <c r="F89" i="14"/>
  <c r="N89" i="14"/>
  <c r="H89" i="14"/>
  <c r="P89" i="14"/>
  <c r="I89" i="14"/>
  <c r="Q89" i="14"/>
  <c r="R89" i="14"/>
  <c r="D90" i="14"/>
  <c r="L90" i="14"/>
  <c r="F90" i="14"/>
  <c r="N90" i="14"/>
  <c r="H90" i="14"/>
  <c r="P90" i="14"/>
  <c r="I90" i="14"/>
  <c r="Q90" i="14"/>
  <c r="R90" i="14"/>
  <c r="D91" i="14"/>
  <c r="L91" i="14"/>
  <c r="F91" i="14"/>
  <c r="N91" i="14"/>
  <c r="H91" i="14"/>
  <c r="P91" i="14"/>
  <c r="I91" i="14"/>
  <c r="Q91" i="14"/>
  <c r="R91" i="14"/>
  <c r="D92" i="14"/>
  <c r="L92" i="14"/>
  <c r="F92" i="14"/>
  <c r="N92" i="14"/>
  <c r="H92" i="14"/>
  <c r="P92" i="14"/>
  <c r="I92" i="14"/>
  <c r="Q92" i="14"/>
  <c r="R92" i="14"/>
  <c r="D93" i="14"/>
  <c r="L93" i="14"/>
  <c r="F93" i="14"/>
  <c r="N93" i="14"/>
  <c r="H93" i="14"/>
  <c r="P93" i="14"/>
  <c r="I93" i="14"/>
  <c r="Q93" i="14"/>
  <c r="R93" i="14"/>
  <c r="D94" i="14"/>
  <c r="L94" i="14"/>
  <c r="F94" i="14"/>
  <c r="N94" i="14"/>
  <c r="H94" i="14"/>
  <c r="P94" i="14"/>
  <c r="I94" i="14"/>
  <c r="Q94" i="14"/>
  <c r="R94" i="14"/>
  <c r="D95" i="14"/>
  <c r="L95" i="14"/>
  <c r="F95" i="14"/>
  <c r="N95" i="14"/>
  <c r="H95" i="14"/>
  <c r="P95" i="14"/>
  <c r="I95" i="14"/>
  <c r="Q95" i="14"/>
  <c r="R95" i="14"/>
  <c r="D96" i="14"/>
  <c r="L96" i="14"/>
  <c r="F96" i="14"/>
  <c r="N96" i="14"/>
  <c r="H96" i="14"/>
  <c r="P96" i="14"/>
  <c r="I96" i="14"/>
  <c r="Q96" i="14"/>
  <c r="R96" i="14"/>
  <c r="D97" i="14"/>
  <c r="L97" i="14"/>
  <c r="F97" i="14"/>
  <c r="N97" i="14"/>
  <c r="H97" i="14"/>
  <c r="P97" i="14"/>
  <c r="I97" i="14"/>
  <c r="Q97" i="14"/>
  <c r="R97" i="14"/>
  <c r="D98" i="14"/>
  <c r="L98" i="14"/>
  <c r="F98" i="14"/>
  <c r="N98" i="14"/>
  <c r="H98" i="14"/>
  <c r="P98" i="14"/>
  <c r="I98" i="14"/>
  <c r="Q98" i="14"/>
  <c r="R98" i="14"/>
  <c r="D99" i="14"/>
  <c r="L99" i="14"/>
  <c r="F99" i="14"/>
  <c r="N99" i="14"/>
  <c r="H99" i="14"/>
  <c r="P99" i="14"/>
  <c r="I99" i="14"/>
  <c r="Q99" i="14"/>
  <c r="R99" i="14"/>
  <c r="D100" i="14"/>
  <c r="L100" i="14"/>
  <c r="F100" i="14"/>
  <c r="N100" i="14"/>
  <c r="H100" i="14"/>
  <c r="P100" i="14"/>
  <c r="I100" i="14"/>
  <c r="Q100" i="14"/>
  <c r="R100" i="14"/>
  <c r="D101" i="14"/>
  <c r="L101" i="14"/>
  <c r="F101" i="14"/>
  <c r="N101" i="14"/>
  <c r="H101" i="14"/>
  <c r="P101" i="14"/>
  <c r="I101" i="14"/>
  <c r="Q101" i="14"/>
  <c r="R101" i="14"/>
  <c r="D102" i="14"/>
  <c r="L102" i="14"/>
  <c r="F102" i="14"/>
  <c r="N102" i="14"/>
  <c r="H102" i="14"/>
  <c r="P102" i="14"/>
  <c r="I102" i="14"/>
  <c r="Q102" i="14"/>
  <c r="R102" i="14"/>
  <c r="D103" i="14"/>
  <c r="L103" i="14"/>
  <c r="F103" i="14"/>
  <c r="N103" i="14"/>
  <c r="H103" i="14"/>
  <c r="P103" i="14"/>
  <c r="I103" i="14"/>
  <c r="Q103" i="14"/>
  <c r="R103" i="14"/>
  <c r="D104" i="14"/>
  <c r="L104" i="14"/>
  <c r="F104" i="14"/>
  <c r="N104" i="14"/>
  <c r="H104" i="14"/>
  <c r="P104" i="14"/>
  <c r="I104" i="14"/>
  <c r="Q104" i="14"/>
  <c r="R104" i="14"/>
  <c r="D105" i="14"/>
  <c r="L105" i="14"/>
  <c r="F105" i="14"/>
  <c r="N105" i="14"/>
  <c r="H105" i="14"/>
  <c r="P105" i="14"/>
  <c r="I105" i="14"/>
  <c r="Q105" i="14"/>
  <c r="R105" i="14"/>
  <c r="D106" i="14"/>
  <c r="L106" i="14"/>
  <c r="F106" i="14"/>
  <c r="N106" i="14"/>
  <c r="H106" i="14"/>
  <c r="P106" i="14"/>
  <c r="I106" i="14"/>
  <c r="Q106" i="14"/>
  <c r="R106" i="14"/>
  <c r="D107" i="14"/>
  <c r="L107" i="14"/>
  <c r="F107" i="14"/>
  <c r="N107" i="14"/>
  <c r="H107" i="14"/>
  <c r="P107" i="14"/>
  <c r="I107" i="14"/>
  <c r="Q107" i="14"/>
  <c r="R107" i="14"/>
  <c r="D108" i="14"/>
  <c r="L108" i="14"/>
  <c r="F108" i="14"/>
  <c r="N108" i="14"/>
  <c r="H108" i="14"/>
  <c r="P108" i="14"/>
  <c r="I108" i="14"/>
  <c r="Q108" i="14"/>
  <c r="R108" i="14"/>
  <c r="D109" i="14"/>
  <c r="L109" i="14"/>
  <c r="F109" i="14"/>
  <c r="N109" i="14"/>
  <c r="H109" i="14"/>
  <c r="P109" i="14"/>
  <c r="I109" i="14"/>
  <c r="Q109" i="14"/>
  <c r="R109" i="14"/>
  <c r="D110" i="14"/>
  <c r="L110" i="14"/>
  <c r="F110" i="14"/>
  <c r="N110" i="14"/>
  <c r="H110" i="14"/>
  <c r="P110" i="14"/>
  <c r="I110" i="14"/>
  <c r="Q110" i="14"/>
  <c r="R110" i="14"/>
  <c r="D111" i="14"/>
  <c r="L111" i="14"/>
  <c r="F111" i="14"/>
  <c r="N111" i="14"/>
  <c r="H111" i="14"/>
  <c r="P111" i="14"/>
  <c r="I111" i="14"/>
  <c r="Q111" i="14"/>
  <c r="R111" i="14"/>
  <c r="D112" i="14"/>
  <c r="L112" i="14"/>
  <c r="F112" i="14"/>
  <c r="N112" i="14"/>
  <c r="H112" i="14"/>
  <c r="P112" i="14"/>
  <c r="I112" i="14"/>
  <c r="Q112" i="14"/>
  <c r="R112" i="14"/>
  <c r="D113" i="14"/>
  <c r="L113" i="14"/>
  <c r="F113" i="14"/>
  <c r="N113" i="14"/>
  <c r="H113" i="14"/>
  <c r="P113" i="14"/>
  <c r="I113" i="14"/>
  <c r="Q113" i="14"/>
  <c r="R113" i="14"/>
  <c r="D114" i="14"/>
  <c r="L114" i="14"/>
  <c r="F114" i="14"/>
  <c r="N114" i="14"/>
  <c r="H114" i="14"/>
  <c r="P114" i="14"/>
  <c r="I114" i="14"/>
  <c r="Q114" i="14"/>
  <c r="R114" i="14"/>
  <c r="D115" i="14"/>
  <c r="L115" i="14"/>
  <c r="F115" i="14"/>
  <c r="N115" i="14"/>
  <c r="H115" i="14"/>
  <c r="P115" i="14"/>
  <c r="I115" i="14"/>
  <c r="Q115" i="14"/>
  <c r="R115" i="14"/>
  <c r="D116" i="14"/>
  <c r="L116" i="14"/>
  <c r="F116" i="14"/>
  <c r="N116" i="14"/>
  <c r="H116" i="14"/>
  <c r="P116" i="14"/>
  <c r="I116" i="14"/>
  <c r="Q116" i="14"/>
  <c r="R116" i="14"/>
  <c r="D117" i="14"/>
  <c r="L117" i="14"/>
  <c r="F117" i="14"/>
  <c r="N117" i="14"/>
  <c r="H117" i="14"/>
  <c r="P117" i="14"/>
  <c r="I117" i="14"/>
  <c r="Q117" i="14"/>
  <c r="R117" i="14"/>
  <c r="D118" i="14"/>
  <c r="L118" i="14"/>
  <c r="F118" i="14"/>
  <c r="N118" i="14"/>
  <c r="H118" i="14"/>
  <c r="P118" i="14"/>
  <c r="I118" i="14"/>
  <c r="Q118" i="14"/>
  <c r="R118" i="14"/>
  <c r="D119" i="14"/>
  <c r="L119" i="14"/>
  <c r="F119" i="14"/>
  <c r="N119" i="14"/>
  <c r="H119" i="14"/>
  <c r="P119" i="14"/>
  <c r="I119" i="14"/>
  <c r="Q119" i="14"/>
  <c r="R119" i="14"/>
  <c r="D120" i="14"/>
  <c r="L120" i="14"/>
  <c r="F120" i="14"/>
  <c r="N120" i="14"/>
  <c r="H120" i="14"/>
  <c r="P120" i="14"/>
  <c r="I120" i="14"/>
  <c r="Q120" i="14"/>
  <c r="R120" i="14"/>
  <c r="D121" i="14"/>
  <c r="L121" i="14"/>
  <c r="F121" i="14"/>
  <c r="N121" i="14"/>
  <c r="H121" i="14"/>
  <c r="P121" i="14"/>
  <c r="I121" i="14"/>
  <c r="Q121" i="14"/>
  <c r="R121" i="14"/>
  <c r="C134" i="5"/>
  <c r="B134" i="5"/>
  <c r="AJ14" i="17"/>
  <c r="C1" i="15"/>
  <c r="K2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A2" i="14"/>
  <c r="B2" i="14"/>
  <c r="A3" i="14"/>
  <c r="B3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A14" i="14"/>
  <c r="B14" i="14"/>
  <c r="A15" i="14"/>
  <c r="B15" i="14"/>
  <c r="A16" i="14"/>
  <c r="B16" i="14"/>
  <c r="A17" i="14"/>
  <c r="B17" i="14"/>
  <c r="A18" i="14"/>
  <c r="B18" i="14"/>
  <c r="A19" i="14"/>
  <c r="B19" i="14"/>
  <c r="A20" i="14"/>
  <c r="B20" i="14"/>
  <c r="A21" i="14"/>
  <c r="B21" i="14"/>
  <c r="A22" i="14"/>
  <c r="B22" i="14"/>
  <c r="A23" i="14"/>
  <c r="B23" i="14"/>
  <c r="A24" i="14"/>
  <c r="B24" i="14"/>
  <c r="A25" i="14"/>
  <c r="B25" i="14"/>
  <c r="A26" i="14"/>
  <c r="B26" i="14"/>
  <c r="A27" i="14"/>
  <c r="B27" i="14"/>
  <c r="A28" i="14"/>
  <c r="B28" i="14"/>
  <c r="A29" i="14"/>
  <c r="B29" i="14"/>
  <c r="A30" i="14"/>
  <c r="B30" i="14"/>
  <c r="A31" i="14"/>
  <c r="B31" i="14"/>
  <c r="A32" i="14"/>
  <c r="B32" i="14"/>
  <c r="A33" i="14"/>
  <c r="B33" i="14"/>
  <c r="A34" i="14"/>
  <c r="B34" i="14"/>
  <c r="A35" i="14"/>
  <c r="B35" i="14"/>
  <c r="A36" i="14"/>
  <c r="B36" i="14"/>
  <c r="A37" i="14"/>
  <c r="B37" i="14"/>
  <c r="A38" i="14"/>
  <c r="B38" i="14"/>
  <c r="A39" i="14"/>
  <c r="B39" i="14"/>
  <c r="A40" i="14"/>
  <c r="B40" i="14"/>
  <c r="A41" i="14"/>
  <c r="B41" i="14"/>
  <c r="A42" i="14"/>
  <c r="B42" i="14"/>
  <c r="A43" i="14"/>
  <c r="B43" i="14"/>
  <c r="A44" i="14"/>
  <c r="B44" i="14"/>
  <c r="A45" i="14"/>
  <c r="B45" i="14"/>
  <c r="A46" i="14"/>
  <c r="B46" i="14"/>
  <c r="A47" i="14"/>
  <c r="B47" i="14"/>
  <c r="A48" i="14"/>
  <c r="B48" i="14"/>
  <c r="A49" i="14"/>
  <c r="B49" i="14"/>
  <c r="A50" i="14"/>
  <c r="B50" i="14"/>
  <c r="A51" i="14"/>
  <c r="B51" i="14"/>
  <c r="A52" i="14"/>
  <c r="B52" i="14"/>
  <c r="A53" i="14"/>
  <c r="B53" i="14"/>
  <c r="A54" i="14"/>
  <c r="B54" i="14"/>
  <c r="A55" i="14"/>
  <c r="B55" i="14"/>
  <c r="A56" i="14"/>
  <c r="B56" i="14"/>
  <c r="A57" i="14"/>
  <c r="B57" i="14"/>
  <c r="A58" i="14"/>
  <c r="B58" i="14"/>
  <c r="A59" i="14"/>
  <c r="B59" i="14"/>
  <c r="A60" i="14"/>
  <c r="B60" i="14"/>
  <c r="A61" i="14"/>
  <c r="B61" i="14"/>
  <c r="A62" i="14"/>
  <c r="B62" i="14"/>
  <c r="A63" i="14"/>
  <c r="B63" i="14"/>
  <c r="A64" i="14"/>
  <c r="B64" i="14"/>
  <c r="A65" i="14"/>
  <c r="B65" i="14"/>
  <c r="A66" i="14"/>
  <c r="B66" i="14"/>
  <c r="A67" i="14"/>
  <c r="B67" i="14"/>
  <c r="A68" i="14"/>
  <c r="B68" i="14"/>
  <c r="A69" i="14"/>
  <c r="B69" i="14"/>
  <c r="A70" i="14"/>
  <c r="B70" i="14"/>
  <c r="A71" i="14"/>
  <c r="B71" i="14"/>
  <c r="A72" i="14"/>
  <c r="B72" i="14"/>
  <c r="A73" i="14"/>
  <c r="B73" i="14"/>
  <c r="A74" i="14"/>
  <c r="B74" i="14"/>
  <c r="A75" i="14"/>
  <c r="B75" i="14"/>
  <c r="A76" i="14"/>
  <c r="B76" i="14"/>
  <c r="A77" i="14"/>
  <c r="B77" i="14"/>
  <c r="A78" i="14"/>
  <c r="B78" i="14"/>
  <c r="A79" i="14"/>
  <c r="B79" i="14"/>
  <c r="A80" i="14"/>
  <c r="B80" i="14"/>
  <c r="A81" i="14"/>
  <c r="B81" i="14"/>
  <c r="A82" i="14"/>
  <c r="B82" i="14"/>
  <c r="A83" i="14"/>
  <c r="B83" i="14"/>
  <c r="A84" i="14"/>
  <c r="B84" i="14"/>
  <c r="A85" i="14"/>
  <c r="B85" i="14"/>
  <c r="A86" i="14"/>
  <c r="B86" i="14"/>
  <c r="A87" i="14"/>
  <c r="B87" i="14"/>
  <c r="A88" i="14"/>
  <c r="B88" i="14"/>
  <c r="A89" i="14"/>
  <c r="B89" i="14"/>
  <c r="A90" i="14"/>
  <c r="B90" i="14"/>
  <c r="A91" i="14"/>
  <c r="B91" i="14"/>
  <c r="A92" i="14"/>
  <c r="B92" i="14"/>
  <c r="A93" i="14"/>
  <c r="B93" i="14"/>
  <c r="A94" i="14"/>
  <c r="B94" i="14"/>
  <c r="A95" i="14"/>
  <c r="B95" i="14"/>
  <c r="A96" i="14"/>
  <c r="B96" i="14"/>
  <c r="A97" i="14"/>
  <c r="B97" i="14"/>
  <c r="A98" i="14"/>
  <c r="B98" i="14"/>
  <c r="A99" i="14"/>
  <c r="B99" i="14"/>
  <c r="A100" i="14"/>
  <c r="B100" i="14"/>
  <c r="A101" i="14"/>
  <c r="B101" i="14"/>
  <c r="A102" i="14"/>
  <c r="B102" i="14"/>
  <c r="A103" i="14"/>
  <c r="B103" i="14"/>
  <c r="A104" i="14"/>
  <c r="B104" i="14"/>
  <c r="A105" i="14"/>
  <c r="B105" i="14"/>
  <c r="A106" i="14"/>
  <c r="B106" i="14"/>
  <c r="A107" i="14"/>
  <c r="B107" i="14"/>
  <c r="A108" i="14"/>
  <c r="B108" i="14"/>
  <c r="A109" i="14"/>
  <c r="B109" i="14"/>
  <c r="A110" i="14"/>
  <c r="B110" i="14"/>
  <c r="A111" i="14"/>
  <c r="B111" i="14"/>
  <c r="A112" i="14"/>
  <c r="B112" i="14"/>
  <c r="A113" i="14"/>
  <c r="B113" i="14"/>
  <c r="A114" i="14"/>
  <c r="B114" i="14"/>
  <c r="A115" i="14"/>
  <c r="B115" i="14"/>
  <c r="A116" i="14"/>
  <c r="B116" i="14"/>
  <c r="A117" i="14"/>
  <c r="B117" i="14"/>
  <c r="A118" i="14"/>
  <c r="B118" i="14"/>
  <c r="A119" i="14"/>
  <c r="B119" i="14"/>
  <c r="A120" i="14"/>
  <c r="B120" i="14"/>
  <c r="A121" i="14"/>
  <c r="B121" i="14"/>
  <c r="C1" i="14"/>
  <c r="E2" i="14"/>
  <c r="K2" i="14"/>
  <c r="E3" i="14"/>
  <c r="K3" i="14"/>
  <c r="E4" i="14"/>
  <c r="K4" i="14"/>
  <c r="E5" i="14"/>
  <c r="K5" i="14"/>
  <c r="E6" i="14"/>
  <c r="K6" i="14"/>
  <c r="E7" i="14"/>
  <c r="K7" i="14"/>
  <c r="E8" i="14"/>
  <c r="K8" i="14"/>
  <c r="E9" i="14"/>
  <c r="K9" i="14"/>
  <c r="E10" i="14"/>
  <c r="K10" i="14"/>
  <c r="E11" i="14"/>
  <c r="K11" i="14"/>
  <c r="E12" i="14"/>
  <c r="K12" i="14"/>
  <c r="E13" i="14"/>
  <c r="K13" i="14"/>
  <c r="E14" i="14"/>
  <c r="K14" i="14"/>
  <c r="E15" i="14"/>
  <c r="K15" i="14"/>
  <c r="E16" i="14"/>
  <c r="K16" i="14"/>
  <c r="E17" i="14"/>
  <c r="K17" i="14"/>
  <c r="E18" i="14"/>
  <c r="K18" i="14"/>
  <c r="E19" i="14"/>
  <c r="K19" i="14"/>
  <c r="E20" i="14"/>
  <c r="K20" i="14"/>
  <c r="E21" i="14"/>
  <c r="K21" i="14"/>
  <c r="E22" i="14"/>
  <c r="K22" i="14"/>
  <c r="E23" i="14"/>
  <c r="K23" i="14"/>
  <c r="E24" i="14"/>
  <c r="K24" i="14"/>
  <c r="E25" i="14"/>
  <c r="K25" i="14"/>
  <c r="E26" i="14"/>
  <c r="K26" i="14"/>
  <c r="E27" i="14"/>
  <c r="K27" i="14"/>
  <c r="E28" i="14"/>
  <c r="K28" i="14"/>
  <c r="E29" i="14"/>
  <c r="K29" i="14"/>
  <c r="E30" i="14"/>
  <c r="K30" i="14"/>
  <c r="E31" i="14"/>
  <c r="K31" i="14"/>
  <c r="E32" i="14"/>
  <c r="K32" i="14"/>
  <c r="E33" i="14"/>
  <c r="K33" i="14"/>
  <c r="E34" i="14"/>
  <c r="K34" i="14"/>
  <c r="E35" i="14"/>
  <c r="K35" i="14"/>
  <c r="E36" i="14"/>
  <c r="K36" i="14"/>
  <c r="E37" i="14"/>
  <c r="K37" i="14"/>
  <c r="E38" i="14"/>
  <c r="K38" i="14"/>
  <c r="E39" i="14"/>
  <c r="K39" i="14"/>
  <c r="E40" i="14"/>
  <c r="K40" i="14"/>
  <c r="E41" i="14"/>
  <c r="K41" i="14"/>
  <c r="E42" i="14"/>
  <c r="K42" i="14"/>
  <c r="E43" i="14"/>
  <c r="K43" i="14"/>
  <c r="E44" i="14"/>
  <c r="K44" i="14"/>
  <c r="E45" i="14"/>
  <c r="K45" i="14"/>
  <c r="E46" i="14"/>
  <c r="K46" i="14"/>
  <c r="E47" i="14"/>
  <c r="K47" i="14"/>
  <c r="E48" i="14"/>
  <c r="K48" i="14"/>
  <c r="E49" i="14"/>
  <c r="K49" i="14"/>
  <c r="E50" i="14"/>
  <c r="K50" i="14"/>
  <c r="E51" i="14"/>
  <c r="K51" i="14"/>
  <c r="E52" i="14"/>
  <c r="K52" i="14"/>
  <c r="E53" i="14"/>
  <c r="K53" i="14"/>
  <c r="E54" i="14"/>
  <c r="K54" i="14"/>
  <c r="E55" i="14"/>
  <c r="K55" i="14"/>
  <c r="E56" i="14"/>
  <c r="K56" i="14"/>
  <c r="E57" i="14"/>
  <c r="K57" i="14"/>
  <c r="E58" i="14"/>
  <c r="K58" i="14"/>
  <c r="E59" i="14"/>
  <c r="K59" i="14"/>
  <c r="E60" i="14"/>
  <c r="K60" i="14"/>
  <c r="E61" i="14"/>
  <c r="K61" i="14"/>
  <c r="E62" i="14"/>
  <c r="K62" i="14"/>
  <c r="E63" i="14"/>
  <c r="K63" i="14"/>
  <c r="E64" i="14"/>
  <c r="K64" i="14"/>
  <c r="E65" i="14"/>
  <c r="K65" i="14"/>
  <c r="E66" i="14"/>
  <c r="K66" i="14"/>
  <c r="E67" i="14"/>
  <c r="K67" i="14"/>
  <c r="E68" i="14"/>
  <c r="K68" i="14"/>
  <c r="E69" i="14"/>
  <c r="K69" i="14"/>
  <c r="E70" i="14"/>
  <c r="K70" i="14"/>
  <c r="E71" i="14"/>
  <c r="K71" i="14"/>
  <c r="E72" i="14"/>
  <c r="K72" i="14"/>
  <c r="E73" i="14"/>
  <c r="K73" i="14"/>
  <c r="E74" i="14"/>
  <c r="K74" i="14"/>
  <c r="E75" i="14"/>
  <c r="K75" i="14"/>
  <c r="E76" i="14"/>
  <c r="K76" i="14"/>
  <c r="E77" i="14"/>
  <c r="K77" i="14"/>
  <c r="E78" i="14"/>
  <c r="K78" i="14"/>
  <c r="E79" i="14"/>
  <c r="K79" i="14"/>
  <c r="E80" i="14"/>
  <c r="K80" i="14"/>
  <c r="E81" i="14"/>
  <c r="K81" i="14"/>
  <c r="E82" i="14"/>
  <c r="K82" i="14"/>
  <c r="E83" i="14"/>
  <c r="K83" i="14"/>
  <c r="E84" i="14"/>
  <c r="K84" i="14"/>
  <c r="E85" i="14"/>
  <c r="K85" i="14"/>
  <c r="E86" i="14"/>
  <c r="K86" i="14"/>
  <c r="E87" i="14"/>
  <c r="K87" i="14"/>
  <c r="E88" i="14"/>
  <c r="K88" i="14"/>
  <c r="E89" i="14"/>
  <c r="K89" i="14"/>
  <c r="E90" i="14"/>
  <c r="K90" i="14"/>
  <c r="E91" i="14"/>
  <c r="K91" i="14"/>
  <c r="E92" i="14"/>
  <c r="K92" i="14"/>
  <c r="E93" i="14"/>
  <c r="K93" i="14"/>
  <c r="E94" i="14"/>
  <c r="K94" i="14"/>
  <c r="E95" i="14"/>
  <c r="K95" i="14"/>
  <c r="E96" i="14"/>
  <c r="K96" i="14"/>
  <c r="E97" i="14"/>
  <c r="K97" i="14"/>
  <c r="E98" i="14"/>
  <c r="K98" i="14"/>
  <c r="E99" i="14"/>
  <c r="K99" i="14"/>
  <c r="E100" i="14"/>
  <c r="K100" i="14"/>
  <c r="E101" i="14"/>
  <c r="K101" i="14"/>
  <c r="E102" i="14"/>
  <c r="K102" i="14"/>
  <c r="E103" i="14"/>
  <c r="K103" i="14"/>
  <c r="S4" i="16"/>
  <c r="S5" i="16"/>
  <c r="S6" i="16"/>
  <c r="S7" i="16"/>
  <c r="S8" i="16"/>
  <c r="S9" i="16"/>
  <c r="S10" i="16"/>
  <c r="S11" i="16"/>
  <c r="E104" i="14"/>
  <c r="K104" i="14"/>
  <c r="E105" i="14"/>
  <c r="K105" i="14"/>
  <c r="E106" i="14"/>
  <c r="K106" i="14"/>
  <c r="E107" i="14"/>
  <c r="K107" i="14"/>
  <c r="E108" i="14"/>
  <c r="K108" i="14"/>
  <c r="E109" i="14"/>
  <c r="K109" i="14"/>
  <c r="E110" i="14"/>
  <c r="K110" i="14"/>
  <c r="E111" i="14"/>
  <c r="K111" i="14"/>
  <c r="E112" i="14"/>
  <c r="K112" i="14"/>
  <c r="E113" i="14"/>
  <c r="K113" i="14"/>
  <c r="E114" i="14"/>
  <c r="K114" i="14"/>
  <c r="E115" i="14"/>
  <c r="K115" i="14"/>
  <c r="E116" i="14"/>
  <c r="K116" i="14"/>
  <c r="E117" i="14"/>
  <c r="K117" i="14"/>
  <c r="E118" i="14"/>
  <c r="K118" i="14"/>
  <c r="E119" i="14"/>
  <c r="K119" i="14"/>
  <c r="E120" i="14"/>
  <c r="K120" i="14"/>
  <c r="E121" i="14"/>
  <c r="K121" i="14"/>
  <c r="S12" i="16"/>
  <c r="S13" i="16"/>
  <c r="D1" i="13"/>
  <c r="Q2" i="13"/>
  <c r="AC2" i="13" s="1"/>
  <c r="Q3" i="13"/>
  <c r="AC3" i="13" s="1"/>
  <c r="Q4" i="13"/>
  <c r="AC4" i="13" s="1"/>
  <c r="Q5" i="13"/>
  <c r="AC5" i="13" s="1"/>
  <c r="Q6" i="13"/>
  <c r="AC6" i="13" s="1"/>
  <c r="Q7" i="13"/>
  <c r="AC7" i="13" s="1"/>
  <c r="Q8" i="13"/>
  <c r="AC8" i="13" s="1"/>
  <c r="Q9" i="13"/>
  <c r="AC9" i="13" s="1"/>
  <c r="Q10" i="13"/>
  <c r="AC10" i="13" s="1"/>
  <c r="Q11" i="13"/>
  <c r="AC11" i="13" s="1"/>
  <c r="Q12" i="13"/>
  <c r="AC12" i="13" s="1"/>
  <c r="Q13" i="13"/>
  <c r="AC13" i="13" s="1"/>
  <c r="Q14" i="13"/>
  <c r="AC14" i="13" s="1"/>
  <c r="Q15" i="13"/>
  <c r="AC15" i="13" s="1"/>
  <c r="Q16" i="13"/>
  <c r="AC16" i="13" s="1"/>
  <c r="Q17" i="13"/>
  <c r="AC17" i="13" s="1"/>
  <c r="Q18" i="13"/>
  <c r="AC18" i="13" s="1"/>
  <c r="Q19" i="13"/>
  <c r="AC19" i="13" s="1"/>
  <c r="Q20" i="13"/>
  <c r="AC20" i="13" s="1"/>
  <c r="Q21" i="13"/>
  <c r="AC21" i="13" s="1"/>
  <c r="Q22" i="13"/>
  <c r="AC22" i="13" s="1"/>
  <c r="Q23" i="13"/>
  <c r="AC23" i="13" s="1"/>
  <c r="Q24" i="13"/>
  <c r="AC24" i="13" s="1"/>
  <c r="Q25" i="13"/>
  <c r="AC25" i="13" s="1"/>
  <c r="Q26" i="13"/>
  <c r="AC26" i="13" s="1"/>
  <c r="Q27" i="13"/>
  <c r="AC27" i="13" s="1"/>
  <c r="Q28" i="13"/>
  <c r="AC28" i="13" s="1"/>
  <c r="Q29" i="13"/>
  <c r="AC29" i="13" s="1"/>
  <c r="Q30" i="13"/>
  <c r="AC30" i="13" s="1"/>
  <c r="Q31" i="13"/>
  <c r="AC31" i="13" s="1"/>
  <c r="Q32" i="13"/>
  <c r="AC32" i="13" s="1"/>
  <c r="Q33" i="13"/>
  <c r="AC33" i="13" s="1"/>
  <c r="Q34" i="13"/>
  <c r="AC34" i="13" s="1"/>
  <c r="Q35" i="13"/>
  <c r="AC35" i="13" s="1"/>
  <c r="Q36" i="13"/>
  <c r="AC36" i="13" s="1"/>
  <c r="Q37" i="13"/>
  <c r="AC37" i="13" s="1"/>
  <c r="Q38" i="13"/>
  <c r="AC38" i="13" s="1"/>
  <c r="Q39" i="13"/>
  <c r="AC39" i="13" s="1"/>
  <c r="Q40" i="13"/>
  <c r="AC40" i="13" s="1"/>
  <c r="Q41" i="13"/>
  <c r="AC41" i="13" s="1"/>
  <c r="Q42" i="13"/>
  <c r="AC42" i="13" s="1"/>
  <c r="Q43" i="13"/>
  <c r="AC43" i="13" s="1"/>
  <c r="Q44" i="13"/>
  <c r="AC44" i="13" s="1"/>
  <c r="Q45" i="13"/>
  <c r="AC45" i="13" s="1"/>
  <c r="Q46" i="13"/>
  <c r="AC46" i="13" s="1"/>
  <c r="Q47" i="13"/>
  <c r="AC47" i="13" s="1"/>
  <c r="Q48" i="13"/>
  <c r="AC48" i="13" s="1"/>
  <c r="Q49" i="13"/>
  <c r="AC49" i="13" s="1"/>
  <c r="Q50" i="13"/>
  <c r="AC50" i="13" s="1"/>
  <c r="Q51" i="13"/>
  <c r="AC51" i="13" s="1"/>
  <c r="Q52" i="13"/>
  <c r="AC52" i="13" s="1"/>
  <c r="Q53" i="13"/>
  <c r="AC53" i="13" s="1"/>
  <c r="Q54" i="13"/>
  <c r="AC54" i="13" s="1"/>
  <c r="Q55" i="13"/>
  <c r="AC55" i="13" s="1"/>
  <c r="Q56" i="13"/>
  <c r="AC56" i="13" s="1"/>
  <c r="Q57" i="13"/>
  <c r="AC57" i="13" s="1"/>
  <c r="Q58" i="13"/>
  <c r="AC58" i="13" s="1"/>
  <c r="Q59" i="13"/>
  <c r="AC59" i="13" s="1"/>
  <c r="Q60" i="13"/>
  <c r="AC60" i="13" s="1"/>
  <c r="Q61" i="13"/>
  <c r="AC61" i="13" s="1"/>
  <c r="Q62" i="13"/>
  <c r="AC62" i="13" s="1"/>
  <c r="Q63" i="13"/>
  <c r="AC63" i="13" s="1"/>
  <c r="Q64" i="13"/>
  <c r="AC64" i="13" s="1"/>
  <c r="Q65" i="13"/>
  <c r="AC65" i="13" s="1"/>
  <c r="Q66" i="13"/>
  <c r="AC66" i="13" s="1"/>
  <c r="Q67" i="13"/>
  <c r="AC67" i="13" s="1"/>
  <c r="Q68" i="13"/>
  <c r="AC68" i="13" s="1"/>
  <c r="Q69" i="13"/>
  <c r="AC69" i="13" s="1"/>
  <c r="Q70" i="13"/>
  <c r="AC70" i="13" s="1"/>
  <c r="Q71" i="13"/>
  <c r="AC71" i="13" s="1"/>
  <c r="Q72" i="13"/>
  <c r="AC72" i="13" s="1"/>
  <c r="Q73" i="13"/>
  <c r="Q74" i="13"/>
  <c r="AC74" i="13" s="1"/>
  <c r="Q75" i="13"/>
  <c r="Q76" i="13"/>
  <c r="AC76" i="13" s="1"/>
  <c r="Q77" i="13"/>
  <c r="AC77" i="13" s="1"/>
  <c r="Q78" i="13"/>
  <c r="AC78" i="13" s="1"/>
  <c r="Q79" i="13"/>
  <c r="Q80" i="13"/>
  <c r="AC80" i="13" s="1"/>
  <c r="Q81" i="13"/>
  <c r="Q82" i="13"/>
  <c r="Q83" i="13"/>
  <c r="AC83" i="13" s="1"/>
  <c r="Q84" i="13"/>
  <c r="Q85" i="13"/>
  <c r="Q86" i="13"/>
  <c r="Q87" i="13"/>
  <c r="AC87" i="13" s="1"/>
  <c r="Q88" i="13"/>
  <c r="Q89" i="13"/>
  <c r="Q90" i="13"/>
  <c r="Q91" i="13"/>
  <c r="AC91" i="13" s="1"/>
  <c r="Q92" i="13"/>
  <c r="Q93" i="13"/>
  <c r="Q94" i="13"/>
  <c r="Q95" i="13"/>
  <c r="AC95" i="13" s="1"/>
  <c r="Q96" i="13"/>
  <c r="Q97" i="13"/>
  <c r="Q98" i="13"/>
  <c r="Q99" i="13"/>
  <c r="AC99" i="13" s="1"/>
  <c r="Q100" i="13"/>
  <c r="Q101" i="13"/>
  <c r="Q102" i="13"/>
  <c r="Q103" i="13"/>
  <c r="AC103" i="13" s="1"/>
  <c r="Q104" i="13"/>
  <c r="Q105" i="13"/>
  <c r="Q106" i="13"/>
  <c r="Q107" i="13"/>
  <c r="AC107" i="13" s="1"/>
  <c r="Q108" i="13"/>
  <c r="Q109" i="13"/>
  <c r="Q110" i="13"/>
  <c r="Q111" i="13"/>
  <c r="AC111" i="13" s="1"/>
  <c r="Q112" i="13"/>
  <c r="Q113" i="13"/>
  <c r="Q114" i="13"/>
  <c r="Q115" i="13"/>
  <c r="AC115" i="13" s="1"/>
  <c r="Q116" i="13"/>
  <c r="Q117" i="13"/>
  <c r="Q118" i="13"/>
  <c r="Q119" i="13"/>
  <c r="AC119" i="13" s="1"/>
  <c r="Q120" i="13"/>
  <c r="Q121" i="13"/>
  <c r="N2" i="12"/>
  <c r="W2" i="12" s="1"/>
  <c r="I4" i="16" s="1"/>
  <c r="N3" i="12"/>
  <c r="W3" i="12" s="1"/>
  <c r="N4" i="12"/>
  <c r="W4" i="12" s="1"/>
  <c r="N5" i="12"/>
  <c r="W5" i="12" s="1"/>
  <c r="N6" i="12"/>
  <c r="W6" i="12" s="1"/>
  <c r="N7" i="12"/>
  <c r="W7" i="12" s="1"/>
  <c r="N8" i="12"/>
  <c r="W8" i="12" s="1"/>
  <c r="N9" i="12"/>
  <c r="W9" i="12" s="1"/>
  <c r="N10" i="12"/>
  <c r="W10" i="12" s="1"/>
  <c r="N11" i="12"/>
  <c r="W11" i="12" s="1"/>
  <c r="N12" i="12"/>
  <c r="W12" i="12" s="1"/>
  <c r="N13" i="12"/>
  <c r="W13" i="12" s="1"/>
  <c r="N14" i="12"/>
  <c r="W14" i="12" s="1"/>
  <c r="I5" i="16" s="1"/>
  <c r="N15" i="12"/>
  <c r="W15" i="12" s="1"/>
  <c r="N16" i="12"/>
  <c r="W16" i="12" s="1"/>
  <c r="N17" i="12"/>
  <c r="W17" i="12" s="1"/>
  <c r="N18" i="12"/>
  <c r="W18" i="12" s="1"/>
  <c r="N19" i="12"/>
  <c r="W19" i="12" s="1"/>
  <c r="N20" i="12"/>
  <c r="W20" i="12" s="1"/>
  <c r="N21" i="12"/>
  <c r="W21" i="12" s="1"/>
  <c r="N22" i="12"/>
  <c r="W22" i="12" s="1"/>
  <c r="N23" i="12"/>
  <c r="W23" i="12" s="1"/>
  <c r="N24" i="12"/>
  <c r="W24" i="12" s="1"/>
  <c r="N25" i="12"/>
  <c r="W25" i="12" s="1"/>
  <c r="N26" i="12"/>
  <c r="W26" i="12" s="1"/>
  <c r="I6" i="16" s="1"/>
  <c r="N27" i="12"/>
  <c r="W27" i="12" s="1"/>
  <c r="N28" i="12"/>
  <c r="W28" i="12" s="1"/>
  <c r="N29" i="12"/>
  <c r="W29" i="12" s="1"/>
  <c r="N30" i="12"/>
  <c r="W30" i="12" s="1"/>
  <c r="N31" i="12"/>
  <c r="W31" i="12" s="1"/>
  <c r="N32" i="12"/>
  <c r="W32" i="12" s="1"/>
  <c r="N33" i="12"/>
  <c r="W33" i="12" s="1"/>
  <c r="N34" i="12"/>
  <c r="W34" i="12" s="1"/>
  <c r="N35" i="12"/>
  <c r="W35" i="12" s="1"/>
  <c r="N36" i="12"/>
  <c r="W36" i="12" s="1"/>
  <c r="N37" i="12"/>
  <c r="W37" i="12" s="1"/>
  <c r="N38" i="12"/>
  <c r="W38" i="12" s="1"/>
  <c r="I7" i="16" s="1"/>
  <c r="N39" i="12"/>
  <c r="W39" i="12" s="1"/>
  <c r="N40" i="12"/>
  <c r="W40" i="12" s="1"/>
  <c r="N41" i="12"/>
  <c r="W41" i="12" s="1"/>
  <c r="N42" i="12"/>
  <c r="W42" i="12" s="1"/>
  <c r="N43" i="12"/>
  <c r="W43" i="12" s="1"/>
  <c r="N44" i="12"/>
  <c r="W44" i="12" s="1"/>
  <c r="N45" i="12"/>
  <c r="W45" i="12" s="1"/>
  <c r="N46" i="12"/>
  <c r="W46" i="12" s="1"/>
  <c r="N47" i="12"/>
  <c r="W47" i="12" s="1"/>
  <c r="N48" i="12"/>
  <c r="W48" i="12" s="1"/>
  <c r="N49" i="12"/>
  <c r="W49" i="12" s="1"/>
  <c r="N50" i="12"/>
  <c r="W50" i="12" s="1"/>
  <c r="I8" i="16" s="1"/>
  <c r="N51" i="12"/>
  <c r="W51" i="12" s="1"/>
  <c r="N52" i="12"/>
  <c r="W52" i="12" s="1"/>
  <c r="N53" i="12"/>
  <c r="W53" i="12" s="1"/>
  <c r="N54" i="12"/>
  <c r="W54" i="12" s="1"/>
  <c r="N55" i="12"/>
  <c r="W55" i="12" s="1"/>
  <c r="N56" i="12"/>
  <c r="W56" i="12" s="1"/>
  <c r="N57" i="12"/>
  <c r="W57" i="12" s="1"/>
  <c r="N58" i="12"/>
  <c r="W58" i="12" s="1"/>
  <c r="N59" i="12"/>
  <c r="W59" i="12" s="1"/>
  <c r="N60" i="12"/>
  <c r="W60" i="12" s="1"/>
  <c r="N61" i="12"/>
  <c r="W61" i="12" s="1"/>
  <c r="N62" i="12"/>
  <c r="W62" i="12" s="1"/>
  <c r="I9" i="16" s="1"/>
  <c r="N63" i="12"/>
  <c r="W63" i="12" s="1"/>
  <c r="N64" i="12"/>
  <c r="W64" i="12" s="1"/>
  <c r="N65" i="12"/>
  <c r="W65" i="12" s="1"/>
  <c r="N66" i="12"/>
  <c r="W66" i="12" s="1"/>
  <c r="N67" i="12"/>
  <c r="W67" i="12" s="1"/>
  <c r="N68" i="12"/>
  <c r="W68" i="12" s="1"/>
  <c r="N69" i="12"/>
  <c r="W69" i="12" s="1"/>
  <c r="N70" i="12"/>
  <c r="W70" i="12" s="1"/>
  <c r="N71" i="12"/>
  <c r="W71" i="12" s="1"/>
  <c r="N72" i="12"/>
  <c r="W72" i="12" s="1"/>
  <c r="N73" i="12"/>
  <c r="W73" i="12" s="1"/>
  <c r="N74" i="12"/>
  <c r="W74" i="12" s="1"/>
  <c r="I10" i="16" s="1"/>
  <c r="N75" i="12"/>
  <c r="W75" i="12" s="1"/>
  <c r="N76" i="12"/>
  <c r="W76" i="12" s="1"/>
  <c r="N77" i="12"/>
  <c r="W77" i="12" s="1"/>
  <c r="N78" i="12"/>
  <c r="W78" i="12" s="1"/>
  <c r="N79" i="12"/>
  <c r="W79" i="12" s="1"/>
  <c r="N80" i="12"/>
  <c r="W80" i="12" s="1"/>
  <c r="N81" i="12"/>
  <c r="W81" i="12" s="1"/>
  <c r="N82" i="12"/>
  <c r="W82" i="12" s="1"/>
  <c r="N83" i="12"/>
  <c r="W83" i="12" s="1"/>
  <c r="N84" i="12"/>
  <c r="W84" i="12" s="1"/>
  <c r="N85" i="12"/>
  <c r="W85" i="12" s="1"/>
  <c r="N86" i="12"/>
  <c r="W86" i="12" s="1"/>
  <c r="I11" i="16" s="1"/>
  <c r="N87" i="12"/>
  <c r="W87" i="12" s="1"/>
  <c r="N88" i="12"/>
  <c r="W88" i="12" s="1"/>
  <c r="N89" i="12"/>
  <c r="W89" i="12" s="1"/>
  <c r="N90" i="12"/>
  <c r="W90" i="12" s="1"/>
  <c r="N91" i="12"/>
  <c r="W91" i="12" s="1"/>
  <c r="N92" i="12"/>
  <c r="W92" i="12" s="1"/>
  <c r="N93" i="12"/>
  <c r="W93" i="12" s="1"/>
  <c r="N94" i="12"/>
  <c r="W94" i="12" s="1"/>
  <c r="N95" i="12"/>
  <c r="W95" i="12" s="1"/>
  <c r="N96" i="12"/>
  <c r="W96" i="12" s="1"/>
  <c r="N97" i="12"/>
  <c r="W97" i="12" s="1"/>
  <c r="N98" i="12"/>
  <c r="W98" i="12" s="1"/>
  <c r="I12" i="16" s="1"/>
  <c r="N99" i="12"/>
  <c r="W99" i="12" s="1"/>
  <c r="N100" i="12"/>
  <c r="W100" i="12" s="1"/>
  <c r="N101" i="12"/>
  <c r="W101" i="12" s="1"/>
  <c r="N102" i="12"/>
  <c r="W102" i="12" s="1"/>
  <c r="N103" i="12"/>
  <c r="W103" i="12" s="1"/>
  <c r="N104" i="12"/>
  <c r="W104" i="12" s="1"/>
  <c r="N105" i="12"/>
  <c r="W105" i="12" s="1"/>
  <c r="N106" i="12"/>
  <c r="W106" i="12" s="1"/>
  <c r="N107" i="12"/>
  <c r="W107" i="12" s="1"/>
  <c r="N108" i="12"/>
  <c r="W108" i="12" s="1"/>
  <c r="N109" i="12"/>
  <c r="W109" i="12" s="1"/>
  <c r="N110" i="12"/>
  <c r="W110" i="12" s="1"/>
  <c r="N111" i="12"/>
  <c r="W111" i="12" s="1"/>
  <c r="N112" i="12"/>
  <c r="W112" i="12" s="1"/>
  <c r="N113" i="12"/>
  <c r="W113" i="12" s="1"/>
  <c r="N114" i="12"/>
  <c r="W114" i="12" s="1"/>
  <c r="N115" i="12"/>
  <c r="W115" i="12" s="1"/>
  <c r="N116" i="12"/>
  <c r="W116" i="12" s="1"/>
  <c r="N117" i="12"/>
  <c r="W117" i="12" s="1"/>
  <c r="N118" i="12"/>
  <c r="W118" i="12" s="1"/>
  <c r="N119" i="12"/>
  <c r="W119" i="12" s="1"/>
  <c r="N120" i="12"/>
  <c r="W120" i="12" s="1"/>
  <c r="N121" i="12"/>
  <c r="W121" i="12" s="1"/>
  <c r="M2" i="11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H50" i="36"/>
  <c r="E11" i="36"/>
  <c r="H51" i="36"/>
  <c r="E12" i="36"/>
  <c r="H52" i="36"/>
  <c r="E13" i="36"/>
  <c r="H53" i="36"/>
  <c r="E14" i="36"/>
  <c r="H54" i="36"/>
  <c r="E15" i="36"/>
  <c r="H55" i="36"/>
  <c r="E16" i="36"/>
  <c r="H56" i="36"/>
  <c r="E17" i="36"/>
  <c r="B57" i="36"/>
  <c r="H57" i="36"/>
  <c r="E18" i="36"/>
  <c r="G97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BW14" i="1"/>
  <c r="BW26" i="1"/>
  <c r="BW38" i="1"/>
  <c r="BW50" i="1"/>
  <c r="BW62" i="1"/>
  <c r="BW74" i="1"/>
  <c r="BW86" i="1"/>
  <c r="L86" i="29"/>
  <c r="L98" i="29"/>
  <c r="L110" i="29"/>
  <c r="L122" i="29"/>
  <c r="P122" i="29"/>
  <c r="G123" i="29"/>
  <c r="BW15" i="1"/>
  <c r="BW27" i="1"/>
  <c r="BW39" i="1"/>
  <c r="BW51" i="1"/>
  <c r="BW63" i="1"/>
  <c r="BW75" i="1"/>
  <c r="BW87" i="1"/>
  <c r="L87" i="29"/>
  <c r="L99" i="29"/>
  <c r="L111" i="29"/>
  <c r="L123" i="29"/>
  <c r="P123" i="29"/>
  <c r="G124" i="29"/>
  <c r="BW16" i="1"/>
  <c r="BW28" i="1"/>
  <c r="BW40" i="1"/>
  <c r="BW52" i="1"/>
  <c r="BW64" i="1"/>
  <c r="BW76" i="1"/>
  <c r="BW88" i="1"/>
  <c r="L88" i="29"/>
  <c r="L100" i="29"/>
  <c r="L112" i="29"/>
  <c r="L124" i="29"/>
  <c r="P124" i="29"/>
  <c r="G125" i="29"/>
  <c r="BW17" i="1"/>
  <c r="BW29" i="1"/>
  <c r="BW41" i="1"/>
  <c r="BW53" i="1"/>
  <c r="BW65" i="1"/>
  <c r="BW77" i="1"/>
  <c r="BW89" i="1"/>
  <c r="L89" i="29"/>
  <c r="L101" i="29"/>
  <c r="L113" i="29"/>
  <c r="L125" i="29"/>
  <c r="P125" i="29"/>
  <c r="G2" i="29"/>
  <c r="L2" i="29"/>
  <c r="P2" i="29"/>
  <c r="G3" i="29"/>
  <c r="L3" i="29"/>
  <c r="P3" i="29"/>
  <c r="G4" i="29"/>
  <c r="L4" i="29"/>
  <c r="P4" i="29"/>
  <c r="G5" i="29"/>
  <c r="L5" i="29"/>
  <c r="P5" i="29"/>
  <c r="G6" i="29"/>
  <c r="L6" i="29"/>
  <c r="P6" i="29"/>
  <c r="G7" i="29"/>
  <c r="L7" i="29"/>
  <c r="P7" i="29"/>
  <c r="G8" i="29"/>
  <c r="L8" i="29"/>
  <c r="P8" i="29"/>
  <c r="G9" i="29"/>
  <c r="L9" i="29"/>
  <c r="P9" i="29"/>
  <c r="G10" i="29"/>
  <c r="L10" i="29"/>
  <c r="P10" i="29"/>
  <c r="G11" i="29"/>
  <c r="L11" i="29"/>
  <c r="P11" i="29"/>
  <c r="G12" i="29"/>
  <c r="L12" i="29"/>
  <c r="P12" i="29"/>
  <c r="G13" i="29"/>
  <c r="L13" i="29"/>
  <c r="P13" i="29"/>
  <c r="G14" i="29"/>
  <c r="L14" i="29"/>
  <c r="P14" i="29"/>
  <c r="G15" i="29"/>
  <c r="L15" i="29"/>
  <c r="P15" i="29"/>
  <c r="G16" i="29"/>
  <c r="L16" i="29"/>
  <c r="P16" i="29"/>
  <c r="G17" i="29"/>
  <c r="L17" i="29"/>
  <c r="P17" i="29"/>
  <c r="G18" i="29"/>
  <c r="BW18" i="1"/>
  <c r="L18" i="29"/>
  <c r="P18" i="29"/>
  <c r="G19" i="29"/>
  <c r="BW19" i="1"/>
  <c r="L19" i="29"/>
  <c r="P19" i="29"/>
  <c r="G20" i="29"/>
  <c r="BW20" i="1"/>
  <c r="L20" i="29"/>
  <c r="P20" i="29"/>
  <c r="G21" i="29"/>
  <c r="BW21" i="1"/>
  <c r="L21" i="29"/>
  <c r="P21" i="29"/>
  <c r="G22" i="29"/>
  <c r="BW22" i="1"/>
  <c r="L22" i="29"/>
  <c r="P22" i="29"/>
  <c r="G23" i="29"/>
  <c r="BW23" i="1"/>
  <c r="L23" i="29"/>
  <c r="P23" i="29"/>
  <c r="G24" i="29"/>
  <c r="BW24" i="1"/>
  <c r="L24" i="29"/>
  <c r="P24" i="29"/>
  <c r="G25" i="29"/>
  <c r="BW25" i="1"/>
  <c r="L25" i="29"/>
  <c r="P25" i="29"/>
  <c r="G26" i="29"/>
  <c r="L26" i="29"/>
  <c r="P26" i="29"/>
  <c r="G27" i="29"/>
  <c r="L27" i="29"/>
  <c r="P27" i="29"/>
  <c r="G28" i="29"/>
  <c r="L28" i="29"/>
  <c r="P28" i="29"/>
  <c r="G29" i="29"/>
  <c r="L29" i="29"/>
  <c r="P29" i="29"/>
  <c r="G30" i="29"/>
  <c r="BW30" i="1"/>
  <c r="L30" i="29"/>
  <c r="P30" i="29"/>
  <c r="G31" i="29"/>
  <c r="BW31" i="1"/>
  <c r="L31" i="29"/>
  <c r="P31" i="29"/>
  <c r="G32" i="29"/>
  <c r="BW32" i="1"/>
  <c r="L32" i="29"/>
  <c r="P32" i="29"/>
  <c r="G33" i="29"/>
  <c r="BW33" i="1"/>
  <c r="L33" i="29"/>
  <c r="P33" i="29"/>
  <c r="G34" i="29"/>
  <c r="BW34" i="1"/>
  <c r="L34" i="29"/>
  <c r="P34" i="29"/>
  <c r="G35" i="29"/>
  <c r="BW35" i="1"/>
  <c r="L35" i="29"/>
  <c r="P35" i="29"/>
  <c r="G36" i="29"/>
  <c r="BW36" i="1"/>
  <c r="L36" i="29"/>
  <c r="P36" i="29"/>
  <c r="G37" i="29"/>
  <c r="BW37" i="1"/>
  <c r="L37" i="29"/>
  <c r="P37" i="29"/>
  <c r="G38" i="29"/>
  <c r="L38" i="29"/>
  <c r="P38" i="29"/>
  <c r="G39" i="29"/>
  <c r="L39" i="29"/>
  <c r="P39" i="29"/>
  <c r="G40" i="29"/>
  <c r="L40" i="29"/>
  <c r="P40" i="29"/>
  <c r="G41" i="29"/>
  <c r="L41" i="29"/>
  <c r="P41" i="29"/>
  <c r="G42" i="29"/>
  <c r="BW42" i="1"/>
  <c r="L42" i="29"/>
  <c r="P42" i="29"/>
  <c r="G43" i="29"/>
  <c r="BW43" i="1"/>
  <c r="L43" i="29"/>
  <c r="P43" i="29"/>
  <c r="G44" i="29"/>
  <c r="BW44" i="1"/>
  <c r="L44" i="29"/>
  <c r="P44" i="29"/>
  <c r="G45" i="29"/>
  <c r="BW45" i="1"/>
  <c r="L45" i="29"/>
  <c r="P45" i="29"/>
  <c r="G46" i="29"/>
  <c r="BW46" i="1"/>
  <c r="L46" i="29"/>
  <c r="P46" i="29"/>
  <c r="G47" i="29"/>
  <c r="BW47" i="1"/>
  <c r="L47" i="29"/>
  <c r="P47" i="29"/>
  <c r="G48" i="29"/>
  <c r="BW48" i="1"/>
  <c r="L48" i="29"/>
  <c r="P48" i="29"/>
  <c r="G49" i="29"/>
  <c r="BW49" i="1"/>
  <c r="L49" i="29"/>
  <c r="P49" i="29"/>
  <c r="G50" i="29"/>
  <c r="L50" i="29"/>
  <c r="P50" i="29"/>
  <c r="G51" i="29"/>
  <c r="L51" i="29"/>
  <c r="P51" i="29"/>
  <c r="G52" i="29"/>
  <c r="L52" i="29"/>
  <c r="P52" i="29"/>
  <c r="G53" i="29"/>
  <c r="L53" i="29"/>
  <c r="P53" i="29"/>
  <c r="G54" i="29"/>
  <c r="BW54" i="1"/>
  <c r="L54" i="29"/>
  <c r="P54" i="29"/>
  <c r="G55" i="29"/>
  <c r="BW55" i="1"/>
  <c r="L55" i="29"/>
  <c r="P55" i="29"/>
  <c r="G56" i="29"/>
  <c r="BW56" i="1"/>
  <c r="L56" i="29"/>
  <c r="P56" i="29"/>
  <c r="G57" i="29"/>
  <c r="BW57" i="1"/>
  <c r="L57" i="29"/>
  <c r="P57" i="29"/>
  <c r="G58" i="29"/>
  <c r="BW58" i="1"/>
  <c r="L58" i="29"/>
  <c r="P58" i="29"/>
  <c r="G59" i="29"/>
  <c r="BW59" i="1"/>
  <c r="L59" i="29"/>
  <c r="P59" i="29"/>
  <c r="G60" i="29"/>
  <c r="BW60" i="1"/>
  <c r="L60" i="29"/>
  <c r="P60" i="29"/>
  <c r="G61" i="29"/>
  <c r="BW61" i="1"/>
  <c r="L61" i="29"/>
  <c r="P61" i="29"/>
  <c r="G62" i="29"/>
  <c r="L62" i="29"/>
  <c r="P62" i="29"/>
  <c r="G63" i="29"/>
  <c r="L63" i="29"/>
  <c r="P63" i="29"/>
  <c r="G64" i="29"/>
  <c r="L64" i="29"/>
  <c r="P64" i="29"/>
  <c r="G65" i="29"/>
  <c r="L65" i="29"/>
  <c r="P65" i="29"/>
  <c r="G66" i="29"/>
  <c r="BW66" i="1"/>
  <c r="L66" i="29"/>
  <c r="P66" i="29"/>
  <c r="G67" i="29"/>
  <c r="BW67" i="1"/>
  <c r="L67" i="29"/>
  <c r="P67" i="29"/>
  <c r="G68" i="29"/>
  <c r="BW68" i="1"/>
  <c r="L68" i="29"/>
  <c r="P68" i="29"/>
  <c r="G69" i="29"/>
  <c r="BW69" i="1"/>
  <c r="L69" i="29"/>
  <c r="P69" i="29"/>
  <c r="G70" i="29"/>
  <c r="BW70" i="1"/>
  <c r="L70" i="29"/>
  <c r="P70" i="29"/>
  <c r="G71" i="29"/>
  <c r="BW71" i="1"/>
  <c r="L71" i="29"/>
  <c r="P71" i="29"/>
  <c r="G72" i="29"/>
  <c r="BW72" i="1"/>
  <c r="L72" i="29"/>
  <c r="P72" i="29"/>
  <c r="G73" i="29"/>
  <c r="BW73" i="1"/>
  <c r="L73" i="29"/>
  <c r="P73" i="29"/>
  <c r="G74" i="29"/>
  <c r="L74" i="29"/>
  <c r="P74" i="29"/>
  <c r="G75" i="29"/>
  <c r="L75" i="29"/>
  <c r="P75" i="29"/>
  <c r="G76" i="29"/>
  <c r="L76" i="29"/>
  <c r="P76" i="29"/>
  <c r="G77" i="29"/>
  <c r="L77" i="29"/>
  <c r="P77" i="29"/>
  <c r="G78" i="29"/>
  <c r="BW78" i="1"/>
  <c r="L78" i="29"/>
  <c r="P78" i="29"/>
  <c r="G79" i="29"/>
  <c r="BW79" i="1"/>
  <c r="L79" i="29"/>
  <c r="P79" i="29"/>
  <c r="G80" i="29"/>
  <c r="BW80" i="1"/>
  <c r="L80" i="29"/>
  <c r="P80" i="29"/>
  <c r="G81" i="29"/>
  <c r="BW81" i="1"/>
  <c r="L81" i="29"/>
  <c r="P81" i="29"/>
  <c r="G82" i="29"/>
  <c r="BW82" i="1"/>
  <c r="L82" i="29"/>
  <c r="P82" i="29"/>
  <c r="G83" i="29"/>
  <c r="BW83" i="1"/>
  <c r="L83" i="29"/>
  <c r="P83" i="29"/>
  <c r="G84" i="29"/>
  <c r="BW84" i="1"/>
  <c r="L84" i="29"/>
  <c r="P84" i="29"/>
  <c r="G85" i="29"/>
  <c r="BW85" i="1"/>
  <c r="L85" i="29"/>
  <c r="P85" i="29"/>
  <c r="G86" i="29"/>
  <c r="P86" i="29"/>
  <c r="G87" i="29"/>
  <c r="P87" i="29"/>
  <c r="G88" i="29"/>
  <c r="P88" i="29"/>
  <c r="G89" i="29"/>
  <c r="P89" i="29"/>
  <c r="G90" i="29"/>
  <c r="BW90" i="1"/>
  <c r="L90" i="29"/>
  <c r="P90" i="29"/>
  <c r="G91" i="29"/>
  <c r="BW91" i="1"/>
  <c r="L91" i="29"/>
  <c r="P91" i="29"/>
  <c r="G92" i="29"/>
  <c r="BW92" i="1"/>
  <c r="L92" i="29"/>
  <c r="P92" i="29"/>
  <c r="G93" i="29"/>
  <c r="BW93" i="1"/>
  <c r="L93" i="29"/>
  <c r="P93" i="29"/>
  <c r="G94" i="29"/>
  <c r="BW94" i="1"/>
  <c r="L94" i="29"/>
  <c r="P94" i="29"/>
  <c r="G95" i="29"/>
  <c r="BW95" i="1"/>
  <c r="L95" i="29"/>
  <c r="P95" i="29"/>
  <c r="G96" i="29"/>
  <c r="BW96" i="1"/>
  <c r="L96" i="29"/>
  <c r="P96" i="29"/>
  <c r="BW97" i="1"/>
  <c r="L97" i="29"/>
  <c r="P97" i="29"/>
  <c r="P98" i="29"/>
  <c r="P99" i="29"/>
  <c r="P100" i="29"/>
  <c r="P101" i="29"/>
  <c r="L102" i="29"/>
  <c r="P102" i="29"/>
  <c r="L103" i="29"/>
  <c r="P103" i="29"/>
  <c r="L104" i="29"/>
  <c r="P104" i="29"/>
  <c r="L105" i="29"/>
  <c r="P105" i="29"/>
  <c r="L106" i="29"/>
  <c r="P106" i="29"/>
  <c r="L107" i="29"/>
  <c r="P107" i="29"/>
  <c r="L108" i="29"/>
  <c r="P108" i="29"/>
  <c r="L109" i="29"/>
  <c r="P109" i="29"/>
  <c r="P110" i="29"/>
  <c r="P111" i="29"/>
  <c r="P112" i="29"/>
  <c r="P113" i="29"/>
  <c r="L114" i="29"/>
  <c r="P114" i="29"/>
  <c r="L115" i="29"/>
  <c r="P115" i="29"/>
  <c r="L116" i="29"/>
  <c r="P116" i="29"/>
  <c r="L117" i="29"/>
  <c r="P117" i="29"/>
  <c r="L118" i="29"/>
  <c r="P118" i="29"/>
  <c r="L119" i="29"/>
  <c r="P119" i="29"/>
  <c r="L120" i="29"/>
  <c r="P120" i="29"/>
  <c r="L121" i="29"/>
  <c r="P121" i="29"/>
  <c r="G126" i="29"/>
  <c r="L126" i="29"/>
  <c r="P126" i="29"/>
  <c r="G127" i="29"/>
  <c r="L127" i="29"/>
  <c r="P127" i="29"/>
  <c r="G128" i="29"/>
  <c r="L128" i="29"/>
  <c r="P128" i="29"/>
  <c r="G129" i="29"/>
  <c r="L129" i="29"/>
  <c r="P129" i="29"/>
  <c r="G130" i="29"/>
  <c r="L130" i="29"/>
  <c r="P130" i="29"/>
  <c r="G131" i="29"/>
  <c r="L131" i="29"/>
  <c r="P131" i="29"/>
  <c r="G132" i="29"/>
  <c r="L132" i="29"/>
  <c r="P132" i="29"/>
  <c r="G133" i="29"/>
  <c r="L133" i="29"/>
  <c r="P133" i="29"/>
  <c r="G134" i="29"/>
  <c r="L134" i="29"/>
  <c r="P134" i="29"/>
  <c r="G135" i="29"/>
  <c r="L135" i="29"/>
  <c r="P135" i="29"/>
  <c r="G136" i="29"/>
  <c r="L136" i="29"/>
  <c r="P136" i="29"/>
  <c r="G137" i="29"/>
  <c r="L137" i="29"/>
  <c r="P137" i="29"/>
  <c r="G138" i="29"/>
  <c r="L138" i="29"/>
  <c r="P138" i="29"/>
  <c r="G139" i="29"/>
  <c r="L139" i="29"/>
  <c r="P139" i="29"/>
  <c r="G140" i="29"/>
  <c r="L140" i="29"/>
  <c r="P140" i="29"/>
  <c r="G141" i="29"/>
  <c r="L141" i="29"/>
  <c r="P141" i="29"/>
  <c r="G142" i="29"/>
  <c r="L142" i="29"/>
  <c r="P142" i="29"/>
  <c r="G143" i="29"/>
  <c r="L143" i="29"/>
  <c r="P143" i="29"/>
  <c r="G144" i="29"/>
  <c r="L144" i="29"/>
  <c r="P144" i="29"/>
  <c r="G145" i="29"/>
  <c r="L145" i="29"/>
  <c r="P145" i="29"/>
  <c r="A2" i="29"/>
  <c r="B2" i="29"/>
  <c r="A3" i="29"/>
  <c r="B3" i="29"/>
  <c r="A4" i="29"/>
  <c r="B4" i="29"/>
  <c r="A5" i="29"/>
  <c r="B5" i="29"/>
  <c r="A6" i="29"/>
  <c r="B6" i="29"/>
  <c r="A7" i="29"/>
  <c r="B7" i="29"/>
  <c r="A8" i="29"/>
  <c r="B8" i="29"/>
  <c r="A9" i="29"/>
  <c r="B9" i="29"/>
  <c r="A10" i="29"/>
  <c r="B10" i="29"/>
  <c r="A11" i="29"/>
  <c r="B11" i="29"/>
  <c r="A12" i="29"/>
  <c r="B12" i="29"/>
  <c r="A13" i="29"/>
  <c r="B13" i="29"/>
  <c r="A14" i="29"/>
  <c r="B14" i="29"/>
  <c r="A15" i="29"/>
  <c r="B15" i="29"/>
  <c r="A16" i="29"/>
  <c r="B16" i="29"/>
  <c r="A17" i="29"/>
  <c r="B17" i="29"/>
  <c r="A18" i="29"/>
  <c r="B18" i="29"/>
  <c r="A19" i="29"/>
  <c r="B19" i="29"/>
  <c r="A20" i="29"/>
  <c r="B20" i="29"/>
  <c r="A21" i="29"/>
  <c r="B21" i="29"/>
  <c r="A22" i="29"/>
  <c r="B22" i="29"/>
  <c r="A23" i="29"/>
  <c r="B23" i="29"/>
  <c r="A24" i="29"/>
  <c r="B24" i="29"/>
  <c r="A25" i="29"/>
  <c r="B25" i="29"/>
  <c r="A26" i="29"/>
  <c r="B26" i="29"/>
  <c r="A27" i="29"/>
  <c r="B27" i="29"/>
  <c r="A28" i="29"/>
  <c r="B28" i="29"/>
  <c r="A29" i="29"/>
  <c r="B29" i="29"/>
  <c r="A30" i="29"/>
  <c r="B30" i="29"/>
  <c r="A31" i="29"/>
  <c r="B31" i="29"/>
  <c r="A32" i="29"/>
  <c r="B32" i="29"/>
  <c r="A33" i="29"/>
  <c r="B33" i="29"/>
  <c r="A34" i="29"/>
  <c r="B34" i="29"/>
  <c r="A35" i="29"/>
  <c r="B35" i="29"/>
  <c r="A36" i="29"/>
  <c r="B36" i="29"/>
  <c r="A37" i="29"/>
  <c r="B37" i="29"/>
  <c r="A38" i="29"/>
  <c r="B38" i="29"/>
  <c r="A39" i="29"/>
  <c r="B39" i="29"/>
  <c r="A40" i="29"/>
  <c r="B40" i="29"/>
  <c r="A41" i="29"/>
  <c r="B41" i="29"/>
  <c r="A42" i="29"/>
  <c r="B42" i="29"/>
  <c r="A43" i="29"/>
  <c r="B43" i="29"/>
  <c r="A44" i="29"/>
  <c r="B44" i="29"/>
  <c r="A45" i="29"/>
  <c r="B45" i="29"/>
  <c r="A46" i="29"/>
  <c r="B46" i="29"/>
  <c r="A47" i="29"/>
  <c r="B47" i="29"/>
  <c r="A48" i="29"/>
  <c r="B48" i="29"/>
  <c r="A49" i="29"/>
  <c r="B49" i="29"/>
  <c r="A50" i="29"/>
  <c r="B50" i="29"/>
  <c r="A51" i="29"/>
  <c r="B51" i="29"/>
  <c r="A52" i="29"/>
  <c r="B52" i="29"/>
  <c r="A53" i="29"/>
  <c r="B53" i="29"/>
  <c r="A54" i="29"/>
  <c r="B54" i="29"/>
  <c r="A55" i="29"/>
  <c r="B55" i="29"/>
  <c r="A56" i="29"/>
  <c r="B56" i="29"/>
  <c r="A57" i="29"/>
  <c r="B57" i="29"/>
  <c r="A58" i="29"/>
  <c r="B58" i="29"/>
  <c r="A59" i="29"/>
  <c r="B59" i="29"/>
  <c r="A60" i="29"/>
  <c r="B60" i="29"/>
  <c r="A61" i="29"/>
  <c r="B61" i="29"/>
  <c r="A62" i="29"/>
  <c r="B62" i="29"/>
  <c r="A63" i="29"/>
  <c r="B63" i="29"/>
  <c r="A64" i="29"/>
  <c r="B64" i="29"/>
  <c r="A65" i="29"/>
  <c r="B65" i="29"/>
  <c r="A66" i="29"/>
  <c r="B66" i="29"/>
  <c r="A67" i="29"/>
  <c r="B67" i="29"/>
  <c r="A68" i="29"/>
  <c r="B68" i="29"/>
  <c r="A69" i="29"/>
  <c r="B69" i="29"/>
  <c r="A70" i="29"/>
  <c r="B70" i="29"/>
  <c r="A71" i="29"/>
  <c r="B71" i="29"/>
  <c r="A72" i="29"/>
  <c r="B72" i="29"/>
  <c r="A73" i="29"/>
  <c r="B73" i="29"/>
  <c r="A74" i="29"/>
  <c r="B74" i="29"/>
  <c r="A75" i="29"/>
  <c r="B75" i="29"/>
  <c r="A76" i="29"/>
  <c r="B76" i="29"/>
  <c r="A77" i="29"/>
  <c r="B77" i="29"/>
  <c r="A78" i="29"/>
  <c r="B78" i="29"/>
  <c r="A79" i="29"/>
  <c r="B79" i="29"/>
  <c r="A80" i="29"/>
  <c r="B80" i="29"/>
  <c r="A81" i="29"/>
  <c r="B81" i="29"/>
  <c r="A82" i="29"/>
  <c r="B82" i="29"/>
  <c r="A83" i="29"/>
  <c r="B83" i="29"/>
  <c r="A84" i="29"/>
  <c r="B84" i="29"/>
  <c r="A85" i="29"/>
  <c r="B85" i="29"/>
  <c r="A86" i="29"/>
  <c r="B86" i="29"/>
  <c r="A87" i="29"/>
  <c r="B87" i="29"/>
  <c r="A88" i="29"/>
  <c r="B88" i="29"/>
  <c r="A89" i="29"/>
  <c r="B89" i="29"/>
  <c r="A90" i="29"/>
  <c r="B90" i="29"/>
  <c r="A91" i="29"/>
  <c r="B91" i="29"/>
  <c r="A92" i="29"/>
  <c r="B92" i="29"/>
  <c r="A93" i="29"/>
  <c r="B93" i="29"/>
  <c r="A94" i="29"/>
  <c r="B94" i="29"/>
  <c r="A95" i="29"/>
  <c r="B95" i="29"/>
  <c r="A96" i="29"/>
  <c r="B96" i="29"/>
  <c r="A97" i="29"/>
  <c r="B97" i="29"/>
  <c r="B98" i="29"/>
  <c r="B99" i="29"/>
  <c r="B100" i="29"/>
  <c r="B101" i="29"/>
  <c r="B102" i="29"/>
  <c r="B103" i="29"/>
  <c r="B104" i="29"/>
  <c r="B105" i="29"/>
  <c r="B106" i="29"/>
  <c r="B107" i="29"/>
  <c r="B108" i="29"/>
  <c r="B109" i="29"/>
  <c r="B110" i="29"/>
  <c r="B111" i="29"/>
  <c r="B112" i="29"/>
  <c r="B113" i="29"/>
  <c r="B114" i="29"/>
  <c r="B115" i="29"/>
  <c r="B116" i="29"/>
  <c r="B117" i="29"/>
  <c r="B118" i="29"/>
  <c r="B119" i="29"/>
  <c r="B120" i="29"/>
  <c r="B121" i="29"/>
  <c r="B122" i="29"/>
  <c r="B123" i="29"/>
  <c r="B124" i="29"/>
  <c r="B125" i="29"/>
  <c r="B126" i="29"/>
  <c r="B127" i="29"/>
  <c r="B128" i="29"/>
  <c r="B129" i="29"/>
  <c r="B130" i="29"/>
  <c r="B131" i="29"/>
  <c r="B132" i="29"/>
  <c r="B133" i="29"/>
  <c r="B134" i="29"/>
  <c r="B135" i="29"/>
  <c r="B136" i="29"/>
  <c r="B137" i="29"/>
  <c r="B138" i="29"/>
  <c r="B139" i="29"/>
  <c r="B140" i="29"/>
  <c r="B141" i="29"/>
  <c r="B142" i="29"/>
  <c r="B143" i="29"/>
  <c r="B144" i="29"/>
  <c r="B145" i="29"/>
  <c r="B15" i="34"/>
  <c r="K15" i="34" s="1"/>
  <c r="T15" i="34" s="1"/>
  <c r="AD15" i="34" s="1"/>
  <c r="A2" i="30"/>
  <c r="B2" i="30"/>
  <c r="A3" i="30"/>
  <c r="B3" i="30"/>
  <c r="A4" i="30"/>
  <c r="B4" i="30"/>
  <c r="A5" i="30"/>
  <c r="B5" i="30"/>
  <c r="A6" i="30"/>
  <c r="B6" i="30"/>
  <c r="A7" i="30"/>
  <c r="B7" i="30"/>
  <c r="A8" i="30"/>
  <c r="B8" i="30"/>
  <c r="A9" i="30"/>
  <c r="B9" i="30"/>
  <c r="A10" i="30"/>
  <c r="B10" i="30"/>
  <c r="A11" i="30"/>
  <c r="B11" i="30"/>
  <c r="A12" i="30"/>
  <c r="B12" i="30"/>
  <c r="A13" i="30"/>
  <c r="B13" i="30"/>
  <c r="A14" i="30"/>
  <c r="B14" i="30"/>
  <c r="A15" i="30"/>
  <c r="B15" i="30"/>
  <c r="A16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A64" i="30"/>
  <c r="B64" i="30"/>
  <c r="A65" i="30"/>
  <c r="B65" i="30"/>
  <c r="A66" i="30"/>
  <c r="B66" i="30"/>
  <c r="A67" i="30"/>
  <c r="B67" i="30"/>
  <c r="A68" i="30"/>
  <c r="B68" i="30"/>
  <c r="A69" i="30"/>
  <c r="B69" i="30"/>
  <c r="A70" i="30"/>
  <c r="B70" i="30"/>
  <c r="A71" i="30"/>
  <c r="B71" i="30"/>
  <c r="A72" i="30"/>
  <c r="B72" i="30"/>
  <c r="A73" i="30"/>
  <c r="B73" i="30"/>
  <c r="A74" i="30"/>
  <c r="B74" i="30"/>
  <c r="A75" i="30"/>
  <c r="B75" i="30"/>
  <c r="A76" i="30"/>
  <c r="B76" i="30"/>
  <c r="A77" i="30"/>
  <c r="B77" i="30"/>
  <c r="A78" i="30"/>
  <c r="B78" i="30"/>
  <c r="A79" i="30"/>
  <c r="B79" i="30"/>
  <c r="A80" i="30"/>
  <c r="B80" i="30"/>
  <c r="A81" i="30"/>
  <c r="B81" i="30"/>
  <c r="A82" i="30"/>
  <c r="B82" i="30"/>
  <c r="A83" i="30"/>
  <c r="B83" i="30"/>
  <c r="A84" i="30"/>
  <c r="B84" i="30"/>
  <c r="A85" i="30"/>
  <c r="B85" i="30"/>
  <c r="A86" i="30"/>
  <c r="B86" i="30"/>
  <c r="A87" i="30"/>
  <c r="B87" i="30"/>
  <c r="A88" i="30"/>
  <c r="B88" i="30"/>
  <c r="A89" i="30"/>
  <c r="B89" i="30"/>
  <c r="A90" i="30"/>
  <c r="B90" i="30"/>
  <c r="A91" i="30"/>
  <c r="B91" i="30"/>
  <c r="A92" i="30"/>
  <c r="B92" i="30"/>
  <c r="A93" i="30"/>
  <c r="B93" i="30"/>
  <c r="A94" i="30"/>
  <c r="B94" i="30"/>
  <c r="A95" i="30"/>
  <c r="B95" i="30"/>
  <c r="A96" i="30"/>
  <c r="B96" i="30"/>
  <c r="A97" i="30"/>
  <c r="B97" i="30"/>
  <c r="D2" i="30"/>
  <c r="L2" i="30"/>
  <c r="E2" i="30"/>
  <c r="K2" i="30"/>
  <c r="R2" i="30"/>
  <c r="E3" i="30"/>
  <c r="K3" i="30"/>
  <c r="R3" i="30"/>
  <c r="E4" i="30"/>
  <c r="K4" i="30"/>
  <c r="R4" i="30"/>
  <c r="E5" i="30"/>
  <c r="K5" i="30"/>
  <c r="R5" i="30"/>
  <c r="E6" i="30"/>
  <c r="K6" i="30"/>
  <c r="R6" i="30"/>
  <c r="E7" i="30"/>
  <c r="K7" i="30"/>
  <c r="R7" i="30"/>
  <c r="E8" i="30"/>
  <c r="K8" i="30"/>
  <c r="R8" i="30"/>
  <c r="E9" i="30"/>
  <c r="K9" i="30"/>
  <c r="R9" i="30"/>
  <c r="E10" i="30"/>
  <c r="K10" i="30"/>
  <c r="R10" i="30"/>
  <c r="E11" i="30"/>
  <c r="K11" i="30"/>
  <c r="R11" i="30"/>
  <c r="E12" i="30"/>
  <c r="K12" i="30"/>
  <c r="R12" i="30"/>
  <c r="E13" i="30"/>
  <c r="K13" i="30"/>
  <c r="R13" i="30"/>
  <c r="E14" i="30"/>
  <c r="K14" i="30"/>
  <c r="R14" i="30"/>
  <c r="E15" i="30"/>
  <c r="K15" i="30"/>
  <c r="R15" i="30"/>
  <c r="E16" i="30"/>
  <c r="K16" i="30"/>
  <c r="R16" i="30"/>
  <c r="E17" i="30"/>
  <c r="K17" i="30"/>
  <c r="R17" i="30"/>
  <c r="E18" i="30"/>
  <c r="K18" i="30"/>
  <c r="R18" i="30"/>
  <c r="E19" i="30"/>
  <c r="K19" i="30"/>
  <c r="R19" i="30"/>
  <c r="E20" i="30"/>
  <c r="K20" i="30"/>
  <c r="R20" i="30"/>
  <c r="E21" i="30"/>
  <c r="K21" i="30"/>
  <c r="R21" i="30"/>
  <c r="E22" i="30"/>
  <c r="K22" i="30"/>
  <c r="R22" i="30"/>
  <c r="E23" i="30"/>
  <c r="K23" i="30"/>
  <c r="R23" i="30"/>
  <c r="E24" i="30"/>
  <c r="K24" i="30"/>
  <c r="R24" i="30"/>
  <c r="E25" i="30"/>
  <c r="K25" i="30"/>
  <c r="R25" i="30"/>
  <c r="E26" i="30"/>
  <c r="K26" i="30"/>
  <c r="R26" i="30"/>
  <c r="E27" i="30"/>
  <c r="K27" i="30"/>
  <c r="R27" i="30"/>
  <c r="E28" i="30"/>
  <c r="K28" i="30"/>
  <c r="R28" i="30"/>
  <c r="E29" i="30"/>
  <c r="K29" i="30"/>
  <c r="R29" i="30"/>
  <c r="E30" i="30"/>
  <c r="K30" i="30"/>
  <c r="R30" i="30"/>
  <c r="E31" i="30"/>
  <c r="K31" i="30"/>
  <c r="R31" i="30"/>
  <c r="E32" i="30"/>
  <c r="K32" i="30"/>
  <c r="R32" i="30"/>
  <c r="E33" i="30"/>
  <c r="K33" i="30"/>
  <c r="R33" i="30"/>
  <c r="E34" i="30"/>
  <c r="K34" i="30"/>
  <c r="R34" i="30"/>
  <c r="E35" i="30"/>
  <c r="K35" i="30"/>
  <c r="R35" i="30"/>
  <c r="E36" i="30"/>
  <c r="K36" i="30"/>
  <c r="R36" i="30"/>
  <c r="E37" i="30"/>
  <c r="K37" i="30"/>
  <c r="R37" i="30"/>
  <c r="E38" i="30"/>
  <c r="K38" i="30"/>
  <c r="R38" i="30"/>
  <c r="E39" i="30"/>
  <c r="K39" i="30"/>
  <c r="R39" i="30"/>
  <c r="E40" i="30"/>
  <c r="K40" i="30"/>
  <c r="R40" i="30"/>
  <c r="E41" i="30"/>
  <c r="K41" i="30"/>
  <c r="R41" i="30"/>
  <c r="E42" i="30"/>
  <c r="K42" i="30"/>
  <c r="R42" i="30"/>
  <c r="E43" i="30"/>
  <c r="K43" i="30"/>
  <c r="R43" i="30"/>
  <c r="E44" i="30"/>
  <c r="K44" i="30"/>
  <c r="R44" i="30"/>
  <c r="E45" i="30"/>
  <c r="K45" i="30"/>
  <c r="R45" i="30"/>
  <c r="E46" i="30"/>
  <c r="K46" i="30"/>
  <c r="R46" i="30"/>
  <c r="E47" i="30"/>
  <c r="K47" i="30"/>
  <c r="R47" i="30"/>
  <c r="E48" i="30"/>
  <c r="K48" i="30"/>
  <c r="R48" i="30"/>
  <c r="E49" i="30"/>
  <c r="K49" i="30"/>
  <c r="R49" i="30"/>
  <c r="E50" i="30"/>
  <c r="K50" i="30"/>
  <c r="R50" i="30"/>
  <c r="E51" i="30"/>
  <c r="K51" i="30"/>
  <c r="R51" i="30"/>
  <c r="E52" i="30"/>
  <c r="K52" i="30"/>
  <c r="R52" i="30"/>
  <c r="E53" i="30"/>
  <c r="K53" i="30"/>
  <c r="R53" i="30"/>
  <c r="E54" i="30"/>
  <c r="K54" i="30"/>
  <c r="R54" i="30"/>
  <c r="E55" i="30"/>
  <c r="K55" i="30"/>
  <c r="R55" i="30"/>
  <c r="E56" i="30"/>
  <c r="K56" i="30"/>
  <c r="R56" i="30"/>
  <c r="E57" i="30"/>
  <c r="K57" i="30"/>
  <c r="R57" i="30"/>
  <c r="E58" i="30"/>
  <c r="K58" i="30"/>
  <c r="R58" i="30"/>
  <c r="E59" i="30"/>
  <c r="K59" i="30"/>
  <c r="R59" i="30"/>
  <c r="E60" i="30"/>
  <c r="K60" i="30"/>
  <c r="R60" i="30"/>
  <c r="E61" i="30"/>
  <c r="K61" i="30"/>
  <c r="R61" i="30"/>
  <c r="E62" i="30"/>
  <c r="K62" i="30"/>
  <c r="R62" i="30"/>
  <c r="E63" i="30"/>
  <c r="K63" i="30"/>
  <c r="R63" i="30"/>
  <c r="E64" i="30"/>
  <c r="K64" i="30"/>
  <c r="R64" i="30"/>
  <c r="E65" i="30"/>
  <c r="K65" i="30"/>
  <c r="R65" i="30"/>
  <c r="E66" i="30"/>
  <c r="K66" i="30"/>
  <c r="R66" i="30"/>
  <c r="E67" i="30"/>
  <c r="K67" i="30"/>
  <c r="R67" i="30"/>
  <c r="E68" i="30"/>
  <c r="K68" i="30"/>
  <c r="R68" i="30"/>
  <c r="E69" i="30"/>
  <c r="K69" i="30"/>
  <c r="R69" i="30"/>
  <c r="E70" i="30"/>
  <c r="K70" i="30"/>
  <c r="R70" i="30"/>
  <c r="E71" i="30"/>
  <c r="K71" i="30"/>
  <c r="R71" i="30"/>
  <c r="E72" i="30"/>
  <c r="K72" i="30"/>
  <c r="R72" i="30"/>
  <c r="E73" i="30"/>
  <c r="K73" i="30"/>
  <c r="R73" i="30"/>
  <c r="E74" i="30"/>
  <c r="K74" i="30"/>
  <c r="R74" i="30"/>
  <c r="E75" i="30"/>
  <c r="K75" i="30"/>
  <c r="R75" i="30"/>
  <c r="E76" i="30"/>
  <c r="K76" i="30"/>
  <c r="R76" i="30"/>
  <c r="E77" i="30"/>
  <c r="K77" i="30"/>
  <c r="R77" i="30"/>
  <c r="E78" i="30"/>
  <c r="K78" i="30"/>
  <c r="R78" i="30"/>
  <c r="E79" i="30"/>
  <c r="K79" i="30"/>
  <c r="R79" i="30"/>
  <c r="E80" i="30"/>
  <c r="K80" i="30"/>
  <c r="R80" i="30"/>
  <c r="E81" i="30"/>
  <c r="K81" i="30"/>
  <c r="R81" i="30"/>
  <c r="E82" i="30"/>
  <c r="K82" i="30"/>
  <c r="R82" i="30"/>
  <c r="E83" i="30"/>
  <c r="K83" i="30"/>
  <c r="R83" i="30"/>
  <c r="E84" i="30"/>
  <c r="K84" i="30"/>
  <c r="R84" i="30"/>
  <c r="E85" i="30"/>
  <c r="K85" i="30"/>
  <c r="R85" i="30"/>
  <c r="E86" i="30"/>
  <c r="K86" i="30"/>
  <c r="R86" i="30"/>
  <c r="E87" i="30"/>
  <c r="K87" i="30"/>
  <c r="R87" i="30"/>
  <c r="E88" i="30"/>
  <c r="K88" i="30"/>
  <c r="R88" i="30"/>
  <c r="E89" i="30"/>
  <c r="K89" i="30"/>
  <c r="R89" i="30"/>
  <c r="E90" i="30"/>
  <c r="K90" i="30"/>
  <c r="R90" i="30"/>
  <c r="E91" i="30"/>
  <c r="K91" i="30"/>
  <c r="R91" i="30"/>
  <c r="E92" i="30"/>
  <c r="K92" i="30"/>
  <c r="R92" i="30"/>
  <c r="E93" i="30"/>
  <c r="K93" i="30"/>
  <c r="R93" i="30"/>
  <c r="E94" i="30"/>
  <c r="K94" i="30"/>
  <c r="R94" i="30"/>
  <c r="E95" i="30"/>
  <c r="K95" i="30"/>
  <c r="R95" i="30"/>
  <c r="E96" i="30"/>
  <c r="K96" i="30"/>
  <c r="R96" i="30"/>
  <c r="E97" i="30"/>
  <c r="K97" i="30"/>
  <c r="R97" i="30"/>
  <c r="E98" i="30"/>
  <c r="K98" i="30"/>
  <c r="R98" i="30"/>
  <c r="E99" i="30"/>
  <c r="K99" i="30"/>
  <c r="R99" i="30"/>
  <c r="E100" i="30"/>
  <c r="K100" i="30"/>
  <c r="R100" i="30"/>
  <c r="E101" i="30"/>
  <c r="K101" i="30"/>
  <c r="R101" i="30"/>
  <c r="E102" i="30"/>
  <c r="K102" i="30"/>
  <c r="R102" i="30"/>
  <c r="E103" i="30"/>
  <c r="K103" i="30"/>
  <c r="R103" i="30"/>
  <c r="E104" i="30"/>
  <c r="K104" i="30"/>
  <c r="R104" i="30"/>
  <c r="E105" i="30"/>
  <c r="K105" i="30"/>
  <c r="R105" i="30"/>
  <c r="E106" i="30"/>
  <c r="K106" i="30"/>
  <c r="R106" i="30"/>
  <c r="E107" i="30"/>
  <c r="K107" i="30"/>
  <c r="R107" i="30"/>
  <c r="E108" i="30"/>
  <c r="K108" i="30"/>
  <c r="R108" i="30"/>
  <c r="E109" i="30"/>
  <c r="K109" i="30"/>
  <c r="R109" i="30"/>
  <c r="E110" i="30"/>
  <c r="K110" i="30"/>
  <c r="R110" i="30"/>
  <c r="E111" i="30"/>
  <c r="K111" i="30"/>
  <c r="R111" i="30"/>
  <c r="E112" i="30"/>
  <c r="K112" i="30"/>
  <c r="R112" i="30"/>
  <c r="E113" i="30"/>
  <c r="K113" i="30"/>
  <c r="R113" i="30"/>
  <c r="E114" i="30"/>
  <c r="K114" i="30"/>
  <c r="R114" i="30"/>
  <c r="E115" i="30"/>
  <c r="K115" i="30"/>
  <c r="R115" i="30"/>
  <c r="E116" i="30"/>
  <c r="K116" i="30"/>
  <c r="R116" i="30"/>
  <c r="E117" i="30"/>
  <c r="K117" i="30"/>
  <c r="R117" i="30"/>
  <c r="E118" i="30"/>
  <c r="K118" i="30"/>
  <c r="R118" i="30"/>
  <c r="E119" i="30"/>
  <c r="K119" i="30"/>
  <c r="R119" i="30"/>
  <c r="E120" i="30"/>
  <c r="K120" i="30"/>
  <c r="R120" i="30"/>
  <c r="E121" i="30"/>
  <c r="K121" i="30"/>
  <c r="R121" i="30"/>
  <c r="E122" i="30"/>
  <c r="K122" i="30"/>
  <c r="R122" i="30"/>
  <c r="E123" i="30"/>
  <c r="K123" i="30"/>
  <c r="R123" i="30"/>
  <c r="E124" i="30"/>
  <c r="K124" i="30"/>
  <c r="R124" i="30"/>
  <c r="E125" i="30"/>
  <c r="K125" i="30"/>
  <c r="R125" i="30"/>
  <c r="E126" i="30"/>
  <c r="K126" i="30"/>
  <c r="R126" i="30"/>
  <c r="E127" i="30"/>
  <c r="K127" i="30"/>
  <c r="R127" i="30"/>
  <c r="E128" i="30"/>
  <c r="K128" i="30"/>
  <c r="R128" i="30"/>
  <c r="E129" i="30"/>
  <c r="K129" i="30"/>
  <c r="R129" i="30"/>
  <c r="E130" i="30"/>
  <c r="K130" i="30"/>
  <c r="R130" i="30"/>
  <c r="E131" i="30"/>
  <c r="K131" i="30"/>
  <c r="R131" i="30"/>
  <c r="E132" i="30"/>
  <c r="K132" i="30"/>
  <c r="R132" i="30"/>
  <c r="E133" i="30"/>
  <c r="K133" i="30"/>
  <c r="R133" i="30"/>
  <c r="E134" i="30"/>
  <c r="K134" i="30"/>
  <c r="R134" i="30"/>
  <c r="E135" i="30"/>
  <c r="K135" i="30"/>
  <c r="R135" i="30"/>
  <c r="E136" i="30"/>
  <c r="K136" i="30"/>
  <c r="R136" i="30"/>
  <c r="E137" i="30"/>
  <c r="K137" i="30"/>
  <c r="R137" i="30"/>
  <c r="E138" i="30"/>
  <c r="K138" i="30"/>
  <c r="R138" i="30"/>
  <c r="E139" i="30"/>
  <c r="K139" i="30"/>
  <c r="R139" i="30"/>
  <c r="E140" i="30"/>
  <c r="K140" i="30"/>
  <c r="R140" i="30"/>
  <c r="E141" i="30"/>
  <c r="K141" i="30"/>
  <c r="R141" i="30"/>
  <c r="E142" i="30"/>
  <c r="K142" i="30"/>
  <c r="R142" i="30"/>
  <c r="E143" i="30"/>
  <c r="K143" i="30"/>
  <c r="R143" i="30"/>
  <c r="E144" i="30"/>
  <c r="K144" i="30"/>
  <c r="R144" i="30"/>
  <c r="E145" i="30"/>
  <c r="K145" i="30"/>
  <c r="R145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K122" i="31"/>
  <c r="F123" i="31"/>
  <c r="K123" i="31"/>
  <c r="F124" i="31"/>
  <c r="K124" i="31"/>
  <c r="F125" i="31"/>
  <c r="K125" i="31"/>
  <c r="F2" i="31"/>
  <c r="K2" i="31"/>
  <c r="F3" i="31"/>
  <c r="K3" i="31"/>
  <c r="F4" i="31"/>
  <c r="K4" i="31"/>
  <c r="F5" i="31"/>
  <c r="K5" i="31"/>
  <c r="F6" i="31"/>
  <c r="K6" i="31"/>
  <c r="F7" i="31"/>
  <c r="K7" i="31"/>
  <c r="F8" i="31"/>
  <c r="K8" i="31"/>
  <c r="F9" i="31"/>
  <c r="K9" i="31"/>
  <c r="F10" i="31"/>
  <c r="K10" i="31"/>
  <c r="F11" i="31"/>
  <c r="K11" i="31"/>
  <c r="F12" i="31"/>
  <c r="K12" i="31"/>
  <c r="F13" i="31"/>
  <c r="K13" i="31"/>
  <c r="F14" i="31"/>
  <c r="K14" i="31"/>
  <c r="F15" i="31"/>
  <c r="K15" i="31"/>
  <c r="F16" i="31"/>
  <c r="K16" i="31"/>
  <c r="F17" i="31"/>
  <c r="K17" i="31"/>
  <c r="F18" i="31"/>
  <c r="K18" i="31"/>
  <c r="F19" i="31"/>
  <c r="K19" i="31"/>
  <c r="F20" i="31"/>
  <c r="K20" i="31"/>
  <c r="F21" i="31"/>
  <c r="K21" i="31"/>
  <c r="F22" i="31"/>
  <c r="K22" i="31"/>
  <c r="F23" i="31"/>
  <c r="K23" i="31"/>
  <c r="F24" i="31"/>
  <c r="K24" i="31"/>
  <c r="F25" i="31"/>
  <c r="K25" i="31"/>
  <c r="F26" i="31"/>
  <c r="K26" i="31"/>
  <c r="F27" i="31"/>
  <c r="K27" i="31"/>
  <c r="F28" i="31"/>
  <c r="K28" i="31"/>
  <c r="F29" i="31"/>
  <c r="K29" i="31"/>
  <c r="F30" i="31"/>
  <c r="K30" i="31"/>
  <c r="F31" i="31"/>
  <c r="K31" i="31"/>
  <c r="F32" i="31"/>
  <c r="K32" i="31"/>
  <c r="F33" i="31"/>
  <c r="K33" i="31"/>
  <c r="F34" i="31"/>
  <c r="K34" i="31"/>
  <c r="F35" i="31"/>
  <c r="K35" i="31"/>
  <c r="F36" i="31"/>
  <c r="K36" i="31"/>
  <c r="F37" i="31"/>
  <c r="K37" i="31"/>
  <c r="F38" i="31"/>
  <c r="K38" i="31"/>
  <c r="F39" i="31"/>
  <c r="K39" i="31"/>
  <c r="F40" i="31"/>
  <c r="K40" i="31"/>
  <c r="F41" i="31"/>
  <c r="K41" i="31"/>
  <c r="F42" i="31"/>
  <c r="K42" i="31"/>
  <c r="F43" i="31"/>
  <c r="K43" i="31"/>
  <c r="F44" i="31"/>
  <c r="K44" i="31"/>
  <c r="F45" i="31"/>
  <c r="K45" i="31"/>
  <c r="F46" i="31"/>
  <c r="K46" i="31"/>
  <c r="F47" i="31"/>
  <c r="K47" i="31"/>
  <c r="F48" i="31"/>
  <c r="K48" i="31"/>
  <c r="F49" i="31"/>
  <c r="K49" i="31"/>
  <c r="F50" i="31"/>
  <c r="K50" i="31"/>
  <c r="F51" i="31"/>
  <c r="K51" i="31"/>
  <c r="F52" i="31"/>
  <c r="K52" i="31"/>
  <c r="F53" i="31"/>
  <c r="K53" i="31"/>
  <c r="F54" i="31"/>
  <c r="K54" i="31"/>
  <c r="F55" i="31"/>
  <c r="K55" i="31"/>
  <c r="F56" i="31"/>
  <c r="K56" i="31"/>
  <c r="F57" i="31"/>
  <c r="K57" i="31"/>
  <c r="F58" i="31"/>
  <c r="K58" i="31"/>
  <c r="F59" i="31"/>
  <c r="K59" i="31"/>
  <c r="F60" i="31"/>
  <c r="K60" i="31"/>
  <c r="F61" i="31"/>
  <c r="K61" i="31"/>
  <c r="F62" i="31"/>
  <c r="K62" i="31"/>
  <c r="F63" i="31"/>
  <c r="K63" i="31"/>
  <c r="F64" i="31"/>
  <c r="K64" i="31"/>
  <c r="F65" i="31"/>
  <c r="K65" i="31"/>
  <c r="F66" i="31"/>
  <c r="K66" i="31"/>
  <c r="F67" i="31"/>
  <c r="K67" i="31"/>
  <c r="F68" i="31"/>
  <c r="K68" i="31"/>
  <c r="F69" i="31"/>
  <c r="K69" i="31"/>
  <c r="F70" i="31"/>
  <c r="K70" i="31"/>
  <c r="F71" i="31"/>
  <c r="K71" i="31"/>
  <c r="F72" i="31"/>
  <c r="K72" i="31"/>
  <c r="F73" i="31"/>
  <c r="K73" i="31"/>
  <c r="F74" i="31"/>
  <c r="K74" i="31"/>
  <c r="F75" i="31"/>
  <c r="K75" i="31"/>
  <c r="F76" i="31"/>
  <c r="K76" i="31"/>
  <c r="F77" i="31"/>
  <c r="K77" i="31"/>
  <c r="F78" i="31"/>
  <c r="K78" i="31"/>
  <c r="F79" i="31"/>
  <c r="K79" i="31"/>
  <c r="F80" i="31"/>
  <c r="K80" i="31"/>
  <c r="F81" i="31"/>
  <c r="K81" i="31"/>
  <c r="F82" i="31"/>
  <c r="K82" i="31"/>
  <c r="F83" i="31"/>
  <c r="K83" i="31"/>
  <c r="F84" i="31"/>
  <c r="K84" i="31"/>
  <c r="F85" i="31"/>
  <c r="K85" i="31"/>
  <c r="F86" i="31"/>
  <c r="K86" i="31"/>
  <c r="F87" i="31"/>
  <c r="K87" i="31"/>
  <c r="F88" i="31"/>
  <c r="K88" i="31"/>
  <c r="F89" i="31"/>
  <c r="K89" i="31"/>
  <c r="F90" i="31"/>
  <c r="K90" i="31"/>
  <c r="F91" i="31"/>
  <c r="K91" i="31"/>
  <c r="F92" i="31"/>
  <c r="K92" i="31"/>
  <c r="F93" i="31"/>
  <c r="K93" i="31"/>
  <c r="F94" i="31"/>
  <c r="K94" i="31"/>
  <c r="F95" i="31"/>
  <c r="K95" i="31"/>
  <c r="F96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F126" i="31"/>
  <c r="K126" i="31"/>
  <c r="F127" i="31"/>
  <c r="K127" i="31"/>
  <c r="F128" i="31"/>
  <c r="K128" i="31"/>
  <c r="F129" i="31"/>
  <c r="K129" i="31"/>
  <c r="F130" i="31"/>
  <c r="K130" i="31"/>
  <c r="F131" i="31"/>
  <c r="K131" i="31"/>
  <c r="F132" i="31"/>
  <c r="K132" i="31"/>
  <c r="F133" i="31"/>
  <c r="K133" i="31"/>
  <c r="F134" i="31"/>
  <c r="K134" i="31"/>
  <c r="F135" i="31"/>
  <c r="K135" i="31"/>
  <c r="F136" i="31"/>
  <c r="K136" i="31"/>
  <c r="F137" i="31"/>
  <c r="K137" i="31"/>
  <c r="F138" i="31"/>
  <c r="K138" i="31"/>
  <c r="F139" i="31"/>
  <c r="K139" i="31"/>
  <c r="F140" i="31"/>
  <c r="K140" i="31"/>
  <c r="F141" i="31"/>
  <c r="K141" i="31"/>
  <c r="F142" i="31"/>
  <c r="K142" i="31"/>
  <c r="F143" i="31"/>
  <c r="K143" i="31"/>
  <c r="F144" i="31"/>
  <c r="K144" i="31"/>
  <c r="F145" i="31"/>
  <c r="K145" i="31"/>
  <c r="A2" i="31"/>
  <c r="B2" i="31"/>
  <c r="A3" i="31"/>
  <c r="B3" i="31"/>
  <c r="A4" i="31"/>
  <c r="B4" i="31"/>
  <c r="A5" i="31"/>
  <c r="B5" i="31"/>
  <c r="A6" i="31"/>
  <c r="B6" i="31"/>
  <c r="A7" i="31"/>
  <c r="B7" i="31"/>
  <c r="A8" i="31"/>
  <c r="B8" i="31"/>
  <c r="A9" i="31"/>
  <c r="B9" i="31"/>
  <c r="A10" i="31"/>
  <c r="B10" i="31"/>
  <c r="A11" i="31"/>
  <c r="B11" i="31"/>
  <c r="A12" i="31"/>
  <c r="B12" i="31"/>
  <c r="A13" i="31"/>
  <c r="B13" i="31"/>
  <c r="A14" i="31"/>
  <c r="B14" i="31"/>
  <c r="A15" i="31"/>
  <c r="B15" i="31"/>
  <c r="A16" i="31"/>
  <c r="B16" i="31"/>
  <c r="A17" i="31"/>
  <c r="B17" i="31"/>
  <c r="A18" i="31"/>
  <c r="B18" i="31"/>
  <c r="A19" i="31"/>
  <c r="B19" i="31"/>
  <c r="A20" i="31"/>
  <c r="B20" i="31"/>
  <c r="A21" i="31"/>
  <c r="B21" i="31"/>
  <c r="A22" i="31"/>
  <c r="B22" i="31"/>
  <c r="A23" i="31"/>
  <c r="B23" i="31"/>
  <c r="A24" i="31"/>
  <c r="B24" i="31"/>
  <c r="A25" i="31"/>
  <c r="B25" i="31"/>
  <c r="A26" i="31"/>
  <c r="B26" i="31"/>
  <c r="A27" i="31"/>
  <c r="B27" i="31"/>
  <c r="A28" i="31"/>
  <c r="B28" i="31"/>
  <c r="A29" i="31"/>
  <c r="B29" i="31"/>
  <c r="A30" i="31"/>
  <c r="B30" i="31"/>
  <c r="A31" i="31"/>
  <c r="B31" i="31"/>
  <c r="A32" i="31"/>
  <c r="B32" i="31"/>
  <c r="A33" i="31"/>
  <c r="B33" i="31"/>
  <c r="A34" i="31"/>
  <c r="B34" i="31"/>
  <c r="A35" i="31"/>
  <c r="B35" i="31"/>
  <c r="A36" i="31"/>
  <c r="B36" i="31"/>
  <c r="A37" i="31"/>
  <c r="B37" i="31"/>
  <c r="A38" i="31"/>
  <c r="B38" i="31"/>
  <c r="A39" i="31"/>
  <c r="B39" i="31"/>
  <c r="A40" i="31"/>
  <c r="B40" i="31"/>
  <c r="A41" i="31"/>
  <c r="B41" i="31"/>
  <c r="A42" i="31"/>
  <c r="B42" i="31"/>
  <c r="A43" i="31"/>
  <c r="B43" i="31"/>
  <c r="A44" i="31"/>
  <c r="B44" i="31"/>
  <c r="A45" i="31"/>
  <c r="B45" i="31"/>
  <c r="A46" i="31"/>
  <c r="B46" i="31"/>
  <c r="A47" i="31"/>
  <c r="B47" i="31"/>
  <c r="A48" i="31"/>
  <c r="B48" i="31"/>
  <c r="A49" i="31"/>
  <c r="B49" i="31"/>
  <c r="A50" i="31"/>
  <c r="B50" i="31"/>
  <c r="A51" i="31"/>
  <c r="B51" i="31"/>
  <c r="A52" i="31"/>
  <c r="B52" i="31"/>
  <c r="A53" i="31"/>
  <c r="B53" i="31"/>
  <c r="A54" i="31"/>
  <c r="B54" i="31"/>
  <c r="A55" i="31"/>
  <c r="B55" i="31"/>
  <c r="A56" i="31"/>
  <c r="B56" i="31"/>
  <c r="A57" i="31"/>
  <c r="B57" i="31"/>
  <c r="A58" i="31"/>
  <c r="B58" i="31"/>
  <c r="A59" i="31"/>
  <c r="B59" i="31"/>
  <c r="A60" i="31"/>
  <c r="B60" i="31"/>
  <c r="A61" i="31"/>
  <c r="B61" i="31"/>
  <c r="A62" i="31"/>
  <c r="B62" i="31"/>
  <c r="A63" i="31"/>
  <c r="B63" i="31"/>
  <c r="A64" i="31"/>
  <c r="B64" i="31"/>
  <c r="A65" i="31"/>
  <c r="B65" i="31"/>
  <c r="A66" i="31"/>
  <c r="B66" i="31"/>
  <c r="A67" i="31"/>
  <c r="B67" i="31"/>
  <c r="A68" i="31"/>
  <c r="B68" i="31"/>
  <c r="A69" i="31"/>
  <c r="B69" i="31"/>
  <c r="A70" i="31"/>
  <c r="B70" i="31"/>
  <c r="A71" i="31"/>
  <c r="B71" i="31"/>
  <c r="A72" i="31"/>
  <c r="B72" i="31"/>
  <c r="A73" i="31"/>
  <c r="B73" i="31"/>
  <c r="A74" i="31"/>
  <c r="B74" i="31"/>
  <c r="A75" i="31"/>
  <c r="B75" i="31"/>
  <c r="A76" i="31"/>
  <c r="B76" i="31"/>
  <c r="A77" i="31"/>
  <c r="B77" i="31"/>
  <c r="A78" i="31"/>
  <c r="B78" i="31"/>
  <c r="A79" i="31"/>
  <c r="B79" i="31"/>
  <c r="A80" i="31"/>
  <c r="B80" i="31"/>
  <c r="A81" i="31"/>
  <c r="B81" i="31"/>
  <c r="A82" i="31"/>
  <c r="B82" i="31"/>
  <c r="A83" i="31"/>
  <c r="B83" i="31"/>
  <c r="A84" i="31"/>
  <c r="B84" i="31"/>
  <c r="A85" i="31"/>
  <c r="B85" i="31"/>
  <c r="A86" i="31"/>
  <c r="B86" i="31"/>
  <c r="A87" i="31"/>
  <c r="B87" i="31"/>
  <c r="A88" i="31"/>
  <c r="B88" i="31"/>
  <c r="A89" i="31"/>
  <c r="B89" i="31"/>
  <c r="A90" i="31"/>
  <c r="B90" i="31"/>
  <c r="A91" i="31"/>
  <c r="B91" i="31"/>
  <c r="A92" i="31"/>
  <c r="B92" i="31"/>
  <c r="A93" i="31"/>
  <c r="B93" i="31"/>
  <c r="A94" i="31"/>
  <c r="B94" i="31"/>
  <c r="A95" i="31"/>
  <c r="B95" i="31"/>
  <c r="A96" i="31"/>
  <c r="B96" i="31"/>
  <c r="A97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H5" i="34"/>
  <c r="AE13" i="17"/>
  <c r="BR14" i="34"/>
  <c r="AE5" i="17"/>
  <c r="AE4" i="17"/>
  <c r="AF5" i="17"/>
  <c r="AE6" i="17"/>
  <c r="AF6" i="17"/>
  <c r="AE7" i="17"/>
  <c r="AF7" i="17"/>
  <c r="AE8" i="17"/>
  <c r="AF8" i="17"/>
  <c r="AE9" i="17"/>
  <c r="AF9" i="17"/>
  <c r="AE10" i="17"/>
  <c r="AF10" i="17"/>
  <c r="AE11" i="17"/>
  <c r="AF11" i="17"/>
  <c r="AE12" i="17"/>
  <c r="AF13" i="17"/>
  <c r="BR15" i="34"/>
  <c r="BR16" i="34"/>
  <c r="AI13" i="17"/>
  <c r="BX14" i="34"/>
  <c r="AI5" i="17"/>
  <c r="AI4" i="17"/>
  <c r="AJ5" i="17"/>
  <c r="AI6" i="17"/>
  <c r="AJ6" i="17"/>
  <c r="AI7" i="17"/>
  <c r="AJ7" i="17"/>
  <c r="AI8" i="17"/>
  <c r="AJ8" i="17"/>
  <c r="AI9" i="17"/>
  <c r="AJ9" i="17"/>
  <c r="AI10" i="17"/>
  <c r="AJ10" i="17"/>
  <c r="AI11" i="17"/>
  <c r="AJ11" i="17"/>
  <c r="AI12" i="17"/>
  <c r="AJ12" i="17"/>
  <c r="AJ13" i="17"/>
  <c r="BX15" i="34"/>
  <c r="AJ15" i="17"/>
  <c r="BX16" i="34"/>
  <c r="F86" i="27"/>
  <c r="F98" i="27"/>
  <c r="F110" i="27"/>
  <c r="F122" i="27"/>
  <c r="F134" i="27"/>
  <c r="O134" i="27"/>
  <c r="G86" i="27"/>
  <c r="G98" i="27"/>
  <c r="G110" i="27"/>
  <c r="G122" i="27"/>
  <c r="G134" i="27"/>
  <c r="P134" i="27"/>
  <c r="H86" i="27"/>
  <c r="H134" i="27"/>
  <c r="Q134" i="27"/>
  <c r="I86" i="27"/>
  <c r="I98" i="27"/>
  <c r="I110" i="27"/>
  <c r="I122" i="27"/>
  <c r="I134" i="27"/>
  <c r="R134" i="27"/>
  <c r="J97" i="27"/>
  <c r="J98" i="27"/>
  <c r="J99" i="27"/>
  <c r="J100" i="27"/>
  <c r="J101" i="27"/>
  <c r="J102" i="27"/>
  <c r="J103" i="27"/>
  <c r="J104" i="27"/>
  <c r="J105" i="27"/>
  <c r="J106" i="27"/>
  <c r="J107" i="27"/>
  <c r="J108" i="27"/>
  <c r="J109" i="27"/>
  <c r="J110" i="27"/>
  <c r="J111" i="27"/>
  <c r="J112" i="27"/>
  <c r="J113" i="27"/>
  <c r="J114" i="27"/>
  <c r="J115" i="27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J134" i="27"/>
  <c r="S134" i="27"/>
  <c r="L134" i="27"/>
  <c r="F87" i="27"/>
  <c r="F99" i="27"/>
  <c r="F111" i="27"/>
  <c r="F123" i="27"/>
  <c r="F135" i="27"/>
  <c r="O135" i="27"/>
  <c r="G87" i="27"/>
  <c r="G99" i="27"/>
  <c r="G111" i="27"/>
  <c r="G123" i="27"/>
  <c r="G135" i="27"/>
  <c r="P135" i="27"/>
  <c r="H87" i="27"/>
  <c r="H135" i="27"/>
  <c r="Q135" i="27"/>
  <c r="I87" i="27"/>
  <c r="I99" i="27"/>
  <c r="I111" i="27"/>
  <c r="I123" i="27"/>
  <c r="I135" i="27"/>
  <c r="R135" i="27"/>
  <c r="J135" i="27"/>
  <c r="S135" i="27"/>
  <c r="L135" i="27"/>
  <c r="F88" i="27"/>
  <c r="F100" i="27"/>
  <c r="F112" i="27"/>
  <c r="F124" i="27"/>
  <c r="F136" i="27"/>
  <c r="O136" i="27"/>
  <c r="G88" i="27"/>
  <c r="G100" i="27"/>
  <c r="G112" i="27"/>
  <c r="G124" i="27"/>
  <c r="G136" i="27"/>
  <c r="P136" i="27"/>
  <c r="H88" i="27"/>
  <c r="H136" i="27"/>
  <c r="Q136" i="27"/>
  <c r="I88" i="27"/>
  <c r="I100" i="27"/>
  <c r="I112" i="27"/>
  <c r="I124" i="27"/>
  <c r="I136" i="27"/>
  <c r="R136" i="27"/>
  <c r="J136" i="27"/>
  <c r="S136" i="27"/>
  <c r="L136" i="27"/>
  <c r="F89" i="27"/>
  <c r="F101" i="27"/>
  <c r="F113" i="27"/>
  <c r="F125" i="27"/>
  <c r="F137" i="27"/>
  <c r="O137" i="27"/>
  <c r="G89" i="27"/>
  <c r="G101" i="27"/>
  <c r="G113" i="27"/>
  <c r="G125" i="27"/>
  <c r="G137" i="27"/>
  <c r="P137" i="27"/>
  <c r="H89" i="27"/>
  <c r="H137" i="27"/>
  <c r="Q137" i="27"/>
  <c r="I89" i="27"/>
  <c r="I101" i="27"/>
  <c r="I113" i="27"/>
  <c r="I125" i="27"/>
  <c r="I137" i="27"/>
  <c r="R137" i="27"/>
  <c r="J137" i="27"/>
  <c r="S137" i="27"/>
  <c r="L137" i="27"/>
  <c r="F2" i="27"/>
  <c r="O2" i="27"/>
  <c r="G2" i="27"/>
  <c r="P2" i="27"/>
  <c r="H2" i="27"/>
  <c r="Q2" i="27"/>
  <c r="I2" i="27"/>
  <c r="R2" i="27"/>
  <c r="J2" i="27"/>
  <c r="S2" i="27"/>
  <c r="L2" i="27"/>
  <c r="F3" i="27"/>
  <c r="O3" i="27"/>
  <c r="G3" i="27"/>
  <c r="P3" i="27"/>
  <c r="H3" i="27"/>
  <c r="Q3" i="27"/>
  <c r="I3" i="27"/>
  <c r="R3" i="27"/>
  <c r="J3" i="27"/>
  <c r="S3" i="27"/>
  <c r="L3" i="27"/>
  <c r="F4" i="27"/>
  <c r="O4" i="27"/>
  <c r="G4" i="27"/>
  <c r="P4" i="27"/>
  <c r="H4" i="27"/>
  <c r="Q4" i="27"/>
  <c r="I4" i="27"/>
  <c r="R4" i="27"/>
  <c r="J4" i="27"/>
  <c r="S4" i="27"/>
  <c r="L4" i="27"/>
  <c r="F5" i="27"/>
  <c r="O5" i="27"/>
  <c r="G5" i="27"/>
  <c r="P5" i="27"/>
  <c r="H5" i="27"/>
  <c r="Q5" i="27"/>
  <c r="I5" i="27"/>
  <c r="R5" i="27"/>
  <c r="J5" i="27"/>
  <c r="S5" i="27"/>
  <c r="L5" i="27"/>
  <c r="F6" i="27"/>
  <c r="O6" i="27"/>
  <c r="G6" i="27"/>
  <c r="P6" i="27"/>
  <c r="H6" i="27"/>
  <c r="Q6" i="27"/>
  <c r="I6" i="27"/>
  <c r="R6" i="27"/>
  <c r="J6" i="27"/>
  <c r="S6" i="27"/>
  <c r="L6" i="27"/>
  <c r="F7" i="27"/>
  <c r="O7" i="27"/>
  <c r="G7" i="27"/>
  <c r="P7" i="27"/>
  <c r="H7" i="27"/>
  <c r="Q7" i="27"/>
  <c r="I7" i="27"/>
  <c r="R7" i="27"/>
  <c r="J7" i="27"/>
  <c r="S7" i="27"/>
  <c r="L7" i="27"/>
  <c r="F8" i="27"/>
  <c r="O8" i="27"/>
  <c r="G8" i="27"/>
  <c r="P8" i="27"/>
  <c r="H8" i="27"/>
  <c r="Q8" i="27"/>
  <c r="I8" i="27"/>
  <c r="R8" i="27"/>
  <c r="J8" i="27"/>
  <c r="S8" i="27"/>
  <c r="L8" i="27"/>
  <c r="F9" i="27"/>
  <c r="O9" i="27"/>
  <c r="G9" i="27"/>
  <c r="P9" i="27"/>
  <c r="H9" i="27"/>
  <c r="Q9" i="27"/>
  <c r="I9" i="27"/>
  <c r="R9" i="27"/>
  <c r="J9" i="27"/>
  <c r="S9" i="27"/>
  <c r="L9" i="27"/>
  <c r="F10" i="27"/>
  <c r="O10" i="27"/>
  <c r="G10" i="27"/>
  <c r="P10" i="27"/>
  <c r="H10" i="27"/>
  <c r="Q10" i="27"/>
  <c r="I10" i="27"/>
  <c r="R10" i="27"/>
  <c r="J10" i="27"/>
  <c r="S10" i="27"/>
  <c r="L10" i="27"/>
  <c r="F11" i="27"/>
  <c r="O11" i="27"/>
  <c r="G11" i="27"/>
  <c r="P11" i="27"/>
  <c r="H11" i="27"/>
  <c r="Q11" i="27"/>
  <c r="I11" i="27"/>
  <c r="R11" i="27"/>
  <c r="J11" i="27"/>
  <c r="S11" i="27"/>
  <c r="L11" i="27"/>
  <c r="F12" i="27"/>
  <c r="O12" i="27"/>
  <c r="G12" i="27"/>
  <c r="P12" i="27"/>
  <c r="H12" i="27"/>
  <c r="Q12" i="27"/>
  <c r="I12" i="27"/>
  <c r="R12" i="27"/>
  <c r="J12" i="27"/>
  <c r="S12" i="27"/>
  <c r="L12" i="27"/>
  <c r="F13" i="27"/>
  <c r="O13" i="27"/>
  <c r="G13" i="27"/>
  <c r="P13" i="27"/>
  <c r="H13" i="27"/>
  <c r="Q13" i="27"/>
  <c r="I13" i="27"/>
  <c r="R13" i="27"/>
  <c r="J13" i="27"/>
  <c r="S13" i="27"/>
  <c r="L13" i="27"/>
  <c r="F14" i="27"/>
  <c r="O14" i="27"/>
  <c r="G14" i="27"/>
  <c r="P14" i="27"/>
  <c r="H14" i="27"/>
  <c r="Q14" i="27"/>
  <c r="I14" i="27"/>
  <c r="R14" i="27"/>
  <c r="J14" i="27"/>
  <c r="S14" i="27"/>
  <c r="L14" i="27"/>
  <c r="F15" i="27"/>
  <c r="O15" i="27"/>
  <c r="G15" i="27"/>
  <c r="P15" i="27"/>
  <c r="H15" i="27"/>
  <c r="Q15" i="27"/>
  <c r="I15" i="27"/>
  <c r="R15" i="27"/>
  <c r="J15" i="27"/>
  <c r="S15" i="27"/>
  <c r="L15" i="27"/>
  <c r="F16" i="27"/>
  <c r="O16" i="27"/>
  <c r="G16" i="27"/>
  <c r="P16" i="27"/>
  <c r="H16" i="27"/>
  <c r="Q16" i="27"/>
  <c r="I16" i="27"/>
  <c r="R16" i="27"/>
  <c r="J16" i="27"/>
  <c r="S16" i="27"/>
  <c r="L16" i="27"/>
  <c r="F17" i="27"/>
  <c r="O17" i="27"/>
  <c r="G17" i="27"/>
  <c r="P17" i="27"/>
  <c r="H17" i="27"/>
  <c r="Q17" i="27"/>
  <c r="I17" i="27"/>
  <c r="R17" i="27"/>
  <c r="J17" i="27"/>
  <c r="S17" i="27"/>
  <c r="L17" i="27"/>
  <c r="F18" i="27"/>
  <c r="O18" i="27"/>
  <c r="G18" i="27"/>
  <c r="P18" i="27"/>
  <c r="H18" i="27"/>
  <c r="Q18" i="27"/>
  <c r="I18" i="27"/>
  <c r="R18" i="27"/>
  <c r="J18" i="27"/>
  <c r="S18" i="27"/>
  <c r="L18" i="27"/>
  <c r="F19" i="27"/>
  <c r="O19" i="27"/>
  <c r="G19" i="27"/>
  <c r="P19" i="27"/>
  <c r="H19" i="27"/>
  <c r="Q19" i="27"/>
  <c r="I19" i="27"/>
  <c r="R19" i="27"/>
  <c r="J19" i="27"/>
  <c r="S19" i="27"/>
  <c r="L19" i="27"/>
  <c r="F20" i="27"/>
  <c r="O20" i="27"/>
  <c r="G20" i="27"/>
  <c r="P20" i="27"/>
  <c r="H20" i="27"/>
  <c r="Q20" i="27"/>
  <c r="I20" i="27"/>
  <c r="R20" i="27"/>
  <c r="J20" i="27"/>
  <c r="S20" i="27"/>
  <c r="L20" i="27"/>
  <c r="F21" i="27"/>
  <c r="O21" i="27"/>
  <c r="G21" i="27"/>
  <c r="P21" i="27"/>
  <c r="H21" i="27"/>
  <c r="Q21" i="27"/>
  <c r="I21" i="27"/>
  <c r="R21" i="27"/>
  <c r="J21" i="27"/>
  <c r="S21" i="27"/>
  <c r="L21" i="27"/>
  <c r="F22" i="27"/>
  <c r="O22" i="27"/>
  <c r="G22" i="27"/>
  <c r="P22" i="27"/>
  <c r="H22" i="27"/>
  <c r="Q22" i="27"/>
  <c r="I22" i="27"/>
  <c r="R22" i="27"/>
  <c r="J22" i="27"/>
  <c r="S22" i="27"/>
  <c r="L22" i="27"/>
  <c r="F23" i="27"/>
  <c r="O23" i="27"/>
  <c r="G23" i="27"/>
  <c r="P23" i="27"/>
  <c r="H23" i="27"/>
  <c r="Q23" i="27"/>
  <c r="I23" i="27"/>
  <c r="R23" i="27"/>
  <c r="J23" i="27"/>
  <c r="S23" i="27"/>
  <c r="L23" i="27"/>
  <c r="F24" i="27"/>
  <c r="O24" i="27"/>
  <c r="G24" i="27"/>
  <c r="P24" i="27"/>
  <c r="H24" i="27"/>
  <c r="Q24" i="27"/>
  <c r="I24" i="27"/>
  <c r="R24" i="27"/>
  <c r="J24" i="27"/>
  <c r="S24" i="27"/>
  <c r="L24" i="27"/>
  <c r="F25" i="27"/>
  <c r="O25" i="27"/>
  <c r="G25" i="27"/>
  <c r="P25" i="27"/>
  <c r="H25" i="27"/>
  <c r="Q25" i="27"/>
  <c r="I25" i="27"/>
  <c r="R25" i="27"/>
  <c r="J25" i="27"/>
  <c r="S25" i="27"/>
  <c r="L25" i="27"/>
  <c r="F26" i="27"/>
  <c r="O26" i="27"/>
  <c r="G26" i="27"/>
  <c r="P26" i="27"/>
  <c r="H26" i="27"/>
  <c r="Q26" i="27"/>
  <c r="I26" i="27"/>
  <c r="R26" i="27"/>
  <c r="J26" i="27"/>
  <c r="S26" i="27"/>
  <c r="L26" i="27"/>
  <c r="F27" i="27"/>
  <c r="O27" i="27"/>
  <c r="G27" i="27"/>
  <c r="P27" i="27"/>
  <c r="H27" i="27"/>
  <c r="Q27" i="27"/>
  <c r="I27" i="27"/>
  <c r="R27" i="27"/>
  <c r="J27" i="27"/>
  <c r="S27" i="27"/>
  <c r="L27" i="27"/>
  <c r="F28" i="27"/>
  <c r="O28" i="27"/>
  <c r="G28" i="27"/>
  <c r="P28" i="27"/>
  <c r="H28" i="27"/>
  <c r="Q28" i="27"/>
  <c r="I28" i="27"/>
  <c r="R28" i="27"/>
  <c r="J28" i="27"/>
  <c r="S28" i="27"/>
  <c r="L28" i="27"/>
  <c r="F29" i="27"/>
  <c r="O29" i="27"/>
  <c r="G29" i="27"/>
  <c r="P29" i="27"/>
  <c r="H29" i="27"/>
  <c r="Q29" i="27"/>
  <c r="I29" i="27"/>
  <c r="R29" i="27"/>
  <c r="J29" i="27"/>
  <c r="S29" i="27"/>
  <c r="L29" i="27"/>
  <c r="F30" i="27"/>
  <c r="O30" i="27"/>
  <c r="G30" i="27"/>
  <c r="P30" i="27"/>
  <c r="H30" i="27"/>
  <c r="Q30" i="27"/>
  <c r="I30" i="27"/>
  <c r="R30" i="27"/>
  <c r="J30" i="27"/>
  <c r="S30" i="27"/>
  <c r="L30" i="27"/>
  <c r="F31" i="27"/>
  <c r="O31" i="27"/>
  <c r="G31" i="27"/>
  <c r="P31" i="27"/>
  <c r="H31" i="27"/>
  <c r="Q31" i="27"/>
  <c r="I31" i="27"/>
  <c r="R31" i="27"/>
  <c r="J31" i="27"/>
  <c r="S31" i="27"/>
  <c r="L31" i="27"/>
  <c r="F32" i="27"/>
  <c r="O32" i="27"/>
  <c r="G32" i="27"/>
  <c r="P32" i="27"/>
  <c r="H32" i="27"/>
  <c r="Q32" i="27"/>
  <c r="I32" i="27"/>
  <c r="R32" i="27"/>
  <c r="J32" i="27"/>
  <c r="S32" i="27"/>
  <c r="L32" i="27"/>
  <c r="F33" i="27"/>
  <c r="O33" i="27"/>
  <c r="G33" i="27"/>
  <c r="P33" i="27"/>
  <c r="H33" i="27"/>
  <c r="Q33" i="27"/>
  <c r="I33" i="27"/>
  <c r="R33" i="27"/>
  <c r="J33" i="27"/>
  <c r="S33" i="27"/>
  <c r="L33" i="27"/>
  <c r="F34" i="27"/>
  <c r="O34" i="27"/>
  <c r="G34" i="27"/>
  <c r="P34" i="27"/>
  <c r="H34" i="27"/>
  <c r="Q34" i="27"/>
  <c r="I34" i="27"/>
  <c r="R34" i="27"/>
  <c r="J34" i="27"/>
  <c r="S34" i="27"/>
  <c r="L34" i="27"/>
  <c r="F35" i="27"/>
  <c r="O35" i="27"/>
  <c r="G35" i="27"/>
  <c r="P35" i="27"/>
  <c r="H35" i="27"/>
  <c r="Q35" i="27"/>
  <c r="I35" i="27"/>
  <c r="R35" i="27"/>
  <c r="J35" i="27"/>
  <c r="S35" i="27"/>
  <c r="L35" i="27"/>
  <c r="F36" i="27"/>
  <c r="O36" i="27"/>
  <c r="G36" i="27"/>
  <c r="P36" i="27"/>
  <c r="H36" i="27"/>
  <c r="Q36" i="27"/>
  <c r="I36" i="27"/>
  <c r="R36" i="27"/>
  <c r="J36" i="27"/>
  <c r="S36" i="27"/>
  <c r="L36" i="27"/>
  <c r="F37" i="27"/>
  <c r="O37" i="27"/>
  <c r="G37" i="27"/>
  <c r="P37" i="27"/>
  <c r="H37" i="27"/>
  <c r="Q37" i="27"/>
  <c r="I37" i="27"/>
  <c r="R37" i="27"/>
  <c r="J37" i="27"/>
  <c r="S37" i="27"/>
  <c r="L37" i="27"/>
  <c r="F38" i="27"/>
  <c r="O38" i="27"/>
  <c r="G38" i="27"/>
  <c r="P38" i="27"/>
  <c r="H38" i="27"/>
  <c r="Q38" i="27"/>
  <c r="I38" i="27"/>
  <c r="R38" i="27"/>
  <c r="J38" i="27"/>
  <c r="S38" i="27"/>
  <c r="L38" i="27"/>
  <c r="F39" i="27"/>
  <c r="O39" i="27"/>
  <c r="G39" i="27"/>
  <c r="P39" i="27"/>
  <c r="H39" i="27"/>
  <c r="Q39" i="27"/>
  <c r="I39" i="27"/>
  <c r="R39" i="27"/>
  <c r="J39" i="27"/>
  <c r="S39" i="27"/>
  <c r="L39" i="27"/>
  <c r="F40" i="27"/>
  <c r="O40" i="27"/>
  <c r="G40" i="27"/>
  <c r="P40" i="27"/>
  <c r="H40" i="27"/>
  <c r="Q40" i="27"/>
  <c r="I40" i="27"/>
  <c r="R40" i="27"/>
  <c r="J40" i="27"/>
  <c r="S40" i="27"/>
  <c r="L40" i="27"/>
  <c r="F41" i="27"/>
  <c r="O41" i="27"/>
  <c r="G41" i="27"/>
  <c r="P41" i="27"/>
  <c r="H41" i="27"/>
  <c r="Q41" i="27"/>
  <c r="I41" i="27"/>
  <c r="R41" i="27"/>
  <c r="J41" i="27"/>
  <c r="S41" i="27"/>
  <c r="L41" i="27"/>
  <c r="F42" i="27"/>
  <c r="O42" i="27"/>
  <c r="G42" i="27"/>
  <c r="P42" i="27"/>
  <c r="H42" i="27"/>
  <c r="Q42" i="27"/>
  <c r="I42" i="27"/>
  <c r="R42" i="27"/>
  <c r="J42" i="27"/>
  <c r="S42" i="27"/>
  <c r="L42" i="27"/>
  <c r="F43" i="27"/>
  <c r="O43" i="27"/>
  <c r="G43" i="27"/>
  <c r="P43" i="27"/>
  <c r="H43" i="27"/>
  <c r="Q43" i="27"/>
  <c r="I43" i="27"/>
  <c r="R43" i="27"/>
  <c r="J43" i="27"/>
  <c r="S43" i="27"/>
  <c r="L43" i="27"/>
  <c r="F44" i="27"/>
  <c r="O44" i="27"/>
  <c r="G44" i="27"/>
  <c r="P44" i="27"/>
  <c r="H44" i="27"/>
  <c r="Q44" i="27"/>
  <c r="I44" i="27"/>
  <c r="R44" i="27"/>
  <c r="J44" i="27"/>
  <c r="S44" i="27"/>
  <c r="L44" i="27"/>
  <c r="F45" i="27"/>
  <c r="O45" i="27"/>
  <c r="G45" i="27"/>
  <c r="P45" i="27"/>
  <c r="H45" i="27"/>
  <c r="Q45" i="27"/>
  <c r="I45" i="27"/>
  <c r="R45" i="27"/>
  <c r="J45" i="27"/>
  <c r="S45" i="27"/>
  <c r="L45" i="27"/>
  <c r="F46" i="27"/>
  <c r="O46" i="27"/>
  <c r="G46" i="27"/>
  <c r="P46" i="27"/>
  <c r="H46" i="27"/>
  <c r="Q46" i="27"/>
  <c r="I46" i="27"/>
  <c r="R46" i="27"/>
  <c r="J46" i="27"/>
  <c r="S46" i="27"/>
  <c r="L46" i="27"/>
  <c r="F47" i="27"/>
  <c r="O47" i="27"/>
  <c r="G47" i="27"/>
  <c r="P47" i="27"/>
  <c r="H47" i="27"/>
  <c r="Q47" i="27"/>
  <c r="I47" i="27"/>
  <c r="R47" i="27"/>
  <c r="J47" i="27"/>
  <c r="S47" i="27"/>
  <c r="L47" i="27"/>
  <c r="F48" i="27"/>
  <c r="O48" i="27"/>
  <c r="G48" i="27"/>
  <c r="P48" i="27"/>
  <c r="H48" i="27"/>
  <c r="Q48" i="27"/>
  <c r="I48" i="27"/>
  <c r="R48" i="27"/>
  <c r="J48" i="27"/>
  <c r="S48" i="27"/>
  <c r="L48" i="27"/>
  <c r="F49" i="27"/>
  <c r="O49" i="27"/>
  <c r="G49" i="27"/>
  <c r="P49" i="27"/>
  <c r="H49" i="27"/>
  <c r="Q49" i="27"/>
  <c r="I49" i="27"/>
  <c r="R49" i="27"/>
  <c r="J49" i="27"/>
  <c r="S49" i="27"/>
  <c r="L49" i="27"/>
  <c r="F50" i="27"/>
  <c r="O50" i="27"/>
  <c r="G50" i="27"/>
  <c r="P50" i="27"/>
  <c r="H50" i="27"/>
  <c r="Q50" i="27"/>
  <c r="I50" i="27"/>
  <c r="R50" i="27"/>
  <c r="J50" i="27"/>
  <c r="S50" i="27"/>
  <c r="L50" i="27"/>
  <c r="F51" i="27"/>
  <c r="O51" i="27"/>
  <c r="G51" i="27"/>
  <c r="P51" i="27"/>
  <c r="H51" i="27"/>
  <c r="Q51" i="27"/>
  <c r="I51" i="27"/>
  <c r="R51" i="27"/>
  <c r="J51" i="27"/>
  <c r="S51" i="27"/>
  <c r="L51" i="27"/>
  <c r="F52" i="27"/>
  <c r="O52" i="27"/>
  <c r="G52" i="27"/>
  <c r="P52" i="27"/>
  <c r="H52" i="27"/>
  <c r="Q52" i="27"/>
  <c r="I52" i="27"/>
  <c r="R52" i="27"/>
  <c r="J52" i="27"/>
  <c r="S52" i="27"/>
  <c r="L52" i="27"/>
  <c r="F53" i="27"/>
  <c r="O53" i="27"/>
  <c r="G53" i="27"/>
  <c r="P53" i="27"/>
  <c r="H53" i="27"/>
  <c r="Q53" i="27"/>
  <c r="I53" i="27"/>
  <c r="R53" i="27"/>
  <c r="J53" i="27"/>
  <c r="S53" i="27"/>
  <c r="L53" i="27"/>
  <c r="F54" i="27"/>
  <c r="O54" i="27"/>
  <c r="G54" i="27"/>
  <c r="P54" i="27"/>
  <c r="H54" i="27"/>
  <c r="Q54" i="27"/>
  <c r="I54" i="27"/>
  <c r="R54" i="27"/>
  <c r="J54" i="27"/>
  <c r="S54" i="27"/>
  <c r="L54" i="27"/>
  <c r="F55" i="27"/>
  <c r="O55" i="27"/>
  <c r="G55" i="27"/>
  <c r="P55" i="27"/>
  <c r="H55" i="27"/>
  <c r="Q55" i="27"/>
  <c r="I55" i="27"/>
  <c r="R55" i="27"/>
  <c r="J55" i="27"/>
  <c r="S55" i="27"/>
  <c r="L55" i="27"/>
  <c r="F56" i="27"/>
  <c r="O56" i="27"/>
  <c r="G56" i="27"/>
  <c r="P56" i="27"/>
  <c r="H56" i="27"/>
  <c r="Q56" i="27"/>
  <c r="I56" i="27"/>
  <c r="R56" i="27"/>
  <c r="J56" i="27"/>
  <c r="S56" i="27"/>
  <c r="L56" i="27"/>
  <c r="F57" i="27"/>
  <c r="O57" i="27"/>
  <c r="G57" i="27"/>
  <c r="P57" i="27"/>
  <c r="H57" i="27"/>
  <c r="Q57" i="27"/>
  <c r="I57" i="27"/>
  <c r="R57" i="27"/>
  <c r="J57" i="27"/>
  <c r="S57" i="27"/>
  <c r="L57" i="27"/>
  <c r="F58" i="27"/>
  <c r="O58" i="27"/>
  <c r="G58" i="27"/>
  <c r="P58" i="27"/>
  <c r="H58" i="27"/>
  <c r="Q58" i="27"/>
  <c r="I58" i="27"/>
  <c r="R58" i="27"/>
  <c r="J58" i="27"/>
  <c r="S58" i="27"/>
  <c r="L58" i="27"/>
  <c r="F59" i="27"/>
  <c r="O59" i="27"/>
  <c r="G59" i="27"/>
  <c r="P59" i="27"/>
  <c r="H59" i="27"/>
  <c r="Q59" i="27"/>
  <c r="I59" i="27"/>
  <c r="R59" i="27"/>
  <c r="J59" i="27"/>
  <c r="S59" i="27"/>
  <c r="L59" i="27"/>
  <c r="F60" i="27"/>
  <c r="O60" i="27"/>
  <c r="G60" i="27"/>
  <c r="P60" i="27"/>
  <c r="H60" i="27"/>
  <c r="Q60" i="27"/>
  <c r="I60" i="27"/>
  <c r="R60" i="27"/>
  <c r="J60" i="27"/>
  <c r="S60" i="27"/>
  <c r="L60" i="27"/>
  <c r="F61" i="27"/>
  <c r="O61" i="27"/>
  <c r="G61" i="27"/>
  <c r="P61" i="27"/>
  <c r="H61" i="27"/>
  <c r="Q61" i="27"/>
  <c r="I61" i="27"/>
  <c r="R61" i="27"/>
  <c r="J61" i="27"/>
  <c r="S61" i="27"/>
  <c r="L61" i="27"/>
  <c r="F62" i="27"/>
  <c r="O62" i="27"/>
  <c r="G62" i="27"/>
  <c r="P62" i="27"/>
  <c r="H62" i="27"/>
  <c r="Q62" i="27"/>
  <c r="I62" i="27"/>
  <c r="R62" i="27"/>
  <c r="J62" i="27"/>
  <c r="S62" i="27"/>
  <c r="L62" i="27"/>
  <c r="F63" i="27"/>
  <c r="O63" i="27"/>
  <c r="G63" i="27"/>
  <c r="P63" i="27"/>
  <c r="H63" i="27"/>
  <c r="Q63" i="27"/>
  <c r="I63" i="27"/>
  <c r="R63" i="27"/>
  <c r="J63" i="27"/>
  <c r="S63" i="27"/>
  <c r="L63" i="27"/>
  <c r="F64" i="27"/>
  <c r="O64" i="27"/>
  <c r="G64" i="27"/>
  <c r="P64" i="27"/>
  <c r="H64" i="27"/>
  <c r="Q64" i="27"/>
  <c r="I64" i="27"/>
  <c r="R64" i="27"/>
  <c r="J64" i="27"/>
  <c r="S64" i="27"/>
  <c r="L64" i="27"/>
  <c r="F65" i="27"/>
  <c r="O65" i="27"/>
  <c r="G65" i="27"/>
  <c r="P65" i="27"/>
  <c r="H65" i="27"/>
  <c r="Q65" i="27"/>
  <c r="I65" i="27"/>
  <c r="R65" i="27"/>
  <c r="J65" i="27"/>
  <c r="S65" i="27"/>
  <c r="L65" i="27"/>
  <c r="F66" i="27"/>
  <c r="O66" i="27"/>
  <c r="G66" i="27"/>
  <c r="P66" i="27"/>
  <c r="H66" i="27"/>
  <c r="Q66" i="27"/>
  <c r="I66" i="27"/>
  <c r="R66" i="27"/>
  <c r="J66" i="27"/>
  <c r="S66" i="27"/>
  <c r="L66" i="27"/>
  <c r="F67" i="27"/>
  <c r="O67" i="27"/>
  <c r="G67" i="27"/>
  <c r="P67" i="27"/>
  <c r="H67" i="27"/>
  <c r="Q67" i="27"/>
  <c r="I67" i="27"/>
  <c r="R67" i="27"/>
  <c r="J67" i="27"/>
  <c r="S67" i="27"/>
  <c r="L67" i="27"/>
  <c r="F68" i="27"/>
  <c r="O68" i="27"/>
  <c r="G68" i="27"/>
  <c r="P68" i="27"/>
  <c r="H68" i="27"/>
  <c r="Q68" i="27"/>
  <c r="I68" i="27"/>
  <c r="R68" i="27"/>
  <c r="J68" i="27"/>
  <c r="S68" i="27"/>
  <c r="L68" i="27"/>
  <c r="F69" i="27"/>
  <c r="O69" i="27"/>
  <c r="G69" i="27"/>
  <c r="P69" i="27"/>
  <c r="H69" i="27"/>
  <c r="Q69" i="27"/>
  <c r="I69" i="27"/>
  <c r="R69" i="27"/>
  <c r="J69" i="27"/>
  <c r="S69" i="27"/>
  <c r="L69" i="27"/>
  <c r="F70" i="27"/>
  <c r="O70" i="27"/>
  <c r="G70" i="27"/>
  <c r="P70" i="27"/>
  <c r="H70" i="27"/>
  <c r="Q70" i="27"/>
  <c r="I70" i="27"/>
  <c r="R70" i="27"/>
  <c r="J70" i="27"/>
  <c r="S70" i="27"/>
  <c r="L70" i="27"/>
  <c r="F71" i="27"/>
  <c r="O71" i="27"/>
  <c r="G71" i="27"/>
  <c r="P71" i="27"/>
  <c r="H71" i="27"/>
  <c r="Q71" i="27"/>
  <c r="I71" i="27"/>
  <c r="R71" i="27"/>
  <c r="J71" i="27"/>
  <c r="S71" i="27"/>
  <c r="L71" i="27"/>
  <c r="F72" i="27"/>
  <c r="O72" i="27"/>
  <c r="G72" i="27"/>
  <c r="P72" i="27"/>
  <c r="H72" i="27"/>
  <c r="Q72" i="27"/>
  <c r="I72" i="27"/>
  <c r="R72" i="27"/>
  <c r="J72" i="27"/>
  <c r="S72" i="27"/>
  <c r="L72" i="27"/>
  <c r="F73" i="27"/>
  <c r="O73" i="27"/>
  <c r="G73" i="27"/>
  <c r="P73" i="27"/>
  <c r="H73" i="27"/>
  <c r="Q73" i="27"/>
  <c r="I73" i="27"/>
  <c r="R73" i="27"/>
  <c r="J73" i="27"/>
  <c r="S73" i="27"/>
  <c r="L73" i="27"/>
  <c r="F74" i="27"/>
  <c r="O74" i="27"/>
  <c r="G74" i="27"/>
  <c r="P74" i="27"/>
  <c r="H74" i="27"/>
  <c r="Q74" i="27"/>
  <c r="I74" i="27"/>
  <c r="R74" i="27"/>
  <c r="J74" i="27"/>
  <c r="S74" i="27"/>
  <c r="L74" i="27"/>
  <c r="F75" i="27"/>
  <c r="O75" i="27"/>
  <c r="G75" i="27"/>
  <c r="P75" i="27"/>
  <c r="H75" i="27"/>
  <c r="Q75" i="27"/>
  <c r="I75" i="27"/>
  <c r="R75" i="27"/>
  <c r="J75" i="27"/>
  <c r="S75" i="27"/>
  <c r="L75" i="27"/>
  <c r="F76" i="27"/>
  <c r="O76" i="27"/>
  <c r="G76" i="27"/>
  <c r="P76" i="27"/>
  <c r="H76" i="27"/>
  <c r="Q76" i="27"/>
  <c r="I76" i="27"/>
  <c r="R76" i="27"/>
  <c r="J76" i="27"/>
  <c r="S76" i="27"/>
  <c r="L76" i="27"/>
  <c r="F77" i="27"/>
  <c r="O77" i="27"/>
  <c r="G77" i="27"/>
  <c r="P77" i="27"/>
  <c r="H77" i="27"/>
  <c r="Q77" i="27"/>
  <c r="I77" i="27"/>
  <c r="R77" i="27"/>
  <c r="J77" i="27"/>
  <c r="S77" i="27"/>
  <c r="L77" i="27"/>
  <c r="F78" i="27"/>
  <c r="O78" i="27"/>
  <c r="G78" i="27"/>
  <c r="P78" i="27"/>
  <c r="H78" i="27"/>
  <c r="Q78" i="27"/>
  <c r="I78" i="27"/>
  <c r="R78" i="27"/>
  <c r="J78" i="27"/>
  <c r="S78" i="27"/>
  <c r="L78" i="27"/>
  <c r="F79" i="27"/>
  <c r="O79" i="27"/>
  <c r="G79" i="27"/>
  <c r="P79" i="27"/>
  <c r="H79" i="27"/>
  <c r="Q79" i="27"/>
  <c r="I79" i="27"/>
  <c r="R79" i="27"/>
  <c r="J79" i="27"/>
  <c r="S79" i="27"/>
  <c r="L79" i="27"/>
  <c r="F80" i="27"/>
  <c r="O80" i="27"/>
  <c r="G80" i="27"/>
  <c r="P80" i="27"/>
  <c r="H80" i="27"/>
  <c r="Q80" i="27"/>
  <c r="I80" i="27"/>
  <c r="R80" i="27"/>
  <c r="J80" i="27"/>
  <c r="S80" i="27"/>
  <c r="L80" i="27"/>
  <c r="F81" i="27"/>
  <c r="O81" i="27"/>
  <c r="G81" i="27"/>
  <c r="P81" i="27"/>
  <c r="H81" i="27"/>
  <c r="Q81" i="27"/>
  <c r="I81" i="27"/>
  <c r="R81" i="27"/>
  <c r="J81" i="27"/>
  <c r="S81" i="27"/>
  <c r="L81" i="27"/>
  <c r="F82" i="27"/>
  <c r="O82" i="27"/>
  <c r="G82" i="27"/>
  <c r="P82" i="27"/>
  <c r="H82" i="27"/>
  <c r="Q82" i="27"/>
  <c r="I82" i="27"/>
  <c r="R82" i="27"/>
  <c r="J82" i="27"/>
  <c r="S82" i="27"/>
  <c r="L82" i="27"/>
  <c r="F83" i="27"/>
  <c r="O83" i="27"/>
  <c r="G83" i="27"/>
  <c r="P83" i="27"/>
  <c r="H83" i="27"/>
  <c r="Q83" i="27"/>
  <c r="I83" i="27"/>
  <c r="R83" i="27"/>
  <c r="J83" i="27"/>
  <c r="S83" i="27"/>
  <c r="L83" i="27"/>
  <c r="F84" i="27"/>
  <c r="O84" i="27"/>
  <c r="G84" i="27"/>
  <c r="P84" i="27"/>
  <c r="H84" i="27"/>
  <c r="Q84" i="27"/>
  <c r="I84" i="27"/>
  <c r="R84" i="27"/>
  <c r="J84" i="27"/>
  <c r="S84" i="27"/>
  <c r="L84" i="27"/>
  <c r="F85" i="27"/>
  <c r="O85" i="27"/>
  <c r="G85" i="27"/>
  <c r="P85" i="27"/>
  <c r="H85" i="27"/>
  <c r="Q85" i="27"/>
  <c r="I85" i="27"/>
  <c r="R85" i="27"/>
  <c r="J85" i="27"/>
  <c r="S85" i="27"/>
  <c r="L85" i="27"/>
  <c r="O86" i="27"/>
  <c r="P86" i="27"/>
  <c r="Q86" i="27"/>
  <c r="R86" i="27"/>
  <c r="J86" i="27"/>
  <c r="S86" i="27"/>
  <c r="L86" i="27"/>
  <c r="O87" i="27"/>
  <c r="P87" i="27"/>
  <c r="Q87" i="27"/>
  <c r="R87" i="27"/>
  <c r="J87" i="27"/>
  <c r="S87" i="27"/>
  <c r="L87" i="27"/>
  <c r="O88" i="27"/>
  <c r="P88" i="27"/>
  <c r="Q88" i="27"/>
  <c r="R88" i="27"/>
  <c r="J88" i="27"/>
  <c r="S88" i="27"/>
  <c r="L88" i="27"/>
  <c r="O89" i="27"/>
  <c r="P89" i="27"/>
  <c r="Q89" i="27"/>
  <c r="R89" i="27"/>
  <c r="J89" i="27"/>
  <c r="S89" i="27"/>
  <c r="L89" i="27"/>
  <c r="F90" i="27"/>
  <c r="O90" i="27"/>
  <c r="G90" i="27"/>
  <c r="P90" i="27"/>
  <c r="H90" i="27"/>
  <c r="Q90" i="27"/>
  <c r="I90" i="27"/>
  <c r="R90" i="27"/>
  <c r="J90" i="27"/>
  <c r="S90" i="27"/>
  <c r="L90" i="27"/>
  <c r="F91" i="27"/>
  <c r="O91" i="27"/>
  <c r="G91" i="27"/>
  <c r="P91" i="27"/>
  <c r="H91" i="27"/>
  <c r="Q91" i="27"/>
  <c r="I91" i="27"/>
  <c r="R91" i="27"/>
  <c r="J91" i="27"/>
  <c r="S91" i="27"/>
  <c r="L91" i="27"/>
  <c r="F92" i="27"/>
  <c r="O92" i="27"/>
  <c r="G92" i="27"/>
  <c r="P92" i="27"/>
  <c r="H92" i="27"/>
  <c r="Q92" i="27"/>
  <c r="I92" i="27"/>
  <c r="R92" i="27"/>
  <c r="J92" i="27"/>
  <c r="S92" i="27"/>
  <c r="L92" i="27"/>
  <c r="F93" i="27"/>
  <c r="O93" i="27"/>
  <c r="G93" i="27"/>
  <c r="P93" i="27"/>
  <c r="H93" i="27"/>
  <c r="Q93" i="27"/>
  <c r="I93" i="27"/>
  <c r="R93" i="27"/>
  <c r="J93" i="27"/>
  <c r="S93" i="27"/>
  <c r="L93" i="27"/>
  <c r="F94" i="27"/>
  <c r="O94" i="27"/>
  <c r="G94" i="27"/>
  <c r="P94" i="27"/>
  <c r="H94" i="27"/>
  <c r="Q94" i="27"/>
  <c r="I94" i="27"/>
  <c r="R94" i="27"/>
  <c r="J94" i="27"/>
  <c r="S94" i="27"/>
  <c r="L94" i="27"/>
  <c r="F95" i="27"/>
  <c r="O95" i="27"/>
  <c r="G95" i="27"/>
  <c r="P95" i="27"/>
  <c r="H95" i="27"/>
  <c r="Q95" i="27"/>
  <c r="I95" i="27"/>
  <c r="R95" i="27"/>
  <c r="J95" i="27"/>
  <c r="S95" i="27"/>
  <c r="L95" i="27"/>
  <c r="F96" i="27"/>
  <c r="O96" i="27"/>
  <c r="G96" i="27"/>
  <c r="P96" i="27"/>
  <c r="H96" i="27"/>
  <c r="Q96" i="27"/>
  <c r="I96" i="27"/>
  <c r="R96" i="27"/>
  <c r="J96" i="27"/>
  <c r="S96" i="27"/>
  <c r="L96" i="27"/>
  <c r="F97" i="27"/>
  <c r="O97" i="27"/>
  <c r="G97" i="27"/>
  <c r="P97" i="27"/>
  <c r="H97" i="27"/>
  <c r="Q97" i="27"/>
  <c r="I97" i="27"/>
  <c r="R97" i="27"/>
  <c r="S97" i="27"/>
  <c r="L97" i="27"/>
  <c r="O98" i="27"/>
  <c r="P98" i="27"/>
  <c r="H98" i="27"/>
  <c r="Q98" i="27"/>
  <c r="R98" i="27"/>
  <c r="S98" i="27"/>
  <c r="L98" i="27"/>
  <c r="O99" i="27"/>
  <c r="P99" i="27"/>
  <c r="H99" i="27"/>
  <c r="Q99" i="27"/>
  <c r="R99" i="27"/>
  <c r="S99" i="27"/>
  <c r="L99" i="27"/>
  <c r="O100" i="27"/>
  <c r="P100" i="27"/>
  <c r="H100" i="27"/>
  <c r="Q100" i="27"/>
  <c r="R100" i="27"/>
  <c r="S100" i="27"/>
  <c r="L100" i="27"/>
  <c r="O101" i="27"/>
  <c r="P101" i="27"/>
  <c r="H101" i="27"/>
  <c r="Q101" i="27"/>
  <c r="R101" i="27"/>
  <c r="S101" i="27"/>
  <c r="L101" i="27"/>
  <c r="F102" i="27"/>
  <c r="O102" i="27"/>
  <c r="G102" i="27"/>
  <c r="P102" i="27"/>
  <c r="H102" i="27"/>
  <c r="Q102" i="27"/>
  <c r="I102" i="27"/>
  <c r="R102" i="27"/>
  <c r="S102" i="27"/>
  <c r="L102" i="27"/>
  <c r="F103" i="27"/>
  <c r="O103" i="27"/>
  <c r="G103" i="27"/>
  <c r="P103" i="27"/>
  <c r="H103" i="27"/>
  <c r="Q103" i="27"/>
  <c r="I103" i="27"/>
  <c r="R103" i="27"/>
  <c r="S103" i="27"/>
  <c r="L103" i="27"/>
  <c r="F104" i="27"/>
  <c r="O104" i="27"/>
  <c r="G104" i="27"/>
  <c r="P104" i="27"/>
  <c r="H104" i="27"/>
  <c r="Q104" i="27"/>
  <c r="I104" i="27"/>
  <c r="R104" i="27"/>
  <c r="S104" i="27"/>
  <c r="L104" i="27"/>
  <c r="F105" i="27"/>
  <c r="O105" i="27"/>
  <c r="G105" i="27"/>
  <c r="P105" i="27"/>
  <c r="H105" i="27"/>
  <c r="Q105" i="27"/>
  <c r="I105" i="27"/>
  <c r="R105" i="27"/>
  <c r="S105" i="27"/>
  <c r="L105" i="27"/>
  <c r="F106" i="27"/>
  <c r="O106" i="27"/>
  <c r="G106" i="27"/>
  <c r="P106" i="27"/>
  <c r="H106" i="27"/>
  <c r="Q106" i="27"/>
  <c r="I106" i="27"/>
  <c r="R106" i="27"/>
  <c r="S106" i="27"/>
  <c r="L106" i="27"/>
  <c r="F107" i="27"/>
  <c r="O107" i="27"/>
  <c r="G107" i="27"/>
  <c r="P107" i="27"/>
  <c r="H107" i="27"/>
  <c r="Q107" i="27"/>
  <c r="I107" i="27"/>
  <c r="R107" i="27"/>
  <c r="S107" i="27"/>
  <c r="L107" i="27"/>
  <c r="F108" i="27"/>
  <c r="O108" i="27"/>
  <c r="G108" i="27"/>
  <c r="P108" i="27"/>
  <c r="H108" i="27"/>
  <c r="Q108" i="27"/>
  <c r="I108" i="27"/>
  <c r="R108" i="27"/>
  <c r="S108" i="27"/>
  <c r="L108" i="27"/>
  <c r="F109" i="27"/>
  <c r="O109" i="27"/>
  <c r="G109" i="27"/>
  <c r="P109" i="27"/>
  <c r="H109" i="27"/>
  <c r="Q109" i="27"/>
  <c r="I109" i="27"/>
  <c r="R109" i="27"/>
  <c r="S109" i="27"/>
  <c r="L109" i="27"/>
  <c r="O110" i="27"/>
  <c r="P110" i="27"/>
  <c r="H110" i="27"/>
  <c r="Q110" i="27"/>
  <c r="R110" i="27"/>
  <c r="S110" i="27"/>
  <c r="L110" i="27"/>
  <c r="O111" i="27"/>
  <c r="P111" i="27"/>
  <c r="H111" i="27"/>
  <c r="Q111" i="27"/>
  <c r="R111" i="27"/>
  <c r="S111" i="27"/>
  <c r="L111" i="27"/>
  <c r="O112" i="27"/>
  <c r="P112" i="27"/>
  <c r="H112" i="27"/>
  <c r="Q112" i="27"/>
  <c r="R112" i="27"/>
  <c r="S112" i="27"/>
  <c r="L112" i="27"/>
  <c r="O113" i="27"/>
  <c r="P113" i="27"/>
  <c r="H113" i="27"/>
  <c r="Q113" i="27"/>
  <c r="R113" i="27"/>
  <c r="S113" i="27"/>
  <c r="L113" i="27"/>
  <c r="F114" i="27"/>
  <c r="O114" i="27"/>
  <c r="G114" i="27"/>
  <c r="P114" i="27"/>
  <c r="H114" i="27"/>
  <c r="Q114" i="27"/>
  <c r="I114" i="27"/>
  <c r="R114" i="27"/>
  <c r="S114" i="27"/>
  <c r="L114" i="27"/>
  <c r="F115" i="27"/>
  <c r="O115" i="27"/>
  <c r="G115" i="27"/>
  <c r="P115" i="27"/>
  <c r="H115" i="27"/>
  <c r="Q115" i="27"/>
  <c r="I115" i="27"/>
  <c r="R115" i="27"/>
  <c r="S115" i="27"/>
  <c r="L115" i="27"/>
  <c r="F116" i="27"/>
  <c r="O116" i="27"/>
  <c r="G116" i="27"/>
  <c r="P116" i="27"/>
  <c r="H116" i="27"/>
  <c r="Q116" i="27"/>
  <c r="I116" i="27"/>
  <c r="R116" i="27"/>
  <c r="S116" i="27"/>
  <c r="L116" i="27"/>
  <c r="F117" i="27"/>
  <c r="O117" i="27"/>
  <c r="G117" i="27"/>
  <c r="P117" i="27"/>
  <c r="H117" i="27"/>
  <c r="Q117" i="27"/>
  <c r="I117" i="27"/>
  <c r="R117" i="27"/>
  <c r="S117" i="27"/>
  <c r="L117" i="27"/>
  <c r="F118" i="27"/>
  <c r="O118" i="27"/>
  <c r="G118" i="27"/>
  <c r="P118" i="27"/>
  <c r="H118" i="27"/>
  <c r="Q118" i="27"/>
  <c r="I118" i="27"/>
  <c r="R118" i="27"/>
  <c r="S118" i="27"/>
  <c r="L118" i="27"/>
  <c r="F119" i="27"/>
  <c r="O119" i="27"/>
  <c r="G119" i="27"/>
  <c r="P119" i="27"/>
  <c r="H119" i="27"/>
  <c r="Q119" i="27"/>
  <c r="I119" i="27"/>
  <c r="R119" i="27"/>
  <c r="S119" i="27"/>
  <c r="L119" i="27"/>
  <c r="F120" i="27"/>
  <c r="O120" i="27"/>
  <c r="G120" i="27"/>
  <c r="P120" i="27"/>
  <c r="H120" i="27"/>
  <c r="Q120" i="27"/>
  <c r="I120" i="27"/>
  <c r="R120" i="27"/>
  <c r="S120" i="27"/>
  <c r="L120" i="27"/>
  <c r="F121" i="27"/>
  <c r="O121" i="27"/>
  <c r="G121" i="27"/>
  <c r="P121" i="27"/>
  <c r="H121" i="27"/>
  <c r="Q121" i="27"/>
  <c r="I121" i="27"/>
  <c r="R121" i="27"/>
  <c r="S121" i="27"/>
  <c r="L121" i="27"/>
  <c r="O122" i="27"/>
  <c r="P122" i="27"/>
  <c r="H122" i="27"/>
  <c r="Q122" i="27"/>
  <c r="R122" i="27"/>
  <c r="S122" i="27"/>
  <c r="L122" i="27"/>
  <c r="O123" i="27"/>
  <c r="P123" i="27"/>
  <c r="H123" i="27"/>
  <c r="Q123" i="27"/>
  <c r="R123" i="27"/>
  <c r="S123" i="27"/>
  <c r="L123" i="27"/>
  <c r="O124" i="27"/>
  <c r="P124" i="27"/>
  <c r="H124" i="27"/>
  <c r="Q124" i="27"/>
  <c r="R124" i="27"/>
  <c r="S124" i="27"/>
  <c r="L124" i="27"/>
  <c r="O125" i="27"/>
  <c r="P125" i="27"/>
  <c r="H125" i="27"/>
  <c r="Q125" i="27"/>
  <c r="R125" i="27"/>
  <c r="S125" i="27"/>
  <c r="L125" i="27"/>
  <c r="F126" i="27"/>
  <c r="O126" i="27"/>
  <c r="G126" i="27"/>
  <c r="P126" i="27"/>
  <c r="H126" i="27"/>
  <c r="Q126" i="27"/>
  <c r="I126" i="27"/>
  <c r="R126" i="27"/>
  <c r="S126" i="27"/>
  <c r="L126" i="27"/>
  <c r="F127" i="27"/>
  <c r="O127" i="27"/>
  <c r="G127" i="27"/>
  <c r="P127" i="27"/>
  <c r="H127" i="27"/>
  <c r="Q127" i="27"/>
  <c r="I127" i="27"/>
  <c r="R127" i="27"/>
  <c r="S127" i="27"/>
  <c r="L127" i="27"/>
  <c r="F128" i="27"/>
  <c r="O128" i="27"/>
  <c r="G128" i="27"/>
  <c r="P128" i="27"/>
  <c r="H128" i="27"/>
  <c r="Q128" i="27"/>
  <c r="I128" i="27"/>
  <c r="R128" i="27"/>
  <c r="S128" i="27"/>
  <c r="L128" i="27"/>
  <c r="F129" i="27"/>
  <c r="O129" i="27"/>
  <c r="G129" i="27"/>
  <c r="P129" i="27"/>
  <c r="H129" i="27"/>
  <c r="Q129" i="27"/>
  <c r="I129" i="27"/>
  <c r="R129" i="27"/>
  <c r="S129" i="27"/>
  <c r="L129" i="27"/>
  <c r="F130" i="27"/>
  <c r="O130" i="27"/>
  <c r="G130" i="27"/>
  <c r="P130" i="27"/>
  <c r="H130" i="27"/>
  <c r="Q130" i="27"/>
  <c r="I130" i="27"/>
  <c r="R130" i="27"/>
  <c r="S130" i="27"/>
  <c r="L130" i="27"/>
  <c r="F131" i="27"/>
  <c r="O131" i="27"/>
  <c r="G131" i="27"/>
  <c r="P131" i="27"/>
  <c r="H131" i="27"/>
  <c r="Q131" i="27"/>
  <c r="I131" i="27"/>
  <c r="R131" i="27"/>
  <c r="S131" i="27"/>
  <c r="L131" i="27"/>
  <c r="F132" i="27"/>
  <c r="O132" i="27"/>
  <c r="G132" i="27"/>
  <c r="P132" i="27"/>
  <c r="H132" i="27"/>
  <c r="Q132" i="27"/>
  <c r="I132" i="27"/>
  <c r="R132" i="27"/>
  <c r="S132" i="27"/>
  <c r="L132" i="27"/>
  <c r="F133" i="27"/>
  <c r="O133" i="27"/>
  <c r="G133" i="27"/>
  <c r="P133" i="27"/>
  <c r="H133" i="27"/>
  <c r="Q133" i="27"/>
  <c r="I133" i="27"/>
  <c r="R133" i="27"/>
  <c r="S133" i="27"/>
  <c r="L133" i="27"/>
  <c r="F138" i="27"/>
  <c r="O138" i="27"/>
  <c r="G138" i="27"/>
  <c r="P138" i="27"/>
  <c r="H138" i="27"/>
  <c r="Q138" i="27"/>
  <c r="I138" i="27"/>
  <c r="R138" i="27"/>
  <c r="J138" i="27"/>
  <c r="S138" i="27"/>
  <c r="L138" i="27"/>
  <c r="F139" i="27"/>
  <c r="O139" i="27"/>
  <c r="G139" i="27"/>
  <c r="P139" i="27"/>
  <c r="H139" i="27"/>
  <c r="Q139" i="27"/>
  <c r="I139" i="27"/>
  <c r="R139" i="27"/>
  <c r="J139" i="27"/>
  <c r="S139" i="27"/>
  <c r="L139" i="27"/>
  <c r="F140" i="27"/>
  <c r="O140" i="27"/>
  <c r="G140" i="27"/>
  <c r="P140" i="27"/>
  <c r="H140" i="27"/>
  <c r="Q140" i="27"/>
  <c r="I140" i="27"/>
  <c r="R140" i="27"/>
  <c r="J140" i="27"/>
  <c r="S140" i="27"/>
  <c r="L140" i="27"/>
  <c r="F141" i="27"/>
  <c r="O141" i="27"/>
  <c r="G141" i="27"/>
  <c r="P141" i="27"/>
  <c r="H141" i="27"/>
  <c r="Q141" i="27"/>
  <c r="I141" i="27"/>
  <c r="R141" i="27"/>
  <c r="J141" i="27"/>
  <c r="S141" i="27"/>
  <c r="L141" i="27"/>
  <c r="F142" i="27"/>
  <c r="O142" i="27"/>
  <c r="G142" i="27"/>
  <c r="P142" i="27"/>
  <c r="H142" i="27"/>
  <c r="Q142" i="27"/>
  <c r="I142" i="27"/>
  <c r="R142" i="27"/>
  <c r="J142" i="27"/>
  <c r="S142" i="27"/>
  <c r="L142" i="27"/>
  <c r="F143" i="27"/>
  <c r="O143" i="27"/>
  <c r="G143" i="27"/>
  <c r="P143" i="27"/>
  <c r="H143" i="27"/>
  <c r="Q143" i="27"/>
  <c r="I143" i="27"/>
  <c r="R143" i="27"/>
  <c r="J143" i="27"/>
  <c r="S143" i="27"/>
  <c r="L143" i="27"/>
  <c r="F144" i="27"/>
  <c r="O144" i="27"/>
  <c r="G144" i="27"/>
  <c r="P144" i="27"/>
  <c r="H144" i="27"/>
  <c r="Q144" i="27"/>
  <c r="I144" i="27"/>
  <c r="R144" i="27"/>
  <c r="J144" i="27"/>
  <c r="S144" i="27"/>
  <c r="L144" i="27"/>
  <c r="F145" i="27"/>
  <c r="O145" i="27"/>
  <c r="G145" i="27"/>
  <c r="P145" i="27"/>
  <c r="H145" i="27"/>
  <c r="Q145" i="27"/>
  <c r="I145" i="27"/>
  <c r="R145" i="27"/>
  <c r="J145" i="27"/>
  <c r="S145" i="27"/>
  <c r="L145" i="27"/>
  <c r="A2" i="27"/>
  <c r="B2" i="27"/>
  <c r="A3" i="27"/>
  <c r="B3" i="27"/>
  <c r="A4" i="27"/>
  <c r="B4" i="27"/>
  <c r="A5" i="27"/>
  <c r="B5" i="27"/>
  <c r="A6" i="27"/>
  <c r="B6" i="27"/>
  <c r="A7" i="27"/>
  <c r="B7" i="27"/>
  <c r="A8" i="27"/>
  <c r="B8" i="27"/>
  <c r="A9" i="27"/>
  <c r="B9" i="27"/>
  <c r="A10" i="27"/>
  <c r="B10" i="27"/>
  <c r="A11" i="27"/>
  <c r="B11" i="27"/>
  <c r="A12" i="27"/>
  <c r="B12" i="27"/>
  <c r="A13" i="27"/>
  <c r="B13" i="27"/>
  <c r="A14" i="27"/>
  <c r="B14" i="27"/>
  <c r="A15" i="27"/>
  <c r="B15" i="27"/>
  <c r="A16" i="27"/>
  <c r="B16" i="27"/>
  <c r="A17" i="27"/>
  <c r="B17" i="27"/>
  <c r="A18" i="27"/>
  <c r="B18" i="27"/>
  <c r="A19" i="27"/>
  <c r="B19" i="27"/>
  <c r="A20" i="27"/>
  <c r="B20" i="27"/>
  <c r="A21" i="27"/>
  <c r="B21" i="27"/>
  <c r="A22" i="27"/>
  <c r="B22" i="27"/>
  <c r="A23" i="27"/>
  <c r="B23" i="27"/>
  <c r="A24" i="27"/>
  <c r="B24" i="27"/>
  <c r="A25" i="27"/>
  <c r="B25" i="27"/>
  <c r="A26" i="27"/>
  <c r="B26" i="27"/>
  <c r="A27" i="27"/>
  <c r="B27" i="27"/>
  <c r="A28" i="27"/>
  <c r="B28" i="27"/>
  <c r="A29" i="27"/>
  <c r="B29" i="27"/>
  <c r="A30" i="27"/>
  <c r="B30" i="27"/>
  <c r="A31" i="27"/>
  <c r="B31" i="27"/>
  <c r="A32" i="27"/>
  <c r="B32" i="27"/>
  <c r="A33" i="27"/>
  <c r="B33" i="27"/>
  <c r="A34" i="27"/>
  <c r="B34" i="27"/>
  <c r="A35" i="27"/>
  <c r="B35" i="27"/>
  <c r="A36" i="27"/>
  <c r="B36" i="27"/>
  <c r="A37" i="27"/>
  <c r="B37" i="27"/>
  <c r="A38" i="27"/>
  <c r="B38" i="27"/>
  <c r="A39" i="27"/>
  <c r="B39" i="27"/>
  <c r="A40" i="27"/>
  <c r="B40" i="27"/>
  <c r="A41" i="27"/>
  <c r="B41" i="27"/>
  <c r="A42" i="27"/>
  <c r="B42" i="27"/>
  <c r="A43" i="27"/>
  <c r="B43" i="27"/>
  <c r="A44" i="27"/>
  <c r="B44" i="27"/>
  <c r="A45" i="27"/>
  <c r="B45" i="27"/>
  <c r="A46" i="27"/>
  <c r="B46" i="27"/>
  <c r="A47" i="27"/>
  <c r="B47" i="27"/>
  <c r="A48" i="27"/>
  <c r="B48" i="27"/>
  <c r="A49" i="27"/>
  <c r="B49" i="27"/>
  <c r="A50" i="27"/>
  <c r="B50" i="27"/>
  <c r="A51" i="27"/>
  <c r="B51" i="27"/>
  <c r="A52" i="27"/>
  <c r="B52" i="27"/>
  <c r="A53" i="27"/>
  <c r="B53" i="27"/>
  <c r="A54" i="27"/>
  <c r="B54" i="27"/>
  <c r="A55" i="27"/>
  <c r="B55" i="27"/>
  <c r="A56" i="27"/>
  <c r="B56" i="27"/>
  <c r="A57" i="27"/>
  <c r="B57" i="27"/>
  <c r="A58" i="27"/>
  <c r="B58" i="27"/>
  <c r="A59" i="27"/>
  <c r="B59" i="27"/>
  <c r="A60" i="27"/>
  <c r="B60" i="27"/>
  <c r="A61" i="27"/>
  <c r="B61" i="27"/>
  <c r="A62" i="27"/>
  <c r="B62" i="27"/>
  <c r="A63" i="27"/>
  <c r="B63" i="27"/>
  <c r="A64" i="27"/>
  <c r="B64" i="27"/>
  <c r="A65" i="27"/>
  <c r="B65" i="27"/>
  <c r="A66" i="27"/>
  <c r="B66" i="27"/>
  <c r="A67" i="27"/>
  <c r="B67" i="27"/>
  <c r="A68" i="27"/>
  <c r="B68" i="27"/>
  <c r="A69" i="27"/>
  <c r="B69" i="27"/>
  <c r="A70" i="27"/>
  <c r="B70" i="27"/>
  <c r="A71" i="27"/>
  <c r="B71" i="27"/>
  <c r="A72" i="27"/>
  <c r="B72" i="27"/>
  <c r="A73" i="27"/>
  <c r="B73" i="27"/>
  <c r="A74" i="27"/>
  <c r="B74" i="27"/>
  <c r="A75" i="27"/>
  <c r="B75" i="27"/>
  <c r="A76" i="27"/>
  <c r="B76" i="27"/>
  <c r="A77" i="27"/>
  <c r="B77" i="27"/>
  <c r="A78" i="27"/>
  <c r="B78" i="27"/>
  <c r="A79" i="27"/>
  <c r="B79" i="27"/>
  <c r="A80" i="27"/>
  <c r="B80" i="27"/>
  <c r="A81" i="27"/>
  <c r="B81" i="27"/>
  <c r="A82" i="27"/>
  <c r="B82" i="27"/>
  <c r="A83" i="27"/>
  <c r="B83" i="27"/>
  <c r="A84" i="27"/>
  <c r="B84" i="27"/>
  <c r="A85" i="27"/>
  <c r="B85" i="27"/>
  <c r="A86" i="27"/>
  <c r="B86" i="27"/>
  <c r="A87" i="27"/>
  <c r="B87" i="27"/>
  <c r="A88" i="27"/>
  <c r="B88" i="27"/>
  <c r="A89" i="27"/>
  <c r="B89" i="27"/>
  <c r="A90" i="27"/>
  <c r="B90" i="27"/>
  <c r="A91" i="27"/>
  <c r="B91" i="27"/>
  <c r="A92" i="27"/>
  <c r="B92" i="27"/>
  <c r="A93" i="27"/>
  <c r="B93" i="27"/>
  <c r="A94" i="27"/>
  <c r="B94" i="27"/>
  <c r="A95" i="27"/>
  <c r="B95" i="27"/>
  <c r="A96" i="27"/>
  <c r="B96" i="27"/>
  <c r="A97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C14" i="34"/>
  <c r="I3" i="33" s="1"/>
  <c r="L14" i="34"/>
  <c r="I4" i="33" s="1"/>
  <c r="I55" i="36"/>
  <c r="F7" i="36"/>
  <c r="I56" i="36"/>
  <c r="F8" i="36"/>
  <c r="K55" i="36"/>
  <c r="G7" i="36"/>
  <c r="K56" i="36"/>
  <c r="G8" i="36"/>
  <c r="G56" i="36"/>
  <c r="E8" i="36"/>
  <c r="G55" i="36"/>
  <c r="E7" i="36"/>
  <c r="G54" i="36"/>
  <c r="E6" i="36"/>
  <c r="G53" i="36"/>
  <c r="E5" i="36"/>
  <c r="G52" i="36"/>
  <c r="E4" i="36"/>
  <c r="A2" i="28"/>
  <c r="B2" i="28"/>
  <c r="A3" i="28"/>
  <c r="B3" i="28"/>
  <c r="A4" i="28"/>
  <c r="B4" i="28"/>
  <c r="A5" i="28"/>
  <c r="B5" i="28"/>
  <c r="A6" i="28"/>
  <c r="B6" i="28"/>
  <c r="A7" i="28"/>
  <c r="B7" i="28"/>
  <c r="A8" i="28"/>
  <c r="B8" i="28"/>
  <c r="A9" i="28"/>
  <c r="B9" i="28"/>
  <c r="A10" i="28"/>
  <c r="B10" i="28"/>
  <c r="A11" i="28"/>
  <c r="B11" i="28"/>
  <c r="A12" i="28"/>
  <c r="B12" i="28"/>
  <c r="A13" i="28"/>
  <c r="B13" i="28"/>
  <c r="A14" i="28"/>
  <c r="B14" i="28"/>
  <c r="A15" i="28"/>
  <c r="B15" i="28"/>
  <c r="A16" i="28"/>
  <c r="B16" i="28"/>
  <c r="A17" i="28"/>
  <c r="B17" i="28"/>
  <c r="A18" i="28"/>
  <c r="B18" i="28"/>
  <c r="A19" i="28"/>
  <c r="B19" i="28"/>
  <c r="A20" i="28"/>
  <c r="B20" i="28"/>
  <c r="A21" i="28"/>
  <c r="B21" i="28"/>
  <c r="A22" i="28"/>
  <c r="B22" i="28"/>
  <c r="A23" i="28"/>
  <c r="B23" i="28"/>
  <c r="A24" i="28"/>
  <c r="B24" i="28"/>
  <c r="A25" i="28"/>
  <c r="B25" i="28"/>
  <c r="A26" i="28"/>
  <c r="B26" i="28"/>
  <c r="A27" i="28"/>
  <c r="B27" i="28"/>
  <c r="A28" i="28"/>
  <c r="B28" i="28"/>
  <c r="A29" i="28"/>
  <c r="B29" i="28"/>
  <c r="A30" i="28"/>
  <c r="B30" i="28"/>
  <c r="A31" i="28"/>
  <c r="B31" i="28"/>
  <c r="A32" i="28"/>
  <c r="B32" i="28"/>
  <c r="A33" i="28"/>
  <c r="B33" i="28"/>
  <c r="A34" i="28"/>
  <c r="B34" i="28"/>
  <c r="A35" i="28"/>
  <c r="B35" i="28"/>
  <c r="A36" i="28"/>
  <c r="B36" i="28"/>
  <c r="A37" i="28"/>
  <c r="B37" i="28"/>
  <c r="A38" i="28"/>
  <c r="B38" i="28"/>
  <c r="A39" i="28"/>
  <c r="B39" i="28"/>
  <c r="A40" i="28"/>
  <c r="B40" i="28"/>
  <c r="A41" i="28"/>
  <c r="B41" i="28"/>
  <c r="A42" i="28"/>
  <c r="B42" i="28"/>
  <c r="A43" i="28"/>
  <c r="B43" i="28"/>
  <c r="A44" i="28"/>
  <c r="B44" i="28"/>
  <c r="A45" i="28"/>
  <c r="B45" i="28"/>
  <c r="A46" i="28"/>
  <c r="B46" i="28"/>
  <c r="A47" i="28"/>
  <c r="B47" i="28"/>
  <c r="A48" i="28"/>
  <c r="B48" i="28"/>
  <c r="A49" i="28"/>
  <c r="B49" i="28"/>
  <c r="A50" i="28"/>
  <c r="B50" i="28"/>
  <c r="A51" i="28"/>
  <c r="B51" i="28"/>
  <c r="A52" i="28"/>
  <c r="B52" i="28"/>
  <c r="A53" i="28"/>
  <c r="B53" i="28"/>
  <c r="A54" i="28"/>
  <c r="B54" i="28"/>
  <c r="A55" i="28"/>
  <c r="B55" i="28"/>
  <c r="A56" i="28"/>
  <c r="B56" i="28"/>
  <c r="A57" i="28"/>
  <c r="B57" i="28"/>
  <c r="A58" i="28"/>
  <c r="B58" i="28"/>
  <c r="A59" i="28"/>
  <c r="B59" i="28"/>
  <c r="A60" i="28"/>
  <c r="B60" i="28"/>
  <c r="A61" i="28"/>
  <c r="B61" i="28"/>
  <c r="A62" i="28"/>
  <c r="B62" i="28"/>
  <c r="A63" i="28"/>
  <c r="B63" i="28"/>
  <c r="A64" i="28"/>
  <c r="B64" i="28"/>
  <c r="A65" i="28"/>
  <c r="B65" i="28"/>
  <c r="A66" i="28"/>
  <c r="B66" i="28"/>
  <c r="A67" i="28"/>
  <c r="B67" i="28"/>
  <c r="A68" i="28"/>
  <c r="B68" i="28"/>
  <c r="A69" i="28"/>
  <c r="B69" i="28"/>
  <c r="A70" i="28"/>
  <c r="B70" i="28"/>
  <c r="A71" i="28"/>
  <c r="B71" i="28"/>
  <c r="A72" i="28"/>
  <c r="B72" i="28"/>
  <c r="A73" i="28"/>
  <c r="B73" i="28"/>
  <c r="A74" i="28"/>
  <c r="B74" i="28"/>
  <c r="A75" i="28"/>
  <c r="B75" i="28"/>
  <c r="A76" i="28"/>
  <c r="B76" i="28"/>
  <c r="A77" i="28"/>
  <c r="B77" i="28"/>
  <c r="A78" i="28"/>
  <c r="B78" i="28"/>
  <c r="A79" i="28"/>
  <c r="B79" i="28"/>
  <c r="A80" i="28"/>
  <c r="B80" i="28"/>
  <c r="A81" i="28"/>
  <c r="B81" i="28"/>
  <c r="A82" i="28"/>
  <c r="B82" i="28"/>
  <c r="A83" i="28"/>
  <c r="B83" i="28"/>
  <c r="A84" i="28"/>
  <c r="B84" i="28"/>
  <c r="A85" i="28"/>
  <c r="B85" i="28"/>
  <c r="A86" i="28"/>
  <c r="B86" i="28"/>
  <c r="A87" i="28"/>
  <c r="B87" i="28"/>
  <c r="A88" i="28"/>
  <c r="B88" i="28"/>
  <c r="A89" i="28"/>
  <c r="B89" i="28"/>
  <c r="A90" i="28"/>
  <c r="B90" i="28"/>
  <c r="A91" i="28"/>
  <c r="B91" i="28"/>
  <c r="A92" i="28"/>
  <c r="B92" i="28"/>
  <c r="A93" i="28"/>
  <c r="B93" i="28"/>
  <c r="A94" i="28"/>
  <c r="B94" i="28"/>
  <c r="A95" i="28"/>
  <c r="B95" i="28"/>
  <c r="A96" i="28"/>
  <c r="B96" i="28"/>
  <c r="A97" i="28"/>
  <c r="B97" i="28"/>
  <c r="C1" i="28"/>
  <c r="B98" i="28"/>
  <c r="B99" i="28"/>
  <c r="B100" i="28"/>
  <c r="B101" i="28"/>
  <c r="B102" i="28"/>
  <c r="B103" i="28"/>
  <c r="B104" i="28"/>
  <c r="B105" i="28"/>
  <c r="B106" i="28"/>
  <c r="B107" i="28"/>
  <c r="B108" i="28"/>
  <c r="B109" i="28"/>
  <c r="B110" i="28"/>
  <c r="B111" i="28"/>
  <c r="B112" i="28"/>
  <c r="B113" i="28"/>
  <c r="B114" i="28"/>
  <c r="B115" i="28"/>
  <c r="B116" i="28"/>
  <c r="B117" i="28"/>
  <c r="B118" i="28"/>
  <c r="B119" i="28"/>
  <c r="B120" i="28"/>
  <c r="B121" i="28"/>
  <c r="B122" i="28"/>
  <c r="B123" i="28"/>
  <c r="B124" i="28"/>
  <c r="B125" i="28"/>
  <c r="B126" i="28"/>
  <c r="B127" i="28"/>
  <c r="B128" i="28"/>
  <c r="B129" i="28"/>
  <c r="B130" i="28"/>
  <c r="B131" i="28"/>
  <c r="B132" i="28"/>
  <c r="B133" i="28"/>
  <c r="B134" i="28"/>
  <c r="B135" i="28"/>
  <c r="B136" i="28"/>
  <c r="B137" i="28"/>
  <c r="B138" i="28"/>
  <c r="B139" i="28"/>
  <c r="B140" i="28"/>
  <c r="B141" i="28"/>
  <c r="B142" i="28"/>
  <c r="B143" i="28"/>
  <c r="B144" i="28"/>
  <c r="B145" i="28"/>
  <c r="F110" i="28"/>
  <c r="P110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Q110" i="28"/>
  <c r="H86" i="28"/>
  <c r="H98" i="28"/>
  <c r="H110" i="28"/>
  <c r="R110" i="28"/>
  <c r="I86" i="28"/>
  <c r="I98" i="28"/>
  <c r="I110" i="28"/>
  <c r="S110" i="28"/>
  <c r="J86" i="28"/>
  <c r="J98" i="28"/>
  <c r="J110" i="28"/>
  <c r="T110" i="28"/>
  <c r="K62" i="28"/>
  <c r="K110" i="28"/>
  <c r="U110" i="28"/>
  <c r="M110" i="28"/>
  <c r="F111" i="28"/>
  <c r="P111" i="28"/>
  <c r="G111" i="28"/>
  <c r="Q111" i="28"/>
  <c r="H87" i="28"/>
  <c r="H99" i="28"/>
  <c r="H111" i="28"/>
  <c r="R111" i="28"/>
  <c r="I87" i="28"/>
  <c r="I99" i="28"/>
  <c r="I111" i="28"/>
  <c r="S111" i="28"/>
  <c r="J87" i="28"/>
  <c r="J99" i="28"/>
  <c r="J111" i="28"/>
  <c r="T111" i="28"/>
  <c r="K63" i="28"/>
  <c r="K111" i="28"/>
  <c r="U111" i="28"/>
  <c r="M111" i="28"/>
  <c r="F112" i="28"/>
  <c r="P112" i="28"/>
  <c r="G112" i="28"/>
  <c r="Q112" i="28"/>
  <c r="H88" i="28"/>
  <c r="H100" i="28"/>
  <c r="H112" i="28"/>
  <c r="R112" i="28"/>
  <c r="I88" i="28"/>
  <c r="I100" i="28"/>
  <c r="I112" i="28"/>
  <c r="S112" i="28"/>
  <c r="J88" i="28"/>
  <c r="J100" i="28"/>
  <c r="J112" i="28"/>
  <c r="T112" i="28"/>
  <c r="K64" i="28"/>
  <c r="K112" i="28"/>
  <c r="U112" i="28"/>
  <c r="M112" i="28"/>
  <c r="F113" i="28"/>
  <c r="P113" i="28"/>
  <c r="G113" i="28"/>
  <c r="Q113" i="28"/>
  <c r="H89" i="28"/>
  <c r="H101" i="28"/>
  <c r="H113" i="28"/>
  <c r="R113" i="28"/>
  <c r="I89" i="28"/>
  <c r="I101" i="28"/>
  <c r="I113" i="28"/>
  <c r="S113" i="28"/>
  <c r="J89" i="28"/>
  <c r="J101" i="28"/>
  <c r="J113" i="28"/>
  <c r="T113" i="28"/>
  <c r="K65" i="28"/>
  <c r="K113" i="28"/>
  <c r="U113" i="28"/>
  <c r="M113" i="28"/>
  <c r="F2" i="28"/>
  <c r="P2" i="28"/>
  <c r="G2" i="28"/>
  <c r="Q2" i="28"/>
  <c r="H2" i="28"/>
  <c r="R2" i="28"/>
  <c r="I2" i="28"/>
  <c r="S2" i="28"/>
  <c r="J2" i="28"/>
  <c r="T2" i="28"/>
  <c r="K2" i="28"/>
  <c r="U2" i="28"/>
  <c r="M2" i="28"/>
  <c r="F3" i="28"/>
  <c r="P3" i="28"/>
  <c r="G3" i="28"/>
  <c r="Q3" i="28"/>
  <c r="H3" i="28"/>
  <c r="R3" i="28"/>
  <c r="I3" i="28"/>
  <c r="S3" i="28"/>
  <c r="J3" i="28"/>
  <c r="T3" i="28"/>
  <c r="K3" i="28"/>
  <c r="U3" i="28"/>
  <c r="M3" i="28"/>
  <c r="F4" i="28"/>
  <c r="P4" i="28"/>
  <c r="G4" i="28"/>
  <c r="Q4" i="28"/>
  <c r="H4" i="28"/>
  <c r="R4" i="28"/>
  <c r="I4" i="28"/>
  <c r="S4" i="28"/>
  <c r="J4" i="28"/>
  <c r="T4" i="28"/>
  <c r="K4" i="28"/>
  <c r="U4" i="28"/>
  <c r="M4" i="28"/>
  <c r="F5" i="28"/>
  <c r="P5" i="28"/>
  <c r="G5" i="28"/>
  <c r="Q5" i="28"/>
  <c r="H5" i="28"/>
  <c r="R5" i="28"/>
  <c r="I5" i="28"/>
  <c r="S5" i="28"/>
  <c r="J5" i="28"/>
  <c r="T5" i="28"/>
  <c r="K5" i="28"/>
  <c r="U5" i="28"/>
  <c r="M5" i="28"/>
  <c r="F6" i="28"/>
  <c r="P6" i="28"/>
  <c r="G6" i="28"/>
  <c r="Q6" i="28"/>
  <c r="H6" i="28"/>
  <c r="R6" i="28"/>
  <c r="I6" i="28"/>
  <c r="S6" i="28"/>
  <c r="J6" i="28"/>
  <c r="T6" i="28"/>
  <c r="K6" i="28"/>
  <c r="U6" i="28"/>
  <c r="M6" i="28"/>
  <c r="F7" i="28"/>
  <c r="P7" i="28"/>
  <c r="G7" i="28"/>
  <c r="Q7" i="28"/>
  <c r="H7" i="28"/>
  <c r="R7" i="28"/>
  <c r="I7" i="28"/>
  <c r="S7" i="28"/>
  <c r="J7" i="28"/>
  <c r="T7" i="28"/>
  <c r="K7" i="28"/>
  <c r="U7" i="28"/>
  <c r="M7" i="28"/>
  <c r="F8" i="28"/>
  <c r="P8" i="28"/>
  <c r="G8" i="28"/>
  <c r="Q8" i="28"/>
  <c r="H8" i="28"/>
  <c r="R8" i="28"/>
  <c r="I8" i="28"/>
  <c r="S8" i="28"/>
  <c r="J8" i="28"/>
  <c r="T8" i="28"/>
  <c r="K8" i="28"/>
  <c r="U8" i="28"/>
  <c r="M8" i="28"/>
  <c r="F9" i="28"/>
  <c r="P9" i="28"/>
  <c r="G9" i="28"/>
  <c r="Q9" i="28"/>
  <c r="H9" i="28"/>
  <c r="R9" i="28"/>
  <c r="I9" i="28"/>
  <c r="S9" i="28"/>
  <c r="J9" i="28"/>
  <c r="T9" i="28"/>
  <c r="K9" i="28"/>
  <c r="U9" i="28"/>
  <c r="M9" i="28"/>
  <c r="F10" i="28"/>
  <c r="P10" i="28"/>
  <c r="G10" i="28"/>
  <c r="Q10" i="28"/>
  <c r="H10" i="28"/>
  <c r="R10" i="28"/>
  <c r="I10" i="28"/>
  <c r="S10" i="28"/>
  <c r="J10" i="28"/>
  <c r="T10" i="28"/>
  <c r="K10" i="28"/>
  <c r="U10" i="28"/>
  <c r="M10" i="28"/>
  <c r="F11" i="28"/>
  <c r="P11" i="28"/>
  <c r="G11" i="28"/>
  <c r="Q11" i="28"/>
  <c r="H11" i="28"/>
  <c r="R11" i="28"/>
  <c r="I11" i="28"/>
  <c r="S11" i="28"/>
  <c r="J11" i="28"/>
  <c r="T11" i="28"/>
  <c r="K11" i="28"/>
  <c r="U11" i="28"/>
  <c r="M11" i="28"/>
  <c r="F12" i="28"/>
  <c r="P12" i="28"/>
  <c r="G12" i="28"/>
  <c r="Q12" i="28"/>
  <c r="H12" i="28"/>
  <c r="R12" i="28"/>
  <c r="I12" i="28"/>
  <c r="S12" i="28"/>
  <c r="J12" i="28"/>
  <c r="T12" i="28"/>
  <c r="K12" i="28"/>
  <c r="U12" i="28"/>
  <c r="M12" i="28"/>
  <c r="F13" i="28"/>
  <c r="P13" i="28"/>
  <c r="G13" i="28"/>
  <c r="Q13" i="28"/>
  <c r="H13" i="28"/>
  <c r="R13" i="28"/>
  <c r="I13" i="28"/>
  <c r="S13" i="28"/>
  <c r="J13" i="28"/>
  <c r="T13" i="28"/>
  <c r="K13" i="28"/>
  <c r="U13" i="28"/>
  <c r="M13" i="28"/>
  <c r="F14" i="28"/>
  <c r="P14" i="28"/>
  <c r="G14" i="28"/>
  <c r="Q14" i="28"/>
  <c r="H14" i="28"/>
  <c r="R14" i="28"/>
  <c r="I14" i="28"/>
  <c r="S14" i="28"/>
  <c r="J14" i="28"/>
  <c r="T14" i="28"/>
  <c r="K14" i="28"/>
  <c r="U14" i="28"/>
  <c r="M14" i="28"/>
  <c r="F15" i="28"/>
  <c r="P15" i="28"/>
  <c r="G15" i="28"/>
  <c r="Q15" i="28"/>
  <c r="H15" i="28"/>
  <c r="R15" i="28"/>
  <c r="I15" i="28"/>
  <c r="S15" i="28"/>
  <c r="J15" i="28"/>
  <c r="T15" i="28"/>
  <c r="K15" i="28"/>
  <c r="U15" i="28"/>
  <c r="M15" i="28"/>
  <c r="F16" i="28"/>
  <c r="P16" i="28"/>
  <c r="G16" i="28"/>
  <c r="Q16" i="28"/>
  <c r="H16" i="28"/>
  <c r="R16" i="28"/>
  <c r="I16" i="28"/>
  <c r="S16" i="28"/>
  <c r="J16" i="28"/>
  <c r="T16" i="28"/>
  <c r="K16" i="28"/>
  <c r="U16" i="28"/>
  <c r="M16" i="28"/>
  <c r="F17" i="28"/>
  <c r="P17" i="28"/>
  <c r="G17" i="28"/>
  <c r="Q17" i="28"/>
  <c r="H17" i="28"/>
  <c r="R17" i="28"/>
  <c r="I17" i="28"/>
  <c r="S17" i="28"/>
  <c r="J17" i="28"/>
  <c r="T17" i="28"/>
  <c r="K17" i="28"/>
  <c r="U17" i="28"/>
  <c r="M17" i="28"/>
  <c r="F18" i="28"/>
  <c r="P18" i="28"/>
  <c r="G18" i="28"/>
  <c r="Q18" i="28"/>
  <c r="H18" i="28"/>
  <c r="R18" i="28"/>
  <c r="I18" i="28"/>
  <c r="S18" i="28"/>
  <c r="J18" i="28"/>
  <c r="T18" i="28"/>
  <c r="K18" i="28"/>
  <c r="U18" i="28"/>
  <c r="M18" i="28"/>
  <c r="F19" i="28"/>
  <c r="P19" i="28"/>
  <c r="G19" i="28"/>
  <c r="Q19" i="28"/>
  <c r="H19" i="28"/>
  <c r="R19" i="28"/>
  <c r="I19" i="28"/>
  <c r="S19" i="28"/>
  <c r="J19" i="28"/>
  <c r="T19" i="28"/>
  <c r="K19" i="28"/>
  <c r="U19" i="28"/>
  <c r="M19" i="28"/>
  <c r="F20" i="28"/>
  <c r="P20" i="28"/>
  <c r="G20" i="28"/>
  <c r="Q20" i="28"/>
  <c r="H20" i="28"/>
  <c r="R20" i="28"/>
  <c r="I20" i="28"/>
  <c r="S20" i="28"/>
  <c r="J20" i="28"/>
  <c r="T20" i="28"/>
  <c r="K20" i="28"/>
  <c r="U20" i="28"/>
  <c r="M20" i="28"/>
  <c r="F21" i="28"/>
  <c r="P21" i="28"/>
  <c r="G21" i="28"/>
  <c r="Q21" i="28"/>
  <c r="H21" i="28"/>
  <c r="R21" i="28"/>
  <c r="I21" i="28"/>
  <c r="S21" i="28"/>
  <c r="J21" i="28"/>
  <c r="T21" i="28"/>
  <c r="K21" i="28"/>
  <c r="U21" i="28"/>
  <c r="M21" i="28"/>
  <c r="F22" i="28"/>
  <c r="P22" i="28"/>
  <c r="G22" i="28"/>
  <c r="Q22" i="28"/>
  <c r="H22" i="28"/>
  <c r="R22" i="28"/>
  <c r="I22" i="28"/>
  <c r="S22" i="28"/>
  <c r="J22" i="28"/>
  <c r="T22" i="28"/>
  <c r="K22" i="28"/>
  <c r="U22" i="28"/>
  <c r="M22" i="28"/>
  <c r="F23" i="28"/>
  <c r="P23" i="28"/>
  <c r="G23" i="28"/>
  <c r="Q23" i="28"/>
  <c r="H23" i="28"/>
  <c r="R23" i="28"/>
  <c r="I23" i="28"/>
  <c r="S23" i="28"/>
  <c r="J23" i="28"/>
  <c r="T23" i="28"/>
  <c r="K23" i="28"/>
  <c r="U23" i="28"/>
  <c r="M23" i="28"/>
  <c r="F24" i="28"/>
  <c r="P24" i="28"/>
  <c r="G24" i="28"/>
  <c r="Q24" i="28"/>
  <c r="H24" i="28"/>
  <c r="R24" i="28"/>
  <c r="I24" i="28"/>
  <c r="S24" i="28"/>
  <c r="J24" i="28"/>
  <c r="T24" i="28"/>
  <c r="K24" i="28"/>
  <c r="U24" i="28"/>
  <c r="M24" i="28"/>
  <c r="F25" i="28"/>
  <c r="P25" i="28"/>
  <c r="G25" i="28"/>
  <c r="Q25" i="28"/>
  <c r="H25" i="28"/>
  <c r="R25" i="28"/>
  <c r="I25" i="28"/>
  <c r="S25" i="28"/>
  <c r="J25" i="28"/>
  <c r="T25" i="28"/>
  <c r="K25" i="28"/>
  <c r="U25" i="28"/>
  <c r="M25" i="28"/>
  <c r="F26" i="28"/>
  <c r="P26" i="28"/>
  <c r="G26" i="28"/>
  <c r="Q26" i="28"/>
  <c r="H26" i="28"/>
  <c r="R26" i="28"/>
  <c r="I26" i="28"/>
  <c r="S26" i="28"/>
  <c r="J26" i="28"/>
  <c r="T26" i="28"/>
  <c r="K26" i="28"/>
  <c r="U26" i="28"/>
  <c r="M26" i="28"/>
  <c r="F27" i="28"/>
  <c r="P27" i="28"/>
  <c r="G27" i="28"/>
  <c r="Q27" i="28"/>
  <c r="H27" i="28"/>
  <c r="R27" i="28"/>
  <c r="I27" i="28"/>
  <c r="S27" i="28"/>
  <c r="J27" i="28"/>
  <c r="T27" i="28"/>
  <c r="K27" i="28"/>
  <c r="U27" i="28"/>
  <c r="M27" i="28"/>
  <c r="F28" i="28"/>
  <c r="P28" i="28"/>
  <c r="G28" i="28"/>
  <c r="Q28" i="28"/>
  <c r="H28" i="28"/>
  <c r="R28" i="28"/>
  <c r="I28" i="28"/>
  <c r="S28" i="28"/>
  <c r="J28" i="28"/>
  <c r="T28" i="28"/>
  <c r="K28" i="28"/>
  <c r="U28" i="28"/>
  <c r="M28" i="28"/>
  <c r="F29" i="28"/>
  <c r="P29" i="28"/>
  <c r="G29" i="28"/>
  <c r="Q29" i="28"/>
  <c r="H29" i="28"/>
  <c r="R29" i="28"/>
  <c r="I29" i="28"/>
  <c r="S29" i="28"/>
  <c r="J29" i="28"/>
  <c r="T29" i="28"/>
  <c r="K29" i="28"/>
  <c r="U29" i="28"/>
  <c r="M29" i="28"/>
  <c r="F30" i="28"/>
  <c r="P30" i="28"/>
  <c r="G30" i="28"/>
  <c r="Q30" i="28"/>
  <c r="H30" i="28"/>
  <c r="R30" i="28"/>
  <c r="I30" i="28"/>
  <c r="S30" i="28"/>
  <c r="J30" i="28"/>
  <c r="T30" i="28"/>
  <c r="K30" i="28"/>
  <c r="U30" i="28"/>
  <c r="M30" i="28"/>
  <c r="F31" i="28"/>
  <c r="P31" i="28"/>
  <c r="G31" i="28"/>
  <c r="Q31" i="28"/>
  <c r="H31" i="28"/>
  <c r="R31" i="28"/>
  <c r="I31" i="28"/>
  <c r="S31" i="28"/>
  <c r="J31" i="28"/>
  <c r="T31" i="28"/>
  <c r="K31" i="28"/>
  <c r="U31" i="28"/>
  <c r="M31" i="28"/>
  <c r="F32" i="28"/>
  <c r="P32" i="28"/>
  <c r="G32" i="28"/>
  <c r="Q32" i="28"/>
  <c r="H32" i="28"/>
  <c r="R32" i="28"/>
  <c r="I32" i="28"/>
  <c r="S32" i="28"/>
  <c r="J32" i="28"/>
  <c r="T32" i="28"/>
  <c r="K32" i="28"/>
  <c r="U32" i="28"/>
  <c r="M32" i="28"/>
  <c r="F33" i="28"/>
  <c r="P33" i="28"/>
  <c r="G33" i="28"/>
  <c r="Q33" i="28"/>
  <c r="H33" i="28"/>
  <c r="R33" i="28"/>
  <c r="I33" i="28"/>
  <c r="S33" i="28"/>
  <c r="J33" i="28"/>
  <c r="T33" i="28"/>
  <c r="K33" i="28"/>
  <c r="U33" i="28"/>
  <c r="M33" i="28"/>
  <c r="F34" i="28"/>
  <c r="P34" i="28"/>
  <c r="G34" i="28"/>
  <c r="Q34" i="28"/>
  <c r="H34" i="28"/>
  <c r="R34" i="28"/>
  <c r="I34" i="28"/>
  <c r="S34" i="28"/>
  <c r="J34" i="28"/>
  <c r="T34" i="28"/>
  <c r="K34" i="28"/>
  <c r="U34" i="28"/>
  <c r="M34" i="28"/>
  <c r="F35" i="28"/>
  <c r="P35" i="28"/>
  <c r="G35" i="28"/>
  <c r="Q35" i="28"/>
  <c r="H35" i="28"/>
  <c r="R35" i="28"/>
  <c r="I35" i="28"/>
  <c r="S35" i="28"/>
  <c r="J35" i="28"/>
  <c r="T35" i="28"/>
  <c r="K35" i="28"/>
  <c r="U35" i="28"/>
  <c r="M35" i="28"/>
  <c r="F36" i="28"/>
  <c r="P36" i="28"/>
  <c r="G36" i="28"/>
  <c r="Q36" i="28"/>
  <c r="H36" i="28"/>
  <c r="R36" i="28"/>
  <c r="I36" i="28"/>
  <c r="S36" i="28"/>
  <c r="J36" i="28"/>
  <c r="T36" i="28"/>
  <c r="K36" i="28"/>
  <c r="U36" i="28"/>
  <c r="M36" i="28"/>
  <c r="F37" i="28"/>
  <c r="P37" i="28"/>
  <c r="G37" i="28"/>
  <c r="Q37" i="28"/>
  <c r="H37" i="28"/>
  <c r="R37" i="28"/>
  <c r="I37" i="28"/>
  <c r="S37" i="28"/>
  <c r="J37" i="28"/>
  <c r="T37" i="28"/>
  <c r="K37" i="28"/>
  <c r="U37" i="28"/>
  <c r="M37" i="28"/>
  <c r="F38" i="28"/>
  <c r="P38" i="28"/>
  <c r="G38" i="28"/>
  <c r="Q38" i="28"/>
  <c r="H38" i="28"/>
  <c r="R38" i="28"/>
  <c r="I38" i="28"/>
  <c r="S38" i="28"/>
  <c r="J38" i="28"/>
  <c r="T38" i="28"/>
  <c r="K38" i="28"/>
  <c r="U38" i="28"/>
  <c r="M38" i="28"/>
  <c r="F39" i="28"/>
  <c r="P39" i="28"/>
  <c r="G39" i="28"/>
  <c r="Q39" i="28"/>
  <c r="H39" i="28"/>
  <c r="R39" i="28"/>
  <c r="I39" i="28"/>
  <c r="S39" i="28"/>
  <c r="J39" i="28"/>
  <c r="T39" i="28"/>
  <c r="K39" i="28"/>
  <c r="U39" i="28"/>
  <c r="M39" i="28"/>
  <c r="F40" i="28"/>
  <c r="P40" i="28"/>
  <c r="G40" i="28"/>
  <c r="Q40" i="28"/>
  <c r="H40" i="28"/>
  <c r="R40" i="28"/>
  <c r="I40" i="28"/>
  <c r="S40" i="28"/>
  <c r="J40" i="28"/>
  <c r="T40" i="28"/>
  <c r="K40" i="28"/>
  <c r="U40" i="28"/>
  <c r="M40" i="28"/>
  <c r="F41" i="28"/>
  <c r="P41" i="28"/>
  <c r="G41" i="28"/>
  <c r="Q41" i="28"/>
  <c r="H41" i="28"/>
  <c r="R41" i="28"/>
  <c r="I41" i="28"/>
  <c r="S41" i="28"/>
  <c r="J41" i="28"/>
  <c r="T41" i="28"/>
  <c r="K41" i="28"/>
  <c r="U41" i="28"/>
  <c r="M41" i="28"/>
  <c r="F42" i="28"/>
  <c r="P42" i="28"/>
  <c r="G42" i="28"/>
  <c r="Q42" i="28"/>
  <c r="H42" i="28"/>
  <c r="R42" i="28"/>
  <c r="I42" i="28"/>
  <c r="S42" i="28"/>
  <c r="J42" i="28"/>
  <c r="T42" i="28"/>
  <c r="K42" i="28"/>
  <c r="U42" i="28"/>
  <c r="M42" i="28"/>
  <c r="F43" i="28"/>
  <c r="P43" i="28"/>
  <c r="G43" i="28"/>
  <c r="Q43" i="28"/>
  <c r="H43" i="28"/>
  <c r="R43" i="28"/>
  <c r="I43" i="28"/>
  <c r="S43" i="28"/>
  <c r="J43" i="28"/>
  <c r="T43" i="28"/>
  <c r="K43" i="28"/>
  <c r="U43" i="28"/>
  <c r="M43" i="28"/>
  <c r="F44" i="28"/>
  <c r="P44" i="28"/>
  <c r="G44" i="28"/>
  <c r="Q44" i="28"/>
  <c r="H44" i="28"/>
  <c r="R44" i="28"/>
  <c r="I44" i="28"/>
  <c r="S44" i="28"/>
  <c r="J44" i="28"/>
  <c r="T44" i="28"/>
  <c r="K44" i="28"/>
  <c r="U44" i="28"/>
  <c r="M44" i="28"/>
  <c r="F45" i="28"/>
  <c r="P45" i="28"/>
  <c r="G45" i="28"/>
  <c r="Q45" i="28"/>
  <c r="H45" i="28"/>
  <c r="R45" i="28"/>
  <c r="I45" i="28"/>
  <c r="S45" i="28"/>
  <c r="J45" i="28"/>
  <c r="T45" i="28"/>
  <c r="K45" i="28"/>
  <c r="U45" i="28"/>
  <c r="M45" i="28"/>
  <c r="F46" i="28"/>
  <c r="P46" i="28"/>
  <c r="G46" i="28"/>
  <c r="Q46" i="28"/>
  <c r="H46" i="28"/>
  <c r="R46" i="28"/>
  <c r="I46" i="28"/>
  <c r="S46" i="28"/>
  <c r="J46" i="28"/>
  <c r="T46" i="28"/>
  <c r="K46" i="28"/>
  <c r="U46" i="28"/>
  <c r="M46" i="28"/>
  <c r="F47" i="28"/>
  <c r="P47" i="28"/>
  <c r="G47" i="28"/>
  <c r="Q47" i="28"/>
  <c r="H47" i="28"/>
  <c r="R47" i="28"/>
  <c r="I47" i="28"/>
  <c r="S47" i="28"/>
  <c r="J47" i="28"/>
  <c r="T47" i="28"/>
  <c r="K47" i="28"/>
  <c r="U47" i="28"/>
  <c r="M47" i="28"/>
  <c r="F48" i="28"/>
  <c r="P48" i="28"/>
  <c r="G48" i="28"/>
  <c r="Q48" i="28"/>
  <c r="H48" i="28"/>
  <c r="R48" i="28"/>
  <c r="I48" i="28"/>
  <c r="S48" i="28"/>
  <c r="J48" i="28"/>
  <c r="T48" i="28"/>
  <c r="K48" i="28"/>
  <c r="U48" i="28"/>
  <c r="M48" i="28"/>
  <c r="F49" i="28"/>
  <c r="P49" i="28"/>
  <c r="G49" i="28"/>
  <c r="Q49" i="28"/>
  <c r="H49" i="28"/>
  <c r="R49" i="28"/>
  <c r="I49" i="28"/>
  <c r="S49" i="28"/>
  <c r="J49" i="28"/>
  <c r="T49" i="28"/>
  <c r="K49" i="28"/>
  <c r="U49" i="28"/>
  <c r="M49" i="28"/>
  <c r="F50" i="28"/>
  <c r="P50" i="28"/>
  <c r="G50" i="28"/>
  <c r="Q50" i="28"/>
  <c r="H50" i="28"/>
  <c r="R50" i="28"/>
  <c r="I50" i="28"/>
  <c r="S50" i="28"/>
  <c r="J50" i="28"/>
  <c r="T50" i="28"/>
  <c r="K50" i="28"/>
  <c r="U50" i="28"/>
  <c r="M50" i="28"/>
  <c r="F51" i="28"/>
  <c r="P51" i="28"/>
  <c r="G51" i="28"/>
  <c r="Q51" i="28"/>
  <c r="H51" i="28"/>
  <c r="R51" i="28"/>
  <c r="I51" i="28"/>
  <c r="S51" i="28"/>
  <c r="J51" i="28"/>
  <c r="T51" i="28"/>
  <c r="K51" i="28"/>
  <c r="U51" i="28"/>
  <c r="M51" i="28"/>
  <c r="F52" i="28"/>
  <c r="P52" i="28"/>
  <c r="G52" i="28"/>
  <c r="Q52" i="28"/>
  <c r="H52" i="28"/>
  <c r="R52" i="28"/>
  <c r="I52" i="28"/>
  <c r="S52" i="28"/>
  <c r="J52" i="28"/>
  <c r="T52" i="28"/>
  <c r="K52" i="28"/>
  <c r="U52" i="28"/>
  <c r="M52" i="28"/>
  <c r="F53" i="28"/>
  <c r="P53" i="28"/>
  <c r="G53" i="28"/>
  <c r="Q53" i="28"/>
  <c r="H53" i="28"/>
  <c r="R53" i="28"/>
  <c r="I53" i="28"/>
  <c r="S53" i="28"/>
  <c r="J53" i="28"/>
  <c r="T53" i="28"/>
  <c r="K53" i="28"/>
  <c r="U53" i="28"/>
  <c r="M53" i="28"/>
  <c r="F54" i="28"/>
  <c r="P54" i="28"/>
  <c r="G54" i="28"/>
  <c r="Q54" i="28"/>
  <c r="H54" i="28"/>
  <c r="R54" i="28"/>
  <c r="I54" i="28"/>
  <c r="S54" i="28"/>
  <c r="J54" i="28"/>
  <c r="T54" i="28"/>
  <c r="K54" i="28"/>
  <c r="U54" i="28"/>
  <c r="M54" i="28"/>
  <c r="F55" i="28"/>
  <c r="P55" i="28"/>
  <c r="G55" i="28"/>
  <c r="Q55" i="28"/>
  <c r="H55" i="28"/>
  <c r="R55" i="28"/>
  <c r="I55" i="28"/>
  <c r="S55" i="28"/>
  <c r="J55" i="28"/>
  <c r="T55" i="28"/>
  <c r="K55" i="28"/>
  <c r="U55" i="28"/>
  <c r="M55" i="28"/>
  <c r="F56" i="28"/>
  <c r="P56" i="28"/>
  <c r="G56" i="28"/>
  <c r="Q56" i="28"/>
  <c r="H56" i="28"/>
  <c r="R56" i="28"/>
  <c r="I56" i="28"/>
  <c r="S56" i="28"/>
  <c r="J56" i="28"/>
  <c r="T56" i="28"/>
  <c r="K56" i="28"/>
  <c r="U56" i="28"/>
  <c r="M56" i="28"/>
  <c r="F57" i="28"/>
  <c r="P57" i="28"/>
  <c r="G57" i="28"/>
  <c r="Q57" i="28"/>
  <c r="H57" i="28"/>
  <c r="R57" i="28"/>
  <c r="I57" i="28"/>
  <c r="S57" i="28"/>
  <c r="J57" i="28"/>
  <c r="T57" i="28"/>
  <c r="K57" i="28"/>
  <c r="U57" i="28"/>
  <c r="M57" i="28"/>
  <c r="F58" i="28"/>
  <c r="P58" i="28"/>
  <c r="G58" i="28"/>
  <c r="Q58" i="28"/>
  <c r="H58" i="28"/>
  <c r="R58" i="28"/>
  <c r="I58" i="28"/>
  <c r="S58" i="28"/>
  <c r="J58" i="28"/>
  <c r="T58" i="28"/>
  <c r="K58" i="28"/>
  <c r="U58" i="28"/>
  <c r="M58" i="28"/>
  <c r="F59" i="28"/>
  <c r="P59" i="28"/>
  <c r="G59" i="28"/>
  <c r="Q59" i="28"/>
  <c r="H59" i="28"/>
  <c r="R59" i="28"/>
  <c r="I59" i="28"/>
  <c r="S59" i="28"/>
  <c r="J59" i="28"/>
  <c r="T59" i="28"/>
  <c r="K59" i="28"/>
  <c r="U59" i="28"/>
  <c r="M59" i="28"/>
  <c r="F60" i="28"/>
  <c r="P60" i="28"/>
  <c r="G60" i="28"/>
  <c r="Q60" i="28"/>
  <c r="H60" i="28"/>
  <c r="R60" i="28"/>
  <c r="I60" i="28"/>
  <c r="S60" i="28"/>
  <c r="J60" i="28"/>
  <c r="T60" i="28"/>
  <c r="K60" i="28"/>
  <c r="U60" i="28"/>
  <c r="M60" i="28"/>
  <c r="F61" i="28"/>
  <c r="P61" i="28"/>
  <c r="G61" i="28"/>
  <c r="Q61" i="28"/>
  <c r="H61" i="28"/>
  <c r="R61" i="28"/>
  <c r="I61" i="28"/>
  <c r="S61" i="28"/>
  <c r="J61" i="28"/>
  <c r="T61" i="28"/>
  <c r="K61" i="28"/>
  <c r="U61" i="28"/>
  <c r="M61" i="28"/>
  <c r="F62" i="28"/>
  <c r="P62" i="28"/>
  <c r="G62" i="28"/>
  <c r="Q62" i="28"/>
  <c r="H62" i="28"/>
  <c r="R62" i="28"/>
  <c r="I62" i="28"/>
  <c r="S62" i="28"/>
  <c r="J62" i="28"/>
  <c r="T62" i="28"/>
  <c r="U62" i="28"/>
  <c r="M62" i="28"/>
  <c r="F63" i="28"/>
  <c r="P63" i="28"/>
  <c r="G63" i="28"/>
  <c r="Q63" i="28"/>
  <c r="H63" i="28"/>
  <c r="R63" i="28"/>
  <c r="I63" i="28"/>
  <c r="S63" i="28"/>
  <c r="J63" i="28"/>
  <c r="T63" i="28"/>
  <c r="U63" i="28"/>
  <c r="M63" i="28"/>
  <c r="F64" i="28"/>
  <c r="P64" i="28"/>
  <c r="G64" i="28"/>
  <c r="Q64" i="28"/>
  <c r="H64" i="28"/>
  <c r="R64" i="28"/>
  <c r="I64" i="28"/>
  <c r="S64" i="28"/>
  <c r="J64" i="28"/>
  <c r="T64" i="28"/>
  <c r="U64" i="28"/>
  <c r="M64" i="28"/>
  <c r="F65" i="28"/>
  <c r="P65" i="28"/>
  <c r="G65" i="28"/>
  <c r="Q65" i="28"/>
  <c r="H65" i="28"/>
  <c r="R65" i="28"/>
  <c r="I65" i="28"/>
  <c r="S65" i="28"/>
  <c r="J65" i="28"/>
  <c r="T65" i="28"/>
  <c r="U65" i="28"/>
  <c r="M65" i="28"/>
  <c r="F66" i="28"/>
  <c r="P66" i="28"/>
  <c r="G66" i="28"/>
  <c r="Q66" i="28"/>
  <c r="H66" i="28"/>
  <c r="R66" i="28"/>
  <c r="I66" i="28"/>
  <c r="S66" i="28"/>
  <c r="J66" i="28"/>
  <c r="T66" i="28"/>
  <c r="K66" i="28"/>
  <c r="U66" i="28"/>
  <c r="M66" i="28"/>
  <c r="F67" i="28"/>
  <c r="P67" i="28"/>
  <c r="G67" i="28"/>
  <c r="Q67" i="28"/>
  <c r="H67" i="28"/>
  <c r="R67" i="28"/>
  <c r="I67" i="28"/>
  <c r="S67" i="28"/>
  <c r="J67" i="28"/>
  <c r="T67" i="28"/>
  <c r="K67" i="28"/>
  <c r="U67" i="28"/>
  <c r="M67" i="28"/>
  <c r="F68" i="28"/>
  <c r="P68" i="28"/>
  <c r="G68" i="28"/>
  <c r="Q68" i="28"/>
  <c r="H68" i="28"/>
  <c r="R68" i="28"/>
  <c r="I68" i="28"/>
  <c r="S68" i="28"/>
  <c r="J68" i="28"/>
  <c r="T68" i="28"/>
  <c r="K68" i="28"/>
  <c r="U68" i="28"/>
  <c r="M68" i="28"/>
  <c r="F69" i="28"/>
  <c r="P69" i="28"/>
  <c r="G69" i="28"/>
  <c r="Q69" i="28"/>
  <c r="H69" i="28"/>
  <c r="R69" i="28"/>
  <c r="I69" i="28"/>
  <c r="S69" i="28"/>
  <c r="J69" i="28"/>
  <c r="T69" i="28"/>
  <c r="K69" i="28"/>
  <c r="U69" i="28"/>
  <c r="M69" i="28"/>
  <c r="F70" i="28"/>
  <c r="P70" i="28"/>
  <c r="G70" i="28"/>
  <c r="Q70" i="28"/>
  <c r="H70" i="28"/>
  <c r="R70" i="28"/>
  <c r="I70" i="28"/>
  <c r="S70" i="28"/>
  <c r="J70" i="28"/>
  <c r="T70" i="28"/>
  <c r="K70" i="28"/>
  <c r="U70" i="28"/>
  <c r="M70" i="28"/>
  <c r="F71" i="28"/>
  <c r="P71" i="28"/>
  <c r="G71" i="28"/>
  <c r="Q71" i="28"/>
  <c r="H71" i="28"/>
  <c r="R71" i="28"/>
  <c r="I71" i="28"/>
  <c r="S71" i="28"/>
  <c r="J71" i="28"/>
  <c r="T71" i="28"/>
  <c r="K71" i="28"/>
  <c r="U71" i="28"/>
  <c r="M71" i="28"/>
  <c r="F72" i="28"/>
  <c r="P72" i="28"/>
  <c r="G72" i="28"/>
  <c r="Q72" i="28"/>
  <c r="H72" i="28"/>
  <c r="R72" i="28"/>
  <c r="I72" i="28"/>
  <c r="S72" i="28"/>
  <c r="J72" i="28"/>
  <c r="T72" i="28"/>
  <c r="K72" i="28"/>
  <c r="U72" i="28"/>
  <c r="M72" i="28"/>
  <c r="F73" i="28"/>
  <c r="P73" i="28"/>
  <c r="G73" i="28"/>
  <c r="Q73" i="28"/>
  <c r="H73" i="28"/>
  <c r="R73" i="28"/>
  <c r="I73" i="28"/>
  <c r="S73" i="28"/>
  <c r="J73" i="28"/>
  <c r="T73" i="28"/>
  <c r="K73" i="28"/>
  <c r="U73" i="28"/>
  <c r="M73" i="28"/>
  <c r="F74" i="28"/>
  <c r="P74" i="28"/>
  <c r="G74" i="28"/>
  <c r="Q74" i="28"/>
  <c r="H74" i="28"/>
  <c r="R74" i="28"/>
  <c r="I74" i="28"/>
  <c r="S74" i="28"/>
  <c r="J74" i="28"/>
  <c r="T74" i="28"/>
  <c r="K74" i="28"/>
  <c r="U74" i="28"/>
  <c r="M74" i="28"/>
  <c r="F75" i="28"/>
  <c r="P75" i="28"/>
  <c r="G75" i="28"/>
  <c r="Q75" i="28"/>
  <c r="H75" i="28"/>
  <c r="R75" i="28"/>
  <c r="I75" i="28"/>
  <c r="S75" i="28"/>
  <c r="J75" i="28"/>
  <c r="T75" i="28"/>
  <c r="K75" i="28"/>
  <c r="U75" i="28"/>
  <c r="M75" i="28"/>
  <c r="F76" i="28"/>
  <c r="P76" i="28"/>
  <c r="G76" i="28"/>
  <c r="Q76" i="28"/>
  <c r="H76" i="28"/>
  <c r="R76" i="28"/>
  <c r="I76" i="28"/>
  <c r="S76" i="28"/>
  <c r="J76" i="28"/>
  <c r="T76" i="28"/>
  <c r="K76" i="28"/>
  <c r="U76" i="28"/>
  <c r="M76" i="28"/>
  <c r="F77" i="28"/>
  <c r="P77" i="28"/>
  <c r="G77" i="28"/>
  <c r="Q77" i="28"/>
  <c r="H77" i="28"/>
  <c r="R77" i="28"/>
  <c r="I77" i="28"/>
  <c r="S77" i="28"/>
  <c r="J77" i="28"/>
  <c r="T77" i="28"/>
  <c r="K77" i="28"/>
  <c r="U77" i="28"/>
  <c r="M77" i="28"/>
  <c r="F78" i="28"/>
  <c r="P78" i="28"/>
  <c r="G78" i="28"/>
  <c r="Q78" i="28"/>
  <c r="H78" i="28"/>
  <c r="R78" i="28"/>
  <c r="I78" i="28"/>
  <c r="S78" i="28"/>
  <c r="J78" i="28"/>
  <c r="T78" i="28"/>
  <c r="K78" i="28"/>
  <c r="U78" i="28"/>
  <c r="M78" i="28"/>
  <c r="F79" i="28"/>
  <c r="P79" i="28"/>
  <c r="G79" i="28"/>
  <c r="Q79" i="28"/>
  <c r="H79" i="28"/>
  <c r="R79" i="28"/>
  <c r="I79" i="28"/>
  <c r="S79" i="28"/>
  <c r="J79" i="28"/>
  <c r="T79" i="28"/>
  <c r="K79" i="28"/>
  <c r="U79" i="28"/>
  <c r="M79" i="28"/>
  <c r="F80" i="28"/>
  <c r="P80" i="28"/>
  <c r="G80" i="28"/>
  <c r="Q80" i="28"/>
  <c r="H80" i="28"/>
  <c r="R80" i="28"/>
  <c r="I80" i="28"/>
  <c r="S80" i="28"/>
  <c r="J80" i="28"/>
  <c r="T80" i="28"/>
  <c r="K80" i="28"/>
  <c r="U80" i="28"/>
  <c r="M80" i="28"/>
  <c r="F81" i="28"/>
  <c r="P81" i="28"/>
  <c r="G81" i="28"/>
  <c r="Q81" i="28"/>
  <c r="H81" i="28"/>
  <c r="R81" i="28"/>
  <c r="I81" i="28"/>
  <c r="S81" i="28"/>
  <c r="J81" i="28"/>
  <c r="T81" i="28"/>
  <c r="K81" i="28"/>
  <c r="U81" i="28"/>
  <c r="M81" i="28"/>
  <c r="F82" i="28"/>
  <c r="P82" i="28"/>
  <c r="G82" i="28"/>
  <c r="Q82" i="28"/>
  <c r="H82" i="28"/>
  <c r="R82" i="28"/>
  <c r="I82" i="28"/>
  <c r="S82" i="28"/>
  <c r="J82" i="28"/>
  <c r="T82" i="28"/>
  <c r="K82" i="28"/>
  <c r="U82" i="28"/>
  <c r="M82" i="28"/>
  <c r="F83" i="28"/>
  <c r="P83" i="28"/>
  <c r="G83" i="28"/>
  <c r="Q83" i="28"/>
  <c r="H83" i="28"/>
  <c r="R83" i="28"/>
  <c r="I83" i="28"/>
  <c r="S83" i="28"/>
  <c r="J83" i="28"/>
  <c r="T83" i="28"/>
  <c r="K83" i="28"/>
  <c r="U83" i="28"/>
  <c r="M83" i="28"/>
  <c r="F84" i="28"/>
  <c r="P84" i="28"/>
  <c r="G84" i="28"/>
  <c r="Q84" i="28"/>
  <c r="H84" i="28"/>
  <c r="R84" i="28"/>
  <c r="I84" i="28"/>
  <c r="S84" i="28"/>
  <c r="J84" i="28"/>
  <c r="T84" i="28"/>
  <c r="K84" i="28"/>
  <c r="U84" i="28"/>
  <c r="M84" i="28"/>
  <c r="F85" i="28"/>
  <c r="P85" i="28"/>
  <c r="G85" i="28"/>
  <c r="Q85" i="28"/>
  <c r="H85" i="28"/>
  <c r="R85" i="28"/>
  <c r="I85" i="28"/>
  <c r="S85" i="28"/>
  <c r="J85" i="28"/>
  <c r="T85" i="28"/>
  <c r="K85" i="28"/>
  <c r="U85" i="28"/>
  <c r="M85" i="28"/>
  <c r="F86" i="28"/>
  <c r="P86" i="28"/>
  <c r="G86" i="28"/>
  <c r="Q86" i="28"/>
  <c r="R86" i="28"/>
  <c r="S86" i="28"/>
  <c r="T86" i="28"/>
  <c r="K86" i="28"/>
  <c r="U86" i="28"/>
  <c r="M86" i="28"/>
  <c r="F87" i="28"/>
  <c r="P87" i="28"/>
  <c r="G87" i="28"/>
  <c r="Q87" i="28"/>
  <c r="R87" i="28"/>
  <c r="S87" i="28"/>
  <c r="T87" i="28"/>
  <c r="K87" i="28"/>
  <c r="U87" i="28"/>
  <c r="M87" i="28"/>
  <c r="F88" i="28"/>
  <c r="P88" i="28"/>
  <c r="G88" i="28"/>
  <c r="Q88" i="28"/>
  <c r="R88" i="28"/>
  <c r="S88" i="28"/>
  <c r="T88" i="28"/>
  <c r="K88" i="28"/>
  <c r="U88" i="28"/>
  <c r="M88" i="28"/>
  <c r="F89" i="28"/>
  <c r="P89" i="28"/>
  <c r="G89" i="28"/>
  <c r="Q89" i="28"/>
  <c r="R89" i="28"/>
  <c r="S89" i="28"/>
  <c r="T89" i="28"/>
  <c r="K89" i="28"/>
  <c r="U89" i="28"/>
  <c r="M89" i="28"/>
  <c r="F90" i="28"/>
  <c r="P90" i="28"/>
  <c r="G90" i="28"/>
  <c r="Q90" i="28"/>
  <c r="H90" i="28"/>
  <c r="R90" i="28"/>
  <c r="I90" i="28"/>
  <c r="S90" i="28"/>
  <c r="J90" i="28"/>
  <c r="T90" i="28"/>
  <c r="K90" i="28"/>
  <c r="U90" i="28"/>
  <c r="M90" i="28"/>
  <c r="F91" i="28"/>
  <c r="P91" i="28"/>
  <c r="G91" i="28"/>
  <c r="Q91" i="28"/>
  <c r="H91" i="28"/>
  <c r="R91" i="28"/>
  <c r="I91" i="28"/>
  <c r="S91" i="28"/>
  <c r="J91" i="28"/>
  <c r="T91" i="28"/>
  <c r="K91" i="28"/>
  <c r="U91" i="28"/>
  <c r="M91" i="28"/>
  <c r="F92" i="28"/>
  <c r="P92" i="28"/>
  <c r="G92" i="28"/>
  <c r="Q92" i="28"/>
  <c r="H92" i="28"/>
  <c r="R92" i="28"/>
  <c r="I92" i="28"/>
  <c r="S92" i="28"/>
  <c r="J92" i="28"/>
  <c r="T92" i="28"/>
  <c r="K92" i="28"/>
  <c r="U92" i="28"/>
  <c r="M92" i="28"/>
  <c r="F93" i="28"/>
  <c r="P93" i="28"/>
  <c r="G93" i="28"/>
  <c r="Q93" i="28"/>
  <c r="H93" i="28"/>
  <c r="R93" i="28"/>
  <c r="I93" i="28"/>
  <c r="S93" i="28"/>
  <c r="J93" i="28"/>
  <c r="T93" i="28"/>
  <c r="K93" i="28"/>
  <c r="U93" i="28"/>
  <c r="M93" i="28"/>
  <c r="F94" i="28"/>
  <c r="P94" i="28"/>
  <c r="G94" i="28"/>
  <c r="Q94" i="28"/>
  <c r="H94" i="28"/>
  <c r="R94" i="28"/>
  <c r="I94" i="28"/>
  <c r="S94" i="28"/>
  <c r="J94" i="28"/>
  <c r="T94" i="28"/>
  <c r="K94" i="28"/>
  <c r="U94" i="28"/>
  <c r="M94" i="28"/>
  <c r="F95" i="28"/>
  <c r="P95" i="28"/>
  <c r="G95" i="28"/>
  <c r="Q95" i="28"/>
  <c r="H95" i="28"/>
  <c r="R95" i="28"/>
  <c r="I95" i="28"/>
  <c r="S95" i="28"/>
  <c r="J95" i="28"/>
  <c r="T95" i="28"/>
  <c r="K95" i="28"/>
  <c r="U95" i="28"/>
  <c r="M95" i="28"/>
  <c r="F96" i="28"/>
  <c r="P96" i="28"/>
  <c r="G96" i="28"/>
  <c r="Q96" i="28"/>
  <c r="H96" i="28"/>
  <c r="R96" i="28"/>
  <c r="I96" i="28"/>
  <c r="S96" i="28"/>
  <c r="J96" i="28"/>
  <c r="T96" i="28"/>
  <c r="K96" i="28"/>
  <c r="U96" i="28"/>
  <c r="M96" i="28"/>
  <c r="F97" i="28"/>
  <c r="P97" i="28"/>
  <c r="Q97" i="28"/>
  <c r="H97" i="28"/>
  <c r="R97" i="28"/>
  <c r="I97" i="28"/>
  <c r="S97" i="28"/>
  <c r="J97" i="28"/>
  <c r="T97" i="28"/>
  <c r="K97" i="28"/>
  <c r="U97" i="28"/>
  <c r="M97" i="28"/>
  <c r="F98" i="28"/>
  <c r="P98" i="28"/>
  <c r="Q98" i="28"/>
  <c r="R98" i="28"/>
  <c r="S98" i="28"/>
  <c r="T98" i="28"/>
  <c r="K98" i="28"/>
  <c r="U98" i="28"/>
  <c r="M98" i="28"/>
  <c r="F99" i="28"/>
  <c r="P99" i="28"/>
  <c r="Q99" i="28"/>
  <c r="R99" i="28"/>
  <c r="S99" i="28"/>
  <c r="T99" i="28"/>
  <c r="K99" i="28"/>
  <c r="U99" i="28"/>
  <c r="M99" i="28"/>
  <c r="F100" i="28"/>
  <c r="P100" i="28"/>
  <c r="Q100" i="28"/>
  <c r="R100" i="28"/>
  <c r="S100" i="28"/>
  <c r="T100" i="28"/>
  <c r="K100" i="28"/>
  <c r="U100" i="28"/>
  <c r="M100" i="28"/>
  <c r="F101" i="28"/>
  <c r="P101" i="28"/>
  <c r="Q101" i="28"/>
  <c r="R101" i="28"/>
  <c r="S101" i="28"/>
  <c r="T101" i="28"/>
  <c r="K101" i="28"/>
  <c r="U101" i="28"/>
  <c r="M101" i="28"/>
  <c r="F102" i="28"/>
  <c r="P102" i="28"/>
  <c r="Q102" i="28"/>
  <c r="H102" i="28"/>
  <c r="R102" i="28"/>
  <c r="I102" i="28"/>
  <c r="S102" i="28"/>
  <c r="J102" i="28"/>
  <c r="T102" i="28"/>
  <c r="K102" i="28"/>
  <c r="U102" i="28"/>
  <c r="M102" i="28"/>
  <c r="F103" i="28"/>
  <c r="P103" i="28"/>
  <c r="Q103" i="28"/>
  <c r="H103" i="28"/>
  <c r="R103" i="28"/>
  <c r="I103" i="28"/>
  <c r="S103" i="28"/>
  <c r="J103" i="28"/>
  <c r="T103" i="28"/>
  <c r="K103" i="28"/>
  <c r="U103" i="28"/>
  <c r="M103" i="28"/>
  <c r="F104" i="28"/>
  <c r="P104" i="28"/>
  <c r="Q104" i="28"/>
  <c r="H104" i="28"/>
  <c r="R104" i="28"/>
  <c r="I104" i="28"/>
  <c r="S104" i="28"/>
  <c r="J104" i="28"/>
  <c r="T104" i="28"/>
  <c r="K104" i="28"/>
  <c r="U104" i="28"/>
  <c r="M104" i="28"/>
  <c r="F105" i="28"/>
  <c r="P105" i="28"/>
  <c r="Q105" i="28"/>
  <c r="H105" i="28"/>
  <c r="R105" i="28"/>
  <c r="I105" i="28"/>
  <c r="S105" i="28"/>
  <c r="J105" i="28"/>
  <c r="T105" i="28"/>
  <c r="K105" i="28"/>
  <c r="U105" i="28"/>
  <c r="M105" i="28"/>
  <c r="F106" i="28"/>
  <c r="P106" i="28"/>
  <c r="Q106" i="28"/>
  <c r="H106" i="28"/>
  <c r="R106" i="28"/>
  <c r="I106" i="28"/>
  <c r="S106" i="28"/>
  <c r="J106" i="28"/>
  <c r="T106" i="28"/>
  <c r="K106" i="28"/>
  <c r="U106" i="28"/>
  <c r="M106" i="28"/>
  <c r="F107" i="28"/>
  <c r="P107" i="28"/>
  <c r="Q107" i="28"/>
  <c r="H107" i="28"/>
  <c r="R107" i="28"/>
  <c r="I107" i="28"/>
  <c r="S107" i="28"/>
  <c r="J107" i="28"/>
  <c r="T107" i="28"/>
  <c r="K107" i="28"/>
  <c r="U107" i="28"/>
  <c r="M107" i="28"/>
  <c r="F108" i="28"/>
  <c r="P108" i="28"/>
  <c r="Q108" i="28"/>
  <c r="H108" i="28"/>
  <c r="R108" i="28"/>
  <c r="I108" i="28"/>
  <c r="S108" i="28"/>
  <c r="J108" i="28"/>
  <c r="T108" i="28"/>
  <c r="K108" i="28"/>
  <c r="U108" i="28"/>
  <c r="M108" i="28"/>
  <c r="F109" i="28"/>
  <c r="P109" i="28"/>
  <c r="Q109" i="28"/>
  <c r="H109" i="28"/>
  <c r="R109" i="28"/>
  <c r="I109" i="28"/>
  <c r="S109" i="28"/>
  <c r="J109" i="28"/>
  <c r="T109" i="28"/>
  <c r="K109" i="28"/>
  <c r="U109" i="28"/>
  <c r="M109" i="28"/>
  <c r="F114" i="28"/>
  <c r="P114" i="28"/>
  <c r="G114" i="28"/>
  <c r="Q114" i="28"/>
  <c r="H114" i="28"/>
  <c r="R114" i="28"/>
  <c r="I114" i="28"/>
  <c r="S114" i="28"/>
  <c r="J114" i="28"/>
  <c r="T114" i="28"/>
  <c r="K114" i="28"/>
  <c r="U114" i="28"/>
  <c r="M114" i="28"/>
  <c r="F115" i="28"/>
  <c r="P115" i="28"/>
  <c r="G115" i="28"/>
  <c r="Q115" i="28"/>
  <c r="H115" i="28"/>
  <c r="R115" i="28"/>
  <c r="I115" i="28"/>
  <c r="S115" i="28"/>
  <c r="J115" i="28"/>
  <c r="T115" i="28"/>
  <c r="K115" i="28"/>
  <c r="U115" i="28"/>
  <c r="M115" i="28"/>
  <c r="F116" i="28"/>
  <c r="P116" i="28"/>
  <c r="G116" i="28"/>
  <c r="Q116" i="28"/>
  <c r="H116" i="28"/>
  <c r="R116" i="28"/>
  <c r="I116" i="28"/>
  <c r="S116" i="28"/>
  <c r="J116" i="28"/>
  <c r="T116" i="28"/>
  <c r="K116" i="28"/>
  <c r="U116" i="28"/>
  <c r="M116" i="28"/>
  <c r="F117" i="28"/>
  <c r="P117" i="28"/>
  <c r="G117" i="28"/>
  <c r="Q117" i="28"/>
  <c r="H117" i="28"/>
  <c r="R117" i="28"/>
  <c r="I117" i="28"/>
  <c r="S117" i="28"/>
  <c r="J117" i="28"/>
  <c r="T117" i="28"/>
  <c r="K117" i="28"/>
  <c r="U117" i="28"/>
  <c r="M117" i="28"/>
  <c r="F118" i="28"/>
  <c r="P118" i="28"/>
  <c r="G118" i="28"/>
  <c r="Q118" i="28"/>
  <c r="H118" i="28"/>
  <c r="R118" i="28"/>
  <c r="I118" i="28"/>
  <c r="S118" i="28"/>
  <c r="J118" i="28"/>
  <c r="T118" i="28"/>
  <c r="K118" i="28"/>
  <c r="U118" i="28"/>
  <c r="M118" i="28"/>
  <c r="F119" i="28"/>
  <c r="P119" i="28"/>
  <c r="G119" i="28"/>
  <c r="Q119" i="28"/>
  <c r="H119" i="28"/>
  <c r="R119" i="28"/>
  <c r="I119" i="28"/>
  <c r="S119" i="28"/>
  <c r="J119" i="28"/>
  <c r="T119" i="28"/>
  <c r="K119" i="28"/>
  <c r="U119" i="28"/>
  <c r="M119" i="28"/>
  <c r="F120" i="28"/>
  <c r="P120" i="28"/>
  <c r="G120" i="28"/>
  <c r="Q120" i="28"/>
  <c r="H120" i="28"/>
  <c r="R120" i="28"/>
  <c r="I120" i="28"/>
  <c r="S120" i="28"/>
  <c r="J120" i="28"/>
  <c r="T120" i="28"/>
  <c r="K120" i="28"/>
  <c r="U120" i="28"/>
  <c r="M120" i="28"/>
  <c r="F121" i="28"/>
  <c r="P121" i="28"/>
  <c r="G121" i="28"/>
  <c r="Q121" i="28"/>
  <c r="H121" i="28"/>
  <c r="R121" i="28"/>
  <c r="I121" i="28"/>
  <c r="S121" i="28"/>
  <c r="J121" i="28"/>
  <c r="T121" i="28"/>
  <c r="K121" i="28"/>
  <c r="U121" i="28"/>
  <c r="M121" i="28"/>
  <c r="F122" i="28"/>
  <c r="P122" i="28"/>
  <c r="G122" i="28"/>
  <c r="Q122" i="28"/>
  <c r="H122" i="28"/>
  <c r="R122" i="28"/>
  <c r="I122" i="28"/>
  <c r="S122" i="28"/>
  <c r="J122" i="28"/>
  <c r="T122" i="28"/>
  <c r="K122" i="28"/>
  <c r="U122" i="28"/>
  <c r="M122" i="28"/>
  <c r="F123" i="28"/>
  <c r="P123" i="28"/>
  <c r="G123" i="28"/>
  <c r="Q123" i="28"/>
  <c r="H123" i="28"/>
  <c r="R123" i="28"/>
  <c r="I123" i="28"/>
  <c r="S123" i="28"/>
  <c r="J123" i="28"/>
  <c r="T123" i="28"/>
  <c r="K123" i="28"/>
  <c r="U123" i="28"/>
  <c r="M123" i="28"/>
  <c r="F124" i="28"/>
  <c r="P124" i="28"/>
  <c r="G124" i="28"/>
  <c r="Q124" i="28"/>
  <c r="H124" i="28"/>
  <c r="R124" i="28"/>
  <c r="I124" i="28"/>
  <c r="S124" i="28"/>
  <c r="J124" i="28"/>
  <c r="T124" i="28"/>
  <c r="K124" i="28"/>
  <c r="U124" i="28"/>
  <c r="M124" i="28"/>
  <c r="F125" i="28"/>
  <c r="P125" i="28"/>
  <c r="G125" i="28"/>
  <c r="Q125" i="28"/>
  <c r="H125" i="28"/>
  <c r="R125" i="28"/>
  <c r="I125" i="28"/>
  <c r="S125" i="28"/>
  <c r="J125" i="28"/>
  <c r="T125" i="28"/>
  <c r="K125" i="28"/>
  <c r="U125" i="28"/>
  <c r="M125" i="28"/>
  <c r="F126" i="28"/>
  <c r="P126" i="28"/>
  <c r="G126" i="28"/>
  <c r="Q126" i="28"/>
  <c r="H126" i="28"/>
  <c r="R126" i="28"/>
  <c r="I126" i="28"/>
  <c r="S126" i="28"/>
  <c r="J126" i="28"/>
  <c r="T126" i="28"/>
  <c r="K126" i="28"/>
  <c r="U126" i="28"/>
  <c r="M126" i="28"/>
  <c r="F127" i="28"/>
  <c r="P127" i="28"/>
  <c r="G127" i="28"/>
  <c r="Q127" i="28"/>
  <c r="H127" i="28"/>
  <c r="R127" i="28"/>
  <c r="I127" i="28"/>
  <c r="S127" i="28"/>
  <c r="J127" i="28"/>
  <c r="T127" i="28"/>
  <c r="K127" i="28"/>
  <c r="U127" i="28"/>
  <c r="M127" i="28"/>
  <c r="F128" i="28"/>
  <c r="P128" i="28"/>
  <c r="G128" i="28"/>
  <c r="Q128" i="28"/>
  <c r="H128" i="28"/>
  <c r="R128" i="28"/>
  <c r="I128" i="28"/>
  <c r="S128" i="28"/>
  <c r="J128" i="28"/>
  <c r="T128" i="28"/>
  <c r="K128" i="28"/>
  <c r="U128" i="28"/>
  <c r="M128" i="28"/>
  <c r="F129" i="28"/>
  <c r="P129" i="28"/>
  <c r="G129" i="28"/>
  <c r="Q129" i="28"/>
  <c r="H129" i="28"/>
  <c r="R129" i="28"/>
  <c r="I129" i="28"/>
  <c r="S129" i="28"/>
  <c r="J129" i="28"/>
  <c r="T129" i="28"/>
  <c r="K129" i="28"/>
  <c r="U129" i="28"/>
  <c r="M129" i="28"/>
  <c r="F130" i="28"/>
  <c r="P130" i="28"/>
  <c r="G130" i="28"/>
  <c r="Q130" i="28"/>
  <c r="H130" i="28"/>
  <c r="R130" i="28"/>
  <c r="I130" i="28"/>
  <c r="S130" i="28"/>
  <c r="J130" i="28"/>
  <c r="T130" i="28"/>
  <c r="K130" i="28"/>
  <c r="U130" i="28"/>
  <c r="M130" i="28"/>
  <c r="F131" i="28"/>
  <c r="P131" i="28"/>
  <c r="G131" i="28"/>
  <c r="Q131" i="28"/>
  <c r="H131" i="28"/>
  <c r="R131" i="28"/>
  <c r="I131" i="28"/>
  <c r="S131" i="28"/>
  <c r="J131" i="28"/>
  <c r="T131" i="28"/>
  <c r="K131" i="28"/>
  <c r="U131" i="28"/>
  <c r="M131" i="28"/>
  <c r="F132" i="28"/>
  <c r="P132" i="28"/>
  <c r="G132" i="28"/>
  <c r="Q132" i="28"/>
  <c r="H132" i="28"/>
  <c r="R132" i="28"/>
  <c r="I132" i="28"/>
  <c r="S132" i="28"/>
  <c r="J132" i="28"/>
  <c r="T132" i="28"/>
  <c r="K132" i="28"/>
  <c r="U132" i="28"/>
  <c r="M132" i="28"/>
  <c r="F133" i="28"/>
  <c r="P133" i="28"/>
  <c r="G133" i="28"/>
  <c r="Q133" i="28"/>
  <c r="H133" i="28"/>
  <c r="R133" i="28"/>
  <c r="I133" i="28"/>
  <c r="S133" i="28"/>
  <c r="J133" i="28"/>
  <c r="T133" i="28"/>
  <c r="K133" i="28"/>
  <c r="U133" i="28"/>
  <c r="M133" i="28"/>
  <c r="F134" i="28"/>
  <c r="P134" i="28"/>
  <c r="G134" i="28"/>
  <c r="Q134" i="28"/>
  <c r="H134" i="28"/>
  <c r="R134" i="28"/>
  <c r="I134" i="28"/>
  <c r="S134" i="28"/>
  <c r="J134" i="28"/>
  <c r="T134" i="28"/>
  <c r="K134" i="28"/>
  <c r="U134" i="28"/>
  <c r="M134" i="28"/>
  <c r="F135" i="28"/>
  <c r="P135" i="28"/>
  <c r="G135" i="28"/>
  <c r="Q135" i="28"/>
  <c r="H135" i="28"/>
  <c r="R135" i="28"/>
  <c r="I135" i="28"/>
  <c r="S135" i="28"/>
  <c r="J135" i="28"/>
  <c r="T135" i="28"/>
  <c r="K135" i="28"/>
  <c r="U135" i="28"/>
  <c r="M135" i="28"/>
  <c r="F136" i="28"/>
  <c r="P136" i="28"/>
  <c r="G136" i="28"/>
  <c r="Q136" i="28"/>
  <c r="H136" i="28"/>
  <c r="R136" i="28"/>
  <c r="I136" i="28"/>
  <c r="S136" i="28"/>
  <c r="J136" i="28"/>
  <c r="T136" i="28"/>
  <c r="K136" i="28"/>
  <c r="U136" i="28"/>
  <c r="M136" i="28"/>
  <c r="F137" i="28"/>
  <c r="P137" i="28"/>
  <c r="G137" i="28"/>
  <c r="Q137" i="28"/>
  <c r="H137" i="28"/>
  <c r="R137" i="28"/>
  <c r="I137" i="28"/>
  <c r="S137" i="28"/>
  <c r="J137" i="28"/>
  <c r="T137" i="28"/>
  <c r="K137" i="28"/>
  <c r="U137" i="28"/>
  <c r="M137" i="28"/>
  <c r="F138" i="28"/>
  <c r="P138" i="28"/>
  <c r="G138" i="28"/>
  <c r="Q138" i="28"/>
  <c r="H138" i="28"/>
  <c r="R138" i="28"/>
  <c r="I138" i="28"/>
  <c r="S138" i="28"/>
  <c r="J138" i="28"/>
  <c r="T138" i="28"/>
  <c r="K138" i="28"/>
  <c r="U138" i="28"/>
  <c r="M138" i="28"/>
  <c r="F139" i="28"/>
  <c r="P139" i="28"/>
  <c r="G139" i="28"/>
  <c r="Q139" i="28"/>
  <c r="H139" i="28"/>
  <c r="R139" i="28"/>
  <c r="I139" i="28"/>
  <c r="S139" i="28"/>
  <c r="J139" i="28"/>
  <c r="T139" i="28"/>
  <c r="K139" i="28"/>
  <c r="U139" i="28"/>
  <c r="M139" i="28"/>
  <c r="F140" i="28"/>
  <c r="P140" i="28"/>
  <c r="G140" i="28"/>
  <c r="Q140" i="28"/>
  <c r="H140" i="28"/>
  <c r="R140" i="28"/>
  <c r="I140" i="28"/>
  <c r="S140" i="28"/>
  <c r="J140" i="28"/>
  <c r="T140" i="28"/>
  <c r="K140" i="28"/>
  <c r="U140" i="28"/>
  <c r="M140" i="28"/>
  <c r="F141" i="28"/>
  <c r="P141" i="28"/>
  <c r="G141" i="28"/>
  <c r="Q141" i="28"/>
  <c r="H141" i="28"/>
  <c r="R141" i="28"/>
  <c r="I141" i="28"/>
  <c r="S141" i="28"/>
  <c r="J141" i="28"/>
  <c r="T141" i="28"/>
  <c r="K141" i="28"/>
  <c r="U141" i="28"/>
  <c r="M141" i="28"/>
  <c r="F142" i="28"/>
  <c r="P142" i="28"/>
  <c r="G142" i="28"/>
  <c r="Q142" i="28"/>
  <c r="H142" i="28"/>
  <c r="R142" i="28"/>
  <c r="I142" i="28"/>
  <c r="S142" i="28"/>
  <c r="J142" i="28"/>
  <c r="T142" i="28"/>
  <c r="K142" i="28"/>
  <c r="U142" i="28"/>
  <c r="M142" i="28"/>
  <c r="F143" i="28"/>
  <c r="P143" i="28"/>
  <c r="G143" i="28"/>
  <c r="Q143" i="28"/>
  <c r="H143" i="28"/>
  <c r="R143" i="28"/>
  <c r="I143" i="28"/>
  <c r="S143" i="28"/>
  <c r="J143" i="28"/>
  <c r="T143" i="28"/>
  <c r="K143" i="28"/>
  <c r="U143" i="28"/>
  <c r="M143" i="28"/>
  <c r="F144" i="28"/>
  <c r="P144" i="28"/>
  <c r="G144" i="28"/>
  <c r="Q144" i="28"/>
  <c r="H144" i="28"/>
  <c r="R144" i="28"/>
  <c r="I144" i="28"/>
  <c r="S144" i="28"/>
  <c r="J144" i="28"/>
  <c r="T144" i="28"/>
  <c r="K144" i="28"/>
  <c r="U144" i="28"/>
  <c r="M144" i="28"/>
  <c r="F145" i="28"/>
  <c r="P145" i="28"/>
  <c r="G145" i="28"/>
  <c r="Q145" i="28"/>
  <c r="H145" i="28"/>
  <c r="R145" i="28"/>
  <c r="I145" i="28"/>
  <c r="S145" i="28"/>
  <c r="J145" i="28"/>
  <c r="T145" i="28"/>
  <c r="K145" i="28"/>
  <c r="U145" i="28"/>
  <c r="M145" i="28"/>
  <c r="AM13" i="17"/>
  <c r="CD14" i="34"/>
  <c r="G2" i="24"/>
  <c r="L2" i="24"/>
  <c r="G3" i="24"/>
  <c r="L3" i="24"/>
  <c r="G4" i="24"/>
  <c r="L4" i="24"/>
  <c r="G5" i="24"/>
  <c r="L5" i="24"/>
  <c r="G6" i="24"/>
  <c r="L6" i="24"/>
  <c r="G7" i="24"/>
  <c r="L7" i="24"/>
  <c r="G8" i="24"/>
  <c r="L8" i="24"/>
  <c r="G9" i="24"/>
  <c r="L9" i="24"/>
  <c r="G10" i="24"/>
  <c r="L10" i="24"/>
  <c r="G11" i="24"/>
  <c r="L11" i="24"/>
  <c r="G12" i="24"/>
  <c r="L12" i="24"/>
  <c r="G13" i="24"/>
  <c r="L13" i="24"/>
  <c r="G14" i="24"/>
  <c r="L14" i="24"/>
  <c r="G15" i="24"/>
  <c r="L15" i="24"/>
  <c r="G16" i="24"/>
  <c r="L16" i="24"/>
  <c r="G17" i="24"/>
  <c r="L17" i="24"/>
  <c r="G18" i="24"/>
  <c r="L18" i="24"/>
  <c r="G19" i="24"/>
  <c r="L19" i="24"/>
  <c r="G20" i="24"/>
  <c r="L20" i="24"/>
  <c r="G21" i="24"/>
  <c r="L21" i="24"/>
  <c r="G22" i="24"/>
  <c r="L22" i="24"/>
  <c r="G23" i="24"/>
  <c r="L23" i="24"/>
  <c r="G24" i="24"/>
  <c r="L24" i="24"/>
  <c r="G25" i="24"/>
  <c r="L25" i="24"/>
  <c r="G26" i="24"/>
  <c r="L26" i="24"/>
  <c r="G27" i="24"/>
  <c r="L27" i="24"/>
  <c r="G28" i="24"/>
  <c r="L28" i="24"/>
  <c r="G29" i="24"/>
  <c r="L29" i="24"/>
  <c r="G30" i="24"/>
  <c r="L30" i="24"/>
  <c r="G31" i="24"/>
  <c r="L31" i="24"/>
  <c r="G32" i="24"/>
  <c r="L32" i="24"/>
  <c r="G33" i="24"/>
  <c r="L33" i="24"/>
  <c r="G34" i="24"/>
  <c r="L34" i="24"/>
  <c r="G35" i="24"/>
  <c r="L35" i="24"/>
  <c r="G36" i="24"/>
  <c r="L36" i="24"/>
  <c r="G37" i="24"/>
  <c r="L37" i="24"/>
  <c r="G38" i="24"/>
  <c r="L38" i="24"/>
  <c r="G39" i="24"/>
  <c r="L39" i="24"/>
  <c r="G40" i="24"/>
  <c r="L40" i="24"/>
  <c r="G41" i="24"/>
  <c r="L41" i="24"/>
  <c r="G42" i="24"/>
  <c r="L42" i="24"/>
  <c r="G43" i="24"/>
  <c r="L43" i="24"/>
  <c r="G44" i="24"/>
  <c r="L44" i="24"/>
  <c r="G45" i="24"/>
  <c r="L45" i="24"/>
  <c r="G46" i="24"/>
  <c r="L46" i="24"/>
  <c r="G47" i="24"/>
  <c r="L47" i="24"/>
  <c r="G48" i="24"/>
  <c r="L48" i="24"/>
  <c r="G49" i="24"/>
  <c r="L49" i="24"/>
  <c r="G50" i="24"/>
  <c r="L50" i="24"/>
  <c r="G51" i="24"/>
  <c r="L51" i="24"/>
  <c r="G52" i="24"/>
  <c r="L52" i="24"/>
  <c r="G53" i="24"/>
  <c r="L53" i="24"/>
  <c r="G54" i="24"/>
  <c r="L54" i="24"/>
  <c r="G55" i="24"/>
  <c r="L55" i="24"/>
  <c r="G56" i="24"/>
  <c r="L56" i="24"/>
  <c r="G57" i="24"/>
  <c r="L57" i="24"/>
  <c r="G58" i="24"/>
  <c r="L58" i="24"/>
  <c r="G59" i="24"/>
  <c r="L59" i="24"/>
  <c r="G60" i="24"/>
  <c r="L60" i="24"/>
  <c r="G61" i="24"/>
  <c r="L61" i="24"/>
  <c r="G62" i="24"/>
  <c r="L62" i="24"/>
  <c r="G63" i="24"/>
  <c r="L63" i="24"/>
  <c r="G64" i="24"/>
  <c r="L64" i="24"/>
  <c r="G65" i="24"/>
  <c r="L65" i="24"/>
  <c r="G66" i="24"/>
  <c r="L66" i="24"/>
  <c r="G67" i="24"/>
  <c r="L67" i="24"/>
  <c r="G68" i="24"/>
  <c r="L68" i="24"/>
  <c r="G69" i="24"/>
  <c r="L69" i="24"/>
  <c r="G70" i="24"/>
  <c r="L70" i="24"/>
  <c r="G71" i="24"/>
  <c r="L71" i="24"/>
  <c r="G72" i="24"/>
  <c r="L72" i="24"/>
  <c r="G73" i="24"/>
  <c r="L73" i="24"/>
  <c r="G74" i="24"/>
  <c r="L74" i="24"/>
  <c r="G75" i="24"/>
  <c r="L75" i="24"/>
  <c r="G76" i="24"/>
  <c r="L76" i="24"/>
  <c r="G77" i="24"/>
  <c r="L77" i="24"/>
  <c r="G78" i="24"/>
  <c r="L78" i="24"/>
  <c r="G79" i="24"/>
  <c r="L79" i="24"/>
  <c r="G80" i="24"/>
  <c r="L80" i="24"/>
  <c r="G81" i="24"/>
  <c r="L81" i="24"/>
  <c r="G82" i="24"/>
  <c r="L82" i="24"/>
  <c r="G83" i="24"/>
  <c r="L83" i="24"/>
  <c r="G84" i="24"/>
  <c r="L84" i="24"/>
  <c r="G85" i="24"/>
  <c r="L85" i="24"/>
  <c r="G86" i="24"/>
  <c r="L86" i="24"/>
  <c r="G87" i="24"/>
  <c r="L87" i="24"/>
  <c r="G88" i="24"/>
  <c r="L88" i="24"/>
  <c r="G89" i="24"/>
  <c r="L89" i="24"/>
  <c r="G90" i="24"/>
  <c r="L90" i="24"/>
  <c r="G91" i="24"/>
  <c r="L91" i="24"/>
  <c r="G92" i="24"/>
  <c r="L92" i="24"/>
  <c r="G93" i="24"/>
  <c r="L93" i="24"/>
  <c r="G94" i="24"/>
  <c r="L94" i="24"/>
  <c r="G95" i="24"/>
  <c r="L95" i="24"/>
  <c r="G96" i="24"/>
  <c r="L96" i="24"/>
  <c r="G97" i="24"/>
  <c r="L97" i="24"/>
  <c r="G98" i="24"/>
  <c r="L98" i="24"/>
  <c r="G99" i="24"/>
  <c r="L99" i="24"/>
  <c r="G100" i="24"/>
  <c r="L100" i="24"/>
  <c r="G101" i="24"/>
  <c r="L101" i="24"/>
  <c r="G102" i="24"/>
  <c r="L102" i="24"/>
  <c r="G103" i="24"/>
  <c r="L103" i="24"/>
  <c r="G104" i="24"/>
  <c r="L104" i="24"/>
  <c r="G105" i="24"/>
  <c r="L105" i="24"/>
  <c r="G106" i="24"/>
  <c r="L106" i="24"/>
  <c r="G107" i="24"/>
  <c r="L107" i="24"/>
  <c r="G108" i="24"/>
  <c r="L108" i="24"/>
  <c r="G109" i="24"/>
  <c r="L109" i="24"/>
  <c r="G110" i="24"/>
  <c r="L110" i="24"/>
  <c r="G111" i="24"/>
  <c r="L111" i="24"/>
  <c r="G112" i="24"/>
  <c r="L112" i="24"/>
  <c r="G113" i="24"/>
  <c r="L113" i="24"/>
  <c r="G114" i="24"/>
  <c r="L114" i="24"/>
  <c r="G115" i="24"/>
  <c r="L115" i="24"/>
  <c r="G116" i="24"/>
  <c r="L116" i="24"/>
  <c r="G117" i="24"/>
  <c r="L117" i="24"/>
  <c r="G118" i="24"/>
  <c r="L118" i="24"/>
  <c r="G119" i="24"/>
  <c r="L119" i="24"/>
  <c r="G120" i="24"/>
  <c r="L120" i="24"/>
  <c r="G121" i="24"/>
  <c r="L121" i="24"/>
  <c r="G122" i="24"/>
  <c r="L122" i="24"/>
  <c r="G123" i="24"/>
  <c r="L123" i="24"/>
  <c r="G124" i="24"/>
  <c r="L124" i="24"/>
  <c r="G125" i="24"/>
  <c r="L125" i="24"/>
  <c r="G126" i="24"/>
  <c r="L126" i="24"/>
  <c r="G127" i="24"/>
  <c r="L127" i="24"/>
  <c r="G128" i="24"/>
  <c r="L128" i="24"/>
  <c r="G129" i="24"/>
  <c r="L129" i="24"/>
  <c r="G130" i="24"/>
  <c r="L130" i="24"/>
  <c r="G131" i="24"/>
  <c r="L131" i="24"/>
  <c r="G132" i="24"/>
  <c r="L132" i="24"/>
  <c r="G133" i="24"/>
  <c r="L133" i="24"/>
  <c r="G134" i="24"/>
  <c r="L134" i="24"/>
  <c r="G135" i="24"/>
  <c r="L135" i="24"/>
  <c r="G136" i="24"/>
  <c r="L136" i="24"/>
  <c r="G137" i="24"/>
  <c r="L137" i="24"/>
  <c r="G138" i="24"/>
  <c r="L138" i="24"/>
  <c r="G139" i="24"/>
  <c r="L139" i="24"/>
  <c r="G140" i="24"/>
  <c r="L140" i="24"/>
  <c r="G141" i="24"/>
  <c r="L141" i="24"/>
  <c r="G142" i="24"/>
  <c r="L142" i="24"/>
  <c r="G143" i="24"/>
  <c r="L143" i="24"/>
  <c r="G144" i="24"/>
  <c r="L144" i="24"/>
  <c r="G145" i="24"/>
  <c r="L145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E2" i="25"/>
  <c r="K2" i="25"/>
  <c r="E3" i="25"/>
  <c r="K3" i="25"/>
  <c r="E4" i="25"/>
  <c r="K4" i="25"/>
  <c r="E5" i="25"/>
  <c r="K5" i="25"/>
  <c r="E6" i="25"/>
  <c r="K6" i="25"/>
  <c r="E7" i="25"/>
  <c r="K7" i="25"/>
  <c r="E8" i="25"/>
  <c r="K8" i="25"/>
  <c r="E9" i="25"/>
  <c r="K9" i="25"/>
  <c r="E10" i="25"/>
  <c r="K10" i="25"/>
  <c r="E11" i="25"/>
  <c r="K11" i="25"/>
  <c r="E12" i="25"/>
  <c r="K12" i="25"/>
  <c r="E13" i="25"/>
  <c r="K13" i="25"/>
  <c r="E14" i="25"/>
  <c r="K14" i="25"/>
  <c r="E15" i="25"/>
  <c r="K15" i="25"/>
  <c r="E16" i="25"/>
  <c r="K16" i="25"/>
  <c r="E17" i="25"/>
  <c r="K17" i="25"/>
  <c r="E18" i="25"/>
  <c r="K18" i="25"/>
  <c r="E19" i="25"/>
  <c r="K19" i="25"/>
  <c r="E20" i="25"/>
  <c r="K20" i="25"/>
  <c r="E21" i="25"/>
  <c r="K21" i="25"/>
  <c r="E22" i="25"/>
  <c r="K22" i="25"/>
  <c r="E23" i="25"/>
  <c r="K23" i="25"/>
  <c r="E24" i="25"/>
  <c r="K24" i="25"/>
  <c r="E25" i="25"/>
  <c r="K25" i="25"/>
  <c r="E26" i="25"/>
  <c r="K26" i="25"/>
  <c r="E27" i="25"/>
  <c r="K27" i="25"/>
  <c r="E28" i="25"/>
  <c r="K28" i="25"/>
  <c r="E29" i="25"/>
  <c r="K29" i="25"/>
  <c r="E30" i="25"/>
  <c r="K30" i="25"/>
  <c r="E31" i="25"/>
  <c r="K31" i="25"/>
  <c r="E32" i="25"/>
  <c r="K32" i="25"/>
  <c r="E33" i="25"/>
  <c r="K33" i="25"/>
  <c r="E34" i="25"/>
  <c r="K34" i="25"/>
  <c r="E35" i="25"/>
  <c r="K35" i="25"/>
  <c r="E36" i="25"/>
  <c r="K36" i="25"/>
  <c r="E37" i="25"/>
  <c r="K37" i="25"/>
  <c r="E38" i="25"/>
  <c r="K38" i="25"/>
  <c r="E39" i="25"/>
  <c r="K39" i="25"/>
  <c r="E40" i="25"/>
  <c r="K40" i="25"/>
  <c r="E41" i="25"/>
  <c r="K41" i="25"/>
  <c r="E42" i="25"/>
  <c r="K42" i="25"/>
  <c r="E43" i="25"/>
  <c r="K43" i="25"/>
  <c r="E44" i="25"/>
  <c r="K44" i="25"/>
  <c r="E45" i="25"/>
  <c r="K45" i="25"/>
  <c r="E46" i="25"/>
  <c r="K46" i="25"/>
  <c r="E47" i="25"/>
  <c r="K47" i="25"/>
  <c r="E48" i="25"/>
  <c r="K48" i="25"/>
  <c r="E49" i="25"/>
  <c r="K49" i="25"/>
  <c r="E50" i="25"/>
  <c r="K50" i="25"/>
  <c r="E51" i="25"/>
  <c r="K51" i="25"/>
  <c r="E52" i="25"/>
  <c r="K52" i="25"/>
  <c r="E53" i="25"/>
  <c r="K53" i="25"/>
  <c r="E54" i="25"/>
  <c r="K54" i="25"/>
  <c r="E55" i="25"/>
  <c r="K55" i="25"/>
  <c r="E56" i="25"/>
  <c r="K56" i="25"/>
  <c r="E57" i="25"/>
  <c r="K57" i="25"/>
  <c r="E58" i="25"/>
  <c r="K58" i="25"/>
  <c r="E59" i="25"/>
  <c r="K59" i="25"/>
  <c r="E60" i="25"/>
  <c r="K60" i="25"/>
  <c r="E61" i="25"/>
  <c r="K61" i="25"/>
  <c r="E62" i="25"/>
  <c r="K62" i="25"/>
  <c r="E63" i="25"/>
  <c r="K63" i="25"/>
  <c r="E64" i="25"/>
  <c r="K64" i="25"/>
  <c r="E65" i="25"/>
  <c r="K65" i="25"/>
  <c r="E66" i="25"/>
  <c r="K66" i="25"/>
  <c r="E67" i="25"/>
  <c r="K67" i="25"/>
  <c r="E68" i="25"/>
  <c r="K68" i="25"/>
  <c r="E69" i="25"/>
  <c r="K69" i="25"/>
  <c r="E70" i="25"/>
  <c r="K70" i="25"/>
  <c r="E71" i="25"/>
  <c r="K71" i="25"/>
  <c r="E72" i="25"/>
  <c r="K72" i="25"/>
  <c r="E73" i="25"/>
  <c r="K73" i="25"/>
  <c r="E74" i="25"/>
  <c r="K74" i="25"/>
  <c r="E75" i="25"/>
  <c r="K75" i="25"/>
  <c r="E76" i="25"/>
  <c r="K76" i="25"/>
  <c r="E77" i="25"/>
  <c r="K77" i="25"/>
  <c r="E78" i="25"/>
  <c r="K78" i="25"/>
  <c r="E79" i="25"/>
  <c r="K79" i="25"/>
  <c r="E80" i="25"/>
  <c r="K80" i="25"/>
  <c r="E81" i="25"/>
  <c r="K81" i="25"/>
  <c r="E82" i="25"/>
  <c r="K82" i="25"/>
  <c r="E83" i="25"/>
  <c r="K83" i="25"/>
  <c r="E84" i="25"/>
  <c r="K84" i="25"/>
  <c r="E85" i="25"/>
  <c r="K85" i="25"/>
  <c r="E86" i="25"/>
  <c r="K86" i="25"/>
  <c r="E87" i="25"/>
  <c r="K87" i="25"/>
  <c r="E88" i="25"/>
  <c r="K88" i="25"/>
  <c r="E89" i="25"/>
  <c r="K89" i="25"/>
  <c r="E90" i="25"/>
  <c r="K90" i="25"/>
  <c r="E91" i="25"/>
  <c r="K91" i="25"/>
  <c r="E92" i="25"/>
  <c r="K92" i="25"/>
  <c r="E93" i="25"/>
  <c r="K93" i="25"/>
  <c r="E94" i="25"/>
  <c r="K94" i="25"/>
  <c r="E95" i="25"/>
  <c r="K95" i="25"/>
  <c r="E96" i="25"/>
  <c r="K96" i="25"/>
  <c r="E97" i="25"/>
  <c r="K97" i="25"/>
  <c r="E98" i="25"/>
  <c r="K98" i="25"/>
  <c r="E99" i="25"/>
  <c r="K99" i="25"/>
  <c r="E100" i="25"/>
  <c r="K100" i="25"/>
  <c r="E101" i="25"/>
  <c r="K101" i="25"/>
  <c r="E102" i="25"/>
  <c r="K102" i="25"/>
  <c r="E103" i="25"/>
  <c r="K103" i="25"/>
  <c r="E104" i="25"/>
  <c r="K104" i="25"/>
  <c r="E105" i="25"/>
  <c r="K105" i="25"/>
  <c r="E106" i="25"/>
  <c r="K106" i="25"/>
  <c r="E107" i="25"/>
  <c r="K107" i="25"/>
  <c r="E108" i="25"/>
  <c r="K108" i="25"/>
  <c r="E109" i="25"/>
  <c r="K109" i="25"/>
  <c r="E110" i="25"/>
  <c r="K110" i="25"/>
  <c r="E111" i="25"/>
  <c r="K111" i="25"/>
  <c r="E112" i="25"/>
  <c r="K112" i="25"/>
  <c r="E113" i="25"/>
  <c r="K113" i="25"/>
  <c r="E114" i="25"/>
  <c r="K114" i="25"/>
  <c r="E115" i="25"/>
  <c r="K115" i="25"/>
  <c r="E116" i="25"/>
  <c r="K116" i="25"/>
  <c r="E117" i="25"/>
  <c r="K117" i="25"/>
  <c r="E118" i="25"/>
  <c r="K118" i="25"/>
  <c r="E119" i="25"/>
  <c r="K119" i="25"/>
  <c r="E120" i="25"/>
  <c r="K120" i="25"/>
  <c r="E121" i="25"/>
  <c r="K121" i="25"/>
  <c r="E122" i="25"/>
  <c r="K122" i="25"/>
  <c r="E123" i="25"/>
  <c r="K123" i="25"/>
  <c r="E124" i="25"/>
  <c r="K124" i="25"/>
  <c r="E125" i="25"/>
  <c r="K125" i="25"/>
  <c r="E126" i="25"/>
  <c r="K126" i="25"/>
  <c r="E127" i="25"/>
  <c r="K127" i="25"/>
  <c r="E128" i="25"/>
  <c r="K128" i="25"/>
  <c r="E129" i="25"/>
  <c r="K129" i="25"/>
  <c r="E130" i="25"/>
  <c r="K130" i="25"/>
  <c r="E131" i="25"/>
  <c r="K131" i="25"/>
  <c r="E132" i="25"/>
  <c r="K132" i="25"/>
  <c r="E133" i="25"/>
  <c r="K133" i="25"/>
  <c r="E134" i="25"/>
  <c r="K134" i="25"/>
  <c r="E135" i="25"/>
  <c r="K135" i="25"/>
  <c r="E136" i="25"/>
  <c r="K136" i="25"/>
  <c r="E137" i="25"/>
  <c r="K137" i="25"/>
  <c r="E138" i="25"/>
  <c r="K138" i="25"/>
  <c r="E139" i="25"/>
  <c r="K139" i="25"/>
  <c r="E140" i="25"/>
  <c r="K140" i="25"/>
  <c r="E141" i="25"/>
  <c r="K141" i="25"/>
  <c r="E142" i="25"/>
  <c r="K142" i="25"/>
  <c r="E143" i="25"/>
  <c r="K143" i="25"/>
  <c r="E144" i="25"/>
  <c r="K144" i="25"/>
  <c r="E145" i="25"/>
  <c r="K145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F121" i="26"/>
  <c r="F122" i="26"/>
  <c r="F123" i="26"/>
  <c r="F124" i="26"/>
  <c r="F125" i="26"/>
  <c r="F2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R15" i="18"/>
  <c r="BX15" i="18"/>
  <c r="BZ15" i="18"/>
  <c r="BT14" i="18"/>
  <c r="AH18" i="19" s="1"/>
  <c r="AI14" i="18"/>
  <c r="I3" i="21"/>
  <c r="I4" i="21"/>
  <c r="I5" i="21"/>
  <c r="I6" i="21"/>
  <c r="I7" i="21"/>
  <c r="I9" i="21"/>
  <c r="I10" i="21"/>
  <c r="I11" i="21"/>
  <c r="I12" i="21"/>
  <c r="K8" i="20"/>
  <c r="K9" i="20"/>
  <c r="K11" i="20"/>
  <c r="K13" i="20"/>
  <c r="AD46" i="36"/>
  <c r="AE46" i="36"/>
  <c r="AF46" i="36"/>
  <c r="AC46" i="36"/>
  <c r="AK14" i="18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L110" i="22"/>
  <c r="L111" i="22"/>
  <c r="L112" i="22"/>
  <c r="L113" i="22"/>
  <c r="L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B145" i="22"/>
  <c r="C1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M110" i="23"/>
  <c r="M111" i="23"/>
  <c r="M112" i="23"/>
  <c r="M113" i="23"/>
  <c r="M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AM8" i="17"/>
  <c r="AM7" i="17"/>
  <c r="AN8" i="17"/>
  <c r="AM9" i="17"/>
  <c r="AN9" i="17"/>
  <c r="AM10" i="17"/>
  <c r="AN10" i="17"/>
  <c r="AM11" i="17"/>
  <c r="AN11" i="17"/>
  <c r="AM12" i="17"/>
  <c r="AN12" i="17"/>
  <c r="AN13" i="17"/>
  <c r="C13" i="17"/>
  <c r="C12" i="17"/>
  <c r="D13" i="17"/>
  <c r="F5" i="17"/>
  <c r="F6" i="17"/>
  <c r="F7" i="17"/>
  <c r="F8" i="17"/>
  <c r="F9" i="17"/>
  <c r="F10" i="17"/>
  <c r="F11" i="17"/>
  <c r="F12" i="17"/>
  <c r="F13" i="17"/>
  <c r="H12" i="17"/>
  <c r="J5" i="17"/>
  <c r="J6" i="17"/>
  <c r="J7" i="17"/>
  <c r="J8" i="17"/>
  <c r="J9" i="17"/>
  <c r="J10" i="17"/>
  <c r="J11" i="17"/>
  <c r="J12" i="17"/>
  <c r="H13" i="17"/>
  <c r="J13" i="17"/>
  <c r="L12" i="17"/>
  <c r="N5" i="17"/>
  <c r="N6" i="17"/>
  <c r="N7" i="17"/>
  <c r="N8" i="17"/>
  <c r="N9" i="17"/>
  <c r="N10" i="17"/>
  <c r="N11" i="17"/>
  <c r="N12" i="17"/>
  <c r="L13" i="17"/>
  <c r="N13" i="17"/>
  <c r="O12" i="17"/>
  <c r="O11" i="17"/>
  <c r="P12" i="17"/>
  <c r="R5" i="17"/>
  <c r="R6" i="17"/>
  <c r="R7" i="17"/>
  <c r="R8" i="17"/>
  <c r="R9" i="17"/>
  <c r="R10" i="17"/>
  <c r="R11" i="17"/>
  <c r="R12" i="17"/>
  <c r="O13" i="17"/>
  <c r="P13" i="17"/>
  <c r="R13" i="17"/>
  <c r="V5" i="17"/>
  <c r="V6" i="17"/>
  <c r="V7" i="17"/>
  <c r="V8" i="17"/>
  <c r="V9" i="17"/>
  <c r="V10" i="17"/>
  <c r="V11" i="17"/>
  <c r="V12" i="17"/>
  <c r="V13" i="17"/>
  <c r="AD5" i="17"/>
  <c r="AD6" i="17"/>
  <c r="AD7" i="17"/>
  <c r="AD8" i="17"/>
  <c r="AD9" i="17"/>
  <c r="AD10" i="17"/>
  <c r="AD11" i="17"/>
  <c r="AD12" i="17"/>
  <c r="AD13" i="17"/>
  <c r="AA13" i="17"/>
  <c r="AA12" i="17"/>
  <c r="AB13" i="17"/>
  <c r="W13" i="17"/>
  <c r="W12" i="17"/>
  <c r="X13" i="17"/>
  <c r="Z5" i="17"/>
  <c r="Z6" i="17"/>
  <c r="Z7" i="17"/>
  <c r="Z8" i="17"/>
  <c r="Z9" i="17"/>
  <c r="Z10" i="17"/>
  <c r="Z11" i="17"/>
  <c r="Z12" i="17"/>
  <c r="Z13" i="17"/>
  <c r="AL5" i="17"/>
  <c r="AL6" i="17"/>
  <c r="AL7" i="17"/>
  <c r="AL8" i="17"/>
  <c r="AL9" i="17"/>
  <c r="AL10" i="17"/>
  <c r="AL11" i="17"/>
  <c r="AL12" i="17"/>
  <c r="AL13" i="17"/>
  <c r="AH5" i="17"/>
  <c r="AH6" i="17"/>
  <c r="AH7" i="17"/>
  <c r="AH8" i="17"/>
  <c r="AH9" i="17"/>
  <c r="AH10" i="17"/>
  <c r="AH11" i="17"/>
  <c r="AH12" i="17"/>
  <c r="AH13" i="17"/>
  <c r="AA5" i="17"/>
  <c r="AA4" i="17"/>
  <c r="AB5" i="17"/>
  <c r="AA6" i="17"/>
  <c r="AB6" i="17"/>
  <c r="AA7" i="17"/>
  <c r="AB7" i="17"/>
  <c r="AA8" i="17"/>
  <c r="AB8" i="17"/>
  <c r="AA9" i="17"/>
  <c r="AB9" i="17"/>
  <c r="AA10" i="17"/>
  <c r="AB10" i="17"/>
  <c r="AA11" i="17"/>
  <c r="AB11" i="17"/>
  <c r="AB12" i="17"/>
  <c r="AB14" i="17"/>
  <c r="W5" i="17"/>
  <c r="W4" i="17"/>
  <c r="X5" i="17"/>
  <c r="W6" i="17"/>
  <c r="X6" i="17"/>
  <c r="W7" i="17"/>
  <c r="X7" i="17"/>
  <c r="W8" i="17"/>
  <c r="X8" i="17"/>
  <c r="W9" i="17"/>
  <c r="X9" i="17"/>
  <c r="W10" i="17"/>
  <c r="X10" i="17"/>
  <c r="W11" i="17"/>
  <c r="X11" i="17"/>
  <c r="X12" i="17"/>
  <c r="X14" i="17"/>
  <c r="O5" i="17"/>
  <c r="O4" i="17"/>
  <c r="P5" i="17"/>
  <c r="O6" i="17"/>
  <c r="P6" i="17"/>
  <c r="O7" i="17"/>
  <c r="P7" i="17"/>
  <c r="O8" i="17"/>
  <c r="P8" i="17"/>
  <c r="O9" i="17"/>
  <c r="P9" i="17"/>
  <c r="O10" i="17"/>
  <c r="P10" i="17"/>
  <c r="P11" i="17"/>
  <c r="P14" i="17"/>
  <c r="L5" i="17"/>
  <c r="L6" i="17"/>
  <c r="L7" i="17"/>
  <c r="L8" i="17"/>
  <c r="L9" i="17"/>
  <c r="L10" i="17"/>
  <c r="L11" i="17"/>
  <c r="L14" i="17"/>
  <c r="H5" i="17"/>
  <c r="H6" i="17"/>
  <c r="H7" i="17"/>
  <c r="H8" i="17"/>
  <c r="H9" i="17"/>
  <c r="H10" i="17"/>
  <c r="H11" i="17"/>
  <c r="H14" i="17"/>
  <c r="C5" i="17"/>
  <c r="C4" i="17"/>
  <c r="D5" i="17"/>
  <c r="C6" i="17"/>
  <c r="D6" i="17"/>
  <c r="C7" i="17"/>
  <c r="D7" i="17"/>
  <c r="C8" i="17"/>
  <c r="D8" i="17"/>
  <c r="C9" i="17"/>
  <c r="D9" i="17"/>
  <c r="C10" i="17"/>
  <c r="D10" i="17"/>
  <c r="C11" i="17"/>
  <c r="D11" i="17"/>
  <c r="D12" i="17"/>
  <c r="D14" i="17"/>
  <c r="B5" i="17"/>
  <c r="B6" i="17"/>
  <c r="B7" i="17"/>
  <c r="B8" i="17"/>
  <c r="B9" i="17"/>
  <c r="B10" i="17"/>
  <c r="B11" i="17"/>
  <c r="B12" i="17"/>
  <c r="B13" i="17"/>
  <c r="AF12" i="17"/>
  <c r="H110" i="13"/>
  <c r="BW98" i="1"/>
  <c r="BW110" i="1"/>
  <c r="M110" i="13"/>
  <c r="H111" i="13"/>
  <c r="BW99" i="1"/>
  <c r="BW111" i="1"/>
  <c r="M111" i="13"/>
  <c r="H112" i="13"/>
  <c r="BW100" i="1"/>
  <c r="BW112" i="1"/>
  <c r="M112" i="13"/>
  <c r="H113" i="13"/>
  <c r="BW101" i="1"/>
  <c r="BW113" i="1"/>
  <c r="M113" i="13"/>
  <c r="H114" i="13"/>
  <c r="BW102" i="1"/>
  <c r="BW114" i="1"/>
  <c r="M114" i="13"/>
  <c r="H2" i="13"/>
  <c r="M2" i="13"/>
  <c r="H3" i="13"/>
  <c r="M3" i="13"/>
  <c r="H4" i="13"/>
  <c r="M4" i="13"/>
  <c r="H5" i="13"/>
  <c r="M5" i="13"/>
  <c r="H6" i="13"/>
  <c r="M6" i="13"/>
  <c r="H7" i="13"/>
  <c r="M7" i="13"/>
  <c r="H8" i="13"/>
  <c r="M8" i="13"/>
  <c r="H9" i="13"/>
  <c r="M9" i="13"/>
  <c r="H10" i="13"/>
  <c r="M10" i="13"/>
  <c r="H11" i="13"/>
  <c r="M11" i="13"/>
  <c r="H12" i="13"/>
  <c r="M12" i="13"/>
  <c r="H13" i="13"/>
  <c r="M13" i="13"/>
  <c r="H14" i="13"/>
  <c r="M14" i="13"/>
  <c r="H15" i="13"/>
  <c r="M15" i="13"/>
  <c r="H16" i="13"/>
  <c r="M16" i="13"/>
  <c r="H17" i="13"/>
  <c r="M17" i="13"/>
  <c r="H18" i="13"/>
  <c r="M18" i="13"/>
  <c r="H19" i="13"/>
  <c r="M19" i="13"/>
  <c r="H20" i="13"/>
  <c r="M20" i="13"/>
  <c r="H21" i="13"/>
  <c r="M21" i="13"/>
  <c r="H22" i="13"/>
  <c r="M22" i="13"/>
  <c r="H23" i="13"/>
  <c r="M23" i="13"/>
  <c r="H24" i="13"/>
  <c r="M24" i="13"/>
  <c r="H25" i="13"/>
  <c r="M25" i="13"/>
  <c r="H26" i="13"/>
  <c r="M26" i="13"/>
  <c r="H27" i="13"/>
  <c r="M27" i="13"/>
  <c r="H28" i="13"/>
  <c r="M28" i="13"/>
  <c r="H29" i="13"/>
  <c r="M29" i="13"/>
  <c r="H30" i="13"/>
  <c r="M30" i="13"/>
  <c r="H31" i="13"/>
  <c r="M31" i="13"/>
  <c r="H32" i="13"/>
  <c r="M32" i="13"/>
  <c r="H33" i="13"/>
  <c r="M33" i="13"/>
  <c r="H34" i="13"/>
  <c r="M34" i="13"/>
  <c r="H35" i="13"/>
  <c r="M35" i="13"/>
  <c r="H36" i="13"/>
  <c r="M36" i="13"/>
  <c r="H37" i="13"/>
  <c r="M37" i="13"/>
  <c r="H38" i="13"/>
  <c r="M38" i="13"/>
  <c r="H39" i="13"/>
  <c r="M39" i="13"/>
  <c r="H40" i="13"/>
  <c r="M40" i="13"/>
  <c r="H41" i="13"/>
  <c r="M41" i="13"/>
  <c r="H42" i="13"/>
  <c r="M42" i="13"/>
  <c r="H43" i="13"/>
  <c r="M43" i="13"/>
  <c r="H44" i="13"/>
  <c r="M44" i="13"/>
  <c r="H45" i="13"/>
  <c r="M45" i="13"/>
  <c r="H46" i="13"/>
  <c r="M46" i="13"/>
  <c r="H47" i="13"/>
  <c r="M47" i="13"/>
  <c r="H48" i="13"/>
  <c r="M48" i="13"/>
  <c r="H49" i="13"/>
  <c r="M49" i="13"/>
  <c r="H50" i="13"/>
  <c r="M50" i="13"/>
  <c r="H51" i="13"/>
  <c r="M51" i="13"/>
  <c r="H52" i="13"/>
  <c r="M52" i="13"/>
  <c r="H53" i="13"/>
  <c r="M53" i="13"/>
  <c r="H54" i="13"/>
  <c r="M54" i="13"/>
  <c r="H55" i="13"/>
  <c r="M55" i="13"/>
  <c r="H56" i="13"/>
  <c r="M56" i="13"/>
  <c r="H57" i="13"/>
  <c r="M57" i="13"/>
  <c r="H58" i="13"/>
  <c r="M58" i="13"/>
  <c r="H59" i="13"/>
  <c r="M59" i="13"/>
  <c r="H60" i="13"/>
  <c r="M60" i="13"/>
  <c r="H61" i="13"/>
  <c r="M61" i="13"/>
  <c r="H62" i="13"/>
  <c r="M62" i="13"/>
  <c r="H63" i="13"/>
  <c r="M63" i="13"/>
  <c r="H64" i="13"/>
  <c r="M64" i="13"/>
  <c r="H65" i="13"/>
  <c r="M65" i="13"/>
  <c r="H66" i="13"/>
  <c r="M66" i="13"/>
  <c r="H67" i="13"/>
  <c r="M67" i="13"/>
  <c r="H68" i="13"/>
  <c r="M68" i="13"/>
  <c r="H69" i="13"/>
  <c r="M69" i="13"/>
  <c r="H70" i="13"/>
  <c r="M70" i="13"/>
  <c r="H71" i="13"/>
  <c r="M71" i="13"/>
  <c r="H72" i="13"/>
  <c r="M72" i="13"/>
  <c r="H73" i="13"/>
  <c r="M73" i="13"/>
  <c r="H74" i="13"/>
  <c r="M74" i="13"/>
  <c r="H75" i="13"/>
  <c r="M75" i="13"/>
  <c r="H76" i="13"/>
  <c r="M76" i="13"/>
  <c r="H77" i="13"/>
  <c r="M77" i="13"/>
  <c r="H78" i="13"/>
  <c r="M78" i="13"/>
  <c r="H79" i="13"/>
  <c r="M79" i="13"/>
  <c r="H80" i="13"/>
  <c r="M80" i="13"/>
  <c r="H81" i="13"/>
  <c r="M81" i="13"/>
  <c r="H82" i="13"/>
  <c r="M82" i="13"/>
  <c r="H83" i="13"/>
  <c r="M83" i="13"/>
  <c r="H84" i="13"/>
  <c r="M84" i="13"/>
  <c r="H85" i="13"/>
  <c r="M85" i="13"/>
  <c r="H86" i="13"/>
  <c r="M86" i="13"/>
  <c r="H87" i="13"/>
  <c r="M87" i="13"/>
  <c r="H88" i="13"/>
  <c r="M88" i="13"/>
  <c r="H89" i="13"/>
  <c r="M89" i="13"/>
  <c r="H90" i="13"/>
  <c r="M90" i="13"/>
  <c r="H91" i="13"/>
  <c r="M91" i="13"/>
  <c r="H92" i="13"/>
  <c r="M92" i="13"/>
  <c r="H93" i="13"/>
  <c r="M93" i="13"/>
  <c r="H94" i="13"/>
  <c r="M94" i="13"/>
  <c r="H95" i="13"/>
  <c r="M95" i="13"/>
  <c r="H96" i="13"/>
  <c r="M96" i="13"/>
  <c r="H97" i="13"/>
  <c r="M97" i="13"/>
  <c r="H98" i="13"/>
  <c r="M98" i="13"/>
  <c r="H99" i="13"/>
  <c r="M99" i="13"/>
  <c r="H100" i="13"/>
  <c r="M100" i="13"/>
  <c r="H101" i="13"/>
  <c r="M101" i="13"/>
  <c r="H102" i="13"/>
  <c r="M102" i="13"/>
  <c r="H103" i="13"/>
  <c r="BW103" i="1"/>
  <c r="M103" i="13"/>
  <c r="H104" i="13"/>
  <c r="BW104" i="1"/>
  <c r="M104" i="13"/>
  <c r="H105" i="13"/>
  <c r="BW105" i="1"/>
  <c r="M105" i="13"/>
  <c r="H106" i="13"/>
  <c r="BW106" i="1"/>
  <c r="M106" i="13"/>
  <c r="H107" i="13"/>
  <c r="BW107" i="1"/>
  <c r="M107" i="13"/>
  <c r="H108" i="13"/>
  <c r="BW108" i="1"/>
  <c r="M108" i="13"/>
  <c r="H109" i="13"/>
  <c r="BW109" i="1"/>
  <c r="M109" i="13"/>
  <c r="H115" i="13"/>
  <c r="BW115" i="1"/>
  <c r="M115" i="13"/>
  <c r="H116" i="13"/>
  <c r="BW116" i="1"/>
  <c r="M116" i="13"/>
  <c r="H117" i="13"/>
  <c r="BW117" i="1"/>
  <c r="M117" i="13"/>
  <c r="H118" i="13"/>
  <c r="BW118" i="1"/>
  <c r="M118" i="13"/>
  <c r="H119" i="13"/>
  <c r="BW119" i="1"/>
  <c r="M119" i="13"/>
  <c r="H120" i="13"/>
  <c r="BW120" i="1"/>
  <c r="M120" i="13"/>
  <c r="H121" i="13"/>
  <c r="BW121" i="1"/>
  <c r="M121" i="13"/>
  <c r="F110" i="15"/>
  <c r="F111" i="15"/>
  <c r="F112" i="15"/>
  <c r="F113" i="15"/>
  <c r="F114" i="15"/>
  <c r="F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5" i="15"/>
  <c r="F116" i="15"/>
  <c r="F117" i="15"/>
  <c r="F118" i="15"/>
  <c r="F119" i="15"/>
  <c r="F120" i="15"/>
  <c r="F121" i="15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G37" i="4"/>
  <c r="H37" i="4"/>
  <c r="I37" i="4"/>
  <c r="J37" i="4"/>
  <c r="K37" i="4"/>
  <c r="L37" i="4"/>
  <c r="M37" i="4"/>
  <c r="N37" i="4"/>
  <c r="O37" i="4"/>
  <c r="P37" i="4"/>
  <c r="Q37" i="4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C146" i="2"/>
  <c r="C143" i="2"/>
  <c r="C140" i="2"/>
  <c r="C137" i="2"/>
  <c r="J33" i="5"/>
  <c r="H33" i="5"/>
  <c r="G33" i="5"/>
  <c r="H32" i="5"/>
  <c r="H25" i="5"/>
  <c r="H26" i="5"/>
  <c r="H27" i="5"/>
  <c r="H28" i="5"/>
  <c r="H29" i="5"/>
  <c r="H30" i="5"/>
  <c r="H31" i="5"/>
  <c r="H24" i="5"/>
  <c r="J25" i="5"/>
  <c r="J26" i="5"/>
  <c r="J27" i="5"/>
  <c r="J28" i="5"/>
  <c r="J29" i="5"/>
  <c r="J30" i="5"/>
  <c r="J31" i="5"/>
  <c r="J32" i="5"/>
  <c r="J24" i="5"/>
  <c r="BN23" i="1"/>
  <c r="BN35" i="1"/>
  <c r="BN47" i="1"/>
  <c r="BN59" i="1"/>
  <c r="BN71" i="1"/>
  <c r="BN83" i="1"/>
  <c r="BN95" i="1"/>
  <c r="BN107" i="1"/>
  <c r="BO23" i="1"/>
  <c r="BO35" i="1"/>
  <c r="BO47" i="1"/>
  <c r="BO59" i="1"/>
  <c r="BO71" i="1"/>
  <c r="BO83" i="1"/>
  <c r="BO95" i="1"/>
  <c r="BO107" i="1"/>
  <c r="BR23" i="1"/>
  <c r="BR35" i="1"/>
  <c r="BR47" i="1"/>
  <c r="BR59" i="1"/>
  <c r="BR71" i="1"/>
  <c r="BR83" i="1"/>
  <c r="BR95" i="1"/>
  <c r="BR107" i="1"/>
  <c r="BX23" i="1"/>
  <c r="BX35" i="1"/>
  <c r="BX47" i="1"/>
  <c r="BX59" i="1"/>
  <c r="BX71" i="1"/>
  <c r="BX83" i="1"/>
  <c r="BX95" i="1"/>
  <c r="BX107" i="1"/>
  <c r="BN24" i="1"/>
  <c r="BN36" i="1"/>
  <c r="BN48" i="1"/>
  <c r="BN60" i="1"/>
  <c r="BN72" i="1"/>
  <c r="BN84" i="1"/>
  <c r="BN96" i="1"/>
  <c r="BN108" i="1"/>
  <c r="BO24" i="1"/>
  <c r="BO36" i="1"/>
  <c r="BO48" i="1"/>
  <c r="BO60" i="1"/>
  <c r="BO72" i="1"/>
  <c r="BO84" i="1"/>
  <c r="BO96" i="1"/>
  <c r="BO108" i="1"/>
  <c r="BR24" i="1"/>
  <c r="BR36" i="1"/>
  <c r="BR48" i="1"/>
  <c r="BR60" i="1"/>
  <c r="BR72" i="1"/>
  <c r="BR84" i="1"/>
  <c r="BR96" i="1"/>
  <c r="BR108" i="1"/>
  <c r="BX24" i="1"/>
  <c r="BX36" i="1"/>
  <c r="BX48" i="1"/>
  <c r="BX60" i="1"/>
  <c r="BX72" i="1"/>
  <c r="BX84" i="1"/>
  <c r="BX96" i="1"/>
  <c r="BX108" i="1"/>
  <c r="BN25" i="1"/>
  <c r="BN37" i="1"/>
  <c r="BN49" i="1"/>
  <c r="BN61" i="1"/>
  <c r="BN73" i="1"/>
  <c r="BN85" i="1"/>
  <c r="BN97" i="1"/>
  <c r="BN109" i="1"/>
  <c r="BO25" i="1"/>
  <c r="BO37" i="1"/>
  <c r="BO49" i="1"/>
  <c r="BO61" i="1"/>
  <c r="BO73" i="1"/>
  <c r="BO85" i="1"/>
  <c r="BO97" i="1"/>
  <c r="BO109" i="1"/>
  <c r="BR25" i="1"/>
  <c r="BR37" i="1"/>
  <c r="BR49" i="1"/>
  <c r="BR61" i="1"/>
  <c r="BR73" i="1"/>
  <c r="BR85" i="1"/>
  <c r="BR97" i="1"/>
  <c r="BR109" i="1"/>
  <c r="BX25" i="1"/>
  <c r="BX37" i="1"/>
  <c r="BX49" i="1"/>
  <c r="BX61" i="1"/>
  <c r="BX73" i="1"/>
  <c r="BX85" i="1"/>
  <c r="BX97" i="1"/>
  <c r="BX109" i="1"/>
  <c r="BN14" i="1"/>
  <c r="BN26" i="1"/>
  <c r="BN38" i="1"/>
  <c r="BN50" i="1"/>
  <c r="BN62" i="1"/>
  <c r="BN74" i="1"/>
  <c r="BN86" i="1"/>
  <c r="BN98" i="1"/>
  <c r="BN110" i="1"/>
  <c r="BO14" i="1"/>
  <c r="BO26" i="1"/>
  <c r="BO38" i="1"/>
  <c r="BO50" i="1"/>
  <c r="BO62" i="1"/>
  <c r="BO74" i="1"/>
  <c r="BO86" i="1"/>
  <c r="BO98" i="1"/>
  <c r="BO110" i="1"/>
  <c r="BR14" i="1"/>
  <c r="BR26" i="1"/>
  <c r="BR38" i="1"/>
  <c r="BR50" i="1"/>
  <c r="BR62" i="1"/>
  <c r="BR74" i="1"/>
  <c r="BR86" i="1"/>
  <c r="BR98" i="1"/>
  <c r="BR110" i="1"/>
  <c r="BX14" i="1"/>
  <c r="BX26" i="1"/>
  <c r="BX38" i="1"/>
  <c r="BX50" i="1"/>
  <c r="BX62" i="1"/>
  <c r="BX74" i="1"/>
  <c r="BX86" i="1"/>
  <c r="BX98" i="1"/>
  <c r="BX110" i="1"/>
  <c r="BN15" i="1"/>
  <c r="BN27" i="1"/>
  <c r="BN39" i="1"/>
  <c r="BN51" i="1"/>
  <c r="BN63" i="1"/>
  <c r="BN75" i="1"/>
  <c r="BN87" i="1"/>
  <c r="BN99" i="1"/>
  <c r="BN111" i="1"/>
  <c r="BO15" i="1"/>
  <c r="BO27" i="1"/>
  <c r="BO39" i="1"/>
  <c r="BO51" i="1"/>
  <c r="BO63" i="1"/>
  <c r="BO75" i="1"/>
  <c r="BO87" i="1"/>
  <c r="BO99" i="1"/>
  <c r="BO111" i="1"/>
  <c r="BR15" i="1"/>
  <c r="BR27" i="1"/>
  <c r="BR39" i="1"/>
  <c r="BR51" i="1"/>
  <c r="BR63" i="1"/>
  <c r="BR75" i="1"/>
  <c r="BR87" i="1"/>
  <c r="BR99" i="1"/>
  <c r="BR111" i="1"/>
  <c r="BX15" i="1"/>
  <c r="BX27" i="1"/>
  <c r="BX39" i="1"/>
  <c r="BX51" i="1"/>
  <c r="BX63" i="1"/>
  <c r="BX75" i="1"/>
  <c r="BX87" i="1"/>
  <c r="BX99" i="1"/>
  <c r="BX111" i="1"/>
  <c r="BN16" i="1"/>
  <c r="BN28" i="1"/>
  <c r="BN40" i="1"/>
  <c r="BN52" i="1"/>
  <c r="BN64" i="1"/>
  <c r="BN76" i="1"/>
  <c r="BN88" i="1"/>
  <c r="BN100" i="1"/>
  <c r="BN112" i="1"/>
  <c r="BO16" i="1"/>
  <c r="BO28" i="1"/>
  <c r="BO40" i="1"/>
  <c r="BO52" i="1"/>
  <c r="BO64" i="1"/>
  <c r="BO76" i="1"/>
  <c r="BO88" i="1"/>
  <c r="BO100" i="1"/>
  <c r="BO112" i="1"/>
  <c r="BR16" i="1"/>
  <c r="BR28" i="1"/>
  <c r="BR40" i="1"/>
  <c r="BR52" i="1"/>
  <c r="BR64" i="1"/>
  <c r="BR76" i="1"/>
  <c r="BR88" i="1"/>
  <c r="BR100" i="1"/>
  <c r="BR112" i="1"/>
  <c r="BX16" i="1"/>
  <c r="BX28" i="1"/>
  <c r="BX40" i="1"/>
  <c r="BX52" i="1"/>
  <c r="BX64" i="1"/>
  <c r="BX76" i="1"/>
  <c r="BX88" i="1"/>
  <c r="BX100" i="1"/>
  <c r="BX112" i="1"/>
  <c r="BN17" i="1"/>
  <c r="BN29" i="1"/>
  <c r="BN41" i="1"/>
  <c r="BN53" i="1"/>
  <c r="BN65" i="1"/>
  <c r="BN77" i="1"/>
  <c r="BN89" i="1"/>
  <c r="BN101" i="1"/>
  <c r="BN113" i="1"/>
  <c r="BO17" i="1"/>
  <c r="BO29" i="1"/>
  <c r="BO41" i="1"/>
  <c r="BO53" i="1"/>
  <c r="BO65" i="1"/>
  <c r="BO77" i="1"/>
  <c r="BO89" i="1"/>
  <c r="BO101" i="1"/>
  <c r="BO113" i="1"/>
  <c r="BR17" i="1"/>
  <c r="BR29" i="1"/>
  <c r="BR41" i="1"/>
  <c r="BR53" i="1"/>
  <c r="BR65" i="1"/>
  <c r="BR77" i="1"/>
  <c r="BR89" i="1"/>
  <c r="BR101" i="1"/>
  <c r="BR113" i="1"/>
  <c r="BX17" i="1"/>
  <c r="BX29" i="1"/>
  <c r="BX41" i="1"/>
  <c r="BX53" i="1"/>
  <c r="BX65" i="1"/>
  <c r="BX77" i="1"/>
  <c r="BX89" i="1"/>
  <c r="BX101" i="1"/>
  <c r="BX113" i="1"/>
  <c r="BN18" i="1"/>
  <c r="BN30" i="1"/>
  <c r="BN42" i="1"/>
  <c r="BN54" i="1"/>
  <c r="BN66" i="1"/>
  <c r="BN78" i="1"/>
  <c r="BN90" i="1"/>
  <c r="BN102" i="1"/>
  <c r="BN114" i="1"/>
  <c r="BO18" i="1"/>
  <c r="BO30" i="1"/>
  <c r="BO42" i="1"/>
  <c r="BO54" i="1"/>
  <c r="BO66" i="1"/>
  <c r="BO78" i="1"/>
  <c r="BO90" i="1"/>
  <c r="BO102" i="1"/>
  <c r="BO114" i="1"/>
  <c r="BR18" i="1"/>
  <c r="BR30" i="1"/>
  <c r="BR42" i="1"/>
  <c r="BR54" i="1"/>
  <c r="BR66" i="1"/>
  <c r="BR78" i="1"/>
  <c r="BR90" i="1"/>
  <c r="BR102" i="1"/>
  <c r="BR114" i="1"/>
  <c r="BX18" i="1"/>
  <c r="BX30" i="1"/>
  <c r="BX42" i="1"/>
  <c r="BX54" i="1"/>
  <c r="BX66" i="1"/>
  <c r="BX78" i="1"/>
  <c r="BX90" i="1"/>
  <c r="BX102" i="1"/>
  <c r="BX114" i="1"/>
  <c r="BN19" i="1"/>
  <c r="BN31" i="1"/>
  <c r="BN43" i="1"/>
  <c r="BN55" i="1"/>
  <c r="BN67" i="1"/>
  <c r="BN79" i="1"/>
  <c r="BN91" i="1"/>
  <c r="BN103" i="1"/>
  <c r="BN115" i="1"/>
  <c r="BO19" i="1"/>
  <c r="BO31" i="1"/>
  <c r="BO43" i="1"/>
  <c r="BO55" i="1"/>
  <c r="BO67" i="1"/>
  <c r="BO79" i="1"/>
  <c r="BO91" i="1"/>
  <c r="BO103" i="1"/>
  <c r="BO115" i="1"/>
  <c r="BR19" i="1"/>
  <c r="BR31" i="1"/>
  <c r="BR43" i="1"/>
  <c r="BR55" i="1"/>
  <c r="BR67" i="1"/>
  <c r="BR79" i="1"/>
  <c r="BR91" i="1"/>
  <c r="BR103" i="1"/>
  <c r="BR115" i="1"/>
  <c r="BX19" i="1"/>
  <c r="BX31" i="1"/>
  <c r="BX43" i="1"/>
  <c r="BX55" i="1"/>
  <c r="BX67" i="1"/>
  <c r="BX79" i="1"/>
  <c r="BX91" i="1"/>
  <c r="BX103" i="1"/>
  <c r="BX115" i="1"/>
  <c r="BN20" i="1"/>
  <c r="BN32" i="1"/>
  <c r="BN44" i="1"/>
  <c r="BN56" i="1"/>
  <c r="BN68" i="1"/>
  <c r="BN80" i="1"/>
  <c r="BN92" i="1"/>
  <c r="BN104" i="1"/>
  <c r="BN116" i="1"/>
  <c r="BO20" i="1"/>
  <c r="BO32" i="1"/>
  <c r="BO44" i="1"/>
  <c r="BO56" i="1"/>
  <c r="BO68" i="1"/>
  <c r="BO80" i="1"/>
  <c r="BO92" i="1"/>
  <c r="BO104" i="1"/>
  <c r="BO116" i="1"/>
  <c r="BR20" i="1"/>
  <c r="BR32" i="1"/>
  <c r="BR44" i="1"/>
  <c r="BR56" i="1"/>
  <c r="BR68" i="1"/>
  <c r="BR80" i="1"/>
  <c r="BR92" i="1"/>
  <c r="BR104" i="1"/>
  <c r="BR116" i="1"/>
  <c r="BX20" i="1"/>
  <c r="BX32" i="1"/>
  <c r="BX44" i="1"/>
  <c r="BX56" i="1"/>
  <c r="BX68" i="1"/>
  <c r="BX80" i="1"/>
  <c r="BX92" i="1"/>
  <c r="BX104" i="1"/>
  <c r="BX116" i="1"/>
  <c r="BN21" i="1"/>
  <c r="BN33" i="1"/>
  <c r="BN45" i="1"/>
  <c r="BN57" i="1"/>
  <c r="BN69" i="1"/>
  <c r="BN81" i="1"/>
  <c r="BN93" i="1"/>
  <c r="BN105" i="1"/>
  <c r="BN117" i="1"/>
  <c r="BO21" i="1"/>
  <c r="BO33" i="1"/>
  <c r="BO45" i="1"/>
  <c r="BO57" i="1"/>
  <c r="BO69" i="1"/>
  <c r="BO81" i="1"/>
  <c r="BO93" i="1"/>
  <c r="BO105" i="1"/>
  <c r="BO117" i="1"/>
  <c r="BR21" i="1"/>
  <c r="BR33" i="1"/>
  <c r="BR45" i="1"/>
  <c r="BR57" i="1"/>
  <c r="BR69" i="1"/>
  <c r="BR81" i="1"/>
  <c r="BR93" i="1"/>
  <c r="BR105" i="1"/>
  <c r="BR117" i="1"/>
  <c r="BX21" i="1"/>
  <c r="BX33" i="1"/>
  <c r="BX45" i="1"/>
  <c r="BX57" i="1"/>
  <c r="BX69" i="1"/>
  <c r="BX81" i="1"/>
  <c r="BX93" i="1"/>
  <c r="BX105" i="1"/>
  <c r="BX117" i="1"/>
  <c r="BN22" i="1"/>
  <c r="BN34" i="1"/>
  <c r="BN46" i="1"/>
  <c r="BN58" i="1"/>
  <c r="BN70" i="1"/>
  <c r="BN82" i="1"/>
  <c r="BN94" i="1"/>
  <c r="BN106" i="1"/>
  <c r="BN118" i="1"/>
  <c r="BO22" i="1"/>
  <c r="BO34" i="1"/>
  <c r="BO46" i="1"/>
  <c r="BO58" i="1"/>
  <c r="BO70" i="1"/>
  <c r="BO82" i="1"/>
  <c r="BO94" i="1"/>
  <c r="BO106" i="1"/>
  <c r="BO118" i="1"/>
  <c r="BR22" i="1"/>
  <c r="BR34" i="1"/>
  <c r="BR46" i="1"/>
  <c r="BR58" i="1"/>
  <c r="BR70" i="1"/>
  <c r="BR82" i="1"/>
  <c r="BR94" i="1"/>
  <c r="BR106" i="1"/>
  <c r="BR118" i="1"/>
  <c r="BX22" i="1"/>
  <c r="BX34" i="1"/>
  <c r="BX46" i="1"/>
  <c r="BX58" i="1"/>
  <c r="BX70" i="1"/>
  <c r="BX82" i="1"/>
  <c r="BX94" i="1"/>
  <c r="BX106" i="1"/>
  <c r="BX118" i="1"/>
  <c r="BN119" i="1"/>
  <c r="BO119" i="1"/>
  <c r="BR119" i="1"/>
  <c r="BX119" i="1"/>
  <c r="BN120" i="1"/>
  <c r="BO120" i="1"/>
  <c r="BR120" i="1"/>
  <c r="BX120" i="1"/>
  <c r="BN121" i="1"/>
  <c r="BO121" i="1"/>
  <c r="BR121" i="1"/>
  <c r="BX121" i="1"/>
  <c r="AB57" i="36"/>
  <c r="O18" i="36"/>
  <c r="BA115" i="1" s="1"/>
  <c r="BB115" i="1" s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C56" i="2"/>
  <c r="C59" i="2"/>
  <c r="C68" i="2"/>
  <c r="C71" i="2"/>
  <c r="C80" i="2"/>
  <c r="C83" i="2"/>
  <c r="C92" i="2"/>
  <c r="C95" i="2"/>
  <c r="C104" i="2"/>
  <c r="C107" i="2"/>
  <c r="C116" i="2"/>
  <c r="C119" i="2"/>
  <c r="C261" i="4"/>
  <c r="C253" i="4"/>
  <c r="B257" i="4"/>
  <c r="BR13" i="18"/>
  <c r="I32" i="2"/>
  <c r="I29" i="2"/>
  <c r="I35" i="2"/>
  <c r="I20" i="2"/>
  <c r="I17" i="2"/>
  <c r="I23" i="2"/>
  <c r="BP13" i="18"/>
  <c r="BV13" i="18"/>
  <c r="BW13" i="18"/>
  <c r="BX13" i="18"/>
  <c r="BY13" i="18"/>
  <c r="J32" i="2"/>
  <c r="J29" i="2"/>
  <c r="J35" i="2"/>
  <c r="J20" i="2"/>
  <c r="J17" i="2"/>
  <c r="J23" i="2"/>
  <c r="BM16" i="40"/>
  <c r="CB13" i="18"/>
  <c r="CC13" i="18"/>
  <c r="CD13" i="18"/>
  <c r="CE13" i="18"/>
  <c r="K32" i="2"/>
  <c r="K29" i="2"/>
  <c r="K35" i="2"/>
  <c r="AM4" i="17"/>
  <c r="K20" i="2"/>
  <c r="K17" i="2"/>
  <c r="K23" i="2"/>
  <c r="AM5" i="17"/>
  <c r="AN5" i="17"/>
  <c r="AM6" i="17"/>
  <c r="AN6" i="17"/>
  <c r="AN7" i="17"/>
  <c r="BT16" i="40"/>
  <c r="AI13" i="18"/>
  <c r="BM15" i="40"/>
  <c r="CD15" i="18"/>
  <c r="CF15" i="18"/>
  <c r="BT15" i="40"/>
  <c r="AI5" i="19"/>
  <c r="AI6" i="19"/>
  <c r="AI7" i="19"/>
  <c r="AM5" i="19"/>
  <c r="AO5" i="19"/>
  <c r="AP5" i="19" s="1"/>
  <c r="AM6" i="19"/>
  <c r="AO6" i="19" s="1"/>
  <c r="AM7" i="19"/>
  <c r="AO7" i="19"/>
  <c r="BN7" i="40" s="1"/>
  <c r="BA5" i="40"/>
  <c r="BG6" i="40"/>
  <c r="BH6" i="40" s="1"/>
  <c r="BG7" i="40"/>
  <c r="BH7" i="40" s="1"/>
  <c r="BA7" i="40"/>
  <c r="BA9" i="40"/>
  <c r="AT10" i="40"/>
  <c r="BA10" i="40"/>
  <c r="BA11" i="40"/>
  <c r="AT12" i="40"/>
  <c r="AT13" i="40"/>
  <c r="AE5" i="18"/>
  <c r="AC5" i="40"/>
  <c r="AD5" i="40" s="1"/>
  <c r="AX5" i="40"/>
  <c r="AY5" i="40" s="1"/>
  <c r="BP5" i="18"/>
  <c r="BQ5" i="18"/>
  <c r="AH5" i="19" s="1"/>
  <c r="BE5" i="40"/>
  <c r="BV5" i="18"/>
  <c r="BW5" i="18"/>
  <c r="BX5" i="18"/>
  <c r="BY5" i="18"/>
  <c r="BZ5" i="18"/>
  <c r="BM5" i="40"/>
  <c r="CB5" i="18"/>
  <c r="CC5" i="18"/>
  <c r="CD5" i="18"/>
  <c r="CE5" i="18"/>
  <c r="CF5" i="18"/>
  <c r="BT5" i="40"/>
  <c r="AE6" i="18"/>
  <c r="AC6" i="40"/>
  <c r="AD6" i="40" s="1"/>
  <c r="AX6" i="40"/>
  <c r="BP6" i="18"/>
  <c r="BQ6" i="18"/>
  <c r="AH6" i="19" s="1"/>
  <c r="BE6" i="40"/>
  <c r="BV6" i="18"/>
  <c r="BW6" i="18"/>
  <c r="BX6" i="18"/>
  <c r="BY6" i="18"/>
  <c r="BZ6" i="18"/>
  <c r="BM6" i="40"/>
  <c r="CB6" i="18"/>
  <c r="CC6" i="18"/>
  <c r="CD6" i="18"/>
  <c r="CE6" i="18"/>
  <c r="CF6" i="18"/>
  <c r="BT6" i="40"/>
  <c r="AE7" i="18"/>
  <c r="AC7" i="40"/>
  <c r="AX7" i="40"/>
  <c r="AY7" i="40" s="1"/>
  <c r="BP7" i="18"/>
  <c r="BQ7" i="18"/>
  <c r="AH7" i="19" s="1"/>
  <c r="BE7" i="40"/>
  <c r="BV7" i="18"/>
  <c r="BW7" i="18"/>
  <c r="BX7" i="18"/>
  <c r="BY7" i="18"/>
  <c r="BZ7" i="18"/>
  <c r="BM7" i="40"/>
  <c r="CB7" i="18"/>
  <c r="CC7" i="18"/>
  <c r="CD7" i="18"/>
  <c r="CE7" i="18"/>
  <c r="CF7" i="18"/>
  <c r="BT7" i="40"/>
  <c r="AE8" i="18"/>
  <c r="AC8" i="40"/>
  <c r="AX8" i="40"/>
  <c r="BP8" i="18"/>
  <c r="BQ8" i="18"/>
  <c r="AH8" i="19" s="1"/>
  <c r="BE8" i="40"/>
  <c r="BV8" i="18"/>
  <c r="BW8" i="18"/>
  <c r="BX8" i="18"/>
  <c r="BY8" i="18"/>
  <c r="BZ8" i="18"/>
  <c r="BM8" i="40"/>
  <c r="CB8" i="18"/>
  <c r="CC8" i="18"/>
  <c r="CD8" i="18"/>
  <c r="CE8" i="18"/>
  <c r="CF8" i="18"/>
  <c r="BT8" i="40"/>
  <c r="AE9" i="18"/>
  <c r="AC9" i="40"/>
  <c r="AD9" i="40" s="1"/>
  <c r="AX9" i="40"/>
  <c r="AY9" i="40" s="1"/>
  <c r="BP9" i="18"/>
  <c r="BQ9" i="18"/>
  <c r="AH9" i="19" s="1"/>
  <c r="BV9" i="18"/>
  <c r="BW9" i="18"/>
  <c r="BX9" i="18"/>
  <c r="BY9" i="18"/>
  <c r="BZ9" i="18"/>
  <c r="BM9" i="40"/>
  <c r="CB9" i="18"/>
  <c r="CC9" i="18"/>
  <c r="CD9" i="18"/>
  <c r="CE9" i="18"/>
  <c r="CF9" i="18"/>
  <c r="BT9" i="40"/>
  <c r="AE10" i="18"/>
  <c r="AC10" i="40"/>
  <c r="AX10" i="40"/>
  <c r="BP10" i="18"/>
  <c r="BQ10" i="18"/>
  <c r="AH10" i="19" s="1"/>
  <c r="BE10" i="40"/>
  <c r="BV10" i="18"/>
  <c r="BW10" i="18"/>
  <c r="BX10" i="18"/>
  <c r="BY10" i="18"/>
  <c r="BZ10" i="18"/>
  <c r="BM10" i="40"/>
  <c r="CB10" i="18"/>
  <c r="CC10" i="18"/>
  <c r="CD10" i="18"/>
  <c r="CE10" i="18"/>
  <c r="CF10" i="18"/>
  <c r="BT10" i="40"/>
  <c r="AE11" i="18"/>
  <c r="AC11" i="40"/>
  <c r="AX11" i="40"/>
  <c r="BP11" i="18"/>
  <c r="BQ11" i="18"/>
  <c r="AH11" i="19" s="1"/>
  <c r="BV11" i="18"/>
  <c r="BW11" i="18"/>
  <c r="BX11" i="18"/>
  <c r="BY11" i="18"/>
  <c r="BZ11" i="18"/>
  <c r="BM11" i="40"/>
  <c r="CB11" i="18"/>
  <c r="CC11" i="18"/>
  <c r="CD11" i="18"/>
  <c r="CE11" i="18"/>
  <c r="CF11" i="18"/>
  <c r="BT11" i="40"/>
  <c r="AE12" i="18"/>
  <c r="AC12" i="40"/>
  <c r="AX12" i="40"/>
  <c r="BP12" i="18"/>
  <c r="BQ12" i="18"/>
  <c r="AH12" i="19" s="1"/>
  <c r="BE12" i="40"/>
  <c r="BV12" i="18"/>
  <c r="BW12" i="18"/>
  <c r="BX12" i="18"/>
  <c r="BY12" i="18"/>
  <c r="BZ12" i="18"/>
  <c r="BM12" i="40"/>
  <c r="CB12" i="18"/>
  <c r="CC12" i="18"/>
  <c r="CD12" i="18"/>
  <c r="CE12" i="18"/>
  <c r="CF12" i="18"/>
  <c r="BT12" i="40"/>
  <c r="AE13" i="18"/>
  <c r="AC13" i="40"/>
  <c r="AD13" i="40" s="1"/>
  <c r="AX13" i="40"/>
  <c r="AY13" i="40" s="1"/>
  <c r="BQ13" i="18"/>
  <c r="AH13" i="19" s="1"/>
  <c r="BZ13" i="18"/>
  <c r="BM13" i="40"/>
  <c r="CF13" i="18"/>
  <c r="BT13" i="40"/>
  <c r="V5" i="40"/>
  <c r="C5" i="18"/>
  <c r="K5" i="40"/>
  <c r="L5" i="18"/>
  <c r="P5" i="40"/>
  <c r="AJ5" i="40"/>
  <c r="BL5" i="40"/>
  <c r="BS5" i="40"/>
  <c r="V6" i="40"/>
  <c r="C6" i="18"/>
  <c r="K6" i="40"/>
  <c r="L6" i="18"/>
  <c r="P6" i="40"/>
  <c r="AJ6" i="40"/>
  <c r="BL6" i="40"/>
  <c r="BS6" i="40"/>
  <c r="V7" i="40"/>
  <c r="C7" i="18"/>
  <c r="K7" i="40"/>
  <c r="L7" i="18"/>
  <c r="P7" i="40"/>
  <c r="AJ7" i="40"/>
  <c r="BL7" i="40"/>
  <c r="BS7" i="40"/>
  <c r="V8" i="40"/>
  <c r="C8" i="18"/>
  <c r="K8" i="40"/>
  <c r="L8" i="18"/>
  <c r="P8" i="40"/>
  <c r="AJ8" i="40"/>
  <c r="BL8" i="40"/>
  <c r="BS8" i="40"/>
  <c r="V9" i="40"/>
  <c r="C9" i="18"/>
  <c r="K9" i="40"/>
  <c r="L9" i="18"/>
  <c r="P9" i="40"/>
  <c r="AJ9" i="40"/>
  <c r="BL9" i="40"/>
  <c r="BS9" i="40"/>
  <c r="V10" i="40"/>
  <c r="C10" i="18"/>
  <c r="K10" i="40"/>
  <c r="L10" i="18"/>
  <c r="P10" i="40"/>
  <c r="AJ10" i="40"/>
  <c r="BL10" i="40"/>
  <c r="BS10" i="40"/>
  <c r="V11" i="40"/>
  <c r="C11" i="18"/>
  <c r="K11" i="40"/>
  <c r="L11" i="18"/>
  <c r="P11" i="40"/>
  <c r="AJ11" i="40"/>
  <c r="BL11" i="40"/>
  <c r="BS11" i="40"/>
  <c r="V12" i="40"/>
  <c r="C12" i="18"/>
  <c r="K12" i="40"/>
  <c r="L12" i="18"/>
  <c r="P12" i="40"/>
  <c r="AJ12" i="40"/>
  <c r="BL12" i="40"/>
  <c r="BS12" i="40"/>
  <c r="V13" i="40"/>
  <c r="C13" i="18"/>
  <c r="K13" i="40"/>
  <c r="L13" i="18"/>
  <c r="P13" i="40"/>
  <c r="AJ13" i="40"/>
  <c r="BL13" i="40"/>
  <c r="BS13" i="40"/>
  <c r="J5" i="40"/>
  <c r="O5" i="40"/>
  <c r="U5" i="40"/>
  <c r="AB5" i="40"/>
  <c r="AI5" i="40"/>
  <c r="AP5" i="40"/>
  <c r="AW5" i="40"/>
  <c r="BD5" i="40"/>
  <c r="BK5" i="40"/>
  <c r="BR5" i="40"/>
  <c r="J6" i="40"/>
  <c r="O6" i="40"/>
  <c r="U6" i="40"/>
  <c r="AB6" i="40"/>
  <c r="AI6" i="40"/>
  <c r="AP6" i="40"/>
  <c r="AW6" i="40"/>
  <c r="BD6" i="40"/>
  <c r="BK6" i="40"/>
  <c r="BR6" i="40"/>
  <c r="J7" i="40"/>
  <c r="O7" i="40"/>
  <c r="U7" i="40"/>
  <c r="AB7" i="40"/>
  <c r="AI7" i="40"/>
  <c r="AP7" i="40"/>
  <c r="AW7" i="40"/>
  <c r="BD7" i="40"/>
  <c r="BK7" i="40"/>
  <c r="BR7" i="40"/>
  <c r="J8" i="40"/>
  <c r="O8" i="40"/>
  <c r="U8" i="40"/>
  <c r="AB8" i="40"/>
  <c r="AI8" i="40"/>
  <c r="AP8" i="40"/>
  <c r="AW8" i="40"/>
  <c r="BD8" i="40"/>
  <c r="BK8" i="40"/>
  <c r="BR8" i="40"/>
  <c r="J9" i="40"/>
  <c r="O9" i="40"/>
  <c r="U9" i="40"/>
  <c r="AB9" i="40"/>
  <c r="AI9" i="40"/>
  <c r="AP9" i="40"/>
  <c r="AW9" i="40"/>
  <c r="BD9" i="40"/>
  <c r="BK9" i="40"/>
  <c r="BR9" i="40"/>
  <c r="J10" i="40"/>
  <c r="O10" i="40"/>
  <c r="U10" i="40"/>
  <c r="AB10" i="40"/>
  <c r="AI10" i="40"/>
  <c r="AP10" i="40"/>
  <c r="AW10" i="40"/>
  <c r="BD10" i="40"/>
  <c r="BK10" i="40"/>
  <c r="BR10" i="40"/>
  <c r="J11" i="40"/>
  <c r="O11" i="40"/>
  <c r="U11" i="40"/>
  <c r="AB11" i="40"/>
  <c r="AI11" i="40"/>
  <c r="AP11" i="40"/>
  <c r="AW11" i="40"/>
  <c r="BD11" i="40"/>
  <c r="BK11" i="40"/>
  <c r="BR11" i="40"/>
  <c r="J12" i="40"/>
  <c r="O12" i="40"/>
  <c r="U12" i="40"/>
  <c r="AB12" i="40"/>
  <c r="AI12" i="40"/>
  <c r="AP12" i="40"/>
  <c r="AW12" i="40"/>
  <c r="BD12" i="40"/>
  <c r="BK12" i="40"/>
  <c r="BR12" i="40"/>
  <c r="J13" i="40"/>
  <c r="O13" i="40"/>
  <c r="U13" i="40"/>
  <c r="AB13" i="40"/>
  <c r="AI13" i="40"/>
  <c r="AP13" i="40"/>
  <c r="AW13" i="40"/>
  <c r="BD13" i="40"/>
  <c r="BK13" i="40"/>
  <c r="BR13" i="40"/>
  <c r="O15" i="40"/>
  <c r="C14" i="17"/>
  <c r="J15" i="40"/>
  <c r="K14" i="17"/>
  <c r="U15" i="40"/>
  <c r="O14" i="17"/>
  <c r="AB15" i="40"/>
  <c r="AI15" i="40"/>
  <c r="AP15" i="40"/>
  <c r="AA14" i="17"/>
  <c r="AW15" i="40"/>
  <c r="BD15" i="40"/>
  <c r="BK15" i="40"/>
  <c r="BR15" i="40"/>
  <c r="H15" i="17"/>
  <c r="G15" i="17"/>
  <c r="O16" i="40"/>
  <c r="D15" i="17"/>
  <c r="C15" i="17"/>
  <c r="J16" i="40"/>
  <c r="L15" i="17"/>
  <c r="K15" i="17"/>
  <c r="U16" i="40"/>
  <c r="P15" i="17"/>
  <c r="O15" i="17"/>
  <c r="AB16" i="40"/>
  <c r="AI16" i="40"/>
  <c r="X15" i="17"/>
  <c r="AP16" i="40"/>
  <c r="AB15" i="17"/>
  <c r="AA15" i="17"/>
  <c r="AW16" i="40"/>
  <c r="BD16" i="40"/>
  <c r="BK16" i="40"/>
  <c r="BR16" i="40"/>
  <c r="BQ2" i="40"/>
  <c r="Q27" i="40" s="1"/>
  <c r="BJ2" i="40"/>
  <c r="P27" i="40" s="1"/>
  <c r="L42" i="40" s="1"/>
  <c r="BC2" i="40"/>
  <c r="O27" i="40" s="1"/>
  <c r="K42" i="40" s="1"/>
  <c r="AV2" i="40"/>
  <c r="N27" i="40" s="1"/>
  <c r="J42" i="40" s="1"/>
  <c r="AO2" i="40"/>
  <c r="M27" i="40" s="1"/>
  <c r="I42" i="40" s="1"/>
  <c r="AH2" i="40"/>
  <c r="L27" i="40" s="1"/>
  <c r="H42" i="40" s="1"/>
  <c r="AI12" i="18"/>
  <c r="AI11" i="18"/>
  <c r="AI10" i="18"/>
  <c r="AI9" i="18"/>
  <c r="AI8" i="18"/>
  <c r="AI7" i="18"/>
  <c r="AI6" i="18"/>
  <c r="AI5" i="18"/>
  <c r="AA2" i="40"/>
  <c r="I27" i="40" s="1"/>
  <c r="G42" i="40" s="1"/>
  <c r="T2" i="40"/>
  <c r="G27" i="40"/>
  <c r="AL5" i="39"/>
  <c r="AN5" i="39" s="1"/>
  <c r="AF6" i="39"/>
  <c r="AL6" i="39" s="1"/>
  <c r="BX13" i="34"/>
  <c r="BR13" i="34"/>
  <c r="AH5" i="39"/>
  <c r="H1" i="31"/>
  <c r="E1" i="31"/>
  <c r="H1" i="30"/>
  <c r="P1" i="30"/>
  <c r="G1" i="30"/>
  <c r="F1" i="30"/>
  <c r="J1" i="13"/>
  <c r="W1" i="13" s="1"/>
  <c r="M1" i="13"/>
  <c r="G1" i="13"/>
  <c r="AG5" i="39"/>
  <c r="AI5" i="39" s="1"/>
  <c r="AH6" i="39"/>
  <c r="AG6" i="39"/>
  <c r="I1" i="26"/>
  <c r="H1" i="26"/>
  <c r="G1" i="26"/>
  <c r="F1" i="26"/>
  <c r="E1" i="26"/>
  <c r="D1" i="26"/>
  <c r="I1" i="25"/>
  <c r="H1" i="25"/>
  <c r="G1" i="25"/>
  <c r="F1" i="25"/>
  <c r="N1" i="25"/>
  <c r="E1" i="25"/>
  <c r="D1" i="25"/>
  <c r="H1" i="15"/>
  <c r="E1" i="15"/>
  <c r="H1" i="14"/>
  <c r="G1" i="14"/>
  <c r="F1" i="14"/>
  <c r="N1" i="14"/>
  <c r="D51" i="36"/>
  <c r="C12" i="36"/>
  <c r="F51" i="36"/>
  <c r="D12" i="36"/>
  <c r="AD51" i="36"/>
  <c r="P12" i="36"/>
  <c r="AF51" i="36"/>
  <c r="Q12" i="36"/>
  <c r="D52" i="36"/>
  <c r="C13" i="36"/>
  <c r="F52" i="36"/>
  <c r="D13" i="36"/>
  <c r="AD52" i="36"/>
  <c r="P13" i="36"/>
  <c r="AF52" i="36"/>
  <c r="Q13" i="36"/>
  <c r="D53" i="36"/>
  <c r="C14" i="36"/>
  <c r="F53" i="36"/>
  <c r="D14" i="36"/>
  <c r="AD53" i="36"/>
  <c r="P14" i="36"/>
  <c r="AF53" i="36"/>
  <c r="Q14" i="36"/>
  <c r="D54" i="36"/>
  <c r="C15" i="36"/>
  <c r="F54" i="36"/>
  <c r="D15" i="36"/>
  <c r="AD54" i="36"/>
  <c r="P15" i="36"/>
  <c r="AF54" i="36"/>
  <c r="Q15" i="36"/>
  <c r="D55" i="36"/>
  <c r="C16" i="36"/>
  <c r="F55" i="36"/>
  <c r="D16" i="36"/>
  <c r="AD55" i="36"/>
  <c r="P16" i="36"/>
  <c r="AF55" i="36"/>
  <c r="Q16" i="36"/>
  <c r="D56" i="36"/>
  <c r="C17" i="36"/>
  <c r="F56" i="36"/>
  <c r="D17" i="36"/>
  <c r="AD56" i="36"/>
  <c r="P17" i="36"/>
  <c r="AF56" i="36"/>
  <c r="Q17" i="36"/>
  <c r="D57" i="36"/>
  <c r="C18" i="36"/>
  <c r="F57" i="36"/>
  <c r="D18" i="36"/>
  <c r="J57" i="36"/>
  <c r="F18" i="36"/>
  <c r="BA12" i="1" s="1"/>
  <c r="BB12" i="1" s="1"/>
  <c r="L57" i="36"/>
  <c r="G18" i="36"/>
  <c r="BA17" i="1" s="1"/>
  <c r="BB17" i="1" s="1"/>
  <c r="N57" i="36"/>
  <c r="H18" i="36"/>
  <c r="BA28" i="1" s="1"/>
  <c r="BB28" i="1" s="1"/>
  <c r="P57" i="36"/>
  <c r="I18" i="36"/>
  <c r="BA40" i="1" s="1"/>
  <c r="BB40" i="1" s="1"/>
  <c r="R57" i="36"/>
  <c r="J18" i="36"/>
  <c r="BA60" i="1" s="1"/>
  <c r="BB60" i="1" s="1"/>
  <c r="T57" i="36"/>
  <c r="K18" i="36"/>
  <c r="BA64" i="1" s="1"/>
  <c r="BB64" i="1" s="1"/>
  <c r="V57" i="36"/>
  <c r="L18" i="36"/>
  <c r="BA76" i="1" s="1"/>
  <c r="BB76" i="1" s="1"/>
  <c r="X57" i="36"/>
  <c r="M18" i="36"/>
  <c r="BA92" i="1" s="1"/>
  <c r="BB92" i="1" s="1"/>
  <c r="Z57" i="36"/>
  <c r="N18" i="36"/>
  <c r="BA107" i="1" s="1"/>
  <c r="BB107" i="1" s="1"/>
  <c r="AD57" i="36"/>
  <c r="P18" i="36"/>
  <c r="AF57" i="36"/>
  <c r="Q18" i="36"/>
  <c r="F50" i="36"/>
  <c r="D11" i="36"/>
  <c r="AD50" i="36"/>
  <c r="P11" i="36"/>
  <c r="AF50" i="36"/>
  <c r="Q11" i="36"/>
  <c r="D50" i="36"/>
  <c r="C11" i="36"/>
  <c r="E50" i="36"/>
  <c r="D2" i="36"/>
  <c r="G50" i="36"/>
  <c r="E2" i="36"/>
  <c r="I50" i="36"/>
  <c r="F2" i="36"/>
  <c r="K50" i="36"/>
  <c r="G2" i="36"/>
  <c r="M50" i="36"/>
  <c r="H2" i="36"/>
  <c r="O50" i="36"/>
  <c r="I2" i="36"/>
  <c r="Q50" i="36"/>
  <c r="J2" i="36"/>
  <c r="S50" i="36"/>
  <c r="K2" i="36"/>
  <c r="U50" i="36"/>
  <c r="L2" i="36"/>
  <c r="W50" i="36"/>
  <c r="M2" i="36"/>
  <c r="Y50" i="36"/>
  <c r="N2" i="36"/>
  <c r="AA50" i="36"/>
  <c r="O2" i="36"/>
  <c r="AC50" i="36"/>
  <c r="P2" i="36"/>
  <c r="AE50" i="36"/>
  <c r="Q2" i="36"/>
  <c r="E51" i="36"/>
  <c r="D3" i="36"/>
  <c r="G51" i="36"/>
  <c r="E3" i="36"/>
  <c r="I51" i="36"/>
  <c r="F3" i="36"/>
  <c r="K51" i="36"/>
  <c r="G3" i="36"/>
  <c r="M51" i="36"/>
  <c r="H3" i="36"/>
  <c r="O51" i="36"/>
  <c r="I3" i="36"/>
  <c r="Q51" i="36"/>
  <c r="J3" i="36"/>
  <c r="S51" i="36"/>
  <c r="K3" i="36"/>
  <c r="U51" i="36"/>
  <c r="L3" i="36"/>
  <c r="W51" i="36"/>
  <c r="M3" i="36"/>
  <c r="Y51" i="36"/>
  <c r="N3" i="36"/>
  <c r="AA51" i="36"/>
  <c r="O3" i="36"/>
  <c r="AC51" i="36"/>
  <c r="P3" i="36"/>
  <c r="AE51" i="36"/>
  <c r="Q3" i="36"/>
  <c r="E52" i="36"/>
  <c r="D4" i="36"/>
  <c r="AC52" i="36"/>
  <c r="P4" i="36"/>
  <c r="AE52" i="36"/>
  <c r="Q4" i="36"/>
  <c r="E53" i="36"/>
  <c r="D5" i="36"/>
  <c r="AC53" i="36"/>
  <c r="P5" i="36"/>
  <c r="AE53" i="36"/>
  <c r="Q5" i="36"/>
  <c r="E54" i="36"/>
  <c r="D6" i="36"/>
  <c r="AC54" i="36"/>
  <c r="P6" i="36"/>
  <c r="AE54" i="36"/>
  <c r="Q6" i="36"/>
  <c r="E55" i="36"/>
  <c r="D7" i="36"/>
  <c r="AC55" i="36"/>
  <c r="P7" i="36"/>
  <c r="AE55" i="36"/>
  <c r="Q7" i="36"/>
  <c r="E56" i="36"/>
  <c r="D8" i="36"/>
  <c r="AC56" i="36"/>
  <c r="P8" i="36"/>
  <c r="AE56" i="36"/>
  <c r="Q8" i="36"/>
  <c r="E57" i="36"/>
  <c r="D9" i="36"/>
  <c r="G57" i="36"/>
  <c r="E9" i="36"/>
  <c r="I57" i="36"/>
  <c r="F9" i="36"/>
  <c r="K57" i="36"/>
  <c r="G9" i="36"/>
  <c r="M57" i="36"/>
  <c r="H9" i="36"/>
  <c r="O57" i="36"/>
  <c r="I9" i="36"/>
  <c r="Q57" i="36"/>
  <c r="J9" i="36"/>
  <c r="S57" i="36"/>
  <c r="K9" i="36"/>
  <c r="U57" i="36"/>
  <c r="L9" i="36"/>
  <c r="W57" i="36"/>
  <c r="M9" i="36"/>
  <c r="Y57" i="36"/>
  <c r="N9" i="36"/>
  <c r="AA57" i="36"/>
  <c r="O9" i="36"/>
  <c r="AC57" i="36"/>
  <c r="P9" i="36"/>
  <c r="AE57" i="36"/>
  <c r="Q9" i="36"/>
  <c r="C51" i="36"/>
  <c r="C3" i="36"/>
  <c r="C52" i="36"/>
  <c r="C4" i="36"/>
  <c r="C53" i="36"/>
  <c r="C5" i="36"/>
  <c r="C54" i="36"/>
  <c r="C6" i="36"/>
  <c r="C55" i="36"/>
  <c r="C7" i="36"/>
  <c r="C56" i="36"/>
  <c r="C8" i="36"/>
  <c r="C57" i="36"/>
  <c r="C9" i="36"/>
  <c r="C50" i="36"/>
  <c r="C2" i="36"/>
  <c r="AK34" i="1"/>
  <c r="BQ20" i="34"/>
  <c r="B62" i="33"/>
  <c r="B61" i="33"/>
  <c r="B60" i="33"/>
  <c r="B59" i="33"/>
  <c r="B58" i="33"/>
  <c r="B57" i="33"/>
  <c r="B56" i="33"/>
  <c r="B55" i="33"/>
  <c r="B54" i="33"/>
  <c r="B53" i="33"/>
  <c r="B48" i="33"/>
  <c r="B47" i="33"/>
  <c r="B42" i="33"/>
  <c r="B26" i="33"/>
  <c r="B25" i="33"/>
  <c r="B24" i="33"/>
  <c r="B23" i="33"/>
  <c r="B35" i="33"/>
  <c r="B46" i="33"/>
  <c r="B22" i="33"/>
  <c r="B34" i="33"/>
  <c r="B45" i="33"/>
  <c r="B21" i="33"/>
  <c r="B33" i="33"/>
  <c r="B44" i="33"/>
  <c r="B20" i="33"/>
  <c r="B32" i="33"/>
  <c r="B43" i="33"/>
  <c r="B19" i="33"/>
  <c r="B18" i="33"/>
  <c r="B17" i="33"/>
  <c r="I1" i="31"/>
  <c r="Q1" i="31"/>
  <c r="P1" i="31"/>
  <c r="G1" i="31"/>
  <c r="O1" i="31"/>
  <c r="F1" i="31"/>
  <c r="N1" i="31"/>
  <c r="M1" i="31"/>
  <c r="D1" i="31"/>
  <c r="L1" i="31"/>
  <c r="C1" i="31"/>
  <c r="I1" i="30"/>
  <c r="Q1" i="30"/>
  <c r="O1" i="30"/>
  <c r="N1" i="30"/>
  <c r="D1" i="30"/>
  <c r="L1" i="30"/>
  <c r="E1" i="30"/>
  <c r="M1" i="30"/>
  <c r="C1" i="30"/>
  <c r="N1" i="29"/>
  <c r="AA1" i="29"/>
  <c r="M1" i="29"/>
  <c r="Z1" i="29"/>
  <c r="L1" i="29"/>
  <c r="Y1" i="29"/>
  <c r="K1" i="29"/>
  <c r="X1" i="29"/>
  <c r="J1" i="29"/>
  <c r="W1" i="29"/>
  <c r="I1" i="29"/>
  <c r="V1" i="29"/>
  <c r="H1" i="29"/>
  <c r="U1" i="29"/>
  <c r="G1" i="29"/>
  <c r="T1" i="29"/>
  <c r="F1" i="29"/>
  <c r="S1" i="29"/>
  <c r="E1" i="29"/>
  <c r="R1" i="29"/>
  <c r="D1" i="29"/>
  <c r="Q1" i="29"/>
  <c r="C1" i="29"/>
  <c r="K1" i="28"/>
  <c r="U1" i="28"/>
  <c r="J1" i="28"/>
  <c r="T1" i="28"/>
  <c r="I1" i="28"/>
  <c r="S1" i="28"/>
  <c r="H1" i="28"/>
  <c r="R1" i="28"/>
  <c r="G1" i="28"/>
  <c r="Q1" i="28"/>
  <c r="F1" i="28"/>
  <c r="P1" i="28"/>
  <c r="E1" i="28"/>
  <c r="O1" i="28"/>
  <c r="D1" i="28"/>
  <c r="N1" i="28"/>
  <c r="J1" i="27"/>
  <c r="S1" i="27"/>
  <c r="I1" i="27"/>
  <c r="R1" i="27"/>
  <c r="H1" i="27"/>
  <c r="Q1" i="27"/>
  <c r="G1" i="27"/>
  <c r="P1" i="27"/>
  <c r="F1" i="27"/>
  <c r="O1" i="27"/>
  <c r="E1" i="27"/>
  <c r="N1" i="27"/>
  <c r="D1" i="27"/>
  <c r="M1" i="27"/>
  <c r="C1" i="27"/>
  <c r="H59" i="33"/>
  <c r="H57" i="33"/>
  <c r="H56" i="33"/>
  <c r="H55" i="33"/>
  <c r="H54" i="33"/>
  <c r="H53" i="33"/>
  <c r="F1" i="23"/>
  <c r="G1" i="12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E24" i="4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B106" i="11"/>
  <c r="B98" i="11"/>
  <c r="B105" i="11"/>
  <c r="B101" i="11"/>
  <c r="B109" i="11"/>
  <c r="B102" i="11"/>
  <c r="B104" i="11"/>
  <c r="B100" i="11"/>
  <c r="B108" i="11"/>
  <c r="B103" i="11"/>
  <c r="B99" i="11"/>
  <c r="B107" i="11"/>
  <c r="H58" i="33"/>
  <c r="H62" i="33"/>
  <c r="CD13" i="34"/>
  <c r="H60" i="33"/>
  <c r="I62" i="33"/>
  <c r="H61" i="33"/>
  <c r="P98" i="1"/>
  <c r="P99" i="1"/>
  <c r="P100" i="1"/>
  <c r="P101" i="1"/>
  <c r="P102" i="1"/>
  <c r="P103" i="1"/>
  <c r="P104" i="1"/>
  <c r="P105" i="1"/>
  <c r="P106" i="1"/>
  <c r="P107" i="1"/>
  <c r="P108" i="1"/>
  <c r="P109" i="1"/>
  <c r="P95" i="1"/>
  <c r="C53" i="33"/>
  <c r="D53" i="33"/>
  <c r="E53" i="33"/>
  <c r="F53" i="33"/>
  <c r="C15" i="20"/>
  <c r="BX7" i="34"/>
  <c r="BX6" i="34"/>
  <c r="BR7" i="34"/>
  <c r="BR6" i="34"/>
  <c r="F59" i="33"/>
  <c r="E59" i="33"/>
  <c r="D59" i="33"/>
  <c r="C59" i="33"/>
  <c r="F58" i="33"/>
  <c r="E58" i="33"/>
  <c r="D58" i="33"/>
  <c r="F57" i="33"/>
  <c r="E57" i="33"/>
  <c r="D57" i="33"/>
  <c r="C57" i="33"/>
  <c r="F56" i="33"/>
  <c r="E56" i="33"/>
  <c r="D56" i="33"/>
  <c r="C56" i="33"/>
  <c r="F55" i="33"/>
  <c r="E55" i="33"/>
  <c r="D55" i="33"/>
  <c r="C55" i="33"/>
  <c r="F54" i="33"/>
  <c r="E54" i="33"/>
  <c r="D54" i="33"/>
  <c r="C54" i="33"/>
  <c r="K11" i="2"/>
  <c r="K8" i="2"/>
  <c r="K5" i="2"/>
  <c r="K2" i="2"/>
  <c r="J11" i="2"/>
  <c r="J8" i="2"/>
  <c r="J5" i="2"/>
  <c r="J2" i="2"/>
  <c r="I11" i="2"/>
  <c r="I8" i="2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U97" i="1"/>
  <c r="AU96" i="1"/>
  <c r="AU95" i="1"/>
  <c r="AU94" i="1"/>
  <c r="AU93" i="1"/>
  <c r="BE7" i="1"/>
  <c r="G53" i="33"/>
  <c r="G55" i="33"/>
  <c r="G57" i="33"/>
  <c r="G59" i="33"/>
  <c r="BR9" i="34"/>
  <c r="D60" i="33"/>
  <c r="BX10" i="34"/>
  <c r="E61" i="33"/>
  <c r="CD7" i="34"/>
  <c r="CD11" i="34"/>
  <c r="F62" i="33"/>
  <c r="BG7" i="1"/>
  <c r="BG8" i="1"/>
  <c r="BG9" i="1"/>
  <c r="BR10" i="34"/>
  <c r="E60" i="33"/>
  <c r="BX11" i="34"/>
  <c r="F61" i="33"/>
  <c r="CD8" i="34"/>
  <c r="C62" i="33"/>
  <c r="CD12" i="34"/>
  <c r="G62" i="33"/>
  <c r="G56" i="33"/>
  <c r="C58" i="33"/>
  <c r="G58" i="33"/>
  <c r="F60" i="33"/>
  <c r="BR11" i="34"/>
  <c r="C61" i="33"/>
  <c r="BX8" i="34"/>
  <c r="G61" i="33"/>
  <c r="BX12" i="34"/>
  <c r="D62" i="33"/>
  <c r="CD9" i="34"/>
  <c r="BR8" i="34"/>
  <c r="C60" i="33"/>
  <c r="BR12" i="34"/>
  <c r="G60" i="33"/>
  <c r="BX9" i="34"/>
  <c r="D61" i="33"/>
  <c r="CD6" i="34"/>
  <c r="E62" i="33"/>
  <c r="CD10" i="34"/>
  <c r="G54" i="33"/>
  <c r="AZ4" i="1"/>
  <c r="AZ3" i="1"/>
  <c r="BR5" i="34"/>
  <c r="AZ2" i="1"/>
  <c r="I5" i="2"/>
  <c r="BE9" i="1"/>
  <c r="AZ10" i="1"/>
  <c r="AZ9" i="1"/>
  <c r="AZ6" i="1"/>
  <c r="AZ7" i="1"/>
  <c r="AZ8" i="1"/>
  <c r="AZ5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H2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X2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CD5" i="34"/>
  <c r="BG4" i="1"/>
  <c r="BG2" i="1"/>
  <c r="BG5" i="1"/>
  <c r="BG3" i="1"/>
  <c r="BG6" i="1"/>
  <c r="AZ11" i="1"/>
  <c r="AZ12" i="1"/>
  <c r="BE5" i="1"/>
  <c r="BE2" i="1"/>
  <c r="BE6" i="1"/>
  <c r="BE3" i="1"/>
  <c r="BE4" i="1"/>
  <c r="BX5" i="34"/>
  <c r="BE10" i="1"/>
  <c r="BE11" i="1"/>
  <c r="BE12" i="1"/>
  <c r="BE8" i="1"/>
  <c r="BG10" i="1"/>
  <c r="BG11" i="1"/>
  <c r="BG12" i="1"/>
  <c r="I2" i="2"/>
  <c r="CD15" i="34"/>
  <c r="J62" i="33"/>
  <c r="I61" i="33"/>
  <c r="B59" i="21"/>
  <c r="B58" i="21"/>
  <c r="CD16" i="34"/>
  <c r="K62" i="33"/>
  <c r="K62" i="21"/>
  <c r="J61" i="33"/>
  <c r="B23" i="21"/>
  <c r="B35" i="21"/>
  <c r="B46" i="21"/>
  <c r="K61" i="33"/>
  <c r="K61" i="21"/>
  <c r="Q1" i="26"/>
  <c r="P1" i="26"/>
  <c r="O1" i="26"/>
  <c r="N1" i="26"/>
  <c r="M1" i="26"/>
  <c r="L1" i="26"/>
  <c r="C1" i="26"/>
  <c r="Q1" i="25"/>
  <c r="P1" i="25"/>
  <c r="O1" i="25"/>
  <c r="L1" i="25"/>
  <c r="M1" i="25"/>
  <c r="C1" i="25"/>
  <c r="N1" i="24"/>
  <c r="AA1" i="24"/>
  <c r="M1" i="24"/>
  <c r="Z1" i="24"/>
  <c r="L1" i="24"/>
  <c r="Y1" i="24"/>
  <c r="K1" i="24"/>
  <c r="X1" i="24"/>
  <c r="J1" i="24"/>
  <c r="W1" i="24"/>
  <c r="I1" i="24"/>
  <c r="V1" i="24"/>
  <c r="H1" i="24"/>
  <c r="U1" i="24"/>
  <c r="G1" i="24"/>
  <c r="T1" i="24"/>
  <c r="F1" i="24"/>
  <c r="S1" i="24"/>
  <c r="E1" i="24"/>
  <c r="R1" i="24"/>
  <c r="D1" i="24"/>
  <c r="Q1" i="24"/>
  <c r="C1" i="24"/>
  <c r="K1" i="23"/>
  <c r="U1" i="23"/>
  <c r="J1" i="23"/>
  <c r="T1" i="23"/>
  <c r="I1" i="23"/>
  <c r="S1" i="23"/>
  <c r="H1" i="23"/>
  <c r="R1" i="23"/>
  <c r="G1" i="23"/>
  <c r="Q1" i="23"/>
  <c r="P1" i="23"/>
  <c r="E1" i="23"/>
  <c r="O1" i="23"/>
  <c r="D1" i="23"/>
  <c r="N1" i="23"/>
  <c r="J1" i="22"/>
  <c r="S1" i="22"/>
  <c r="I1" i="22"/>
  <c r="R1" i="22"/>
  <c r="H1" i="22"/>
  <c r="Q1" i="22"/>
  <c r="G1" i="22"/>
  <c r="P1" i="22"/>
  <c r="F1" i="22"/>
  <c r="O1" i="22"/>
  <c r="E1" i="22"/>
  <c r="N1" i="22"/>
  <c r="D1" i="22"/>
  <c r="M1" i="22"/>
  <c r="C1" i="22"/>
  <c r="BR7" i="18"/>
  <c r="BR6" i="18"/>
  <c r="BR5" i="18"/>
  <c r="G59" i="21"/>
  <c r="F59" i="21"/>
  <c r="E59" i="21"/>
  <c r="D59" i="21"/>
  <c r="C59" i="21"/>
  <c r="G58" i="21"/>
  <c r="F58" i="21"/>
  <c r="E58" i="21"/>
  <c r="D58" i="21"/>
  <c r="C58" i="21"/>
  <c r="G57" i="21"/>
  <c r="F57" i="21"/>
  <c r="E57" i="21"/>
  <c r="D57" i="21"/>
  <c r="G56" i="21"/>
  <c r="F56" i="21"/>
  <c r="E56" i="21"/>
  <c r="D56" i="21"/>
  <c r="C6" i="34"/>
  <c r="C5" i="34"/>
  <c r="L5" i="34"/>
  <c r="C7" i="34"/>
  <c r="C8" i="34"/>
  <c r="C3" i="33" s="1"/>
  <c r="AE5" i="34"/>
  <c r="C9" i="34"/>
  <c r="D3" i="33" s="1"/>
  <c r="AN5" i="34"/>
  <c r="BQ5" i="34"/>
  <c r="BS5" i="34" s="1"/>
  <c r="C10" i="34"/>
  <c r="E3" i="33" s="1"/>
  <c r="BW5" i="34"/>
  <c r="CC5" i="34"/>
  <c r="CE5" i="34" s="1"/>
  <c r="CF5" i="34" s="1"/>
  <c r="C11" i="34"/>
  <c r="F3" i="33" s="1"/>
  <c r="C12" i="34"/>
  <c r="G3" i="33" s="1"/>
  <c r="C13" i="34"/>
  <c r="H3" i="33" s="1"/>
  <c r="F60" i="21"/>
  <c r="BR11" i="18"/>
  <c r="E61" i="21"/>
  <c r="G62" i="21"/>
  <c r="C60" i="21"/>
  <c r="BR8" i="18"/>
  <c r="G60" i="21"/>
  <c r="BR12" i="18"/>
  <c r="F61" i="21"/>
  <c r="D62" i="21"/>
  <c r="D60" i="21"/>
  <c r="BR9" i="18"/>
  <c r="C61" i="21"/>
  <c r="G61" i="21"/>
  <c r="E62" i="21"/>
  <c r="C62" i="21"/>
  <c r="E60" i="21"/>
  <c r="BR10" i="18"/>
  <c r="D61" i="21"/>
  <c r="F62" i="21"/>
  <c r="N1" i="13"/>
  <c r="L1" i="13"/>
  <c r="K1" i="13"/>
  <c r="I1" i="13"/>
  <c r="B62" i="21"/>
  <c r="B61" i="21"/>
  <c r="B60" i="21"/>
  <c r="B57" i="21"/>
  <c r="B56" i="21"/>
  <c r="B55" i="21"/>
  <c r="B54" i="21"/>
  <c r="B53" i="21"/>
  <c r="B48" i="21"/>
  <c r="B47" i="21"/>
  <c r="B42" i="21"/>
  <c r="B26" i="21"/>
  <c r="B25" i="21"/>
  <c r="B24" i="21"/>
  <c r="B22" i="21"/>
  <c r="B34" i="21"/>
  <c r="B45" i="21"/>
  <c r="B21" i="21"/>
  <c r="B33" i="21"/>
  <c r="B44" i="21"/>
  <c r="B20" i="21"/>
  <c r="B32" i="21"/>
  <c r="B43" i="21"/>
  <c r="B19" i="21"/>
  <c r="B18" i="21"/>
  <c r="B17" i="21"/>
  <c r="C55" i="21"/>
  <c r="C56" i="21"/>
  <c r="D55" i="21"/>
  <c r="C3" i="21"/>
  <c r="E55" i="21"/>
  <c r="C53" i="21"/>
  <c r="C57" i="21"/>
  <c r="D3" i="21"/>
  <c r="C4" i="21"/>
  <c r="AL14" i="17"/>
  <c r="AL15" i="17"/>
  <c r="C54" i="21"/>
  <c r="F55" i="21"/>
  <c r="J14" i="17"/>
  <c r="J15" i="17"/>
  <c r="Z14" i="17"/>
  <c r="Z15" i="17"/>
  <c r="D53" i="21"/>
  <c r="D4" i="21"/>
  <c r="E3" i="21"/>
  <c r="E53" i="21"/>
  <c r="AD14" i="17"/>
  <c r="AD15" i="17"/>
  <c r="G55" i="21"/>
  <c r="N14" i="17"/>
  <c r="N15" i="17"/>
  <c r="D54" i="21"/>
  <c r="H59" i="21"/>
  <c r="E4" i="21"/>
  <c r="F3" i="21"/>
  <c r="R14" i="17"/>
  <c r="R15" i="17"/>
  <c r="BS5" i="18"/>
  <c r="E54" i="21"/>
  <c r="B14" i="17"/>
  <c r="B15" i="17"/>
  <c r="F53" i="21"/>
  <c r="AH14" i="17"/>
  <c r="AH15" i="17"/>
  <c r="H3" i="21"/>
  <c r="H62" i="21"/>
  <c r="I59" i="33"/>
  <c r="H56" i="21"/>
  <c r="F4" i="21"/>
  <c r="G3" i="21"/>
  <c r="BS6" i="18"/>
  <c r="H55" i="21"/>
  <c r="G53" i="21"/>
  <c r="F14" i="17"/>
  <c r="F15" i="17"/>
  <c r="V14" i="17"/>
  <c r="V15" i="17"/>
  <c r="F54" i="21"/>
  <c r="H4" i="21"/>
  <c r="C9" i="21"/>
  <c r="I59" i="21"/>
  <c r="I62" i="21"/>
  <c r="BS7" i="18"/>
  <c r="G4" i="21"/>
  <c r="H57" i="21"/>
  <c r="BS9" i="18"/>
  <c r="G54" i="21"/>
  <c r="J59" i="21"/>
  <c r="J59" i="33"/>
  <c r="H5" i="21"/>
  <c r="C11" i="21"/>
  <c r="D9" i="21"/>
  <c r="H60" i="21"/>
  <c r="J62" i="21"/>
  <c r="H61" i="21"/>
  <c r="G6" i="21"/>
  <c r="H58" i="21"/>
  <c r="H53" i="21"/>
  <c r="I53" i="33"/>
  <c r="C10" i="21"/>
  <c r="BS8" i="18"/>
  <c r="BS10" i="18"/>
  <c r="I57" i="21"/>
  <c r="I57" i="33"/>
  <c r="K59" i="33"/>
  <c r="K59" i="21"/>
  <c r="BP16" i="18"/>
  <c r="BV16" i="18"/>
  <c r="CB16" i="18"/>
  <c r="I60" i="33"/>
  <c r="H6" i="21"/>
  <c r="D11" i="21"/>
  <c r="BP15" i="18"/>
  <c r="BV15" i="18"/>
  <c r="CB15" i="18"/>
  <c r="E9" i="21"/>
  <c r="I60" i="21"/>
  <c r="J61" i="21"/>
  <c r="I53" i="21"/>
  <c r="I61" i="21"/>
  <c r="G7" i="21"/>
  <c r="C12" i="21"/>
  <c r="BS11" i="18"/>
  <c r="D10" i="21"/>
  <c r="H54" i="21"/>
  <c r="I54" i="33"/>
  <c r="I58" i="21"/>
  <c r="I58" i="33"/>
  <c r="J53" i="21"/>
  <c r="J53" i="33"/>
  <c r="J57" i="21"/>
  <c r="J57" i="33"/>
  <c r="J60" i="33"/>
  <c r="H7" i="21"/>
  <c r="E11" i="21"/>
  <c r="F9" i="21"/>
  <c r="J60" i="21"/>
  <c r="I54" i="21"/>
  <c r="D12" i="21"/>
  <c r="E10" i="21"/>
  <c r="BS12" i="18"/>
  <c r="J58" i="21"/>
  <c r="J58" i="33"/>
  <c r="G10" i="21"/>
  <c r="K57" i="33"/>
  <c r="K57" i="21"/>
  <c r="K53" i="33"/>
  <c r="K53" i="21"/>
  <c r="K60" i="33"/>
  <c r="K60" i="21"/>
  <c r="J54" i="21"/>
  <c r="J54" i="33"/>
  <c r="F11" i="21"/>
  <c r="G9" i="21"/>
  <c r="E12" i="21"/>
  <c r="F10" i="21"/>
  <c r="K58" i="33"/>
  <c r="K58" i="21"/>
  <c r="K54" i="33"/>
  <c r="K54" i="21"/>
  <c r="H12" i="21"/>
  <c r="H11" i="21"/>
  <c r="H10" i="21"/>
  <c r="H9" i="21"/>
  <c r="G11" i="21"/>
  <c r="G12" i="21"/>
  <c r="BT12" i="18"/>
  <c r="F12" i="21"/>
  <c r="J11" i="21"/>
  <c r="K11" i="21"/>
  <c r="K12" i="21"/>
  <c r="J12" i="21"/>
  <c r="C7" i="21"/>
  <c r="E7" i="21"/>
  <c r="D7" i="21"/>
  <c r="F6" i="21"/>
  <c r="E6" i="21"/>
  <c r="F7" i="21"/>
  <c r="D6" i="21"/>
  <c r="C6" i="21"/>
  <c r="I1" i="15"/>
  <c r="Q1" i="15"/>
  <c r="P1" i="15"/>
  <c r="G1" i="15"/>
  <c r="O1" i="15"/>
  <c r="F1" i="15"/>
  <c r="N1" i="15"/>
  <c r="M1" i="15"/>
  <c r="D1" i="15"/>
  <c r="L1" i="15"/>
  <c r="I1" i="14"/>
  <c r="Q1" i="14"/>
  <c r="P1" i="14"/>
  <c r="O1" i="14"/>
  <c r="D1" i="14"/>
  <c r="L1" i="14"/>
  <c r="E1" i="14"/>
  <c r="M1" i="14"/>
  <c r="AA1" i="13"/>
  <c r="Z1" i="13"/>
  <c r="O1" i="13"/>
  <c r="AB1" i="13"/>
  <c r="Y1" i="13"/>
  <c r="T1" i="13"/>
  <c r="X1" i="13"/>
  <c r="V1" i="13"/>
  <c r="H1" i="13"/>
  <c r="U1" i="13"/>
  <c r="F1" i="13"/>
  <c r="S1" i="13"/>
  <c r="E1" i="13"/>
  <c r="R1" i="13"/>
  <c r="L1" i="12"/>
  <c r="V1" i="12"/>
  <c r="K1" i="12"/>
  <c r="U1" i="12"/>
  <c r="I1" i="12"/>
  <c r="S1" i="12"/>
  <c r="H1" i="12"/>
  <c r="R1" i="12"/>
  <c r="Q1" i="12"/>
  <c r="J1" i="12"/>
  <c r="T1" i="12" s="1"/>
  <c r="F1" i="12"/>
  <c r="P1" i="12" s="1"/>
  <c r="E1" i="12"/>
  <c r="O1" i="12" s="1"/>
  <c r="K1" i="11"/>
  <c r="T1" i="11"/>
  <c r="J1" i="11"/>
  <c r="S1" i="11"/>
  <c r="I1" i="11"/>
  <c r="R1" i="11"/>
  <c r="H1" i="11"/>
  <c r="Q1" i="11"/>
  <c r="G1" i="11"/>
  <c r="P1" i="11"/>
  <c r="F1" i="11"/>
  <c r="O1" i="11"/>
  <c r="E1" i="11"/>
  <c r="N1" i="11"/>
  <c r="B2" i="11"/>
  <c r="B5" i="11"/>
  <c r="B9" i="11"/>
  <c r="B13" i="11"/>
  <c r="B17" i="11"/>
  <c r="B21" i="11"/>
  <c r="B25" i="11"/>
  <c r="B29" i="11"/>
  <c r="B33" i="11"/>
  <c r="B37" i="11"/>
  <c r="B41" i="11"/>
  <c r="B45" i="11"/>
  <c r="B49" i="11"/>
  <c r="B53" i="11"/>
  <c r="B57" i="11"/>
  <c r="B61" i="11"/>
  <c r="B65" i="11"/>
  <c r="B69" i="11"/>
  <c r="B73" i="11"/>
  <c r="B77" i="11"/>
  <c r="B81" i="11"/>
  <c r="B85" i="11"/>
  <c r="B89" i="11"/>
  <c r="B93" i="11"/>
  <c r="B97" i="11"/>
  <c r="B3" i="11"/>
  <c r="B6" i="11"/>
  <c r="B10" i="11"/>
  <c r="B14" i="11"/>
  <c r="B18" i="11"/>
  <c r="B22" i="11"/>
  <c r="B26" i="11"/>
  <c r="B30" i="11"/>
  <c r="B34" i="11"/>
  <c r="B38" i="11"/>
  <c r="B42" i="11"/>
  <c r="B46" i="11"/>
  <c r="B50" i="11"/>
  <c r="B54" i="11"/>
  <c r="B58" i="11"/>
  <c r="B62" i="11"/>
  <c r="B66" i="11"/>
  <c r="B70" i="11"/>
  <c r="B74" i="11"/>
  <c r="B78" i="11"/>
  <c r="B82" i="11"/>
  <c r="B86" i="11"/>
  <c r="B90" i="11"/>
  <c r="B94" i="11"/>
  <c r="B7" i="11"/>
  <c r="B11" i="11"/>
  <c r="B15" i="11"/>
  <c r="B19" i="11"/>
  <c r="B23" i="11"/>
  <c r="B27" i="11"/>
  <c r="B31" i="11"/>
  <c r="B35" i="11"/>
  <c r="B39" i="11"/>
  <c r="B43" i="11"/>
  <c r="B47" i="11"/>
  <c r="B51" i="11"/>
  <c r="B55" i="11"/>
  <c r="B59" i="11"/>
  <c r="B63" i="11"/>
  <c r="B67" i="11"/>
  <c r="B71" i="11"/>
  <c r="B75" i="11"/>
  <c r="B79" i="11"/>
  <c r="B83" i="11"/>
  <c r="B87" i="11"/>
  <c r="B91" i="11"/>
  <c r="B95" i="11"/>
  <c r="B4" i="11"/>
  <c r="B8" i="11"/>
  <c r="B12" i="11"/>
  <c r="B16" i="11"/>
  <c r="B20" i="11"/>
  <c r="B24" i="11"/>
  <c r="B28" i="11"/>
  <c r="B32" i="11"/>
  <c r="B36" i="11"/>
  <c r="B40" i="11"/>
  <c r="B44" i="11"/>
  <c r="B48" i="11"/>
  <c r="B52" i="11"/>
  <c r="B56" i="11"/>
  <c r="B60" i="11"/>
  <c r="B64" i="11"/>
  <c r="B68" i="11"/>
  <c r="B72" i="11"/>
  <c r="B76" i="11"/>
  <c r="B80" i="11"/>
  <c r="B84" i="11"/>
  <c r="B88" i="11"/>
  <c r="B92" i="11"/>
  <c r="B96" i="1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P97" i="1"/>
  <c r="P96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2" i="1"/>
  <c r="P33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AK4" i="1"/>
  <c r="AK3" i="1"/>
  <c r="AK2" i="1"/>
  <c r="Q36" i="4"/>
  <c r="P36" i="4"/>
  <c r="O36" i="4"/>
  <c r="N36" i="4"/>
  <c r="M36" i="4"/>
  <c r="L36" i="4"/>
  <c r="K36" i="4"/>
  <c r="J36" i="4"/>
  <c r="I36" i="4"/>
  <c r="H36" i="4"/>
  <c r="G36" i="4"/>
  <c r="F36" i="4"/>
  <c r="Q35" i="4"/>
  <c r="P35" i="4"/>
  <c r="O35" i="4"/>
  <c r="N35" i="4"/>
  <c r="M35" i="4"/>
  <c r="L35" i="4"/>
  <c r="K35" i="4"/>
  <c r="J35" i="4"/>
  <c r="I35" i="4"/>
  <c r="H35" i="4"/>
  <c r="G35" i="4"/>
  <c r="F35" i="4"/>
  <c r="Q34" i="4"/>
  <c r="P34" i="4"/>
  <c r="O34" i="4"/>
  <c r="N34" i="4"/>
  <c r="M34" i="4"/>
  <c r="L34" i="4"/>
  <c r="K34" i="4"/>
  <c r="J34" i="4"/>
  <c r="I34" i="4"/>
  <c r="H34" i="4"/>
  <c r="G34" i="4"/>
  <c r="F34" i="4"/>
  <c r="Q4" i="4"/>
  <c r="P4" i="4"/>
  <c r="O4" i="4"/>
  <c r="N4" i="4"/>
  <c r="M4" i="4"/>
  <c r="L4" i="4"/>
  <c r="K4" i="4"/>
  <c r="J4" i="4"/>
  <c r="I4" i="4"/>
  <c r="H4" i="4"/>
  <c r="G4" i="4"/>
  <c r="F4" i="4"/>
  <c r="Q3" i="4"/>
  <c r="P3" i="4"/>
  <c r="O3" i="4"/>
  <c r="N3" i="4"/>
  <c r="M3" i="4"/>
  <c r="L3" i="4"/>
  <c r="K3" i="4"/>
  <c r="J3" i="4"/>
  <c r="I3" i="4"/>
  <c r="H3" i="4"/>
  <c r="G3" i="4"/>
  <c r="F3" i="4"/>
  <c r="E3" i="4"/>
  <c r="E4" i="4"/>
  <c r="Q2" i="4"/>
  <c r="P2" i="4"/>
  <c r="O2" i="4"/>
  <c r="N2" i="4"/>
  <c r="M2" i="4"/>
  <c r="L2" i="4"/>
  <c r="K2" i="4"/>
  <c r="J2" i="4"/>
  <c r="I2" i="4"/>
  <c r="H2" i="4"/>
  <c r="G2" i="4"/>
  <c r="F2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D5" i="21"/>
  <c r="C5" i="21"/>
  <c r="G5" i="21"/>
  <c r="E5" i="21"/>
  <c r="F5" i="21"/>
  <c r="J10" i="21"/>
  <c r="I56" i="33"/>
  <c r="I56" i="21"/>
  <c r="J56" i="21"/>
  <c r="J56" i="33"/>
  <c r="K56" i="33"/>
  <c r="K56" i="21"/>
  <c r="J6" i="21"/>
  <c r="K6" i="21"/>
  <c r="J55" i="21"/>
  <c r="I55" i="33"/>
  <c r="I55" i="21"/>
  <c r="J55" i="33"/>
  <c r="K55" i="33"/>
  <c r="K55" i="21"/>
  <c r="AI5" i="34"/>
  <c r="T10" i="34" l="1"/>
  <c r="L10" i="34"/>
  <c r="E4" i="33" s="1"/>
  <c r="T6" i="34"/>
  <c r="L6" i="34"/>
  <c r="L13" i="34"/>
  <c r="H4" i="33" s="1"/>
  <c r="T13" i="34"/>
  <c r="T9" i="34"/>
  <c r="L9" i="34"/>
  <c r="D4" i="33" s="1"/>
  <c r="L12" i="34"/>
  <c r="G4" i="33" s="1"/>
  <c r="T12" i="34"/>
  <c r="T8" i="34"/>
  <c r="L8" i="34"/>
  <c r="C4" i="33" s="1"/>
  <c r="AM15" i="34"/>
  <c r="AI15" i="34"/>
  <c r="U14" i="34"/>
  <c r="AD14" i="34"/>
  <c r="L11" i="34"/>
  <c r="F4" i="33" s="1"/>
  <c r="T11" i="34"/>
  <c r="L7" i="34"/>
  <c r="T7" i="34"/>
  <c r="B16" i="34"/>
  <c r="K16" i="34" s="1"/>
  <c r="T16" i="34" s="1"/>
  <c r="AD16" i="34" s="1"/>
  <c r="C110" i="31"/>
  <c r="C2" i="31"/>
  <c r="C77" i="29"/>
  <c r="D16" i="13"/>
  <c r="AD16" i="13" s="1"/>
  <c r="C101" i="29"/>
  <c r="BY5" i="34"/>
  <c r="BZ5" i="34" s="1"/>
  <c r="J13" i="20"/>
  <c r="D27" i="20" s="1"/>
  <c r="I15" i="20"/>
  <c r="D29" i="20"/>
  <c r="J14" i="20"/>
  <c r="D28" i="20" s="1"/>
  <c r="J11" i="20"/>
  <c r="D25" i="20" s="1"/>
  <c r="E25" i="20" s="1"/>
  <c r="AM6" i="39"/>
  <c r="AN6" i="39"/>
  <c r="AM5" i="39"/>
  <c r="AO5" i="39" s="1"/>
  <c r="AF7" i="39"/>
  <c r="AI6" i="39"/>
  <c r="AJ6" i="19"/>
  <c r="BS16" i="18"/>
  <c r="BT16" i="18" s="1"/>
  <c r="BT15" i="18"/>
  <c r="BS13" i="18"/>
  <c r="BT13" i="18" s="1"/>
  <c r="BF13" i="40" s="1"/>
  <c r="AJ7" i="19"/>
  <c r="AJ5" i="19"/>
  <c r="AK7" i="19" s="1"/>
  <c r="BE14" i="40"/>
  <c r="BE13" i="40"/>
  <c r="BE11" i="40"/>
  <c r="BE9" i="40"/>
  <c r="C6" i="40"/>
  <c r="C14" i="40"/>
  <c r="D22" i="33"/>
  <c r="D22" i="21"/>
  <c r="D21" i="21"/>
  <c r="D21" i="33"/>
  <c r="D19" i="33"/>
  <c r="D19" i="21"/>
  <c r="J15" i="20"/>
  <c r="D17" i="21"/>
  <c r="D17" i="33"/>
  <c r="D23" i="33"/>
  <c r="D23" i="21"/>
  <c r="D20" i="21"/>
  <c r="D20" i="33"/>
  <c r="AD16" i="40"/>
  <c r="D18" i="33"/>
  <c r="D18" i="21"/>
  <c r="F15" i="20"/>
  <c r="E15" i="20"/>
  <c r="K14" i="20"/>
  <c r="K15" i="20" s="1"/>
  <c r="AY14" i="40"/>
  <c r="N37" i="40" s="1"/>
  <c r="L66" i="40" s="1"/>
  <c r="BO7" i="40"/>
  <c r="L45" i="40" s="1"/>
  <c r="L74" i="40" s="1"/>
  <c r="AG9" i="19"/>
  <c r="AM8" i="19"/>
  <c r="AI8" i="19"/>
  <c r="AP6" i="19"/>
  <c r="BN6" i="40"/>
  <c r="I5" i="19"/>
  <c r="O5" i="19" s="1"/>
  <c r="U5" i="19" s="1"/>
  <c r="AA5" i="19" s="1"/>
  <c r="BA13" i="40"/>
  <c r="J48" i="40"/>
  <c r="J77" i="40" s="1"/>
  <c r="AT9" i="40"/>
  <c r="AT8" i="40"/>
  <c r="J45" i="40"/>
  <c r="J74" i="40" s="1"/>
  <c r="AT6" i="40"/>
  <c r="AP7" i="19"/>
  <c r="I6" i="19"/>
  <c r="O6" i="19" s="1"/>
  <c r="U6" i="19" s="1"/>
  <c r="AA6" i="19" s="1"/>
  <c r="D6" i="19"/>
  <c r="AT14" i="40"/>
  <c r="I52" i="40" s="1"/>
  <c r="I81" i="40" s="1"/>
  <c r="I14" i="19"/>
  <c r="O14" i="19" s="1"/>
  <c r="U14" i="19" s="1"/>
  <c r="AA14" i="19" s="1"/>
  <c r="D14" i="19"/>
  <c r="I10" i="19"/>
  <c r="O10" i="19" s="1"/>
  <c r="U10" i="19" s="1"/>
  <c r="AA10" i="19" s="1"/>
  <c r="D10" i="19"/>
  <c r="I51" i="40"/>
  <c r="I80" i="40" s="1"/>
  <c r="I50" i="40"/>
  <c r="I79" i="40" s="1"/>
  <c r="J49" i="40"/>
  <c r="J78" i="40" s="1"/>
  <c r="I48" i="40"/>
  <c r="I77" i="40" s="1"/>
  <c r="BN5" i="40"/>
  <c r="I13" i="19"/>
  <c r="O13" i="19" s="1"/>
  <c r="U13" i="19" s="1"/>
  <c r="AA13" i="19" s="1"/>
  <c r="D13" i="19"/>
  <c r="I9" i="19"/>
  <c r="D9" i="19"/>
  <c r="BG5" i="40"/>
  <c r="BH5" i="40" s="1"/>
  <c r="D12" i="19"/>
  <c r="I12" i="19"/>
  <c r="O12" i="19" s="1"/>
  <c r="U12" i="19" s="1"/>
  <c r="AA12" i="19" s="1"/>
  <c r="I8" i="19"/>
  <c r="O8" i="19" s="1"/>
  <c r="U8" i="19" s="1"/>
  <c r="AA8" i="19" s="1"/>
  <c r="D8" i="19"/>
  <c r="J47" i="40"/>
  <c r="J76" i="40" s="1"/>
  <c r="K45" i="40"/>
  <c r="K74" i="40" s="1"/>
  <c r="K44" i="40"/>
  <c r="K73" i="40" s="1"/>
  <c r="I11" i="19"/>
  <c r="O11" i="19" s="1"/>
  <c r="U11" i="19" s="1"/>
  <c r="AA11" i="19" s="1"/>
  <c r="D11" i="19"/>
  <c r="I7" i="19"/>
  <c r="D7" i="19"/>
  <c r="J43" i="40"/>
  <c r="J72" i="40" s="1"/>
  <c r="C20" i="21"/>
  <c r="E20" i="21" s="1"/>
  <c r="AI115" i="1"/>
  <c r="AJ115" i="1" s="1"/>
  <c r="AY11" i="40"/>
  <c r="AD10" i="40"/>
  <c r="BA12" i="40"/>
  <c r="AT11" i="40"/>
  <c r="BA8" i="40"/>
  <c r="AT7" i="40"/>
  <c r="BO5" i="40"/>
  <c r="L43" i="40" s="1"/>
  <c r="L72" i="40" s="1"/>
  <c r="C16" i="40"/>
  <c r="C15" i="40"/>
  <c r="C10" i="40"/>
  <c r="C8" i="40"/>
  <c r="BF12" i="40"/>
  <c r="AY12" i="40"/>
  <c r="BF8" i="40"/>
  <c r="AY8" i="40"/>
  <c r="C12" i="40"/>
  <c r="C13" i="40"/>
  <c r="C5" i="40"/>
  <c r="F42" i="40"/>
  <c r="H27" i="40"/>
  <c r="Q36" i="40"/>
  <c r="O65" i="40" s="1"/>
  <c r="P36" i="40"/>
  <c r="N65" i="40" s="1"/>
  <c r="O36" i="40"/>
  <c r="M65" i="40" s="1"/>
  <c r="N36" i="40"/>
  <c r="L65" i="40" s="1"/>
  <c r="I36" i="40"/>
  <c r="I65" i="40" s="1"/>
  <c r="Q35" i="40"/>
  <c r="O64" i="40" s="1"/>
  <c r="P35" i="40"/>
  <c r="N64" i="40" s="1"/>
  <c r="O35" i="40"/>
  <c r="M64" i="40" s="1"/>
  <c r="N35" i="40"/>
  <c r="L64" i="40" s="1"/>
  <c r="Q34" i="40"/>
  <c r="O63" i="40" s="1"/>
  <c r="P34" i="40"/>
  <c r="N63" i="40" s="1"/>
  <c r="N34" i="40"/>
  <c r="L63" i="40" s="1"/>
  <c r="Q33" i="40"/>
  <c r="O62" i="40" s="1"/>
  <c r="P33" i="40"/>
  <c r="N62" i="40" s="1"/>
  <c r="I33" i="40"/>
  <c r="I62" i="40" s="1"/>
  <c r="Q32" i="40"/>
  <c r="O61" i="40" s="1"/>
  <c r="P32" i="40"/>
  <c r="N61" i="40" s="1"/>
  <c r="N32" i="40"/>
  <c r="L61" i="40" s="1"/>
  <c r="I32" i="40"/>
  <c r="I61" i="40" s="1"/>
  <c r="Q31" i="40"/>
  <c r="O60" i="40" s="1"/>
  <c r="P31" i="40"/>
  <c r="N60" i="40" s="1"/>
  <c r="O31" i="40"/>
  <c r="M60" i="40" s="1"/>
  <c r="Q30" i="40"/>
  <c r="O59" i="40" s="1"/>
  <c r="P30" i="40"/>
  <c r="N59" i="40" s="1"/>
  <c r="N30" i="40"/>
  <c r="L59" i="40" s="1"/>
  <c r="Q29" i="40"/>
  <c r="O58" i="40" s="1"/>
  <c r="P29" i="40"/>
  <c r="N58" i="40" s="1"/>
  <c r="I29" i="40"/>
  <c r="I58" i="40" s="1"/>
  <c r="Q28" i="40"/>
  <c r="O57" i="40" s="1"/>
  <c r="P28" i="40"/>
  <c r="N57" i="40" s="1"/>
  <c r="N28" i="40"/>
  <c r="L57" i="40" s="1"/>
  <c r="I28" i="40"/>
  <c r="I57" i="40" s="1"/>
  <c r="Q37" i="40"/>
  <c r="O66" i="40" s="1"/>
  <c r="P37" i="40"/>
  <c r="N66" i="40" s="1"/>
  <c r="C11" i="40"/>
  <c r="C9" i="40"/>
  <c r="C7" i="40"/>
  <c r="AD12" i="40"/>
  <c r="BF10" i="40"/>
  <c r="AY10" i="40"/>
  <c r="AD8" i="40"/>
  <c r="BF6" i="40"/>
  <c r="AY6" i="40"/>
  <c r="BA6" i="40"/>
  <c r="AD11" i="40"/>
  <c r="BF9" i="40"/>
  <c r="AD7" i="40"/>
  <c r="BF5" i="40"/>
  <c r="BA14" i="40"/>
  <c r="J52" i="40" s="1"/>
  <c r="J81" i="40" s="1"/>
  <c r="G52" i="40"/>
  <c r="G81" i="40" s="1"/>
  <c r="BF14" i="40"/>
  <c r="BF11" i="40"/>
  <c r="BF7" i="40"/>
  <c r="AC118" i="13"/>
  <c r="AC114" i="13"/>
  <c r="AC110" i="13"/>
  <c r="AC106" i="13"/>
  <c r="AC102" i="13"/>
  <c r="AC98" i="13"/>
  <c r="AC94" i="13"/>
  <c r="AC90" i="13"/>
  <c r="AC86" i="13"/>
  <c r="AC82" i="13"/>
  <c r="AC121" i="13"/>
  <c r="AC117" i="13"/>
  <c r="AC113" i="13"/>
  <c r="AC109" i="13"/>
  <c r="AC105" i="13"/>
  <c r="AC101" i="13"/>
  <c r="AC97" i="13"/>
  <c r="AC93" i="13"/>
  <c r="AC89" i="13"/>
  <c r="AC85" i="13"/>
  <c r="AC81" i="13"/>
  <c r="AC73" i="13"/>
  <c r="AC120" i="13"/>
  <c r="AC116" i="13"/>
  <c r="AC112" i="13"/>
  <c r="AC108" i="13"/>
  <c r="AC104" i="13"/>
  <c r="AC100" i="13"/>
  <c r="AC96" i="13"/>
  <c r="AC92" i="13"/>
  <c r="AC88" i="13"/>
  <c r="AC84" i="13"/>
  <c r="AC79" i="13"/>
  <c r="AC75" i="13"/>
  <c r="B120" i="13"/>
  <c r="C120" i="13"/>
  <c r="B116" i="13"/>
  <c r="C116" i="13"/>
  <c r="B112" i="13"/>
  <c r="C112" i="13"/>
  <c r="B108" i="13"/>
  <c r="C108" i="13"/>
  <c r="B104" i="13"/>
  <c r="C104" i="13"/>
  <c r="B100" i="13"/>
  <c r="C100" i="13"/>
  <c r="B96" i="13"/>
  <c r="C96" i="13"/>
  <c r="B92" i="13"/>
  <c r="C92" i="13"/>
  <c r="B88" i="13"/>
  <c r="C88" i="13"/>
  <c r="B84" i="13"/>
  <c r="C84" i="13"/>
  <c r="B80" i="13"/>
  <c r="C80" i="13"/>
  <c r="B76" i="13"/>
  <c r="C76" i="13"/>
  <c r="B72" i="13"/>
  <c r="C72" i="13"/>
  <c r="B68" i="13"/>
  <c r="C68" i="13"/>
  <c r="B64" i="13"/>
  <c r="C64" i="13"/>
  <c r="B119" i="13"/>
  <c r="C119" i="13"/>
  <c r="B115" i="13"/>
  <c r="C115" i="13"/>
  <c r="B111" i="13"/>
  <c r="C111" i="13"/>
  <c r="B107" i="13"/>
  <c r="C107" i="13"/>
  <c r="B103" i="13"/>
  <c r="C103" i="13"/>
  <c r="B99" i="13"/>
  <c r="C99" i="13"/>
  <c r="B95" i="13"/>
  <c r="C95" i="13"/>
  <c r="B91" i="13"/>
  <c r="C91" i="13"/>
  <c r="B87" i="13"/>
  <c r="C87" i="13"/>
  <c r="B83" i="13"/>
  <c r="C83" i="13"/>
  <c r="B79" i="13"/>
  <c r="C79" i="13"/>
  <c r="B75" i="13"/>
  <c r="C75" i="13"/>
  <c r="B118" i="13"/>
  <c r="C118" i="13"/>
  <c r="B114" i="13"/>
  <c r="C114" i="13"/>
  <c r="B110" i="13"/>
  <c r="C110" i="13"/>
  <c r="B106" i="13"/>
  <c r="C106" i="13"/>
  <c r="B102" i="13"/>
  <c r="C102" i="13"/>
  <c r="B98" i="13"/>
  <c r="C98" i="13"/>
  <c r="B94" i="13"/>
  <c r="C94" i="13"/>
  <c r="B90" i="13"/>
  <c r="C90" i="13"/>
  <c r="B86" i="13"/>
  <c r="C86" i="13"/>
  <c r="B82" i="13"/>
  <c r="C82" i="13"/>
  <c r="B78" i="13"/>
  <c r="C78" i="13"/>
  <c r="B74" i="13"/>
  <c r="C74" i="13"/>
  <c r="B70" i="13"/>
  <c r="C70" i="13"/>
  <c r="B66" i="13"/>
  <c r="C66" i="13"/>
  <c r="B62" i="13"/>
  <c r="C62" i="13"/>
  <c r="B121" i="13"/>
  <c r="C121" i="13"/>
  <c r="B117" i="13"/>
  <c r="C117" i="13"/>
  <c r="B113" i="13"/>
  <c r="C113" i="13"/>
  <c r="B109" i="13"/>
  <c r="C109" i="13"/>
  <c r="B105" i="13"/>
  <c r="C105" i="13"/>
  <c r="B101" i="13"/>
  <c r="C101" i="13"/>
  <c r="B97" i="13"/>
  <c r="C97" i="13"/>
  <c r="B93" i="13"/>
  <c r="C93" i="13"/>
  <c r="B89" i="13"/>
  <c r="C89" i="13"/>
  <c r="B85" i="13"/>
  <c r="C85" i="13"/>
  <c r="B81" i="13"/>
  <c r="C81" i="13"/>
  <c r="B77" i="13"/>
  <c r="C77" i="13"/>
  <c r="B73" i="13"/>
  <c r="C73" i="13"/>
  <c r="C60" i="13"/>
  <c r="C58" i="13"/>
  <c r="C56" i="13"/>
  <c r="C54" i="13"/>
  <c r="C52" i="13"/>
  <c r="C50" i="13"/>
  <c r="C48" i="13"/>
  <c r="C46" i="13"/>
  <c r="C44" i="13"/>
  <c r="C42" i="13"/>
  <c r="C40" i="13"/>
  <c r="C38" i="13"/>
  <c r="C36" i="13"/>
  <c r="C34" i="13"/>
  <c r="C32" i="13"/>
  <c r="C30" i="13"/>
  <c r="C28" i="13"/>
  <c r="C26" i="13"/>
  <c r="C24" i="13"/>
  <c r="C22" i="13"/>
  <c r="C20" i="13"/>
  <c r="C18" i="13"/>
  <c r="C16" i="13"/>
  <c r="C14" i="13"/>
  <c r="C12" i="13"/>
  <c r="C10" i="13"/>
  <c r="C8" i="13"/>
  <c r="C6" i="13"/>
  <c r="C4" i="13"/>
  <c r="C2" i="13"/>
  <c r="C71" i="13"/>
  <c r="C69" i="13"/>
  <c r="C67" i="13"/>
  <c r="C65" i="13"/>
  <c r="C63" i="13"/>
  <c r="C61" i="13"/>
  <c r="C59" i="13"/>
  <c r="C57" i="13"/>
  <c r="C55" i="13"/>
  <c r="C53" i="13"/>
  <c r="C51" i="13"/>
  <c r="C49" i="13"/>
  <c r="C47" i="13"/>
  <c r="C45" i="13"/>
  <c r="C43" i="13"/>
  <c r="C41" i="13"/>
  <c r="C39" i="13"/>
  <c r="C37" i="13"/>
  <c r="C35" i="13"/>
  <c r="C33" i="13"/>
  <c r="C31" i="13"/>
  <c r="C29" i="13"/>
  <c r="C27" i="13"/>
  <c r="C25" i="13"/>
  <c r="C23" i="13"/>
  <c r="C21" i="13"/>
  <c r="C19" i="13"/>
  <c r="C17" i="13"/>
  <c r="C15" i="13"/>
  <c r="C13" i="13"/>
  <c r="C11" i="13"/>
  <c r="C9" i="13"/>
  <c r="C7" i="13"/>
  <c r="C5" i="13"/>
  <c r="C3" i="13"/>
  <c r="I13" i="16"/>
  <c r="X69" i="12"/>
  <c r="AD6" i="19"/>
  <c r="AI119" i="1"/>
  <c r="AJ119" i="1" s="1"/>
  <c r="AI111" i="1"/>
  <c r="AJ111" i="1" s="1"/>
  <c r="AI114" i="1"/>
  <c r="AJ114" i="1" s="1"/>
  <c r="AI25" i="1"/>
  <c r="AJ25" i="1" s="1"/>
  <c r="C16" i="29"/>
  <c r="T16" i="1"/>
  <c r="AC14" i="39"/>
  <c r="C103" i="14"/>
  <c r="S103" i="14" s="1"/>
  <c r="N25" i="1"/>
  <c r="O25" i="1" s="1"/>
  <c r="AI120" i="1"/>
  <c r="AJ120" i="1" s="1"/>
  <c r="AI24" i="1"/>
  <c r="AJ24" i="1" s="1"/>
  <c r="AI73" i="1"/>
  <c r="AJ73" i="1" s="1"/>
  <c r="AI62" i="1"/>
  <c r="AJ62" i="1" s="1"/>
  <c r="AI12" i="1"/>
  <c r="AJ12" i="1" s="1"/>
  <c r="AI21" i="1"/>
  <c r="AJ21" i="1" s="1"/>
  <c r="Y21" i="1"/>
  <c r="Z21" i="1" s="1"/>
  <c r="C21" i="14" s="1"/>
  <c r="S21" i="14" s="1"/>
  <c r="AI20" i="1"/>
  <c r="AJ20" i="1" s="1"/>
  <c r="AI11" i="1"/>
  <c r="AJ11" i="1" s="1"/>
  <c r="AI18" i="1"/>
  <c r="AJ18" i="1" s="1"/>
  <c r="AI10" i="1"/>
  <c r="AJ10" i="1" s="1"/>
  <c r="AI9" i="1"/>
  <c r="AJ9" i="1" s="1"/>
  <c r="AI22" i="1"/>
  <c r="AJ22" i="1" s="1"/>
  <c r="AI15" i="1"/>
  <c r="AJ15" i="1" s="1"/>
  <c r="AI110" i="1"/>
  <c r="AJ110" i="1" s="1"/>
  <c r="O29" i="4"/>
  <c r="R14" i="19"/>
  <c r="D16" i="12"/>
  <c r="X16" i="12" s="1"/>
  <c r="C16" i="28"/>
  <c r="C16" i="23"/>
  <c r="C16" i="24"/>
  <c r="I23" i="1"/>
  <c r="J23" i="1" s="1"/>
  <c r="D23" i="12" s="1"/>
  <c r="X23" i="12" s="1"/>
  <c r="I9" i="1"/>
  <c r="J9" i="1" s="1"/>
  <c r="D9" i="12" s="1"/>
  <c r="N21" i="1"/>
  <c r="O21" i="1" s="1"/>
  <c r="N3" i="1"/>
  <c r="O3" i="1" s="1"/>
  <c r="I85" i="1"/>
  <c r="J85" i="1" s="1"/>
  <c r="I22" i="1"/>
  <c r="J22" i="1" s="1"/>
  <c r="D22" i="12" s="1"/>
  <c r="X22" i="12" s="1"/>
  <c r="N19" i="1"/>
  <c r="O19" i="1" s="1"/>
  <c r="AI71" i="1"/>
  <c r="AJ71" i="1" s="1"/>
  <c r="BA111" i="1"/>
  <c r="BB111" i="1" s="1"/>
  <c r="I78" i="1"/>
  <c r="J78" i="1" s="1"/>
  <c r="C78" i="28" s="1"/>
  <c r="I18" i="1"/>
  <c r="J18" i="1" s="1"/>
  <c r="C18" i="23" s="1"/>
  <c r="N14" i="1"/>
  <c r="O14" i="1" s="1"/>
  <c r="AI66" i="1"/>
  <c r="AJ66" i="1" s="1"/>
  <c r="AI23" i="1"/>
  <c r="AJ23" i="1" s="1"/>
  <c r="AI19" i="1"/>
  <c r="AJ19" i="1" s="1"/>
  <c r="N26" i="4"/>
  <c r="BA119" i="1"/>
  <c r="BB119" i="1" s="1"/>
  <c r="N23" i="1"/>
  <c r="O23" i="1" s="1"/>
  <c r="N18" i="1"/>
  <c r="O18" i="1" s="1"/>
  <c r="N13" i="1"/>
  <c r="O13" i="1" s="1"/>
  <c r="AI67" i="1"/>
  <c r="AJ67" i="1" s="1"/>
  <c r="N34" i="1"/>
  <c r="O34" i="1" s="1"/>
  <c r="N22" i="1"/>
  <c r="O22" i="1" s="1"/>
  <c r="N17" i="1"/>
  <c r="O17" i="1" s="1"/>
  <c r="N12" i="1"/>
  <c r="O12" i="1" s="1"/>
  <c r="D33" i="11"/>
  <c r="V33" i="11" s="1"/>
  <c r="C33" i="22"/>
  <c r="AD9" i="19"/>
  <c r="Y20" i="1"/>
  <c r="Z20" i="1" s="1"/>
  <c r="C20" i="25" s="1"/>
  <c r="BA24" i="1"/>
  <c r="BB24" i="1" s="1"/>
  <c r="Y25" i="1"/>
  <c r="Z25" i="1" s="1"/>
  <c r="Y17" i="1"/>
  <c r="Z17" i="1" s="1"/>
  <c r="E85" i="1"/>
  <c r="F85" i="1" s="1"/>
  <c r="C85" i="27" s="1"/>
  <c r="I83" i="1"/>
  <c r="J83" i="1" s="1"/>
  <c r="D83" i="12" s="1"/>
  <c r="X83" i="12" s="1"/>
  <c r="I17" i="1"/>
  <c r="J17" i="1" s="1"/>
  <c r="C17" i="23" s="1"/>
  <c r="N108" i="1"/>
  <c r="O108" i="1" s="1"/>
  <c r="N9" i="1"/>
  <c r="O9" i="1" s="1"/>
  <c r="AI70" i="1"/>
  <c r="AJ70" i="1" s="1"/>
  <c r="AI65" i="1"/>
  <c r="AJ65" i="1" s="1"/>
  <c r="C74" i="30"/>
  <c r="Y85" i="1"/>
  <c r="Z85" i="1" s="1"/>
  <c r="C85" i="30" s="1"/>
  <c r="Y24" i="1"/>
  <c r="Z24" i="1" s="1"/>
  <c r="C24" i="25" s="1"/>
  <c r="Y16" i="1"/>
  <c r="Z16" i="1" s="1"/>
  <c r="C16" i="25" s="1"/>
  <c r="E81" i="1"/>
  <c r="F81" i="1" s="1"/>
  <c r="D81" i="11" s="1"/>
  <c r="V81" i="11" s="1"/>
  <c r="I79" i="1"/>
  <c r="J79" i="1" s="1"/>
  <c r="N7" i="1"/>
  <c r="O7" i="1" s="1"/>
  <c r="AI69" i="1"/>
  <c r="AJ69" i="1" s="1"/>
  <c r="Z14" i="1"/>
  <c r="L6" i="19"/>
  <c r="Y84" i="1"/>
  <c r="Z84" i="1" s="1"/>
  <c r="Y23" i="1"/>
  <c r="Z23" i="1" s="1"/>
  <c r="C23" i="14" s="1"/>
  <c r="S23" i="14" s="1"/>
  <c r="Y19" i="1"/>
  <c r="Z19" i="1" s="1"/>
  <c r="C19" i="14" s="1"/>
  <c r="S19" i="14" s="1"/>
  <c r="Y15" i="1"/>
  <c r="Z15" i="1" s="1"/>
  <c r="C15" i="14" s="1"/>
  <c r="S15" i="14" s="1"/>
  <c r="I82" i="1"/>
  <c r="J82" i="1" s="1"/>
  <c r="I77" i="1"/>
  <c r="J77" i="1" s="1"/>
  <c r="D77" i="12" s="1"/>
  <c r="X77" i="12" s="1"/>
  <c r="I21" i="1"/>
  <c r="J21" i="1" s="1"/>
  <c r="I15" i="1"/>
  <c r="J15" i="1" s="1"/>
  <c r="C15" i="23" s="1"/>
  <c r="N103" i="1"/>
  <c r="O103" i="1" s="1"/>
  <c r="BA75" i="1"/>
  <c r="BB75" i="1" s="1"/>
  <c r="AD7" i="19"/>
  <c r="Y80" i="1"/>
  <c r="Z80" i="1" s="1"/>
  <c r="C80" i="14" s="1"/>
  <c r="S80" i="14" s="1"/>
  <c r="Y65" i="1"/>
  <c r="Z65" i="1" s="1"/>
  <c r="Y22" i="1"/>
  <c r="Z22" i="1" s="1"/>
  <c r="Y18" i="1"/>
  <c r="Z18" i="1" s="1"/>
  <c r="I81" i="1"/>
  <c r="J81" i="1" s="1"/>
  <c r="C81" i="23" s="1"/>
  <c r="I74" i="1"/>
  <c r="J74" i="1" s="1"/>
  <c r="I57" i="1"/>
  <c r="J57" i="1" s="1"/>
  <c r="C57" i="23" s="1"/>
  <c r="I25" i="1"/>
  <c r="J25" i="1" s="1"/>
  <c r="C25" i="23" s="1"/>
  <c r="I19" i="1"/>
  <c r="J19" i="1" s="1"/>
  <c r="C19" i="23" s="1"/>
  <c r="I14" i="1"/>
  <c r="J14" i="1" s="1"/>
  <c r="N8" i="1"/>
  <c r="O8" i="1" s="1"/>
  <c r="C103" i="25"/>
  <c r="C74" i="25"/>
  <c r="C69" i="23"/>
  <c r="Q29" i="4"/>
  <c r="L26" i="4"/>
  <c r="K26" i="4"/>
  <c r="O61" i="4"/>
  <c r="Y108" i="1"/>
  <c r="Z108" i="1" s="1"/>
  <c r="C108" i="25" s="1"/>
  <c r="Y79" i="1"/>
  <c r="Z79" i="1" s="1"/>
  <c r="T4" i="1"/>
  <c r="C4" i="48" s="1"/>
  <c r="C4" i="24"/>
  <c r="D4" i="13"/>
  <c r="C4" i="29"/>
  <c r="C79" i="26"/>
  <c r="C79" i="31"/>
  <c r="C55" i="26"/>
  <c r="C55" i="31"/>
  <c r="D70" i="11"/>
  <c r="V70" i="11" s="1"/>
  <c r="C70" i="22"/>
  <c r="K10" i="39"/>
  <c r="D77" i="13"/>
  <c r="AD77" i="13" s="1"/>
  <c r="E74" i="1"/>
  <c r="F74" i="1" s="1"/>
  <c r="C74" i="22" s="1"/>
  <c r="E60" i="1"/>
  <c r="F60" i="1" s="1"/>
  <c r="N100" i="1"/>
  <c r="O100" i="1" s="1"/>
  <c r="N55" i="1"/>
  <c r="O55" i="1" s="1"/>
  <c r="AI14" i="1"/>
  <c r="AJ14" i="1" s="1"/>
  <c r="L29" i="4"/>
  <c r="BA78" i="1"/>
  <c r="BB78" i="1" s="1"/>
  <c r="BA77" i="1"/>
  <c r="BB77" i="1" s="1"/>
  <c r="E54" i="1"/>
  <c r="F54" i="1" s="1"/>
  <c r="N61" i="1"/>
  <c r="O61" i="1" s="1"/>
  <c r="N53" i="1"/>
  <c r="O53" i="1" s="1"/>
  <c r="AD118" i="1"/>
  <c r="AE118" i="1" s="1"/>
  <c r="AD61" i="1"/>
  <c r="AE61" i="1" s="1"/>
  <c r="N57" i="1"/>
  <c r="O57" i="1" s="1"/>
  <c r="C69" i="28"/>
  <c r="Q26" i="4"/>
  <c r="P26" i="4"/>
  <c r="O26" i="4"/>
  <c r="N29" i="4"/>
  <c r="M29" i="4"/>
  <c r="K29" i="4"/>
  <c r="J29" i="4"/>
  <c r="I29" i="4"/>
  <c r="H29" i="4"/>
  <c r="G29" i="4"/>
  <c r="F26" i="4"/>
  <c r="F58" i="4"/>
  <c r="M58" i="4"/>
  <c r="I58" i="4"/>
  <c r="Y60" i="1"/>
  <c r="Z60" i="1" s="1"/>
  <c r="C60" i="25" s="1"/>
  <c r="R11" i="19"/>
  <c r="E82" i="1"/>
  <c r="F82" i="1" s="1"/>
  <c r="E53" i="1"/>
  <c r="F53" i="1" s="1"/>
  <c r="C53" i="22" s="1"/>
  <c r="N105" i="1"/>
  <c r="O105" i="1" s="1"/>
  <c r="N59" i="1"/>
  <c r="O59" i="1" s="1"/>
  <c r="N51" i="1"/>
  <c r="O51" i="1" s="1"/>
  <c r="N15" i="1"/>
  <c r="O15" i="1" s="1"/>
  <c r="AI17" i="1"/>
  <c r="AJ17" i="1" s="1"/>
  <c r="T119" i="1"/>
  <c r="C119" i="48" s="1"/>
  <c r="C119" i="24"/>
  <c r="G26" i="4"/>
  <c r="I61" i="4"/>
  <c r="C119" i="29"/>
  <c r="D119" i="13"/>
  <c r="AD119" i="13" s="1"/>
  <c r="D76" i="12"/>
  <c r="X76" i="12" s="1"/>
  <c r="C76" i="28"/>
  <c r="AV101" i="1"/>
  <c r="AW101" i="1" s="1"/>
  <c r="AV100" i="1"/>
  <c r="AW100" i="1" s="1"/>
  <c r="AV104" i="1"/>
  <c r="AW104" i="1" s="1"/>
  <c r="AV105" i="1"/>
  <c r="AW105" i="1" s="1"/>
  <c r="AV73" i="1"/>
  <c r="AW73" i="1" s="1"/>
  <c r="D77" i="11"/>
  <c r="V77" i="11" s="1"/>
  <c r="C77" i="27"/>
  <c r="N112" i="1"/>
  <c r="O112" i="1" s="1"/>
  <c r="N113" i="1"/>
  <c r="O113" i="1" s="1"/>
  <c r="N114" i="1"/>
  <c r="O114" i="1" s="1"/>
  <c r="N118" i="1"/>
  <c r="O118" i="1" s="1"/>
  <c r="AD47" i="1"/>
  <c r="AE47" i="1" s="1"/>
  <c r="Q61" i="4"/>
  <c r="P61" i="4"/>
  <c r="O58" i="4"/>
  <c r="L61" i="4"/>
  <c r="K61" i="4"/>
  <c r="J61" i="4"/>
  <c r="H61" i="4"/>
  <c r="G61" i="4"/>
  <c r="K63" i="21"/>
  <c r="D120" i="12"/>
  <c r="X120" i="12" s="1"/>
  <c r="C120" i="28"/>
  <c r="J26" i="4"/>
  <c r="H26" i="4"/>
  <c r="F29" i="4"/>
  <c r="C33" i="27"/>
  <c r="C58" i="22"/>
  <c r="D58" i="11"/>
  <c r="V58" i="11" s="1"/>
  <c r="C58" i="27"/>
  <c r="Q8" i="39"/>
  <c r="T101" i="1"/>
  <c r="C101" i="48" s="1"/>
  <c r="C101" i="24"/>
  <c r="D101" i="13"/>
  <c r="AD101" i="13" s="1"/>
  <c r="AV62" i="1"/>
  <c r="AV66" i="1"/>
  <c r="AW66" i="1" s="1"/>
  <c r="AV70" i="1"/>
  <c r="AW70" i="1" s="1"/>
  <c r="AV63" i="1"/>
  <c r="AW63" i="1" s="1"/>
  <c r="AV67" i="1"/>
  <c r="AW67" i="1" s="1"/>
  <c r="AV71" i="1"/>
  <c r="AW71" i="1" s="1"/>
  <c r="AV64" i="1"/>
  <c r="AW64" i="1" s="1"/>
  <c r="AV68" i="1"/>
  <c r="AW68" i="1" s="1"/>
  <c r="AV72" i="1"/>
  <c r="AW72" i="1" s="1"/>
  <c r="D4" i="12"/>
  <c r="C4" i="28"/>
  <c r="D52" i="13"/>
  <c r="AD52" i="13" s="1"/>
  <c r="T52" i="1"/>
  <c r="C52" i="24"/>
  <c r="AI92" i="1"/>
  <c r="AJ92" i="1" s="1"/>
  <c r="AI94" i="1"/>
  <c r="AJ94" i="1" s="1"/>
  <c r="M26" i="4"/>
  <c r="P29" i="4"/>
  <c r="I26" i="4"/>
  <c r="BA88" i="1"/>
  <c r="BB88" i="1" s="1"/>
  <c r="C52" i="29"/>
  <c r="C70" i="27"/>
  <c r="D101" i="12"/>
  <c r="X101" i="12" s="1"/>
  <c r="C101" i="28"/>
  <c r="AV65" i="1"/>
  <c r="AW65" i="1" s="1"/>
  <c r="AV38" i="1"/>
  <c r="AW38" i="1" s="1"/>
  <c r="AV46" i="1"/>
  <c r="AW46" i="1" s="1"/>
  <c r="AV41" i="1"/>
  <c r="AW41" i="1" s="1"/>
  <c r="AV49" i="1"/>
  <c r="AW49" i="1" s="1"/>
  <c r="AD8" i="19"/>
  <c r="AV42" i="1"/>
  <c r="AW42" i="1" s="1"/>
  <c r="I41" i="1"/>
  <c r="J41" i="1" s="1"/>
  <c r="I49" i="1"/>
  <c r="J49" i="1" s="1"/>
  <c r="E34" i="1"/>
  <c r="F34" i="1" s="1"/>
  <c r="C34" i="22" s="1"/>
  <c r="I56" i="1"/>
  <c r="J56" i="1" s="1"/>
  <c r="C56" i="23" s="1"/>
  <c r="N109" i="1"/>
  <c r="O109" i="1" s="1"/>
  <c r="N104" i="1"/>
  <c r="O104" i="1" s="1"/>
  <c r="N99" i="1"/>
  <c r="O99" i="1" s="1"/>
  <c r="N58" i="1"/>
  <c r="O58" i="1" s="1"/>
  <c r="N54" i="1"/>
  <c r="O54" i="1" s="1"/>
  <c r="N50" i="1"/>
  <c r="O50" i="1" s="1"/>
  <c r="F60" i="4"/>
  <c r="H69" i="4" s="1"/>
  <c r="D2" i="47" s="1"/>
  <c r="I75" i="1"/>
  <c r="J75" i="1" s="1"/>
  <c r="N107" i="1"/>
  <c r="O107" i="1" s="1"/>
  <c r="N60" i="1"/>
  <c r="O60" i="1" s="1"/>
  <c r="N56" i="1"/>
  <c r="O56" i="1" s="1"/>
  <c r="D41" i="11"/>
  <c r="V41" i="11" s="1"/>
  <c r="C41" i="22"/>
  <c r="Y26" i="1"/>
  <c r="Z26" i="1" s="1"/>
  <c r="C26" i="25" s="1"/>
  <c r="Y29" i="1"/>
  <c r="Z29" i="1" s="1"/>
  <c r="C29" i="14" s="1"/>
  <c r="S29" i="14" s="1"/>
  <c r="Y36" i="1"/>
  <c r="Z36" i="1" s="1"/>
  <c r="C6" i="14"/>
  <c r="S6" i="14" s="1"/>
  <c r="C6" i="30"/>
  <c r="AQ89" i="1"/>
  <c r="C89" i="15"/>
  <c r="S89" i="15" s="1"/>
  <c r="C89" i="26"/>
  <c r="C89" i="31"/>
  <c r="AD98" i="1"/>
  <c r="AE98" i="1" s="1"/>
  <c r="AD104" i="1"/>
  <c r="AE104" i="1" s="1"/>
  <c r="R13" i="19"/>
  <c r="AD106" i="1"/>
  <c r="AE106" i="1" s="1"/>
  <c r="AI57" i="1"/>
  <c r="AJ57" i="1" s="1"/>
  <c r="AI60" i="1"/>
  <c r="AJ60" i="1" s="1"/>
  <c r="BA59" i="1"/>
  <c r="BB59" i="1" s="1"/>
  <c r="BA46" i="1"/>
  <c r="BB46" i="1" s="1"/>
  <c r="BA61" i="1"/>
  <c r="BB61" i="1" s="1"/>
  <c r="BA56" i="1"/>
  <c r="BB56" i="1" s="1"/>
  <c r="Q58" i="4"/>
  <c r="L58" i="4"/>
  <c r="H58" i="4"/>
  <c r="C41" i="27"/>
  <c r="N27" i="4"/>
  <c r="L77" i="4" s="1"/>
  <c r="O63" i="4"/>
  <c r="D50" i="12"/>
  <c r="X50" i="12" s="1"/>
  <c r="C50" i="28"/>
  <c r="BA29" i="1"/>
  <c r="BB29" i="1" s="1"/>
  <c r="P58" i="4"/>
  <c r="K58" i="4"/>
  <c r="C116" i="14"/>
  <c r="S116" i="14" s="1"/>
  <c r="C116" i="30"/>
  <c r="Y41" i="1"/>
  <c r="Z41" i="1" s="1"/>
  <c r="H63" i="21"/>
  <c r="C63" i="21"/>
  <c r="BA27" i="1"/>
  <c r="BB27" i="1" s="1"/>
  <c r="BA30" i="1"/>
  <c r="BB30" i="1" s="1"/>
  <c r="D63" i="33"/>
  <c r="BA109" i="1"/>
  <c r="BB109" i="1" s="1"/>
  <c r="BA11" i="1"/>
  <c r="BB11" i="1" s="1"/>
  <c r="BA22" i="1"/>
  <c r="BB22" i="1" s="1"/>
  <c r="BA13" i="1"/>
  <c r="BB13" i="1" s="1"/>
  <c r="BA8" i="1"/>
  <c r="BB8" i="1" s="1"/>
  <c r="BA99" i="1"/>
  <c r="BB99" i="1" s="1"/>
  <c r="BA98" i="1"/>
  <c r="BB98" i="1" s="1"/>
  <c r="J58" i="4"/>
  <c r="C116" i="25"/>
  <c r="D113" i="11"/>
  <c r="V113" i="11" s="1"/>
  <c r="C113" i="27"/>
  <c r="C89" i="30"/>
  <c r="C89" i="14"/>
  <c r="S89" i="14" s="1"/>
  <c r="Y113" i="1"/>
  <c r="Z113" i="1" s="1"/>
  <c r="C113" i="25" s="1"/>
  <c r="Y119" i="1"/>
  <c r="Z119" i="1" s="1"/>
  <c r="Y120" i="1"/>
  <c r="Z120" i="1" s="1"/>
  <c r="Y83" i="1"/>
  <c r="Z83" i="1" s="1"/>
  <c r="Y76" i="1"/>
  <c r="Z76" i="1" s="1"/>
  <c r="E110" i="1"/>
  <c r="E114" i="1"/>
  <c r="F114" i="1" s="1"/>
  <c r="C114" i="22" s="1"/>
  <c r="E118" i="1"/>
  <c r="F118" i="1" s="1"/>
  <c r="E111" i="1"/>
  <c r="F111" i="1" s="1"/>
  <c r="C111" i="22" s="1"/>
  <c r="E115" i="1"/>
  <c r="F115" i="1" s="1"/>
  <c r="E119" i="1"/>
  <c r="F119" i="1" s="1"/>
  <c r="E112" i="1"/>
  <c r="F112" i="1" s="1"/>
  <c r="E116" i="1"/>
  <c r="F116" i="1" s="1"/>
  <c r="E120" i="1"/>
  <c r="F120" i="1" s="1"/>
  <c r="E101" i="1"/>
  <c r="F101" i="1" s="1"/>
  <c r="C101" i="27" s="1"/>
  <c r="E105" i="1"/>
  <c r="F105" i="1" s="1"/>
  <c r="I110" i="1"/>
  <c r="J110" i="1" s="1"/>
  <c r="I112" i="1"/>
  <c r="J112" i="1" s="1"/>
  <c r="I121" i="1"/>
  <c r="J121" i="1" s="1"/>
  <c r="I113" i="1"/>
  <c r="J113" i="1" s="1"/>
  <c r="I117" i="1"/>
  <c r="J117" i="1" s="1"/>
  <c r="D117" i="12" s="1"/>
  <c r="X117" i="12" s="1"/>
  <c r="AD86" i="1"/>
  <c r="AD90" i="1"/>
  <c r="AE90" i="1" s="1"/>
  <c r="AD94" i="1"/>
  <c r="AE94" i="1" s="1"/>
  <c r="R12" i="19"/>
  <c r="AD87" i="1"/>
  <c r="AE87" i="1" s="1"/>
  <c r="AD91" i="1"/>
  <c r="AE91" i="1" s="1"/>
  <c r="AD95" i="1"/>
  <c r="AE95" i="1" s="1"/>
  <c r="AD88" i="1"/>
  <c r="AE88" i="1" s="1"/>
  <c r="AD92" i="1"/>
  <c r="AE92" i="1" s="1"/>
  <c r="AD96" i="1"/>
  <c r="AE96" i="1" s="1"/>
  <c r="L11" i="19"/>
  <c r="Y81" i="1"/>
  <c r="Z81" i="1" s="1"/>
  <c r="Y75" i="1"/>
  <c r="Z75" i="1" s="1"/>
  <c r="C75" i="25" s="1"/>
  <c r="AV4" i="1"/>
  <c r="AW4" i="1" s="1"/>
  <c r="AV8" i="1"/>
  <c r="AW8" i="1" s="1"/>
  <c r="AV9" i="1"/>
  <c r="AW9" i="1" s="1"/>
  <c r="E121" i="1"/>
  <c r="F121" i="1" s="1"/>
  <c r="E89" i="1"/>
  <c r="F89" i="1" s="1"/>
  <c r="E93" i="1"/>
  <c r="F93" i="1" s="1"/>
  <c r="E97" i="1"/>
  <c r="F97" i="1" s="1"/>
  <c r="E63" i="1"/>
  <c r="F63" i="1" s="1"/>
  <c r="C63" i="22" s="1"/>
  <c r="E71" i="1"/>
  <c r="F71" i="1" s="1"/>
  <c r="E65" i="1"/>
  <c r="F65" i="1" s="1"/>
  <c r="E69" i="1"/>
  <c r="F69" i="1" s="1"/>
  <c r="E17" i="1"/>
  <c r="F17" i="1" s="1"/>
  <c r="C17" i="27" s="1"/>
  <c r="E23" i="1"/>
  <c r="F23" i="1" s="1"/>
  <c r="D23" i="11" s="1"/>
  <c r="V23" i="11" s="1"/>
  <c r="I64" i="1"/>
  <c r="J64" i="1" s="1"/>
  <c r="I72" i="1"/>
  <c r="J72" i="1" s="1"/>
  <c r="I65" i="1"/>
  <c r="J65" i="1" s="1"/>
  <c r="I73" i="1"/>
  <c r="J73" i="1" s="1"/>
  <c r="I68" i="1"/>
  <c r="J68" i="1" s="1"/>
  <c r="AD97" i="1"/>
  <c r="AE97" i="1" s="1"/>
  <c r="AV26" i="1"/>
  <c r="AW26" i="1" s="1"/>
  <c r="AV35" i="1"/>
  <c r="AW35" i="1" s="1"/>
  <c r="AV29" i="1"/>
  <c r="AW29" i="1" s="1"/>
  <c r="AV31" i="1"/>
  <c r="AW31" i="1" s="1"/>
  <c r="E117" i="1"/>
  <c r="F117" i="1" s="1"/>
  <c r="AD93" i="1"/>
  <c r="AE93" i="1" s="1"/>
  <c r="AD51" i="1"/>
  <c r="AE51" i="1" s="1"/>
  <c r="AD50" i="1"/>
  <c r="AE50" i="1" s="1"/>
  <c r="AD57" i="1"/>
  <c r="AE57" i="1" s="1"/>
  <c r="AD53" i="1"/>
  <c r="AE53" i="1" s="1"/>
  <c r="AD58" i="1"/>
  <c r="AE58" i="1" s="1"/>
  <c r="AD54" i="1"/>
  <c r="AE54" i="1" s="1"/>
  <c r="AD59" i="1"/>
  <c r="AE59" i="1" s="1"/>
  <c r="AV23" i="1"/>
  <c r="AW23" i="1" s="1"/>
  <c r="I109" i="1"/>
  <c r="J109" i="1" s="1"/>
  <c r="I61" i="1"/>
  <c r="J61" i="1" s="1"/>
  <c r="I53" i="1"/>
  <c r="J53" i="1" s="1"/>
  <c r="I45" i="1"/>
  <c r="J45" i="1" s="1"/>
  <c r="N117" i="1"/>
  <c r="O117" i="1" s="1"/>
  <c r="N111" i="1"/>
  <c r="O111" i="1" s="1"/>
  <c r="N30" i="1"/>
  <c r="O30" i="1" s="1"/>
  <c r="AD48" i="1"/>
  <c r="AE48" i="1" s="1"/>
  <c r="AI48" i="1"/>
  <c r="AJ48" i="1" s="1"/>
  <c r="I105" i="1"/>
  <c r="J105" i="1" s="1"/>
  <c r="I60" i="1"/>
  <c r="J60" i="1" s="1"/>
  <c r="I52" i="1"/>
  <c r="J52" i="1" s="1"/>
  <c r="N121" i="1"/>
  <c r="O121" i="1" s="1"/>
  <c r="N115" i="1"/>
  <c r="O115" i="1" s="1"/>
  <c r="N110" i="1"/>
  <c r="O110" i="1" s="1"/>
  <c r="AI44" i="1"/>
  <c r="AJ44" i="1" s="1"/>
  <c r="D63" i="21"/>
  <c r="BA95" i="1"/>
  <c r="BB95" i="1" s="1"/>
  <c r="BA71" i="1"/>
  <c r="BB71" i="1" s="1"/>
  <c r="BA47" i="1"/>
  <c r="BB47" i="1" s="1"/>
  <c r="BA23" i="1"/>
  <c r="BB23" i="1" s="1"/>
  <c r="BA94" i="1"/>
  <c r="BB94" i="1" s="1"/>
  <c r="BA70" i="1"/>
  <c r="BB70" i="1" s="1"/>
  <c r="BA42" i="1"/>
  <c r="BB42" i="1" s="1"/>
  <c r="BA18" i="1"/>
  <c r="BB18" i="1" s="1"/>
  <c r="BA97" i="1"/>
  <c r="BB97" i="1" s="1"/>
  <c r="BA73" i="1"/>
  <c r="BB73" i="1" s="1"/>
  <c r="BA49" i="1"/>
  <c r="BB49" i="1" s="1"/>
  <c r="BA25" i="1"/>
  <c r="BB25" i="1" s="1"/>
  <c r="BA72" i="1"/>
  <c r="BB72" i="1" s="1"/>
  <c r="BA48" i="1"/>
  <c r="BB48" i="1" s="1"/>
  <c r="BA20" i="1"/>
  <c r="BB20" i="1" s="1"/>
  <c r="H63" i="4"/>
  <c r="H59" i="4"/>
  <c r="M71" i="4" s="1"/>
  <c r="C55" i="14"/>
  <c r="S55" i="14" s="1"/>
  <c r="C55" i="30"/>
  <c r="AD26" i="1"/>
  <c r="AE26" i="1" s="1"/>
  <c r="AD29" i="1"/>
  <c r="AE29" i="1" s="1"/>
  <c r="AD35" i="1"/>
  <c r="AE35" i="1" s="1"/>
  <c r="AD27" i="1"/>
  <c r="AE27" i="1" s="1"/>
  <c r="AD33" i="1"/>
  <c r="AE33" i="1" s="1"/>
  <c r="AD28" i="1"/>
  <c r="AE28" i="1" s="1"/>
  <c r="AD36" i="1"/>
  <c r="AE36" i="1" s="1"/>
  <c r="AD31" i="1"/>
  <c r="AE31" i="1" s="1"/>
  <c r="AD32" i="1"/>
  <c r="AE32" i="1" s="1"/>
  <c r="AD37" i="1"/>
  <c r="AE37" i="1" s="1"/>
  <c r="I63" i="21"/>
  <c r="J63" i="21"/>
  <c r="G63" i="21"/>
  <c r="E63" i="21"/>
  <c r="BA91" i="1"/>
  <c r="BB91" i="1" s="1"/>
  <c r="BA67" i="1"/>
  <c r="BB67" i="1" s="1"/>
  <c r="BA43" i="1"/>
  <c r="BB43" i="1" s="1"/>
  <c r="BA19" i="1"/>
  <c r="BB19" i="1" s="1"/>
  <c r="BA90" i="1"/>
  <c r="BB90" i="1" s="1"/>
  <c r="BA66" i="1"/>
  <c r="BB66" i="1" s="1"/>
  <c r="BA38" i="1"/>
  <c r="BB38" i="1" s="1"/>
  <c r="BA14" i="1"/>
  <c r="BB14" i="1" s="1"/>
  <c r="BA93" i="1"/>
  <c r="BB93" i="1" s="1"/>
  <c r="BA69" i="1"/>
  <c r="BB69" i="1" s="1"/>
  <c r="BA45" i="1"/>
  <c r="BB45" i="1" s="1"/>
  <c r="BA21" i="1"/>
  <c r="BB21" i="1" s="1"/>
  <c r="BA96" i="1"/>
  <c r="BB96" i="1" s="1"/>
  <c r="BA68" i="1"/>
  <c r="BB68" i="1" s="1"/>
  <c r="BA44" i="1"/>
  <c r="BB44" i="1" s="1"/>
  <c r="BA16" i="1"/>
  <c r="BB16" i="1" s="1"/>
  <c r="F63" i="21"/>
  <c r="K63" i="33"/>
  <c r="G63" i="33"/>
  <c r="C63" i="33"/>
  <c r="H63" i="33"/>
  <c r="P63" i="4"/>
  <c r="P59" i="4"/>
  <c r="M79" i="4" s="1"/>
  <c r="D12" i="49" s="1"/>
  <c r="L12" i="49" s="1"/>
  <c r="O59" i="4"/>
  <c r="M78" i="4" s="1"/>
  <c r="D11" i="49" s="1"/>
  <c r="L11" i="49" s="1"/>
  <c r="L63" i="4"/>
  <c r="K64" i="4"/>
  <c r="K59" i="4"/>
  <c r="M74" i="4" s="1"/>
  <c r="D7" i="49" s="1"/>
  <c r="L7" i="49" s="1"/>
  <c r="J59" i="4"/>
  <c r="M73" i="4" s="1"/>
  <c r="D6" i="49" s="1"/>
  <c r="L6" i="49" s="1"/>
  <c r="I59" i="4"/>
  <c r="M72" i="4" s="1"/>
  <c r="D5" i="49" s="1"/>
  <c r="L5" i="49" s="1"/>
  <c r="D6" i="11"/>
  <c r="V6" i="11" s="1"/>
  <c r="C6" i="27"/>
  <c r="AI99" i="1"/>
  <c r="AJ99" i="1" s="1"/>
  <c r="AI104" i="1"/>
  <c r="AJ104" i="1" s="1"/>
  <c r="AI109" i="1"/>
  <c r="AJ109" i="1" s="1"/>
  <c r="AI103" i="1"/>
  <c r="AJ103" i="1" s="1"/>
  <c r="AI107" i="1"/>
  <c r="AJ107" i="1" s="1"/>
  <c r="AI108" i="1"/>
  <c r="AJ108" i="1" s="1"/>
  <c r="AI101" i="1"/>
  <c r="AJ101" i="1" s="1"/>
  <c r="AI105" i="1"/>
  <c r="AJ105" i="1" s="1"/>
  <c r="AI106" i="1"/>
  <c r="AJ106" i="1" s="1"/>
  <c r="I63" i="33"/>
  <c r="J63" i="33"/>
  <c r="BA87" i="1"/>
  <c r="BB87" i="1" s="1"/>
  <c r="BA63" i="1"/>
  <c r="BB63" i="1" s="1"/>
  <c r="BA39" i="1"/>
  <c r="BB39" i="1" s="1"/>
  <c r="BA15" i="1"/>
  <c r="BB15" i="1" s="1"/>
  <c r="BA86" i="1"/>
  <c r="BB86" i="1" s="1"/>
  <c r="BA62" i="1"/>
  <c r="BB62" i="1" s="1"/>
  <c r="BA89" i="1"/>
  <c r="BB89" i="1" s="1"/>
  <c r="BA65" i="1"/>
  <c r="BB65" i="1" s="1"/>
  <c r="BA41" i="1"/>
  <c r="BB41" i="1" s="1"/>
  <c r="F63" i="33"/>
  <c r="E63" i="33"/>
  <c r="Q59" i="4"/>
  <c r="M80" i="4" s="1"/>
  <c r="D13" i="49" s="1"/>
  <c r="L13" i="49" s="1"/>
  <c r="O64" i="4"/>
  <c r="Y110" i="1"/>
  <c r="Y117" i="1"/>
  <c r="Z117" i="1" s="1"/>
  <c r="Y121" i="1"/>
  <c r="Z121" i="1" s="1"/>
  <c r="L14" i="19"/>
  <c r="Y111" i="1"/>
  <c r="Z111" i="1" s="1"/>
  <c r="Y114" i="1"/>
  <c r="Z114" i="1" s="1"/>
  <c r="Y118" i="1"/>
  <c r="Z118" i="1" s="1"/>
  <c r="Y112" i="1"/>
  <c r="Z112" i="1" s="1"/>
  <c r="Y115" i="1"/>
  <c r="Z115" i="1" s="1"/>
  <c r="AQ79" i="1"/>
  <c r="C79" i="15"/>
  <c r="S79" i="15" s="1"/>
  <c r="AD12" i="19"/>
  <c r="P27" i="4"/>
  <c r="L79" i="4" s="1"/>
  <c r="F27" i="4"/>
  <c r="L69" i="4" s="1"/>
  <c r="Y98" i="1"/>
  <c r="Z98" i="1" s="1"/>
  <c r="Y99" i="1"/>
  <c r="Z99" i="1" s="1"/>
  <c r="Y104" i="1"/>
  <c r="Z104" i="1" s="1"/>
  <c r="Y109" i="1"/>
  <c r="Z109" i="1" s="1"/>
  <c r="Y100" i="1"/>
  <c r="Z100" i="1" s="1"/>
  <c r="Y105" i="1"/>
  <c r="Z105" i="1" s="1"/>
  <c r="Y101" i="1"/>
  <c r="Z101" i="1" s="1"/>
  <c r="Y107" i="1"/>
  <c r="Z107" i="1" s="1"/>
  <c r="Y50" i="1"/>
  <c r="Z50" i="1" s="1"/>
  <c r="Y51" i="1"/>
  <c r="Z51" i="1" s="1"/>
  <c r="Y56" i="1"/>
  <c r="Z56" i="1" s="1"/>
  <c r="Y61" i="1"/>
  <c r="Z61" i="1" s="1"/>
  <c r="Y52" i="1"/>
  <c r="Z52" i="1" s="1"/>
  <c r="Y57" i="1"/>
  <c r="Z57" i="1" s="1"/>
  <c r="L9" i="19"/>
  <c r="Y53" i="1"/>
  <c r="Z53" i="1" s="1"/>
  <c r="Y59" i="1"/>
  <c r="Z59" i="1" s="1"/>
  <c r="T77" i="1"/>
  <c r="C77" i="48" s="1"/>
  <c r="C77" i="24"/>
  <c r="H64" i="4"/>
  <c r="AQ2" i="1"/>
  <c r="C2" i="49" s="1"/>
  <c r="C2" i="15"/>
  <c r="S2" i="15" s="1"/>
  <c r="C2" i="26"/>
  <c r="AV112" i="1"/>
  <c r="AW112" i="1" s="1"/>
  <c r="AV116" i="1"/>
  <c r="AW116" i="1" s="1"/>
  <c r="AV120" i="1"/>
  <c r="AW120" i="1" s="1"/>
  <c r="AV110" i="1"/>
  <c r="AV115" i="1"/>
  <c r="AW115" i="1" s="1"/>
  <c r="AV121" i="1"/>
  <c r="AW121" i="1" s="1"/>
  <c r="AV111" i="1"/>
  <c r="AW111" i="1" s="1"/>
  <c r="AV117" i="1"/>
  <c r="AW117" i="1" s="1"/>
  <c r="AV114" i="1"/>
  <c r="AW114" i="1" s="1"/>
  <c r="AV118" i="1"/>
  <c r="AW118" i="1" s="1"/>
  <c r="AV76" i="1"/>
  <c r="AW76" i="1" s="1"/>
  <c r="AV77" i="1"/>
  <c r="AW77" i="1" s="1"/>
  <c r="AV82" i="1"/>
  <c r="AW82" i="1" s="1"/>
  <c r="AV75" i="1"/>
  <c r="AW75" i="1" s="1"/>
  <c r="AV83" i="1"/>
  <c r="AW83" i="1" s="1"/>
  <c r="AV78" i="1"/>
  <c r="AW78" i="1" s="1"/>
  <c r="AV85" i="1"/>
  <c r="AW85" i="1" s="1"/>
  <c r="AV74" i="1"/>
  <c r="AW74" i="1" s="1"/>
  <c r="AV79" i="1"/>
  <c r="AW79" i="1" s="1"/>
  <c r="I28" i="1"/>
  <c r="J28" i="1" s="1"/>
  <c r="I27" i="1"/>
  <c r="J27" i="1" s="1"/>
  <c r="I33" i="1"/>
  <c r="J33" i="1" s="1"/>
  <c r="I29" i="1"/>
  <c r="J29" i="1" s="1"/>
  <c r="I34" i="1"/>
  <c r="J34" i="1" s="1"/>
  <c r="I26" i="1"/>
  <c r="J26" i="1" s="1"/>
  <c r="I37" i="1"/>
  <c r="J37" i="1" s="1"/>
  <c r="I30" i="1"/>
  <c r="J30" i="1" s="1"/>
  <c r="I31" i="1"/>
  <c r="J31" i="1" s="1"/>
  <c r="I35" i="1"/>
  <c r="J35" i="1" s="1"/>
  <c r="Y34" i="1"/>
  <c r="Z34" i="1" s="1"/>
  <c r="E3" i="1"/>
  <c r="F3" i="1" s="1"/>
  <c r="E7" i="1"/>
  <c r="F7" i="1" s="1"/>
  <c r="E11" i="1"/>
  <c r="F11" i="1" s="1"/>
  <c r="E4" i="1"/>
  <c r="F4" i="1" s="1"/>
  <c r="E8" i="1"/>
  <c r="F8" i="1" s="1"/>
  <c r="E12" i="1"/>
  <c r="F12" i="1" s="1"/>
  <c r="E2" i="1"/>
  <c r="E10" i="1"/>
  <c r="F10" i="1" s="1"/>
  <c r="E5" i="1"/>
  <c r="F5" i="1" s="1"/>
  <c r="E13" i="1"/>
  <c r="F13" i="1" s="1"/>
  <c r="E9" i="1"/>
  <c r="F9" i="1" s="1"/>
  <c r="N64" i="1"/>
  <c r="O64" i="1" s="1"/>
  <c r="N65" i="1"/>
  <c r="O65" i="1" s="1"/>
  <c r="N70" i="1"/>
  <c r="O70" i="1" s="1"/>
  <c r="N63" i="1"/>
  <c r="O63" i="1" s="1"/>
  <c r="N71" i="1"/>
  <c r="O71" i="1" s="1"/>
  <c r="N66" i="1"/>
  <c r="O66" i="1" s="1"/>
  <c r="N73" i="1"/>
  <c r="O73" i="1" s="1"/>
  <c r="N67" i="1"/>
  <c r="O67" i="1" s="1"/>
  <c r="N69" i="1"/>
  <c r="O69" i="1" s="1"/>
  <c r="N62" i="1"/>
  <c r="O62" i="1" s="1"/>
  <c r="AD74" i="1"/>
  <c r="AE74" i="1" s="1"/>
  <c r="AD76" i="1"/>
  <c r="AE76" i="1" s="1"/>
  <c r="AD81" i="1"/>
  <c r="AE81" i="1" s="1"/>
  <c r="AD75" i="1"/>
  <c r="AE75" i="1" s="1"/>
  <c r="AD83" i="1"/>
  <c r="AE83" i="1" s="1"/>
  <c r="AD77" i="1"/>
  <c r="AE77" i="1" s="1"/>
  <c r="AD84" i="1"/>
  <c r="AE84" i="1" s="1"/>
  <c r="AD80" i="1"/>
  <c r="AE80" i="1" s="1"/>
  <c r="AD85" i="1"/>
  <c r="AE85" i="1" s="1"/>
  <c r="AD11" i="19"/>
  <c r="I64" i="4"/>
  <c r="L7" i="19"/>
  <c r="Y77" i="1"/>
  <c r="Z77" i="1" s="1"/>
  <c r="Y30" i="1"/>
  <c r="Z30" i="1" s="1"/>
  <c r="AV119" i="1"/>
  <c r="AW119" i="1" s="1"/>
  <c r="AV86" i="1"/>
  <c r="AW86" i="1" s="1"/>
  <c r="AV89" i="1"/>
  <c r="AW89" i="1" s="1"/>
  <c r="AV93" i="1"/>
  <c r="AW93" i="1" s="1"/>
  <c r="AV97" i="1"/>
  <c r="AW97" i="1" s="1"/>
  <c r="AV90" i="1"/>
  <c r="AW90" i="1" s="1"/>
  <c r="AV16" i="1"/>
  <c r="AW16" i="1" s="1"/>
  <c r="AV20" i="1"/>
  <c r="AW20" i="1" s="1"/>
  <c r="AV24" i="1"/>
  <c r="AW24" i="1" s="1"/>
  <c r="AV14" i="1"/>
  <c r="AV19" i="1"/>
  <c r="AW19" i="1" s="1"/>
  <c r="AV25" i="1"/>
  <c r="AW25" i="1" s="1"/>
  <c r="AV15" i="1"/>
  <c r="AW15" i="1" s="1"/>
  <c r="AV21" i="1"/>
  <c r="AW21" i="1" s="1"/>
  <c r="AV17" i="1"/>
  <c r="AW17" i="1" s="1"/>
  <c r="AV18" i="1"/>
  <c r="AW18" i="1" s="1"/>
  <c r="R6" i="19"/>
  <c r="R25" i="19" s="1"/>
  <c r="E51" i="1"/>
  <c r="E55" i="1"/>
  <c r="F55" i="1" s="1"/>
  <c r="E59" i="1"/>
  <c r="F59" i="1" s="1"/>
  <c r="E50" i="1"/>
  <c r="E56" i="1"/>
  <c r="F56" i="1" s="1"/>
  <c r="E61" i="1"/>
  <c r="F61" i="1" s="1"/>
  <c r="E52" i="1"/>
  <c r="F52" i="1" s="1"/>
  <c r="E57" i="1"/>
  <c r="F57" i="1" s="1"/>
  <c r="E16" i="1"/>
  <c r="F16" i="1" s="1"/>
  <c r="E14" i="1"/>
  <c r="F14" i="1" s="1"/>
  <c r="E19" i="1"/>
  <c r="F19" i="1" s="1"/>
  <c r="E25" i="1"/>
  <c r="F25" i="1" s="1"/>
  <c r="E15" i="1"/>
  <c r="F15" i="1" s="1"/>
  <c r="E21" i="1"/>
  <c r="F21" i="1" s="1"/>
  <c r="E18" i="1"/>
  <c r="F18" i="1" s="1"/>
  <c r="E22" i="1"/>
  <c r="F22" i="1" s="1"/>
  <c r="D22" i="11" s="1"/>
  <c r="V22" i="11" s="1"/>
  <c r="N75" i="1"/>
  <c r="O75" i="1" s="1"/>
  <c r="N74" i="1"/>
  <c r="O74" i="1" s="1"/>
  <c r="N82" i="1"/>
  <c r="O82" i="1" s="1"/>
  <c r="N78" i="1"/>
  <c r="O78" i="1" s="1"/>
  <c r="N81" i="1"/>
  <c r="O81" i="1" s="1"/>
  <c r="N85" i="1"/>
  <c r="O85" i="1" s="1"/>
  <c r="N41" i="1"/>
  <c r="O41" i="1" s="1"/>
  <c r="N49" i="1"/>
  <c r="O49" i="1" s="1"/>
  <c r="N45" i="1"/>
  <c r="O45" i="1" s="1"/>
  <c r="AD38" i="1"/>
  <c r="AD42" i="1"/>
  <c r="AE42" i="1" s="1"/>
  <c r="AD46" i="1"/>
  <c r="AE46" i="1" s="1"/>
  <c r="AD39" i="1"/>
  <c r="AE39" i="1" s="1"/>
  <c r="AD44" i="1"/>
  <c r="AE44" i="1" s="1"/>
  <c r="AD49" i="1"/>
  <c r="AE49" i="1" s="1"/>
  <c r="AD40" i="1"/>
  <c r="AE40" i="1" s="1"/>
  <c r="AD45" i="1"/>
  <c r="AE45" i="1" s="1"/>
  <c r="AD41" i="1"/>
  <c r="AE41" i="1" s="1"/>
  <c r="AD43" i="1"/>
  <c r="AE43" i="1" s="1"/>
  <c r="G60" i="4"/>
  <c r="H70" i="4" s="1"/>
  <c r="E27" i="1"/>
  <c r="F27" i="1" s="1"/>
  <c r="E30" i="1"/>
  <c r="F30" i="1" s="1"/>
  <c r="E26" i="1"/>
  <c r="F26" i="1" s="1"/>
  <c r="E37" i="1"/>
  <c r="F37" i="1" s="1"/>
  <c r="E29" i="1"/>
  <c r="F29" i="1" s="1"/>
  <c r="H28" i="4"/>
  <c r="G71" i="4" s="1"/>
  <c r="AD4" i="1"/>
  <c r="AE4" i="1" s="1"/>
  <c r="AD3" i="1"/>
  <c r="AE3" i="1" s="1"/>
  <c r="AD9" i="1"/>
  <c r="AE9" i="1" s="1"/>
  <c r="AD5" i="1"/>
  <c r="AE5" i="1" s="1"/>
  <c r="AD11" i="1"/>
  <c r="AE11" i="1" s="1"/>
  <c r="AD6" i="1"/>
  <c r="AE6" i="1" s="1"/>
  <c r="AD13" i="1"/>
  <c r="AE13" i="1" s="1"/>
  <c r="AD7" i="1"/>
  <c r="AE7" i="1" s="1"/>
  <c r="AD10" i="1"/>
  <c r="AE10" i="1" s="1"/>
  <c r="R5" i="19"/>
  <c r="R24" i="19" s="1"/>
  <c r="J60" i="4"/>
  <c r="H73" i="4" s="1"/>
  <c r="H60" i="4"/>
  <c r="H71" i="4" s="1"/>
  <c r="AV28" i="1"/>
  <c r="AW28" i="1" s="1"/>
  <c r="AV27" i="1"/>
  <c r="AW27" i="1" s="1"/>
  <c r="AV33" i="1"/>
  <c r="AW33" i="1" s="1"/>
  <c r="E64" i="1"/>
  <c r="F64" i="1" s="1"/>
  <c r="E62" i="1"/>
  <c r="F62" i="1" s="1"/>
  <c r="E67" i="1"/>
  <c r="F67" i="1" s="1"/>
  <c r="E73" i="1"/>
  <c r="F73" i="1" s="1"/>
  <c r="I2" i="1"/>
  <c r="J2" i="1" s="1"/>
  <c r="I5" i="1"/>
  <c r="J5" i="1" s="1"/>
  <c r="I13" i="1"/>
  <c r="J13" i="1" s="1"/>
  <c r="I8" i="1"/>
  <c r="J8" i="1" s="1"/>
  <c r="L28" i="4"/>
  <c r="G75" i="4" s="1"/>
  <c r="AD111" i="1"/>
  <c r="AE111" i="1" s="1"/>
  <c r="AD114" i="1"/>
  <c r="AE114" i="1" s="1"/>
  <c r="AD113" i="1"/>
  <c r="AE113" i="1" s="1"/>
  <c r="AD117" i="1"/>
  <c r="AE117" i="1" s="1"/>
  <c r="Q60" i="4"/>
  <c r="H80" i="4" s="1"/>
  <c r="AV37" i="1"/>
  <c r="AW37" i="1" s="1"/>
  <c r="AV30" i="1"/>
  <c r="AW30" i="1" s="1"/>
  <c r="E75" i="1"/>
  <c r="F75" i="1" s="1"/>
  <c r="E78" i="1"/>
  <c r="F78" i="1" s="1"/>
  <c r="E66" i="1"/>
  <c r="F66" i="1" s="1"/>
  <c r="I62" i="1"/>
  <c r="I66" i="1"/>
  <c r="J66" i="1" s="1"/>
  <c r="I70" i="1"/>
  <c r="J70" i="1" s="1"/>
  <c r="I63" i="1"/>
  <c r="J63" i="1" s="1"/>
  <c r="I67" i="1"/>
  <c r="J67" i="1" s="1"/>
  <c r="I71" i="1"/>
  <c r="J71" i="1" s="1"/>
  <c r="I12" i="1"/>
  <c r="J12" i="1" s="1"/>
  <c r="P28" i="4"/>
  <c r="G79" i="4" s="1"/>
  <c r="AD121" i="1"/>
  <c r="AE121" i="1" s="1"/>
  <c r="AD100" i="1"/>
  <c r="AE100" i="1" s="1"/>
  <c r="AD105" i="1"/>
  <c r="AE105" i="1" s="1"/>
  <c r="AD109" i="1"/>
  <c r="AE109" i="1" s="1"/>
  <c r="AD99" i="1"/>
  <c r="AD102" i="1"/>
  <c r="AE102" i="1" s="1"/>
  <c r="AD107" i="1"/>
  <c r="AE107" i="1" s="1"/>
  <c r="AD101" i="1"/>
  <c r="AE101" i="1" s="1"/>
  <c r="AD103" i="1"/>
  <c r="AE103" i="1" s="1"/>
  <c r="AD108" i="1"/>
  <c r="AE108" i="1" s="1"/>
  <c r="AI86" i="1"/>
  <c r="AJ86" i="1" s="1"/>
  <c r="AI87" i="1"/>
  <c r="AJ87" i="1" s="1"/>
  <c r="AI93" i="1"/>
  <c r="AJ93" i="1" s="1"/>
  <c r="AI97" i="1"/>
  <c r="AJ97" i="1" s="1"/>
  <c r="AI89" i="1"/>
  <c r="AJ89" i="1" s="1"/>
  <c r="AI95" i="1"/>
  <c r="AJ95" i="1" s="1"/>
  <c r="AI91" i="1"/>
  <c r="AJ91" i="1" s="1"/>
  <c r="AI96" i="1"/>
  <c r="AJ96" i="1" s="1"/>
  <c r="AI51" i="1"/>
  <c r="AJ51" i="1" s="1"/>
  <c r="AI56" i="1"/>
  <c r="AJ56" i="1" s="1"/>
  <c r="AI61" i="1"/>
  <c r="AJ61" i="1" s="1"/>
  <c r="AI55" i="1"/>
  <c r="AJ55" i="1" s="1"/>
  <c r="AI58" i="1"/>
  <c r="AJ58" i="1" s="1"/>
  <c r="AI59" i="1"/>
  <c r="AJ59" i="1" s="1"/>
  <c r="AI38" i="1"/>
  <c r="AJ38" i="1" s="1"/>
  <c r="AI41" i="1"/>
  <c r="AJ41" i="1" s="1"/>
  <c r="AI45" i="1"/>
  <c r="AJ45" i="1" s="1"/>
  <c r="AI49" i="1"/>
  <c r="AJ49" i="1" s="1"/>
  <c r="AI39" i="1"/>
  <c r="AJ39" i="1" s="1"/>
  <c r="AI46" i="1"/>
  <c r="AJ46" i="1" s="1"/>
  <c r="AI42" i="1"/>
  <c r="AJ42" i="1" s="1"/>
  <c r="AI47" i="1"/>
  <c r="AJ47" i="1" s="1"/>
  <c r="N27" i="1"/>
  <c r="O27" i="1" s="1"/>
  <c r="N29" i="1"/>
  <c r="O29" i="1" s="1"/>
  <c r="N37" i="1"/>
  <c r="O37" i="1" s="1"/>
  <c r="N2" i="1"/>
  <c r="N6" i="1"/>
  <c r="O6" i="1" s="1"/>
  <c r="N10" i="1"/>
  <c r="O10" i="1" s="1"/>
  <c r="I60" i="4"/>
  <c r="H72" i="4" s="1"/>
  <c r="D5" i="26" s="1"/>
  <c r="AI112" i="1"/>
  <c r="AJ112" i="1" s="1"/>
  <c r="AI116" i="1"/>
  <c r="AJ116" i="1" s="1"/>
  <c r="AI121" i="1"/>
  <c r="AJ121" i="1" s="1"/>
  <c r="I116" i="1"/>
  <c r="J116" i="1" s="1"/>
  <c r="I24" i="1"/>
  <c r="J24" i="1" s="1"/>
  <c r="I20" i="1"/>
  <c r="N98" i="1"/>
  <c r="N102" i="1"/>
  <c r="O102" i="1" s="1"/>
  <c r="N106" i="1"/>
  <c r="O106" i="1" s="1"/>
  <c r="N33" i="1"/>
  <c r="O33" i="1" s="1"/>
  <c r="N11" i="1"/>
  <c r="O11" i="1" s="1"/>
  <c r="N5" i="1"/>
  <c r="O5" i="1" s="1"/>
  <c r="N60" i="4"/>
  <c r="H77" i="4" s="1"/>
  <c r="AI118" i="1"/>
  <c r="AJ118" i="1" s="1"/>
  <c r="AI64" i="1"/>
  <c r="AI68" i="1"/>
  <c r="AJ68" i="1" s="1"/>
  <c r="AI72" i="1"/>
  <c r="AJ72" i="1" s="1"/>
  <c r="AI13" i="1"/>
  <c r="AJ13" i="1" s="1"/>
  <c r="AI113" i="1"/>
  <c r="AJ113" i="1" s="1"/>
  <c r="BA106" i="1"/>
  <c r="BB106" i="1" s="1"/>
  <c r="BA7" i="1"/>
  <c r="BB7" i="1" s="1"/>
  <c r="BA74" i="1"/>
  <c r="BB74" i="1" s="1"/>
  <c r="BA10" i="1"/>
  <c r="BB10" i="1" s="1"/>
  <c r="BA9" i="1"/>
  <c r="BB9" i="1" s="1"/>
  <c r="BA84" i="1"/>
  <c r="BB84" i="1" s="1"/>
  <c r="BA52" i="1"/>
  <c r="BB52" i="1" s="1"/>
  <c r="BA105" i="1"/>
  <c r="BB105" i="1" s="1"/>
  <c r="BA103" i="1"/>
  <c r="BB103" i="1" s="1"/>
  <c r="BA83" i="1"/>
  <c r="BB83" i="1" s="1"/>
  <c r="BA51" i="1"/>
  <c r="BB51" i="1" s="1"/>
  <c r="BA35" i="1"/>
  <c r="BB35" i="1" s="1"/>
  <c r="BA3" i="1"/>
  <c r="BB3" i="1" s="1"/>
  <c r="BA54" i="1"/>
  <c r="BB54" i="1" s="1"/>
  <c r="BA6" i="1"/>
  <c r="BB6" i="1" s="1"/>
  <c r="BA85" i="1"/>
  <c r="BB85" i="1" s="1"/>
  <c r="BA53" i="1"/>
  <c r="BB53" i="1" s="1"/>
  <c r="BA37" i="1"/>
  <c r="BB37" i="1" s="1"/>
  <c r="BA5" i="1"/>
  <c r="BB5" i="1" s="1"/>
  <c r="BA80" i="1"/>
  <c r="BB80" i="1" s="1"/>
  <c r="BA32" i="1"/>
  <c r="BB32" i="1" s="1"/>
  <c r="BA101" i="1"/>
  <c r="BB101" i="1" s="1"/>
  <c r="BA102" i="1"/>
  <c r="BB102" i="1" s="1"/>
  <c r="BA104" i="1"/>
  <c r="BB104" i="1" s="1"/>
  <c r="BA110" i="1"/>
  <c r="BB110" i="1" s="1"/>
  <c r="BA112" i="1"/>
  <c r="BB112" i="1" s="1"/>
  <c r="BA114" i="1"/>
  <c r="BB114" i="1" s="1"/>
  <c r="BA116" i="1"/>
  <c r="BB116" i="1" s="1"/>
  <c r="BA118" i="1"/>
  <c r="BB118" i="1" s="1"/>
  <c r="BA120" i="1"/>
  <c r="BB120" i="1" s="1"/>
  <c r="N59" i="4"/>
  <c r="M77" i="4" s="1"/>
  <c r="N58" i="4"/>
  <c r="N61" i="4"/>
  <c r="M59" i="4"/>
  <c r="M76" i="4" s="1"/>
  <c r="M61" i="4"/>
  <c r="L59" i="4"/>
  <c r="M75" i="4" s="1"/>
  <c r="L64" i="4"/>
  <c r="G63" i="4"/>
  <c r="G64" i="4"/>
  <c r="G59" i="4"/>
  <c r="M70" i="4" s="1"/>
  <c r="G58" i="4"/>
  <c r="BA55" i="1"/>
  <c r="BB55" i="1" s="1"/>
  <c r="BA58" i="1"/>
  <c r="BB58" i="1" s="1"/>
  <c r="BA26" i="1"/>
  <c r="BB26" i="1" s="1"/>
  <c r="BA57" i="1"/>
  <c r="BB57" i="1" s="1"/>
  <c r="BA36" i="1"/>
  <c r="BB36" i="1" s="1"/>
  <c r="BA4" i="1"/>
  <c r="BB4" i="1" s="1"/>
  <c r="BA108" i="1"/>
  <c r="BB108" i="1" s="1"/>
  <c r="BA79" i="1"/>
  <c r="BB79" i="1" s="1"/>
  <c r="BA31" i="1"/>
  <c r="BB31" i="1" s="1"/>
  <c r="BA82" i="1"/>
  <c r="BB82" i="1" s="1"/>
  <c r="BA50" i="1"/>
  <c r="BB50" i="1" s="1"/>
  <c r="BA34" i="1"/>
  <c r="BB34" i="1" s="1"/>
  <c r="BA2" i="1"/>
  <c r="BB2" i="1" s="1"/>
  <c r="BA81" i="1"/>
  <c r="BB81" i="1" s="1"/>
  <c r="BA33" i="1"/>
  <c r="BB33" i="1" s="1"/>
  <c r="BA100" i="1"/>
  <c r="BB100" i="1" s="1"/>
  <c r="BA121" i="1"/>
  <c r="BB121" i="1" s="1"/>
  <c r="BA117" i="1"/>
  <c r="BB117" i="1" s="1"/>
  <c r="BA113" i="1"/>
  <c r="BB113" i="1" s="1"/>
  <c r="S74" i="14"/>
  <c r="F63" i="4"/>
  <c r="F64" i="4"/>
  <c r="F59" i="4"/>
  <c r="M69" i="4" s="1"/>
  <c r="F61" i="4"/>
  <c r="Q27" i="4"/>
  <c r="L80" i="4" s="1"/>
  <c r="D13" i="48" s="1"/>
  <c r="Q13" i="48" s="1"/>
  <c r="O27" i="4"/>
  <c r="L78" i="4" s="1"/>
  <c r="D11" i="48" s="1"/>
  <c r="Q11" i="48" s="1"/>
  <c r="M27" i="4"/>
  <c r="L76" i="4" s="1"/>
  <c r="D9" i="48" s="1"/>
  <c r="Q9" i="48" s="1"/>
  <c r="L27" i="4"/>
  <c r="L75" i="4" s="1"/>
  <c r="D8" i="48" s="1"/>
  <c r="Q8" i="48" s="1"/>
  <c r="K27" i="4"/>
  <c r="L74" i="4" s="1"/>
  <c r="D7" i="48" s="1"/>
  <c r="Q7" i="48" s="1"/>
  <c r="J27" i="4"/>
  <c r="L73" i="4" s="1"/>
  <c r="D6" i="48" s="1"/>
  <c r="Q6" i="48" s="1"/>
  <c r="I27" i="4"/>
  <c r="L72" i="4" s="1"/>
  <c r="D5" i="48" s="1"/>
  <c r="Q5" i="48" s="1"/>
  <c r="H27" i="4"/>
  <c r="L71" i="4" s="1"/>
  <c r="D4" i="48" s="1"/>
  <c r="Q4" i="48" s="1"/>
  <c r="G27" i="4"/>
  <c r="L70" i="4" s="1"/>
  <c r="D3" i="48" s="1"/>
  <c r="Q3" i="48" s="1"/>
  <c r="Q64" i="4"/>
  <c r="Q63" i="4"/>
  <c r="N63" i="4"/>
  <c r="N64" i="4"/>
  <c r="Y86" i="1"/>
  <c r="Y90" i="1"/>
  <c r="Z90" i="1" s="1"/>
  <c r="Y94" i="1"/>
  <c r="Z94" i="1" s="1"/>
  <c r="L12" i="19"/>
  <c r="Y87" i="1"/>
  <c r="Z87" i="1" s="1"/>
  <c r="Y91" i="1"/>
  <c r="Z91" i="1" s="1"/>
  <c r="Y95" i="1"/>
  <c r="Z95" i="1" s="1"/>
  <c r="Y88" i="1"/>
  <c r="Z88" i="1" s="1"/>
  <c r="Y92" i="1"/>
  <c r="Z92" i="1" s="1"/>
  <c r="Y96" i="1"/>
  <c r="Z96" i="1" s="1"/>
  <c r="Y62" i="1"/>
  <c r="Y66" i="1"/>
  <c r="Z66" i="1" s="1"/>
  <c r="Y70" i="1"/>
  <c r="Z70" i="1" s="1"/>
  <c r="Y63" i="1"/>
  <c r="Z63" i="1" s="1"/>
  <c r="Y67" i="1"/>
  <c r="Z67" i="1" s="1"/>
  <c r="Y71" i="1"/>
  <c r="Z71" i="1" s="1"/>
  <c r="Y64" i="1"/>
  <c r="Z64" i="1" s="1"/>
  <c r="Y68" i="1"/>
  <c r="Z68" i="1" s="1"/>
  <c r="Y72" i="1"/>
  <c r="Z72" i="1" s="1"/>
  <c r="L10" i="19"/>
  <c r="Y38" i="1"/>
  <c r="Y42" i="1"/>
  <c r="Z42" i="1" s="1"/>
  <c r="Y46" i="1"/>
  <c r="Z46" i="1" s="1"/>
  <c r="L8" i="19"/>
  <c r="Y39" i="1"/>
  <c r="Z39" i="1" s="1"/>
  <c r="Y43" i="1"/>
  <c r="Z43" i="1" s="1"/>
  <c r="Y47" i="1"/>
  <c r="Z47" i="1" s="1"/>
  <c r="Y40" i="1"/>
  <c r="Z40" i="1" s="1"/>
  <c r="Y44" i="1"/>
  <c r="Z44" i="1" s="1"/>
  <c r="Y48" i="1"/>
  <c r="Z48" i="1" s="1"/>
  <c r="Y3" i="1"/>
  <c r="Z3" i="1" s="1"/>
  <c r="Y7" i="1"/>
  <c r="Z7" i="1" s="1"/>
  <c r="Y11" i="1"/>
  <c r="Z11" i="1" s="1"/>
  <c r="Y2" i="1"/>
  <c r="Y8" i="1"/>
  <c r="Z8" i="1" s="1"/>
  <c r="Y13" i="1"/>
  <c r="Z13" i="1" s="1"/>
  <c r="Y4" i="1"/>
  <c r="Z4" i="1" s="1"/>
  <c r="Y9" i="1"/>
  <c r="Z9" i="1" s="1"/>
  <c r="L5" i="19"/>
  <c r="Y5" i="1"/>
  <c r="Z5" i="1" s="1"/>
  <c r="Y10" i="1"/>
  <c r="Z10" i="1" s="1"/>
  <c r="P64" i="4"/>
  <c r="J63" i="4"/>
  <c r="J64" i="4"/>
  <c r="Y97" i="1"/>
  <c r="Z97" i="1" s="1"/>
  <c r="Y73" i="1"/>
  <c r="Z73" i="1" s="1"/>
  <c r="Y49" i="1"/>
  <c r="Z49" i="1" s="1"/>
  <c r="M64" i="4"/>
  <c r="M63" i="4"/>
  <c r="K63" i="4"/>
  <c r="Y93" i="1"/>
  <c r="Z93" i="1" s="1"/>
  <c r="Y69" i="1"/>
  <c r="Z69" i="1" s="1"/>
  <c r="Y45" i="1"/>
  <c r="Z45" i="1" s="1"/>
  <c r="Y12" i="1"/>
  <c r="Z12" i="1" s="1"/>
  <c r="I63" i="4"/>
  <c r="Y106" i="1"/>
  <c r="Z106" i="1" s="1"/>
  <c r="Y102" i="1"/>
  <c r="Y82" i="1"/>
  <c r="Z82" i="1" s="1"/>
  <c r="Y78" i="1"/>
  <c r="Y58" i="1"/>
  <c r="Z58" i="1" s="1"/>
  <c r="Y54" i="1"/>
  <c r="Y33" i="1"/>
  <c r="Z33" i="1" s="1"/>
  <c r="Y28" i="1"/>
  <c r="Z28" i="1" s="1"/>
  <c r="AQ55" i="1"/>
  <c r="C55" i="49" s="1"/>
  <c r="C55" i="15"/>
  <c r="S55" i="15" s="1"/>
  <c r="J28" i="4"/>
  <c r="G73" i="4" s="1"/>
  <c r="Y37" i="1"/>
  <c r="Z37" i="1" s="1"/>
  <c r="Y32" i="1"/>
  <c r="Z32" i="1" s="1"/>
  <c r="AQ110" i="1"/>
  <c r="C110" i="49" s="1"/>
  <c r="C110" i="15"/>
  <c r="C110" i="26"/>
  <c r="Y27" i="1"/>
  <c r="Y31" i="1"/>
  <c r="Z31" i="1" s="1"/>
  <c r="Y35" i="1"/>
  <c r="Z35" i="1" s="1"/>
  <c r="AV50" i="1"/>
  <c r="AV54" i="1"/>
  <c r="AW54" i="1" s="1"/>
  <c r="AV58" i="1"/>
  <c r="AW58" i="1" s="1"/>
  <c r="AV51" i="1"/>
  <c r="AW51" i="1" s="1"/>
  <c r="AV55" i="1"/>
  <c r="AW55" i="1" s="1"/>
  <c r="AV59" i="1"/>
  <c r="AW59" i="1" s="1"/>
  <c r="AV52" i="1"/>
  <c r="AW52" i="1" s="1"/>
  <c r="AV60" i="1"/>
  <c r="AW60" i="1" s="1"/>
  <c r="AV53" i="1"/>
  <c r="AW53" i="1" s="1"/>
  <c r="AV61" i="1"/>
  <c r="AW61" i="1" s="1"/>
  <c r="AV56" i="1"/>
  <c r="AW56" i="1" s="1"/>
  <c r="I86" i="1"/>
  <c r="I90" i="1"/>
  <c r="J90" i="1" s="1"/>
  <c r="I94" i="1"/>
  <c r="J94" i="1" s="1"/>
  <c r="I87" i="1"/>
  <c r="J87" i="1" s="1"/>
  <c r="I91" i="1"/>
  <c r="J91" i="1" s="1"/>
  <c r="I95" i="1"/>
  <c r="J95" i="1" s="1"/>
  <c r="I88" i="1"/>
  <c r="J88" i="1" s="1"/>
  <c r="I92" i="1"/>
  <c r="J92" i="1" s="1"/>
  <c r="I96" i="1"/>
  <c r="J96" i="1" s="1"/>
  <c r="I89" i="1"/>
  <c r="J89" i="1" s="1"/>
  <c r="I93" i="1"/>
  <c r="J93" i="1" s="1"/>
  <c r="I97" i="1"/>
  <c r="J97" i="1" s="1"/>
  <c r="R10" i="19"/>
  <c r="AV109" i="1"/>
  <c r="AW109" i="1" s="1"/>
  <c r="AV94" i="1"/>
  <c r="AW94" i="1" s="1"/>
  <c r="AV2" i="1"/>
  <c r="AV6" i="1"/>
  <c r="AW6" i="1" s="1"/>
  <c r="AV10" i="1"/>
  <c r="AW10" i="1" s="1"/>
  <c r="AV3" i="1"/>
  <c r="AW3" i="1" s="1"/>
  <c r="AV7" i="1"/>
  <c r="AW7" i="1" s="1"/>
  <c r="AV11" i="1"/>
  <c r="AW11" i="1" s="1"/>
  <c r="E38" i="1"/>
  <c r="E42" i="1"/>
  <c r="F42" i="1" s="1"/>
  <c r="E46" i="1"/>
  <c r="F46" i="1" s="1"/>
  <c r="E39" i="1"/>
  <c r="F39" i="1" s="1"/>
  <c r="E43" i="1"/>
  <c r="F43" i="1" s="1"/>
  <c r="E47" i="1"/>
  <c r="F47" i="1" s="1"/>
  <c r="E40" i="1"/>
  <c r="F40" i="1" s="1"/>
  <c r="E44" i="1"/>
  <c r="F44" i="1" s="1"/>
  <c r="E48" i="1"/>
  <c r="F48" i="1" s="1"/>
  <c r="E98" i="1"/>
  <c r="E102" i="1"/>
  <c r="F102" i="1" s="1"/>
  <c r="E106" i="1"/>
  <c r="F106" i="1" s="1"/>
  <c r="E99" i="1"/>
  <c r="F99" i="1" s="1"/>
  <c r="E103" i="1"/>
  <c r="F103" i="1" s="1"/>
  <c r="E107" i="1"/>
  <c r="F107" i="1" s="1"/>
  <c r="E100" i="1"/>
  <c r="F100" i="1" s="1"/>
  <c r="E104" i="1"/>
  <c r="F104" i="1" s="1"/>
  <c r="E108" i="1"/>
  <c r="F108" i="1" s="1"/>
  <c r="AV87" i="1"/>
  <c r="AV91" i="1"/>
  <c r="AW91" i="1" s="1"/>
  <c r="AV95" i="1"/>
  <c r="AW95" i="1" s="1"/>
  <c r="AV88" i="1"/>
  <c r="AW88" i="1" s="1"/>
  <c r="AV92" i="1"/>
  <c r="AW92" i="1" s="1"/>
  <c r="AV96" i="1"/>
  <c r="AW96" i="1" s="1"/>
  <c r="E109" i="1"/>
  <c r="F109" i="1" s="1"/>
  <c r="E49" i="1"/>
  <c r="F49" i="1" s="1"/>
  <c r="AV98" i="1"/>
  <c r="AV102" i="1"/>
  <c r="AW102" i="1" s="1"/>
  <c r="AV106" i="1"/>
  <c r="AW106" i="1" s="1"/>
  <c r="AV99" i="1"/>
  <c r="AW99" i="1" s="1"/>
  <c r="AV103" i="1"/>
  <c r="AW103" i="1" s="1"/>
  <c r="AV107" i="1"/>
  <c r="AW107" i="1" s="1"/>
  <c r="AV39" i="1"/>
  <c r="AV43" i="1"/>
  <c r="AW43" i="1" s="1"/>
  <c r="AV47" i="1"/>
  <c r="AW47" i="1" s="1"/>
  <c r="AV40" i="1"/>
  <c r="AW40" i="1" s="1"/>
  <c r="AV44" i="1"/>
  <c r="AW44" i="1" s="1"/>
  <c r="AV48" i="1"/>
  <c r="AW48" i="1" s="1"/>
  <c r="AV13" i="1"/>
  <c r="AW13" i="1" s="1"/>
  <c r="AV5" i="1"/>
  <c r="AW5" i="1" s="1"/>
  <c r="E86" i="1"/>
  <c r="E90" i="1"/>
  <c r="F90" i="1" s="1"/>
  <c r="E94" i="1"/>
  <c r="F94" i="1" s="1"/>
  <c r="E87" i="1"/>
  <c r="F87" i="1" s="1"/>
  <c r="E91" i="1"/>
  <c r="F91" i="1" s="1"/>
  <c r="E95" i="1"/>
  <c r="F95" i="1" s="1"/>
  <c r="E88" i="1"/>
  <c r="F88" i="1" s="1"/>
  <c r="E92" i="1"/>
  <c r="F92" i="1" s="1"/>
  <c r="E96" i="1"/>
  <c r="F96" i="1" s="1"/>
  <c r="E45" i="1"/>
  <c r="F45" i="1" s="1"/>
  <c r="E84" i="1"/>
  <c r="F84" i="1" s="1"/>
  <c r="E80" i="1"/>
  <c r="F80" i="1" s="1"/>
  <c r="E76" i="1"/>
  <c r="E36" i="1"/>
  <c r="F36" i="1" s="1"/>
  <c r="E32" i="1"/>
  <c r="F32" i="1" s="1"/>
  <c r="E28" i="1"/>
  <c r="I38" i="1"/>
  <c r="I42" i="1"/>
  <c r="J42" i="1" s="1"/>
  <c r="I46" i="1"/>
  <c r="J46" i="1" s="1"/>
  <c r="I39" i="1"/>
  <c r="J39" i="1" s="1"/>
  <c r="I43" i="1"/>
  <c r="J43" i="1" s="1"/>
  <c r="I47" i="1"/>
  <c r="J47" i="1" s="1"/>
  <c r="I40" i="1"/>
  <c r="J40" i="1" s="1"/>
  <c r="I44" i="1"/>
  <c r="J44" i="1" s="1"/>
  <c r="I48" i="1"/>
  <c r="J48" i="1" s="1"/>
  <c r="I98" i="1"/>
  <c r="I102" i="1"/>
  <c r="J102" i="1" s="1"/>
  <c r="I106" i="1"/>
  <c r="J106" i="1" s="1"/>
  <c r="I99" i="1"/>
  <c r="J99" i="1" s="1"/>
  <c r="I103" i="1"/>
  <c r="J103" i="1" s="1"/>
  <c r="I107" i="1"/>
  <c r="J107" i="1" s="1"/>
  <c r="I100" i="1"/>
  <c r="J100" i="1" s="1"/>
  <c r="I104" i="1"/>
  <c r="J104" i="1" s="1"/>
  <c r="I108" i="1"/>
  <c r="J108" i="1" s="1"/>
  <c r="AV84" i="1"/>
  <c r="AW84" i="1" s="1"/>
  <c r="AV80" i="1"/>
  <c r="AV36" i="1"/>
  <c r="AW36" i="1" s="1"/>
  <c r="AV32" i="1"/>
  <c r="E83" i="1"/>
  <c r="F83" i="1" s="1"/>
  <c r="E79" i="1"/>
  <c r="F79" i="1" s="1"/>
  <c r="E72" i="1"/>
  <c r="F72" i="1" s="1"/>
  <c r="E68" i="1"/>
  <c r="E35" i="1"/>
  <c r="F35" i="1" s="1"/>
  <c r="E31" i="1"/>
  <c r="F31" i="1" s="1"/>
  <c r="E24" i="1"/>
  <c r="F24" i="1" s="1"/>
  <c r="E20" i="1"/>
  <c r="I119" i="1"/>
  <c r="J119" i="1" s="1"/>
  <c r="I115" i="1"/>
  <c r="J115" i="1" s="1"/>
  <c r="I111" i="1"/>
  <c r="I59" i="1"/>
  <c r="J59" i="1" s="1"/>
  <c r="I55" i="1"/>
  <c r="J55" i="1" s="1"/>
  <c r="I51" i="1"/>
  <c r="I11" i="1"/>
  <c r="J11" i="1" s="1"/>
  <c r="I7" i="1"/>
  <c r="J7" i="1" s="1"/>
  <c r="I3" i="1"/>
  <c r="O26" i="1"/>
  <c r="I118" i="1"/>
  <c r="J118" i="1" s="1"/>
  <c r="I114" i="1"/>
  <c r="J114" i="1" s="1"/>
  <c r="I84" i="1"/>
  <c r="J84" i="1" s="1"/>
  <c r="I80" i="1"/>
  <c r="I58" i="1"/>
  <c r="J58" i="1" s="1"/>
  <c r="I54" i="1"/>
  <c r="J54" i="1" s="1"/>
  <c r="I36" i="1"/>
  <c r="J36" i="1" s="1"/>
  <c r="I32" i="1"/>
  <c r="I10" i="1"/>
  <c r="J10" i="1" s="1"/>
  <c r="I6" i="1"/>
  <c r="J6" i="1" s="1"/>
  <c r="N86" i="1"/>
  <c r="N90" i="1"/>
  <c r="O90" i="1" s="1"/>
  <c r="N94" i="1"/>
  <c r="O94" i="1" s="1"/>
  <c r="N87" i="1"/>
  <c r="O87" i="1" s="1"/>
  <c r="N91" i="1"/>
  <c r="O91" i="1" s="1"/>
  <c r="N95" i="1"/>
  <c r="O95" i="1" s="1"/>
  <c r="N88" i="1"/>
  <c r="O88" i="1" s="1"/>
  <c r="N92" i="1"/>
  <c r="O92" i="1" s="1"/>
  <c r="N96" i="1"/>
  <c r="O96" i="1" s="1"/>
  <c r="N89" i="1"/>
  <c r="O89" i="1" s="1"/>
  <c r="N93" i="1"/>
  <c r="O93" i="1" s="1"/>
  <c r="N97" i="1"/>
  <c r="O97" i="1" s="1"/>
  <c r="N38" i="1"/>
  <c r="N42" i="1"/>
  <c r="O42" i="1" s="1"/>
  <c r="N46" i="1"/>
  <c r="O46" i="1" s="1"/>
  <c r="N39" i="1"/>
  <c r="O39" i="1" s="1"/>
  <c r="N43" i="1"/>
  <c r="O43" i="1" s="1"/>
  <c r="N47" i="1"/>
  <c r="O47" i="1" s="1"/>
  <c r="N40" i="1"/>
  <c r="O40" i="1" s="1"/>
  <c r="N44" i="1"/>
  <c r="O44" i="1" s="1"/>
  <c r="N48" i="1"/>
  <c r="O48" i="1" s="1"/>
  <c r="N28" i="4"/>
  <c r="G77" i="4" s="1"/>
  <c r="N84" i="1"/>
  <c r="O84" i="1" s="1"/>
  <c r="N80" i="1"/>
  <c r="O80" i="1" s="1"/>
  <c r="N76" i="1"/>
  <c r="N36" i="1"/>
  <c r="O36" i="1" s="1"/>
  <c r="N32" i="1"/>
  <c r="O32" i="1" s="1"/>
  <c r="N28" i="1"/>
  <c r="Q28" i="4"/>
  <c r="G80" i="4" s="1"/>
  <c r="M28" i="4"/>
  <c r="G76" i="4" s="1"/>
  <c r="I28" i="4"/>
  <c r="G72" i="4" s="1"/>
  <c r="F28" i="4"/>
  <c r="G69" i="4" s="1"/>
  <c r="AD64" i="1"/>
  <c r="AE64" i="1" s="1"/>
  <c r="AD68" i="1"/>
  <c r="AE68" i="1" s="1"/>
  <c r="AD72" i="1"/>
  <c r="AE72" i="1" s="1"/>
  <c r="AD62" i="1"/>
  <c r="AD66" i="1"/>
  <c r="AE66" i="1" s="1"/>
  <c r="AD70" i="1"/>
  <c r="AE70" i="1" s="1"/>
  <c r="AD63" i="1"/>
  <c r="AE63" i="1" s="1"/>
  <c r="AD67" i="1"/>
  <c r="AE67" i="1" s="1"/>
  <c r="AD71" i="1"/>
  <c r="AE71" i="1" s="1"/>
  <c r="AD65" i="1"/>
  <c r="AE65" i="1" s="1"/>
  <c r="AD69" i="1"/>
  <c r="AE69" i="1" s="1"/>
  <c r="AD73" i="1"/>
  <c r="AE73" i="1" s="1"/>
  <c r="N120" i="1"/>
  <c r="O120" i="1" s="1"/>
  <c r="N116" i="1"/>
  <c r="N83" i="1"/>
  <c r="O83" i="1" s="1"/>
  <c r="N79" i="1"/>
  <c r="O79" i="1" s="1"/>
  <c r="N72" i="1"/>
  <c r="O72" i="1" s="1"/>
  <c r="N68" i="1"/>
  <c r="N35" i="1"/>
  <c r="O35" i="1" s="1"/>
  <c r="N31" i="1"/>
  <c r="O31" i="1" s="1"/>
  <c r="N24" i="1"/>
  <c r="O24" i="1" s="1"/>
  <c r="N20" i="1"/>
  <c r="O28" i="4"/>
  <c r="G78" i="4" s="1"/>
  <c r="K28" i="4"/>
  <c r="G74" i="4" s="1"/>
  <c r="AD16" i="1"/>
  <c r="AE16" i="1" s="1"/>
  <c r="AD20" i="1"/>
  <c r="AE20" i="1" s="1"/>
  <c r="AD24" i="1"/>
  <c r="AE24" i="1" s="1"/>
  <c r="AD14" i="1"/>
  <c r="AD18" i="1"/>
  <c r="AE18" i="1" s="1"/>
  <c r="AD22" i="1"/>
  <c r="AE22" i="1" s="1"/>
  <c r="AD15" i="1"/>
  <c r="AE15" i="1" s="1"/>
  <c r="AD19" i="1"/>
  <c r="AE19" i="1" s="1"/>
  <c r="AD23" i="1"/>
  <c r="AE23" i="1" s="1"/>
  <c r="AD17" i="1"/>
  <c r="AE17" i="1" s="1"/>
  <c r="AD21" i="1"/>
  <c r="AE21" i="1" s="1"/>
  <c r="AD25" i="1"/>
  <c r="AE25" i="1" s="1"/>
  <c r="G28" i="4"/>
  <c r="G70" i="4" s="1"/>
  <c r="M60" i="4"/>
  <c r="H76" i="4" s="1"/>
  <c r="AD120" i="1"/>
  <c r="AE120" i="1" s="1"/>
  <c r="AD116" i="1"/>
  <c r="AE116" i="1" s="1"/>
  <c r="AD112" i="1"/>
  <c r="AD82" i="1"/>
  <c r="AE82" i="1" s="1"/>
  <c r="AD78" i="1"/>
  <c r="AD60" i="1"/>
  <c r="AE60" i="1" s="1"/>
  <c r="AD56" i="1"/>
  <c r="AE56" i="1" s="1"/>
  <c r="AD52" i="1"/>
  <c r="AD34" i="1"/>
  <c r="AE34" i="1" s="1"/>
  <c r="AD30" i="1"/>
  <c r="AD12" i="1"/>
  <c r="AE12" i="1" s="1"/>
  <c r="AD8" i="1"/>
  <c r="AD119" i="1"/>
  <c r="AE119" i="1" s="1"/>
  <c r="AD115" i="1"/>
  <c r="AE115" i="1" s="1"/>
  <c r="L60" i="4"/>
  <c r="H75" i="4" s="1"/>
  <c r="K60" i="4"/>
  <c r="H74" i="4" s="1"/>
  <c r="AI74" i="1"/>
  <c r="AI76" i="1"/>
  <c r="AJ76" i="1" s="1"/>
  <c r="AI78" i="1"/>
  <c r="AJ78" i="1" s="1"/>
  <c r="AI80" i="1"/>
  <c r="AJ80" i="1" s="1"/>
  <c r="AI82" i="1"/>
  <c r="AJ82" i="1" s="1"/>
  <c r="AI84" i="1"/>
  <c r="AJ84" i="1" s="1"/>
  <c r="AI75" i="1"/>
  <c r="AJ75" i="1" s="1"/>
  <c r="AI77" i="1"/>
  <c r="AJ77" i="1" s="1"/>
  <c r="AI79" i="1"/>
  <c r="AJ79" i="1" s="1"/>
  <c r="AI81" i="1"/>
  <c r="AJ81" i="1" s="1"/>
  <c r="AI83" i="1"/>
  <c r="AJ83" i="1" s="1"/>
  <c r="AI85" i="1"/>
  <c r="AJ85" i="1" s="1"/>
  <c r="P60" i="4"/>
  <c r="H79" i="4" s="1"/>
  <c r="O60" i="4"/>
  <c r="H78" i="4" s="1"/>
  <c r="AI26" i="1"/>
  <c r="AI28" i="1"/>
  <c r="AJ28" i="1" s="1"/>
  <c r="AI30" i="1"/>
  <c r="AJ30" i="1" s="1"/>
  <c r="AI32" i="1"/>
  <c r="AJ32" i="1" s="1"/>
  <c r="AI34" i="1"/>
  <c r="AJ34" i="1" s="1"/>
  <c r="AI36" i="1"/>
  <c r="AJ36" i="1" s="1"/>
  <c r="AI27" i="1"/>
  <c r="AJ27" i="1" s="1"/>
  <c r="AI29" i="1"/>
  <c r="AJ29" i="1" s="1"/>
  <c r="AI31" i="1"/>
  <c r="AJ31" i="1" s="1"/>
  <c r="AI33" i="1"/>
  <c r="AJ33" i="1" s="1"/>
  <c r="AI35" i="1"/>
  <c r="AJ35" i="1" s="1"/>
  <c r="AI37" i="1"/>
  <c r="AJ37" i="1" s="1"/>
  <c r="AI102" i="1"/>
  <c r="AJ102" i="1" s="1"/>
  <c r="AI100" i="1"/>
  <c r="AJ100" i="1" s="1"/>
  <c r="AI98" i="1"/>
  <c r="AI54" i="1"/>
  <c r="AJ54" i="1" s="1"/>
  <c r="AI52" i="1"/>
  <c r="AJ52" i="1" s="1"/>
  <c r="AI50" i="1"/>
  <c r="AI8" i="1"/>
  <c r="AJ8" i="1" s="1"/>
  <c r="AI6" i="1"/>
  <c r="AJ6" i="1" s="1"/>
  <c r="AI4" i="1"/>
  <c r="AJ4" i="1" s="1"/>
  <c r="AI2" i="1"/>
  <c r="AI90" i="1"/>
  <c r="AJ90" i="1" s="1"/>
  <c r="AI88" i="1"/>
  <c r="AI40" i="1"/>
  <c r="AI53" i="1"/>
  <c r="AJ53" i="1" s="1"/>
  <c r="AI7" i="1"/>
  <c r="AJ7" i="1" s="1"/>
  <c r="AI5" i="1"/>
  <c r="AJ5" i="1" s="1"/>
  <c r="U7" i="34" l="1"/>
  <c r="AD7" i="34"/>
  <c r="AE14" i="34"/>
  <c r="I6" i="33" s="1"/>
  <c r="AI14" i="34"/>
  <c r="AM14" i="34"/>
  <c r="U8" i="34"/>
  <c r="AD8" i="34"/>
  <c r="U9" i="34"/>
  <c r="AD9" i="34"/>
  <c r="U6" i="34"/>
  <c r="AD6" i="34"/>
  <c r="U11" i="34"/>
  <c r="AD11" i="34"/>
  <c r="U12" i="34"/>
  <c r="AD12" i="34"/>
  <c r="U13" i="34"/>
  <c r="AD13" i="34"/>
  <c r="AM16" i="34"/>
  <c r="AI16" i="34"/>
  <c r="BP15" i="34"/>
  <c r="BV15" i="34" s="1"/>
  <c r="CB15" i="34" s="1"/>
  <c r="AX15" i="34"/>
  <c r="BG15" i="34" s="1"/>
  <c r="U10" i="34"/>
  <c r="AD10" i="34"/>
  <c r="C89" i="43"/>
  <c r="S89" i="43" s="1"/>
  <c r="C89" i="49"/>
  <c r="C79" i="43"/>
  <c r="S79" i="43" s="1"/>
  <c r="C79" i="49"/>
  <c r="E9" i="48"/>
  <c r="R9" i="48" s="1"/>
  <c r="D9" i="49"/>
  <c r="L9" i="49" s="1"/>
  <c r="C114" i="31"/>
  <c r="D25" i="49"/>
  <c r="L25" i="49" s="1"/>
  <c r="R13" i="49"/>
  <c r="C48" i="31"/>
  <c r="C53" i="31"/>
  <c r="C91" i="31"/>
  <c r="C90" i="31"/>
  <c r="C98" i="31"/>
  <c r="C47" i="31"/>
  <c r="C43" i="15"/>
  <c r="S43" i="15" s="1"/>
  <c r="C42" i="31"/>
  <c r="D17" i="49"/>
  <c r="L17" i="49" s="1"/>
  <c r="R5" i="49"/>
  <c r="C59" i="31"/>
  <c r="C92" i="31"/>
  <c r="C106" i="31"/>
  <c r="AQ61" i="1"/>
  <c r="C61" i="49" s="1"/>
  <c r="E2" i="48"/>
  <c r="R2" i="48" s="1"/>
  <c r="D2" i="49"/>
  <c r="L2" i="49" s="1"/>
  <c r="E3" i="48"/>
  <c r="R3" i="48" s="1"/>
  <c r="D3" i="49"/>
  <c r="L3" i="49" s="1"/>
  <c r="E8" i="48"/>
  <c r="R8" i="48" s="1"/>
  <c r="D8" i="49"/>
  <c r="L8" i="49" s="1"/>
  <c r="C102" i="31"/>
  <c r="AQ83" i="1"/>
  <c r="C83" i="49" s="1"/>
  <c r="C74" i="31"/>
  <c r="D18" i="49"/>
  <c r="L18" i="49" s="1"/>
  <c r="R6" i="49"/>
  <c r="D23" i="49"/>
  <c r="L23" i="49" s="1"/>
  <c r="R11" i="49"/>
  <c r="E4" i="48"/>
  <c r="R4" i="48" s="1"/>
  <c r="D4" i="49"/>
  <c r="L4" i="49" s="1"/>
  <c r="C54" i="31"/>
  <c r="C97" i="15"/>
  <c r="S97" i="15" s="1"/>
  <c r="C118" i="31"/>
  <c r="E10" i="48"/>
  <c r="R10" i="48" s="1"/>
  <c r="D10" i="49"/>
  <c r="L10" i="49" s="1"/>
  <c r="AQ80" i="1"/>
  <c r="C80" i="49" s="1"/>
  <c r="D19" i="49"/>
  <c r="L19" i="49" s="1"/>
  <c r="R7" i="49"/>
  <c r="D24" i="49"/>
  <c r="L24" i="49" s="1"/>
  <c r="R12" i="49"/>
  <c r="C26" i="31"/>
  <c r="C58" i="31"/>
  <c r="C94" i="31"/>
  <c r="C52" i="45"/>
  <c r="AC52" i="45" s="1"/>
  <c r="C52" i="48"/>
  <c r="C16" i="45"/>
  <c r="AC16" i="45" s="1"/>
  <c r="C16" i="48"/>
  <c r="D15" i="48"/>
  <c r="Q15" i="48" s="1"/>
  <c r="D19" i="48"/>
  <c r="Q19" i="48" s="1"/>
  <c r="D25" i="48"/>
  <c r="Q25" i="48" s="1"/>
  <c r="D13" i="31"/>
  <c r="L13" i="31" s="1"/>
  <c r="R13" i="31" s="1"/>
  <c r="E13" i="48"/>
  <c r="R13" i="48" s="1"/>
  <c r="C105" i="29"/>
  <c r="T61" i="1"/>
  <c r="C61" i="48" s="1"/>
  <c r="C103" i="29"/>
  <c r="C7" i="29"/>
  <c r="D34" i="13"/>
  <c r="AD34" i="13" s="1"/>
  <c r="T23" i="1"/>
  <c r="C23" i="48" s="1"/>
  <c r="D16" i="48"/>
  <c r="Q16" i="48" s="1"/>
  <c r="D20" i="48"/>
  <c r="Q20" i="48" s="1"/>
  <c r="D2" i="29"/>
  <c r="Q2" i="29" s="1"/>
  <c r="D2" i="48"/>
  <c r="Q2" i="48" s="1"/>
  <c r="D5" i="31"/>
  <c r="E5" i="48"/>
  <c r="R5" i="48" s="1"/>
  <c r="C9" i="29"/>
  <c r="C12" i="29"/>
  <c r="D17" i="48"/>
  <c r="Q17" i="48" s="1"/>
  <c r="D21" i="48"/>
  <c r="Q21" i="48" s="1"/>
  <c r="D12" i="29"/>
  <c r="Q12" i="29" s="1"/>
  <c r="D12" i="48"/>
  <c r="Q12" i="48" s="1"/>
  <c r="E6" i="27"/>
  <c r="N6" i="27" s="1"/>
  <c r="E6" i="48"/>
  <c r="R6" i="48" s="1"/>
  <c r="E11" i="29"/>
  <c r="E23" i="29" s="1"/>
  <c r="E11" i="48"/>
  <c r="R11" i="48" s="1"/>
  <c r="D10" i="28"/>
  <c r="N10" i="28" s="1"/>
  <c r="D10" i="48"/>
  <c r="Q10" i="48" s="1"/>
  <c r="C51" i="29"/>
  <c r="C55" i="29"/>
  <c r="C17" i="29"/>
  <c r="T13" i="1"/>
  <c r="C13" i="45" s="1"/>
  <c r="AC13" i="45" s="1"/>
  <c r="C3" i="29"/>
  <c r="D18" i="48"/>
  <c r="Q18" i="48" s="1"/>
  <c r="D23" i="48"/>
  <c r="Q23" i="48" s="1"/>
  <c r="D7" i="31"/>
  <c r="E7" i="48"/>
  <c r="R7" i="48" s="1"/>
  <c r="E12" i="29"/>
  <c r="E24" i="29" s="1"/>
  <c r="E12" i="48"/>
  <c r="R12" i="48" s="1"/>
  <c r="C59" i="29"/>
  <c r="T53" i="1"/>
  <c r="C53" i="48" s="1"/>
  <c r="C100" i="29"/>
  <c r="C22" i="29"/>
  <c r="T18" i="1"/>
  <c r="C18" i="48" s="1"/>
  <c r="C19" i="29"/>
  <c r="C21" i="29"/>
  <c r="C25" i="29"/>
  <c r="U14" i="39"/>
  <c r="W14" i="39" s="1"/>
  <c r="U6" i="39"/>
  <c r="W6" i="39" s="1"/>
  <c r="AC5" i="39"/>
  <c r="AF8" i="39"/>
  <c r="AG7" i="39"/>
  <c r="AL7" i="39"/>
  <c r="AH7" i="39"/>
  <c r="AO6" i="39"/>
  <c r="C14" i="24"/>
  <c r="AH19" i="19"/>
  <c r="BF15" i="40"/>
  <c r="K10" i="21"/>
  <c r="AH20" i="19"/>
  <c r="L10" i="21"/>
  <c r="C24" i="21" s="1"/>
  <c r="E24" i="21" s="1"/>
  <c r="BF16" i="40"/>
  <c r="N67" i="40"/>
  <c r="P38" i="40" s="1"/>
  <c r="N68" i="40"/>
  <c r="P39" i="40" s="1"/>
  <c r="O67" i="40"/>
  <c r="Q38" i="40" s="1"/>
  <c r="O68" i="40"/>
  <c r="Q39" i="40" s="1"/>
  <c r="D27" i="21"/>
  <c r="D27" i="33"/>
  <c r="N31" i="40"/>
  <c r="L60" i="40" s="1"/>
  <c r="K43" i="40"/>
  <c r="K72" i="40" s="1"/>
  <c r="J50" i="40"/>
  <c r="J79" i="40" s="1"/>
  <c r="O7" i="19"/>
  <c r="U7" i="19" s="1"/>
  <c r="AA7" i="19" s="1"/>
  <c r="O9" i="19"/>
  <c r="U9" i="19" s="1"/>
  <c r="AA9" i="19" s="1"/>
  <c r="I46" i="40"/>
  <c r="I75" i="40" s="1"/>
  <c r="J51" i="40"/>
  <c r="J80" i="40" s="1"/>
  <c r="AI9" i="19"/>
  <c r="AG10" i="19"/>
  <c r="J44" i="40"/>
  <c r="J73" i="40" s="1"/>
  <c r="I44" i="40"/>
  <c r="I73" i="40" s="1"/>
  <c r="I47" i="40"/>
  <c r="I76" i="40" s="1"/>
  <c r="I45" i="40"/>
  <c r="I74" i="40" s="1"/>
  <c r="C36" i="21"/>
  <c r="AJ8" i="19"/>
  <c r="BG8" i="40"/>
  <c r="J46" i="40"/>
  <c r="J75" i="40" s="1"/>
  <c r="I49" i="40"/>
  <c r="I78" i="40" s="1"/>
  <c r="BO6" i="40"/>
  <c r="L44" i="40" s="1"/>
  <c r="L73" i="40" s="1"/>
  <c r="AO8" i="19"/>
  <c r="AM9" i="19"/>
  <c r="AQ7" i="19"/>
  <c r="J82" i="40"/>
  <c r="J53" i="40" s="1"/>
  <c r="K8" i="39"/>
  <c r="I43" i="40"/>
  <c r="I72" i="40" s="1"/>
  <c r="O30" i="40"/>
  <c r="M59" i="40" s="1"/>
  <c r="O34" i="40"/>
  <c r="M63" i="40" s="1"/>
  <c r="O37" i="40"/>
  <c r="M66" i="40" s="1"/>
  <c r="O28" i="40"/>
  <c r="M57" i="40" s="1"/>
  <c r="I30" i="40"/>
  <c r="I59" i="40" s="1"/>
  <c r="I67" i="40" s="1"/>
  <c r="I38" i="40" s="1"/>
  <c r="O32" i="40"/>
  <c r="M61" i="40" s="1"/>
  <c r="I34" i="40"/>
  <c r="I63" i="40" s="1"/>
  <c r="N29" i="40"/>
  <c r="L58" i="40" s="1"/>
  <c r="O29" i="40"/>
  <c r="M58" i="40" s="1"/>
  <c r="I31" i="40"/>
  <c r="I60" i="40" s="1"/>
  <c r="N33" i="40"/>
  <c r="L62" i="40" s="1"/>
  <c r="O33" i="40"/>
  <c r="M62" i="40" s="1"/>
  <c r="I35" i="40"/>
  <c r="I64" i="40" s="1"/>
  <c r="AD4" i="13"/>
  <c r="N12" i="16"/>
  <c r="N8" i="16"/>
  <c r="N4" i="16"/>
  <c r="N11" i="16"/>
  <c r="N7" i="16"/>
  <c r="N10" i="16"/>
  <c r="N6" i="16"/>
  <c r="N13" i="16"/>
  <c r="N9" i="16"/>
  <c r="N5" i="16"/>
  <c r="X4" i="12"/>
  <c r="X9" i="12"/>
  <c r="C19" i="30"/>
  <c r="AQ118" i="1"/>
  <c r="K5" i="39"/>
  <c r="D11" i="31"/>
  <c r="D23" i="31" s="1"/>
  <c r="C61" i="15"/>
  <c r="S61" i="15" s="1"/>
  <c r="C19" i="25"/>
  <c r="C25" i="24"/>
  <c r="T25" i="1"/>
  <c r="C16" i="46"/>
  <c r="D25" i="13"/>
  <c r="AD25" i="13" s="1"/>
  <c r="C108" i="30"/>
  <c r="C34" i="24"/>
  <c r="AC9" i="39"/>
  <c r="E5" i="24"/>
  <c r="E17" i="24" s="1"/>
  <c r="C108" i="14"/>
  <c r="S108" i="14" s="1"/>
  <c r="C15" i="25"/>
  <c r="D57" i="12"/>
  <c r="X57" i="12" s="1"/>
  <c r="C23" i="23"/>
  <c r="C74" i="27"/>
  <c r="C34" i="29"/>
  <c r="C79" i="47"/>
  <c r="AC6" i="39"/>
  <c r="AQ54" i="1"/>
  <c r="T14" i="1"/>
  <c r="C23" i="22"/>
  <c r="D7" i="13"/>
  <c r="C21" i="24"/>
  <c r="C17" i="28"/>
  <c r="D21" i="13"/>
  <c r="AD21" i="13" s="1"/>
  <c r="D14" i="13"/>
  <c r="AD14" i="13" s="1"/>
  <c r="C17" i="24"/>
  <c r="C14" i="29"/>
  <c r="D17" i="12"/>
  <c r="X17" i="12" s="1"/>
  <c r="D17" i="13"/>
  <c r="AD17" i="13" s="1"/>
  <c r="Q14" i="39"/>
  <c r="AD14" i="19"/>
  <c r="D105" i="13"/>
  <c r="AD105" i="13" s="1"/>
  <c r="T17" i="1"/>
  <c r="T21" i="1"/>
  <c r="C21" i="30"/>
  <c r="C21" i="25"/>
  <c r="K6" i="39"/>
  <c r="Q6" i="39"/>
  <c r="L13" i="19"/>
  <c r="M14" i="19" s="1"/>
  <c r="AD13" i="19"/>
  <c r="AE13" i="19" s="1"/>
  <c r="E12" i="28"/>
  <c r="O12" i="28" s="1"/>
  <c r="D3" i="13"/>
  <c r="T19" i="1"/>
  <c r="D74" i="11"/>
  <c r="V74" i="11" s="1"/>
  <c r="T34" i="1"/>
  <c r="D18" i="13"/>
  <c r="AD18" i="13" s="1"/>
  <c r="C20" i="30"/>
  <c r="D19" i="13"/>
  <c r="AD19" i="13" s="1"/>
  <c r="AD5" i="19"/>
  <c r="T103" i="1"/>
  <c r="C22" i="28"/>
  <c r="C18" i="24"/>
  <c r="C23" i="29"/>
  <c r="C26" i="26"/>
  <c r="C57" i="28"/>
  <c r="C22" i="23"/>
  <c r="D78" i="12"/>
  <c r="X78" i="12" s="1"/>
  <c r="C23" i="25"/>
  <c r="C81" i="28"/>
  <c r="AC13" i="39"/>
  <c r="C81" i="27"/>
  <c r="C81" i="22"/>
  <c r="C16" i="30"/>
  <c r="D81" i="12"/>
  <c r="X81" i="12" s="1"/>
  <c r="T55" i="1"/>
  <c r="C16" i="14"/>
  <c r="S16" i="14" s="1"/>
  <c r="C85" i="22"/>
  <c r="C9" i="24"/>
  <c r="C19" i="24"/>
  <c r="D19" i="12"/>
  <c r="X19" i="12" s="1"/>
  <c r="T105" i="1"/>
  <c r="C9" i="23"/>
  <c r="T7" i="1"/>
  <c r="C100" i="24"/>
  <c r="C78" i="23"/>
  <c r="Q12" i="39"/>
  <c r="C18" i="29"/>
  <c r="C23" i="28"/>
  <c r="AZ6" i="18"/>
  <c r="D9" i="13"/>
  <c r="C19" i="28"/>
  <c r="C105" i="24"/>
  <c r="C7" i="24"/>
  <c r="D10" i="29"/>
  <c r="Q10" i="29" s="1"/>
  <c r="K14" i="39"/>
  <c r="C29" i="25"/>
  <c r="D85" i="11"/>
  <c r="V85" i="11" s="1"/>
  <c r="K11" i="39"/>
  <c r="C80" i="25"/>
  <c r="T9" i="1"/>
  <c r="C80" i="30"/>
  <c r="C22" i="24"/>
  <c r="D18" i="12"/>
  <c r="X18" i="12" s="1"/>
  <c r="R8" i="19"/>
  <c r="D13" i="13"/>
  <c r="K12" i="39"/>
  <c r="C94" i="26"/>
  <c r="AC12" i="39"/>
  <c r="C23" i="30"/>
  <c r="C3" i="24"/>
  <c r="K13" i="39"/>
  <c r="Q10" i="39"/>
  <c r="C77" i="28"/>
  <c r="C77" i="23"/>
  <c r="C12" i="24"/>
  <c r="C23" i="24"/>
  <c r="C94" i="15"/>
  <c r="S94" i="15" s="1"/>
  <c r="C54" i="26"/>
  <c r="E6" i="28"/>
  <c r="E18" i="28" s="1"/>
  <c r="C52" i="46"/>
  <c r="T3" i="1"/>
  <c r="Q13" i="39"/>
  <c r="C25" i="28"/>
  <c r="D61" i="13"/>
  <c r="AD61" i="13" s="1"/>
  <c r="D23" i="13"/>
  <c r="AD23" i="13" s="1"/>
  <c r="K9" i="39"/>
  <c r="AC8" i="39"/>
  <c r="C83" i="28"/>
  <c r="AQ94" i="1"/>
  <c r="C54" i="15"/>
  <c r="S54" i="15" s="1"/>
  <c r="D25" i="12"/>
  <c r="X25" i="12" s="1"/>
  <c r="C20" i="14"/>
  <c r="S20" i="14" s="1"/>
  <c r="T22" i="1"/>
  <c r="Q11" i="39"/>
  <c r="C83" i="23"/>
  <c r="C118" i="26"/>
  <c r="K7" i="39"/>
  <c r="C53" i="27"/>
  <c r="C9" i="28"/>
  <c r="D22" i="13"/>
  <c r="AD22" i="13" s="1"/>
  <c r="C55" i="24"/>
  <c r="C13" i="29"/>
  <c r="C118" i="15"/>
  <c r="S118" i="15" s="1"/>
  <c r="C92" i="15"/>
  <c r="S92" i="15" s="1"/>
  <c r="AQ48" i="1"/>
  <c r="D53" i="11"/>
  <c r="V53" i="11" s="1"/>
  <c r="C15" i="30"/>
  <c r="C18" i="28"/>
  <c r="D55" i="13"/>
  <c r="AD55" i="13" s="1"/>
  <c r="C13" i="24"/>
  <c r="D85" i="12"/>
  <c r="X85" i="12" s="1"/>
  <c r="C85" i="28"/>
  <c r="C85" i="23"/>
  <c r="AC11" i="39"/>
  <c r="AC7" i="39"/>
  <c r="D12" i="13"/>
  <c r="T12" i="1"/>
  <c r="C12" i="48" s="1"/>
  <c r="AQ47" i="1"/>
  <c r="C24" i="30"/>
  <c r="C101" i="22"/>
  <c r="C51" i="24"/>
  <c r="C85" i="14"/>
  <c r="S85" i="14" s="1"/>
  <c r="C85" i="25"/>
  <c r="C17" i="14"/>
  <c r="S17" i="14" s="1"/>
  <c r="C17" i="25"/>
  <c r="C17" i="30"/>
  <c r="D79" i="12"/>
  <c r="X79" i="12" s="1"/>
  <c r="C79" i="23"/>
  <c r="C79" i="28"/>
  <c r="T108" i="1"/>
  <c r="C108" i="48" s="1"/>
  <c r="D108" i="13"/>
  <c r="AD108" i="13" s="1"/>
  <c r="C90" i="15"/>
  <c r="S90" i="15" s="1"/>
  <c r="E7" i="29"/>
  <c r="R7" i="29" s="1"/>
  <c r="C22" i="22"/>
  <c r="C58" i="26"/>
  <c r="C48" i="26"/>
  <c r="C113" i="14"/>
  <c r="S113" i="14" s="1"/>
  <c r="C24" i="14"/>
  <c r="S24" i="14" s="1"/>
  <c r="C63" i="27"/>
  <c r="D114" i="11"/>
  <c r="V114" i="11" s="1"/>
  <c r="AE7" i="19"/>
  <c r="C17" i="22"/>
  <c r="C23" i="27"/>
  <c r="T59" i="1"/>
  <c r="AC10" i="39"/>
  <c r="C108" i="24"/>
  <c r="C25" i="14"/>
  <c r="S25" i="14" s="1"/>
  <c r="C25" i="25"/>
  <c r="C25" i="30"/>
  <c r="C42" i="26"/>
  <c r="D12" i="31"/>
  <c r="L12" i="31" s="1"/>
  <c r="R12" i="31" s="1"/>
  <c r="D2" i="26"/>
  <c r="D14" i="26" s="1"/>
  <c r="D26" i="26" s="1"/>
  <c r="C58" i="15"/>
  <c r="S58" i="15" s="1"/>
  <c r="C48" i="15"/>
  <c r="S48" i="15" s="1"/>
  <c r="C60" i="14"/>
  <c r="S60" i="14" s="1"/>
  <c r="D53" i="13"/>
  <c r="AD53" i="13" s="1"/>
  <c r="C108" i="29"/>
  <c r="D14" i="12"/>
  <c r="X14" i="12" s="1"/>
  <c r="C14" i="28"/>
  <c r="C14" i="23"/>
  <c r="D74" i="12"/>
  <c r="X74" i="12" s="1"/>
  <c r="C74" i="23"/>
  <c r="C74" i="28"/>
  <c r="C22" i="30"/>
  <c r="C22" i="25"/>
  <c r="C22" i="14"/>
  <c r="S22" i="14" s="1"/>
  <c r="C84" i="14"/>
  <c r="S84" i="14" s="1"/>
  <c r="C84" i="30"/>
  <c r="C84" i="25"/>
  <c r="AQ43" i="1"/>
  <c r="C26" i="15"/>
  <c r="S26" i="15" s="1"/>
  <c r="AQ90" i="1"/>
  <c r="C106" i="26"/>
  <c r="E12" i="27"/>
  <c r="E24" i="27" s="1"/>
  <c r="M6" i="18"/>
  <c r="Q6" i="18" s="1"/>
  <c r="C91" i="26"/>
  <c r="D63" i="11"/>
  <c r="V63" i="11" s="1"/>
  <c r="D101" i="11"/>
  <c r="V101" i="11" s="1"/>
  <c r="C15" i="28"/>
  <c r="C117" i="28"/>
  <c r="D51" i="13"/>
  <c r="AD51" i="13" s="1"/>
  <c r="Q9" i="39"/>
  <c r="Q5" i="39"/>
  <c r="C79" i="30"/>
  <c r="C79" i="25"/>
  <c r="C79" i="14"/>
  <c r="S79" i="14" s="1"/>
  <c r="C65" i="14"/>
  <c r="S65" i="14" s="1"/>
  <c r="C65" i="30"/>
  <c r="C65" i="25"/>
  <c r="D21" i="12"/>
  <c r="X21" i="12" s="1"/>
  <c r="C21" i="23"/>
  <c r="C21" i="28"/>
  <c r="AF6" i="34"/>
  <c r="AJ6" i="34" s="1"/>
  <c r="AQ26" i="1"/>
  <c r="C106" i="15"/>
  <c r="S106" i="15" s="1"/>
  <c r="D10" i="27"/>
  <c r="M10" i="27" s="1"/>
  <c r="AQ91" i="1"/>
  <c r="C114" i="27"/>
  <c r="D15" i="12"/>
  <c r="X15" i="12" s="1"/>
  <c r="C26" i="30"/>
  <c r="T51" i="1"/>
  <c r="BI10" i="18"/>
  <c r="BJ10" i="18" s="1"/>
  <c r="T100" i="1"/>
  <c r="C100" i="48" s="1"/>
  <c r="C18" i="45"/>
  <c r="AC18" i="45" s="1"/>
  <c r="C18" i="46"/>
  <c r="AF6" i="18"/>
  <c r="AJ6" i="18" s="1"/>
  <c r="AK6" i="18" s="1"/>
  <c r="C90" i="26"/>
  <c r="AQ106" i="1"/>
  <c r="C91" i="15"/>
  <c r="S91" i="15" s="1"/>
  <c r="C60" i="30"/>
  <c r="C75" i="30"/>
  <c r="R9" i="19"/>
  <c r="S11" i="19" s="1"/>
  <c r="R30" i="19" s="1"/>
  <c r="D100" i="13"/>
  <c r="AD100" i="13" s="1"/>
  <c r="D8" i="13"/>
  <c r="C8" i="24"/>
  <c r="C8" i="29"/>
  <c r="T8" i="1"/>
  <c r="C8" i="48" s="1"/>
  <c r="C18" i="14"/>
  <c r="S18" i="14" s="1"/>
  <c r="C18" i="30"/>
  <c r="C18" i="25"/>
  <c r="C103" i="24"/>
  <c r="D103" i="13"/>
  <c r="AD103" i="13" s="1"/>
  <c r="D82" i="12"/>
  <c r="X82" i="12" s="1"/>
  <c r="C82" i="28"/>
  <c r="C82" i="23"/>
  <c r="C14" i="25"/>
  <c r="C14" i="30"/>
  <c r="C14" i="14"/>
  <c r="S14" i="14" s="1"/>
  <c r="M10" i="18"/>
  <c r="Q10" i="18" s="1"/>
  <c r="D57" i="13"/>
  <c r="AD57" i="13" s="1"/>
  <c r="C57" i="29"/>
  <c r="T57" i="1"/>
  <c r="C57" i="48" s="1"/>
  <c r="C57" i="24"/>
  <c r="E13" i="29"/>
  <c r="E25" i="29" s="1"/>
  <c r="AQ92" i="1"/>
  <c r="D17" i="11"/>
  <c r="V17" i="11" s="1"/>
  <c r="C75" i="14"/>
  <c r="S75" i="14" s="1"/>
  <c r="S14" i="19"/>
  <c r="C56" i="28"/>
  <c r="C61" i="26"/>
  <c r="C61" i="31"/>
  <c r="D54" i="11"/>
  <c r="V54" i="11" s="1"/>
  <c r="C54" i="22"/>
  <c r="C54" i="27"/>
  <c r="C61" i="24"/>
  <c r="C61" i="29"/>
  <c r="D60" i="11"/>
  <c r="V60" i="11" s="1"/>
  <c r="C60" i="27"/>
  <c r="AQ97" i="1"/>
  <c r="D56" i="12"/>
  <c r="X56" i="12" s="1"/>
  <c r="C59" i="24"/>
  <c r="C60" i="22"/>
  <c r="C15" i="29"/>
  <c r="T15" i="1"/>
  <c r="C15" i="48" s="1"/>
  <c r="C15" i="24"/>
  <c r="D15" i="13"/>
  <c r="AD15" i="13" s="1"/>
  <c r="E2" i="22"/>
  <c r="E14" i="22" s="1"/>
  <c r="V9" i="18"/>
  <c r="AA9" i="18" s="1"/>
  <c r="E2" i="23"/>
  <c r="R7" i="19"/>
  <c r="S7" i="19" s="1"/>
  <c r="R26" i="19" s="1"/>
  <c r="D59" i="13"/>
  <c r="AD59" i="13" s="1"/>
  <c r="D82" i="11"/>
  <c r="V82" i="11" s="1"/>
  <c r="C82" i="27"/>
  <c r="C82" i="22"/>
  <c r="C53" i="29"/>
  <c r="C53" i="24"/>
  <c r="C4" i="45"/>
  <c r="AC4" i="45" s="1"/>
  <c r="C4" i="46"/>
  <c r="AE9" i="19"/>
  <c r="T107" i="1"/>
  <c r="C107" i="48" s="1"/>
  <c r="C107" i="24"/>
  <c r="D107" i="13"/>
  <c r="AD107" i="13" s="1"/>
  <c r="C107" i="29"/>
  <c r="T112" i="1"/>
  <c r="C112" i="48" s="1"/>
  <c r="C112" i="24"/>
  <c r="D112" i="13"/>
  <c r="AD112" i="13" s="1"/>
  <c r="C112" i="29"/>
  <c r="C80" i="26"/>
  <c r="C59" i="15"/>
  <c r="S59" i="15" s="1"/>
  <c r="D5" i="18"/>
  <c r="H5" i="18" s="1"/>
  <c r="C47" i="15"/>
  <c r="S47" i="15" s="1"/>
  <c r="D111" i="11"/>
  <c r="V111" i="11" s="1"/>
  <c r="C34" i="27"/>
  <c r="D75" i="12"/>
  <c r="X75" i="12" s="1"/>
  <c r="C75" i="28"/>
  <c r="C75" i="23"/>
  <c r="V9" i="34"/>
  <c r="AA9" i="34" s="1"/>
  <c r="T104" i="1"/>
  <c r="C104" i="48" s="1"/>
  <c r="C104" i="24"/>
  <c r="D104" i="13"/>
  <c r="AD104" i="13" s="1"/>
  <c r="C104" i="29"/>
  <c r="D49" i="12"/>
  <c r="X49" i="12" s="1"/>
  <c r="C49" i="23"/>
  <c r="C49" i="28"/>
  <c r="T99" i="1"/>
  <c r="C99" i="48" s="1"/>
  <c r="C99" i="24"/>
  <c r="D99" i="13"/>
  <c r="AD99" i="13" s="1"/>
  <c r="C99" i="29"/>
  <c r="T114" i="1"/>
  <c r="C114" i="48" s="1"/>
  <c r="D114" i="13"/>
  <c r="AD114" i="13" s="1"/>
  <c r="C114" i="29"/>
  <c r="C114" i="24"/>
  <c r="AQ74" i="1"/>
  <c r="C98" i="26"/>
  <c r="D12" i="27"/>
  <c r="M12" i="27" s="1"/>
  <c r="C92" i="26"/>
  <c r="AQ58" i="1"/>
  <c r="C113" i="30"/>
  <c r="Q7" i="39"/>
  <c r="D34" i="11"/>
  <c r="V34" i="11" s="1"/>
  <c r="D56" i="13"/>
  <c r="AD56" i="13" s="1"/>
  <c r="C56" i="24"/>
  <c r="T56" i="1"/>
  <c r="C56" i="48" s="1"/>
  <c r="C56" i="29"/>
  <c r="C54" i="24"/>
  <c r="T54" i="1"/>
  <c r="C54" i="48" s="1"/>
  <c r="D54" i="13"/>
  <c r="AD54" i="13" s="1"/>
  <c r="C54" i="29"/>
  <c r="T109" i="1"/>
  <c r="C109" i="48" s="1"/>
  <c r="C109" i="24"/>
  <c r="D109" i="13"/>
  <c r="AD109" i="13" s="1"/>
  <c r="C109" i="29"/>
  <c r="D41" i="12"/>
  <c r="X41" i="12" s="1"/>
  <c r="C41" i="28"/>
  <c r="C41" i="23"/>
  <c r="C53" i="26"/>
  <c r="C47" i="26"/>
  <c r="AE8" i="19"/>
  <c r="T60" i="1"/>
  <c r="C60" i="48" s="1"/>
  <c r="D60" i="13"/>
  <c r="AD60" i="13" s="1"/>
  <c r="C60" i="24"/>
  <c r="C60" i="29"/>
  <c r="E2" i="24"/>
  <c r="E2" i="46"/>
  <c r="C58" i="24"/>
  <c r="T58" i="1"/>
  <c r="C58" i="48" s="1"/>
  <c r="D58" i="13"/>
  <c r="AD58" i="13" s="1"/>
  <c r="C58" i="29"/>
  <c r="AW62" i="1"/>
  <c r="C101" i="45"/>
  <c r="AC101" i="45" s="1"/>
  <c r="C101" i="46"/>
  <c r="AD10" i="19"/>
  <c r="AE10" i="19" s="1"/>
  <c r="T118" i="1"/>
  <c r="C118" i="48" s="1"/>
  <c r="C118" i="24"/>
  <c r="D118" i="13"/>
  <c r="AD118" i="13" s="1"/>
  <c r="C118" i="29"/>
  <c r="T113" i="1"/>
  <c r="C113" i="48" s="1"/>
  <c r="C113" i="29"/>
  <c r="C113" i="24"/>
  <c r="D113" i="13"/>
  <c r="AD113" i="13" s="1"/>
  <c r="C119" i="45"/>
  <c r="AC119" i="45" s="1"/>
  <c r="C119" i="46"/>
  <c r="S12" i="19"/>
  <c r="R31" i="19" s="1"/>
  <c r="T110" i="1"/>
  <c r="C110" i="48" s="1"/>
  <c r="D110" i="13"/>
  <c r="AD110" i="13" s="1"/>
  <c r="C110" i="24"/>
  <c r="C110" i="29"/>
  <c r="T30" i="1"/>
  <c r="C30" i="48" s="1"/>
  <c r="C30" i="24"/>
  <c r="D30" i="13"/>
  <c r="AD30" i="13" s="1"/>
  <c r="C30" i="29"/>
  <c r="D64" i="12"/>
  <c r="X64" i="12" s="1"/>
  <c r="C64" i="28"/>
  <c r="C64" i="23"/>
  <c r="D93" i="11"/>
  <c r="V93" i="11" s="1"/>
  <c r="C93" i="22"/>
  <c r="C93" i="27"/>
  <c r="D116" i="11"/>
  <c r="V116" i="11" s="1"/>
  <c r="C116" i="22"/>
  <c r="C116" i="27"/>
  <c r="AO12" i="18"/>
  <c r="AT12" i="18" s="1"/>
  <c r="C42" i="15"/>
  <c r="S42" i="15" s="1"/>
  <c r="C114" i="26"/>
  <c r="C98" i="15"/>
  <c r="S98" i="15" s="1"/>
  <c r="E6" i="29"/>
  <c r="E18" i="29" s="1"/>
  <c r="D12" i="28"/>
  <c r="D24" i="28" s="1"/>
  <c r="AQ59" i="1"/>
  <c r="AQ53" i="1"/>
  <c r="C89" i="47"/>
  <c r="C29" i="30"/>
  <c r="C117" i="23"/>
  <c r="T115" i="1"/>
  <c r="C115" i="48" s="1"/>
  <c r="C115" i="24"/>
  <c r="D115" i="13"/>
  <c r="AD115" i="13" s="1"/>
  <c r="C115" i="29"/>
  <c r="D105" i="12"/>
  <c r="X105" i="12" s="1"/>
  <c r="C105" i="28"/>
  <c r="C105" i="23"/>
  <c r="C111" i="24"/>
  <c r="T111" i="1"/>
  <c r="C111" i="48" s="1"/>
  <c r="D111" i="13"/>
  <c r="AD111" i="13" s="1"/>
  <c r="C111" i="29"/>
  <c r="D61" i="12"/>
  <c r="X61" i="12" s="1"/>
  <c r="C61" i="28"/>
  <c r="C61" i="23"/>
  <c r="AQ57" i="1"/>
  <c r="C57" i="49" s="1"/>
  <c r="C57" i="26"/>
  <c r="C57" i="15"/>
  <c r="S57" i="15" s="1"/>
  <c r="C57" i="31"/>
  <c r="D117" i="11"/>
  <c r="V117" i="11" s="1"/>
  <c r="C117" i="27"/>
  <c r="C117" i="22"/>
  <c r="D73" i="12"/>
  <c r="X73" i="12" s="1"/>
  <c r="C73" i="28"/>
  <c r="C73" i="23"/>
  <c r="D71" i="11"/>
  <c r="V71" i="11" s="1"/>
  <c r="C71" i="22"/>
  <c r="C71" i="27"/>
  <c r="D89" i="11"/>
  <c r="V89" i="11" s="1"/>
  <c r="C89" i="27"/>
  <c r="C89" i="22"/>
  <c r="AQ95" i="1"/>
  <c r="C95" i="49" s="1"/>
  <c r="C95" i="15"/>
  <c r="S95" i="15" s="1"/>
  <c r="C95" i="26"/>
  <c r="C95" i="31"/>
  <c r="C113" i="28"/>
  <c r="D113" i="12"/>
  <c r="X113" i="12" s="1"/>
  <c r="C113" i="23"/>
  <c r="D105" i="11"/>
  <c r="V105" i="11" s="1"/>
  <c r="C105" i="27"/>
  <c r="C105" i="22"/>
  <c r="C112" i="22"/>
  <c r="C112" i="27"/>
  <c r="D112" i="11"/>
  <c r="V112" i="11" s="1"/>
  <c r="C118" i="27"/>
  <c r="D118" i="11"/>
  <c r="V118" i="11" s="1"/>
  <c r="C118" i="22"/>
  <c r="C76" i="30"/>
  <c r="C76" i="14"/>
  <c r="S76" i="14" s="1"/>
  <c r="C76" i="25"/>
  <c r="C120" i="14"/>
  <c r="S120" i="14" s="1"/>
  <c r="C120" i="30"/>
  <c r="C120" i="25"/>
  <c r="D60" i="12"/>
  <c r="X60" i="12" s="1"/>
  <c r="C60" i="28"/>
  <c r="C60" i="23"/>
  <c r="D53" i="12"/>
  <c r="X53" i="12" s="1"/>
  <c r="C53" i="28"/>
  <c r="C53" i="23"/>
  <c r="AQ93" i="1"/>
  <c r="C93" i="49" s="1"/>
  <c r="C93" i="15"/>
  <c r="S93" i="15" s="1"/>
  <c r="C93" i="26"/>
  <c r="C93" i="31"/>
  <c r="D68" i="12"/>
  <c r="X68" i="12" s="1"/>
  <c r="C68" i="28"/>
  <c r="C68" i="23"/>
  <c r="D65" i="11"/>
  <c r="V65" i="11" s="1"/>
  <c r="C65" i="27"/>
  <c r="C65" i="22"/>
  <c r="AQ88" i="1"/>
  <c r="C88" i="49" s="1"/>
  <c r="C88" i="26"/>
  <c r="C88" i="31"/>
  <c r="C88" i="15"/>
  <c r="S88" i="15" s="1"/>
  <c r="C110" i="28"/>
  <c r="D110" i="12"/>
  <c r="X110" i="12" s="1"/>
  <c r="C110" i="23"/>
  <c r="C41" i="14"/>
  <c r="S41" i="14" s="1"/>
  <c r="C41" i="25"/>
  <c r="C41" i="30"/>
  <c r="AQ42" i="1"/>
  <c r="AQ98" i="1"/>
  <c r="D6" i="31"/>
  <c r="D18" i="31" s="1"/>
  <c r="C22" i="27"/>
  <c r="C53" i="15"/>
  <c r="S53" i="15" s="1"/>
  <c r="C121" i="24"/>
  <c r="D121" i="13"/>
  <c r="AD121" i="13" s="1"/>
  <c r="C121" i="29"/>
  <c r="T121" i="1"/>
  <c r="C121" i="48" s="1"/>
  <c r="T117" i="1"/>
  <c r="C117" i="48" s="1"/>
  <c r="C117" i="24"/>
  <c r="C117" i="29"/>
  <c r="D117" i="13"/>
  <c r="AD117" i="13" s="1"/>
  <c r="D109" i="12"/>
  <c r="X109" i="12" s="1"/>
  <c r="C109" i="28"/>
  <c r="C109" i="23"/>
  <c r="AQ50" i="1"/>
  <c r="C50" i="49" s="1"/>
  <c r="C50" i="26"/>
  <c r="C50" i="15"/>
  <c r="S50" i="15" s="1"/>
  <c r="C50" i="31"/>
  <c r="D14" i="47"/>
  <c r="L2" i="47"/>
  <c r="R2" i="47" s="1"/>
  <c r="D65" i="12"/>
  <c r="X65" i="12" s="1"/>
  <c r="C65" i="28"/>
  <c r="C65" i="23"/>
  <c r="D121" i="11"/>
  <c r="V121" i="11" s="1"/>
  <c r="C121" i="27"/>
  <c r="C121" i="22"/>
  <c r="AQ96" i="1"/>
  <c r="C96" i="49" s="1"/>
  <c r="C96" i="31"/>
  <c r="C96" i="26"/>
  <c r="C96" i="15"/>
  <c r="S96" i="15" s="1"/>
  <c r="D121" i="12"/>
  <c r="X121" i="12" s="1"/>
  <c r="C121" i="28"/>
  <c r="C121" i="23"/>
  <c r="D119" i="11"/>
  <c r="V119" i="11" s="1"/>
  <c r="C119" i="27"/>
  <c r="C119" i="22"/>
  <c r="C83" i="30"/>
  <c r="C83" i="14"/>
  <c r="S83" i="14" s="1"/>
  <c r="C83" i="25"/>
  <c r="C119" i="14"/>
  <c r="S119" i="14" s="1"/>
  <c r="C119" i="30"/>
  <c r="C119" i="25"/>
  <c r="V7" i="18"/>
  <c r="AA7" i="18" s="1"/>
  <c r="S13" i="19"/>
  <c r="R32" i="19" s="1"/>
  <c r="C59" i="26"/>
  <c r="C111" i="27"/>
  <c r="C26" i="14"/>
  <c r="S26" i="14" s="1"/>
  <c r="D52" i="12"/>
  <c r="X52" i="12" s="1"/>
  <c r="C52" i="28"/>
  <c r="C52" i="23"/>
  <c r="D45" i="12"/>
  <c r="X45" i="12" s="1"/>
  <c r="C45" i="28"/>
  <c r="C45" i="23"/>
  <c r="AQ51" i="1"/>
  <c r="C51" i="49" s="1"/>
  <c r="C51" i="15"/>
  <c r="S51" i="15" s="1"/>
  <c r="C51" i="26"/>
  <c r="C51" i="31"/>
  <c r="C97" i="26"/>
  <c r="C97" i="31"/>
  <c r="D72" i="12"/>
  <c r="X72" i="12" s="1"/>
  <c r="C72" i="28"/>
  <c r="C72" i="23"/>
  <c r="D69" i="11"/>
  <c r="V69" i="11" s="1"/>
  <c r="C69" i="22"/>
  <c r="C69" i="27"/>
  <c r="D97" i="11"/>
  <c r="V97" i="11" s="1"/>
  <c r="C97" i="22"/>
  <c r="C97" i="27"/>
  <c r="C81" i="30"/>
  <c r="C81" i="14"/>
  <c r="S81" i="14" s="1"/>
  <c r="C81" i="25"/>
  <c r="AQ87" i="1"/>
  <c r="C87" i="49" s="1"/>
  <c r="C87" i="26"/>
  <c r="C87" i="15"/>
  <c r="S87" i="15" s="1"/>
  <c r="C87" i="31"/>
  <c r="AE86" i="1"/>
  <c r="D112" i="12"/>
  <c r="X112" i="12" s="1"/>
  <c r="C112" i="28"/>
  <c r="C112" i="23"/>
  <c r="D120" i="11"/>
  <c r="V120" i="11" s="1"/>
  <c r="C120" i="22"/>
  <c r="C120" i="27"/>
  <c r="D115" i="11"/>
  <c r="V115" i="11" s="1"/>
  <c r="C115" i="27"/>
  <c r="C115" i="22"/>
  <c r="D14" i="18"/>
  <c r="F110" i="1"/>
  <c r="D14" i="34"/>
  <c r="AQ104" i="1"/>
  <c r="C104" i="49" s="1"/>
  <c r="C104" i="15"/>
  <c r="S104" i="15" s="1"/>
  <c r="C104" i="26"/>
  <c r="C104" i="31"/>
  <c r="C36" i="14"/>
  <c r="S36" i="14" s="1"/>
  <c r="C36" i="30"/>
  <c r="C36" i="25"/>
  <c r="M10" i="19"/>
  <c r="M7" i="19"/>
  <c r="BI6" i="18"/>
  <c r="BJ6" i="18" s="1"/>
  <c r="C114" i="15"/>
  <c r="S114" i="15" s="1"/>
  <c r="C102" i="26"/>
  <c r="M11" i="19"/>
  <c r="AF14" i="18"/>
  <c r="E5" i="29"/>
  <c r="E17" i="29" s="1"/>
  <c r="D2" i="27"/>
  <c r="D14" i="27" s="1"/>
  <c r="AZ10" i="18"/>
  <c r="C33" i="24"/>
  <c r="T33" i="1"/>
  <c r="C33" i="48" s="1"/>
  <c r="D33" i="13"/>
  <c r="AD33" i="13" s="1"/>
  <c r="C33" i="29"/>
  <c r="J20" i="1"/>
  <c r="M6" i="34"/>
  <c r="Q6" i="34" s="1"/>
  <c r="C6" i="24"/>
  <c r="T6" i="1"/>
  <c r="C6" i="48" s="1"/>
  <c r="D6" i="13"/>
  <c r="C6" i="29"/>
  <c r="T27" i="1"/>
  <c r="C27" i="48" s="1"/>
  <c r="C27" i="24"/>
  <c r="D27" i="13"/>
  <c r="AD27" i="13" s="1"/>
  <c r="C27" i="29"/>
  <c r="AQ103" i="1"/>
  <c r="C103" i="49" s="1"/>
  <c r="C103" i="26"/>
  <c r="C103" i="15"/>
  <c r="S103" i="15" s="1"/>
  <c r="C103" i="31"/>
  <c r="AE99" i="1"/>
  <c r="AQ121" i="1"/>
  <c r="C121" i="49" s="1"/>
  <c r="C121" i="15"/>
  <c r="S121" i="15" s="1"/>
  <c r="C121" i="26"/>
  <c r="C121" i="31"/>
  <c r="D67" i="12"/>
  <c r="X67" i="12" s="1"/>
  <c r="C67" i="28"/>
  <c r="C67" i="23"/>
  <c r="J62" i="1"/>
  <c r="M10" i="34"/>
  <c r="Q10" i="34" s="1"/>
  <c r="D13" i="26"/>
  <c r="E13" i="24"/>
  <c r="E13" i="23"/>
  <c r="E13" i="22"/>
  <c r="E13" i="46"/>
  <c r="D13" i="47"/>
  <c r="C111" i="15"/>
  <c r="S111" i="15" s="1"/>
  <c r="C111" i="26"/>
  <c r="AQ111" i="1"/>
  <c r="C111" i="49" s="1"/>
  <c r="C111" i="31"/>
  <c r="D5" i="12"/>
  <c r="C5" i="23"/>
  <c r="C5" i="28"/>
  <c r="D62" i="11"/>
  <c r="V62" i="11" s="1"/>
  <c r="C62" i="22"/>
  <c r="C62" i="27"/>
  <c r="D4" i="26"/>
  <c r="E4" i="23"/>
  <c r="D4" i="47"/>
  <c r="E4" i="22"/>
  <c r="E4" i="24"/>
  <c r="E4" i="46"/>
  <c r="C7" i="15"/>
  <c r="S7" i="15" s="1"/>
  <c r="C7" i="26"/>
  <c r="AQ7" i="1"/>
  <c r="C7" i="49" s="1"/>
  <c r="C7" i="31"/>
  <c r="C5" i="15"/>
  <c r="S5" i="15" s="1"/>
  <c r="AQ5" i="1"/>
  <c r="C5" i="49" s="1"/>
  <c r="C5" i="26"/>
  <c r="C5" i="31"/>
  <c r="D4" i="24"/>
  <c r="D4" i="22"/>
  <c r="D4" i="23"/>
  <c r="D4" i="46"/>
  <c r="D30" i="11"/>
  <c r="V30" i="11" s="1"/>
  <c r="C30" i="27"/>
  <c r="C30" i="22"/>
  <c r="D3" i="26"/>
  <c r="E3" i="23"/>
  <c r="E3" i="46"/>
  <c r="E3" i="24"/>
  <c r="E3" i="22"/>
  <c r="D3" i="47"/>
  <c r="AQ40" i="1"/>
  <c r="C40" i="49" s="1"/>
  <c r="C40" i="15"/>
  <c r="S40" i="15" s="1"/>
  <c r="C40" i="26"/>
  <c r="C40" i="31"/>
  <c r="AQ46" i="1"/>
  <c r="C46" i="49" s="1"/>
  <c r="C46" i="15"/>
  <c r="S46" i="15" s="1"/>
  <c r="C46" i="26"/>
  <c r="C46" i="31"/>
  <c r="T49" i="1"/>
  <c r="C49" i="48" s="1"/>
  <c r="D49" i="13"/>
  <c r="AD49" i="13" s="1"/>
  <c r="C49" i="24"/>
  <c r="C49" i="29"/>
  <c r="C81" i="24"/>
  <c r="T81" i="1"/>
  <c r="C81" i="48" s="1"/>
  <c r="D81" i="13"/>
  <c r="AD81" i="13" s="1"/>
  <c r="C81" i="29"/>
  <c r="T75" i="1"/>
  <c r="C75" i="48" s="1"/>
  <c r="C75" i="24"/>
  <c r="D75" i="13"/>
  <c r="AD75" i="13" s="1"/>
  <c r="C75" i="29"/>
  <c r="D15" i="11"/>
  <c r="V15" i="11" s="1"/>
  <c r="C15" i="22"/>
  <c r="C15" i="27"/>
  <c r="D16" i="11"/>
  <c r="V16" i="11" s="1"/>
  <c r="C16" i="27"/>
  <c r="C16" i="22"/>
  <c r="D56" i="11"/>
  <c r="V56" i="11" s="1"/>
  <c r="C56" i="22"/>
  <c r="C56" i="27"/>
  <c r="D9" i="18"/>
  <c r="H9" i="18" s="1"/>
  <c r="F51" i="1"/>
  <c r="C61" i="43"/>
  <c r="S61" i="43" s="1"/>
  <c r="C61" i="47"/>
  <c r="C77" i="14"/>
  <c r="S77" i="14" s="1"/>
  <c r="C77" i="30"/>
  <c r="C77" i="25"/>
  <c r="C80" i="15"/>
  <c r="S80" i="15" s="1"/>
  <c r="C80" i="31"/>
  <c r="AQ75" i="1"/>
  <c r="C75" i="49" s="1"/>
  <c r="C75" i="15"/>
  <c r="S75" i="15" s="1"/>
  <c r="C75" i="26"/>
  <c r="C75" i="31"/>
  <c r="C69" i="24"/>
  <c r="D69" i="13"/>
  <c r="AD69" i="13" s="1"/>
  <c r="C69" i="29"/>
  <c r="T69" i="1"/>
  <c r="C69" i="48" s="1"/>
  <c r="T71" i="1"/>
  <c r="C71" i="48" s="1"/>
  <c r="C71" i="24"/>
  <c r="D71" i="13"/>
  <c r="AD71" i="13" s="1"/>
  <c r="C71" i="29"/>
  <c r="C64" i="24"/>
  <c r="T64" i="1"/>
  <c r="C64" i="48" s="1"/>
  <c r="D64" i="13"/>
  <c r="AD64" i="13" s="1"/>
  <c r="C64" i="29"/>
  <c r="D10" i="11"/>
  <c r="V10" i="11" s="1"/>
  <c r="C10" i="27"/>
  <c r="C10" i="22"/>
  <c r="D4" i="11"/>
  <c r="V4" i="11" s="1"/>
  <c r="C4" i="27"/>
  <c r="C4" i="22"/>
  <c r="D31" i="12"/>
  <c r="X31" i="12" s="1"/>
  <c r="C31" i="28"/>
  <c r="C31" i="23"/>
  <c r="D34" i="12"/>
  <c r="X34" i="12" s="1"/>
  <c r="C34" i="28"/>
  <c r="C34" i="23"/>
  <c r="D28" i="12"/>
  <c r="X28" i="12" s="1"/>
  <c r="C28" i="23"/>
  <c r="C28" i="28"/>
  <c r="C77" i="45"/>
  <c r="AC77" i="45" s="1"/>
  <c r="C77" i="46"/>
  <c r="C57" i="30"/>
  <c r="C57" i="14"/>
  <c r="S57" i="14" s="1"/>
  <c r="C57" i="25"/>
  <c r="C51" i="14"/>
  <c r="S51" i="14" s="1"/>
  <c r="C51" i="30"/>
  <c r="C51" i="25"/>
  <c r="C105" i="14"/>
  <c r="S105" i="14" s="1"/>
  <c r="C105" i="30"/>
  <c r="C105" i="25"/>
  <c r="C99" i="14"/>
  <c r="S99" i="14" s="1"/>
  <c r="C99" i="30"/>
  <c r="C99" i="25"/>
  <c r="C114" i="30"/>
  <c r="C114" i="14"/>
  <c r="S114" i="14" s="1"/>
  <c r="C114" i="25"/>
  <c r="C121" i="14"/>
  <c r="S121" i="14" s="1"/>
  <c r="C121" i="30"/>
  <c r="C121" i="25"/>
  <c r="E13" i="27"/>
  <c r="E13" i="28"/>
  <c r="BA6" i="18"/>
  <c r="E11" i="28"/>
  <c r="E11" i="27"/>
  <c r="AQ36" i="1"/>
  <c r="C36" i="49" s="1"/>
  <c r="C36" i="15"/>
  <c r="S36" i="15" s="1"/>
  <c r="C36" i="26"/>
  <c r="C36" i="31"/>
  <c r="AQ35" i="1"/>
  <c r="C35" i="49" s="1"/>
  <c r="C35" i="15"/>
  <c r="S35" i="15" s="1"/>
  <c r="C35" i="26"/>
  <c r="C35" i="31"/>
  <c r="T29" i="1"/>
  <c r="C29" i="48" s="1"/>
  <c r="D29" i="13"/>
  <c r="AD29" i="13" s="1"/>
  <c r="C29" i="24"/>
  <c r="C29" i="29"/>
  <c r="AQ108" i="1"/>
  <c r="C108" i="49" s="1"/>
  <c r="C108" i="15"/>
  <c r="S108" i="15" s="1"/>
  <c r="C108" i="26"/>
  <c r="C108" i="31"/>
  <c r="AQ100" i="1"/>
  <c r="C100" i="49" s="1"/>
  <c r="C100" i="15"/>
  <c r="S100" i="15" s="1"/>
  <c r="C100" i="31"/>
  <c r="C100" i="26"/>
  <c r="D71" i="12"/>
  <c r="X71" i="12" s="1"/>
  <c r="C71" i="28"/>
  <c r="C71" i="23"/>
  <c r="D66" i="12"/>
  <c r="X66" i="12" s="1"/>
  <c r="C66" i="28"/>
  <c r="C66" i="23"/>
  <c r="D75" i="11"/>
  <c r="V75" i="11" s="1"/>
  <c r="C75" i="27"/>
  <c r="C75" i="22"/>
  <c r="C13" i="28"/>
  <c r="D13" i="12"/>
  <c r="C13" i="23"/>
  <c r="D67" i="11"/>
  <c r="V67" i="11" s="1"/>
  <c r="C67" i="27"/>
  <c r="C67" i="22"/>
  <c r="AQ10" i="1"/>
  <c r="C10" i="49" s="1"/>
  <c r="C10" i="26"/>
  <c r="C10" i="15"/>
  <c r="S10" i="15" s="1"/>
  <c r="C10" i="31"/>
  <c r="AQ4" i="1"/>
  <c r="C4" i="49" s="1"/>
  <c r="C4" i="15"/>
  <c r="S4" i="15" s="1"/>
  <c r="C4" i="26"/>
  <c r="C4" i="31"/>
  <c r="AQ39" i="1"/>
  <c r="C39" i="49" s="1"/>
  <c r="C39" i="15"/>
  <c r="S39" i="15" s="1"/>
  <c r="C39" i="26"/>
  <c r="C39" i="31"/>
  <c r="T85" i="1"/>
  <c r="C85" i="48" s="1"/>
  <c r="C85" i="24"/>
  <c r="D85" i="13"/>
  <c r="AD85" i="13" s="1"/>
  <c r="C85" i="29"/>
  <c r="D21" i="11"/>
  <c r="V21" i="11" s="1"/>
  <c r="C21" i="27"/>
  <c r="C21" i="22"/>
  <c r="D61" i="11"/>
  <c r="V61" i="11" s="1"/>
  <c r="C61" i="27"/>
  <c r="C61" i="22"/>
  <c r="C85" i="15"/>
  <c r="S85" i="15" s="1"/>
  <c r="AQ85" i="1"/>
  <c r="C85" i="49" s="1"/>
  <c r="C85" i="26"/>
  <c r="C85" i="31"/>
  <c r="D66" i="13"/>
  <c r="AD66" i="13" s="1"/>
  <c r="T66" i="1"/>
  <c r="C66" i="48" s="1"/>
  <c r="C66" i="24"/>
  <c r="C66" i="29"/>
  <c r="D5" i="11"/>
  <c r="V5" i="11" s="1"/>
  <c r="C5" i="22"/>
  <c r="C5" i="27"/>
  <c r="D3" i="11"/>
  <c r="V3" i="11" s="1"/>
  <c r="C3" i="22"/>
  <c r="C3" i="27"/>
  <c r="D26" i="12"/>
  <c r="X26" i="12" s="1"/>
  <c r="C26" i="28"/>
  <c r="C26" i="23"/>
  <c r="C118" i="30"/>
  <c r="C118" i="25"/>
  <c r="C118" i="14"/>
  <c r="S118" i="14" s="1"/>
  <c r="C31" i="15"/>
  <c r="S31" i="15" s="1"/>
  <c r="C31" i="26"/>
  <c r="AQ31" i="1"/>
  <c r="C31" i="49" s="1"/>
  <c r="C31" i="31"/>
  <c r="AQ27" i="1"/>
  <c r="C27" i="49" s="1"/>
  <c r="C27" i="15"/>
  <c r="S27" i="15" s="1"/>
  <c r="C27" i="26"/>
  <c r="C27" i="31"/>
  <c r="D6" i="18"/>
  <c r="H6" i="18" s="1"/>
  <c r="D7" i="18"/>
  <c r="H7" i="18" s="1"/>
  <c r="C74" i="26"/>
  <c r="AQ114" i="1"/>
  <c r="C102" i="15"/>
  <c r="S102" i="15" s="1"/>
  <c r="D2" i="28"/>
  <c r="N2" i="28" s="1"/>
  <c r="D10" i="26"/>
  <c r="E10" i="23"/>
  <c r="E10" i="24"/>
  <c r="E10" i="46"/>
  <c r="E10" i="22"/>
  <c r="D10" i="47"/>
  <c r="C106" i="24"/>
  <c r="D106" i="13"/>
  <c r="AD106" i="13" s="1"/>
  <c r="T106" i="1"/>
  <c r="C106" i="48" s="1"/>
  <c r="C106" i="29"/>
  <c r="D24" i="12"/>
  <c r="X24" i="12" s="1"/>
  <c r="C24" i="23"/>
  <c r="C24" i="28"/>
  <c r="O2" i="1"/>
  <c r="V5" i="18"/>
  <c r="AA5" i="18" s="1"/>
  <c r="V5" i="34"/>
  <c r="AA5" i="34" s="1"/>
  <c r="C101" i="15"/>
  <c r="S101" i="15" s="1"/>
  <c r="C101" i="26"/>
  <c r="C101" i="31"/>
  <c r="AQ101" i="1"/>
  <c r="C101" i="49" s="1"/>
  <c r="C109" i="26"/>
  <c r="AQ109" i="1"/>
  <c r="C109" i="49" s="1"/>
  <c r="C109" i="15"/>
  <c r="S109" i="15" s="1"/>
  <c r="C109" i="31"/>
  <c r="D12" i="24"/>
  <c r="D12" i="46"/>
  <c r="D12" i="23"/>
  <c r="D12" i="22"/>
  <c r="D63" i="12"/>
  <c r="X63" i="12" s="1"/>
  <c r="C63" i="28"/>
  <c r="C63" i="23"/>
  <c r="C66" i="22"/>
  <c r="D66" i="11"/>
  <c r="V66" i="11" s="1"/>
  <c r="C66" i="27"/>
  <c r="C117" i="15"/>
  <c r="S117" i="15" s="1"/>
  <c r="C117" i="26"/>
  <c r="AQ117" i="1"/>
  <c r="C117" i="49" s="1"/>
  <c r="C117" i="31"/>
  <c r="D8" i="24"/>
  <c r="D8" i="22"/>
  <c r="D8" i="23"/>
  <c r="D8" i="46"/>
  <c r="D2" i="12"/>
  <c r="C2" i="28"/>
  <c r="C2" i="23"/>
  <c r="D64" i="11"/>
  <c r="V64" i="11" s="1"/>
  <c r="C64" i="22"/>
  <c r="C64" i="27"/>
  <c r="D6" i="26"/>
  <c r="E6" i="22"/>
  <c r="E6" i="46"/>
  <c r="E6" i="23"/>
  <c r="D6" i="47"/>
  <c r="E6" i="24"/>
  <c r="C13" i="15"/>
  <c r="S13" i="15" s="1"/>
  <c r="AQ13" i="1"/>
  <c r="C13" i="49" s="1"/>
  <c r="C13" i="26"/>
  <c r="C13" i="31"/>
  <c r="C9" i="15"/>
  <c r="S9" i="15" s="1"/>
  <c r="AQ9" i="1"/>
  <c r="C9" i="49" s="1"/>
  <c r="C9" i="26"/>
  <c r="C9" i="31"/>
  <c r="C29" i="22"/>
  <c r="C29" i="27"/>
  <c r="D29" i="11"/>
  <c r="V29" i="11" s="1"/>
  <c r="D27" i="11"/>
  <c r="V27" i="11" s="1"/>
  <c r="C27" i="27"/>
  <c r="C27" i="22"/>
  <c r="C43" i="26"/>
  <c r="C43" i="31"/>
  <c r="AQ49" i="1"/>
  <c r="C49" i="49" s="1"/>
  <c r="C49" i="15"/>
  <c r="S49" i="15" s="1"/>
  <c r="C49" i="26"/>
  <c r="C49" i="31"/>
  <c r="C41" i="24"/>
  <c r="D41" i="13"/>
  <c r="AD41" i="13" s="1"/>
  <c r="T41" i="1"/>
  <c r="C41" i="48" s="1"/>
  <c r="C41" i="29"/>
  <c r="D78" i="13"/>
  <c r="AD78" i="13" s="1"/>
  <c r="C78" i="24"/>
  <c r="C78" i="29"/>
  <c r="T78" i="1"/>
  <c r="C78" i="48" s="1"/>
  <c r="D25" i="11"/>
  <c r="V25" i="11" s="1"/>
  <c r="C25" i="27"/>
  <c r="C25" i="22"/>
  <c r="D57" i="11"/>
  <c r="V57" i="11" s="1"/>
  <c r="C57" i="27"/>
  <c r="C57" i="22"/>
  <c r="F50" i="1"/>
  <c r="D9" i="34"/>
  <c r="H9" i="34" s="1"/>
  <c r="AW14" i="1"/>
  <c r="AQ84" i="1"/>
  <c r="C84" i="49" s="1"/>
  <c r="C84" i="26"/>
  <c r="C84" i="31"/>
  <c r="C84" i="15"/>
  <c r="S84" i="15" s="1"/>
  <c r="C81" i="15"/>
  <c r="S81" i="15" s="1"/>
  <c r="AQ81" i="1"/>
  <c r="C81" i="49" s="1"/>
  <c r="C81" i="26"/>
  <c r="C81" i="31"/>
  <c r="C50" i="24"/>
  <c r="D50" i="13"/>
  <c r="E9" i="39"/>
  <c r="C50" i="29"/>
  <c r="T50" i="1"/>
  <c r="C50" i="48" s="1"/>
  <c r="D5" i="33"/>
  <c r="C63" i="24"/>
  <c r="T63" i="1"/>
  <c r="C63" i="48" s="1"/>
  <c r="D63" i="13"/>
  <c r="AD63" i="13" s="1"/>
  <c r="C63" i="29"/>
  <c r="C9" i="22"/>
  <c r="C9" i="27"/>
  <c r="D9" i="11"/>
  <c r="V9" i="11" s="1"/>
  <c r="F2" i="1"/>
  <c r="D5" i="34"/>
  <c r="H5" i="34" s="1"/>
  <c r="C11" i="22"/>
  <c r="D11" i="11"/>
  <c r="V11" i="11" s="1"/>
  <c r="C11" i="27"/>
  <c r="C34" i="14"/>
  <c r="S34" i="14" s="1"/>
  <c r="C34" i="25"/>
  <c r="C34" i="30"/>
  <c r="D30" i="12"/>
  <c r="X30" i="12" s="1"/>
  <c r="C30" i="28"/>
  <c r="C30" i="23"/>
  <c r="D29" i="12"/>
  <c r="X29" i="12" s="1"/>
  <c r="C29" i="23"/>
  <c r="C29" i="28"/>
  <c r="BI14" i="18"/>
  <c r="BJ14" i="18" s="1"/>
  <c r="AW110" i="1"/>
  <c r="C59" i="30"/>
  <c r="C59" i="25"/>
  <c r="C59" i="14"/>
  <c r="S59" i="14" s="1"/>
  <c r="C52" i="30"/>
  <c r="C52" i="14"/>
  <c r="S52" i="14" s="1"/>
  <c r="C52" i="25"/>
  <c r="C50" i="14"/>
  <c r="S50" i="14" s="1"/>
  <c r="C50" i="30"/>
  <c r="C50" i="25"/>
  <c r="C100" i="14"/>
  <c r="S100" i="14" s="1"/>
  <c r="C100" i="30"/>
  <c r="C100" i="25"/>
  <c r="C98" i="30"/>
  <c r="C98" i="25"/>
  <c r="C98" i="14"/>
  <c r="S98" i="14" s="1"/>
  <c r="C115" i="14"/>
  <c r="S115" i="14" s="1"/>
  <c r="C115" i="30"/>
  <c r="C115" i="25"/>
  <c r="C111" i="14"/>
  <c r="S111" i="14" s="1"/>
  <c r="C111" i="30"/>
  <c r="C111" i="25"/>
  <c r="C117" i="14"/>
  <c r="S117" i="14" s="1"/>
  <c r="C117" i="30"/>
  <c r="C117" i="25"/>
  <c r="E7" i="28"/>
  <c r="E7" i="27"/>
  <c r="AQ37" i="1"/>
  <c r="C37" i="49" s="1"/>
  <c r="C37" i="15"/>
  <c r="S37" i="15" s="1"/>
  <c r="C37" i="26"/>
  <c r="C37" i="31"/>
  <c r="AQ28" i="1"/>
  <c r="C28" i="49" s="1"/>
  <c r="C28" i="15"/>
  <c r="S28" i="15" s="1"/>
  <c r="C28" i="26"/>
  <c r="C28" i="31"/>
  <c r="AQ29" i="1"/>
  <c r="C29" i="49" s="1"/>
  <c r="C29" i="15"/>
  <c r="S29" i="15" s="1"/>
  <c r="C29" i="26"/>
  <c r="C29" i="31"/>
  <c r="T11" i="1"/>
  <c r="C11" i="48" s="1"/>
  <c r="C11" i="24"/>
  <c r="D11" i="13"/>
  <c r="C11" i="29"/>
  <c r="O98" i="1"/>
  <c r="V13" i="18"/>
  <c r="AA13" i="18" s="1"/>
  <c r="V13" i="34"/>
  <c r="AA13" i="34" s="1"/>
  <c r="T10" i="1"/>
  <c r="C10" i="48" s="1"/>
  <c r="C10" i="24"/>
  <c r="D10" i="13"/>
  <c r="C10" i="29"/>
  <c r="C11" i="15"/>
  <c r="S11" i="15" s="1"/>
  <c r="AQ11" i="1"/>
  <c r="C11" i="49" s="1"/>
  <c r="C11" i="26"/>
  <c r="C11" i="31"/>
  <c r="D26" i="11"/>
  <c r="V26" i="11" s="1"/>
  <c r="C26" i="22"/>
  <c r="C26" i="27"/>
  <c r="AQ45" i="1"/>
  <c r="C45" i="49" s="1"/>
  <c r="C45" i="15"/>
  <c r="S45" i="15" s="1"/>
  <c r="C45" i="26"/>
  <c r="C45" i="31"/>
  <c r="C45" i="24"/>
  <c r="D45" i="13"/>
  <c r="AD45" i="13" s="1"/>
  <c r="T45" i="1"/>
  <c r="C45" i="48" s="1"/>
  <c r="C45" i="29"/>
  <c r="C74" i="24"/>
  <c r="D74" i="13"/>
  <c r="AD74" i="13" s="1"/>
  <c r="T74" i="1"/>
  <c r="C74" i="48" s="1"/>
  <c r="C74" i="29"/>
  <c r="D14" i="11"/>
  <c r="V14" i="11" s="1"/>
  <c r="C14" i="27"/>
  <c r="C14" i="22"/>
  <c r="D55" i="11"/>
  <c r="V55" i="11" s="1"/>
  <c r="C55" i="27"/>
  <c r="C55" i="22"/>
  <c r="C30" i="14"/>
  <c r="S30" i="14" s="1"/>
  <c r="C30" i="30"/>
  <c r="C30" i="25"/>
  <c r="C83" i="26"/>
  <c r="C83" i="31"/>
  <c r="T65" i="1"/>
  <c r="C65" i="48" s="1"/>
  <c r="C65" i="24"/>
  <c r="D65" i="13"/>
  <c r="AD65" i="13" s="1"/>
  <c r="C65" i="29"/>
  <c r="D8" i="11"/>
  <c r="V8" i="11" s="1"/>
  <c r="C8" i="27"/>
  <c r="C8" i="22"/>
  <c r="D35" i="12"/>
  <c r="X35" i="12" s="1"/>
  <c r="C35" i="28"/>
  <c r="C35" i="23"/>
  <c r="D27" i="12"/>
  <c r="X27" i="12" s="1"/>
  <c r="C27" i="28"/>
  <c r="C27" i="23"/>
  <c r="C2" i="43"/>
  <c r="S2" i="43" s="1"/>
  <c r="C2" i="47"/>
  <c r="C56" i="14"/>
  <c r="S56" i="14" s="1"/>
  <c r="C56" i="25"/>
  <c r="C56" i="30"/>
  <c r="C101" i="14"/>
  <c r="S101" i="14" s="1"/>
  <c r="C101" i="30"/>
  <c r="C101" i="25"/>
  <c r="C104" i="14"/>
  <c r="S104" i="14" s="1"/>
  <c r="C104" i="30"/>
  <c r="C104" i="25"/>
  <c r="E5" i="27"/>
  <c r="E5" i="28"/>
  <c r="AZ14" i="18"/>
  <c r="AO8" i="18"/>
  <c r="AT8" i="18" s="1"/>
  <c r="AO13" i="18"/>
  <c r="AT13" i="18" s="1"/>
  <c r="C74" i="15"/>
  <c r="S74" i="15" s="1"/>
  <c r="C83" i="15"/>
  <c r="S83" i="15" s="1"/>
  <c r="AQ102" i="1"/>
  <c r="AJ64" i="1"/>
  <c r="T5" i="1"/>
  <c r="C5" i="48" s="1"/>
  <c r="D5" i="13"/>
  <c r="C5" i="24"/>
  <c r="C5" i="29"/>
  <c r="C102" i="24"/>
  <c r="D102" i="13"/>
  <c r="AD102" i="13" s="1"/>
  <c r="T102" i="1"/>
  <c r="C102" i="48" s="1"/>
  <c r="C102" i="29"/>
  <c r="D116" i="12"/>
  <c r="X116" i="12" s="1"/>
  <c r="C116" i="28"/>
  <c r="C116" i="23"/>
  <c r="D5" i="47"/>
  <c r="E5" i="23"/>
  <c r="E5" i="22"/>
  <c r="E5" i="46"/>
  <c r="T37" i="1"/>
  <c r="C37" i="48" s="1"/>
  <c r="D37" i="13"/>
  <c r="AD37" i="13" s="1"/>
  <c r="C37" i="24"/>
  <c r="C37" i="29"/>
  <c r="C107" i="15"/>
  <c r="S107" i="15" s="1"/>
  <c r="AQ107" i="1"/>
  <c r="C107" i="49" s="1"/>
  <c r="C107" i="26"/>
  <c r="C107" i="31"/>
  <c r="AQ105" i="1"/>
  <c r="C105" i="49" s="1"/>
  <c r="C105" i="15"/>
  <c r="S105" i="15" s="1"/>
  <c r="C105" i="26"/>
  <c r="C105" i="31"/>
  <c r="D12" i="12"/>
  <c r="C12" i="23"/>
  <c r="C12" i="28"/>
  <c r="D70" i="12"/>
  <c r="X70" i="12" s="1"/>
  <c r="C70" i="28"/>
  <c r="C70" i="23"/>
  <c r="C78" i="27"/>
  <c r="D78" i="11"/>
  <c r="V78" i="11" s="1"/>
  <c r="C78" i="22"/>
  <c r="C113" i="15"/>
  <c r="S113" i="15" s="1"/>
  <c r="AQ113" i="1"/>
  <c r="C113" i="49" s="1"/>
  <c r="C113" i="26"/>
  <c r="C113" i="31"/>
  <c r="D8" i="12"/>
  <c r="C8" i="28"/>
  <c r="C8" i="23"/>
  <c r="D73" i="11"/>
  <c r="V73" i="11" s="1"/>
  <c r="C73" i="27"/>
  <c r="C73" i="22"/>
  <c r="AQ6" i="1"/>
  <c r="C6" i="49" s="1"/>
  <c r="C6" i="15"/>
  <c r="S6" i="15" s="1"/>
  <c r="C6" i="26"/>
  <c r="C6" i="31"/>
  <c r="C3" i="15"/>
  <c r="S3" i="15" s="1"/>
  <c r="C3" i="26"/>
  <c r="C3" i="31"/>
  <c r="AQ3" i="1"/>
  <c r="C3" i="49" s="1"/>
  <c r="D37" i="11"/>
  <c r="V37" i="11" s="1"/>
  <c r="C37" i="22"/>
  <c r="C37" i="27"/>
  <c r="AQ41" i="1"/>
  <c r="C41" i="49" s="1"/>
  <c r="C41" i="15"/>
  <c r="S41" i="15" s="1"/>
  <c r="C41" i="26"/>
  <c r="C41" i="31"/>
  <c r="C44" i="15"/>
  <c r="S44" i="15" s="1"/>
  <c r="C44" i="26"/>
  <c r="AQ44" i="1"/>
  <c r="C44" i="49" s="1"/>
  <c r="C44" i="31"/>
  <c r="AE38" i="1"/>
  <c r="T82" i="1"/>
  <c r="C82" i="48" s="1"/>
  <c r="C82" i="24"/>
  <c r="D82" i="13"/>
  <c r="AD82" i="13" s="1"/>
  <c r="C82" i="29"/>
  <c r="D18" i="11"/>
  <c r="V18" i="11" s="1"/>
  <c r="C18" i="27"/>
  <c r="C18" i="22"/>
  <c r="D19" i="11"/>
  <c r="V19" i="11" s="1"/>
  <c r="C19" i="22"/>
  <c r="C19" i="27"/>
  <c r="D52" i="11"/>
  <c r="V52" i="11" s="1"/>
  <c r="C52" i="22"/>
  <c r="C52" i="27"/>
  <c r="D59" i="11"/>
  <c r="V59" i="11" s="1"/>
  <c r="C59" i="27"/>
  <c r="C59" i="22"/>
  <c r="C77" i="26"/>
  <c r="AQ77" i="1"/>
  <c r="C77" i="49" s="1"/>
  <c r="C77" i="15"/>
  <c r="S77" i="15" s="1"/>
  <c r="C77" i="31"/>
  <c r="AQ76" i="1"/>
  <c r="C76" i="49" s="1"/>
  <c r="C76" i="15"/>
  <c r="S76" i="15" s="1"/>
  <c r="C76" i="26"/>
  <c r="C76" i="31"/>
  <c r="C62" i="24"/>
  <c r="D62" i="13"/>
  <c r="AD62" i="13" s="1"/>
  <c r="C62" i="29"/>
  <c r="T62" i="1"/>
  <c r="C62" i="48" s="1"/>
  <c r="T73" i="1"/>
  <c r="C73" i="48" s="1"/>
  <c r="C73" i="24"/>
  <c r="D73" i="13"/>
  <c r="AD73" i="13" s="1"/>
  <c r="C73" i="29"/>
  <c r="T70" i="1"/>
  <c r="C70" i="48" s="1"/>
  <c r="C70" i="24"/>
  <c r="D70" i="13"/>
  <c r="AD70" i="13" s="1"/>
  <c r="C70" i="29"/>
  <c r="D13" i="11"/>
  <c r="V13" i="11" s="1"/>
  <c r="C13" i="22"/>
  <c r="C13" i="27"/>
  <c r="D12" i="11"/>
  <c r="V12" i="11" s="1"/>
  <c r="C12" i="27"/>
  <c r="C12" i="22"/>
  <c r="D7" i="11"/>
  <c r="V7" i="11" s="1"/>
  <c r="C7" i="22"/>
  <c r="C7" i="27"/>
  <c r="D37" i="12"/>
  <c r="X37" i="12" s="1"/>
  <c r="C37" i="28"/>
  <c r="C37" i="23"/>
  <c r="D33" i="12"/>
  <c r="X33" i="12" s="1"/>
  <c r="C33" i="23"/>
  <c r="C33" i="28"/>
  <c r="C53" i="14"/>
  <c r="S53" i="14" s="1"/>
  <c r="C53" i="30"/>
  <c r="C53" i="25"/>
  <c r="C61" i="14"/>
  <c r="S61" i="14" s="1"/>
  <c r="C61" i="30"/>
  <c r="C61" i="25"/>
  <c r="C107" i="14"/>
  <c r="S107" i="14" s="1"/>
  <c r="C107" i="30"/>
  <c r="C107" i="25"/>
  <c r="C109" i="14"/>
  <c r="S109" i="14" s="1"/>
  <c r="C109" i="30"/>
  <c r="C109" i="25"/>
  <c r="C112" i="14"/>
  <c r="S112" i="14" s="1"/>
  <c r="C112" i="30"/>
  <c r="C112" i="25"/>
  <c r="Z110" i="1"/>
  <c r="AF14" i="34"/>
  <c r="AQ32" i="1"/>
  <c r="C32" i="49" s="1"/>
  <c r="C32" i="15"/>
  <c r="S32" i="15" s="1"/>
  <c r="C32" i="26"/>
  <c r="C32" i="31"/>
  <c r="C33" i="15"/>
  <c r="S33" i="15" s="1"/>
  <c r="C33" i="26"/>
  <c r="AQ33" i="1"/>
  <c r="C33" i="49" s="1"/>
  <c r="C33" i="31"/>
  <c r="D4" i="31"/>
  <c r="E4" i="29"/>
  <c r="E4" i="28"/>
  <c r="E4" i="27"/>
  <c r="AZ13" i="18"/>
  <c r="AJ98" i="1"/>
  <c r="D12" i="26"/>
  <c r="E12" i="23"/>
  <c r="E12" i="24"/>
  <c r="E12" i="22"/>
  <c r="D12" i="47"/>
  <c r="E12" i="46"/>
  <c r="BA14" i="18"/>
  <c r="AJ74" i="1"/>
  <c r="AZ11" i="18"/>
  <c r="C119" i="15"/>
  <c r="S119" i="15" s="1"/>
  <c r="C119" i="26"/>
  <c r="AQ119" i="1"/>
  <c r="C119" i="49" s="1"/>
  <c r="C119" i="31"/>
  <c r="AQ12" i="1"/>
  <c r="C12" i="49" s="1"/>
  <c r="C12" i="26"/>
  <c r="C12" i="15"/>
  <c r="S12" i="15" s="1"/>
  <c r="C12" i="31"/>
  <c r="C56" i="26"/>
  <c r="AQ56" i="1"/>
  <c r="C56" i="49" s="1"/>
  <c r="C56" i="15"/>
  <c r="S56" i="15" s="1"/>
  <c r="C56" i="31"/>
  <c r="AO14" i="18"/>
  <c r="AE112" i="1"/>
  <c r="AO14" i="34"/>
  <c r="D3" i="24"/>
  <c r="D3" i="23"/>
  <c r="D3" i="22"/>
  <c r="D3" i="46"/>
  <c r="D17" i="26"/>
  <c r="L5" i="26"/>
  <c r="R5" i="26" s="1"/>
  <c r="C23" i="15"/>
  <c r="S23" i="15" s="1"/>
  <c r="AQ23" i="1"/>
  <c r="C23" i="49" s="1"/>
  <c r="C23" i="26"/>
  <c r="C23" i="31"/>
  <c r="AQ18" i="1"/>
  <c r="C18" i="49" s="1"/>
  <c r="C18" i="15"/>
  <c r="S18" i="15" s="1"/>
  <c r="C18" i="26"/>
  <c r="C18" i="31"/>
  <c r="AQ16" i="1"/>
  <c r="C16" i="49" s="1"/>
  <c r="C16" i="26"/>
  <c r="C16" i="15"/>
  <c r="S16" i="15" s="1"/>
  <c r="C16" i="31"/>
  <c r="C24" i="24"/>
  <c r="T24" i="1"/>
  <c r="C24" i="48" s="1"/>
  <c r="D24" i="13"/>
  <c r="AD24" i="13" s="1"/>
  <c r="C24" i="29"/>
  <c r="C72" i="24"/>
  <c r="T72" i="1"/>
  <c r="C72" i="48" s="1"/>
  <c r="D72" i="13"/>
  <c r="AD72" i="13" s="1"/>
  <c r="C72" i="29"/>
  <c r="C120" i="24"/>
  <c r="T120" i="1"/>
  <c r="C120" i="48" s="1"/>
  <c r="D120" i="13"/>
  <c r="AD120" i="13" s="1"/>
  <c r="C120" i="29"/>
  <c r="C69" i="15"/>
  <c r="S69" i="15" s="1"/>
  <c r="AQ69" i="1"/>
  <c r="C69" i="49" s="1"/>
  <c r="C69" i="26"/>
  <c r="C69" i="31"/>
  <c r="AQ63" i="1"/>
  <c r="C63" i="49" s="1"/>
  <c r="C63" i="15"/>
  <c r="S63" i="15" s="1"/>
  <c r="C63" i="26"/>
  <c r="C63" i="31"/>
  <c r="C72" i="26"/>
  <c r="C72" i="15"/>
  <c r="S72" i="15" s="1"/>
  <c r="AQ72" i="1"/>
  <c r="C72" i="49" s="1"/>
  <c r="C72" i="31"/>
  <c r="D5" i="24"/>
  <c r="D5" i="23"/>
  <c r="D5" i="22"/>
  <c r="D5" i="46"/>
  <c r="C32" i="24"/>
  <c r="T32" i="1"/>
  <c r="C32" i="48" s="1"/>
  <c r="D32" i="13"/>
  <c r="AD32" i="13" s="1"/>
  <c r="C32" i="29"/>
  <c r="C84" i="24"/>
  <c r="T84" i="1"/>
  <c r="C84" i="48" s="1"/>
  <c r="D84" i="13"/>
  <c r="AD84" i="13" s="1"/>
  <c r="C84" i="29"/>
  <c r="C48" i="24"/>
  <c r="T48" i="1"/>
  <c r="C48" i="48" s="1"/>
  <c r="D48" i="13"/>
  <c r="AD48" i="13" s="1"/>
  <c r="C48" i="29"/>
  <c r="T43" i="1"/>
  <c r="C43" i="48" s="1"/>
  <c r="C43" i="24"/>
  <c r="D43" i="13"/>
  <c r="AD43" i="13" s="1"/>
  <c r="C43" i="29"/>
  <c r="O38" i="1"/>
  <c r="V8" i="18"/>
  <c r="AA8" i="18" s="1"/>
  <c r="V8" i="34"/>
  <c r="AA8" i="34" s="1"/>
  <c r="V10" i="18"/>
  <c r="AA10" i="18" s="1"/>
  <c r="T89" i="1"/>
  <c r="C89" i="48" s="1"/>
  <c r="C89" i="24"/>
  <c r="D89" i="13"/>
  <c r="AD89" i="13" s="1"/>
  <c r="C89" i="29"/>
  <c r="T95" i="1"/>
  <c r="C95" i="48" s="1"/>
  <c r="C95" i="24"/>
  <c r="D95" i="13"/>
  <c r="AD95" i="13" s="1"/>
  <c r="C95" i="29"/>
  <c r="D90" i="13"/>
  <c r="AD90" i="13" s="1"/>
  <c r="T90" i="1"/>
  <c r="C90" i="48" s="1"/>
  <c r="C90" i="24"/>
  <c r="C90" i="29"/>
  <c r="J32" i="1"/>
  <c r="M7" i="34"/>
  <c r="Q7" i="34" s="1"/>
  <c r="J80" i="1"/>
  <c r="M11" i="34"/>
  <c r="Q11" i="34" s="1"/>
  <c r="D26" i="13"/>
  <c r="T26" i="1"/>
  <c r="C26" i="48" s="1"/>
  <c r="C26" i="24"/>
  <c r="C26" i="29"/>
  <c r="D7" i="12"/>
  <c r="C7" i="28"/>
  <c r="C7" i="23"/>
  <c r="D59" i="12"/>
  <c r="X59" i="12" s="1"/>
  <c r="C59" i="28"/>
  <c r="C59" i="23"/>
  <c r="D24" i="11"/>
  <c r="V24" i="11" s="1"/>
  <c r="C24" i="27"/>
  <c r="C24" i="22"/>
  <c r="C72" i="27"/>
  <c r="D72" i="11"/>
  <c r="V72" i="11" s="1"/>
  <c r="C72" i="22"/>
  <c r="D108" i="12"/>
  <c r="X108" i="12" s="1"/>
  <c r="C108" i="28"/>
  <c r="C108" i="23"/>
  <c r="D103" i="12"/>
  <c r="X103" i="12" s="1"/>
  <c r="C103" i="28"/>
  <c r="C103" i="23"/>
  <c r="M13" i="18"/>
  <c r="Q13" i="18" s="1"/>
  <c r="J98" i="1"/>
  <c r="M13" i="34"/>
  <c r="Q13" i="34" s="1"/>
  <c r="D47" i="12"/>
  <c r="X47" i="12" s="1"/>
  <c r="C47" i="28"/>
  <c r="C47" i="23"/>
  <c r="D42" i="12"/>
  <c r="X42" i="12" s="1"/>
  <c r="C42" i="23"/>
  <c r="C42" i="28"/>
  <c r="D32" i="11"/>
  <c r="V32" i="11" s="1"/>
  <c r="C32" i="27"/>
  <c r="C32" i="22"/>
  <c r="C84" i="27"/>
  <c r="C84" i="22"/>
  <c r="D84" i="11"/>
  <c r="V84" i="11" s="1"/>
  <c r="C96" i="27"/>
  <c r="C96" i="22"/>
  <c r="D96" i="11"/>
  <c r="V96" i="11" s="1"/>
  <c r="D91" i="11"/>
  <c r="V91" i="11" s="1"/>
  <c r="C91" i="22"/>
  <c r="C91" i="27"/>
  <c r="D12" i="18"/>
  <c r="H12" i="18" s="1"/>
  <c r="F86" i="1"/>
  <c r="D12" i="34"/>
  <c r="H12" i="34" s="1"/>
  <c r="BI8" i="18"/>
  <c r="AW39" i="1"/>
  <c r="D109" i="11"/>
  <c r="V109" i="11" s="1"/>
  <c r="C109" i="27"/>
  <c r="C109" i="22"/>
  <c r="BI12" i="18"/>
  <c r="AW87" i="1"/>
  <c r="C104" i="27"/>
  <c r="D104" i="11"/>
  <c r="V104" i="11" s="1"/>
  <c r="C104" i="22"/>
  <c r="D99" i="11"/>
  <c r="V99" i="11" s="1"/>
  <c r="C99" i="22"/>
  <c r="C99" i="27"/>
  <c r="D47" i="11"/>
  <c r="V47" i="11" s="1"/>
  <c r="C47" i="22"/>
  <c r="C47" i="27"/>
  <c r="D42" i="11"/>
  <c r="V42" i="11" s="1"/>
  <c r="C42" i="27"/>
  <c r="C42" i="22"/>
  <c r="M5" i="18"/>
  <c r="Q5" i="18" s="1"/>
  <c r="D89" i="12"/>
  <c r="X89" i="12" s="1"/>
  <c r="C89" i="23"/>
  <c r="C89" i="28"/>
  <c r="D95" i="12"/>
  <c r="X95" i="12" s="1"/>
  <c r="C95" i="28"/>
  <c r="C95" i="23"/>
  <c r="D90" i="12"/>
  <c r="X90" i="12" s="1"/>
  <c r="C90" i="23"/>
  <c r="C90" i="28"/>
  <c r="C83" i="43"/>
  <c r="S83" i="43" s="1"/>
  <c r="C83" i="47"/>
  <c r="C32" i="14"/>
  <c r="S32" i="14" s="1"/>
  <c r="C32" i="25"/>
  <c r="C32" i="30"/>
  <c r="Z54" i="1"/>
  <c r="AF9" i="18"/>
  <c r="AJ9" i="18" s="1"/>
  <c r="AK9" i="18" s="1"/>
  <c r="AF9" i="34"/>
  <c r="AJ9" i="34" s="1"/>
  <c r="Z102" i="1"/>
  <c r="AF13" i="18"/>
  <c r="AJ13" i="18" s="1"/>
  <c r="AK13" i="18" s="1"/>
  <c r="AF13" i="34"/>
  <c r="AJ13" i="34" s="1"/>
  <c r="C45" i="14"/>
  <c r="S45" i="14" s="1"/>
  <c r="C45" i="30"/>
  <c r="C45" i="25"/>
  <c r="C10" i="14"/>
  <c r="S10" i="14" s="1"/>
  <c r="C10" i="30"/>
  <c r="C10" i="25"/>
  <c r="C4" i="14"/>
  <c r="S4" i="14" s="1"/>
  <c r="C4" i="25"/>
  <c r="C4" i="30"/>
  <c r="C11" i="25"/>
  <c r="C11" i="30"/>
  <c r="C11" i="14"/>
  <c r="S11" i="14" s="1"/>
  <c r="C44" i="25"/>
  <c r="C44" i="14"/>
  <c r="S44" i="14" s="1"/>
  <c r="C44" i="30"/>
  <c r="C39" i="14"/>
  <c r="S39" i="14" s="1"/>
  <c r="C39" i="25"/>
  <c r="C39" i="30"/>
  <c r="Z38" i="1"/>
  <c r="AF8" i="18"/>
  <c r="AJ8" i="18" s="1"/>
  <c r="AK8" i="18" s="1"/>
  <c r="AF8" i="34"/>
  <c r="AJ8" i="34" s="1"/>
  <c r="C64" i="25"/>
  <c r="C64" i="14"/>
  <c r="S64" i="14" s="1"/>
  <c r="C64" i="30"/>
  <c r="C70" i="30"/>
  <c r="C70" i="14"/>
  <c r="S70" i="14" s="1"/>
  <c r="C70" i="25"/>
  <c r="C92" i="25"/>
  <c r="C92" i="14"/>
  <c r="S92" i="14" s="1"/>
  <c r="C92" i="30"/>
  <c r="C87" i="14"/>
  <c r="S87" i="14" s="1"/>
  <c r="C87" i="25"/>
  <c r="C87" i="30"/>
  <c r="Z86" i="1"/>
  <c r="AF12" i="18"/>
  <c r="AJ12" i="18" s="1"/>
  <c r="AK12" i="18" s="1"/>
  <c r="AF12" i="34"/>
  <c r="AJ12" i="34" s="1"/>
  <c r="D6" i="29"/>
  <c r="D6" i="28"/>
  <c r="D6" i="27"/>
  <c r="D11" i="28"/>
  <c r="D11" i="29"/>
  <c r="D11" i="27"/>
  <c r="L5" i="31"/>
  <c r="R5" i="31" s="1"/>
  <c r="D17" i="31"/>
  <c r="E2" i="28"/>
  <c r="E2" i="27"/>
  <c r="D2" i="31"/>
  <c r="E2" i="29"/>
  <c r="D9" i="31"/>
  <c r="E9" i="29"/>
  <c r="E9" i="28"/>
  <c r="E9" i="27"/>
  <c r="D14" i="29"/>
  <c r="AZ5" i="18"/>
  <c r="AJ2" i="1"/>
  <c r="AZ5" i="34"/>
  <c r="AJ50" i="1"/>
  <c r="AZ9" i="18"/>
  <c r="AZ12" i="18"/>
  <c r="D7" i="26"/>
  <c r="E7" i="24"/>
  <c r="E7" i="23"/>
  <c r="E7" i="22"/>
  <c r="E7" i="46"/>
  <c r="D7" i="47"/>
  <c r="AO7" i="18"/>
  <c r="AT7" i="18" s="1"/>
  <c r="AE30" i="1"/>
  <c r="C60" i="26"/>
  <c r="AQ60" i="1"/>
  <c r="C60" i="49" s="1"/>
  <c r="C60" i="15"/>
  <c r="S60" i="15" s="1"/>
  <c r="C60" i="31"/>
  <c r="C116" i="26"/>
  <c r="AQ116" i="1"/>
  <c r="C116" i="49" s="1"/>
  <c r="C116" i="15"/>
  <c r="S116" i="15" s="1"/>
  <c r="C116" i="31"/>
  <c r="D9" i="26"/>
  <c r="E9" i="24"/>
  <c r="E9" i="23"/>
  <c r="E9" i="22"/>
  <c r="E9" i="46"/>
  <c r="D9" i="47"/>
  <c r="AQ25" i="1"/>
  <c r="C25" i="49" s="1"/>
  <c r="C25" i="15"/>
  <c r="S25" i="15" s="1"/>
  <c r="C25" i="26"/>
  <c r="C25" i="31"/>
  <c r="C19" i="15"/>
  <c r="S19" i="15" s="1"/>
  <c r="AQ19" i="1"/>
  <c r="C19" i="49" s="1"/>
  <c r="C19" i="26"/>
  <c r="C19" i="31"/>
  <c r="AO6" i="18"/>
  <c r="AT6" i="18" s="1"/>
  <c r="AE14" i="1"/>
  <c r="D7" i="24"/>
  <c r="D7" i="23"/>
  <c r="D7" i="22"/>
  <c r="D7" i="46"/>
  <c r="T31" i="1"/>
  <c r="C31" i="48" s="1"/>
  <c r="C31" i="24"/>
  <c r="D31" i="13"/>
  <c r="AD31" i="13" s="1"/>
  <c r="C31" i="29"/>
  <c r="T79" i="1"/>
  <c r="C79" i="48" s="1"/>
  <c r="C79" i="24"/>
  <c r="D79" i="13"/>
  <c r="AD79" i="13" s="1"/>
  <c r="C79" i="29"/>
  <c r="C65" i="15"/>
  <c r="S65" i="15" s="1"/>
  <c r="AQ65" i="1"/>
  <c r="C65" i="49" s="1"/>
  <c r="C65" i="26"/>
  <c r="C65" i="31"/>
  <c r="AQ70" i="1"/>
  <c r="C70" i="49" s="1"/>
  <c r="C70" i="15"/>
  <c r="S70" i="15" s="1"/>
  <c r="C70" i="26"/>
  <c r="C70" i="31"/>
  <c r="C68" i="26"/>
  <c r="C68" i="15"/>
  <c r="S68" i="15" s="1"/>
  <c r="AQ68" i="1"/>
  <c r="C68" i="49" s="1"/>
  <c r="C68" i="31"/>
  <c r="D9" i="24"/>
  <c r="D9" i="23"/>
  <c r="D9" i="22"/>
  <c r="D9" i="46"/>
  <c r="C36" i="24"/>
  <c r="T36" i="1"/>
  <c r="C36" i="48" s="1"/>
  <c r="D36" i="13"/>
  <c r="AD36" i="13" s="1"/>
  <c r="C36" i="29"/>
  <c r="D10" i="24"/>
  <c r="D10" i="23"/>
  <c r="D10" i="22"/>
  <c r="D10" i="46"/>
  <c r="C44" i="24"/>
  <c r="T44" i="1"/>
  <c r="C44" i="48" s="1"/>
  <c r="D44" i="13"/>
  <c r="AD44" i="13" s="1"/>
  <c r="C44" i="29"/>
  <c r="T39" i="1"/>
  <c r="C39" i="48" s="1"/>
  <c r="C39" i="24"/>
  <c r="D39" i="13"/>
  <c r="AD39" i="13" s="1"/>
  <c r="C39" i="29"/>
  <c r="T67" i="1"/>
  <c r="C67" i="48" s="1"/>
  <c r="C67" i="24"/>
  <c r="D67" i="13"/>
  <c r="C67" i="29"/>
  <c r="C96" i="24"/>
  <c r="T96" i="1"/>
  <c r="C96" i="48" s="1"/>
  <c r="D96" i="13"/>
  <c r="AD96" i="13" s="1"/>
  <c r="C96" i="29"/>
  <c r="T91" i="1"/>
  <c r="C91" i="48" s="1"/>
  <c r="C91" i="24"/>
  <c r="D91" i="13"/>
  <c r="AD91" i="13" s="1"/>
  <c r="C91" i="29"/>
  <c r="O86" i="1"/>
  <c r="V12" i="18"/>
  <c r="AA12" i="18" s="1"/>
  <c r="V12" i="34"/>
  <c r="AA12" i="34" s="1"/>
  <c r="D36" i="12"/>
  <c r="X36" i="12" s="1"/>
  <c r="C36" i="28"/>
  <c r="C36" i="23"/>
  <c r="D84" i="12"/>
  <c r="X84" i="12" s="1"/>
  <c r="C84" i="28"/>
  <c r="C84" i="23"/>
  <c r="D11" i="12"/>
  <c r="C11" i="28"/>
  <c r="C11" i="23"/>
  <c r="J111" i="1"/>
  <c r="M14" i="18"/>
  <c r="M14" i="34"/>
  <c r="D31" i="11"/>
  <c r="V31" i="11" s="1"/>
  <c r="C31" i="22"/>
  <c r="C31" i="27"/>
  <c r="D79" i="11"/>
  <c r="V79" i="11" s="1"/>
  <c r="C79" i="22"/>
  <c r="C79" i="27"/>
  <c r="AW80" i="1"/>
  <c r="D104" i="12"/>
  <c r="X104" i="12" s="1"/>
  <c r="C104" i="28"/>
  <c r="C104" i="23"/>
  <c r="D99" i="12"/>
  <c r="X99" i="12" s="1"/>
  <c r="C99" i="28"/>
  <c r="C99" i="23"/>
  <c r="D48" i="12"/>
  <c r="X48" i="12" s="1"/>
  <c r="C48" i="28"/>
  <c r="C48" i="23"/>
  <c r="D43" i="12"/>
  <c r="X43" i="12" s="1"/>
  <c r="C43" i="28"/>
  <c r="C43" i="23"/>
  <c r="M8" i="18"/>
  <c r="Q8" i="18" s="1"/>
  <c r="J38" i="1"/>
  <c r="M8" i="34"/>
  <c r="Q8" i="34" s="1"/>
  <c r="D36" i="11"/>
  <c r="V36" i="11" s="1"/>
  <c r="C36" i="27"/>
  <c r="C36" i="22"/>
  <c r="D92" i="11"/>
  <c r="V92" i="11" s="1"/>
  <c r="C92" i="27"/>
  <c r="C92" i="22"/>
  <c r="D87" i="11"/>
  <c r="V87" i="11" s="1"/>
  <c r="C87" i="22"/>
  <c r="C87" i="27"/>
  <c r="BI11" i="18"/>
  <c r="C100" i="27"/>
  <c r="C100" i="22"/>
  <c r="D100" i="11"/>
  <c r="V100" i="11" s="1"/>
  <c r="C106" i="27"/>
  <c r="D106" i="11"/>
  <c r="V106" i="11" s="1"/>
  <c r="C106" i="22"/>
  <c r="D48" i="11"/>
  <c r="V48" i="11" s="1"/>
  <c r="C48" i="27"/>
  <c r="C48" i="22"/>
  <c r="D43" i="11"/>
  <c r="V43" i="11" s="1"/>
  <c r="C43" i="22"/>
  <c r="C43" i="27"/>
  <c r="D8" i="18"/>
  <c r="H8" i="18" s="1"/>
  <c r="F38" i="1"/>
  <c r="D8" i="34"/>
  <c r="H8" i="34" s="1"/>
  <c r="M7" i="18"/>
  <c r="Q7" i="18" s="1"/>
  <c r="D96" i="12"/>
  <c r="X96" i="12" s="1"/>
  <c r="C96" i="28"/>
  <c r="C96" i="23"/>
  <c r="C91" i="28"/>
  <c r="C91" i="23"/>
  <c r="D91" i="12"/>
  <c r="X91" i="12" s="1"/>
  <c r="M12" i="18"/>
  <c r="Q12" i="18" s="1"/>
  <c r="J86" i="1"/>
  <c r="M12" i="34"/>
  <c r="Q12" i="34" s="1"/>
  <c r="C35" i="25"/>
  <c r="C35" i="30"/>
  <c r="C35" i="14"/>
  <c r="S35" i="14" s="1"/>
  <c r="C37" i="14"/>
  <c r="S37" i="14" s="1"/>
  <c r="C37" i="30"/>
  <c r="C37" i="25"/>
  <c r="C58" i="30"/>
  <c r="C58" i="25"/>
  <c r="C58" i="14"/>
  <c r="S58" i="14" s="1"/>
  <c r="C106" i="30"/>
  <c r="C106" i="25"/>
  <c r="C106" i="14"/>
  <c r="S106" i="14" s="1"/>
  <c r="C69" i="14"/>
  <c r="S69" i="14" s="1"/>
  <c r="C69" i="30"/>
  <c r="C69" i="25"/>
  <c r="M8" i="19"/>
  <c r="C49" i="14"/>
  <c r="S49" i="14" s="1"/>
  <c r="C49" i="30"/>
  <c r="C49" i="25"/>
  <c r="C5" i="30"/>
  <c r="C5" i="14"/>
  <c r="S5" i="14" s="1"/>
  <c r="C5" i="25"/>
  <c r="C13" i="30"/>
  <c r="C13" i="25"/>
  <c r="C13" i="14"/>
  <c r="S13" i="14" s="1"/>
  <c r="C7" i="25"/>
  <c r="C7" i="30"/>
  <c r="C7" i="14"/>
  <c r="S7" i="14" s="1"/>
  <c r="C40" i="25"/>
  <c r="C40" i="14"/>
  <c r="S40" i="14" s="1"/>
  <c r="C40" i="30"/>
  <c r="C71" i="14"/>
  <c r="S71" i="14" s="1"/>
  <c r="C71" i="25"/>
  <c r="C71" i="30"/>
  <c r="C66" i="30"/>
  <c r="C66" i="14"/>
  <c r="S66" i="14" s="1"/>
  <c r="C66" i="25"/>
  <c r="C88" i="25"/>
  <c r="C88" i="14"/>
  <c r="S88" i="14" s="1"/>
  <c r="C88" i="30"/>
  <c r="D3" i="29"/>
  <c r="D3" i="28"/>
  <c r="D3" i="27"/>
  <c r="D7" i="29"/>
  <c r="D7" i="28"/>
  <c r="D7" i="27"/>
  <c r="D13" i="29"/>
  <c r="D13" i="27"/>
  <c r="D13" i="28"/>
  <c r="AJ40" i="1"/>
  <c r="AZ8" i="18"/>
  <c r="AJ26" i="1"/>
  <c r="AZ7" i="18"/>
  <c r="D8" i="26"/>
  <c r="E8" i="24"/>
  <c r="E8" i="23"/>
  <c r="E8" i="22"/>
  <c r="E8" i="46"/>
  <c r="D8" i="47"/>
  <c r="AQ34" i="1"/>
  <c r="C34" i="49" s="1"/>
  <c r="C34" i="15"/>
  <c r="S34" i="15" s="1"/>
  <c r="C34" i="26"/>
  <c r="C34" i="31"/>
  <c r="AO11" i="18"/>
  <c r="AT11" i="18" s="1"/>
  <c r="AE78" i="1"/>
  <c r="C120" i="26"/>
  <c r="AQ120" i="1"/>
  <c r="C120" i="49" s="1"/>
  <c r="C120" i="15"/>
  <c r="S120" i="15" s="1"/>
  <c r="C120" i="31"/>
  <c r="AQ21" i="1"/>
  <c r="C21" i="49" s="1"/>
  <c r="C21" i="15"/>
  <c r="S21" i="15" s="1"/>
  <c r="C21" i="26"/>
  <c r="C21" i="31"/>
  <c r="C15" i="15"/>
  <c r="S15" i="15" s="1"/>
  <c r="AQ15" i="1"/>
  <c r="C15" i="49" s="1"/>
  <c r="C15" i="26"/>
  <c r="C15" i="31"/>
  <c r="AQ24" i="1"/>
  <c r="C24" i="49" s="1"/>
  <c r="C24" i="26"/>
  <c r="C24" i="15"/>
  <c r="S24" i="15" s="1"/>
  <c r="C24" i="31"/>
  <c r="D11" i="24"/>
  <c r="D11" i="23"/>
  <c r="D11" i="22"/>
  <c r="D11" i="46"/>
  <c r="T35" i="1"/>
  <c r="C35" i="48" s="1"/>
  <c r="C35" i="24"/>
  <c r="D35" i="13"/>
  <c r="AD35" i="13" s="1"/>
  <c r="C35" i="29"/>
  <c r="T83" i="1"/>
  <c r="C83" i="48" s="1"/>
  <c r="C83" i="24"/>
  <c r="D83" i="13"/>
  <c r="AD83" i="13" s="1"/>
  <c r="C83" i="29"/>
  <c r="AO9" i="18"/>
  <c r="AT9" i="18" s="1"/>
  <c r="AQ71" i="1"/>
  <c r="C71" i="49" s="1"/>
  <c r="C71" i="15"/>
  <c r="S71" i="15" s="1"/>
  <c r="C71" i="26"/>
  <c r="C71" i="31"/>
  <c r="AQ66" i="1"/>
  <c r="C66" i="49" s="1"/>
  <c r="C66" i="15"/>
  <c r="S66" i="15" s="1"/>
  <c r="C66" i="26"/>
  <c r="C66" i="31"/>
  <c r="C64" i="26"/>
  <c r="C64" i="15"/>
  <c r="S64" i="15" s="1"/>
  <c r="AQ64" i="1"/>
  <c r="C64" i="49" s="1"/>
  <c r="C64" i="31"/>
  <c r="D13" i="24"/>
  <c r="D13" i="23"/>
  <c r="D13" i="22"/>
  <c r="D13" i="46"/>
  <c r="O76" i="1"/>
  <c r="V11" i="18"/>
  <c r="AA11" i="18" s="1"/>
  <c r="V11" i="34"/>
  <c r="AA11" i="34" s="1"/>
  <c r="C40" i="24"/>
  <c r="T40" i="1"/>
  <c r="C40" i="48" s="1"/>
  <c r="D40" i="13"/>
  <c r="AD40" i="13" s="1"/>
  <c r="C40" i="29"/>
  <c r="D46" i="13"/>
  <c r="AD46" i="13" s="1"/>
  <c r="T46" i="1"/>
  <c r="C46" i="48" s="1"/>
  <c r="C46" i="24"/>
  <c r="C46" i="29"/>
  <c r="T97" i="1"/>
  <c r="C97" i="48" s="1"/>
  <c r="C97" i="24"/>
  <c r="D97" i="13"/>
  <c r="AD97" i="13" s="1"/>
  <c r="C97" i="29"/>
  <c r="C92" i="24"/>
  <c r="T92" i="1"/>
  <c r="C92" i="48" s="1"/>
  <c r="D92" i="13"/>
  <c r="AD92" i="13" s="1"/>
  <c r="C92" i="29"/>
  <c r="T87" i="1"/>
  <c r="C87" i="48" s="1"/>
  <c r="C87" i="24"/>
  <c r="D87" i="13"/>
  <c r="AD87" i="13" s="1"/>
  <c r="C87" i="29"/>
  <c r="D6" i="12"/>
  <c r="C6" i="23"/>
  <c r="C6" i="28"/>
  <c r="D54" i="12"/>
  <c r="X54" i="12" s="1"/>
  <c r="C54" i="23"/>
  <c r="C54" i="28"/>
  <c r="D114" i="12"/>
  <c r="X114" i="12" s="1"/>
  <c r="C114" i="23"/>
  <c r="C114" i="28"/>
  <c r="J51" i="1"/>
  <c r="M9" i="34"/>
  <c r="Q9" i="34" s="1"/>
  <c r="D115" i="12"/>
  <c r="X115" i="12" s="1"/>
  <c r="C115" i="28"/>
  <c r="C115" i="23"/>
  <c r="D35" i="11"/>
  <c r="V35" i="11" s="1"/>
  <c r="C35" i="22"/>
  <c r="C35" i="27"/>
  <c r="D83" i="11"/>
  <c r="V83" i="11" s="1"/>
  <c r="C83" i="22"/>
  <c r="C83" i="27"/>
  <c r="D100" i="12"/>
  <c r="X100" i="12" s="1"/>
  <c r="C100" i="28"/>
  <c r="C100" i="23"/>
  <c r="D106" i="12"/>
  <c r="X106" i="12" s="1"/>
  <c r="C106" i="23"/>
  <c r="C106" i="28"/>
  <c r="D44" i="12"/>
  <c r="X44" i="12" s="1"/>
  <c r="C44" i="28"/>
  <c r="C44" i="23"/>
  <c r="D39" i="12"/>
  <c r="X39" i="12" s="1"/>
  <c r="C39" i="28"/>
  <c r="C39" i="23"/>
  <c r="M9" i="18"/>
  <c r="Q9" i="18" s="1"/>
  <c r="D11" i="18"/>
  <c r="H11" i="18" s="1"/>
  <c r="F76" i="1"/>
  <c r="D11" i="34"/>
  <c r="H11" i="34" s="1"/>
  <c r="C88" i="27"/>
  <c r="D88" i="11"/>
  <c r="V88" i="11" s="1"/>
  <c r="C88" i="22"/>
  <c r="D94" i="11"/>
  <c r="V94" i="11" s="1"/>
  <c r="C94" i="27"/>
  <c r="C94" i="22"/>
  <c r="D49" i="11"/>
  <c r="V49" i="11" s="1"/>
  <c r="C49" i="27"/>
  <c r="C49" i="22"/>
  <c r="M11" i="18"/>
  <c r="Q11" i="18" s="1"/>
  <c r="D107" i="11"/>
  <c r="V107" i="11" s="1"/>
  <c r="C107" i="22"/>
  <c r="C107" i="27"/>
  <c r="D102" i="11"/>
  <c r="V102" i="11" s="1"/>
  <c r="C102" i="27"/>
  <c r="C102" i="22"/>
  <c r="C44" i="27"/>
  <c r="C44" i="22"/>
  <c r="D44" i="11"/>
  <c r="V44" i="11" s="1"/>
  <c r="D39" i="11"/>
  <c r="V39" i="11" s="1"/>
  <c r="C39" i="22"/>
  <c r="C39" i="27"/>
  <c r="D97" i="12"/>
  <c r="X97" i="12" s="1"/>
  <c r="C97" i="23"/>
  <c r="C97" i="28"/>
  <c r="D92" i="12"/>
  <c r="X92" i="12" s="1"/>
  <c r="C92" i="28"/>
  <c r="C92" i="23"/>
  <c r="D87" i="12"/>
  <c r="X87" i="12" s="1"/>
  <c r="C87" i="28"/>
  <c r="C87" i="23"/>
  <c r="BI9" i="18"/>
  <c r="AW50" i="1"/>
  <c r="C80" i="43"/>
  <c r="S80" i="43" s="1"/>
  <c r="C80" i="47"/>
  <c r="C31" i="25"/>
  <c r="C31" i="30"/>
  <c r="C31" i="14"/>
  <c r="S31" i="14" s="1"/>
  <c r="S110" i="15"/>
  <c r="D6" i="24"/>
  <c r="D6" i="23"/>
  <c r="D6" i="46"/>
  <c r="D6" i="22"/>
  <c r="C28" i="25"/>
  <c r="C28" i="30"/>
  <c r="C28" i="14"/>
  <c r="S28" i="14" s="1"/>
  <c r="Z78" i="1"/>
  <c r="AF11" i="18"/>
  <c r="AJ11" i="18" s="1"/>
  <c r="AK11" i="18" s="1"/>
  <c r="AF11" i="34"/>
  <c r="AJ11" i="34" s="1"/>
  <c r="C93" i="14"/>
  <c r="S93" i="14" s="1"/>
  <c r="C93" i="30"/>
  <c r="C93" i="25"/>
  <c r="M12" i="19"/>
  <c r="C73" i="14"/>
  <c r="S73" i="14" s="1"/>
  <c r="C73" i="30"/>
  <c r="C73" i="25"/>
  <c r="C8" i="14"/>
  <c r="S8" i="14" s="1"/>
  <c r="C8" i="25"/>
  <c r="C8" i="30"/>
  <c r="C3" i="25"/>
  <c r="C3" i="30"/>
  <c r="C3" i="14"/>
  <c r="S3" i="14" s="1"/>
  <c r="C47" i="14"/>
  <c r="S47" i="14" s="1"/>
  <c r="C47" i="25"/>
  <c r="C47" i="30"/>
  <c r="C46" i="30"/>
  <c r="C46" i="14"/>
  <c r="S46" i="14" s="1"/>
  <c r="C46" i="25"/>
  <c r="C72" i="25"/>
  <c r="C72" i="14"/>
  <c r="S72" i="14" s="1"/>
  <c r="C72" i="30"/>
  <c r="C67" i="14"/>
  <c r="S67" i="14" s="1"/>
  <c r="C67" i="25"/>
  <c r="C67" i="30"/>
  <c r="Z62" i="1"/>
  <c r="AF10" i="18"/>
  <c r="AJ10" i="18" s="1"/>
  <c r="AK10" i="18" s="1"/>
  <c r="AF10" i="34"/>
  <c r="AJ10" i="34" s="1"/>
  <c r="C95" i="14"/>
  <c r="S95" i="14" s="1"/>
  <c r="C95" i="25"/>
  <c r="C95" i="30"/>
  <c r="C94" i="30"/>
  <c r="C94" i="14"/>
  <c r="S94" i="14" s="1"/>
  <c r="C94" i="25"/>
  <c r="D4" i="29"/>
  <c r="D4" i="28"/>
  <c r="D4" i="27"/>
  <c r="D8" i="29"/>
  <c r="D8" i="28"/>
  <c r="D8" i="27"/>
  <c r="L7" i="31"/>
  <c r="R7" i="31" s="1"/>
  <c r="D19" i="31"/>
  <c r="E3" i="29"/>
  <c r="D3" i="31"/>
  <c r="E3" i="28"/>
  <c r="E3" i="27"/>
  <c r="E8" i="28"/>
  <c r="E8" i="27"/>
  <c r="D8" i="31"/>
  <c r="E8" i="29"/>
  <c r="AJ88" i="1"/>
  <c r="BA12" i="18" s="1"/>
  <c r="D11" i="26"/>
  <c r="E11" i="24"/>
  <c r="E11" i="23"/>
  <c r="E11" i="22"/>
  <c r="E11" i="46"/>
  <c r="D11" i="47"/>
  <c r="C115" i="15"/>
  <c r="S115" i="15" s="1"/>
  <c r="AQ115" i="1"/>
  <c r="C115" i="49" s="1"/>
  <c r="C115" i="26"/>
  <c r="C115" i="31"/>
  <c r="AO5" i="18"/>
  <c r="AT5" i="18" s="1"/>
  <c r="AE8" i="1"/>
  <c r="AO5" i="34"/>
  <c r="AT5" i="34" s="1"/>
  <c r="AE52" i="1"/>
  <c r="AQ82" i="1"/>
  <c r="C82" i="49" s="1"/>
  <c r="C82" i="15"/>
  <c r="S82" i="15" s="1"/>
  <c r="C82" i="26"/>
  <c r="C82" i="31"/>
  <c r="AQ17" i="1"/>
  <c r="C17" i="49" s="1"/>
  <c r="C17" i="15"/>
  <c r="S17" i="15" s="1"/>
  <c r="C17" i="26"/>
  <c r="C17" i="31"/>
  <c r="AQ22" i="1"/>
  <c r="C22" i="49" s="1"/>
  <c r="C22" i="15"/>
  <c r="S22" i="15" s="1"/>
  <c r="C22" i="26"/>
  <c r="C22" i="31"/>
  <c r="AQ20" i="1"/>
  <c r="C20" i="49" s="1"/>
  <c r="C20" i="26"/>
  <c r="C20" i="15"/>
  <c r="S20" i="15" s="1"/>
  <c r="C20" i="31"/>
  <c r="O20" i="1"/>
  <c r="V6" i="18"/>
  <c r="AA6" i="18" s="1"/>
  <c r="V6" i="34"/>
  <c r="AA6" i="34" s="1"/>
  <c r="O68" i="1"/>
  <c r="V10" i="34"/>
  <c r="AA10" i="34" s="1"/>
  <c r="O116" i="1"/>
  <c r="V14" i="18"/>
  <c r="V14" i="34"/>
  <c r="C73" i="15"/>
  <c r="S73" i="15" s="1"/>
  <c r="AQ73" i="1"/>
  <c r="C73" i="49" s="1"/>
  <c r="C73" i="26"/>
  <c r="C73" i="31"/>
  <c r="AQ67" i="1"/>
  <c r="C67" i="49" s="1"/>
  <c r="C67" i="15"/>
  <c r="S67" i="15" s="1"/>
  <c r="C67" i="26"/>
  <c r="C67" i="31"/>
  <c r="AO10" i="18"/>
  <c r="AT10" i="18" s="1"/>
  <c r="AE62" i="1"/>
  <c r="D2" i="24"/>
  <c r="D2" i="23"/>
  <c r="D2" i="46"/>
  <c r="D2" i="22"/>
  <c r="O28" i="1"/>
  <c r="V7" i="34"/>
  <c r="AA7" i="34" s="1"/>
  <c r="C80" i="24"/>
  <c r="T80" i="1"/>
  <c r="C80" i="48" s="1"/>
  <c r="D80" i="13"/>
  <c r="AD80" i="13" s="1"/>
  <c r="C80" i="29"/>
  <c r="T47" i="1"/>
  <c r="C47" i="48" s="1"/>
  <c r="C47" i="24"/>
  <c r="D47" i="13"/>
  <c r="AD47" i="13" s="1"/>
  <c r="C47" i="29"/>
  <c r="D42" i="13"/>
  <c r="AD42" i="13" s="1"/>
  <c r="T42" i="1"/>
  <c r="C42" i="48" s="1"/>
  <c r="C42" i="24"/>
  <c r="C42" i="29"/>
  <c r="T93" i="1"/>
  <c r="C93" i="48" s="1"/>
  <c r="C93" i="24"/>
  <c r="D93" i="13"/>
  <c r="AD93" i="13" s="1"/>
  <c r="C93" i="29"/>
  <c r="C88" i="24"/>
  <c r="T88" i="1"/>
  <c r="C88" i="48" s="1"/>
  <c r="D88" i="13"/>
  <c r="AD88" i="13" s="1"/>
  <c r="C88" i="29"/>
  <c r="D94" i="13"/>
  <c r="AD94" i="13" s="1"/>
  <c r="T94" i="1"/>
  <c r="C94" i="48" s="1"/>
  <c r="C94" i="24"/>
  <c r="C94" i="29"/>
  <c r="D10" i="12"/>
  <c r="C10" i="23"/>
  <c r="C10" i="28"/>
  <c r="D58" i="12"/>
  <c r="X58" i="12" s="1"/>
  <c r="C58" i="23"/>
  <c r="C58" i="28"/>
  <c r="D118" i="12"/>
  <c r="X118" i="12" s="1"/>
  <c r="C118" i="23"/>
  <c r="C118" i="28"/>
  <c r="J3" i="1"/>
  <c r="M5" i="34"/>
  <c r="Q5" i="34" s="1"/>
  <c r="D55" i="12"/>
  <c r="X55" i="12" s="1"/>
  <c r="C55" i="28"/>
  <c r="C55" i="23"/>
  <c r="D119" i="12"/>
  <c r="X119" i="12" s="1"/>
  <c r="C119" i="28"/>
  <c r="C119" i="23"/>
  <c r="F20" i="1"/>
  <c r="D6" i="34"/>
  <c r="H6" i="34" s="1"/>
  <c r="F68" i="1"/>
  <c r="D10" i="34"/>
  <c r="H10" i="34" s="1"/>
  <c r="AW32" i="1"/>
  <c r="D107" i="12"/>
  <c r="X107" i="12" s="1"/>
  <c r="C107" i="28"/>
  <c r="C107" i="23"/>
  <c r="D102" i="12"/>
  <c r="X102" i="12" s="1"/>
  <c r="C102" i="23"/>
  <c r="C102" i="28"/>
  <c r="D40" i="12"/>
  <c r="X40" i="12" s="1"/>
  <c r="C40" i="28"/>
  <c r="C40" i="23"/>
  <c r="D46" i="12"/>
  <c r="X46" i="12" s="1"/>
  <c r="C46" i="23"/>
  <c r="C46" i="28"/>
  <c r="F28" i="1"/>
  <c r="D7" i="34"/>
  <c r="H7" i="34" s="1"/>
  <c r="C80" i="27"/>
  <c r="C80" i="22"/>
  <c r="D80" i="11"/>
  <c r="V80" i="11" s="1"/>
  <c r="D45" i="11"/>
  <c r="V45" i="11" s="1"/>
  <c r="C45" i="27"/>
  <c r="C45" i="22"/>
  <c r="D95" i="11"/>
  <c r="V95" i="11" s="1"/>
  <c r="C95" i="22"/>
  <c r="C95" i="27"/>
  <c r="C90" i="27"/>
  <c r="D90" i="11"/>
  <c r="V90" i="11" s="1"/>
  <c r="C90" i="22"/>
  <c r="BI13" i="18"/>
  <c r="AW98" i="1"/>
  <c r="D10" i="18"/>
  <c r="H10" i="18" s="1"/>
  <c r="D108" i="11"/>
  <c r="V108" i="11" s="1"/>
  <c r="C108" i="27"/>
  <c r="C108" i="22"/>
  <c r="D103" i="11"/>
  <c r="V103" i="11" s="1"/>
  <c r="C103" i="22"/>
  <c r="C103" i="27"/>
  <c r="D13" i="18"/>
  <c r="H13" i="18" s="1"/>
  <c r="F98" i="1"/>
  <c r="D13" i="34"/>
  <c r="H13" i="34" s="1"/>
  <c r="D40" i="11"/>
  <c r="V40" i="11" s="1"/>
  <c r="C40" i="27"/>
  <c r="C40" i="22"/>
  <c r="C46" i="27"/>
  <c r="D46" i="11"/>
  <c r="V46" i="11" s="1"/>
  <c r="C46" i="22"/>
  <c r="BI5" i="18"/>
  <c r="BI5" i="34"/>
  <c r="AW2" i="1"/>
  <c r="D93" i="12"/>
  <c r="X93" i="12" s="1"/>
  <c r="C93" i="23"/>
  <c r="C93" i="28"/>
  <c r="D88" i="12"/>
  <c r="X88" i="12" s="1"/>
  <c r="C88" i="28"/>
  <c r="C88" i="23"/>
  <c r="D94" i="12"/>
  <c r="X94" i="12" s="1"/>
  <c r="C94" i="23"/>
  <c r="C94" i="28"/>
  <c r="BI7" i="18"/>
  <c r="Z27" i="1"/>
  <c r="AF7" i="18"/>
  <c r="AJ7" i="18" s="1"/>
  <c r="AK7" i="18" s="1"/>
  <c r="AF7" i="34"/>
  <c r="AJ7" i="34" s="1"/>
  <c r="C110" i="43"/>
  <c r="C110" i="47"/>
  <c r="C55" i="43"/>
  <c r="S55" i="43" s="1"/>
  <c r="C55" i="47"/>
  <c r="C33" i="30"/>
  <c r="C33" i="14"/>
  <c r="S33" i="14" s="1"/>
  <c r="C33" i="25"/>
  <c r="C82" i="30"/>
  <c r="C82" i="14"/>
  <c r="S82" i="14" s="1"/>
  <c r="C82" i="25"/>
  <c r="C12" i="14"/>
  <c r="S12" i="14" s="1"/>
  <c r="C12" i="25"/>
  <c r="C12" i="30"/>
  <c r="C97" i="14"/>
  <c r="S97" i="14" s="1"/>
  <c r="C97" i="30"/>
  <c r="C97" i="25"/>
  <c r="C9" i="30"/>
  <c r="C9" i="14"/>
  <c r="S9" i="14" s="1"/>
  <c r="C9" i="25"/>
  <c r="Z2" i="1"/>
  <c r="AF5" i="18"/>
  <c r="AJ5" i="18" s="1"/>
  <c r="AK5" i="18" s="1"/>
  <c r="AF5" i="34"/>
  <c r="AJ5" i="34" s="1"/>
  <c r="AK5" i="34" s="1"/>
  <c r="C48" i="25"/>
  <c r="C48" i="14"/>
  <c r="S48" i="14" s="1"/>
  <c r="C48" i="30"/>
  <c r="C43" i="14"/>
  <c r="S43" i="14" s="1"/>
  <c r="C43" i="25"/>
  <c r="C43" i="30"/>
  <c r="C42" i="30"/>
  <c r="C42" i="14"/>
  <c r="S42" i="14" s="1"/>
  <c r="C42" i="25"/>
  <c r="C68" i="25"/>
  <c r="C68" i="14"/>
  <c r="S68" i="14" s="1"/>
  <c r="C68" i="30"/>
  <c r="C63" i="14"/>
  <c r="S63" i="14" s="1"/>
  <c r="C63" i="25"/>
  <c r="C63" i="30"/>
  <c r="C96" i="25"/>
  <c r="C96" i="14"/>
  <c r="S96" i="14" s="1"/>
  <c r="C96" i="30"/>
  <c r="C91" i="14"/>
  <c r="S91" i="14" s="1"/>
  <c r="C91" i="25"/>
  <c r="C91" i="30"/>
  <c r="C90" i="30"/>
  <c r="C90" i="14"/>
  <c r="S90" i="14" s="1"/>
  <c r="C90" i="25"/>
  <c r="M9" i="19"/>
  <c r="D5" i="29"/>
  <c r="D5" i="27"/>
  <c r="D5" i="28"/>
  <c r="D9" i="29"/>
  <c r="D9" i="27"/>
  <c r="D9" i="28"/>
  <c r="E10" i="28"/>
  <c r="E10" i="27"/>
  <c r="D10" i="31"/>
  <c r="E10" i="29"/>
  <c r="D25" i="31" l="1"/>
  <c r="E22" i="48"/>
  <c r="R22" i="48" s="1"/>
  <c r="E20" i="48"/>
  <c r="R20" i="48" s="1"/>
  <c r="C53" i="46"/>
  <c r="E18" i="27"/>
  <c r="C23" i="46"/>
  <c r="E15" i="48"/>
  <c r="R15" i="48" s="1"/>
  <c r="R12" i="29"/>
  <c r="AB12" i="29" s="1"/>
  <c r="D22" i="28"/>
  <c r="E21" i="48"/>
  <c r="R21" i="48" s="1"/>
  <c r="E16" i="48"/>
  <c r="R16" i="48" s="1"/>
  <c r="AB16" i="48" s="1"/>
  <c r="AI10" i="34"/>
  <c r="AM10" i="34"/>
  <c r="AE10" i="34"/>
  <c r="E6" i="33" s="1"/>
  <c r="AI12" i="34"/>
  <c r="AK12" i="34" s="1"/>
  <c r="AM12" i="34"/>
  <c r="AE12" i="34"/>
  <c r="G6" i="33" s="1"/>
  <c r="AI6" i="34"/>
  <c r="AM6" i="34"/>
  <c r="AE6" i="34"/>
  <c r="AI8" i="34"/>
  <c r="AK8" i="34" s="1"/>
  <c r="AM8" i="34"/>
  <c r="AE8" i="34"/>
  <c r="C6" i="33" s="1"/>
  <c r="AK10" i="34"/>
  <c r="AK6" i="34"/>
  <c r="BP16" i="34"/>
  <c r="BV16" i="34" s="1"/>
  <c r="CB16" i="34" s="1"/>
  <c r="AX16" i="34"/>
  <c r="BG16" i="34" s="1"/>
  <c r="AM7" i="34"/>
  <c r="AE7" i="34"/>
  <c r="AI7" i="34"/>
  <c r="AK7" i="34" s="1"/>
  <c r="C53" i="45"/>
  <c r="AC53" i="45" s="1"/>
  <c r="E14" i="48"/>
  <c r="R14" i="48" s="1"/>
  <c r="AE13" i="34"/>
  <c r="H6" i="33" s="1"/>
  <c r="AM13" i="34"/>
  <c r="AI13" i="34"/>
  <c r="AK13" i="34" s="1"/>
  <c r="AM11" i="34"/>
  <c r="AE11" i="34"/>
  <c r="F6" i="33" s="1"/>
  <c r="AI11" i="34"/>
  <c r="AK11" i="34" s="1"/>
  <c r="AE9" i="34"/>
  <c r="D6" i="33" s="1"/>
  <c r="AI9" i="34"/>
  <c r="AK9" i="34" s="1"/>
  <c r="AM9" i="34"/>
  <c r="AX14" i="34"/>
  <c r="AN14" i="34"/>
  <c r="I7" i="33" s="1"/>
  <c r="BP14" i="34"/>
  <c r="C114" i="43"/>
  <c r="S114" i="43" s="1"/>
  <c r="C114" i="49"/>
  <c r="C97" i="47"/>
  <c r="C97" i="49"/>
  <c r="C26" i="43"/>
  <c r="S26" i="43" s="1"/>
  <c r="C26" i="49"/>
  <c r="C43" i="43"/>
  <c r="S43" i="43" s="1"/>
  <c r="C43" i="49"/>
  <c r="C54" i="43"/>
  <c r="S54" i="43" s="1"/>
  <c r="C54" i="49"/>
  <c r="C53" i="43"/>
  <c r="S53" i="43" s="1"/>
  <c r="C53" i="49"/>
  <c r="C58" i="47"/>
  <c r="C58" i="49"/>
  <c r="C74" i="43"/>
  <c r="S74" i="43" s="1"/>
  <c r="C74" i="49"/>
  <c r="C91" i="47"/>
  <c r="C91" i="49"/>
  <c r="C118" i="47"/>
  <c r="C118" i="49"/>
  <c r="C98" i="47"/>
  <c r="C98" i="49"/>
  <c r="C59" i="47"/>
  <c r="C59" i="49"/>
  <c r="C92" i="43"/>
  <c r="S92" i="43" s="1"/>
  <c r="C92" i="49"/>
  <c r="C106" i="43"/>
  <c r="S106" i="43" s="1"/>
  <c r="C106" i="49"/>
  <c r="C90" i="43"/>
  <c r="S90" i="43" s="1"/>
  <c r="C90" i="49"/>
  <c r="C47" i="43"/>
  <c r="S47" i="43" s="1"/>
  <c r="C47" i="49"/>
  <c r="C102" i="43"/>
  <c r="S102" i="43" s="1"/>
  <c r="C102" i="49"/>
  <c r="C42" i="43"/>
  <c r="C42" i="49"/>
  <c r="C48" i="43"/>
  <c r="S48" i="43" s="1"/>
  <c r="C48" i="49"/>
  <c r="C94" i="43"/>
  <c r="S94" i="43" s="1"/>
  <c r="C94" i="49"/>
  <c r="D24" i="29"/>
  <c r="Q24" i="29" s="1"/>
  <c r="R11" i="29"/>
  <c r="R3" i="49"/>
  <c r="D15" i="49"/>
  <c r="L15" i="49" s="1"/>
  <c r="D36" i="49"/>
  <c r="L36" i="49" s="1"/>
  <c r="R24" i="49"/>
  <c r="D35" i="49"/>
  <c r="L35" i="49" s="1"/>
  <c r="R23" i="49"/>
  <c r="D29" i="49"/>
  <c r="L29" i="49" s="1"/>
  <c r="R17" i="49"/>
  <c r="R10" i="49"/>
  <c r="D22" i="49"/>
  <c r="L22" i="49" s="1"/>
  <c r="R4" i="49"/>
  <c r="D16" i="49"/>
  <c r="L16" i="49" s="1"/>
  <c r="R8" i="49"/>
  <c r="D20" i="49"/>
  <c r="L20" i="49" s="1"/>
  <c r="R2" i="49"/>
  <c r="D14" i="49"/>
  <c r="L14" i="49" s="1"/>
  <c r="R9" i="49"/>
  <c r="D21" i="49"/>
  <c r="L21" i="49" s="1"/>
  <c r="D31" i="49"/>
  <c r="L31" i="49" s="1"/>
  <c r="R19" i="49"/>
  <c r="D30" i="49"/>
  <c r="L30" i="49" s="1"/>
  <c r="R18" i="49"/>
  <c r="D37" i="49"/>
  <c r="L37" i="49" s="1"/>
  <c r="R25" i="49"/>
  <c r="C23" i="45"/>
  <c r="AC23" i="45" s="1"/>
  <c r="C61" i="46"/>
  <c r="AB9" i="48"/>
  <c r="C61" i="45"/>
  <c r="AC61" i="45" s="1"/>
  <c r="C51" i="45"/>
  <c r="AC51" i="45" s="1"/>
  <c r="C51" i="48"/>
  <c r="C9" i="45"/>
  <c r="AC9" i="45" s="1"/>
  <c r="C9" i="48"/>
  <c r="C103" i="45"/>
  <c r="AC103" i="45" s="1"/>
  <c r="C103" i="48"/>
  <c r="C21" i="45"/>
  <c r="AC21" i="45" s="1"/>
  <c r="C21" i="48"/>
  <c r="C7" i="45"/>
  <c r="AC7" i="45" s="1"/>
  <c r="C7" i="48"/>
  <c r="C55" i="46"/>
  <c r="C55" i="48"/>
  <c r="C34" i="45"/>
  <c r="AC34" i="45" s="1"/>
  <c r="C34" i="48"/>
  <c r="C17" i="45"/>
  <c r="AC17" i="45" s="1"/>
  <c r="C17" i="48"/>
  <c r="C22" i="45"/>
  <c r="AC22" i="45" s="1"/>
  <c r="C22" i="48"/>
  <c r="C3" i="46"/>
  <c r="C3" i="48"/>
  <c r="C13" i="46"/>
  <c r="C13" i="48"/>
  <c r="C59" i="46"/>
  <c r="C59" i="48"/>
  <c r="C105" i="45"/>
  <c r="AC105" i="45" s="1"/>
  <c r="C105" i="48"/>
  <c r="C19" i="45"/>
  <c r="AC19" i="45" s="1"/>
  <c r="C19" i="48"/>
  <c r="C14" i="45"/>
  <c r="AC14" i="45" s="1"/>
  <c r="C14" i="48"/>
  <c r="C25" i="45"/>
  <c r="AC25" i="45" s="1"/>
  <c r="C25" i="48"/>
  <c r="E19" i="48"/>
  <c r="R19" i="48" s="1"/>
  <c r="AB7" i="48"/>
  <c r="AB6" i="48"/>
  <c r="E18" i="48"/>
  <c r="R18" i="48" s="1"/>
  <c r="AB2" i="48"/>
  <c r="D14" i="48"/>
  <c r="Q14" i="48" s="1"/>
  <c r="AB4" i="48"/>
  <c r="D35" i="48"/>
  <c r="Q35" i="48" s="1"/>
  <c r="E28" i="48"/>
  <c r="R28" i="48" s="1"/>
  <c r="D29" i="48"/>
  <c r="Q29" i="48" s="1"/>
  <c r="D28" i="48"/>
  <c r="Q28" i="48" s="1"/>
  <c r="D31" i="48"/>
  <c r="Q31" i="48" s="1"/>
  <c r="E24" i="48"/>
  <c r="R24" i="48" s="1"/>
  <c r="E34" i="48"/>
  <c r="R34" i="48" s="1"/>
  <c r="AB10" i="48"/>
  <c r="D22" i="48"/>
  <c r="Q22" i="48" s="1"/>
  <c r="E23" i="48"/>
  <c r="R23" i="48" s="1"/>
  <c r="AB11" i="48"/>
  <c r="D24" i="48"/>
  <c r="Q24" i="48" s="1"/>
  <c r="AB12" i="48"/>
  <c r="E17" i="48"/>
  <c r="R17" i="48" s="1"/>
  <c r="AB5" i="48"/>
  <c r="AB8" i="48"/>
  <c r="E25" i="48"/>
  <c r="R25" i="48" s="1"/>
  <c r="AB13" i="48"/>
  <c r="AB3" i="48"/>
  <c r="D30" i="48"/>
  <c r="Q30" i="48" s="1"/>
  <c r="E27" i="48"/>
  <c r="R27" i="48" s="1"/>
  <c r="D33" i="48"/>
  <c r="Q33" i="48" s="1"/>
  <c r="D32" i="48"/>
  <c r="Q32" i="48" s="1"/>
  <c r="AB20" i="48"/>
  <c r="D37" i="48"/>
  <c r="Q37" i="48" s="1"/>
  <c r="D27" i="48"/>
  <c r="Q27" i="48" s="1"/>
  <c r="AB15" i="48"/>
  <c r="AI7" i="39"/>
  <c r="AJ7" i="39" s="1"/>
  <c r="U5" i="39"/>
  <c r="W5" i="39" s="1"/>
  <c r="U8" i="39"/>
  <c r="W8" i="39" s="1"/>
  <c r="U7" i="39"/>
  <c r="W7" i="39" s="1"/>
  <c r="U11" i="39"/>
  <c r="W11" i="39" s="1"/>
  <c r="U9" i="39"/>
  <c r="W9" i="39" s="1"/>
  <c r="U10" i="39"/>
  <c r="W10" i="39" s="1"/>
  <c r="U13" i="39"/>
  <c r="W13" i="39" s="1"/>
  <c r="U12" i="39"/>
  <c r="W12" i="39" s="1"/>
  <c r="AH8" i="39"/>
  <c r="AG8" i="39"/>
  <c r="AL8" i="39"/>
  <c r="AF9" i="39"/>
  <c r="AN7" i="39"/>
  <c r="AO7" i="39" s="1"/>
  <c r="AP7" i="39" s="1"/>
  <c r="AM7" i="39"/>
  <c r="E10" i="39"/>
  <c r="L68" i="40"/>
  <c r="N39" i="40" s="1"/>
  <c r="I68" i="40"/>
  <c r="I39" i="40" s="1"/>
  <c r="M67" i="40"/>
  <c r="O38" i="40" s="1"/>
  <c r="M68" i="40"/>
  <c r="O39" i="40" s="1"/>
  <c r="J83" i="40"/>
  <c r="J54" i="40" s="1"/>
  <c r="AY14" i="18"/>
  <c r="V14" i="19" s="1"/>
  <c r="X14" i="19" s="1"/>
  <c r="BD6" i="18"/>
  <c r="C103" i="46"/>
  <c r="L67" i="40"/>
  <c r="N38" i="40" s="1"/>
  <c r="AK8" i="19"/>
  <c r="AM10" i="19"/>
  <c r="AO9" i="19"/>
  <c r="AG11" i="19"/>
  <c r="AI10" i="19"/>
  <c r="C37" i="21"/>
  <c r="C38" i="21" s="1"/>
  <c r="BN8" i="40"/>
  <c r="AP8" i="19"/>
  <c r="BH8" i="40"/>
  <c r="D36" i="21"/>
  <c r="BG9" i="40"/>
  <c r="AJ9" i="19"/>
  <c r="I82" i="40"/>
  <c r="I53" i="40" s="1"/>
  <c r="I83" i="40"/>
  <c r="I54" i="40" s="1"/>
  <c r="AD10" i="13"/>
  <c r="AD6" i="13"/>
  <c r="AD8" i="13"/>
  <c r="AD7" i="13"/>
  <c r="AD5" i="13"/>
  <c r="AD13" i="13"/>
  <c r="AD9" i="13"/>
  <c r="AD12" i="13"/>
  <c r="AD11" i="13"/>
  <c r="AD3" i="13"/>
  <c r="X10" i="12"/>
  <c r="X6" i="12"/>
  <c r="X7" i="12"/>
  <c r="X8" i="12"/>
  <c r="X12" i="12"/>
  <c r="X11" i="12"/>
  <c r="X5" i="12"/>
  <c r="X13" i="12"/>
  <c r="X2" i="12"/>
  <c r="C118" i="43"/>
  <c r="S118" i="43" s="1"/>
  <c r="C25" i="46"/>
  <c r="L11" i="31"/>
  <c r="R11" i="31" s="1"/>
  <c r="AD9" i="39"/>
  <c r="E24" i="28"/>
  <c r="E36" i="28" s="1"/>
  <c r="N12" i="27"/>
  <c r="T12" i="27" s="1"/>
  <c r="L7" i="39"/>
  <c r="C94" i="47"/>
  <c r="C34" i="46"/>
  <c r="L14" i="26"/>
  <c r="R14" i="26" s="1"/>
  <c r="C48" i="47"/>
  <c r="R5" i="24"/>
  <c r="D22" i="29"/>
  <c r="Q22" i="29" s="1"/>
  <c r="C17" i="46"/>
  <c r="C22" i="46"/>
  <c r="C3" i="45"/>
  <c r="AC3" i="45" s="1"/>
  <c r="AD14" i="39"/>
  <c r="L11" i="39"/>
  <c r="R14" i="39"/>
  <c r="L12" i="39"/>
  <c r="C14" i="46"/>
  <c r="S10" i="19"/>
  <c r="R29" i="19" s="1"/>
  <c r="D24" i="31"/>
  <c r="L24" i="31" s="1"/>
  <c r="R24" i="31" s="1"/>
  <c r="AY6" i="18"/>
  <c r="C21" i="46"/>
  <c r="C105" i="46"/>
  <c r="AE14" i="19"/>
  <c r="E19" i="29"/>
  <c r="E31" i="29" s="1"/>
  <c r="C54" i="47"/>
  <c r="C7" i="46"/>
  <c r="O6" i="28"/>
  <c r="C42" i="47"/>
  <c r="M13" i="19"/>
  <c r="D22" i="27"/>
  <c r="D34" i="27" s="1"/>
  <c r="C58" i="43"/>
  <c r="S58" i="43" s="1"/>
  <c r="C9" i="46"/>
  <c r="C19" i="46"/>
  <c r="AD8" i="39"/>
  <c r="C90" i="47"/>
  <c r="C59" i="43"/>
  <c r="S59" i="43" s="1"/>
  <c r="AD10" i="39"/>
  <c r="L13" i="39"/>
  <c r="N12" i="28"/>
  <c r="V12" i="28" s="1"/>
  <c r="L9" i="39"/>
  <c r="AE12" i="19"/>
  <c r="L10" i="39"/>
  <c r="N2" i="22"/>
  <c r="L14" i="39"/>
  <c r="C55" i="45"/>
  <c r="AC55" i="45" s="1"/>
  <c r="C47" i="47"/>
  <c r="C98" i="43"/>
  <c r="S98" i="43" s="1"/>
  <c r="AD12" i="39"/>
  <c r="AD13" i="39"/>
  <c r="R12" i="39"/>
  <c r="R13" i="29"/>
  <c r="R11" i="39"/>
  <c r="R5" i="29"/>
  <c r="C74" i="47"/>
  <c r="AD11" i="39"/>
  <c r="R13" i="39"/>
  <c r="L8" i="39"/>
  <c r="AG6" i="34"/>
  <c r="C106" i="47"/>
  <c r="AD7" i="39"/>
  <c r="C12" i="46"/>
  <c r="C12" i="45"/>
  <c r="AC12" i="45" s="1"/>
  <c r="L2" i="26"/>
  <c r="R2" i="26" s="1"/>
  <c r="AG6" i="18"/>
  <c r="C51" i="46"/>
  <c r="C91" i="43"/>
  <c r="S91" i="43" s="1"/>
  <c r="C102" i="47"/>
  <c r="E9" i="19"/>
  <c r="C97" i="43"/>
  <c r="S97" i="43" s="1"/>
  <c r="BM10" i="18"/>
  <c r="R10" i="39"/>
  <c r="C59" i="45"/>
  <c r="AC59" i="45" s="1"/>
  <c r="D14" i="28"/>
  <c r="D26" i="28" s="1"/>
  <c r="C43" i="47"/>
  <c r="C26" i="47"/>
  <c r="C92" i="47"/>
  <c r="C108" i="45"/>
  <c r="AC108" i="45" s="1"/>
  <c r="C108" i="46"/>
  <c r="C100" i="46"/>
  <c r="C100" i="45"/>
  <c r="AC100" i="45" s="1"/>
  <c r="S8" i="19"/>
  <c r="R27" i="19" s="1"/>
  <c r="R5" i="16"/>
  <c r="T5" i="16" s="1"/>
  <c r="C8" i="45"/>
  <c r="AC8" i="45" s="1"/>
  <c r="C8" i="46"/>
  <c r="S9" i="19"/>
  <c r="R28" i="19" s="1"/>
  <c r="AE11" i="19"/>
  <c r="R7" i="39"/>
  <c r="C15" i="46"/>
  <c r="C15" i="45"/>
  <c r="AC15" i="45" s="1"/>
  <c r="C57" i="45"/>
  <c r="AC57" i="45" s="1"/>
  <c r="C57" i="46"/>
  <c r="C114" i="47"/>
  <c r="C53" i="47"/>
  <c r="W9" i="18"/>
  <c r="W9" i="34"/>
  <c r="E14" i="23"/>
  <c r="O2" i="23"/>
  <c r="E14" i="24"/>
  <c r="R2" i="24"/>
  <c r="C60" i="45"/>
  <c r="AC60" i="45" s="1"/>
  <c r="C60" i="46"/>
  <c r="C56" i="45"/>
  <c r="AC56" i="45" s="1"/>
  <c r="C56" i="46"/>
  <c r="C114" i="45"/>
  <c r="AC114" i="45" s="1"/>
  <c r="C114" i="46"/>
  <c r="D24" i="27"/>
  <c r="D36" i="27" s="1"/>
  <c r="R8" i="39"/>
  <c r="C58" i="45"/>
  <c r="AC58" i="45" s="1"/>
  <c r="C58" i="46"/>
  <c r="C54" i="45"/>
  <c r="AC54" i="45" s="1"/>
  <c r="C54" i="46"/>
  <c r="C112" i="45"/>
  <c r="AC112" i="45" s="1"/>
  <c r="C112" i="46"/>
  <c r="C107" i="45"/>
  <c r="AC107" i="45" s="1"/>
  <c r="C107" i="46"/>
  <c r="M2" i="27"/>
  <c r="R9" i="39"/>
  <c r="C109" i="45"/>
  <c r="AC109" i="45" s="1"/>
  <c r="C109" i="46"/>
  <c r="C99" i="45"/>
  <c r="AC99" i="45" s="1"/>
  <c r="C99" i="46"/>
  <c r="C104" i="45"/>
  <c r="AC104" i="45" s="1"/>
  <c r="C104" i="46"/>
  <c r="C113" i="45"/>
  <c r="AC113" i="45" s="1"/>
  <c r="C113" i="46"/>
  <c r="C118" i="45"/>
  <c r="AC118" i="45" s="1"/>
  <c r="C118" i="46"/>
  <c r="E14" i="46"/>
  <c r="R2" i="46"/>
  <c r="BM6" i="18"/>
  <c r="L6" i="31"/>
  <c r="R6" i="31" s="1"/>
  <c r="R6" i="29"/>
  <c r="C110" i="22"/>
  <c r="E14" i="18" s="1"/>
  <c r="D110" i="11"/>
  <c r="C110" i="27"/>
  <c r="E14" i="34" s="1"/>
  <c r="AQ86" i="1"/>
  <c r="C86" i="49" s="1"/>
  <c r="C86" i="15"/>
  <c r="C86" i="26"/>
  <c r="AP12" i="18" s="1"/>
  <c r="C86" i="31"/>
  <c r="AP12" i="34" s="1"/>
  <c r="C87" i="43"/>
  <c r="S87" i="43" s="1"/>
  <c r="C87" i="47"/>
  <c r="C88" i="43"/>
  <c r="S88" i="43" s="1"/>
  <c r="C88" i="47"/>
  <c r="C111" i="46"/>
  <c r="C111" i="45"/>
  <c r="AC111" i="45" s="1"/>
  <c r="C115" i="45"/>
  <c r="AC115" i="45" s="1"/>
  <c r="C115" i="46"/>
  <c r="C30" i="46"/>
  <c r="C30" i="45"/>
  <c r="AC30" i="45" s="1"/>
  <c r="C110" i="45"/>
  <c r="AC110" i="45" s="1"/>
  <c r="C110" i="46"/>
  <c r="C96" i="43"/>
  <c r="S96" i="43" s="1"/>
  <c r="C96" i="47"/>
  <c r="D26" i="47"/>
  <c r="L14" i="47"/>
  <c r="R14" i="47" s="1"/>
  <c r="C50" i="43"/>
  <c r="S50" i="43" s="1"/>
  <c r="C50" i="47"/>
  <c r="C121" i="45"/>
  <c r="AC121" i="45" s="1"/>
  <c r="C121" i="46"/>
  <c r="C104" i="43"/>
  <c r="S104" i="43" s="1"/>
  <c r="C104" i="47"/>
  <c r="C51" i="43"/>
  <c r="S51" i="43" s="1"/>
  <c r="C51" i="47"/>
  <c r="C117" i="45"/>
  <c r="AC117" i="45" s="1"/>
  <c r="C117" i="46"/>
  <c r="C93" i="43"/>
  <c r="S93" i="43" s="1"/>
  <c r="C93" i="47"/>
  <c r="C95" i="43"/>
  <c r="S95" i="43" s="1"/>
  <c r="C95" i="47"/>
  <c r="C57" i="43"/>
  <c r="S57" i="43" s="1"/>
  <c r="C57" i="47"/>
  <c r="E16" i="29"/>
  <c r="R4" i="29"/>
  <c r="C110" i="25"/>
  <c r="AG14" i="18" s="1"/>
  <c r="C110" i="30"/>
  <c r="AG14" i="34" s="1"/>
  <c r="C110" i="14"/>
  <c r="C70" i="46"/>
  <c r="C70" i="45"/>
  <c r="AC70" i="45" s="1"/>
  <c r="C73" i="45"/>
  <c r="AC73" i="45" s="1"/>
  <c r="C73" i="46"/>
  <c r="C76" i="43"/>
  <c r="S76" i="43" s="1"/>
  <c r="C76" i="47"/>
  <c r="C82" i="45"/>
  <c r="AC82" i="45" s="1"/>
  <c r="C82" i="46"/>
  <c r="C44" i="43"/>
  <c r="S44" i="43" s="1"/>
  <c r="C44" i="47"/>
  <c r="E26" i="22"/>
  <c r="N14" i="22"/>
  <c r="C3" i="43"/>
  <c r="S3" i="43" s="1"/>
  <c r="C3" i="47"/>
  <c r="C113" i="43"/>
  <c r="S113" i="43" s="1"/>
  <c r="C113" i="47"/>
  <c r="E17" i="22"/>
  <c r="N5" i="22"/>
  <c r="C10" i="45"/>
  <c r="AC10" i="45" s="1"/>
  <c r="C10" i="46"/>
  <c r="C29" i="43"/>
  <c r="S29" i="43" s="1"/>
  <c r="C29" i="47"/>
  <c r="C28" i="47"/>
  <c r="C28" i="43"/>
  <c r="S28" i="43" s="1"/>
  <c r="C37" i="43"/>
  <c r="S37" i="43" s="1"/>
  <c r="C37" i="47"/>
  <c r="E19" i="28"/>
  <c r="O7" i="28"/>
  <c r="C63" i="46"/>
  <c r="C63" i="45"/>
  <c r="AC63" i="45" s="1"/>
  <c r="C49" i="43"/>
  <c r="S49" i="43" s="1"/>
  <c r="C49" i="47"/>
  <c r="R6" i="46"/>
  <c r="E18" i="46"/>
  <c r="D20" i="24"/>
  <c r="Q8" i="24"/>
  <c r="N12" i="23"/>
  <c r="D24" i="23"/>
  <c r="R10" i="24"/>
  <c r="E22" i="24"/>
  <c r="C66" i="45"/>
  <c r="AC66" i="45" s="1"/>
  <c r="C66" i="46"/>
  <c r="C85" i="43"/>
  <c r="S85" i="43" s="1"/>
  <c r="C85" i="47"/>
  <c r="C35" i="43"/>
  <c r="S35" i="43" s="1"/>
  <c r="C35" i="47"/>
  <c r="C36" i="43"/>
  <c r="S36" i="43" s="1"/>
  <c r="C36" i="47"/>
  <c r="E25" i="28"/>
  <c r="O13" i="28"/>
  <c r="C71" i="45"/>
  <c r="AC71" i="45" s="1"/>
  <c r="C71" i="46"/>
  <c r="C75" i="43"/>
  <c r="S75" i="43" s="1"/>
  <c r="C75" i="47"/>
  <c r="D51" i="11"/>
  <c r="V51" i="11" s="1"/>
  <c r="C51" i="27"/>
  <c r="C51" i="22"/>
  <c r="E15" i="22"/>
  <c r="N3" i="22"/>
  <c r="D15" i="26"/>
  <c r="L3" i="26"/>
  <c r="R3" i="26" s="1"/>
  <c r="D16" i="46"/>
  <c r="Q4" i="46"/>
  <c r="R4" i="46"/>
  <c r="E16" i="46"/>
  <c r="O4" i="23"/>
  <c r="E16" i="23"/>
  <c r="D25" i="47"/>
  <c r="L13" i="47"/>
  <c r="R13" i="47" s="1"/>
  <c r="R13" i="24"/>
  <c r="E25" i="24"/>
  <c r="C99" i="15"/>
  <c r="AQ99" i="1"/>
  <c r="C99" i="49" s="1"/>
  <c r="C99" i="26"/>
  <c r="AP13" i="18" s="1"/>
  <c r="C99" i="31"/>
  <c r="AP13" i="34" s="1"/>
  <c r="C103" i="43"/>
  <c r="S103" i="43" s="1"/>
  <c r="C103" i="47"/>
  <c r="C27" i="45"/>
  <c r="AC27" i="45" s="1"/>
  <c r="C27" i="46"/>
  <c r="D16" i="31"/>
  <c r="L4" i="31"/>
  <c r="R4" i="31" s="1"/>
  <c r="C32" i="43"/>
  <c r="S32" i="43" s="1"/>
  <c r="C32" i="47"/>
  <c r="C62" i="45"/>
  <c r="AC62" i="45" s="1"/>
  <c r="C62" i="46"/>
  <c r="C107" i="43"/>
  <c r="S107" i="43" s="1"/>
  <c r="C107" i="47"/>
  <c r="E17" i="23"/>
  <c r="O5" i="23"/>
  <c r="C5" i="45"/>
  <c r="AC5" i="45" s="1"/>
  <c r="C5" i="46"/>
  <c r="O5" i="28"/>
  <c r="E17" i="28"/>
  <c r="C45" i="43"/>
  <c r="S45" i="43" s="1"/>
  <c r="C45" i="47"/>
  <c r="C78" i="45"/>
  <c r="AC78" i="45" s="1"/>
  <c r="C78" i="46"/>
  <c r="R6" i="24"/>
  <c r="E18" i="24"/>
  <c r="N6" i="22"/>
  <c r="E18" i="22"/>
  <c r="D20" i="46"/>
  <c r="Q8" i="46"/>
  <c r="D24" i="46"/>
  <c r="Q12" i="46"/>
  <c r="C109" i="43"/>
  <c r="S109" i="43" s="1"/>
  <c r="C109" i="47"/>
  <c r="C2" i="24"/>
  <c r="W5" i="18" s="1"/>
  <c r="T2" i="1"/>
  <c r="C2" i="48" s="1"/>
  <c r="D2" i="13"/>
  <c r="C2" i="29"/>
  <c r="W5" i="34" s="1"/>
  <c r="E5" i="39"/>
  <c r="D22" i="47"/>
  <c r="L10" i="47"/>
  <c r="R10" i="47" s="1"/>
  <c r="O10" i="23"/>
  <c r="E22" i="23"/>
  <c r="C31" i="47"/>
  <c r="C31" i="43"/>
  <c r="S31" i="43" s="1"/>
  <c r="N11" i="27"/>
  <c r="E23" i="27"/>
  <c r="N13" i="27"/>
  <c r="E25" i="27"/>
  <c r="C69" i="45"/>
  <c r="AC69" i="45" s="1"/>
  <c r="C69" i="46"/>
  <c r="C81" i="45"/>
  <c r="AC81" i="45" s="1"/>
  <c r="C81" i="46"/>
  <c r="E15" i="24"/>
  <c r="R3" i="24"/>
  <c r="D16" i="23"/>
  <c r="N4" i="23"/>
  <c r="C7" i="43"/>
  <c r="S7" i="43" s="1"/>
  <c r="C7" i="47"/>
  <c r="E16" i="24"/>
  <c r="R4" i="24"/>
  <c r="L4" i="26"/>
  <c r="R4" i="26" s="1"/>
  <c r="D16" i="26"/>
  <c r="C111" i="47"/>
  <c r="C111" i="43"/>
  <c r="S111" i="43" s="1"/>
  <c r="E25" i="46"/>
  <c r="R13" i="46"/>
  <c r="L13" i="26"/>
  <c r="R13" i="26" s="1"/>
  <c r="D25" i="26"/>
  <c r="C33" i="46"/>
  <c r="C33" i="45"/>
  <c r="AC33" i="45" s="1"/>
  <c r="E16" i="27"/>
  <c r="N4" i="27"/>
  <c r="AQ38" i="1"/>
  <c r="C38" i="49" s="1"/>
  <c r="C38" i="15"/>
  <c r="C38" i="26"/>
  <c r="AP8" i="18" s="1"/>
  <c r="C38" i="31"/>
  <c r="AP8" i="34" s="1"/>
  <c r="C41" i="43"/>
  <c r="S41" i="43" s="1"/>
  <c r="C41" i="47"/>
  <c r="C105" i="43"/>
  <c r="S105" i="43" s="1"/>
  <c r="C105" i="47"/>
  <c r="C37" i="45"/>
  <c r="AC37" i="45" s="1"/>
  <c r="C37" i="46"/>
  <c r="D17" i="47"/>
  <c r="L5" i="47"/>
  <c r="R5" i="47" s="1"/>
  <c r="E17" i="27"/>
  <c r="N5" i="27"/>
  <c r="C65" i="45"/>
  <c r="AC65" i="45" s="1"/>
  <c r="C65" i="46"/>
  <c r="E36" i="29"/>
  <c r="R24" i="29"/>
  <c r="D2" i="11"/>
  <c r="C2" i="27"/>
  <c r="E5" i="34" s="1"/>
  <c r="C2" i="22"/>
  <c r="E5" i="18" s="1"/>
  <c r="AD50" i="13"/>
  <c r="M8" i="16"/>
  <c r="O8" i="16" s="1"/>
  <c r="C81" i="43"/>
  <c r="S81" i="43" s="1"/>
  <c r="C81" i="47"/>
  <c r="C50" i="22"/>
  <c r="D50" i="11"/>
  <c r="C50" i="27"/>
  <c r="C41" i="45"/>
  <c r="AC41" i="45" s="1"/>
  <c r="C41" i="46"/>
  <c r="D18" i="47"/>
  <c r="L6" i="47"/>
  <c r="R6" i="47" s="1"/>
  <c r="L6" i="26"/>
  <c r="R6" i="26" s="1"/>
  <c r="D18" i="26"/>
  <c r="N8" i="23"/>
  <c r="D20" i="23"/>
  <c r="C117" i="43"/>
  <c r="S117" i="43" s="1"/>
  <c r="C117" i="47"/>
  <c r="D24" i="24"/>
  <c r="Q12" i="24"/>
  <c r="C106" i="45"/>
  <c r="AC106" i="45" s="1"/>
  <c r="C106" i="46"/>
  <c r="E22" i="22"/>
  <c r="N10" i="22"/>
  <c r="L10" i="26"/>
  <c r="R10" i="26" s="1"/>
  <c r="D22" i="26"/>
  <c r="C100" i="43"/>
  <c r="S100" i="43" s="1"/>
  <c r="C100" i="47"/>
  <c r="C108" i="43"/>
  <c r="S108" i="43" s="1"/>
  <c r="C108" i="47"/>
  <c r="C29" i="45"/>
  <c r="AC29" i="45" s="1"/>
  <c r="C29" i="46"/>
  <c r="O11" i="28"/>
  <c r="E23" i="28"/>
  <c r="C75" i="45"/>
  <c r="AC75" i="45" s="1"/>
  <c r="C75" i="46"/>
  <c r="C49" i="45"/>
  <c r="AC49" i="45" s="1"/>
  <c r="C49" i="46"/>
  <c r="C46" i="43"/>
  <c r="S46" i="43" s="1"/>
  <c r="C46" i="47"/>
  <c r="C40" i="43"/>
  <c r="S40" i="43" s="1"/>
  <c r="C40" i="47"/>
  <c r="E15" i="46"/>
  <c r="R3" i="46"/>
  <c r="D16" i="22"/>
  <c r="M4" i="22"/>
  <c r="C5" i="43"/>
  <c r="S5" i="43" s="1"/>
  <c r="C5" i="47"/>
  <c r="N4" i="22"/>
  <c r="E16" i="22"/>
  <c r="N13" i="22"/>
  <c r="E25" i="22"/>
  <c r="C121" i="43"/>
  <c r="S121" i="43" s="1"/>
  <c r="C121" i="47"/>
  <c r="D20" i="12"/>
  <c r="C20" i="23"/>
  <c r="N6" i="18" s="1"/>
  <c r="C20" i="28"/>
  <c r="N6" i="34" s="1"/>
  <c r="O4" i="28"/>
  <c r="E16" i="28"/>
  <c r="C33" i="43"/>
  <c r="S33" i="43" s="1"/>
  <c r="C33" i="47"/>
  <c r="AK14" i="34"/>
  <c r="I22" i="39" s="1"/>
  <c r="C77" i="47"/>
  <c r="C77" i="43"/>
  <c r="S77" i="43" s="1"/>
  <c r="C6" i="43"/>
  <c r="S6" i="43" s="1"/>
  <c r="C6" i="47"/>
  <c r="E17" i="46"/>
  <c r="R5" i="46"/>
  <c r="C102" i="45"/>
  <c r="AC102" i="45" s="1"/>
  <c r="C102" i="46"/>
  <c r="BA10" i="18"/>
  <c r="C74" i="46"/>
  <c r="C74" i="45"/>
  <c r="AC74" i="45" s="1"/>
  <c r="C45" i="45"/>
  <c r="AC45" i="45" s="1"/>
  <c r="C45" i="46"/>
  <c r="C11" i="43"/>
  <c r="S11" i="43" s="1"/>
  <c r="C11" i="47"/>
  <c r="C98" i="24"/>
  <c r="W13" i="18" s="1"/>
  <c r="D98" i="13"/>
  <c r="T98" i="1"/>
  <c r="C98" i="48" s="1"/>
  <c r="E13" i="39"/>
  <c r="C98" i="29"/>
  <c r="W13" i="34" s="1"/>
  <c r="H5" i="33"/>
  <c r="C11" i="45"/>
  <c r="AC11" i="45" s="1"/>
  <c r="C11" i="46"/>
  <c r="E19" i="27"/>
  <c r="N7" i="27"/>
  <c r="C50" i="45"/>
  <c r="C50" i="46"/>
  <c r="C84" i="43"/>
  <c r="S84" i="43" s="1"/>
  <c r="C84" i="47"/>
  <c r="C9" i="47"/>
  <c r="C9" i="43"/>
  <c r="S9" i="43" s="1"/>
  <c r="C13" i="43"/>
  <c r="S13" i="43" s="1"/>
  <c r="C13" i="47"/>
  <c r="O6" i="23"/>
  <c r="E18" i="23"/>
  <c r="M8" i="22"/>
  <c r="D20" i="22"/>
  <c r="M12" i="22"/>
  <c r="D24" i="22"/>
  <c r="C101" i="43"/>
  <c r="S101" i="43" s="1"/>
  <c r="C101" i="47"/>
  <c r="E22" i="46"/>
  <c r="R10" i="46"/>
  <c r="C27" i="43"/>
  <c r="S27" i="43" s="1"/>
  <c r="C27" i="47"/>
  <c r="C85" i="45"/>
  <c r="AC85" i="45" s="1"/>
  <c r="C85" i="46"/>
  <c r="C39" i="43"/>
  <c r="S39" i="43" s="1"/>
  <c r="C39" i="47"/>
  <c r="C4" i="43"/>
  <c r="S4" i="43" s="1"/>
  <c r="C4" i="47"/>
  <c r="C10" i="43"/>
  <c r="S10" i="43" s="1"/>
  <c r="C10" i="47"/>
  <c r="C64" i="45"/>
  <c r="AC64" i="45" s="1"/>
  <c r="C64" i="46"/>
  <c r="D15" i="47"/>
  <c r="L3" i="47"/>
  <c r="R3" i="47" s="1"/>
  <c r="E15" i="23"/>
  <c r="O3" i="23"/>
  <c r="D16" i="24"/>
  <c r="Q4" i="24"/>
  <c r="D16" i="47"/>
  <c r="L4" i="47"/>
  <c r="R4" i="47" s="1"/>
  <c r="O13" i="23"/>
  <c r="E25" i="23"/>
  <c r="D62" i="12"/>
  <c r="C62" i="28"/>
  <c r="N10" i="34" s="1"/>
  <c r="C62" i="23"/>
  <c r="N10" i="18" s="1"/>
  <c r="C6" i="45"/>
  <c r="AC6" i="45" s="1"/>
  <c r="C6" i="46"/>
  <c r="AY10" i="18"/>
  <c r="V10" i="19" s="1"/>
  <c r="BD10" i="18"/>
  <c r="E7" i="19"/>
  <c r="E22" i="28"/>
  <c r="O10" i="28"/>
  <c r="V10" i="28" s="1"/>
  <c r="E37" i="29"/>
  <c r="R25" i="29"/>
  <c r="E30" i="28"/>
  <c r="O18" i="28"/>
  <c r="Q9" i="29"/>
  <c r="D21" i="29"/>
  <c r="C27" i="25"/>
  <c r="AG7" i="18" s="1"/>
  <c r="C27" i="14"/>
  <c r="C27" i="30"/>
  <c r="AG7" i="34" s="1"/>
  <c r="BJ5" i="34"/>
  <c r="BM5" i="34"/>
  <c r="BJ13" i="18"/>
  <c r="BM13" i="18"/>
  <c r="D20" i="11"/>
  <c r="C20" i="27"/>
  <c r="E6" i="34" s="1"/>
  <c r="C20" i="22"/>
  <c r="E6" i="18" s="1"/>
  <c r="C94" i="45"/>
  <c r="AC94" i="45" s="1"/>
  <c r="C94" i="46"/>
  <c r="C88" i="46"/>
  <c r="C88" i="45"/>
  <c r="AC88" i="45" s="1"/>
  <c r="D14" i="46"/>
  <c r="Q2" i="46"/>
  <c r="AQ62" i="1"/>
  <c r="C62" i="49" s="1"/>
  <c r="C62" i="15"/>
  <c r="C62" i="26"/>
  <c r="AP10" i="18" s="1"/>
  <c r="C62" i="31"/>
  <c r="AP10" i="34" s="1"/>
  <c r="C73" i="47"/>
  <c r="C73" i="43"/>
  <c r="S73" i="43" s="1"/>
  <c r="C116" i="24"/>
  <c r="W14" i="18" s="1"/>
  <c r="T116" i="1"/>
  <c r="C116" i="48" s="1"/>
  <c r="D116" i="13"/>
  <c r="E14" i="39"/>
  <c r="I5" i="33"/>
  <c r="C116" i="29"/>
  <c r="W14" i="34" s="1"/>
  <c r="C52" i="26"/>
  <c r="AP9" i="18" s="1"/>
  <c r="AQ52" i="1"/>
  <c r="C52" i="49" s="1"/>
  <c r="C52" i="15"/>
  <c r="C52" i="31"/>
  <c r="AP9" i="34" s="1"/>
  <c r="D38" i="26"/>
  <c r="L26" i="26"/>
  <c r="R26" i="26" s="1"/>
  <c r="E23" i="46"/>
  <c r="R11" i="46"/>
  <c r="L11" i="26"/>
  <c r="R11" i="26" s="1"/>
  <c r="D23" i="26"/>
  <c r="D20" i="31"/>
  <c r="L8" i="31"/>
  <c r="R8" i="31" s="1"/>
  <c r="E15" i="28"/>
  <c r="O3" i="28"/>
  <c r="D35" i="31"/>
  <c r="L23" i="31"/>
  <c r="R23" i="31" s="1"/>
  <c r="Q8" i="29"/>
  <c r="D20" i="29"/>
  <c r="C62" i="30"/>
  <c r="AG10" i="34" s="1"/>
  <c r="C62" i="14"/>
  <c r="C62" i="25"/>
  <c r="AG10" i="18" s="1"/>
  <c r="D18" i="46"/>
  <c r="Q6" i="46"/>
  <c r="C76" i="27"/>
  <c r="E11" i="34" s="1"/>
  <c r="C76" i="22"/>
  <c r="E11" i="18" s="1"/>
  <c r="D76" i="11"/>
  <c r="C46" i="45"/>
  <c r="AC46" i="45" s="1"/>
  <c r="C46" i="46"/>
  <c r="C40" i="46"/>
  <c r="C40" i="45"/>
  <c r="AC40" i="45" s="1"/>
  <c r="D25" i="22"/>
  <c r="M13" i="22"/>
  <c r="C64" i="43"/>
  <c r="S64" i="43" s="1"/>
  <c r="C64" i="47"/>
  <c r="D23" i="46"/>
  <c r="Q11" i="46"/>
  <c r="C120" i="43"/>
  <c r="S120" i="43" s="1"/>
  <c r="C120" i="47"/>
  <c r="C34" i="43"/>
  <c r="S34" i="43" s="1"/>
  <c r="C34" i="47"/>
  <c r="E20" i="22"/>
  <c r="N8" i="22"/>
  <c r="AY8" i="18"/>
  <c r="V8" i="19" s="1"/>
  <c r="BD8" i="18"/>
  <c r="D25" i="28"/>
  <c r="N13" i="28"/>
  <c r="D19" i="28"/>
  <c r="N7" i="28"/>
  <c r="D15" i="29"/>
  <c r="Q3" i="29"/>
  <c r="D38" i="12"/>
  <c r="C38" i="23"/>
  <c r="N8" i="18" s="1"/>
  <c r="C38" i="28"/>
  <c r="N8" i="34" s="1"/>
  <c r="C67" i="46"/>
  <c r="C67" i="45"/>
  <c r="C39" i="46"/>
  <c r="C39" i="45"/>
  <c r="AC39" i="45" s="1"/>
  <c r="Q10" i="24"/>
  <c r="D22" i="24"/>
  <c r="D21" i="22"/>
  <c r="M9" i="22"/>
  <c r="C68" i="43"/>
  <c r="S68" i="43" s="1"/>
  <c r="C68" i="47"/>
  <c r="D19" i="22"/>
  <c r="M7" i="22"/>
  <c r="AQ14" i="1"/>
  <c r="C14" i="49" s="1"/>
  <c r="C14" i="15"/>
  <c r="C14" i="26"/>
  <c r="AP6" i="18" s="1"/>
  <c r="C14" i="31"/>
  <c r="AP6" i="34" s="1"/>
  <c r="C19" i="43"/>
  <c r="S19" i="43" s="1"/>
  <c r="C19" i="47"/>
  <c r="E21" i="22"/>
  <c r="N9" i="22"/>
  <c r="E19" i="46"/>
  <c r="R7" i="46"/>
  <c r="L7" i="26"/>
  <c r="R7" i="26" s="1"/>
  <c r="D19" i="26"/>
  <c r="BA9" i="18"/>
  <c r="D36" i="28"/>
  <c r="N24" i="28"/>
  <c r="N9" i="27"/>
  <c r="E21" i="27"/>
  <c r="O2" i="28"/>
  <c r="V2" i="28" s="1"/>
  <c r="E14" i="28"/>
  <c r="D23" i="29"/>
  <c r="Q11" i="29"/>
  <c r="Q6" i="29"/>
  <c r="D18" i="29"/>
  <c r="C86" i="30"/>
  <c r="AG12" i="34" s="1"/>
  <c r="C86" i="14"/>
  <c r="C86" i="25"/>
  <c r="AG12" i="18" s="1"/>
  <c r="C102" i="14"/>
  <c r="C102" i="30"/>
  <c r="AG13" i="34" s="1"/>
  <c r="C102" i="25"/>
  <c r="AG13" i="18" s="1"/>
  <c r="BJ8" i="18"/>
  <c r="BM8" i="18"/>
  <c r="AD26" i="13"/>
  <c r="C90" i="45"/>
  <c r="AC90" i="45" s="1"/>
  <c r="C90" i="46"/>
  <c r="C48" i="46"/>
  <c r="C48" i="45"/>
  <c r="AC48" i="45" s="1"/>
  <c r="Q5" i="46"/>
  <c r="D17" i="46"/>
  <c r="N3" i="23"/>
  <c r="D15" i="23"/>
  <c r="C12" i="43"/>
  <c r="S12" i="43" s="1"/>
  <c r="C12" i="47"/>
  <c r="E24" i="46"/>
  <c r="R12" i="46"/>
  <c r="E24" i="23"/>
  <c r="O12" i="23"/>
  <c r="AY13" i="18"/>
  <c r="V13" i="19" s="1"/>
  <c r="BD13" i="18"/>
  <c r="E22" i="29"/>
  <c r="R10" i="29"/>
  <c r="AB10" i="29" s="1"/>
  <c r="D17" i="28"/>
  <c r="N5" i="28"/>
  <c r="BJ7" i="18"/>
  <c r="BM7" i="18"/>
  <c r="BJ5" i="18"/>
  <c r="BM5" i="18"/>
  <c r="D98" i="11"/>
  <c r="C98" i="27"/>
  <c r="E13" i="34" s="1"/>
  <c r="C98" i="22"/>
  <c r="E13" i="18" s="1"/>
  <c r="C93" i="45"/>
  <c r="AC93" i="45" s="1"/>
  <c r="C93" i="46"/>
  <c r="N2" i="23"/>
  <c r="D14" i="23"/>
  <c r="C67" i="43"/>
  <c r="S67" i="43" s="1"/>
  <c r="C67" i="47"/>
  <c r="C20" i="24"/>
  <c r="W6" i="18" s="1"/>
  <c r="T20" i="1"/>
  <c r="C20" i="48" s="1"/>
  <c r="D20" i="13"/>
  <c r="E6" i="39"/>
  <c r="C20" i="29"/>
  <c r="W6" i="34" s="1"/>
  <c r="C20" i="43"/>
  <c r="S20" i="43" s="1"/>
  <c r="C20" i="47"/>
  <c r="C22" i="43"/>
  <c r="S22" i="43" s="1"/>
  <c r="C22" i="47"/>
  <c r="C17" i="43"/>
  <c r="S17" i="43" s="1"/>
  <c r="C17" i="47"/>
  <c r="E23" i="22"/>
  <c r="N11" i="22"/>
  <c r="D26" i="27"/>
  <c r="M14" i="27"/>
  <c r="N8" i="27"/>
  <c r="E20" i="27"/>
  <c r="D15" i="31"/>
  <c r="L3" i="31"/>
  <c r="R3" i="31" s="1"/>
  <c r="N18" i="27"/>
  <c r="E30" i="27"/>
  <c r="M4" i="27"/>
  <c r="D16" i="27"/>
  <c r="C78" i="14"/>
  <c r="C78" i="30"/>
  <c r="AG11" i="34" s="1"/>
  <c r="C78" i="25"/>
  <c r="AG11" i="18" s="1"/>
  <c r="D18" i="23"/>
  <c r="N6" i="23"/>
  <c r="N13" i="23"/>
  <c r="D25" i="23"/>
  <c r="D23" i="22"/>
  <c r="M11" i="22"/>
  <c r="E20" i="23"/>
  <c r="O8" i="23"/>
  <c r="AY7" i="18"/>
  <c r="BD7" i="18"/>
  <c r="BA8" i="18"/>
  <c r="D25" i="27"/>
  <c r="M13" i="27"/>
  <c r="Q7" i="29"/>
  <c r="AB7" i="29" s="1"/>
  <c r="D19" i="29"/>
  <c r="C96" i="46"/>
  <c r="C96" i="45"/>
  <c r="AC96" i="45" s="1"/>
  <c r="Q10" i="46"/>
  <c r="D22" i="46"/>
  <c r="C36" i="46"/>
  <c r="C36" i="45"/>
  <c r="AC36" i="45" s="1"/>
  <c r="N9" i="23"/>
  <c r="D21" i="23"/>
  <c r="C65" i="47"/>
  <c r="C65" i="43"/>
  <c r="S65" i="43" s="1"/>
  <c r="D19" i="23"/>
  <c r="N7" i="23"/>
  <c r="C25" i="43"/>
  <c r="S25" i="43" s="1"/>
  <c r="C25" i="47"/>
  <c r="E21" i="23"/>
  <c r="O9" i="23"/>
  <c r="AQ30" i="1"/>
  <c r="C30" i="49" s="1"/>
  <c r="C30" i="15"/>
  <c r="C30" i="26"/>
  <c r="AP7" i="18" s="1"/>
  <c r="C30" i="31"/>
  <c r="AP7" i="34" s="1"/>
  <c r="E19" i="22"/>
  <c r="N7" i="22"/>
  <c r="AY12" i="18"/>
  <c r="V12" i="19" s="1"/>
  <c r="BD12" i="18"/>
  <c r="BD5" i="34"/>
  <c r="AY5" i="34"/>
  <c r="E21" i="28"/>
  <c r="O9" i="28"/>
  <c r="E14" i="29"/>
  <c r="R2" i="29"/>
  <c r="AB2" i="29" s="1"/>
  <c r="N24" i="27"/>
  <c r="E36" i="27"/>
  <c r="D23" i="28"/>
  <c r="N11" i="28"/>
  <c r="D98" i="12"/>
  <c r="C98" i="23"/>
  <c r="N13" i="18" s="1"/>
  <c r="C98" i="28"/>
  <c r="N13" i="34" s="1"/>
  <c r="D32" i="12"/>
  <c r="C32" i="28"/>
  <c r="N7" i="34" s="1"/>
  <c r="C32" i="23"/>
  <c r="N7" i="18" s="1"/>
  <c r="C95" i="46"/>
  <c r="C95" i="45"/>
  <c r="AC95" i="45" s="1"/>
  <c r="C89" i="45"/>
  <c r="AC89" i="45" s="1"/>
  <c r="C89" i="46"/>
  <c r="D38" i="13"/>
  <c r="T38" i="1"/>
  <c r="C38" i="48" s="1"/>
  <c r="C38" i="24"/>
  <c r="W8" i="18" s="1"/>
  <c r="C38" i="29"/>
  <c r="W8" i="34" s="1"/>
  <c r="E8" i="39"/>
  <c r="C5" i="33"/>
  <c r="C43" i="46"/>
  <c r="C43" i="45"/>
  <c r="AC43" i="45" s="1"/>
  <c r="M5" i="22"/>
  <c r="D17" i="22"/>
  <c r="C72" i="43"/>
  <c r="S72" i="43" s="1"/>
  <c r="C72" i="47"/>
  <c r="D29" i="26"/>
  <c r="L17" i="26"/>
  <c r="R17" i="26" s="1"/>
  <c r="D15" i="24"/>
  <c r="Q3" i="24"/>
  <c r="AY11" i="18"/>
  <c r="V11" i="19" s="1"/>
  <c r="BD11" i="18"/>
  <c r="D24" i="47"/>
  <c r="L12" i="47"/>
  <c r="R12" i="47" s="1"/>
  <c r="D24" i="26"/>
  <c r="L12" i="26"/>
  <c r="R12" i="26" s="1"/>
  <c r="D22" i="31"/>
  <c r="L10" i="31"/>
  <c r="R10" i="31" s="1"/>
  <c r="D21" i="28"/>
  <c r="N9" i="28"/>
  <c r="D17" i="27"/>
  <c r="M5" i="27"/>
  <c r="D28" i="11"/>
  <c r="C28" i="27"/>
  <c r="E7" i="34" s="1"/>
  <c r="C28" i="22"/>
  <c r="E7" i="18" s="1"/>
  <c r="D68" i="11"/>
  <c r="C68" i="27"/>
  <c r="E10" i="34" s="1"/>
  <c r="C68" i="22"/>
  <c r="E10" i="18" s="1"/>
  <c r="D3" i="12"/>
  <c r="C3" i="28"/>
  <c r="N5" i="34" s="1"/>
  <c r="C3" i="23"/>
  <c r="N5" i="18" s="1"/>
  <c r="C42" i="46"/>
  <c r="C42" i="45"/>
  <c r="AC42" i="45" s="1"/>
  <c r="C28" i="24"/>
  <c r="W7" i="18" s="1"/>
  <c r="T28" i="1"/>
  <c r="C28" i="48" s="1"/>
  <c r="D28" i="13"/>
  <c r="C28" i="29"/>
  <c r="W7" i="34" s="1"/>
  <c r="Q2" i="24"/>
  <c r="D14" i="24"/>
  <c r="C68" i="24"/>
  <c r="W10" i="18" s="1"/>
  <c r="T68" i="1"/>
  <c r="C68" i="48" s="1"/>
  <c r="D68" i="13"/>
  <c r="AD68" i="13" s="1"/>
  <c r="C68" i="29"/>
  <c r="W10" i="34" s="1"/>
  <c r="C82" i="47"/>
  <c r="C82" i="43"/>
  <c r="S82" i="43" s="1"/>
  <c r="AQ8" i="1"/>
  <c r="C8" i="49" s="1"/>
  <c r="C8" i="26"/>
  <c r="AP5" i="18" s="1"/>
  <c r="C8" i="15"/>
  <c r="C8" i="31"/>
  <c r="AP5" i="34" s="1"/>
  <c r="C115" i="43"/>
  <c r="S115" i="43" s="1"/>
  <c r="C115" i="47"/>
  <c r="O11" i="23"/>
  <c r="E23" i="23"/>
  <c r="E20" i="28"/>
  <c r="O8" i="28"/>
  <c r="E15" i="29"/>
  <c r="R3" i="29"/>
  <c r="D31" i="31"/>
  <c r="L19" i="31"/>
  <c r="R19" i="31" s="1"/>
  <c r="M8" i="27"/>
  <c r="D20" i="27"/>
  <c r="D16" i="28"/>
  <c r="N4" i="28"/>
  <c r="Q6" i="24"/>
  <c r="D18" i="24"/>
  <c r="BJ9" i="18"/>
  <c r="BM9" i="18"/>
  <c r="D51" i="12"/>
  <c r="C51" i="28"/>
  <c r="N9" i="34" s="1"/>
  <c r="C51" i="23"/>
  <c r="N9" i="18" s="1"/>
  <c r="C92" i="46"/>
  <c r="C92" i="45"/>
  <c r="AC92" i="45" s="1"/>
  <c r="C76" i="24"/>
  <c r="W11" i="18" s="1"/>
  <c r="T76" i="1"/>
  <c r="C76" i="48" s="1"/>
  <c r="D76" i="13"/>
  <c r="E11" i="39"/>
  <c r="F5" i="33"/>
  <c r="C76" i="29"/>
  <c r="W11" i="34" s="1"/>
  <c r="D25" i="24"/>
  <c r="Q13" i="24"/>
  <c r="C66" i="43"/>
  <c r="S66" i="43" s="1"/>
  <c r="C66" i="47"/>
  <c r="C71" i="43"/>
  <c r="S71" i="43" s="1"/>
  <c r="C71" i="47"/>
  <c r="D23" i="23"/>
  <c r="N11" i="23"/>
  <c r="C15" i="43"/>
  <c r="S15" i="43" s="1"/>
  <c r="C15" i="47"/>
  <c r="D20" i="47"/>
  <c r="L8" i="47"/>
  <c r="R8" i="47" s="1"/>
  <c r="R8" i="24"/>
  <c r="E20" i="24"/>
  <c r="BA7" i="18"/>
  <c r="D36" i="29"/>
  <c r="E35" i="29"/>
  <c r="R23" i="29"/>
  <c r="Q13" i="29"/>
  <c r="D25" i="29"/>
  <c r="M3" i="27"/>
  <c r="D15" i="27"/>
  <c r="D86" i="13"/>
  <c r="T86" i="1"/>
  <c r="C86" i="48" s="1"/>
  <c r="C86" i="24"/>
  <c r="W12" i="18" s="1"/>
  <c r="C86" i="29"/>
  <c r="W12" i="34" s="1"/>
  <c r="E12" i="39"/>
  <c r="G5" i="33"/>
  <c r="C91" i="46"/>
  <c r="C91" i="45"/>
  <c r="AC91" i="45" s="1"/>
  <c r="AD67" i="13"/>
  <c r="D22" i="22"/>
  <c r="M10" i="22"/>
  <c r="D21" i="24"/>
  <c r="Q9" i="24"/>
  <c r="C70" i="43"/>
  <c r="S70" i="43" s="1"/>
  <c r="C70" i="47"/>
  <c r="C79" i="46"/>
  <c r="C79" i="45"/>
  <c r="AC79" i="45" s="1"/>
  <c r="C31" i="46"/>
  <c r="C31" i="45"/>
  <c r="AC31" i="45" s="1"/>
  <c r="D19" i="24"/>
  <c r="Q7" i="24"/>
  <c r="D21" i="47"/>
  <c r="L9" i="47"/>
  <c r="R9" i="47" s="1"/>
  <c r="E21" i="24"/>
  <c r="R9" i="24"/>
  <c r="C116" i="43"/>
  <c r="S116" i="43" s="1"/>
  <c r="C116" i="47"/>
  <c r="C60" i="43"/>
  <c r="S60" i="43" s="1"/>
  <c r="C60" i="47"/>
  <c r="O7" i="23"/>
  <c r="E19" i="23"/>
  <c r="BA5" i="18"/>
  <c r="BA5" i="34"/>
  <c r="E21" i="29"/>
  <c r="R9" i="29"/>
  <c r="L2" i="31"/>
  <c r="R2" i="31" s="1"/>
  <c r="D14" i="31"/>
  <c r="E30" i="29"/>
  <c r="R18" i="29"/>
  <c r="M6" i="27"/>
  <c r="T6" i="27" s="1"/>
  <c r="D18" i="27"/>
  <c r="BJ12" i="18"/>
  <c r="BM12" i="18"/>
  <c r="D86" i="11"/>
  <c r="C86" i="27"/>
  <c r="E12" i="34" s="1"/>
  <c r="C86" i="22"/>
  <c r="E12" i="18" s="1"/>
  <c r="C84" i="46"/>
  <c r="C84" i="45"/>
  <c r="AC84" i="45" s="1"/>
  <c r="C32" i="46"/>
  <c r="C32" i="45"/>
  <c r="AC32" i="45" s="1"/>
  <c r="N5" i="23"/>
  <c r="D17" i="23"/>
  <c r="C69" i="47"/>
  <c r="C69" i="43"/>
  <c r="S69" i="43" s="1"/>
  <c r="C120" i="46"/>
  <c r="C120" i="45"/>
  <c r="AC120" i="45" s="1"/>
  <c r="C72" i="46"/>
  <c r="C72" i="45"/>
  <c r="AC72" i="45" s="1"/>
  <c r="C24" i="46"/>
  <c r="C24" i="45"/>
  <c r="AC24" i="45" s="1"/>
  <c r="C23" i="43"/>
  <c r="S23" i="43" s="1"/>
  <c r="C23" i="47"/>
  <c r="D15" i="46"/>
  <c r="Q3" i="46"/>
  <c r="C119" i="43"/>
  <c r="S119" i="43" s="1"/>
  <c r="C119" i="47"/>
  <c r="BA11" i="18"/>
  <c r="E24" i="22"/>
  <c r="N12" i="22"/>
  <c r="E22" i="27"/>
  <c r="N10" i="27"/>
  <c r="T10" i="27" s="1"/>
  <c r="E29" i="29"/>
  <c r="R17" i="29"/>
  <c r="D21" i="27"/>
  <c r="M9" i="27"/>
  <c r="D17" i="29"/>
  <c r="Q5" i="29"/>
  <c r="C2" i="14"/>
  <c r="C2" i="30"/>
  <c r="AG5" i="34" s="1"/>
  <c r="C2" i="25"/>
  <c r="AG5" i="18" s="1"/>
  <c r="S110" i="43"/>
  <c r="S42" i="43"/>
  <c r="C47" i="46"/>
  <c r="C47" i="45"/>
  <c r="AC47" i="45" s="1"/>
  <c r="C80" i="46"/>
  <c r="C80" i="45"/>
  <c r="AC80" i="45" s="1"/>
  <c r="M2" i="22"/>
  <c r="D14" i="22"/>
  <c r="E29" i="24"/>
  <c r="R17" i="24"/>
  <c r="D23" i="47"/>
  <c r="L11" i="47"/>
  <c r="R11" i="47" s="1"/>
  <c r="E23" i="24"/>
  <c r="R11" i="24"/>
  <c r="E20" i="29"/>
  <c r="R8" i="29"/>
  <c r="N3" i="27"/>
  <c r="E15" i="27"/>
  <c r="N8" i="28"/>
  <c r="D20" i="28"/>
  <c r="Q4" i="29"/>
  <c r="D16" i="29"/>
  <c r="D18" i="22"/>
  <c r="M6" i="22"/>
  <c r="C87" i="46"/>
  <c r="C87" i="45"/>
  <c r="AC87" i="45" s="1"/>
  <c r="C97" i="45"/>
  <c r="AC97" i="45" s="1"/>
  <c r="C97" i="46"/>
  <c r="Q13" i="46"/>
  <c r="D25" i="46"/>
  <c r="C83" i="46"/>
  <c r="C83" i="45"/>
  <c r="AC83" i="45" s="1"/>
  <c r="C35" i="46"/>
  <c r="C35" i="45"/>
  <c r="AC35" i="45" s="1"/>
  <c r="D23" i="24"/>
  <c r="Q11" i="24"/>
  <c r="C24" i="43"/>
  <c r="S24" i="43" s="1"/>
  <c r="C24" i="47"/>
  <c r="C21" i="43"/>
  <c r="S21" i="43" s="1"/>
  <c r="C21" i="47"/>
  <c r="AQ78" i="1"/>
  <c r="C78" i="49" s="1"/>
  <c r="C78" i="15"/>
  <c r="C78" i="26"/>
  <c r="AP11" i="18" s="1"/>
  <c r="C78" i="31"/>
  <c r="AP11" i="34" s="1"/>
  <c r="R8" i="46"/>
  <c r="E20" i="46"/>
  <c r="L8" i="26"/>
  <c r="R8" i="26" s="1"/>
  <c r="D20" i="26"/>
  <c r="D34" i="28"/>
  <c r="N22" i="28"/>
  <c r="D30" i="31"/>
  <c r="L18" i="31"/>
  <c r="R18" i="31" s="1"/>
  <c r="D19" i="27"/>
  <c r="M7" i="27"/>
  <c r="N3" i="28"/>
  <c r="D15" i="28"/>
  <c r="D86" i="12"/>
  <c r="C86" i="23"/>
  <c r="N12" i="18" s="1"/>
  <c r="C86" i="28"/>
  <c r="N12" i="34" s="1"/>
  <c r="D38" i="11"/>
  <c r="C38" i="27"/>
  <c r="E8" i="34" s="1"/>
  <c r="C38" i="22"/>
  <c r="E8" i="18" s="1"/>
  <c r="BJ11" i="18"/>
  <c r="BM11" i="18"/>
  <c r="D111" i="12"/>
  <c r="C111" i="28"/>
  <c r="N14" i="34" s="1"/>
  <c r="C111" i="23"/>
  <c r="N14" i="18" s="1"/>
  <c r="E5" i="33"/>
  <c r="C44" i="46"/>
  <c r="C44" i="45"/>
  <c r="AC44" i="45" s="1"/>
  <c r="D22" i="23"/>
  <c r="N10" i="23"/>
  <c r="Q9" i="46"/>
  <c r="D21" i="46"/>
  <c r="D19" i="46"/>
  <c r="Q7" i="46"/>
  <c r="R9" i="46"/>
  <c r="E21" i="46"/>
  <c r="D21" i="26"/>
  <c r="L9" i="26"/>
  <c r="R9" i="26" s="1"/>
  <c r="D19" i="47"/>
  <c r="L7" i="47"/>
  <c r="R7" i="47" s="1"/>
  <c r="E19" i="24"/>
  <c r="R7" i="24"/>
  <c r="AY9" i="18"/>
  <c r="V9" i="19" s="1"/>
  <c r="BD9" i="18"/>
  <c r="AY5" i="18"/>
  <c r="BD5" i="18"/>
  <c r="Q14" i="29"/>
  <c r="D26" i="29"/>
  <c r="L9" i="31"/>
  <c r="R9" i="31" s="1"/>
  <c r="D21" i="31"/>
  <c r="D37" i="31"/>
  <c r="L25" i="31"/>
  <c r="R25" i="31" s="1"/>
  <c r="E14" i="27"/>
  <c r="N2" i="27"/>
  <c r="D29" i="31"/>
  <c r="L17" i="31"/>
  <c r="R17" i="31" s="1"/>
  <c r="D23" i="27"/>
  <c r="M11" i="27"/>
  <c r="N6" i="28"/>
  <c r="D18" i="28"/>
  <c r="C38" i="30"/>
  <c r="AG8" i="34" s="1"/>
  <c r="C38" i="14"/>
  <c r="C38" i="25"/>
  <c r="AG8" i="18" s="1"/>
  <c r="C54" i="14"/>
  <c r="C54" i="30"/>
  <c r="AG9" i="34" s="1"/>
  <c r="C54" i="25"/>
  <c r="AG9" i="18" s="1"/>
  <c r="E7" i="39"/>
  <c r="C26" i="45"/>
  <c r="C26" i="46"/>
  <c r="D80" i="12"/>
  <c r="C80" i="28"/>
  <c r="N11" i="34" s="1"/>
  <c r="C80" i="23"/>
  <c r="N11" i="18" s="1"/>
  <c r="D17" i="24"/>
  <c r="Q5" i="24"/>
  <c r="C63" i="43"/>
  <c r="S63" i="43" s="1"/>
  <c r="C63" i="47"/>
  <c r="C16" i="43"/>
  <c r="S16" i="43" s="1"/>
  <c r="C16" i="47"/>
  <c r="C18" i="43"/>
  <c r="S18" i="43" s="1"/>
  <c r="C18" i="47"/>
  <c r="M3" i="22"/>
  <c r="D15" i="22"/>
  <c r="C112" i="26"/>
  <c r="AP14" i="18" s="1"/>
  <c r="AQ112" i="1"/>
  <c r="C112" i="49" s="1"/>
  <c r="C112" i="15"/>
  <c r="C112" i="31"/>
  <c r="AP14" i="34" s="1"/>
  <c r="C56" i="43"/>
  <c r="S56" i="43" s="1"/>
  <c r="C56" i="47"/>
  <c r="R12" i="24"/>
  <c r="E24" i="24"/>
  <c r="BA13" i="18"/>
  <c r="E26" i="48" l="1"/>
  <c r="R26" i="48" s="1"/>
  <c r="E32" i="48"/>
  <c r="R32" i="48" s="1"/>
  <c r="AB11" i="29"/>
  <c r="E33" i="48"/>
  <c r="R33" i="48" s="1"/>
  <c r="AN9" i="34"/>
  <c r="D7" i="33" s="1"/>
  <c r="AX9" i="34"/>
  <c r="BP9" i="34"/>
  <c r="AO9" i="34"/>
  <c r="AT9" i="34" s="1"/>
  <c r="AX12" i="34"/>
  <c r="BP12" i="34"/>
  <c r="AN12" i="34"/>
  <c r="G7" i="33" s="1"/>
  <c r="AO12" i="34"/>
  <c r="AT12" i="34" s="1"/>
  <c r="BQ14" i="34"/>
  <c r="CB14" i="34"/>
  <c r="CC14" i="34" s="1"/>
  <c r="BV14" i="34"/>
  <c r="BW14" i="34" s="1"/>
  <c r="BP11" i="34"/>
  <c r="AN11" i="34"/>
  <c r="F7" i="33" s="1"/>
  <c r="AX11" i="34"/>
  <c r="AO11" i="34"/>
  <c r="AT11" i="34" s="1"/>
  <c r="AX6" i="34"/>
  <c r="AN6" i="34"/>
  <c r="BP6" i="34"/>
  <c r="AO6" i="34"/>
  <c r="AT6" i="34" s="1"/>
  <c r="AX8" i="34"/>
  <c r="BP8" i="34"/>
  <c r="AN8" i="34"/>
  <c r="C7" i="33" s="1"/>
  <c r="AO8" i="34"/>
  <c r="AT8" i="34" s="1"/>
  <c r="BG14" i="34"/>
  <c r="AZ14" i="34"/>
  <c r="AY14" i="34" s="1"/>
  <c r="I8" i="33" s="1"/>
  <c r="BA14" i="34"/>
  <c r="BP13" i="34"/>
  <c r="AX13" i="34"/>
  <c r="AN13" i="34"/>
  <c r="H7" i="33" s="1"/>
  <c r="AO13" i="34"/>
  <c r="AT13" i="34" s="1"/>
  <c r="BP7" i="34"/>
  <c r="AX7" i="34"/>
  <c r="AN7" i="34"/>
  <c r="AO7" i="34"/>
  <c r="AT7" i="34" s="1"/>
  <c r="AX10" i="34"/>
  <c r="BP10" i="34"/>
  <c r="AN10" i="34"/>
  <c r="E7" i="33" s="1"/>
  <c r="AO10" i="34"/>
  <c r="AT10" i="34" s="1"/>
  <c r="D26" i="49"/>
  <c r="L26" i="49" s="1"/>
  <c r="R14" i="49"/>
  <c r="D28" i="49"/>
  <c r="L28" i="49" s="1"/>
  <c r="R16" i="49"/>
  <c r="D49" i="49"/>
  <c r="L49" i="49" s="1"/>
  <c r="R37" i="49"/>
  <c r="D43" i="49"/>
  <c r="L43" i="49" s="1"/>
  <c r="R31" i="49"/>
  <c r="D41" i="49"/>
  <c r="L41" i="49" s="1"/>
  <c r="R29" i="49"/>
  <c r="D48" i="49"/>
  <c r="L48" i="49" s="1"/>
  <c r="R36" i="49"/>
  <c r="D33" i="49"/>
  <c r="L33" i="49" s="1"/>
  <c r="R21" i="49"/>
  <c r="D32" i="49"/>
  <c r="L32" i="49" s="1"/>
  <c r="R20" i="49"/>
  <c r="D34" i="49"/>
  <c r="L34" i="49" s="1"/>
  <c r="R22" i="49"/>
  <c r="D27" i="49"/>
  <c r="L27" i="49" s="1"/>
  <c r="R15" i="49"/>
  <c r="D42" i="49"/>
  <c r="L42" i="49" s="1"/>
  <c r="R30" i="49"/>
  <c r="D47" i="49"/>
  <c r="L47" i="49" s="1"/>
  <c r="R35" i="49"/>
  <c r="AB21" i="48"/>
  <c r="D36" i="48"/>
  <c r="Q36" i="48" s="1"/>
  <c r="E45" i="48"/>
  <c r="R45" i="48" s="1"/>
  <c r="AB14" i="48"/>
  <c r="D26" i="48"/>
  <c r="Q26" i="48" s="1"/>
  <c r="D39" i="48"/>
  <c r="Q39" i="48" s="1"/>
  <c r="D44" i="48"/>
  <c r="Q44" i="48" s="1"/>
  <c r="E39" i="48"/>
  <c r="R39" i="48" s="1"/>
  <c r="E36" i="48"/>
  <c r="R36" i="48" s="1"/>
  <c r="D41" i="48"/>
  <c r="Q41" i="48" s="1"/>
  <c r="E44" i="48"/>
  <c r="R44" i="48" s="1"/>
  <c r="D47" i="48"/>
  <c r="Q47" i="48" s="1"/>
  <c r="D42" i="48"/>
  <c r="Q42" i="48" s="1"/>
  <c r="AB17" i="48"/>
  <c r="E29" i="48"/>
  <c r="R29" i="48" s="1"/>
  <c r="E35" i="48"/>
  <c r="R35" i="48" s="1"/>
  <c r="AB23" i="48"/>
  <c r="D49" i="48"/>
  <c r="Q49" i="48" s="1"/>
  <c r="D45" i="48"/>
  <c r="Q45" i="48" s="1"/>
  <c r="AB25" i="48"/>
  <c r="E37" i="48"/>
  <c r="R37" i="48" s="1"/>
  <c r="AB22" i="48"/>
  <c r="D34" i="48"/>
  <c r="Q34" i="48" s="1"/>
  <c r="E46" i="48"/>
  <c r="R46" i="48" s="1"/>
  <c r="D43" i="48"/>
  <c r="Q43" i="48" s="1"/>
  <c r="D40" i="48"/>
  <c r="Q40" i="48" s="1"/>
  <c r="AB28" i="48"/>
  <c r="E40" i="48"/>
  <c r="R40" i="48" s="1"/>
  <c r="E30" i="48"/>
  <c r="R30" i="48" s="1"/>
  <c r="AB18" i="48"/>
  <c r="E31" i="48"/>
  <c r="R31" i="48" s="1"/>
  <c r="AB19" i="48"/>
  <c r="I18" i="39"/>
  <c r="AH9" i="39"/>
  <c r="AG9" i="39"/>
  <c r="AF10" i="39"/>
  <c r="AN8" i="39"/>
  <c r="AL9" i="39"/>
  <c r="AM8" i="39"/>
  <c r="AI8" i="39"/>
  <c r="F11" i="39"/>
  <c r="F10" i="39"/>
  <c r="I8" i="21"/>
  <c r="I13" i="21" s="1"/>
  <c r="AQ14" i="40"/>
  <c r="G49" i="40"/>
  <c r="G78" i="40" s="1"/>
  <c r="G46" i="40"/>
  <c r="G75" i="40" s="1"/>
  <c r="G44" i="40"/>
  <c r="G73" i="40" s="1"/>
  <c r="G48" i="40"/>
  <c r="G77" i="40" s="1"/>
  <c r="G47" i="40"/>
  <c r="G76" i="40" s="1"/>
  <c r="G51" i="40"/>
  <c r="G80" i="40" s="1"/>
  <c r="G50" i="40"/>
  <c r="G79" i="40" s="1"/>
  <c r="G45" i="40"/>
  <c r="G74" i="40" s="1"/>
  <c r="G43" i="40"/>
  <c r="G72" i="40" s="1"/>
  <c r="M20" i="19"/>
  <c r="K20" i="19" s="1"/>
  <c r="M18" i="19"/>
  <c r="M19" i="19"/>
  <c r="BH9" i="40"/>
  <c r="K46" i="40"/>
  <c r="K75" i="40" s="1"/>
  <c r="D37" i="21"/>
  <c r="AP9" i="19"/>
  <c r="BN9" i="40"/>
  <c r="AQ9" i="19"/>
  <c r="AQ8" i="19"/>
  <c r="AM11" i="19"/>
  <c r="AO10" i="19"/>
  <c r="AK9" i="19"/>
  <c r="BO8" i="40"/>
  <c r="L46" i="40" s="1"/>
  <c r="L75" i="40" s="1"/>
  <c r="E36" i="21"/>
  <c r="BG10" i="40"/>
  <c r="AJ10" i="19"/>
  <c r="AG12" i="19"/>
  <c r="AI11" i="19"/>
  <c r="AQ6" i="40"/>
  <c r="V6" i="19"/>
  <c r="X6" i="19" s="1"/>
  <c r="AQ7" i="40"/>
  <c r="V7" i="19"/>
  <c r="X7" i="19" s="1"/>
  <c r="AQ5" i="40"/>
  <c r="V5" i="19"/>
  <c r="X5" i="19" s="1"/>
  <c r="AD28" i="13"/>
  <c r="AB13" i="29"/>
  <c r="O24" i="28"/>
  <c r="V24" i="28" s="1"/>
  <c r="D34" i="29"/>
  <c r="D46" i="29" s="1"/>
  <c r="AB5" i="24"/>
  <c r="K19" i="19"/>
  <c r="V4" i="23"/>
  <c r="AB6" i="46"/>
  <c r="E9" i="18"/>
  <c r="R19" i="29"/>
  <c r="T2" i="22"/>
  <c r="T7" i="27"/>
  <c r="K18" i="19"/>
  <c r="J32" i="21" s="1"/>
  <c r="D36" i="31"/>
  <c r="D48" i="31" s="1"/>
  <c r="T4" i="27"/>
  <c r="AB8" i="46"/>
  <c r="AB4" i="29"/>
  <c r="T9" i="27"/>
  <c r="AB12" i="24"/>
  <c r="V6" i="28"/>
  <c r="T10" i="22"/>
  <c r="M24" i="27"/>
  <c r="T24" i="27" s="1"/>
  <c r="M22" i="27"/>
  <c r="AB10" i="46"/>
  <c r="AB13" i="24"/>
  <c r="V8" i="23"/>
  <c r="V7" i="28"/>
  <c r="M9" i="16"/>
  <c r="O9" i="16" s="1"/>
  <c r="AB13" i="46"/>
  <c r="V11" i="28"/>
  <c r="AB5" i="46"/>
  <c r="E9" i="34"/>
  <c r="T6" i="22"/>
  <c r="AE19" i="19"/>
  <c r="T2" i="27"/>
  <c r="S18" i="19"/>
  <c r="R33" i="19" s="1"/>
  <c r="S19" i="19"/>
  <c r="R34" i="19" s="1"/>
  <c r="AB12" i="46"/>
  <c r="V10" i="23"/>
  <c r="AB5" i="29"/>
  <c r="AB2" i="46"/>
  <c r="V4" i="28"/>
  <c r="V6" i="23"/>
  <c r="V5" i="23"/>
  <c r="T5" i="27"/>
  <c r="T13" i="27"/>
  <c r="AB10" i="24"/>
  <c r="V2" i="23"/>
  <c r="T11" i="27"/>
  <c r="AB7" i="46"/>
  <c r="V3" i="28"/>
  <c r="V8" i="28"/>
  <c r="T12" i="22"/>
  <c r="X7" i="39"/>
  <c r="F14" i="39"/>
  <c r="AB24" i="29"/>
  <c r="AB8" i="24"/>
  <c r="V3" i="23"/>
  <c r="V13" i="28"/>
  <c r="AE18" i="19"/>
  <c r="AB4" i="24"/>
  <c r="AE20" i="19"/>
  <c r="T3" i="22"/>
  <c r="AB2" i="24"/>
  <c r="V12" i="23"/>
  <c r="F9" i="39"/>
  <c r="V11" i="23"/>
  <c r="AB6" i="24"/>
  <c r="T8" i="27"/>
  <c r="T13" i="22"/>
  <c r="S20" i="19"/>
  <c r="V5" i="28"/>
  <c r="AB3" i="46"/>
  <c r="T5" i="22"/>
  <c r="N14" i="28"/>
  <c r="AB3" i="24"/>
  <c r="V13" i="23"/>
  <c r="AB6" i="29"/>
  <c r="T11" i="22"/>
  <c r="E26" i="23"/>
  <c r="O14" i="23"/>
  <c r="E26" i="24"/>
  <c r="R14" i="24"/>
  <c r="V9" i="23"/>
  <c r="E26" i="46"/>
  <c r="R14" i="46"/>
  <c r="X10" i="39"/>
  <c r="S86" i="15"/>
  <c r="W11" i="16"/>
  <c r="Y11" i="16" s="1"/>
  <c r="V9" i="28"/>
  <c r="T8" i="22"/>
  <c r="T4" i="22"/>
  <c r="C86" i="43"/>
  <c r="C86" i="47"/>
  <c r="L26" i="47"/>
  <c r="R26" i="47" s="1"/>
  <c r="D38" i="47"/>
  <c r="V110" i="11"/>
  <c r="C13" i="16"/>
  <c r="E13" i="16" s="1"/>
  <c r="AQ10" i="40"/>
  <c r="E8" i="21"/>
  <c r="E13" i="21" s="1"/>
  <c r="D36" i="22"/>
  <c r="M24" i="22"/>
  <c r="E30" i="23"/>
  <c r="O18" i="23"/>
  <c r="AK16" i="34"/>
  <c r="I24" i="39" s="1"/>
  <c r="AK15" i="34"/>
  <c r="I23" i="39" s="1"/>
  <c r="E28" i="28"/>
  <c r="O16" i="28"/>
  <c r="X20" i="12"/>
  <c r="H5" i="16"/>
  <c r="J5" i="16" s="1"/>
  <c r="R15" i="46"/>
  <c r="E27" i="46"/>
  <c r="E34" i="22"/>
  <c r="N22" i="22"/>
  <c r="D36" i="24"/>
  <c r="Q24" i="24"/>
  <c r="L18" i="47"/>
  <c r="R18" i="47" s="1"/>
  <c r="D30" i="47"/>
  <c r="V50" i="11"/>
  <c r="C8" i="16"/>
  <c r="E8" i="16" s="1"/>
  <c r="C4" i="16"/>
  <c r="E4" i="16" s="1"/>
  <c r="V2" i="11"/>
  <c r="L17" i="47"/>
  <c r="R17" i="47" s="1"/>
  <c r="D29" i="47"/>
  <c r="E28" i="27"/>
  <c r="N16" i="27"/>
  <c r="R25" i="46"/>
  <c r="E37" i="46"/>
  <c r="R15" i="24"/>
  <c r="E27" i="24"/>
  <c r="D34" i="47"/>
  <c r="L22" i="47"/>
  <c r="R22" i="47" s="1"/>
  <c r="R18" i="24"/>
  <c r="E30" i="24"/>
  <c r="E29" i="28"/>
  <c r="O17" i="28"/>
  <c r="C99" i="43"/>
  <c r="C99" i="47"/>
  <c r="R16" i="46"/>
  <c r="E28" i="46"/>
  <c r="E37" i="28"/>
  <c r="O25" i="28"/>
  <c r="D32" i="24"/>
  <c r="Q20" i="24"/>
  <c r="E31" i="28"/>
  <c r="O19" i="28"/>
  <c r="E38" i="22"/>
  <c r="N26" i="22"/>
  <c r="AR5" i="18"/>
  <c r="AV5" i="18" s="1"/>
  <c r="X62" i="12"/>
  <c r="H9" i="16"/>
  <c r="J9" i="16" s="1"/>
  <c r="D28" i="47"/>
  <c r="L16" i="47"/>
  <c r="R16" i="47" s="1"/>
  <c r="E27" i="23"/>
  <c r="O15" i="23"/>
  <c r="R22" i="46"/>
  <c r="E34" i="46"/>
  <c r="J6" i="33"/>
  <c r="E28" i="22"/>
  <c r="N16" i="22"/>
  <c r="E35" i="28"/>
  <c r="O23" i="28"/>
  <c r="D34" i="26"/>
  <c r="L22" i="26"/>
  <c r="R22" i="26" s="1"/>
  <c r="D30" i="26"/>
  <c r="L18" i="26"/>
  <c r="R18" i="26" s="1"/>
  <c r="S38" i="15"/>
  <c r="W7" i="16"/>
  <c r="Y7" i="16" s="1"/>
  <c r="L25" i="26"/>
  <c r="R25" i="26" s="1"/>
  <c r="D37" i="26"/>
  <c r="E37" i="27"/>
  <c r="N25" i="27"/>
  <c r="O22" i="23"/>
  <c r="E34" i="23"/>
  <c r="E5" i="19"/>
  <c r="E24" i="19" s="1"/>
  <c r="AD2" i="13"/>
  <c r="M4" i="16"/>
  <c r="O4" i="16" s="1"/>
  <c r="D32" i="46"/>
  <c r="Q20" i="46"/>
  <c r="E29" i="23"/>
  <c r="O17" i="23"/>
  <c r="D28" i="31"/>
  <c r="L16" i="31"/>
  <c r="R16" i="31" s="1"/>
  <c r="S99" i="15"/>
  <c r="W12" i="16"/>
  <c r="Y12" i="16" s="1"/>
  <c r="D37" i="47"/>
  <c r="L25" i="47"/>
  <c r="R25" i="47" s="1"/>
  <c r="L15" i="26"/>
  <c r="R15" i="26" s="1"/>
  <c r="D27" i="26"/>
  <c r="N24" i="23"/>
  <c r="D36" i="23"/>
  <c r="E30" i="46"/>
  <c r="R18" i="46"/>
  <c r="E37" i="23"/>
  <c r="O25" i="23"/>
  <c r="M20" i="22"/>
  <c r="D32" i="22"/>
  <c r="E13" i="19"/>
  <c r="C98" i="45"/>
  <c r="C98" i="46"/>
  <c r="X10" i="19"/>
  <c r="D28" i="22"/>
  <c r="M16" i="22"/>
  <c r="R36" i="29"/>
  <c r="E48" i="29"/>
  <c r="N17" i="27"/>
  <c r="E29" i="27"/>
  <c r="C38" i="43"/>
  <c r="C38" i="47"/>
  <c r="R16" i="24"/>
  <c r="E28" i="24"/>
  <c r="D28" i="23"/>
  <c r="N16" i="23"/>
  <c r="C2" i="45"/>
  <c r="C2" i="46"/>
  <c r="N18" i="22"/>
  <c r="E30" i="22"/>
  <c r="R25" i="24"/>
  <c r="E37" i="24"/>
  <c r="E28" i="23"/>
  <c r="O16" i="23"/>
  <c r="V16" i="23" s="1"/>
  <c r="AB4" i="46"/>
  <c r="E29" i="22"/>
  <c r="N17" i="22"/>
  <c r="D28" i="24"/>
  <c r="Q16" i="24"/>
  <c r="AB16" i="24" s="1"/>
  <c r="D27" i="47"/>
  <c r="L15" i="47"/>
  <c r="R15" i="47" s="1"/>
  <c r="AC50" i="45"/>
  <c r="M62" i="16"/>
  <c r="O62" i="16" s="1"/>
  <c r="N19" i="27"/>
  <c r="E31" i="27"/>
  <c r="AD98" i="13"/>
  <c r="M12" i="16"/>
  <c r="O12" i="16" s="1"/>
  <c r="E29" i="46"/>
  <c r="R17" i="46"/>
  <c r="N25" i="22"/>
  <c r="E37" i="22"/>
  <c r="D32" i="23"/>
  <c r="N20" i="23"/>
  <c r="D28" i="26"/>
  <c r="L16" i="26"/>
  <c r="R16" i="26" s="1"/>
  <c r="N23" i="27"/>
  <c r="E35" i="27"/>
  <c r="D36" i="46"/>
  <c r="Q24" i="46"/>
  <c r="D28" i="46"/>
  <c r="Q16" i="46"/>
  <c r="N15" i="22"/>
  <c r="E27" i="22"/>
  <c r="R22" i="24"/>
  <c r="E34" i="24"/>
  <c r="R13" i="16"/>
  <c r="T13" i="16" s="1"/>
  <c r="S110" i="14"/>
  <c r="E28" i="29"/>
  <c r="R16" i="29"/>
  <c r="X13" i="19"/>
  <c r="C112" i="43"/>
  <c r="C112" i="47"/>
  <c r="AC26" i="45"/>
  <c r="S54" i="14"/>
  <c r="R8" i="16"/>
  <c r="T8" i="16" s="1"/>
  <c r="D30" i="28"/>
  <c r="N18" i="28"/>
  <c r="V18" i="28" s="1"/>
  <c r="E31" i="24"/>
  <c r="R19" i="24"/>
  <c r="D33" i="26"/>
  <c r="L21" i="26"/>
  <c r="R21" i="26" s="1"/>
  <c r="D31" i="46"/>
  <c r="Q19" i="46"/>
  <c r="D34" i="23"/>
  <c r="N22" i="23"/>
  <c r="D42" i="31"/>
  <c r="L30" i="31"/>
  <c r="R30" i="31" s="1"/>
  <c r="D46" i="28"/>
  <c r="N34" i="28"/>
  <c r="D35" i="24"/>
  <c r="Q23" i="24"/>
  <c r="D28" i="29"/>
  <c r="Q16" i="29"/>
  <c r="E32" i="29"/>
  <c r="R20" i="29"/>
  <c r="D35" i="47"/>
  <c r="L23" i="47"/>
  <c r="R23" i="47" s="1"/>
  <c r="D29" i="23"/>
  <c r="N17" i="23"/>
  <c r="E42" i="29"/>
  <c r="R30" i="29"/>
  <c r="E33" i="29"/>
  <c r="R21" i="29"/>
  <c r="AB7" i="24"/>
  <c r="AB9" i="24"/>
  <c r="C86" i="46"/>
  <c r="C86" i="45"/>
  <c r="D48" i="29"/>
  <c r="Q36" i="29"/>
  <c r="BC5" i="18"/>
  <c r="E11" i="19"/>
  <c r="M10" i="16"/>
  <c r="O10" i="16" s="1"/>
  <c r="AD76" i="13"/>
  <c r="H8" i="16"/>
  <c r="J8" i="16" s="1"/>
  <c r="X51" i="12"/>
  <c r="Q18" i="24"/>
  <c r="D30" i="24"/>
  <c r="E27" i="29"/>
  <c r="R15" i="29"/>
  <c r="O23" i="23"/>
  <c r="E35" i="23"/>
  <c r="E10" i="19"/>
  <c r="V68" i="11"/>
  <c r="C9" i="16"/>
  <c r="E9" i="16" s="1"/>
  <c r="D29" i="22"/>
  <c r="M17" i="22"/>
  <c r="C38" i="45"/>
  <c r="C38" i="46"/>
  <c r="H12" i="16"/>
  <c r="J12" i="16" s="1"/>
  <c r="X98" i="12"/>
  <c r="N36" i="27"/>
  <c r="E48" i="27"/>
  <c r="S30" i="15"/>
  <c r="W6" i="16"/>
  <c r="Y6" i="16" s="1"/>
  <c r="D37" i="27"/>
  <c r="M25" i="27"/>
  <c r="N25" i="23"/>
  <c r="D37" i="23"/>
  <c r="D30" i="23"/>
  <c r="N18" i="23"/>
  <c r="S78" i="14"/>
  <c r="R10" i="16"/>
  <c r="T10" i="16" s="1"/>
  <c r="E6" i="19"/>
  <c r="E25" i="19" s="1"/>
  <c r="AD20" i="13"/>
  <c r="M5" i="16"/>
  <c r="O5" i="16" s="1"/>
  <c r="E34" i="29"/>
  <c r="R22" i="29"/>
  <c r="AB22" i="29" s="1"/>
  <c r="AQ13" i="40"/>
  <c r="H8" i="21"/>
  <c r="H13" i="21" s="1"/>
  <c r="R24" i="46"/>
  <c r="E36" i="46"/>
  <c r="S102" i="14"/>
  <c r="R12" i="16"/>
  <c r="T12" i="16" s="1"/>
  <c r="D30" i="29"/>
  <c r="Q18" i="29"/>
  <c r="AB18" i="29" s="1"/>
  <c r="E26" i="28"/>
  <c r="O14" i="28"/>
  <c r="X11" i="39"/>
  <c r="E33" i="22"/>
  <c r="N21" i="22"/>
  <c r="D31" i="22"/>
  <c r="M19" i="22"/>
  <c r="D33" i="22"/>
  <c r="M21" i="22"/>
  <c r="D31" i="28"/>
  <c r="N19" i="28"/>
  <c r="D35" i="46"/>
  <c r="Q23" i="46"/>
  <c r="D37" i="22"/>
  <c r="M25" i="22"/>
  <c r="V76" i="11"/>
  <c r="C10" i="16"/>
  <c r="E10" i="16" s="1"/>
  <c r="S62" i="14"/>
  <c r="R9" i="16"/>
  <c r="T9" i="16" s="1"/>
  <c r="E27" i="28"/>
  <c r="O15" i="28"/>
  <c r="D35" i="26"/>
  <c r="L23" i="26"/>
  <c r="R23" i="26" s="1"/>
  <c r="C52" i="43"/>
  <c r="C52" i="47"/>
  <c r="Q14" i="46"/>
  <c r="D26" i="46"/>
  <c r="E42" i="28"/>
  <c r="O30" i="28"/>
  <c r="D41" i="31"/>
  <c r="L29" i="31"/>
  <c r="R29" i="31" s="1"/>
  <c r="D49" i="31"/>
  <c r="L37" i="31"/>
  <c r="R37" i="31" s="1"/>
  <c r="D38" i="29"/>
  <c r="Q26" i="29"/>
  <c r="R21" i="46"/>
  <c r="E33" i="46"/>
  <c r="Q21" i="46"/>
  <c r="D33" i="46"/>
  <c r="R20" i="46"/>
  <c r="E32" i="46"/>
  <c r="S78" i="15"/>
  <c r="W10" i="16"/>
  <c r="Y10" i="16" s="1"/>
  <c r="Q25" i="46"/>
  <c r="D37" i="46"/>
  <c r="N15" i="27"/>
  <c r="E27" i="27"/>
  <c r="S2" i="14"/>
  <c r="R4" i="16"/>
  <c r="T4" i="16" s="1"/>
  <c r="D33" i="27"/>
  <c r="M21" i="27"/>
  <c r="D27" i="46"/>
  <c r="Q15" i="46"/>
  <c r="D30" i="27"/>
  <c r="M18" i="27"/>
  <c r="T18" i="27" s="1"/>
  <c r="L14" i="31"/>
  <c r="R14" i="31" s="1"/>
  <c r="D26" i="31"/>
  <c r="E33" i="24"/>
  <c r="R21" i="24"/>
  <c r="D31" i="24"/>
  <c r="Q19" i="24"/>
  <c r="D33" i="24"/>
  <c r="Q21" i="24"/>
  <c r="M11" i="16"/>
  <c r="O11" i="16" s="1"/>
  <c r="AD86" i="13"/>
  <c r="D27" i="27"/>
  <c r="M15" i="27"/>
  <c r="X9" i="39"/>
  <c r="X8" i="39"/>
  <c r="X12" i="19"/>
  <c r="D32" i="47"/>
  <c r="L20" i="47"/>
  <c r="R20" i="47" s="1"/>
  <c r="D35" i="23"/>
  <c r="N23" i="23"/>
  <c r="C76" i="46"/>
  <c r="C76" i="45"/>
  <c r="D28" i="28"/>
  <c r="N16" i="28"/>
  <c r="D43" i="31"/>
  <c r="L31" i="31"/>
  <c r="R31" i="31" s="1"/>
  <c r="C8" i="43"/>
  <c r="C8" i="47"/>
  <c r="Q14" i="24"/>
  <c r="D26" i="24"/>
  <c r="C28" i="46"/>
  <c r="C28" i="45"/>
  <c r="AC28" i="45" s="1"/>
  <c r="D33" i="28"/>
  <c r="N21" i="28"/>
  <c r="D34" i="31"/>
  <c r="L22" i="31"/>
  <c r="R22" i="31" s="1"/>
  <c r="D36" i="47"/>
  <c r="L24" i="47"/>
  <c r="R24" i="47" s="1"/>
  <c r="D41" i="26"/>
  <c r="L29" i="26"/>
  <c r="R29" i="26" s="1"/>
  <c r="M7" i="16"/>
  <c r="O7" i="16" s="1"/>
  <c r="AD38" i="13"/>
  <c r="E31" i="22"/>
  <c r="N19" i="22"/>
  <c r="C30" i="43"/>
  <c r="C30" i="47"/>
  <c r="D31" i="29"/>
  <c r="Q19" i="29"/>
  <c r="X8" i="19"/>
  <c r="X14" i="39"/>
  <c r="D28" i="27"/>
  <c r="M16" i="27"/>
  <c r="C20" i="46"/>
  <c r="C20" i="45"/>
  <c r="N14" i="23"/>
  <c r="D26" i="23"/>
  <c r="C12" i="16"/>
  <c r="E12" i="16" s="1"/>
  <c r="V98" i="11"/>
  <c r="N15" i="23"/>
  <c r="D27" i="23"/>
  <c r="X9" i="19"/>
  <c r="S14" i="15"/>
  <c r="W5" i="16"/>
  <c r="Y5" i="16" s="1"/>
  <c r="Q22" i="24"/>
  <c r="D34" i="24"/>
  <c r="AC67" i="45"/>
  <c r="AB3" i="29"/>
  <c r="AQ8" i="40"/>
  <c r="C8" i="21"/>
  <c r="C13" i="21" s="1"/>
  <c r="D50" i="26"/>
  <c r="L38" i="26"/>
  <c r="R38" i="26" s="1"/>
  <c r="S62" i="15"/>
  <c r="W9" i="16"/>
  <c r="Y9" i="16" s="1"/>
  <c r="D33" i="29"/>
  <c r="Q21" i="29"/>
  <c r="E34" i="28"/>
  <c r="O22" i="28"/>
  <c r="V22" i="28" s="1"/>
  <c r="N26" i="28"/>
  <c r="D38" i="28"/>
  <c r="R24" i="24"/>
  <c r="E36" i="24"/>
  <c r="M15" i="22"/>
  <c r="D27" i="22"/>
  <c r="H10" i="16"/>
  <c r="J10" i="16" s="1"/>
  <c r="X80" i="12"/>
  <c r="S38" i="14"/>
  <c r="R7" i="16"/>
  <c r="T7" i="16" s="1"/>
  <c r="D33" i="31"/>
  <c r="L21" i="31"/>
  <c r="R21" i="31" s="1"/>
  <c r="AQ9" i="40"/>
  <c r="D8" i="21"/>
  <c r="D13" i="21" s="1"/>
  <c r="D31" i="47"/>
  <c r="L19" i="47"/>
  <c r="R19" i="47" s="1"/>
  <c r="AB9" i="46"/>
  <c r="H11" i="16"/>
  <c r="J11" i="16" s="1"/>
  <c r="X86" i="12"/>
  <c r="D31" i="27"/>
  <c r="M19" i="27"/>
  <c r="E48" i="28"/>
  <c r="O36" i="28"/>
  <c r="C78" i="43"/>
  <c r="C78" i="47"/>
  <c r="D32" i="28"/>
  <c r="N20" i="28"/>
  <c r="E35" i="24"/>
  <c r="R23" i="24"/>
  <c r="E41" i="24"/>
  <c r="R29" i="24"/>
  <c r="X11" i="19"/>
  <c r="AR5" i="34"/>
  <c r="AV5" i="34" s="1"/>
  <c r="D46" i="27"/>
  <c r="M34" i="27"/>
  <c r="O19" i="23"/>
  <c r="E31" i="23"/>
  <c r="E12" i="19"/>
  <c r="T3" i="27"/>
  <c r="E47" i="29"/>
  <c r="R35" i="29"/>
  <c r="R20" i="24"/>
  <c r="E32" i="24"/>
  <c r="D32" i="27"/>
  <c r="M20" i="27"/>
  <c r="E32" i="28"/>
  <c r="O20" i="28"/>
  <c r="E8" i="19"/>
  <c r="H6" i="16"/>
  <c r="J6" i="16" s="1"/>
  <c r="X32" i="12"/>
  <c r="E33" i="28"/>
  <c r="O21" i="28"/>
  <c r="V7" i="23"/>
  <c r="N21" i="23"/>
  <c r="D33" i="23"/>
  <c r="D34" i="46"/>
  <c r="Q22" i="46"/>
  <c r="E43" i="29"/>
  <c r="R31" i="29"/>
  <c r="D27" i="31"/>
  <c r="L15" i="31"/>
  <c r="R15" i="31" s="1"/>
  <c r="M26" i="27"/>
  <c r="D38" i="27"/>
  <c r="E35" i="22"/>
  <c r="N23" i="22"/>
  <c r="D48" i="27"/>
  <c r="M36" i="27"/>
  <c r="E36" i="23"/>
  <c r="O24" i="23"/>
  <c r="M6" i="16"/>
  <c r="O6" i="16" s="1"/>
  <c r="S86" i="14"/>
  <c r="R11" i="16"/>
  <c r="T11" i="16" s="1"/>
  <c r="D48" i="28"/>
  <c r="N36" i="28"/>
  <c r="E31" i="46"/>
  <c r="R19" i="46"/>
  <c r="C14" i="43"/>
  <c r="C14" i="47"/>
  <c r="H7" i="16"/>
  <c r="J7" i="16" s="1"/>
  <c r="X38" i="12"/>
  <c r="D27" i="29"/>
  <c r="Q15" i="29"/>
  <c r="D37" i="28"/>
  <c r="N25" i="28"/>
  <c r="E32" i="22"/>
  <c r="N20" i="22"/>
  <c r="D30" i="46"/>
  <c r="Q18" i="46"/>
  <c r="D32" i="29"/>
  <c r="Q20" i="29"/>
  <c r="D47" i="31"/>
  <c r="L35" i="31"/>
  <c r="R35" i="31" s="1"/>
  <c r="D32" i="31"/>
  <c r="L20" i="31"/>
  <c r="R20" i="31" s="1"/>
  <c r="E14" i="19"/>
  <c r="AD116" i="13"/>
  <c r="M13" i="16"/>
  <c r="O13" i="16" s="1"/>
  <c r="C62" i="43"/>
  <c r="C62" i="47"/>
  <c r="AB9" i="29"/>
  <c r="S112" i="15"/>
  <c r="W13" i="16"/>
  <c r="Y13" i="16" s="1"/>
  <c r="D29" i="24"/>
  <c r="Q17" i="24"/>
  <c r="AB17" i="24" s="1"/>
  <c r="D35" i="27"/>
  <c r="M23" i="27"/>
  <c r="E26" i="27"/>
  <c r="N14" i="27"/>
  <c r="T14" i="27" s="1"/>
  <c r="X111" i="12"/>
  <c r="H13" i="16"/>
  <c r="J13" i="16" s="1"/>
  <c r="C7" i="16"/>
  <c r="E7" i="16" s="1"/>
  <c r="V38" i="11"/>
  <c r="D27" i="28"/>
  <c r="N15" i="28"/>
  <c r="L20" i="26"/>
  <c r="R20" i="26" s="1"/>
  <c r="D32" i="26"/>
  <c r="AB11" i="24"/>
  <c r="D30" i="22"/>
  <c r="M18" i="22"/>
  <c r="D26" i="22"/>
  <c r="M14" i="22"/>
  <c r="T14" i="22" s="1"/>
  <c r="D29" i="29"/>
  <c r="Q17" i="29"/>
  <c r="AB17" i="29" s="1"/>
  <c r="E41" i="29"/>
  <c r="R29" i="29"/>
  <c r="N22" i="27"/>
  <c r="E34" i="27"/>
  <c r="E36" i="22"/>
  <c r="N24" i="22"/>
  <c r="X13" i="39"/>
  <c r="X12" i="39"/>
  <c r="C11" i="16"/>
  <c r="E11" i="16" s="1"/>
  <c r="V86" i="11"/>
  <c r="D33" i="47"/>
  <c r="L21" i="47"/>
  <c r="R21" i="47" s="1"/>
  <c r="D34" i="22"/>
  <c r="M22" i="22"/>
  <c r="D37" i="29"/>
  <c r="Q25" i="29"/>
  <c r="AB25" i="29" s="1"/>
  <c r="D37" i="24"/>
  <c r="Q25" i="24"/>
  <c r="F13" i="39"/>
  <c r="S8" i="15"/>
  <c r="W4" i="16"/>
  <c r="Y4" i="16" s="1"/>
  <c r="C68" i="46"/>
  <c r="C68" i="45"/>
  <c r="AC68" i="45" s="1"/>
  <c r="H4" i="16"/>
  <c r="J4" i="16" s="1"/>
  <c r="X3" i="12"/>
  <c r="V28" i="11"/>
  <c r="C6" i="16"/>
  <c r="E6" i="16" s="1"/>
  <c r="D29" i="27"/>
  <c r="M17" i="27"/>
  <c r="D36" i="26"/>
  <c r="L24" i="26"/>
  <c r="R24" i="26" s="1"/>
  <c r="AQ11" i="40"/>
  <c r="F8" i="21"/>
  <c r="F13" i="21" s="1"/>
  <c r="D27" i="24"/>
  <c r="Q15" i="24"/>
  <c r="D35" i="28"/>
  <c r="N23" i="28"/>
  <c r="E26" i="29"/>
  <c r="R14" i="29"/>
  <c r="AB14" i="29" s="1"/>
  <c r="AQ12" i="40"/>
  <c r="G8" i="21"/>
  <c r="G13" i="21" s="1"/>
  <c r="E33" i="23"/>
  <c r="O21" i="23"/>
  <c r="D31" i="23"/>
  <c r="N19" i="23"/>
  <c r="E32" i="23"/>
  <c r="O20" i="23"/>
  <c r="D35" i="22"/>
  <c r="M23" i="22"/>
  <c r="N30" i="27"/>
  <c r="E42" i="27"/>
  <c r="N20" i="27"/>
  <c r="E32" i="27"/>
  <c r="F8" i="39"/>
  <c r="F7" i="39"/>
  <c r="BL15" i="18"/>
  <c r="BL16" i="18"/>
  <c r="BL9" i="18"/>
  <c r="BN9" i="18" s="1"/>
  <c r="BL13" i="18"/>
  <c r="BN13" i="18" s="1"/>
  <c r="BL6" i="18"/>
  <c r="BN6" i="18" s="1"/>
  <c r="BL10" i="18"/>
  <c r="BN10" i="18" s="1"/>
  <c r="BL14" i="18"/>
  <c r="BL12" i="18"/>
  <c r="BN12" i="18" s="1"/>
  <c r="BL7" i="18"/>
  <c r="BN7" i="18" s="1"/>
  <c r="BL5" i="18"/>
  <c r="BN5" i="18" s="1"/>
  <c r="BL8" i="18"/>
  <c r="BN8" i="18" s="1"/>
  <c r="BL11" i="18"/>
  <c r="BN11" i="18" s="1"/>
  <c r="D29" i="28"/>
  <c r="N17" i="28"/>
  <c r="D29" i="46"/>
  <c r="Q17" i="46"/>
  <c r="D35" i="29"/>
  <c r="Q23" i="29"/>
  <c r="AB23" i="29" s="1"/>
  <c r="N21" i="27"/>
  <c r="E33" i="27"/>
  <c r="L19" i="26"/>
  <c r="R19" i="26" s="1"/>
  <c r="D31" i="26"/>
  <c r="T7" i="22"/>
  <c r="T9" i="22"/>
  <c r="AB11" i="46"/>
  <c r="AB8" i="29"/>
  <c r="R23" i="46"/>
  <c r="E35" i="46"/>
  <c r="S52" i="15"/>
  <c r="W8" i="16"/>
  <c r="Y8" i="16" s="1"/>
  <c r="C116" i="46"/>
  <c r="C116" i="45"/>
  <c r="V20" i="11"/>
  <c r="C5" i="16"/>
  <c r="E5" i="16" s="1"/>
  <c r="S27" i="14"/>
  <c r="R6" i="16"/>
  <c r="T6" i="16" s="1"/>
  <c r="E49" i="29"/>
  <c r="R37" i="29"/>
  <c r="F12" i="39"/>
  <c r="E38" i="48" l="1"/>
  <c r="R38" i="48" s="1"/>
  <c r="AB21" i="24"/>
  <c r="D38" i="21"/>
  <c r="BV10" i="34"/>
  <c r="BW10" i="34" s="1"/>
  <c r="CB10" i="34"/>
  <c r="CC10" i="34" s="1"/>
  <c r="BQ10" i="34"/>
  <c r="BG7" i="34"/>
  <c r="AZ7" i="34"/>
  <c r="BD7" i="34" s="1"/>
  <c r="BA7" i="34"/>
  <c r="BG13" i="34"/>
  <c r="AZ13" i="34"/>
  <c r="BD13" i="34" s="1"/>
  <c r="BA13" i="34"/>
  <c r="BH14" i="34"/>
  <c r="BI14" i="34"/>
  <c r="BG8" i="34"/>
  <c r="AZ8" i="34"/>
  <c r="BD8" i="34" s="1"/>
  <c r="BA8" i="34"/>
  <c r="BG6" i="34"/>
  <c r="AZ6" i="34"/>
  <c r="BD6" i="34" s="1"/>
  <c r="BA6" i="34"/>
  <c r="BV11" i="34"/>
  <c r="BW11" i="34" s="1"/>
  <c r="BQ11" i="34"/>
  <c r="CB11" i="34"/>
  <c r="CC11" i="34" s="1"/>
  <c r="BG10" i="34"/>
  <c r="AZ10" i="34"/>
  <c r="BD10" i="34" s="1"/>
  <c r="BA10" i="34"/>
  <c r="BV7" i="34"/>
  <c r="BW7" i="34" s="1"/>
  <c r="BY7" i="34" s="1"/>
  <c r="BZ7" i="34" s="1"/>
  <c r="CB7" i="34"/>
  <c r="CC7" i="34" s="1"/>
  <c r="CE7" i="34" s="1"/>
  <c r="CF7" i="34" s="1"/>
  <c r="BQ7" i="34"/>
  <c r="BS7" i="34" s="1"/>
  <c r="BQ13" i="34"/>
  <c r="BV13" i="34"/>
  <c r="BW13" i="34" s="1"/>
  <c r="CB13" i="34"/>
  <c r="CC13" i="34" s="1"/>
  <c r="I11" i="33"/>
  <c r="BY14" i="34"/>
  <c r="BV9" i="34"/>
  <c r="BW9" i="34" s="1"/>
  <c r="CB9" i="34"/>
  <c r="CC9" i="34" s="1"/>
  <c r="BQ9" i="34"/>
  <c r="BQ6" i="34"/>
  <c r="BS6" i="34" s="1"/>
  <c r="CB6" i="34"/>
  <c r="CC6" i="34" s="1"/>
  <c r="CE6" i="34" s="1"/>
  <c r="CF6" i="34" s="1"/>
  <c r="BV6" i="34"/>
  <c r="BW6" i="34" s="1"/>
  <c r="BY6" i="34" s="1"/>
  <c r="BZ6" i="34" s="1"/>
  <c r="BG11" i="34"/>
  <c r="AZ11" i="34"/>
  <c r="BD11" i="34" s="1"/>
  <c r="BA11" i="34"/>
  <c r="I12" i="33"/>
  <c r="CE14" i="34"/>
  <c r="BQ12" i="34"/>
  <c r="CB12" i="34"/>
  <c r="CC12" i="34" s="1"/>
  <c r="BV12" i="34"/>
  <c r="BW12" i="34" s="1"/>
  <c r="BG9" i="34"/>
  <c r="AZ9" i="34"/>
  <c r="BD9" i="34" s="1"/>
  <c r="BA9" i="34"/>
  <c r="BV8" i="34"/>
  <c r="BW8" i="34" s="1"/>
  <c r="CB8" i="34"/>
  <c r="CC8" i="34" s="1"/>
  <c r="BQ8" i="34"/>
  <c r="I10" i="33"/>
  <c r="BS14" i="34"/>
  <c r="BG12" i="34"/>
  <c r="AZ12" i="34"/>
  <c r="BD12" i="34" s="1"/>
  <c r="BA12" i="34"/>
  <c r="D59" i="49"/>
  <c r="L59" i="49" s="1"/>
  <c r="R47" i="49"/>
  <c r="D39" i="49"/>
  <c r="L39" i="49" s="1"/>
  <c r="R27" i="49"/>
  <c r="D44" i="49"/>
  <c r="L44" i="49" s="1"/>
  <c r="R32" i="49"/>
  <c r="D60" i="49"/>
  <c r="L60" i="49" s="1"/>
  <c r="R48" i="49"/>
  <c r="D55" i="49"/>
  <c r="L55" i="49" s="1"/>
  <c r="R43" i="49"/>
  <c r="D40" i="49"/>
  <c r="L40" i="49" s="1"/>
  <c r="R28" i="49"/>
  <c r="D54" i="49"/>
  <c r="L54" i="49" s="1"/>
  <c r="R42" i="49"/>
  <c r="D46" i="49"/>
  <c r="L46" i="49" s="1"/>
  <c r="R34" i="49"/>
  <c r="D45" i="49"/>
  <c r="L45" i="49" s="1"/>
  <c r="R33" i="49"/>
  <c r="D53" i="49"/>
  <c r="L53" i="49" s="1"/>
  <c r="R41" i="49"/>
  <c r="D61" i="49"/>
  <c r="L61" i="49" s="1"/>
  <c r="R49" i="49"/>
  <c r="D38" i="49"/>
  <c r="L38" i="49" s="1"/>
  <c r="R26" i="49"/>
  <c r="AB32" i="48"/>
  <c r="AB33" i="48"/>
  <c r="D55" i="48"/>
  <c r="Q55" i="48" s="1"/>
  <c r="E58" i="48"/>
  <c r="R58" i="48" s="1"/>
  <c r="E49" i="48"/>
  <c r="R49" i="48" s="1"/>
  <c r="D57" i="48"/>
  <c r="Q57" i="48" s="1"/>
  <c r="E50" i="48"/>
  <c r="R50" i="48" s="1"/>
  <c r="E41" i="48"/>
  <c r="R41" i="48" s="1"/>
  <c r="AB29" i="48"/>
  <c r="E56" i="48"/>
  <c r="R56" i="48" s="1"/>
  <c r="E48" i="48"/>
  <c r="R48" i="48" s="1"/>
  <c r="D56" i="48"/>
  <c r="Q56" i="48" s="1"/>
  <c r="AB44" i="48"/>
  <c r="E52" i="48"/>
  <c r="R52" i="48" s="1"/>
  <c r="D54" i="48"/>
  <c r="Q54" i="48" s="1"/>
  <c r="E57" i="48"/>
  <c r="R57" i="48" s="1"/>
  <c r="E42" i="48"/>
  <c r="R42" i="48" s="1"/>
  <c r="AB30" i="48"/>
  <c r="D52" i="48"/>
  <c r="Q52" i="48" s="1"/>
  <c r="AB40" i="48"/>
  <c r="AB37" i="48"/>
  <c r="D51" i="48"/>
  <c r="Q51" i="48" s="1"/>
  <c r="AB24" i="48"/>
  <c r="E43" i="48"/>
  <c r="R43" i="48" s="1"/>
  <c r="AB31" i="48"/>
  <c r="E47" i="48"/>
  <c r="R47" i="48" s="1"/>
  <c r="AB35" i="48"/>
  <c r="D38" i="48"/>
  <c r="Q38" i="48" s="1"/>
  <c r="AB26" i="48"/>
  <c r="AB34" i="48"/>
  <c r="D46" i="48"/>
  <c r="Q46" i="48" s="1"/>
  <c r="D61" i="48"/>
  <c r="Q61" i="48" s="1"/>
  <c r="D59" i="48"/>
  <c r="Q59" i="48" s="1"/>
  <c r="D53" i="48"/>
  <c r="Q53" i="48" s="1"/>
  <c r="E51" i="48"/>
  <c r="R51" i="48" s="1"/>
  <c r="AB27" i="48"/>
  <c r="D48" i="48"/>
  <c r="Q48" i="48" s="1"/>
  <c r="D5" i="40"/>
  <c r="D6" i="40"/>
  <c r="AR7" i="40"/>
  <c r="AR14" i="40"/>
  <c r="T21" i="22"/>
  <c r="I19" i="39"/>
  <c r="I20" i="39"/>
  <c r="AO8" i="39"/>
  <c r="C37" i="33"/>
  <c r="AG10" i="39"/>
  <c r="AH10" i="39"/>
  <c r="AF11" i="39"/>
  <c r="F20" i="39"/>
  <c r="F19" i="39"/>
  <c r="F18" i="39"/>
  <c r="AJ8" i="39"/>
  <c r="AM9" i="39"/>
  <c r="AN9" i="39"/>
  <c r="AL10" i="39"/>
  <c r="AI9" i="39"/>
  <c r="R35" i="19"/>
  <c r="F69" i="21"/>
  <c r="F70" i="21" s="1"/>
  <c r="L32" i="21"/>
  <c r="C43" i="21" s="1"/>
  <c r="F25" i="20"/>
  <c r="G25" i="20" s="1"/>
  <c r="D14" i="40"/>
  <c r="G83" i="40"/>
  <c r="G54" i="40" s="1"/>
  <c r="G82" i="40"/>
  <c r="G53" i="40" s="1"/>
  <c r="P24" i="19"/>
  <c r="AR5" i="40"/>
  <c r="D7" i="40"/>
  <c r="F36" i="21"/>
  <c r="AJ11" i="19"/>
  <c r="BG11" i="40"/>
  <c r="AG13" i="19"/>
  <c r="AI12" i="19"/>
  <c r="BH10" i="40"/>
  <c r="E37" i="21"/>
  <c r="BN10" i="40"/>
  <c r="AP10" i="19"/>
  <c r="K47" i="40"/>
  <c r="K76" i="40" s="1"/>
  <c r="K32" i="21"/>
  <c r="AK11" i="19"/>
  <c r="AM12" i="19"/>
  <c r="AO11" i="19"/>
  <c r="BO9" i="40"/>
  <c r="L47" i="40" s="1"/>
  <c r="L76" i="40" s="1"/>
  <c r="AK10" i="19"/>
  <c r="AR6" i="40"/>
  <c r="Q34" i="29"/>
  <c r="AB21" i="29"/>
  <c r="T22" i="27"/>
  <c r="AK5" i="40"/>
  <c r="AB19" i="29"/>
  <c r="AB20" i="29"/>
  <c r="V19" i="23"/>
  <c r="L36" i="31"/>
  <c r="R36" i="31" s="1"/>
  <c r="V23" i="28"/>
  <c r="AB24" i="46"/>
  <c r="T25" i="27"/>
  <c r="AB14" i="24"/>
  <c r="V24" i="23"/>
  <c r="AB22" i="46"/>
  <c r="AB18" i="24"/>
  <c r="V17" i="23"/>
  <c r="AB15" i="46"/>
  <c r="T25" i="22"/>
  <c r="AB24" i="24"/>
  <c r="V17" i="28"/>
  <c r="T17" i="27"/>
  <c r="T20" i="22"/>
  <c r="AB15" i="29"/>
  <c r="G5" i="34"/>
  <c r="I5" i="34" s="1"/>
  <c r="T19" i="27"/>
  <c r="V23" i="23"/>
  <c r="AB15" i="24"/>
  <c r="AB18" i="46"/>
  <c r="V15" i="23"/>
  <c r="Y14" i="19"/>
  <c r="T23" i="27"/>
  <c r="AB22" i="24"/>
  <c r="V14" i="23"/>
  <c r="V14" i="28"/>
  <c r="P5" i="34"/>
  <c r="R5" i="34" s="1"/>
  <c r="AR6" i="18"/>
  <c r="AV6" i="18" s="1"/>
  <c r="AB17" i="46"/>
  <c r="V20" i="23"/>
  <c r="T18" i="22"/>
  <c r="V15" i="28"/>
  <c r="T36" i="27"/>
  <c r="T16" i="27"/>
  <c r="V19" i="28"/>
  <c r="T17" i="22"/>
  <c r="Y5" i="34"/>
  <c r="AB5" i="34" s="1"/>
  <c r="T23" i="22"/>
  <c r="T22" i="22"/>
  <c r="T24" i="22"/>
  <c r="AB14" i="46"/>
  <c r="AB16" i="29"/>
  <c r="V25" i="28"/>
  <c r="F10" i="19"/>
  <c r="E29" i="19" s="1"/>
  <c r="T15" i="22"/>
  <c r="V16" i="28"/>
  <c r="V18" i="23"/>
  <c r="AB36" i="29"/>
  <c r="T16" i="22"/>
  <c r="V22" i="23"/>
  <c r="AB25" i="24"/>
  <c r="P5" i="18"/>
  <c r="R5" i="18" s="1"/>
  <c r="Q5" i="40" s="1"/>
  <c r="G28" i="40" s="1"/>
  <c r="AB20" i="24"/>
  <c r="AB25" i="46"/>
  <c r="AB20" i="46"/>
  <c r="O26" i="23"/>
  <c r="E38" i="23"/>
  <c r="R26" i="46"/>
  <c r="E38" i="46"/>
  <c r="E38" i="24"/>
  <c r="R26" i="24"/>
  <c r="F14" i="19"/>
  <c r="S86" i="43"/>
  <c r="W65" i="16"/>
  <c r="Y65" i="16" s="1"/>
  <c r="X122" i="12"/>
  <c r="J16" i="16" s="1"/>
  <c r="V25" i="23"/>
  <c r="L38" i="47"/>
  <c r="R38" i="47" s="1"/>
  <c r="D50" i="47"/>
  <c r="V36" i="28"/>
  <c r="T15" i="27"/>
  <c r="M63" i="16"/>
  <c r="O63" i="16" s="1"/>
  <c r="E39" i="22"/>
  <c r="N27" i="22"/>
  <c r="N37" i="22"/>
  <c r="E49" i="22"/>
  <c r="AC2" i="45"/>
  <c r="M58" i="16"/>
  <c r="O58" i="16" s="1"/>
  <c r="M28" i="22"/>
  <c r="D40" i="22"/>
  <c r="AC98" i="45"/>
  <c r="M66" i="16"/>
  <c r="O66" i="16" s="1"/>
  <c r="E42" i="46"/>
  <c r="R30" i="46"/>
  <c r="E41" i="23"/>
  <c r="O29" i="23"/>
  <c r="D44" i="46"/>
  <c r="Q32" i="46"/>
  <c r="N37" i="27"/>
  <c r="E49" i="27"/>
  <c r="D46" i="26"/>
  <c r="L34" i="26"/>
  <c r="R34" i="26" s="1"/>
  <c r="N28" i="22"/>
  <c r="E40" i="22"/>
  <c r="D40" i="47"/>
  <c r="L28" i="47"/>
  <c r="R28" i="47" s="1"/>
  <c r="R30" i="24"/>
  <c r="E42" i="24"/>
  <c r="R27" i="24"/>
  <c r="E39" i="24"/>
  <c r="D42" i="47"/>
  <c r="L30" i="47"/>
  <c r="R30" i="47" s="1"/>
  <c r="K6" i="33"/>
  <c r="D48" i="46"/>
  <c r="Q36" i="46"/>
  <c r="L28" i="26"/>
  <c r="R28" i="26" s="1"/>
  <c r="D40" i="26"/>
  <c r="Q28" i="24"/>
  <c r="D40" i="24"/>
  <c r="N30" i="22"/>
  <c r="E42" i="22"/>
  <c r="R48" i="29"/>
  <c r="E60" i="29"/>
  <c r="N36" i="23"/>
  <c r="D48" i="23"/>
  <c r="O34" i="23"/>
  <c r="E46" i="23"/>
  <c r="D49" i="26"/>
  <c r="L37" i="26"/>
  <c r="R37" i="26" s="1"/>
  <c r="E43" i="28"/>
  <c r="O31" i="28"/>
  <c r="E49" i="28"/>
  <c r="O37" i="28"/>
  <c r="S99" i="43"/>
  <c r="W66" i="16"/>
  <c r="Y66" i="16" s="1"/>
  <c r="E40" i="27"/>
  <c r="N28" i="27"/>
  <c r="N34" i="22"/>
  <c r="E46" i="22"/>
  <c r="L6" i="33"/>
  <c r="M36" i="22"/>
  <c r="D48" i="22"/>
  <c r="G5" i="18"/>
  <c r="I5" i="18" s="1"/>
  <c r="L5" i="40" s="1"/>
  <c r="F28" i="40" s="1"/>
  <c r="Y10" i="19"/>
  <c r="F13" i="19"/>
  <c r="E32" i="19" s="1"/>
  <c r="Y5" i="18"/>
  <c r="AB5" i="18" s="1"/>
  <c r="R34" i="24"/>
  <c r="E46" i="24"/>
  <c r="N35" i="27"/>
  <c r="E47" i="27"/>
  <c r="N31" i="27"/>
  <c r="E43" i="27"/>
  <c r="E40" i="23"/>
  <c r="O28" i="23"/>
  <c r="D40" i="23"/>
  <c r="N28" i="23"/>
  <c r="S38" i="43"/>
  <c r="W61" i="16"/>
  <c r="Y61" i="16" s="1"/>
  <c r="E49" i="23"/>
  <c r="O37" i="23"/>
  <c r="D49" i="47"/>
  <c r="L37" i="47"/>
  <c r="R37" i="47" s="1"/>
  <c r="L28" i="31"/>
  <c r="R28" i="31" s="1"/>
  <c r="D40" i="31"/>
  <c r="L30" i="26"/>
  <c r="R30" i="26" s="1"/>
  <c r="D42" i="26"/>
  <c r="E47" i="28"/>
  <c r="O35" i="28"/>
  <c r="O27" i="23"/>
  <c r="E39" i="23"/>
  <c r="E40" i="46"/>
  <c r="R28" i="46"/>
  <c r="E49" i="46"/>
  <c r="R37" i="46"/>
  <c r="D41" i="47"/>
  <c r="L29" i="47"/>
  <c r="R29" i="47" s="1"/>
  <c r="E39" i="46"/>
  <c r="R27" i="46"/>
  <c r="T21" i="27"/>
  <c r="AB19" i="46"/>
  <c r="E40" i="29"/>
  <c r="R28" i="29"/>
  <c r="D40" i="46"/>
  <c r="Q28" i="46"/>
  <c r="N32" i="23"/>
  <c r="D44" i="23"/>
  <c r="R29" i="46"/>
  <c r="E41" i="46"/>
  <c r="D39" i="47"/>
  <c r="L27" i="47"/>
  <c r="R27" i="47" s="1"/>
  <c r="E41" i="22"/>
  <c r="N29" i="22"/>
  <c r="R37" i="24"/>
  <c r="E49" i="24"/>
  <c r="R28" i="24"/>
  <c r="E40" i="24"/>
  <c r="E41" i="27"/>
  <c r="N29" i="27"/>
  <c r="M32" i="22"/>
  <c r="D44" i="22"/>
  <c r="L27" i="26"/>
  <c r="R27" i="26" s="1"/>
  <c r="D39" i="26"/>
  <c r="R34" i="46"/>
  <c r="E46" i="46"/>
  <c r="N38" i="22"/>
  <c r="E50" i="22"/>
  <c r="D44" i="24"/>
  <c r="Q32" i="24"/>
  <c r="AB16" i="46"/>
  <c r="E41" i="28"/>
  <c r="O29" i="28"/>
  <c r="D46" i="47"/>
  <c r="L34" i="47"/>
  <c r="R34" i="47" s="1"/>
  <c r="D48" i="24"/>
  <c r="Q36" i="24"/>
  <c r="E40" i="28"/>
  <c r="O28" i="28"/>
  <c r="E42" i="23"/>
  <c r="O30" i="23"/>
  <c r="D10" i="40"/>
  <c r="AR10" i="40"/>
  <c r="L31" i="26"/>
  <c r="R31" i="26" s="1"/>
  <c r="D43" i="26"/>
  <c r="BN16" i="18"/>
  <c r="N32" i="27"/>
  <c r="E44" i="27"/>
  <c r="Y15" i="16"/>
  <c r="D49" i="24"/>
  <c r="Q37" i="24"/>
  <c r="D49" i="29"/>
  <c r="Q37" i="29"/>
  <c r="AB37" i="29" s="1"/>
  <c r="D46" i="22"/>
  <c r="M34" i="22"/>
  <c r="D41" i="29"/>
  <c r="Q29" i="29"/>
  <c r="AB29" i="29" s="1"/>
  <c r="E38" i="27"/>
  <c r="N26" i="27"/>
  <c r="T26" i="27" s="1"/>
  <c r="D41" i="24"/>
  <c r="Q29" i="24"/>
  <c r="AB29" i="24" s="1"/>
  <c r="S14" i="43"/>
  <c r="W59" i="16"/>
  <c r="Y59" i="16" s="1"/>
  <c r="D60" i="28"/>
  <c r="N48" i="28"/>
  <c r="D60" i="27"/>
  <c r="M48" i="27"/>
  <c r="M38" i="27"/>
  <c r="D50" i="27"/>
  <c r="Y13" i="19"/>
  <c r="Y12" i="19"/>
  <c r="V20" i="28"/>
  <c r="AR9" i="40"/>
  <c r="D9" i="40"/>
  <c r="R36" i="24"/>
  <c r="E48" i="24"/>
  <c r="D45" i="29"/>
  <c r="Q33" i="29"/>
  <c r="D62" i="26"/>
  <c r="L50" i="26"/>
  <c r="R50" i="26" s="1"/>
  <c r="D38" i="23"/>
  <c r="N26" i="23"/>
  <c r="S30" i="43"/>
  <c r="W60" i="16"/>
  <c r="Y60" i="16" s="1"/>
  <c r="D53" i="26"/>
  <c r="L41" i="26"/>
  <c r="R41" i="26" s="1"/>
  <c r="D45" i="28"/>
  <c r="N33" i="28"/>
  <c r="S8" i="43"/>
  <c r="W58" i="16"/>
  <c r="Y58" i="16" s="1"/>
  <c r="D40" i="28"/>
  <c r="N28" i="28"/>
  <c r="D44" i="47"/>
  <c r="L32" i="47"/>
  <c r="R32" i="47" s="1"/>
  <c r="D43" i="24"/>
  <c r="Q31" i="24"/>
  <c r="D38" i="31"/>
  <c r="L26" i="31"/>
  <c r="R26" i="31" s="1"/>
  <c r="E39" i="27"/>
  <c r="N27" i="27"/>
  <c r="Q33" i="46"/>
  <c r="D45" i="46"/>
  <c r="D61" i="31"/>
  <c r="L49" i="31"/>
  <c r="R49" i="31" s="1"/>
  <c r="D45" i="22"/>
  <c r="M33" i="22"/>
  <c r="E45" i="22"/>
  <c r="N33" i="22"/>
  <c r="R36" i="46"/>
  <c r="E48" i="46"/>
  <c r="F8" i="19"/>
  <c r="E27" i="19" s="1"/>
  <c r="F7" i="19"/>
  <c r="E26" i="19" s="1"/>
  <c r="D41" i="22"/>
  <c r="M29" i="22"/>
  <c r="E39" i="29"/>
  <c r="R27" i="29"/>
  <c r="D60" i="29"/>
  <c r="Q48" i="29"/>
  <c r="E45" i="29"/>
  <c r="R33" i="29"/>
  <c r="AB23" i="24"/>
  <c r="D47" i="29"/>
  <c r="Q35" i="29"/>
  <c r="AB35" i="29" s="1"/>
  <c r="N29" i="28"/>
  <c r="D41" i="28"/>
  <c r="BN15" i="18"/>
  <c r="E44" i="23"/>
  <c r="O32" i="23"/>
  <c r="O33" i="23"/>
  <c r="E45" i="23"/>
  <c r="E38" i="29"/>
  <c r="R26" i="29"/>
  <c r="AB26" i="29" s="1"/>
  <c r="D39" i="24"/>
  <c r="Q27" i="24"/>
  <c r="D48" i="26"/>
  <c r="L36" i="26"/>
  <c r="R36" i="26" s="1"/>
  <c r="M29" i="27"/>
  <c r="D41" i="27"/>
  <c r="J15" i="16"/>
  <c r="S122" i="15"/>
  <c r="Y16" i="16" s="1"/>
  <c r="D44" i="31"/>
  <c r="L32" i="31"/>
  <c r="R32" i="31" s="1"/>
  <c r="D44" i="29"/>
  <c r="Q32" i="29"/>
  <c r="D49" i="28"/>
  <c r="N37" i="28"/>
  <c r="D39" i="31"/>
  <c r="L27" i="31"/>
  <c r="R27" i="31" s="1"/>
  <c r="D46" i="46"/>
  <c r="Q34" i="46"/>
  <c r="E44" i="28"/>
  <c r="O32" i="28"/>
  <c r="E59" i="29"/>
  <c r="R47" i="29"/>
  <c r="O31" i="23"/>
  <c r="E43" i="23"/>
  <c r="D58" i="27"/>
  <c r="M46" i="27"/>
  <c r="E47" i="24"/>
  <c r="R35" i="24"/>
  <c r="D44" i="28"/>
  <c r="N32" i="28"/>
  <c r="S78" i="43"/>
  <c r="W64" i="16"/>
  <c r="Y64" i="16" s="1"/>
  <c r="D43" i="27"/>
  <c r="M31" i="27"/>
  <c r="E46" i="28"/>
  <c r="O34" i="28"/>
  <c r="V34" i="28" s="1"/>
  <c r="D40" i="27"/>
  <c r="M28" i="27"/>
  <c r="Q26" i="24"/>
  <c r="D38" i="24"/>
  <c r="AR6" i="34"/>
  <c r="AV6" i="34" s="1"/>
  <c r="D39" i="46"/>
  <c r="Q27" i="46"/>
  <c r="D45" i="27"/>
  <c r="M33" i="27"/>
  <c r="AB21" i="46"/>
  <c r="L35" i="26"/>
  <c r="R35" i="26" s="1"/>
  <c r="D47" i="26"/>
  <c r="D49" i="22"/>
  <c r="M37" i="22"/>
  <c r="T19" i="22"/>
  <c r="D42" i="29"/>
  <c r="Q30" i="29"/>
  <c r="AB30" i="29" s="1"/>
  <c r="E46" i="29"/>
  <c r="R34" i="29"/>
  <c r="D42" i="23"/>
  <c r="N30" i="23"/>
  <c r="M61" i="16"/>
  <c r="O61" i="16" s="1"/>
  <c r="AC38" i="45"/>
  <c r="O35" i="23"/>
  <c r="E47" i="23"/>
  <c r="Q30" i="24"/>
  <c r="D42" i="24"/>
  <c r="M65" i="16"/>
  <c r="O65" i="16" s="1"/>
  <c r="AC86" i="45"/>
  <c r="D47" i="47"/>
  <c r="L35" i="47"/>
  <c r="R35" i="47" s="1"/>
  <c r="D40" i="29"/>
  <c r="Q28" i="29"/>
  <c r="D47" i="24"/>
  <c r="Q35" i="24"/>
  <c r="D54" i="31"/>
  <c r="L42" i="31"/>
  <c r="R42" i="31" s="1"/>
  <c r="D43" i="46"/>
  <c r="Q31" i="46"/>
  <c r="E43" i="24"/>
  <c r="R31" i="24"/>
  <c r="M60" i="16"/>
  <c r="O60" i="16" s="1"/>
  <c r="S112" i="43"/>
  <c r="W67" i="16"/>
  <c r="Y67" i="16" s="1"/>
  <c r="E15" i="16"/>
  <c r="AC116" i="45"/>
  <c r="M67" i="16"/>
  <c r="O67" i="16" s="1"/>
  <c r="E47" i="46"/>
  <c r="R35" i="46"/>
  <c r="N33" i="27"/>
  <c r="E45" i="27"/>
  <c r="N42" i="27"/>
  <c r="E54" i="27"/>
  <c r="Y9" i="19"/>
  <c r="Y8" i="19"/>
  <c r="D45" i="47"/>
  <c r="L33" i="47"/>
  <c r="R33" i="47" s="1"/>
  <c r="E48" i="22"/>
  <c r="N36" i="22"/>
  <c r="E53" i="29"/>
  <c r="R41" i="29"/>
  <c r="D38" i="22"/>
  <c r="M26" i="22"/>
  <c r="T26" i="22" s="1"/>
  <c r="D42" i="22"/>
  <c r="M30" i="22"/>
  <c r="L32" i="26"/>
  <c r="R32" i="26" s="1"/>
  <c r="D44" i="26"/>
  <c r="D39" i="28"/>
  <c r="N27" i="28"/>
  <c r="D47" i="27"/>
  <c r="M35" i="27"/>
  <c r="R31" i="46"/>
  <c r="E43" i="46"/>
  <c r="E48" i="23"/>
  <c r="O36" i="23"/>
  <c r="D60" i="31"/>
  <c r="L48" i="31"/>
  <c r="R48" i="31" s="1"/>
  <c r="N33" i="23"/>
  <c r="D45" i="23"/>
  <c r="E45" i="28"/>
  <c r="O33" i="28"/>
  <c r="T20" i="27"/>
  <c r="R32" i="24"/>
  <c r="E44" i="24"/>
  <c r="D43" i="47"/>
  <c r="L31" i="47"/>
  <c r="R31" i="47" s="1"/>
  <c r="M27" i="22"/>
  <c r="D39" i="22"/>
  <c r="D50" i="28"/>
  <c r="N38" i="28"/>
  <c r="AR8" i="40"/>
  <c r="D8" i="40"/>
  <c r="Q34" i="24"/>
  <c r="D46" i="24"/>
  <c r="AC20" i="45"/>
  <c r="M59" i="16"/>
  <c r="O59" i="16" s="1"/>
  <c r="D43" i="29"/>
  <c r="Q31" i="29"/>
  <c r="AB31" i="29" s="1"/>
  <c r="E43" i="22"/>
  <c r="N31" i="22"/>
  <c r="D48" i="47"/>
  <c r="L36" i="47"/>
  <c r="R36" i="47" s="1"/>
  <c r="D46" i="31"/>
  <c r="L34" i="31"/>
  <c r="R34" i="31" s="1"/>
  <c r="D55" i="31"/>
  <c r="L43" i="31"/>
  <c r="R43" i="31" s="1"/>
  <c r="N35" i="23"/>
  <c r="D47" i="23"/>
  <c r="D39" i="27"/>
  <c r="M27" i="27"/>
  <c r="D45" i="24"/>
  <c r="Q33" i="24"/>
  <c r="E45" i="24"/>
  <c r="R33" i="24"/>
  <c r="T15" i="16"/>
  <c r="Q37" i="46"/>
  <c r="D49" i="46"/>
  <c r="E44" i="46"/>
  <c r="R32" i="46"/>
  <c r="E45" i="46"/>
  <c r="R33" i="46"/>
  <c r="D50" i="29"/>
  <c r="Q38" i="29"/>
  <c r="D53" i="31"/>
  <c r="L41" i="31"/>
  <c r="R41" i="31" s="1"/>
  <c r="E54" i="28"/>
  <c r="O42" i="28"/>
  <c r="S52" i="43"/>
  <c r="W62" i="16"/>
  <c r="Y62" i="16" s="1"/>
  <c r="AB23" i="46"/>
  <c r="D43" i="22"/>
  <c r="M31" i="22"/>
  <c r="O15" i="16"/>
  <c r="N37" i="23"/>
  <c r="D49" i="23"/>
  <c r="D49" i="27"/>
  <c r="M37" i="27"/>
  <c r="N48" i="27"/>
  <c r="E60" i="27"/>
  <c r="BC6" i="18"/>
  <c r="BE5" i="18"/>
  <c r="Y7" i="19"/>
  <c r="E54" i="29"/>
  <c r="R42" i="29"/>
  <c r="D42" i="28"/>
  <c r="N30" i="28"/>
  <c r="V30" i="28" s="1"/>
  <c r="E61" i="29"/>
  <c r="R49" i="29"/>
  <c r="V122" i="11"/>
  <c r="E16" i="16" s="1"/>
  <c r="Q29" i="46"/>
  <c r="D41" i="46"/>
  <c r="BN14" i="18"/>
  <c r="D47" i="22"/>
  <c r="M35" i="22"/>
  <c r="D43" i="23"/>
  <c r="N31" i="23"/>
  <c r="AR12" i="40"/>
  <c r="D12" i="40"/>
  <c r="D47" i="28"/>
  <c r="N35" i="28"/>
  <c r="AR11" i="40"/>
  <c r="D11" i="40"/>
  <c r="N34" i="27"/>
  <c r="T34" i="27" s="1"/>
  <c r="E46" i="27"/>
  <c r="S62" i="43"/>
  <c r="W63" i="16"/>
  <c r="Y63" i="16" s="1"/>
  <c r="D59" i="31"/>
  <c r="L47" i="31"/>
  <c r="R47" i="31" s="1"/>
  <c r="Q30" i="46"/>
  <c r="D42" i="46"/>
  <c r="E44" i="22"/>
  <c r="N32" i="22"/>
  <c r="D39" i="29"/>
  <c r="Q27" i="29"/>
  <c r="E47" i="22"/>
  <c r="N35" i="22"/>
  <c r="D58" i="29"/>
  <c r="Q46" i="29"/>
  <c r="E55" i="29"/>
  <c r="R43" i="29"/>
  <c r="V21" i="23"/>
  <c r="D44" i="27"/>
  <c r="M32" i="27"/>
  <c r="E53" i="24"/>
  <c r="R41" i="24"/>
  <c r="E60" i="28"/>
  <c r="O48" i="28"/>
  <c r="D45" i="31"/>
  <c r="L33" i="31"/>
  <c r="R33" i="31" s="1"/>
  <c r="Y11" i="19"/>
  <c r="D39" i="23"/>
  <c r="N27" i="23"/>
  <c r="V21" i="28"/>
  <c r="M64" i="16"/>
  <c r="O64" i="16" s="1"/>
  <c r="AC76" i="45"/>
  <c r="AB19" i="24"/>
  <c r="D42" i="27"/>
  <c r="M30" i="27"/>
  <c r="T30" i="27" s="1"/>
  <c r="S122" i="14"/>
  <c r="T16" i="16" s="1"/>
  <c r="F9" i="19"/>
  <c r="E28" i="19" s="1"/>
  <c r="Q26" i="46"/>
  <c r="D38" i="46"/>
  <c r="O27" i="28"/>
  <c r="E39" i="28"/>
  <c r="Q35" i="46"/>
  <c r="D47" i="46"/>
  <c r="D43" i="28"/>
  <c r="N31" i="28"/>
  <c r="E38" i="28"/>
  <c r="O26" i="28"/>
  <c r="V26" i="28" s="1"/>
  <c r="AR13" i="40"/>
  <c r="D13" i="40"/>
  <c r="AD122" i="13"/>
  <c r="O16" i="16" s="1"/>
  <c r="F12" i="19"/>
  <c r="E31" i="19" s="1"/>
  <c r="F11" i="19"/>
  <c r="E30" i="19" s="1"/>
  <c r="D41" i="23"/>
  <c r="N29" i="23"/>
  <c r="E44" i="29"/>
  <c r="R32" i="29"/>
  <c r="D58" i="28"/>
  <c r="N46" i="28"/>
  <c r="D46" i="23"/>
  <c r="N34" i="23"/>
  <c r="L33" i="26"/>
  <c r="R33" i="26" s="1"/>
  <c r="D45" i="26"/>
  <c r="AY6" i="34" l="1"/>
  <c r="AY11" i="34"/>
  <c r="F8" i="33" s="1"/>
  <c r="E38" i="21"/>
  <c r="C38" i="33"/>
  <c r="AY10" i="34"/>
  <c r="E8" i="33" s="1"/>
  <c r="AY12" i="34"/>
  <c r="G8" i="33" s="1"/>
  <c r="BS15" i="34"/>
  <c r="BT14" i="34"/>
  <c r="C11" i="33"/>
  <c r="BY8" i="34"/>
  <c r="BZ8" i="34" s="1"/>
  <c r="BH9" i="34"/>
  <c r="BI9" i="34"/>
  <c r="BM9" i="34" s="1"/>
  <c r="CF14" i="34"/>
  <c r="J12" i="33" s="1"/>
  <c r="CE15" i="34"/>
  <c r="BY15" i="34"/>
  <c r="BZ14" i="34"/>
  <c r="H10" i="33"/>
  <c r="BS13" i="34"/>
  <c r="BT13" i="34" s="1"/>
  <c r="F12" i="33"/>
  <c r="CE11" i="34"/>
  <c r="CF11" i="34" s="1"/>
  <c r="BC5" i="34"/>
  <c r="AY8" i="34"/>
  <c r="C8" i="33" s="1"/>
  <c r="I9" i="33"/>
  <c r="I13" i="33" s="1"/>
  <c r="BJ14" i="34"/>
  <c r="BH13" i="34"/>
  <c r="BI13" i="34"/>
  <c r="BM13" i="34" s="1"/>
  <c r="BH7" i="34"/>
  <c r="BI7" i="34"/>
  <c r="BM7" i="34" s="1"/>
  <c r="BY12" i="34"/>
  <c r="BZ12" i="34" s="1"/>
  <c r="G11" i="33"/>
  <c r="BH11" i="34"/>
  <c r="BI11" i="34"/>
  <c r="BM11" i="34" s="1"/>
  <c r="BS9" i="34"/>
  <c r="D10" i="33"/>
  <c r="BS11" i="34"/>
  <c r="F10" i="33"/>
  <c r="AY13" i="34"/>
  <c r="H8" i="33" s="1"/>
  <c r="AY7" i="34"/>
  <c r="E10" i="33"/>
  <c r="BS10" i="34"/>
  <c r="BS8" i="34"/>
  <c r="C10" i="33"/>
  <c r="AY9" i="34"/>
  <c r="D8" i="33" s="1"/>
  <c r="CE12" i="34"/>
  <c r="CF12" i="34" s="1"/>
  <c r="G12" i="33"/>
  <c r="D12" i="33"/>
  <c r="CE9" i="34"/>
  <c r="CF9" i="34" s="1"/>
  <c r="H12" i="33"/>
  <c r="CE13" i="34"/>
  <c r="CF13" i="34" s="1"/>
  <c r="BY11" i="34"/>
  <c r="BZ11" i="34" s="1"/>
  <c r="F11" i="33"/>
  <c r="BH6" i="34"/>
  <c r="BI6" i="34"/>
  <c r="BM6" i="34" s="1"/>
  <c r="BH8" i="34"/>
  <c r="BI8" i="34"/>
  <c r="BM8" i="34" s="1"/>
  <c r="E12" i="33"/>
  <c r="CE10" i="34"/>
  <c r="CF10" i="34" s="1"/>
  <c r="BH12" i="34"/>
  <c r="BI12" i="34"/>
  <c r="BM12" i="34" s="1"/>
  <c r="CE8" i="34"/>
  <c r="CF8" i="34" s="1"/>
  <c r="C12" i="33"/>
  <c r="G10" i="33"/>
  <c r="BS12" i="34"/>
  <c r="BT12" i="34" s="1"/>
  <c r="D11" i="33"/>
  <c r="BY9" i="34"/>
  <c r="BZ9" i="34" s="1"/>
  <c r="H11" i="33"/>
  <c r="BY13" i="34"/>
  <c r="BZ13" i="34" s="1"/>
  <c r="BH10" i="34"/>
  <c r="BI10" i="34"/>
  <c r="BM10" i="34" s="1"/>
  <c r="BY10" i="34"/>
  <c r="BZ10" i="34" s="1"/>
  <c r="E11" i="33"/>
  <c r="D50" i="49"/>
  <c r="L50" i="49" s="1"/>
  <c r="R38" i="49"/>
  <c r="D65" i="49"/>
  <c r="L65" i="49" s="1"/>
  <c r="R53" i="49"/>
  <c r="D58" i="49"/>
  <c r="L58" i="49" s="1"/>
  <c r="R46" i="49"/>
  <c r="D52" i="49"/>
  <c r="L52" i="49" s="1"/>
  <c r="R40" i="49"/>
  <c r="D72" i="49"/>
  <c r="L72" i="49" s="1"/>
  <c r="R60" i="49"/>
  <c r="D51" i="49"/>
  <c r="L51" i="49" s="1"/>
  <c r="R39" i="49"/>
  <c r="D73" i="49"/>
  <c r="L73" i="49" s="1"/>
  <c r="R61" i="49"/>
  <c r="D57" i="49"/>
  <c r="L57" i="49" s="1"/>
  <c r="R45" i="49"/>
  <c r="D66" i="49"/>
  <c r="L66" i="49" s="1"/>
  <c r="R54" i="49"/>
  <c r="D67" i="49"/>
  <c r="L67" i="49" s="1"/>
  <c r="R55" i="49"/>
  <c r="D56" i="49"/>
  <c r="L56" i="49" s="1"/>
  <c r="R44" i="49"/>
  <c r="D71" i="49"/>
  <c r="L71" i="49" s="1"/>
  <c r="R59" i="49"/>
  <c r="AB45" i="48"/>
  <c r="AB36" i="48"/>
  <c r="E63" i="48"/>
  <c r="R63" i="48" s="1"/>
  <c r="D71" i="48"/>
  <c r="Q71" i="48" s="1"/>
  <c r="D58" i="48"/>
  <c r="Q58" i="48" s="1"/>
  <c r="AB46" i="48"/>
  <c r="AB38" i="48"/>
  <c r="D50" i="48"/>
  <c r="Q50" i="48" s="1"/>
  <c r="E55" i="48"/>
  <c r="R55" i="48" s="1"/>
  <c r="AB43" i="48"/>
  <c r="D64" i="48"/>
  <c r="Q64" i="48" s="1"/>
  <c r="E69" i="48"/>
  <c r="R69" i="48" s="1"/>
  <c r="E64" i="48"/>
  <c r="R64" i="48" s="1"/>
  <c r="E60" i="48"/>
  <c r="R60" i="48" s="1"/>
  <c r="E53" i="48"/>
  <c r="R53" i="48" s="1"/>
  <c r="AB41" i="48"/>
  <c r="D69" i="48"/>
  <c r="Q69" i="48" s="1"/>
  <c r="AB57" i="48"/>
  <c r="E70" i="48"/>
  <c r="R70" i="48" s="1"/>
  <c r="AB39" i="48"/>
  <c r="D60" i="48"/>
  <c r="Q60" i="48" s="1"/>
  <c r="E61" i="48"/>
  <c r="R61" i="48" s="1"/>
  <c r="AB49" i="48"/>
  <c r="D67" i="48"/>
  <c r="Q67" i="48" s="1"/>
  <c r="D65" i="48"/>
  <c r="Q65" i="48" s="1"/>
  <c r="D73" i="48"/>
  <c r="Q73" i="48" s="1"/>
  <c r="E59" i="48"/>
  <c r="R59" i="48" s="1"/>
  <c r="AB47" i="48"/>
  <c r="D63" i="48"/>
  <c r="Q63" i="48" s="1"/>
  <c r="E54" i="48"/>
  <c r="R54" i="48" s="1"/>
  <c r="AB42" i="48"/>
  <c r="D66" i="48"/>
  <c r="Q66" i="48" s="1"/>
  <c r="D68" i="48"/>
  <c r="Q68" i="48" s="1"/>
  <c r="E68" i="48"/>
  <c r="R68" i="48" s="1"/>
  <c r="E62" i="48"/>
  <c r="R62" i="48" s="1"/>
  <c r="C20" i="33"/>
  <c r="E20" i="33" s="1"/>
  <c r="M34" i="40"/>
  <c r="K63" i="40" s="1"/>
  <c r="M35" i="40"/>
  <c r="K64" i="40" s="1"/>
  <c r="M33" i="40"/>
  <c r="K62" i="40" s="1"/>
  <c r="M28" i="40"/>
  <c r="K57" i="40" s="1"/>
  <c r="M37" i="40"/>
  <c r="K66" i="40" s="1"/>
  <c r="M31" i="40"/>
  <c r="K60" i="40" s="1"/>
  <c r="M32" i="40"/>
  <c r="K61" i="40" s="1"/>
  <c r="M36" i="40"/>
  <c r="K65" i="40" s="1"/>
  <c r="L28" i="40"/>
  <c r="J57" i="40" s="1"/>
  <c r="M29" i="40"/>
  <c r="K58" i="40" s="1"/>
  <c r="M30" i="40"/>
  <c r="K59" i="40" s="1"/>
  <c r="D43" i="21"/>
  <c r="E43" i="21" s="1"/>
  <c r="D43" i="33"/>
  <c r="AI10" i="39"/>
  <c r="AN10" i="39"/>
  <c r="AL11" i="39"/>
  <c r="AM10" i="39"/>
  <c r="AJ9" i="39"/>
  <c r="AO9" i="39"/>
  <c r="D38" i="33"/>
  <c r="AJ10" i="39"/>
  <c r="AH11" i="39"/>
  <c r="AG11" i="39"/>
  <c r="AI11" i="39" s="1"/>
  <c r="AF12" i="39"/>
  <c r="AP9" i="39"/>
  <c r="AP8" i="39"/>
  <c r="AF16" i="40"/>
  <c r="AF15" i="40"/>
  <c r="AB18" i="19"/>
  <c r="AC18" i="19" s="1"/>
  <c r="J35" i="21" s="1"/>
  <c r="AB19" i="19"/>
  <c r="AC19" i="19" s="1"/>
  <c r="Q24" i="19"/>
  <c r="AM5" i="40" s="1"/>
  <c r="AK6" i="40"/>
  <c r="P25" i="19"/>
  <c r="Q25" i="19" s="1"/>
  <c r="AM6" i="40" s="1"/>
  <c r="H44" i="40" s="1"/>
  <c r="C24" i="19"/>
  <c r="D24" i="19" s="1"/>
  <c r="Y5" i="40" s="1"/>
  <c r="AB20" i="19"/>
  <c r="AC20" i="19" s="1"/>
  <c r="C28" i="20"/>
  <c r="E28" i="20" s="1"/>
  <c r="AO12" i="19"/>
  <c r="AM13" i="19"/>
  <c r="K48" i="40"/>
  <c r="K77" i="40" s="1"/>
  <c r="G36" i="21"/>
  <c r="AJ12" i="19"/>
  <c r="BG12" i="40"/>
  <c r="BH11" i="40"/>
  <c r="AQ10" i="19"/>
  <c r="AI13" i="19"/>
  <c r="AG14" i="19"/>
  <c r="AI14" i="19" s="1"/>
  <c r="F37" i="21"/>
  <c r="AP11" i="19"/>
  <c r="BN11" i="40"/>
  <c r="BO10" i="40"/>
  <c r="L48" i="40" s="1"/>
  <c r="L77" i="40" s="1"/>
  <c r="AQ11" i="19"/>
  <c r="T37" i="22"/>
  <c r="T27" i="27"/>
  <c r="F57" i="40"/>
  <c r="G57" i="40"/>
  <c r="AB34" i="29"/>
  <c r="AB26" i="46"/>
  <c r="Y6" i="34"/>
  <c r="AB6" i="34" s="1"/>
  <c r="AB26" i="24"/>
  <c r="V31" i="28"/>
  <c r="V34" i="23"/>
  <c r="AB48" i="29"/>
  <c r="T34" i="22"/>
  <c r="T29" i="22"/>
  <c r="AB32" i="46"/>
  <c r="P6" i="34"/>
  <c r="R6" i="34" s="1"/>
  <c r="P6" i="18"/>
  <c r="R6" i="18" s="1"/>
  <c r="Q6" i="40" s="1"/>
  <c r="G29" i="40" s="1"/>
  <c r="G58" i="40" s="1"/>
  <c r="AB30" i="46"/>
  <c r="G6" i="18"/>
  <c r="I6" i="18" s="1"/>
  <c r="L6" i="40" s="1"/>
  <c r="F29" i="40" s="1"/>
  <c r="T37" i="27"/>
  <c r="T35" i="27"/>
  <c r="T36" i="22"/>
  <c r="AB30" i="24"/>
  <c r="V26" i="23"/>
  <c r="Y6" i="18"/>
  <c r="AB6" i="18" s="1"/>
  <c r="T32" i="22"/>
  <c r="V37" i="23"/>
  <c r="AB35" i="24"/>
  <c r="T28" i="27"/>
  <c r="V32" i="28"/>
  <c r="V37" i="28"/>
  <c r="V28" i="23"/>
  <c r="AB27" i="29"/>
  <c r="AB37" i="46"/>
  <c r="AB36" i="24"/>
  <c r="T29" i="27"/>
  <c r="O38" i="23"/>
  <c r="E50" i="23"/>
  <c r="V32" i="23"/>
  <c r="V28" i="28"/>
  <c r="AB33" i="29"/>
  <c r="AB37" i="24"/>
  <c r="E50" i="24"/>
  <c r="R38" i="24"/>
  <c r="AB35" i="46"/>
  <c r="AB27" i="46"/>
  <c r="E50" i="46"/>
  <c r="R38" i="46"/>
  <c r="V30" i="23"/>
  <c r="W5" i="40"/>
  <c r="D62" i="47"/>
  <c r="L50" i="47"/>
  <c r="R50" i="47" s="1"/>
  <c r="V29" i="28"/>
  <c r="V29" i="23"/>
  <c r="AB29" i="46"/>
  <c r="T28" i="22"/>
  <c r="E52" i="28"/>
  <c r="O40" i="28"/>
  <c r="E52" i="24"/>
  <c r="R40" i="24"/>
  <c r="E51" i="46"/>
  <c r="R39" i="46"/>
  <c r="D61" i="26"/>
  <c r="L49" i="26"/>
  <c r="R49" i="26" s="1"/>
  <c r="D52" i="47"/>
  <c r="L40" i="47"/>
  <c r="R40" i="47" s="1"/>
  <c r="T32" i="27"/>
  <c r="AB32" i="24"/>
  <c r="AR7" i="18"/>
  <c r="AV7" i="18" s="1"/>
  <c r="T31" i="27"/>
  <c r="Q44" i="24"/>
  <c r="D56" i="24"/>
  <c r="N41" i="22"/>
  <c r="E53" i="22"/>
  <c r="D52" i="46"/>
  <c r="Q40" i="46"/>
  <c r="AB28" i="46"/>
  <c r="N47" i="27"/>
  <c r="E59" i="27"/>
  <c r="D60" i="22"/>
  <c r="M48" i="22"/>
  <c r="E58" i="22"/>
  <c r="N46" i="22"/>
  <c r="E58" i="23"/>
  <c r="O46" i="23"/>
  <c r="E72" i="29"/>
  <c r="R60" i="29"/>
  <c r="Q40" i="24"/>
  <c r="D52" i="24"/>
  <c r="R42" i="24"/>
  <c r="E54" i="24"/>
  <c r="N40" i="22"/>
  <c r="E52" i="22"/>
  <c r="N49" i="27"/>
  <c r="E61" i="27"/>
  <c r="E52" i="27"/>
  <c r="N40" i="27"/>
  <c r="D58" i="26"/>
  <c r="L46" i="26"/>
  <c r="R46" i="26" s="1"/>
  <c r="D56" i="46"/>
  <c r="Q44" i="46"/>
  <c r="R42" i="46"/>
  <c r="E54" i="46"/>
  <c r="V27" i="23"/>
  <c r="V35" i="28"/>
  <c r="V31" i="23"/>
  <c r="G6" i="34"/>
  <c r="I6" i="34" s="1"/>
  <c r="V33" i="23"/>
  <c r="V36" i="23"/>
  <c r="T30" i="22"/>
  <c r="T33" i="22"/>
  <c r="O42" i="23"/>
  <c r="E54" i="23"/>
  <c r="D60" i="24"/>
  <c r="Q48" i="24"/>
  <c r="E53" i="28"/>
  <c r="O41" i="28"/>
  <c r="E62" i="22"/>
  <c r="N50" i="22"/>
  <c r="D51" i="26"/>
  <c r="L39" i="26"/>
  <c r="R39" i="26" s="1"/>
  <c r="R49" i="24"/>
  <c r="E61" i="24"/>
  <c r="D56" i="23"/>
  <c r="N44" i="23"/>
  <c r="D53" i="47"/>
  <c r="L41" i="47"/>
  <c r="R41" i="47" s="1"/>
  <c r="E52" i="46"/>
  <c r="R40" i="46"/>
  <c r="E59" i="28"/>
  <c r="O47" i="28"/>
  <c r="D61" i="47"/>
  <c r="L49" i="47"/>
  <c r="R49" i="47" s="1"/>
  <c r="E52" i="23"/>
  <c r="O40" i="23"/>
  <c r="E55" i="28"/>
  <c r="O43" i="28"/>
  <c r="AB28" i="24"/>
  <c r="D60" i="46"/>
  <c r="Q48" i="46"/>
  <c r="D54" i="47"/>
  <c r="L42" i="47"/>
  <c r="R42" i="47" s="1"/>
  <c r="E53" i="23"/>
  <c r="O41" i="23"/>
  <c r="E51" i="22"/>
  <c r="N39" i="22"/>
  <c r="D58" i="47"/>
  <c r="L46" i="47"/>
  <c r="R46" i="47" s="1"/>
  <c r="E58" i="46"/>
  <c r="R46" i="46"/>
  <c r="M44" i="22"/>
  <c r="D56" i="22"/>
  <c r="E53" i="46"/>
  <c r="R41" i="46"/>
  <c r="E61" i="46"/>
  <c r="R49" i="46"/>
  <c r="E61" i="23"/>
  <c r="O49" i="23"/>
  <c r="D52" i="23"/>
  <c r="N40" i="23"/>
  <c r="E61" i="28"/>
  <c r="O49" i="28"/>
  <c r="AB34" i="24"/>
  <c r="T27" i="22"/>
  <c r="AB28" i="29"/>
  <c r="AB34" i="46"/>
  <c r="AB27" i="24"/>
  <c r="AB36" i="46"/>
  <c r="E53" i="27"/>
  <c r="N41" i="27"/>
  <c r="D51" i="47"/>
  <c r="L39" i="47"/>
  <c r="R39" i="47" s="1"/>
  <c r="E52" i="29"/>
  <c r="R40" i="29"/>
  <c r="O39" i="23"/>
  <c r="E51" i="23"/>
  <c r="D54" i="26"/>
  <c r="L42" i="26"/>
  <c r="R42" i="26" s="1"/>
  <c r="L40" i="31"/>
  <c r="R40" i="31" s="1"/>
  <c r="D52" i="31"/>
  <c r="E55" i="27"/>
  <c r="N43" i="27"/>
  <c r="R46" i="24"/>
  <c r="E58" i="24"/>
  <c r="D60" i="23"/>
  <c r="N48" i="23"/>
  <c r="E54" i="22"/>
  <c r="N42" i="22"/>
  <c r="D52" i="26"/>
  <c r="L40" i="26"/>
  <c r="R40" i="26" s="1"/>
  <c r="R39" i="24"/>
  <c r="E51" i="24"/>
  <c r="D52" i="22"/>
  <c r="M40" i="22"/>
  <c r="E61" i="22"/>
  <c r="N49" i="22"/>
  <c r="D57" i="26"/>
  <c r="L45" i="26"/>
  <c r="R45" i="26" s="1"/>
  <c r="E56" i="29"/>
  <c r="R44" i="29"/>
  <c r="D59" i="46"/>
  <c r="Q47" i="46"/>
  <c r="D50" i="46"/>
  <c r="Q38" i="46"/>
  <c r="D56" i="27"/>
  <c r="M44" i="27"/>
  <c r="D54" i="46"/>
  <c r="Q42" i="46"/>
  <c r="N46" i="27"/>
  <c r="T46" i="27" s="1"/>
  <c r="E58" i="27"/>
  <c r="T35" i="22"/>
  <c r="Q41" i="46"/>
  <c r="D53" i="46"/>
  <c r="E66" i="29"/>
  <c r="R54" i="29"/>
  <c r="N49" i="23"/>
  <c r="D61" i="23"/>
  <c r="D55" i="22"/>
  <c r="M43" i="22"/>
  <c r="D65" i="31"/>
  <c r="L53" i="31"/>
  <c r="R53" i="31" s="1"/>
  <c r="E57" i="46"/>
  <c r="R45" i="46"/>
  <c r="AB33" i="24"/>
  <c r="D59" i="23"/>
  <c r="N47" i="23"/>
  <c r="D67" i="31"/>
  <c r="L55" i="31"/>
  <c r="R55" i="31" s="1"/>
  <c r="D51" i="22"/>
  <c r="M39" i="22"/>
  <c r="V27" i="28"/>
  <c r="N54" i="27"/>
  <c r="E66" i="27"/>
  <c r="AB31" i="46"/>
  <c r="E58" i="29"/>
  <c r="R46" i="29"/>
  <c r="AB46" i="29" s="1"/>
  <c r="T33" i="27"/>
  <c r="E58" i="28"/>
  <c r="O46" i="28"/>
  <c r="V46" i="28" s="1"/>
  <c r="E59" i="24"/>
  <c r="R47" i="24"/>
  <c r="Q46" i="46"/>
  <c r="D58" i="46"/>
  <c r="AB32" i="29"/>
  <c r="D53" i="27"/>
  <c r="M41" i="27"/>
  <c r="O45" i="23"/>
  <c r="E57" i="23"/>
  <c r="AY15" i="40"/>
  <c r="K9" i="21"/>
  <c r="E57" i="29"/>
  <c r="R45" i="29"/>
  <c r="E51" i="29"/>
  <c r="R39" i="29"/>
  <c r="R48" i="46"/>
  <c r="E60" i="46"/>
  <c r="D73" i="31"/>
  <c r="L61" i="31"/>
  <c r="R61" i="31" s="1"/>
  <c r="N39" i="27"/>
  <c r="E51" i="27"/>
  <c r="D55" i="24"/>
  <c r="Q43" i="24"/>
  <c r="Y69" i="16"/>
  <c r="D62" i="27"/>
  <c r="M50" i="27"/>
  <c r="T48" i="27"/>
  <c r="D70" i="28"/>
  <c r="N58" i="28"/>
  <c r="E50" i="28"/>
  <c r="O38" i="28"/>
  <c r="V38" i="28" s="1"/>
  <c r="D57" i="31"/>
  <c r="L45" i="31"/>
  <c r="R45" i="31" s="1"/>
  <c r="E65" i="24"/>
  <c r="R53" i="24"/>
  <c r="D70" i="29"/>
  <c r="Q58" i="29"/>
  <c r="D51" i="29"/>
  <c r="Q39" i="29"/>
  <c r="D59" i="22"/>
  <c r="M47" i="22"/>
  <c r="E66" i="28"/>
  <c r="O54" i="28"/>
  <c r="D57" i="24"/>
  <c r="Q45" i="24"/>
  <c r="V35" i="23"/>
  <c r="D58" i="31"/>
  <c r="L46" i="31"/>
  <c r="R46" i="31" s="1"/>
  <c r="E55" i="22"/>
  <c r="N43" i="22"/>
  <c r="D55" i="47"/>
  <c r="L43" i="47"/>
  <c r="R43" i="47" s="1"/>
  <c r="E60" i="23"/>
  <c r="O48" i="23"/>
  <c r="D51" i="28"/>
  <c r="N39" i="28"/>
  <c r="D54" i="22"/>
  <c r="M42" i="22"/>
  <c r="E65" i="29"/>
  <c r="R53" i="29"/>
  <c r="D57" i="47"/>
  <c r="L45" i="47"/>
  <c r="R45" i="47" s="1"/>
  <c r="N45" i="27"/>
  <c r="E57" i="27"/>
  <c r="D55" i="46"/>
  <c r="Q43" i="46"/>
  <c r="D59" i="24"/>
  <c r="Q47" i="24"/>
  <c r="L47" i="47"/>
  <c r="R47" i="47" s="1"/>
  <c r="D59" i="47"/>
  <c r="O47" i="23"/>
  <c r="E59" i="23"/>
  <c r="D61" i="22"/>
  <c r="M49" i="22"/>
  <c r="D57" i="27"/>
  <c r="M45" i="27"/>
  <c r="D61" i="28"/>
  <c r="N49" i="28"/>
  <c r="D56" i="29"/>
  <c r="Q44" i="29"/>
  <c r="D51" i="24"/>
  <c r="Q39" i="24"/>
  <c r="E56" i="23"/>
  <c r="O44" i="23"/>
  <c r="D53" i="28"/>
  <c r="N41" i="28"/>
  <c r="D57" i="22"/>
  <c r="M45" i="22"/>
  <c r="D57" i="46"/>
  <c r="Q45" i="46"/>
  <c r="AR7" i="34"/>
  <c r="AV7" i="34" s="1"/>
  <c r="D56" i="47"/>
  <c r="L44" i="47"/>
  <c r="R44" i="47" s="1"/>
  <c r="S122" i="43"/>
  <c r="Y70" i="16" s="1"/>
  <c r="D65" i="26"/>
  <c r="L53" i="26"/>
  <c r="R53" i="26" s="1"/>
  <c r="L62" i="26"/>
  <c r="R62" i="26" s="1"/>
  <c r="D74" i="26"/>
  <c r="D57" i="29"/>
  <c r="Q45" i="29"/>
  <c r="D72" i="27"/>
  <c r="M60" i="27"/>
  <c r="N38" i="27"/>
  <c r="T38" i="27" s="1"/>
  <c r="E50" i="27"/>
  <c r="D58" i="22"/>
  <c r="M46" i="22"/>
  <c r="D61" i="24"/>
  <c r="Q49" i="24"/>
  <c r="L9" i="21"/>
  <c r="AY16" i="40"/>
  <c r="D53" i="23"/>
  <c r="N41" i="23"/>
  <c r="E51" i="28"/>
  <c r="O39" i="28"/>
  <c r="D51" i="23"/>
  <c r="N39" i="23"/>
  <c r="D59" i="28"/>
  <c r="N47" i="28"/>
  <c r="J9" i="21"/>
  <c r="D54" i="28"/>
  <c r="N42" i="28"/>
  <c r="V42" i="28" s="1"/>
  <c r="D61" i="27"/>
  <c r="M49" i="27"/>
  <c r="D62" i="29"/>
  <c r="Q50" i="29"/>
  <c r="E56" i="46"/>
  <c r="R44" i="46"/>
  <c r="O69" i="16"/>
  <c r="R44" i="24"/>
  <c r="E56" i="24"/>
  <c r="E57" i="28"/>
  <c r="O45" i="28"/>
  <c r="E55" i="46"/>
  <c r="R43" i="46"/>
  <c r="D56" i="26"/>
  <c r="L44" i="26"/>
  <c r="R44" i="26" s="1"/>
  <c r="E59" i="46"/>
  <c r="R47" i="46"/>
  <c r="D54" i="23"/>
  <c r="N42" i="23"/>
  <c r="D54" i="29"/>
  <c r="Q42" i="29"/>
  <c r="AB42" i="29" s="1"/>
  <c r="L47" i="26"/>
  <c r="R47" i="26" s="1"/>
  <c r="D59" i="26"/>
  <c r="D55" i="27"/>
  <c r="M43" i="27"/>
  <c r="D56" i="28"/>
  <c r="N44" i="28"/>
  <c r="D70" i="27"/>
  <c r="M58" i="27"/>
  <c r="E71" i="29"/>
  <c r="R59" i="29"/>
  <c r="E56" i="28"/>
  <c r="O44" i="28"/>
  <c r="D51" i="31"/>
  <c r="L39" i="31"/>
  <c r="R39" i="31" s="1"/>
  <c r="D59" i="29"/>
  <c r="Q47" i="29"/>
  <c r="AB47" i="29" s="1"/>
  <c r="D72" i="29"/>
  <c r="Q60" i="29"/>
  <c r="D53" i="22"/>
  <c r="M41" i="22"/>
  <c r="F20" i="19"/>
  <c r="E35" i="19" s="1"/>
  <c r="F18" i="19"/>
  <c r="E33" i="19" s="1"/>
  <c r="F19" i="19"/>
  <c r="E34" i="19" s="1"/>
  <c r="AB33" i="46"/>
  <c r="D50" i="31"/>
  <c r="L38" i="31"/>
  <c r="R38" i="31" s="1"/>
  <c r="V33" i="28"/>
  <c r="R48" i="24"/>
  <c r="E60" i="24"/>
  <c r="V48" i="28"/>
  <c r="N44" i="27"/>
  <c r="E56" i="27"/>
  <c r="L43" i="26"/>
  <c r="R43" i="26" s="1"/>
  <c r="D55" i="26"/>
  <c r="D58" i="23"/>
  <c r="N46" i="23"/>
  <c r="D55" i="28"/>
  <c r="N43" i="28"/>
  <c r="D54" i="27"/>
  <c r="M42" i="27"/>
  <c r="T42" i="27" s="1"/>
  <c r="E72" i="28"/>
  <c r="O60" i="28"/>
  <c r="E67" i="29"/>
  <c r="R55" i="29"/>
  <c r="E59" i="22"/>
  <c r="N47" i="22"/>
  <c r="E56" i="22"/>
  <c r="N44" i="22"/>
  <c r="D71" i="31"/>
  <c r="L59" i="31"/>
  <c r="R59" i="31" s="1"/>
  <c r="D55" i="23"/>
  <c r="N43" i="23"/>
  <c r="E73" i="29"/>
  <c r="R61" i="29"/>
  <c r="BC7" i="18"/>
  <c r="BE6" i="18"/>
  <c r="N60" i="27"/>
  <c r="E72" i="27"/>
  <c r="T31" i="22"/>
  <c r="D61" i="46"/>
  <c r="Q49" i="46"/>
  <c r="E57" i="24"/>
  <c r="R45" i="24"/>
  <c r="D51" i="27"/>
  <c r="M39" i="27"/>
  <c r="D60" i="47"/>
  <c r="L48" i="47"/>
  <c r="R48" i="47" s="1"/>
  <c r="D55" i="29"/>
  <c r="Q43" i="29"/>
  <c r="AB43" i="29" s="1"/>
  <c r="AC122" i="45"/>
  <c r="O70" i="16" s="1"/>
  <c r="Q46" i="24"/>
  <c r="D58" i="24"/>
  <c r="D62" i="28"/>
  <c r="N50" i="28"/>
  <c r="N45" i="23"/>
  <c r="D57" i="23"/>
  <c r="D72" i="31"/>
  <c r="L60" i="31"/>
  <c r="R60" i="31" s="1"/>
  <c r="D59" i="27"/>
  <c r="M47" i="27"/>
  <c r="D50" i="22"/>
  <c r="M38" i="22"/>
  <c r="T38" i="22" s="1"/>
  <c r="E60" i="22"/>
  <c r="N48" i="22"/>
  <c r="Y20" i="19"/>
  <c r="Y19" i="19"/>
  <c r="Y18" i="19"/>
  <c r="E55" i="24"/>
  <c r="R43" i="24"/>
  <c r="D66" i="31"/>
  <c r="L54" i="31"/>
  <c r="R54" i="31" s="1"/>
  <c r="D52" i="29"/>
  <c r="Q40" i="29"/>
  <c r="Q42" i="24"/>
  <c r="D54" i="24"/>
  <c r="Q39" i="46"/>
  <c r="D51" i="46"/>
  <c r="Q38" i="24"/>
  <c r="D50" i="24"/>
  <c r="M40" i="27"/>
  <c r="D52" i="27"/>
  <c r="O43" i="23"/>
  <c r="E55" i="23"/>
  <c r="D56" i="31"/>
  <c r="L44" i="31"/>
  <c r="R44" i="31" s="1"/>
  <c r="D60" i="26"/>
  <c r="L48" i="26"/>
  <c r="R48" i="26" s="1"/>
  <c r="E50" i="29"/>
  <c r="R38" i="29"/>
  <c r="AB38" i="29" s="1"/>
  <c r="E57" i="22"/>
  <c r="N45" i="22"/>
  <c r="AB31" i="24"/>
  <c r="N40" i="28"/>
  <c r="D52" i="28"/>
  <c r="D57" i="28"/>
  <c r="N45" i="28"/>
  <c r="D50" i="23"/>
  <c r="N38" i="23"/>
  <c r="D72" i="28"/>
  <c r="N60" i="28"/>
  <c r="D53" i="24"/>
  <c r="Q41" i="24"/>
  <c r="AB41" i="24" s="1"/>
  <c r="D53" i="29"/>
  <c r="Q41" i="29"/>
  <c r="AB41" i="29" s="1"/>
  <c r="D61" i="29"/>
  <c r="Q49" i="29"/>
  <c r="AB49" i="29" s="1"/>
  <c r="F38" i="21" l="1"/>
  <c r="BJ7" i="34"/>
  <c r="BJ6" i="34"/>
  <c r="BC6" i="34"/>
  <c r="BE5" i="34"/>
  <c r="AM18" i="39"/>
  <c r="AM22" i="39" s="1"/>
  <c r="J11" i="33"/>
  <c r="AG18" i="39"/>
  <c r="AG22" i="39" s="1"/>
  <c r="J10" i="33"/>
  <c r="H9" i="33"/>
  <c r="BJ13" i="34"/>
  <c r="G9" i="33"/>
  <c r="G13" i="33" s="1"/>
  <c r="BJ12" i="34"/>
  <c r="C9" i="33"/>
  <c r="C13" i="33" s="1"/>
  <c r="BJ8" i="34"/>
  <c r="F9" i="33"/>
  <c r="F13" i="33" s="1"/>
  <c r="BJ11" i="34"/>
  <c r="BZ15" i="34"/>
  <c r="BY16" i="34"/>
  <c r="BZ16" i="34" s="1"/>
  <c r="D9" i="33"/>
  <c r="D13" i="33" s="1"/>
  <c r="BJ9" i="34"/>
  <c r="BS16" i="34"/>
  <c r="BT16" i="34" s="1"/>
  <c r="BT15" i="34"/>
  <c r="E9" i="33"/>
  <c r="E13" i="33" s="1"/>
  <c r="BJ10" i="34"/>
  <c r="H13" i="33"/>
  <c r="CE16" i="34"/>
  <c r="CF16" i="34" s="1"/>
  <c r="L12" i="33" s="1"/>
  <c r="C26" i="33" s="1"/>
  <c r="E26" i="33" s="1"/>
  <c r="CF15" i="34"/>
  <c r="K12" i="33" s="1"/>
  <c r="D83" i="49"/>
  <c r="L83" i="49" s="1"/>
  <c r="R71" i="49"/>
  <c r="D79" i="49"/>
  <c r="L79" i="49" s="1"/>
  <c r="R67" i="49"/>
  <c r="D69" i="49"/>
  <c r="L69" i="49" s="1"/>
  <c r="R57" i="49"/>
  <c r="D63" i="49"/>
  <c r="L63" i="49" s="1"/>
  <c r="R51" i="49"/>
  <c r="D64" i="49"/>
  <c r="L64" i="49" s="1"/>
  <c r="R52" i="49"/>
  <c r="D77" i="49"/>
  <c r="L77" i="49" s="1"/>
  <c r="R65" i="49"/>
  <c r="D68" i="49"/>
  <c r="L68" i="49" s="1"/>
  <c r="R56" i="49"/>
  <c r="D78" i="49"/>
  <c r="L78" i="49" s="1"/>
  <c r="R66" i="49"/>
  <c r="D85" i="49"/>
  <c r="L85" i="49" s="1"/>
  <c r="R73" i="49"/>
  <c r="D84" i="49"/>
  <c r="L84" i="49" s="1"/>
  <c r="R72" i="49"/>
  <c r="D70" i="49"/>
  <c r="L70" i="49" s="1"/>
  <c r="R58" i="49"/>
  <c r="D62" i="49"/>
  <c r="L62" i="49" s="1"/>
  <c r="R50" i="49"/>
  <c r="AB48" i="48"/>
  <c r="AB51" i="48"/>
  <c r="E73" i="48"/>
  <c r="R73" i="48" s="1"/>
  <c r="AB61" i="48"/>
  <c r="D72" i="48"/>
  <c r="Q72" i="48" s="1"/>
  <c r="E82" i="48"/>
  <c r="R82" i="48" s="1"/>
  <c r="E65" i="48"/>
  <c r="R65" i="48" s="1"/>
  <c r="E76" i="48"/>
  <c r="R76" i="48" s="1"/>
  <c r="D76" i="48"/>
  <c r="Q76" i="48" s="1"/>
  <c r="D83" i="48"/>
  <c r="Q83" i="48" s="1"/>
  <c r="K67" i="40"/>
  <c r="M38" i="40" s="1"/>
  <c r="E80" i="48"/>
  <c r="R80" i="48" s="1"/>
  <c r="D78" i="48"/>
  <c r="Q78" i="48" s="1"/>
  <c r="D75" i="48"/>
  <c r="Q75" i="48" s="1"/>
  <c r="D85" i="48"/>
  <c r="Q85" i="48" s="1"/>
  <c r="D79" i="48"/>
  <c r="Q79" i="48" s="1"/>
  <c r="E72" i="48"/>
  <c r="R72" i="48" s="1"/>
  <c r="E74" i="48"/>
  <c r="R74" i="48" s="1"/>
  <c r="AB56" i="48"/>
  <c r="AB53" i="48"/>
  <c r="D81" i="48"/>
  <c r="Q81" i="48" s="1"/>
  <c r="E81" i="48"/>
  <c r="R81" i="48" s="1"/>
  <c r="E67" i="48"/>
  <c r="R67" i="48" s="1"/>
  <c r="AB55" i="48"/>
  <c r="D70" i="48"/>
  <c r="Q70" i="48" s="1"/>
  <c r="AB58" i="48"/>
  <c r="E75" i="48"/>
  <c r="R75" i="48" s="1"/>
  <c r="D80" i="48"/>
  <c r="Q80" i="48" s="1"/>
  <c r="AB68" i="48"/>
  <c r="AB54" i="48"/>
  <c r="E66" i="48"/>
  <c r="R66" i="48" s="1"/>
  <c r="E71" i="48"/>
  <c r="R71" i="48" s="1"/>
  <c r="AB59" i="48"/>
  <c r="D77" i="48"/>
  <c r="Q77" i="48" s="1"/>
  <c r="AB52" i="48"/>
  <c r="D62" i="48"/>
  <c r="Q62" i="48" s="1"/>
  <c r="AB50" i="48"/>
  <c r="K68" i="40"/>
  <c r="M39" i="40" s="1"/>
  <c r="L29" i="40"/>
  <c r="J58" i="40" s="1"/>
  <c r="H43" i="40"/>
  <c r="H72" i="40" s="1"/>
  <c r="F43" i="40"/>
  <c r="F72" i="40" s="1"/>
  <c r="AH12" i="39"/>
  <c r="AG12" i="39"/>
  <c r="AF13" i="39"/>
  <c r="AN11" i="39"/>
  <c r="AL12" i="39"/>
  <c r="AM11" i="39"/>
  <c r="AO10" i="39"/>
  <c r="E38" i="33"/>
  <c r="AJ11" i="39"/>
  <c r="R20" i="39"/>
  <c r="G5" i="40"/>
  <c r="F28" i="20"/>
  <c r="G28" i="20" s="1"/>
  <c r="K35" i="21"/>
  <c r="F6" i="40"/>
  <c r="F5" i="40"/>
  <c r="AK7" i="40"/>
  <c r="P26" i="19"/>
  <c r="Q26" i="19" s="1"/>
  <c r="AM7" i="40" s="1"/>
  <c r="C25" i="19"/>
  <c r="D25" i="19" s="1"/>
  <c r="Y6" i="40" s="1"/>
  <c r="L35" i="21"/>
  <c r="I36" i="21"/>
  <c r="BG14" i="40"/>
  <c r="AJ14" i="19"/>
  <c r="AK12" i="19"/>
  <c r="H36" i="21"/>
  <c r="AJ13" i="19"/>
  <c r="AK14" i="19" s="1"/>
  <c r="AK18" i="19" s="1"/>
  <c r="BG13" i="40"/>
  <c r="AM14" i="19"/>
  <c r="AO14" i="19" s="1"/>
  <c r="AO13" i="19"/>
  <c r="K49" i="40"/>
  <c r="K78" i="40" s="1"/>
  <c r="G37" i="21"/>
  <c r="BN12" i="40"/>
  <c r="AP12" i="19"/>
  <c r="AQ12" i="19" s="1"/>
  <c r="BO11" i="40"/>
  <c r="L49" i="40" s="1"/>
  <c r="L78" i="40" s="1"/>
  <c r="AK13" i="19"/>
  <c r="BH12" i="40"/>
  <c r="V60" i="28"/>
  <c r="C23" i="21"/>
  <c r="E23" i="21" s="1"/>
  <c r="F58" i="40"/>
  <c r="H73" i="40"/>
  <c r="E5" i="40"/>
  <c r="H28" i="40"/>
  <c r="AB46" i="24"/>
  <c r="T47" i="27"/>
  <c r="T49" i="27"/>
  <c r="T40" i="27"/>
  <c r="T48" i="22"/>
  <c r="V46" i="23"/>
  <c r="V41" i="28"/>
  <c r="W6" i="40"/>
  <c r="AB39" i="46"/>
  <c r="V40" i="28"/>
  <c r="AB40" i="29"/>
  <c r="AB40" i="24"/>
  <c r="V45" i="28"/>
  <c r="V43" i="28"/>
  <c r="T41" i="22"/>
  <c r="V44" i="23"/>
  <c r="AB44" i="46"/>
  <c r="T39" i="27"/>
  <c r="V38" i="23"/>
  <c r="AB49" i="46"/>
  <c r="V39" i="23"/>
  <c r="V41" i="23"/>
  <c r="AB39" i="24"/>
  <c r="G7" i="34"/>
  <c r="I7" i="34" s="1"/>
  <c r="AB48" i="46"/>
  <c r="Y7" i="34"/>
  <c r="AB7" i="34" s="1"/>
  <c r="T41" i="27"/>
  <c r="AB45" i="46"/>
  <c r="V45" i="23"/>
  <c r="V47" i="28"/>
  <c r="T46" i="22"/>
  <c r="T43" i="27"/>
  <c r="T44" i="22"/>
  <c r="AB48" i="24"/>
  <c r="AB60" i="29"/>
  <c r="V48" i="23"/>
  <c r="G7" i="18"/>
  <c r="I7" i="18" s="1"/>
  <c r="L7" i="40" s="1"/>
  <c r="F30" i="40" s="1"/>
  <c r="AB44" i="24"/>
  <c r="AB49" i="24"/>
  <c r="V49" i="23"/>
  <c r="AB41" i="46"/>
  <c r="AB42" i="46"/>
  <c r="AB38" i="46"/>
  <c r="AB38" i="24"/>
  <c r="AB42" i="24"/>
  <c r="AB47" i="24"/>
  <c r="AB39" i="29"/>
  <c r="E62" i="23"/>
  <c r="O50" i="23"/>
  <c r="R50" i="46"/>
  <c r="E62" i="46"/>
  <c r="R50" i="24"/>
  <c r="E62" i="24"/>
  <c r="AB43" i="46"/>
  <c r="AB46" i="46"/>
  <c r="D74" i="47"/>
  <c r="L62" i="47"/>
  <c r="R62" i="47" s="1"/>
  <c r="AB44" i="29"/>
  <c r="T45" i="27"/>
  <c r="P7" i="18"/>
  <c r="R7" i="18" s="1"/>
  <c r="Q7" i="40" s="1"/>
  <c r="G30" i="40" s="1"/>
  <c r="G59" i="40" s="1"/>
  <c r="D64" i="22"/>
  <c r="M52" i="22"/>
  <c r="D64" i="26"/>
  <c r="L52" i="26"/>
  <c r="R52" i="26" s="1"/>
  <c r="E67" i="27"/>
  <c r="N55" i="27"/>
  <c r="L54" i="26"/>
  <c r="R54" i="26" s="1"/>
  <c r="D66" i="26"/>
  <c r="N53" i="27"/>
  <c r="E65" i="27"/>
  <c r="D68" i="23"/>
  <c r="N56" i="23"/>
  <c r="O53" i="28"/>
  <c r="E65" i="28"/>
  <c r="E64" i="27"/>
  <c r="N52" i="27"/>
  <c r="Y7" i="18"/>
  <c r="AB7" i="18" s="1"/>
  <c r="V42" i="23"/>
  <c r="AB45" i="29"/>
  <c r="P7" i="34"/>
  <c r="R7" i="34" s="1"/>
  <c r="R51" i="24"/>
  <c r="E63" i="24"/>
  <c r="R58" i="24"/>
  <c r="E70" i="24"/>
  <c r="L52" i="31"/>
  <c r="R52" i="31" s="1"/>
  <c r="D64" i="31"/>
  <c r="O51" i="23"/>
  <c r="E63" i="23"/>
  <c r="E73" i="28"/>
  <c r="O61" i="28"/>
  <c r="E73" i="23"/>
  <c r="O61" i="23"/>
  <c r="R53" i="46"/>
  <c r="E65" i="46"/>
  <c r="R58" i="46"/>
  <c r="E70" i="46"/>
  <c r="N51" i="22"/>
  <c r="E63" i="22"/>
  <c r="D66" i="47"/>
  <c r="L54" i="47"/>
  <c r="R54" i="47" s="1"/>
  <c r="E73" i="24"/>
  <c r="R61" i="24"/>
  <c r="E66" i="46"/>
  <c r="R54" i="46"/>
  <c r="N61" i="27"/>
  <c r="E73" i="27"/>
  <c r="E66" i="24"/>
  <c r="R54" i="24"/>
  <c r="E71" i="27"/>
  <c r="N59" i="27"/>
  <c r="D64" i="46"/>
  <c r="Q52" i="46"/>
  <c r="D73" i="26"/>
  <c r="L61" i="26"/>
  <c r="R61" i="26" s="1"/>
  <c r="R52" i="24"/>
  <c r="E64" i="24"/>
  <c r="N60" i="23"/>
  <c r="D72" i="23"/>
  <c r="E64" i="29"/>
  <c r="R52" i="29"/>
  <c r="E64" i="23"/>
  <c r="O52" i="23"/>
  <c r="E64" i="46"/>
  <c r="R52" i="46"/>
  <c r="D63" i="26"/>
  <c r="L51" i="26"/>
  <c r="R51" i="26" s="1"/>
  <c r="Q56" i="46"/>
  <c r="D68" i="46"/>
  <c r="E70" i="23"/>
  <c r="O58" i="23"/>
  <c r="M60" i="22"/>
  <c r="D72" i="22"/>
  <c r="D68" i="24"/>
  <c r="Q56" i="24"/>
  <c r="T49" i="22"/>
  <c r="T42" i="22"/>
  <c r="T39" i="22"/>
  <c r="N61" i="22"/>
  <c r="E73" i="22"/>
  <c r="E66" i="22"/>
  <c r="N54" i="22"/>
  <c r="D63" i="47"/>
  <c r="L51" i="47"/>
  <c r="R51" i="47" s="1"/>
  <c r="M56" i="22"/>
  <c r="D68" i="22"/>
  <c r="O55" i="28"/>
  <c r="E67" i="28"/>
  <c r="D73" i="47"/>
  <c r="L61" i="47"/>
  <c r="R61" i="47" s="1"/>
  <c r="E71" i="28"/>
  <c r="O59" i="28"/>
  <c r="D65" i="47"/>
  <c r="L53" i="47"/>
  <c r="R53" i="47" s="1"/>
  <c r="N62" i="22"/>
  <c r="E74" i="22"/>
  <c r="Q60" i="24"/>
  <c r="D72" i="24"/>
  <c r="D70" i="26"/>
  <c r="L58" i="26"/>
  <c r="R58" i="26" s="1"/>
  <c r="E84" i="29"/>
  <c r="R72" i="29"/>
  <c r="E70" i="22"/>
  <c r="N58" i="22"/>
  <c r="N53" i="22"/>
  <c r="E65" i="22"/>
  <c r="V49" i="28"/>
  <c r="T40" i="22"/>
  <c r="D64" i="23"/>
  <c r="N52" i="23"/>
  <c r="R61" i="46"/>
  <c r="E73" i="46"/>
  <c r="D70" i="47"/>
  <c r="L58" i="47"/>
  <c r="R58" i="47" s="1"/>
  <c r="E65" i="23"/>
  <c r="O53" i="23"/>
  <c r="D72" i="46"/>
  <c r="Q60" i="46"/>
  <c r="V40" i="23"/>
  <c r="AB40" i="46"/>
  <c r="O54" i="23"/>
  <c r="E66" i="23"/>
  <c r="N52" i="22"/>
  <c r="E64" i="22"/>
  <c r="Q52" i="24"/>
  <c r="D64" i="24"/>
  <c r="D64" i="47"/>
  <c r="L52" i="47"/>
  <c r="R52" i="47" s="1"/>
  <c r="E63" i="46"/>
  <c r="R51" i="46"/>
  <c r="E64" i="28"/>
  <c r="O52" i="28"/>
  <c r="Q50" i="24"/>
  <c r="D62" i="24"/>
  <c r="Q54" i="24"/>
  <c r="D66" i="24"/>
  <c r="N57" i="23"/>
  <c r="D69" i="23"/>
  <c r="E85" i="29"/>
  <c r="R73" i="29"/>
  <c r="D67" i="23"/>
  <c r="N55" i="23"/>
  <c r="E68" i="28"/>
  <c r="O56" i="28"/>
  <c r="D82" i="27"/>
  <c r="M70" i="27"/>
  <c r="D68" i="28"/>
  <c r="N56" i="28"/>
  <c r="L59" i="26"/>
  <c r="R59" i="26" s="1"/>
  <c r="D71" i="26"/>
  <c r="E62" i="27"/>
  <c r="N50" i="27"/>
  <c r="T50" i="27" s="1"/>
  <c r="D69" i="22"/>
  <c r="M57" i="22"/>
  <c r="E68" i="23"/>
  <c r="O56" i="23"/>
  <c r="D68" i="29"/>
  <c r="Q56" i="29"/>
  <c r="Q55" i="46"/>
  <c r="D67" i="46"/>
  <c r="E77" i="29"/>
  <c r="R65" i="29"/>
  <c r="N51" i="28"/>
  <c r="D63" i="28"/>
  <c r="E72" i="23"/>
  <c r="O60" i="23"/>
  <c r="Q57" i="24"/>
  <c r="D69" i="24"/>
  <c r="T47" i="22"/>
  <c r="D63" i="29"/>
  <c r="Q51" i="29"/>
  <c r="E77" i="24"/>
  <c r="R65" i="24"/>
  <c r="D69" i="31"/>
  <c r="L57" i="31"/>
  <c r="R57" i="31" s="1"/>
  <c r="AB43" i="24"/>
  <c r="E70" i="28"/>
  <c r="O58" i="28"/>
  <c r="V58" i="28" s="1"/>
  <c r="N66" i="27"/>
  <c r="E78" i="27"/>
  <c r="V47" i="23"/>
  <c r="R57" i="46"/>
  <c r="E69" i="46"/>
  <c r="D67" i="22"/>
  <c r="M55" i="22"/>
  <c r="E78" i="29"/>
  <c r="R66" i="29"/>
  <c r="T44" i="27"/>
  <c r="AB47" i="46"/>
  <c r="D73" i="29"/>
  <c r="Q61" i="29"/>
  <c r="AB61" i="29" s="1"/>
  <c r="Q53" i="24"/>
  <c r="AB53" i="24" s="1"/>
  <c r="D65" i="24"/>
  <c r="D69" i="28"/>
  <c r="N57" i="28"/>
  <c r="D72" i="26"/>
  <c r="L60" i="26"/>
  <c r="R60" i="26" s="1"/>
  <c r="D68" i="31"/>
  <c r="L56" i="31"/>
  <c r="R56" i="31" s="1"/>
  <c r="D78" i="31"/>
  <c r="L66" i="31"/>
  <c r="R66" i="31" s="1"/>
  <c r="E72" i="22"/>
  <c r="N60" i="22"/>
  <c r="D71" i="27"/>
  <c r="M59" i="27"/>
  <c r="D74" i="28"/>
  <c r="N62" i="28"/>
  <c r="D72" i="47"/>
  <c r="L60" i="47"/>
  <c r="R60" i="47" s="1"/>
  <c r="M51" i="27"/>
  <c r="D63" i="27"/>
  <c r="Q61" i="46"/>
  <c r="D73" i="46"/>
  <c r="D83" i="31"/>
  <c r="L71" i="31"/>
  <c r="R71" i="31" s="1"/>
  <c r="E71" i="22"/>
  <c r="N59" i="22"/>
  <c r="D66" i="27"/>
  <c r="M54" i="27"/>
  <c r="T54" i="27" s="1"/>
  <c r="L55" i="26"/>
  <c r="R55" i="26" s="1"/>
  <c r="D67" i="26"/>
  <c r="M53" i="22"/>
  <c r="D65" i="22"/>
  <c r="D66" i="23"/>
  <c r="N54" i="23"/>
  <c r="E71" i="46"/>
  <c r="R59" i="46"/>
  <c r="D68" i="26"/>
  <c r="L56" i="26"/>
  <c r="R56" i="26" s="1"/>
  <c r="E69" i="28"/>
  <c r="O57" i="28"/>
  <c r="D74" i="29"/>
  <c r="Q62" i="29"/>
  <c r="D66" i="28"/>
  <c r="N54" i="28"/>
  <c r="V54" i="28" s="1"/>
  <c r="E63" i="28"/>
  <c r="O51" i="28"/>
  <c r="D65" i="23"/>
  <c r="N53" i="23"/>
  <c r="Q61" i="24"/>
  <c r="D73" i="24"/>
  <c r="O59" i="23"/>
  <c r="E71" i="23"/>
  <c r="N57" i="27"/>
  <c r="E69" i="27"/>
  <c r="D70" i="31"/>
  <c r="L58" i="31"/>
  <c r="R58" i="31" s="1"/>
  <c r="D71" i="22"/>
  <c r="M59" i="22"/>
  <c r="D82" i="28"/>
  <c r="N70" i="28"/>
  <c r="D67" i="24"/>
  <c r="Q55" i="24"/>
  <c r="D85" i="31"/>
  <c r="L73" i="31"/>
  <c r="R73" i="31" s="1"/>
  <c r="E63" i="29"/>
  <c r="R51" i="29"/>
  <c r="D65" i="27"/>
  <c r="M53" i="27"/>
  <c r="Q58" i="46"/>
  <c r="D70" i="46"/>
  <c r="M51" i="22"/>
  <c r="D63" i="22"/>
  <c r="N59" i="23"/>
  <c r="D71" i="23"/>
  <c r="N61" i="23"/>
  <c r="D73" i="23"/>
  <c r="D65" i="46"/>
  <c r="Q53" i="46"/>
  <c r="N58" i="27"/>
  <c r="T58" i="27" s="1"/>
  <c r="E70" i="27"/>
  <c r="D68" i="27"/>
  <c r="M56" i="27"/>
  <c r="D71" i="46"/>
  <c r="Q59" i="46"/>
  <c r="D64" i="28"/>
  <c r="N52" i="28"/>
  <c r="O55" i="23"/>
  <c r="E67" i="23"/>
  <c r="M52" i="27"/>
  <c r="D64" i="27"/>
  <c r="D63" i="46"/>
  <c r="Q51" i="46"/>
  <c r="BC8" i="18"/>
  <c r="BE7" i="18"/>
  <c r="AR8" i="18"/>
  <c r="AV8" i="18" s="1"/>
  <c r="P27" i="19" s="1"/>
  <c r="Q27" i="19" s="1"/>
  <c r="AM8" i="40" s="1"/>
  <c r="AR8" i="34"/>
  <c r="AV8" i="34" s="1"/>
  <c r="D71" i="29"/>
  <c r="Q59" i="29"/>
  <c r="AB59" i="29" s="1"/>
  <c r="D63" i="31"/>
  <c r="L51" i="31"/>
  <c r="R51" i="31" s="1"/>
  <c r="E83" i="29"/>
  <c r="R71" i="29"/>
  <c r="D67" i="27"/>
  <c r="M55" i="27"/>
  <c r="R56" i="24"/>
  <c r="E68" i="24"/>
  <c r="D71" i="28"/>
  <c r="N59" i="28"/>
  <c r="T60" i="27"/>
  <c r="D69" i="29"/>
  <c r="Q57" i="29"/>
  <c r="D68" i="47"/>
  <c r="L56" i="47"/>
  <c r="R56" i="47" s="1"/>
  <c r="Q57" i="46"/>
  <c r="D69" i="46"/>
  <c r="D65" i="28"/>
  <c r="N53" i="28"/>
  <c r="Q51" i="24"/>
  <c r="D63" i="24"/>
  <c r="D73" i="28"/>
  <c r="N61" i="28"/>
  <c r="D73" i="22"/>
  <c r="M61" i="22"/>
  <c r="D71" i="24"/>
  <c r="Q59" i="24"/>
  <c r="D69" i="47"/>
  <c r="L57" i="47"/>
  <c r="R57" i="47" s="1"/>
  <c r="D66" i="22"/>
  <c r="M54" i="22"/>
  <c r="D67" i="47"/>
  <c r="L55" i="47"/>
  <c r="R55" i="47" s="1"/>
  <c r="D82" i="29"/>
  <c r="Q70" i="29"/>
  <c r="E62" i="28"/>
  <c r="O50" i="28"/>
  <c r="V50" i="28" s="1"/>
  <c r="D74" i="27"/>
  <c r="M62" i="27"/>
  <c r="N51" i="27"/>
  <c r="E63" i="27"/>
  <c r="E72" i="46"/>
  <c r="R60" i="46"/>
  <c r="E69" i="23"/>
  <c r="O57" i="23"/>
  <c r="R59" i="24"/>
  <c r="E71" i="24"/>
  <c r="E70" i="29"/>
  <c r="R58" i="29"/>
  <c r="AB58" i="29" s="1"/>
  <c r="D77" i="31"/>
  <c r="L65" i="31"/>
  <c r="R65" i="31" s="1"/>
  <c r="Q54" i="46"/>
  <c r="D66" i="46"/>
  <c r="D69" i="26"/>
  <c r="L57" i="26"/>
  <c r="R57" i="26" s="1"/>
  <c r="D65" i="29"/>
  <c r="Q53" i="29"/>
  <c r="AB53" i="29" s="1"/>
  <c r="D84" i="28"/>
  <c r="N72" i="28"/>
  <c r="N50" i="23"/>
  <c r="D62" i="23"/>
  <c r="E69" i="22"/>
  <c r="N57" i="22"/>
  <c r="E62" i="29"/>
  <c r="R50" i="29"/>
  <c r="AB50" i="29" s="1"/>
  <c r="D64" i="29"/>
  <c r="Q52" i="29"/>
  <c r="R55" i="24"/>
  <c r="E67" i="24"/>
  <c r="M50" i="22"/>
  <c r="T50" i="22" s="1"/>
  <c r="D62" i="22"/>
  <c r="D84" i="31"/>
  <c r="L72" i="31"/>
  <c r="R72" i="31" s="1"/>
  <c r="Q58" i="24"/>
  <c r="D70" i="24"/>
  <c r="D67" i="29"/>
  <c r="Q55" i="29"/>
  <c r="AB55" i="29" s="1"/>
  <c r="E69" i="24"/>
  <c r="R57" i="24"/>
  <c r="N72" i="27"/>
  <c r="E84" i="27"/>
  <c r="V43" i="23"/>
  <c r="E68" i="22"/>
  <c r="N56" i="22"/>
  <c r="E79" i="29"/>
  <c r="R67" i="29"/>
  <c r="E84" i="28"/>
  <c r="O72" i="28"/>
  <c r="D67" i="28"/>
  <c r="N55" i="28"/>
  <c r="D70" i="23"/>
  <c r="N58" i="23"/>
  <c r="N56" i="27"/>
  <c r="E68" i="27"/>
  <c r="E72" i="24"/>
  <c r="R60" i="24"/>
  <c r="D62" i="31"/>
  <c r="L50" i="31"/>
  <c r="R50" i="31" s="1"/>
  <c r="D84" i="29"/>
  <c r="Q72" i="29"/>
  <c r="V44" i="28"/>
  <c r="D66" i="29"/>
  <c r="Q54" i="29"/>
  <c r="AB54" i="29" s="1"/>
  <c r="E67" i="46"/>
  <c r="R55" i="46"/>
  <c r="R56" i="46"/>
  <c r="E68" i="46"/>
  <c r="D73" i="27"/>
  <c r="M61" i="27"/>
  <c r="D63" i="23"/>
  <c r="N51" i="23"/>
  <c r="D70" i="22"/>
  <c r="M58" i="22"/>
  <c r="D84" i="27"/>
  <c r="M72" i="27"/>
  <c r="D86" i="26"/>
  <c r="L74" i="26"/>
  <c r="R74" i="26" s="1"/>
  <c r="D77" i="26"/>
  <c r="L65" i="26"/>
  <c r="R65" i="26" s="1"/>
  <c r="T45" i="22"/>
  <c r="D69" i="27"/>
  <c r="M57" i="27"/>
  <c r="D71" i="47"/>
  <c r="L59" i="47"/>
  <c r="R59" i="47" s="1"/>
  <c r="V39" i="28"/>
  <c r="E67" i="22"/>
  <c r="N55" i="22"/>
  <c r="AB45" i="24"/>
  <c r="E78" i="28"/>
  <c r="O66" i="28"/>
  <c r="E69" i="29"/>
  <c r="R57" i="29"/>
  <c r="D79" i="31"/>
  <c r="L67" i="31"/>
  <c r="R67" i="31" s="1"/>
  <c r="T43" i="22"/>
  <c r="D62" i="46"/>
  <c r="Q50" i="46"/>
  <c r="E68" i="29"/>
  <c r="R56" i="29"/>
  <c r="AB57" i="46" l="1"/>
  <c r="BL6" i="34"/>
  <c r="BN6" i="34" s="1"/>
  <c r="G38" i="21"/>
  <c r="BL10" i="34"/>
  <c r="BN10" i="34" s="1"/>
  <c r="BL15" i="34"/>
  <c r="BN15" i="34" s="1"/>
  <c r="AA19" i="39" s="1"/>
  <c r="BL12" i="34"/>
  <c r="BN12" i="34" s="1"/>
  <c r="AG19" i="39"/>
  <c r="AG23" i="39" s="1"/>
  <c r="K10" i="33"/>
  <c r="L11" i="33"/>
  <c r="C25" i="33" s="1"/>
  <c r="E25" i="33" s="1"/>
  <c r="AM20" i="39"/>
  <c r="AM24" i="39" s="1"/>
  <c r="BL16" i="34"/>
  <c r="BN16" i="34" s="1"/>
  <c r="AG20" i="39"/>
  <c r="AG24" i="39" s="1"/>
  <c r="L10" i="33"/>
  <c r="C24" i="33" s="1"/>
  <c r="E24" i="33" s="1"/>
  <c r="K11" i="33"/>
  <c r="AM19" i="39"/>
  <c r="AM23" i="39" s="1"/>
  <c r="BL9" i="34"/>
  <c r="BN9" i="34" s="1"/>
  <c r="BL5" i="34"/>
  <c r="BN5" i="34" s="1"/>
  <c r="BC7" i="34"/>
  <c r="BE6" i="34"/>
  <c r="BL8" i="34"/>
  <c r="BN8" i="34" s="1"/>
  <c r="BL11" i="34"/>
  <c r="BN11" i="34" s="1"/>
  <c r="BL13" i="34"/>
  <c r="BN13" i="34" s="1"/>
  <c r="BL7" i="34"/>
  <c r="BN7" i="34" s="1"/>
  <c r="BL14" i="34"/>
  <c r="BN14" i="34" s="1"/>
  <c r="D74" i="49"/>
  <c r="L74" i="49" s="1"/>
  <c r="R62" i="49"/>
  <c r="D96" i="49"/>
  <c r="L96" i="49" s="1"/>
  <c r="R84" i="49"/>
  <c r="D90" i="49"/>
  <c r="L90" i="49" s="1"/>
  <c r="R78" i="49"/>
  <c r="D89" i="49"/>
  <c r="L89" i="49" s="1"/>
  <c r="R77" i="49"/>
  <c r="D75" i="49"/>
  <c r="L75" i="49" s="1"/>
  <c r="R63" i="49"/>
  <c r="D91" i="49"/>
  <c r="L91" i="49" s="1"/>
  <c r="R79" i="49"/>
  <c r="D82" i="49"/>
  <c r="L82" i="49" s="1"/>
  <c r="R70" i="49"/>
  <c r="D97" i="49"/>
  <c r="L97" i="49" s="1"/>
  <c r="R85" i="49"/>
  <c r="D80" i="49"/>
  <c r="L80" i="49" s="1"/>
  <c r="R68" i="49"/>
  <c r="D76" i="49"/>
  <c r="L76" i="49" s="1"/>
  <c r="R64" i="49"/>
  <c r="D81" i="49"/>
  <c r="L81" i="49" s="1"/>
  <c r="R69" i="49"/>
  <c r="D95" i="49"/>
  <c r="L95" i="49" s="1"/>
  <c r="R83" i="49"/>
  <c r="AB69" i="48"/>
  <c r="E78" i="48"/>
  <c r="R78" i="48" s="1"/>
  <c r="E84" i="48"/>
  <c r="R84" i="48" s="1"/>
  <c r="AB66" i="48"/>
  <c r="D89" i="48"/>
  <c r="Q89" i="48" s="1"/>
  <c r="E87" i="48"/>
  <c r="R87" i="48" s="1"/>
  <c r="E79" i="48"/>
  <c r="R79" i="48" s="1"/>
  <c r="AB67" i="48"/>
  <c r="D93" i="48"/>
  <c r="Q93" i="48" s="1"/>
  <c r="D91" i="48"/>
  <c r="Q91" i="48" s="1"/>
  <c r="D87" i="48"/>
  <c r="Q87" i="48" s="1"/>
  <c r="AB75" i="48"/>
  <c r="D95" i="48"/>
  <c r="Q95" i="48" s="1"/>
  <c r="E88" i="48"/>
  <c r="R88" i="48" s="1"/>
  <c r="E85" i="48"/>
  <c r="R85" i="48" s="1"/>
  <c r="AB73" i="48"/>
  <c r="D74" i="48"/>
  <c r="Q74" i="48" s="1"/>
  <c r="AB62" i="48"/>
  <c r="E86" i="48"/>
  <c r="R86" i="48" s="1"/>
  <c r="AB63" i="48"/>
  <c r="E92" i="48"/>
  <c r="R92" i="48" s="1"/>
  <c r="AB64" i="48"/>
  <c r="AB60" i="48"/>
  <c r="D97" i="48"/>
  <c r="Q97" i="48" s="1"/>
  <c r="E94" i="48"/>
  <c r="R94" i="48" s="1"/>
  <c r="E83" i="48"/>
  <c r="R83" i="48" s="1"/>
  <c r="AB71" i="48"/>
  <c r="D92" i="48"/>
  <c r="Q92" i="48" s="1"/>
  <c r="AB70" i="48"/>
  <c r="D82" i="48"/>
  <c r="Q82" i="48" s="1"/>
  <c r="E93" i="48"/>
  <c r="R93" i="48" s="1"/>
  <c r="D90" i="48"/>
  <c r="Q90" i="48" s="1"/>
  <c r="D88" i="48"/>
  <c r="Q88" i="48" s="1"/>
  <c r="E77" i="48"/>
  <c r="R77" i="48" s="1"/>
  <c r="AB65" i="48"/>
  <c r="D84" i="48"/>
  <c r="Q84" i="48" s="1"/>
  <c r="E43" i="40"/>
  <c r="E72" i="40" s="1"/>
  <c r="E28" i="40"/>
  <c r="E57" i="40" s="1"/>
  <c r="H45" i="40"/>
  <c r="H74" i="40" s="1"/>
  <c r="L30" i="40"/>
  <c r="J59" i="40" s="1"/>
  <c r="F44" i="40"/>
  <c r="F73" i="40" s="1"/>
  <c r="D46" i="21"/>
  <c r="D46" i="33"/>
  <c r="F38" i="33"/>
  <c r="AO11" i="39"/>
  <c r="AG13" i="39"/>
  <c r="AF14" i="39"/>
  <c r="AH13" i="39"/>
  <c r="AP10" i="39"/>
  <c r="AM12" i="39"/>
  <c r="AN12" i="39"/>
  <c r="AL13" i="39"/>
  <c r="AI12" i="39"/>
  <c r="R19" i="39"/>
  <c r="R18" i="39"/>
  <c r="L18" i="39"/>
  <c r="J18" i="39" s="1"/>
  <c r="J22" i="39" s="1"/>
  <c r="BA16" i="40"/>
  <c r="BA15" i="40"/>
  <c r="AB60" i="24"/>
  <c r="T56" i="22"/>
  <c r="G6" i="40"/>
  <c r="T53" i="27"/>
  <c r="AB58" i="24"/>
  <c r="F7" i="40"/>
  <c r="F8" i="40"/>
  <c r="C26" i="19"/>
  <c r="D26" i="19" s="1"/>
  <c r="Y7" i="40" s="1"/>
  <c r="C46" i="21"/>
  <c r="AI18" i="19"/>
  <c r="J36" i="21" s="1"/>
  <c r="AK19" i="19"/>
  <c r="I37" i="21"/>
  <c r="BN14" i="40"/>
  <c r="AP14" i="19"/>
  <c r="BH14" i="40"/>
  <c r="K50" i="40"/>
  <c r="K79" i="40" s="1"/>
  <c r="BH13" i="40"/>
  <c r="BO12" i="40"/>
  <c r="L50" i="40" s="1"/>
  <c r="L79" i="40" s="1"/>
  <c r="H37" i="21"/>
  <c r="BN13" i="40"/>
  <c r="AP13" i="19"/>
  <c r="AQ14" i="19" s="1"/>
  <c r="AQ18" i="19" s="1"/>
  <c r="F59" i="40"/>
  <c r="H57" i="40"/>
  <c r="E6" i="40"/>
  <c r="H29" i="40"/>
  <c r="V58" i="23"/>
  <c r="AB56" i="24"/>
  <c r="T52" i="27"/>
  <c r="AB58" i="46"/>
  <c r="AB50" i="24"/>
  <c r="AB52" i="24"/>
  <c r="V51" i="23"/>
  <c r="AB72" i="29"/>
  <c r="T54" i="22"/>
  <c r="V61" i="28"/>
  <c r="T59" i="27"/>
  <c r="AB50" i="46"/>
  <c r="T55" i="27"/>
  <c r="V56" i="28"/>
  <c r="V50" i="23"/>
  <c r="V53" i="28"/>
  <c r="Y8" i="34"/>
  <c r="AB8" i="34" s="1"/>
  <c r="AB52" i="46"/>
  <c r="AB61" i="24"/>
  <c r="AB54" i="46"/>
  <c r="AB51" i="24"/>
  <c r="V52" i="28"/>
  <c r="T53" i="22"/>
  <c r="V60" i="23"/>
  <c r="G8" i="34"/>
  <c r="I8" i="34" s="1"/>
  <c r="V53" i="23"/>
  <c r="AB60" i="46"/>
  <c r="E74" i="23"/>
  <c r="O62" i="23"/>
  <c r="R62" i="24"/>
  <c r="E74" i="24"/>
  <c r="V54" i="23"/>
  <c r="V56" i="23"/>
  <c r="R62" i="46"/>
  <c r="E74" i="46"/>
  <c r="V59" i="28"/>
  <c r="T51" i="27"/>
  <c r="AB55" i="46"/>
  <c r="P8" i="18"/>
  <c r="R8" i="18" s="1"/>
  <c r="Q8" i="40" s="1"/>
  <c r="G31" i="40" s="1"/>
  <c r="G60" i="40" s="1"/>
  <c r="D86" i="47"/>
  <c r="L74" i="47"/>
  <c r="R74" i="47" s="1"/>
  <c r="V55" i="23"/>
  <c r="V59" i="23"/>
  <c r="T59" i="22"/>
  <c r="T60" i="22"/>
  <c r="O64" i="28"/>
  <c r="E76" i="28"/>
  <c r="D76" i="47"/>
  <c r="L64" i="47"/>
  <c r="R64" i="47" s="1"/>
  <c r="E77" i="23"/>
  <c r="O65" i="23"/>
  <c r="E86" i="22"/>
  <c r="N74" i="22"/>
  <c r="E79" i="28"/>
  <c r="O67" i="28"/>
  <c r="N73" i="22"/>
  <c r="E85" i="22"/>
  <c r="M72" i="22"/>
  <c r="D84" i="22"/>
  <c r="D80" i="46"/>
  <c r="Q68" i="46"/>
  <c r="L73" i="26"/>
  <c r="R73" i="26" s="1"/>
  <c r="D85" i="26"/>
  <c r="E83" i="27"/>
  <c r="N71" i="27"/>
  <c r="R73" i="24"/>
  <c r="E85" i="24"/>
  <c r="O73" i="28"/>
  <c r="E85" i="28"/>
  <c r="L66" i="26"/>
  <c r="R66" i="26" s="1"/>
  <c r="D78" i="26"/>
  <c r="AR9" i="18"/>
  <c r="AV9" i="18" s="1"/>
  <c r="E76" i="29"/>
  <c r="R64" i="29"/>
  <c r="L64" i="26"/>
  <c r="R64" i="26" s="1"/>
  <c r="D76" i="26"/>
  <c r="T57" i="27"/>
  <c r="AB56" i="46"/>
  <c r="AB52" i="29"/>
  <c r="V72" i="28"/>
  <c r="AB51" i="46"/>
  <c r="V61" i="23"/>
  <c r="T51" i="22"/>
  <c r="V57" i="28"/>
  <c r="W7" i="40"/>
  <c r="E75" i="46"/>
  <c r="R63" i="46"/>
  <c r="D84" i="46"/>
  <c r="Q72" i="46"/>
  <c r="D82" i="47"/>
  <c r="L70" i="47"/>
  <c r="R70" i="47" s="1"/>
  <c r="D76" i="23"/>
  <c r="N64" i="23"/>
  <c r="N65" i="22"/>
  <c r="E77" i="22"/>
  <c r="D84" i="24"/>
  <c r="Q72" i="24"/>
  <c r="M68" i="22"/>
  <c r="D80" i="22"/>
  <c r="V52" i="23"/>
  <c r="D84" i="23"/>
  <c r="N72" i="23"/>
  <c r="D76" i="46"/>
  <c r="Q64" i="46"/>
  <c r="E78" i="24"/>
  <c r="R66" i="24"/>
  <c r="E78" i="46"/>
  <c r="R66" i="46"/>
  <c r="D78" i="47"/>
  <c r="L66" i="47"/>
  <c r="R66" i="47" s="1"/>
  <c r="E85" i="23"/>
  <c r="O73" i="23"/>
  <c r="E77" i="27"/>
  <c r="N65" i="27"/>
  <c r="T52" i="22"/>
  <c r="O65" i="28"/>
  <c r="E77" i="28"/>
  <c r="G8" i="18"/>
  <c r="I8" i="18" s="1"/>
  <c r="L8" i="40" s="1"/>
  <c r="F31" i="40" s="1"/>
  <c r="T58" i="22"/>
  <c r="AB59" i="46"/>
  <c r="Y8" i="18"/>
  <c r="AB8" i="18" s="1"/>
  <c r="D76" i="24"/>
  <c r="Q64" i="24"/>
  <c r="E78" i="23"/>
  <c r="O66" i="23"/>
  <c r="E82" i="22"/>
  <c r="N70" i="22"/>
  <c r="L70" i="26"/>
  <c r="R70" i="26" s="1"/>
  <c r="D82" i="26"/>
  <c r="O71" i="28"/>
  <c r="E83" i="28"/>
  <c r="D75" i="47"/>
  <c r="L63" i="47"/>
  <c r="R63" i="47" s="1"/>
  <c r="R64" i="46"/>
  <c r="E76" i="46"/>
  <c r="R64" i="24"/>
  <c r="E76" i="24"/>
  <c r="E82" i="46"/>
  <c r="R70" i="46"/>
  <c r="O63" i="23"/>
  <c r="E75" i="23"/>
  <c r="E82" i="24"/>
  <c r="R70" i="24"/>
  <c r="P8" i="34"/>
  <c r="R8" i="34" s="1"/>
  <c r="T61" i="27"/>
  <c r="V55" i="28"/>
  <c r="T61" i="22"/>
  <c r="AB53" i="46"/>
  <c r="AB61" i="46"/>
  <c r="AB54" i="24"/>
  <c r="E76" i="22"/>
  <c r="N64" i="22"/>
  <c r="R73" i="46"/>
  <c r="E85" i="46"/>
  <c r="R84" i="29"/>
  <c r="E96" i="29"/>
  <c r="D77" i="47"/>
  <c r="L65" i="47"/>
  <c r="R65" i="47" s="1"/>
  <c r="L73" i="47"/>
  <c r="R73" i="47" s="1"/>
  <c r="D85" i="47"/>
  <c r="N66" i="22"/>
  <c r="E78" i="22"/>
  <c r="Q68" i="24"/>
  <c r="D80" i="24"/>
  <c r="E82" i="23"/>
  <c r="O70" i="23"/>
  <c r="L63" i="26"/>
  <c r="R63" i="26" s="1"/>
  <c r="D75" i="26"/>
  <c r="E76" i="23"/>
  <c r="O64" i="23"/>
  <c r="N73" i="27"/>
  <c r="E85" i="27"/>
  <c r="N63" i="22"/>
  <c r="E75" i="22"/>
  <c r="E77" i="46"/>
  <c r="R65" i="46"/>
  <c r="D76" i="31"/>
  <c r="L64" i="31"/>
  <c r="R64" i="31" s="1"/>
  <c r="R63" i="24"/>
  <c r="E75" i="24"/>
  <c r="N64" i="27"/>
  <c r="E76" i="27"/>
  <c r="D80" i="23"/>
  <c r="N68" i="23"/>
  <c r="N67" i="27"/>
  <c r="E79" i="27"/>
  <c r="M64" i="22"/>
  <c r="D76" i="22"/>
  <c r="D98" i="26"/>
  <c r="L86" i="26"/>
  <c r="R86" i="26" s="1"/>
  <c r="D82" i="22"/>
  <c r="M70" i="22"/>
  <c r="R68" i="46"/>
  <c r="E80" i="46"/>
  <c r="N68" i="27"/>
  <c r="E80" i="27"/>
  <c r="D96" i="31"/>
  <c r="L84" i="31"/>
  <c r="R84" i="31" s="1"/>
  <c r="D79" i="47"/>
  <c r="L67" i="47"/>
  <c r="R67" i="47" s="1"/>
  <c r="D83" i="24"/>
  <c r="Q71" i="24"/>
  <c r="D77" i="28"/>
  <c r="N65" i="28"/>
  <c r="E80" i="29"/>
  <c r="R68" i="29"/>
  <c r="E90" i="28"/>
  <c r="O78" i="28"/>
  <c r="D81" i="27"/>
  <c r="M69" i="27"/>
  <c r="T72" i="27"/>
  <c r="D78" i="29"/>
  <c r="Q66" i="29"/>
  <c r="AB66" i="29" s="1"/>
  <c r="D96" i="29"/>
  <c r="Q84" i="29"/>
  <c r="D79" i="28"/>
  <c r="N67" i="28"/>
  <c r="E91" i="29"/>
  <c r="R79" i="29"/>
  <c r="D74" i="22"/>
  <c r="M62" i="22"/>
  <c r="T62" i="22" s="1"/>
  <c r="D76" i="29"/>
  <c r="Q64" i="29"/>
  <c r="E81" i="22"/>
  <c r="N69" i="22"/>
  <c r="D96" i="28"/>
  <c r="N84" i="28"/>
  <c r="E82" i="29"/>
  <c r="R70" i="29"/>
  <c r="AB70" i="29" s="1"/>
  <c r="R72" i="46"/>
  <c r="E84" i="46"/>
  <c r="D75" i="24"/>
  <c r="Q63" i="24"/>
  <c r="D80" i="47"/>
  <c r="L68" i="47"/>
  <c r="R68" i="47" s="1"/>
  <c r="R68" i="24"/>
  <c r="E80" i="24"/>
  <c r="D75" i="46"/>
  <c r="Q63" i="46"/>
  <c r="N70" i="27"/>
  <c r="T70" i="27" s="1"/>
  <c r="E82" i="27"/>
  <c r="N73" i="23"/>
  <c r="D85" i="23"/>
  <c r="M63" i="22"/>
  <c r="D75" i="22"/>
  <c r="AB55" i="24"/>
  <c r="N69" i="27"/>
  <c r="E81" i="27"/>
  <c r="D77" i="23"/>
  <c r="N65" i="23"/>
  <c r="D86" i="29"/>
  <c r="Q74" i="29"/>
  <c r="D80" i="26"/>
  <c r="L68" i="26"/>
  <c r="R68" i="26" s="1"/>
  <c r="N66" i="23"/>
  <c r="D78" i="23"/>
  <c r="Q73" i="46"/>
  <c r="D85" i="46"/>
  <c r="D80" i="31"/>
  <c r="L68" i="31"/>
  <c r="R68" i="31" s="1"/>
  <c r="D81" i="28"/>
  <c r="N69" i="28"/>
  <c r="E90" i="29"/>
  <c r="R78" i="29"/>
  <c r="E89" i="24"/>
  <c r="R77" i="24"/>
  <c r="D81" i="24"/>
  <c r="Q69" i="24"/>
  <c r="D75" i="28"/>
  <c r="N63" i="28"/>
  <c r="AB56" i="29"/>
  <c r="T57" i="22"/>
  <c r="N67" i="23"/>
  <c r="D79" i="23"/>
  <c r="N69" i="23"/>
  <c r="D81" i="23"/>
  <c r="Q66" i="24"/>
  <c r="D78" i="24"/>
  <c r="M68" i="27"/>
  <c r="D80" i="27"/>
  <c r="D77" i="46"/>
  <c r="Q65" i="46"/>
  <c r="D97" i="31"/>
  <c r="L85" i="31"/>
  <c r="R85" i="31" s="1"/>
  <c r="D95" i="31"/>
  <c r="L83" i="31"/>
  <c r="R83" i="31" s="1"/>
  <c r="D91" i="31"/>
  <c r="L79" i="31"/>
  <c r="R79" i="31" s="1"/>
  <c r="E81" i="29"/>
  <c r="R69" i="29"/>
  <c r="D89" i="26"/>
  <c r="L77" i="26"/>
  <c r="R77" i="26" s="1"/>
  <c r="D96" i="27"/>
  <c r="M84" i="27"/>
  <c r="E81" i="24"/>
  <c r="R69" i="24"/>
  <c r="D79" i="29"/>
  <c r="Q67" i="29"/>
  <c r="AB67" i="29" s="1"/>
  <c r="E79" i="24"/>
  <c r="R67" i="24"/>
  <c r="N62" i="23"/>
  <c r="D74" i="23"/>
  <c r="E83" i="24"/>
  <c r="R71" i="24"/>
  <c r="N63" i="27"/>
  <c r="E75" i="27"/>
  <c r="M74" i="27"/>
  <c r="D86" i="27"/>
  <c r="L69" i="47"/>
  <c r="R69" i="47" s="1"/>
  <c r="D81" i="47"/>
  <c r="D85" i="22"/>
  <c r="M73" i="22"/>
  <c r="Q69" i="46"/>
  <c r="D81" i="46"/>
  <c r="AB57" i="29"/>
  <c r="M67" i="27"/>
  <c r="D79" i="27"/>
  <c r="D75" i="31"/>
  <c r="L63" i="31"/>
  <c r="R63" i="31" s="1"/>
  <c r="D76" i="27"/>
  <c r="M64" i="27"/>
  <c r="D83" i="46"/>
  <c r="Q71" i="46"/>
  <c r="D77" i="27"/>
  <c r="M65" i="27"/>
  <c r="E75" i="29"/>
  <c r="R63" i="29"/>
  <c r="D79" i="24"/>
  <c r="Q67" i="24"/>
  <c r="D83" i="22"/>
  <c r="M71" i="22"/>
  <c r="D82" i="31"/>
  <c r="L70" i="31"/>
  <c r="R70" i="31" s="1"/>
  <c r="D85" i="24"/>
  <c r="Q73" i="24"/>
  <c r="D77" i="22"/>
  <c r="M65" i="22"/>
  <c r="D78" i="27"/>
  <c r="M66" i="27"/>
  <c r="T66" i="27" s="1"/>
  <c r="E83" i="22"/>
  <c r="N71" i="22"/>
  <c r="D84" i="47"/>
  <c r="L72" i="47"/>
  <c r="R72" i="47" s="1"/>
  <c r="M71" i="27"/>
  <c r="D83" i="27"/>
  <c r="T55" i="22"/>
  <c r="E82" i="28"/>
  <c r="O70" i="28"/>
  <c r="V70" i="28" s="1"/>
  <c r="AB51" i="29"/>
  <c r="AB57" i="24"/>
  <c r="V51" i="28"/>
  <c r="D80" i="29"/>
  <c r="Q68" i="29"/>
  <c r="D81" i="22"/>
  <c r="M69" i="22"/>
  <c r="E74" i="27"/>
  <c r="N62" i="27"/>
  <c r="T62" i="27" s="1"/>
  <c r="D80" i="28"/>
  <c r="N68" i="28"/>
  <c r="E80" i="28"/>
  <c r="O68" i="28"/>
  <c r="V57" i="23"/>
  <c r="E79" i="22"/>
  <c r="N67" i="22"/>
  <c r="D74" i="31"/>
  <c r="L62" i="31"/>
  <c r="R62" i="31" s="1"/>
  <c r="D78" i="46"/>
  <c r="Q66" i="46"/>
  <c r="D78" i="22"/>
  <c r="M66" i="22"/>
  <c r="D85" i="28"/>
  <c r="N73" i="28"/>
  <c r="D83" i="28"/>
  <c r="N71" i="28"/>
  <c r="E95" i="29"/>
  <c r="R83" i="29"/>
  <c r="D83" i="29"/>
  <c r="Q71" i="29"/>
  <c r="AB71" i="29" s="1"/>
  <c r="O67" i="23"/>
  <c r="E79" i="23"/>
  <c r="N74" i="28"/>
  <c r="D86" i="28"/>
  <c r="E84" i="22"/>
  <c r="N72" i="22"/>
  <c r="D90" i="31"/>
  <c r="L78" i="31"/>
  <c r="R78" i="31" s="1"/>
  <c r="D77" i="24"/>
  <c r="Q65" i="24"/>
  <c r="AB65" i="24" s="1"/>
  <c r="R69" i="46"/>
  <c r="E81" i="46"/>
  <c r="O72" i="23"/>
  <c r="E84" i="23"/>
  <c r="E89" i="29"/>
  <c r="R77" i="29"/>
  <c r="E80" i="23"/>
  <c r="O68" i="23"/>
  <c r="D94" i="27"/>
  <c r="M82" i="27"/>
  <c r="D74" i="46"/>
  <c r="Q62" i="46"/>
  <c r="D83" i="47"/>
  <c r="L71" i="47"/>
  <c r="R71" i="47" s="1"/>
  <c r="D75" i="23"/>
  <c r="N63" i="23"/>
  <c r="M73" i="27"/>
  <c r="D85" i="27"/>
  <c r="E79" i="46"/>
  <c r="R67" i="46"/>
  <c r="AR9" i="34"/>
  <c r="AV9" i="34" s="1"/>
  <c r="R72" i="24"/>
  <c r="E84" i="24"/>
  <c r="N70" i="23"/>
  <c r="D82" i="23"/>
  <c r="E96" i="28"/>
  <c r="O84" i="28"/>
  <c r="E80" i="22"/>
  <c r="N68" i="22"/>
  <c r="N84" i="27"/>
  <c r="E96" i="27"/>
  <c r="Q70" i="24"/>
  <c r="D82" i="24"/>
  <c r="E74" i="29"/>
  <c r="R62" i="29"/>
  <c r="AB62" i="29" s="1"/>
  <c r="D77" i="29"/>
  <c r="Q65" i="29"/>
  <c r="AB65" i="29" s="1"/>
  <c r="D81" i="26"/>
  <c r="L69" i="26"/>
  <c r="R69" i="26" s="1"/>
  <c r="D89" i="31"/>
  <c r="L77" i="31"/>
  <c r="R77" i="31" s="1"/>
  <c r="O69" i="23"/>
  <c r="E81" i="23"/>
  <c r="E74" i="28"/>
  <c r="O62" i="28"/>
  <c r="V62" i="28" s="1"/>
  <c r="D94" i="29"/>
  <c r="Q82" i="29"/>
  <c r="AB59" i="24"/>
  <c r="D81" i="29"/>
  <c r="Q69" i="29"/>
  <c r="AK8" i="40"/>
  <c r="H46" i="40"/>
  <c r="H75" i="40" s="1"/>
  <c r="BC9" i="18"/>
  <c r="BE8" i="18"/>
  <c r="N64" i="28"/>
  <c r="D76" i="28"/>
  <c r="T56" i="27"/>
  <c r="N71" i="23"/>
  <c r="D83" i="23"/>
  <c r="D82" i="46"/>
  <c r="Q70" i="46"/>
  <c r="D94" i="28"/>
  <c r="N82" i="28"/>
  <c r="O71" i="23"/>
  <c r="E83" i="23"/>
  <c r="E75" i="28"/>
  <c r="O63" i="28"/>
  <c r="D78" i="28"/>
  <c r="N66" i="28"/>
  <c r="V66" i="28" s="1"/>
  <c r="E81" i="28"/>
  <c r="O69" i="28"/>
  <c r="E83" i="46"/>
  <c r="R71" i="46"/>
  <c r="L67" i="26"/>
  <c r="R67" i="26" s="1"/>
  <c r="D79" i="26"/>
  <c r="D75" i="27"/>
  <c r="M63" i="27"/>
  <c r="D84" i="26"/>
  <c r="L72" i="26"/>
  <c r="R72" i="26" s="1"/>
  <c r="D85" i="29"/>
  <c r="Q73" i="29"/>
  <c r="AB73" i="29" s="1"/>
  <c r="D79" i="22"/>
  <c r="M67" i="22"/>
  <c r="N78" i="27"/>
  <c r="E90" i="27"/>
  <c r="D81" i="31"/>
  <c r="L69" i="31"/>
  <c r="R69" i="31" s="1"/>
  <c r="D75" i="29"/>
  <c r="Q63" i="29"/>
  <c r="D79" i="46"/>
  <c r="Q67" i="46"/>
  <c r="L71" i="26"/>
  <c r="R71" i="26" s="1"/>
  <c r="D83" i="26"/>
  <c r="E97" i="29"/>
  <c r="R85" i="29"/>
  <c r="Q62" i="24"/>
  <c r="D74" i="24"/>
  <c r="V64" i="23" l="1"/>
  <c r="AB64" i="46"/>
  <c r="I38" i="21"/>
  <c r="H38" i="21"/>
  <c r="K9" i="33"/>
  <c r="AA23" i="39"/>
  <c r="BC8" i="34"/>
  <c r="BE7" i="34"/>
  <c r="AA22" i="39"/>
  <c r="AA18" i="39"/>
  <c r="J9" i="33"/>
  <c r="AA24" i="39"/>
  <c r="L9" i="33"/>
  <c r="C23" i="33" s="1"/>
  <c r="E23" i="33" s="1"/>
  <c r="AA20" i="39"/>
  <c r="D107" i="49"/>
  <c r="L107" i="49" s="1"/>
  <c r="R95" i="49"/>
  <c r="D88" i="49"/>
  <c r="L88" i="49" s="1"/>
  <c r="R76" i="49"/>
  <c r="D109" i="49"/>
  <c r="L109" i="49" s="1"/>
  <c r="R97" i="49"/>
  <c r="D103" i="49"/>
  <c r="L103" i="49" s="1"/>
  <c r="R91" i="49"/>
  <c r="R89" i="49"/>
  <c r="D101" i="49"/>
  <c r="L101" i="49" s="1"/>
  <c r="D108" i="49"/>
  <c r="L108" i="49" s="1"/>
  <c r="R96" i="49"/>
  <c r="D93" i="49"/>
  <c r="L93" i="49" s="1"/>
  <c r="R81" i="49"/>
  <c r="D92" i="49"/>
  <c r="L92" i="49" s="1"/>
  <c r="R80" i="49"/>
  <c r="D94" i="49"/>
  <c r="L94" i="49" s="1"/>
  <c r="R82" i="49"/>
  <c r="D87" i="49"/>
  <c r="L87" i="49" s="1"/>
  <c r="R75" i="49"/>
  <c r="D102" i="49"/>
  <c r="L102" i="49" s="1"/>
  <c r="R90" i="49"/>
  <c r="D86" i="49"/>
  <c r="L86" i="49" s="1"/>
  <c r="R74" i="49"/>
  <c r="AB80" i="48"/>
  <c r="AB72" i="48"/>
  <c r="AB76" i="48"/>
  <c r="AB83" i="48"/>
  <c r="E95" i="48"/>
  <c r="R95" i="48" s="1"/>
  <c r="AB74" i="48"/>
  <c r="D86" i="48"/>
  <c r="Q86" i="48" s="1"/>
  <c r="E100" i="48"/>
  <c r="R100" i="48" s="1"/>
  <c r="D99" i="48"/>
  <c r="Q99" i="48" s="1"/>
  <c r="D105" i="48"/>
  <c r="Q105" i="48" s="1"/>
  <c r="E99" i="48"/>
  <c r="R99" i="48" s="1"/>
  <c r="D96" i="48"/>
  <c r="Q96" i="48" s="1"/>
  <c r="D100" i="48"/>
  <c r="Q100" i="48" s="1"/>
  <c r="D109" i="48"/>
  <c r="Q109" i="48" s="1"/>
  <c r="E96" i="48"/>
  <c r="R96" i="48" s="1"/>
  <c r="E105" i="48"/>
  <c r="R105" i="48" s="1"/>
  <c r="D104" i="48"/>
  <c r="Q104" i="48" s="1"/>
  <c r="E106" i="48"/>
  <c r="R106" i="48" s="1"/>
  <c r="E104" i="48"/>
  <c r="R104" i="48" s="1"/>
  <c r="E98" i="48"/>
  <c r="R98" i="48" s="1"/>
  <c r="E97" i="48"/>
  <c r="R97" i="48" s="1"/>
  <c r="AB85" i="48"/>
  <c r="D107" i="48"/>
  <c r="Q107" i="48" s="1"/>
  <c r="D103" i="48"/>
  <c r="Q103" i="48" s="1"/>
  <c r="AB79" i="48"/>
  <c r="E91" i="48"/>
  <c r="R91" i="48" s="1"/>
  <c r="D101" i="48"/>
  <c r="Q101" i="48" s="1"/>
  <c r="AB78" i="48"/>
  <c r="E90" i="48"/>
  <c r="R90" i="48" s="1"/>
  <c r="E89" i="48"/>
  <c r="R89" i="48" s="1"/>
  <c r="AB77" i="48"/>
  <c r="D102" i="48"/>
  <c r="Q102" i="48" s="1"/>
  <c r="D94" i="48"/>
  <c r="Q94" i="48" s="1"/>
  <c r="AB82" i="48"/>
  <c r="AB81" i="48"/>
  <c r="E44" i="40"/>
  <c r="E73" i="40" s="1"/>
  <c r="E29" i="40"/>
  <c r="E58" i="40" s="1"/>
  <c r="L31" i="40"/>
  <c r="J60" i="40" s="1"/>
  <c r="F45" i="40"/>
  <c r="F74" i="40" s="1"/>
  <c r="E46" i="21"/>
  <c r="J32" i="33"/>
  <c r="AH14" i="39"/>
  <c r="AG14" i="39"/>
  <c r="AJ12" i="39"/>
  <c r="AN13" i="39"/>
  <c r="AL14" i="39"/>
  <c r="AM13" i="39"/>
  <c r="AP11" i="39"/>
  <c r="AO12" i="39"/>
  <c r="G38" i="33"/>
  <c r="AI13" i="39"/>
  <c r="L20" i="39"/>
  <c r="J20" i="39" s="1"/>
  <c r="J24" i="39" s="1"/>
  <c r="L19" i="39"/>
  <c r="J19" i="39" s="1"/>
  <c r="J23" i="39" s="1"/>
  <c r="X19" i="39"/>
  <c r="V67" i="28"/>
  <c r="AB70" i="46"/>
  <c r="G7" i="40"/>
  <c r="AK9" i="40"/>
  <c r="P28" i="19"/>
  <c r="Q28" i="19" s="1"/>
  <c r="AM9" i="40" s="1"/>
  <c r="C27" i="19"/>
  <c r="D27" i="19" s="1"/>
  <c r="Y8" i="40" s="1"/>
  <c r="BO13" i="40"/>
  <c r="L51" i="40" s="1"/>
  <c r="L80" i="40" s="1"/>
  <c r="BO14" i="40"/>
  <c r="L52" i="40" s="1"/>
  <c r="L81" i="40" s="1"/>
  <c r="AQ13" i="19"/>
  <c r="AI19" i="19"/>
  <c r="AK20" i="19"/>
  <c r="AI20" i="19" s="1"/>
  <c r="AO18" i="19"/>
  <c r="J37" i="21" s="1"/>
  <c r="AQ19" i="19"/>
  <c r="K51" i="40"/>
  <c r="K80" i="40" s="1"/>
  <c r="K52" i="40"/>
  <c r="K81" i="40" s="1"/>
  <c r="F60" i="40"/>
  <c r="H58" i="40"/>
  <c r="E7" i="40"/>
  <c r="H30" i="40"/>
  <c r="AB66" i="46"/>
  <c r="AB70" i="24"/>
  <c r="V70" i="23"/>
  <c r="AB72" i="46"/>
  <c r="V62" i="23"/>
  <c r="AB72" i="24"/>
  <c r="T63" i="27"/>
  <c r="V65" i="23"/>
  <c r="T70" i="22"/>
  <c r="G9" i="34"/>
  <c r="I9" i="34" s="1"/>
  <c r="V71" i="28"/>
  <c r="T66" i="22"/>
  <c r="T69" i="22"/>
  <c r="P9" i="34"/>
  <c r="R9" i="34" s="1"/>
  <c r="AB73" i="24"/>
  <c r="AB64" i="29"/>
  <c r="AB84" i="29"/>
  <c r="AB62" i="24"/>
  <c r="V63" i="23"/>
  <c r="AB62" i="46"/>
  <c r="P9" i="18"/>
  <c r="R9" i="18" s="1"/>
  <c r="Q9" i="40" s="1"/>
  <c r="G32" i="40" s="1"/>
  <c r="G61" i="40" s="1"/>
  <c r="V64" i="28"/>
  <c r="T72" i="22"/>
  <c r="AB63" i="24"/>
  <c r="V68" i="23"/>
  <c r="AB68" i="29"/>
  <c r="Y9" i="34"/>
  <c r="AB9" i="34" s="1"/>
  <c r="T67" i="27"/>
  <c r="V73" i="23"/>
  <c r="E86" i="23"/>
  <c r="O74" i="23"/>
  <c r="T64" i="27"/>
  <c r="AB68" i="24"/>
  <c r="V65" i="28"/>
  <c r="AB69" i="29"/>
  <c r="E86" i="46"/>
  <c r="R74" i="46"/>
  <c r="E86" i="24"/>
  <c r="R74" i="24"/>
  <c r="AB73" i="46"/>
  <c r="V66" i="23"/>
  <c r="Y9" i="18"/>
  <c r="AB9" i="18" s="1"/>
  <c r="W8" i="40"/>
  <c r="G9" i="18"/>
  <c r="I9" i="18" s="1"/>
  <c r="L9" i="40" s="1"/>
  <c r="F32" i="40" s="1"/>
  <c r="D98" i="47"/>
  <c r="L86" i="47"/>
  <c r="R86" i="47" s="1"/>
  <c r="AB71" i="46"/>
  <c r="D88" i="22"/>
  <c r="M76" i="22"/>
  <c r="R75" i="24"/>
  <c r="E87" i="24"/>
  <c r="N85" i="27"/>
  <c r="E97" i="27"/>
  <c r="L75" i="26"/>
  <c r="R75" i="26" s="1"/>
  <c r="D87" i="26"/>
  <c r="D92" i="24"/>
  <c r="Q80" i="24"/>
  <c r="D97" i="47"/>
  <c r="L85" i="47"/>
  <c r="R85" i="47" s="1"/>
  <c r="R96" i="29"/>
  <c r="E108" i="29"/>
  <c r="O75" i="23"/>
  <c r="E87" i="23"/>
  <c r="R76" i="24"/>
  <c r="E88" i="24"/>
  <c r="D94" i="26"/>
  <c r="L82" i="26"/>
  <c r="R82" i="26" s="1"/>
  <c r="E97" i="23"/>
  <c r="O85" i="23"/>
  <c r="R78" i="46"/>
  <c r="E90" i="46"/>
  <c r="D88" i="46"/>
  <c r="Q76" i="46"/>
  <c r="D92" i="22"/>
  <c r="M80" i="22"/>
  <c r="E89" i="22"/>
  <c r="N77" i="22"/>
  <c r="E88" i="29"/>
  <c r="R76" i="29"/>
  <c r="O85" i="28"/>
  <c r="E97" i="28"/>
  <c r="N85" i="22"/>
  <c r="E97" i="22"/>
  <c r="AB67" i="46"/>
  <c r="T67" i="22"/>
  <c r="T71" i="27"/>
  <c r="AB63" i="46"/>
  <c r="T64" i="22"/>
  <c r="N80" i="23"/>
  <c r="D92" i="23"/>
  <c r="R77" i="46"/>
  <c r="E89" i="46"/>
  <c r="N76" i="22"/>
  <c r="E88" i="22"/>
  <c r="D87" i="47"/>
  <c r="L75" i="47"/>
  <c r="R75" i="47" s="1"/>
  <c r="O78" i="23"/>
  <c r="E90" i="23"/>
  <c r="D94" i="47"/>
  <c r="L82" i="47"/>
  <c r="R82" i="47" s="1"/>
  <c r="R75" i="46"/>
  <c r="E87" i="46"/>
  <c r="N83" i="27"/>
  <c r="E95" i="27"/>
  <c r="D92" i="46"/>
  <c r="Q80" i="46"/>
  <c r="E98" i="22"/>
  <c r="N86" i="22"/>
  <c r="D88" i="47"/>
  <c r="L76" i="47"/>
  <c r="R76" i="47" s="1"/>
  <c r="AR10" i="18"/>
  <c r="AV10" i="18" s="1"/>
  <c r="V73" i="28"/>
  <c r="T65" i="22"/>
  <c r="AB67" i="24"/>
  <c r="T65" i="27"/>
  <c r="AB69" i="46"/>
  <c r="T68" i="27"/>
  <c r="AB66" i="24"/>
  <c r="T63" i="22"/>
  <c r="E91" i="27"/>
  <c r="N79" i="27"/>
  <c r="E88" i="27"/>
  <c r="N76" i="27"/>
  <c r="E87" i="22"/>
  <c r="N75" i="22"/>
  <c r="N78" i="22"/>
  <c r="E90" i="22"/>
  <c r="R85" i="46"/>
  <c r="E97" i="46"/>
  <c r="R76" i="46"/>
  <c r="E88" i="46"/>
  <c r="O83" i="28"/>
  <c r="E95" i="28"/>
  <c r="AB64" i="24"/>
  <c r="E89" i="28"/>
  <c r="O77" i="28"/>
  <c r="E89" i="27"/>
  <c r="N77" i="27"/>
  <c r="D90" i="47"/>
  <c r="L78" i="47"/>
  <c r="R78" i="47" s="1"/>
  <c r="E90" i="24"/>
  <c r="R78" i="24"/>
  <c r="N84" i="23"/>
  <c r="D96" i="23"/>
  <c r="L78" i="26"/>
  <c r="R78" i="26" s="1"/>
  <c r="D90" i="26"/>
  <c r="E97" i="24"/>
  <c r="R85" i="24"/>
  <c r="L85" i="26"/>
  <c r="R85" i="26" s="1"/>
  <c r="D97" i="26"/>
  <c r="D96" i="22"/>
  <c r="M84" i="22"/>
  <c r="E88" i="28"/>
  <c r="O76" i="28"/>
  <c r="AB63" i="29"/>
  <c r="T68" i="22"/>
  <c r="T73" i="27"/>
  <c r="V72" i="23"/>
  <c r="T73" i="22"/>
  <c r="AB65" i="46"/>
  <c r="V63" i="28"/>
  <c r="AB68" i="46"/>
  <c r="L76" i="31"/>
  <c r="R76" i="31" s="1"/>
  <c r="D88" i="31"/>
  <c r="E88" i="23"/>
  <c r="O76" i="23"/>
  <c r="O82" i="23"/>
  <c r="E94" i="23"/>
  <c r="D89" i="47"/>
  <c r="L77" i="47"/>
  <c r="R77" i="47" s="1"/>
  <c r="R82" i="24"/>
  <c r="E94" i="24"/>
  <c r="R82" i="46"/>
  <c r="E94" i="46"/>
  <c r="N82" i="22"/>
  <c r="E94" i="22"/>
  <c r="Q76" i="24"/>
  <c r="D88" i="24"/>
  <c r="D96" i="24"/>
  <c r="Q84" i="24"/>
  <c r="D88" i="23"/>
  <c r="N76" i="23"/>
  <c r="D96" i="46"/>
  <c r="Q84" i="46"/>
  <c r="D88" i="26"/>
  <c r="L76" i="26"/>
  <c r="R76" i="26" s="1"/>
  <c r="O79" i="28"/>
  <c r="E91" i="28"/>
  <c r="E89" i="23"/>
  <c r="O77" i="23"/>
  <c r="D90" i="28"/>
  <c r="N78" i="28"/>
  <c r="V78" i="28" s="1"/>
  <c r="D106" i="29"/>
  <c r="Q94" i="29"/>
  <c r="L81" i="26"/>
  <c r="R81" i="26" s="1"/>
  <c r="D93" i="26"/>
  <c r="N96" i="27"/>
  <c r="E108" i="27"/>
  <c r="R84" i="24"/>
  <c r="E96" i="24"/>
  <c r="D90" i="22"/>
  <c r="M78" i="22"/>
  <c r="E93" i="24"/>
  <c r="R81" i="24"/>
  <c r="D101" i="26"/>
  <c r="L89" i="26"/>
  <c r="R89" i="26" s="1"/>
  <c r="E93" i="29"/>
  <c r="R81" i="29"/>
  <c r="Q77" i="46"/>
  <c r="D89" i="46"/>
  <c r="D93" i="23"/>
  <c r="N81" i="23"/>
  <c r="D90" i="23"/>
  <c r="N78" i="23"/>
  <c r="D97" i="23"/>
  <c r="N85" i="23"/>
  <c r="D95" i="24"/>
  <c r="Q83" i="24"/>
  <c r="D110" i="26"/>
  <c r="L98" i="26"/>
  <c r="R98" i="26" s="1"/>
  <c r="D106" i="27"/>
  <c r="M94" i="27"/>
  <c r="D89" i="24"/>
  <c r="Q77" i="24"/>
  <c r="AB77" i="24" s="1"/>
  <c r="E96" i="22"/>
  <c r="N84" i="22"/>
  <c r="E91" i="23"/>
  <c r="O79" i="23"/>
  <c r="E86" i="27"/>
  <c r="N74" i="27"/>
  <c r="T74" i="27" s="1"/>
  <c r="T84" i="27"/>
  <c r="D107" i="31"/>
  <c r="L95" i="31"/>
  <c r="R95" i="31" s="1"/>
  <c r="D92" i="27"/>
  <c r="M80" i="27"/>
  <c r="V69" i="23"/>
  <c r="D87" i="28"/>
  <c r="N75" i="28"/>
  <c r="E101" i="24"/>
  <c r="R89" i="24"/>
  <c r="E102" i="29"/>
  <c r="R90" i="29"/>
  <c r="D92" i="31"/>
  <c r="L80" i="31"/>
  <c r="R80" i="31" s="1"/>
  <c r="D98" i="29"/>
  <c r="Q86" i="29"/>
  <c r="D89" i="23"/>
  <c r="N77" i="23"/>
  <c r="D92" i="47"/>
  <c r="L80" i="47"/>
  <c r="R80" i="47" s="1"/>
  <c r="N96" i="28"/>
  <c r="D108" i="28"/>
  <c r="D88" i="29"/>
  <c r="Q76" i="29"/>
  <c r="R91" i="29"/>
  <c r="E103" i="29"/>
  <c r="D108" i="29"/>
  <c r="Q96" i="29"/>
  <c r="N80" i="27"/>
  <c r="E92" i="27"/>
  <c r="D87" i="29"/>
  <c r="Q75" i="29"/>
  <c r="N90" i="27"/>
  <c r="E102" i="27"/>
  <c r="D87" i="27"/>
  <c r="M75" i="27"/>
  <c r="E93" i="28"/>
  <c r="O81" i="28"/>
  <c r="O75" i="28"/>
  <c r="E87" i="28"/>
  <c r="V71" i="23"/>
  <c r="E86" i="28"/>
  <c r="O74" i="28"/>
  <c r="V74" i="28" s="1"/>
  <c r="D101" i="31"/>
  <c r="L89" i="31"/>
  <c r="R89" i="31" s="1"/>
  <c r="D89" i="29"/>
  <c r="Q77" i="29"/>
  <c r="AB77" i="29" s="1"/>
  <c r="Q82" i="24"/>
  <c r="D94" i="24"/>
  <c r="D94" i="23"/>
  <c r="N82" i="23"/>
  <c r="E93" i="46"/>
  <c r="R81" i="46"/>
  <c r="D98" i="28"/>
  <c r="N86" i="28"/>
  <c r="R95" i="29"/>
  <c r="E107" i="29"/>
  <c r="D97" i="28"/>
  <c r="N85" i="28"/>
  <c r="D86" i="31"/>
  <c r="L74" i="31"/>
  <c r="R74" i="31" s="1"/>
  <c r="V68" i="28"/>
  <c r="E94" i="28"/>
  <c r="O82" i="28"/>
  <c r="V82" i="28" s="1"/>
  <c r="E87" i="29"/>
  <c r="R75" i="29"/>
  <c r="Q83" i="46"/>
  <c r="D95" i="46"/>
  <c r="D88" i="27"/>
  <c r="M76" i="27"/>
  <c r="D87" i="31"/>
  <c r="L75" i="31"/>
  <c r="R75" i="31" s="1"/>
  <c r="D97" i="22"/>
  <c r="M85" i="22"/>
  <c r="M86" i="27"/>
  <c r="D98" i="27"/>
  <c r="D91" i="29"/>
  <c r="Q79" i="29"/>
  <c r="AB79" i="29" s="1"/>
  <c r="M96" i="27"/>
  <c r="D108" i="27"/>
  <c r="D103" i="31"/>
  <c r="L91" i="31"/>
  <c r="R91" i="31" s="1"/>
  <c r="D109" i="31"/>
  <c r="L97" i="31"/>
  <c r="R97" i="31" s="1"/>
  <c r="Q78" i="24"/>
  <c r="D90" i="24"/>
  <c r="D91" i="23"/>
  <c r="N79" i="23"/>
  <c r="AB69" i="24"/>
  <c r="V69" i="28"/>
  <c r="Q85" i="46"/>
  <c r="AB85" i="46" s="1"/>
  <c r="D97" i="46"/>
  <c r="N81" i="27"/>
  <c r="E93" i="27"/>
  <c r="M75" i="22"/>
  <c r="D87" i="22"/>
  <c r="N82" i="27"/>
  <c r="T82" i="27" s="1"/>
  <c r="E94" i="27"/>
  <c r="R84" i="46"/>
  <c r="E96" i="46"/>
  <c r="O90" i="28"/>
  <c r="E102" i="28"/>
  <c r="N77" i="28"/>
  <c r="V77" i="28" s="1"/>
  <c r="D89" i="28"/>
  <c r="D91" i="47"/>
  <c r="L79" i="47"/>
  <c r="R79" i="47" s="1"/>
  <c r="D108" i="31"/>
  <c r="L96" i="31"/>
  <c r="R96" i="31" s="1"/>
  <c r="D94" i="22"/>
  <c r="M82" i="22"/>
  <c r="Q74" i="24"/>
  <c r="D86" i="24"/>
  <c r="D91" i="46"/>
  <c r="Q79" i="46"/>
  <c r="D93" i="31"/>
  <c r="L81" i="31"/>
  <c r="R81" i="31" s="1"/>
  <c r="E95" i="46"/>
  <c r="R83" i="46"/>
  <c r="D106" i="28"/>
  <c r="N94" i="28"/>
  <c r="D94" i="46"/>
  <c r="Q82" i="46"/>
  <c r="D88" i="28"/>
  <c r="N76" i="28"/>
  <c r="E91" i="46"/>
  <c r="R79" i="46"/>
  <c r="D87" i="23"/>
  <c r="N75" i="23"/>
  <c r="Q74" i="46"/>
  <c r="D86" i="46"/>
  <c r="E96" i="23"/>
  <c r="O84" i="23"/>
  <c r="D95" i="29"/>
  <c r="Q83" i="29"/>
  <c r="AB83" i="29" s="1"/>
  <c r="D95" i="28"/>
  <c r="N83" i="28"/>
  <c r="D90" i="46"/>
  <c r="Q78" i="46"/>
  <c r="E91" i="22"/>
  <c r="N79" i="22"/>
  <c r="D95" i="27"/>
  <c r="M83" i="27"/>
  <c r="T71" i="22"/>
  <c r="D91" i="24"/>
  <c r="Q79" i="24"/>
  <c r="M77" i="27"/>
  <c r="D89" i="27"/>
  <c r="E87" i="27"/>
  <c r="N75" i="27"/>
  <c r="D86" i="23"/>
  <c r="N74" i="23"/>
  <c r="R80" i="24"/>
  <c r="E92" i="24"/>
  <c r="V84" i="28"/>
  <c r="D93" i="27"/>
  <c r="M81" i="27"/>
  <c r="E92" i="29"/>
  <c r="R80" i="29"/>
  <c r="R97" i="29"/>
  <c r="E109" i="29"/>
  <c r="D91" i="22"/>
  <c r="M79" i="22"/>
  <c r="D97" i="29"/>
  <c r="Q85" i="29"/>
  <c r="AB85" i="29" s="1"/>
  <c r="L79" i="26"/>
  <c r="R79" i="26" s="1"/>
  <c r="D91" i="26"/>
  <c r="D95" i="23"/>
  <c r="N83" i="23"/>
  <c r="D93" i="29"/>
  <c r="Q81" i="29"/>
  <c r="E86" i="29"/>
  <c r="R74" i="29"/>
  <c r="AB74" i="29" s="1"/>
  <c r="O96" i="28"/>
  <c r="E108" i="28"/>
  <c r="D97" i="27"/>
  <c r="M85" i="27"/>
  <c r="AR10" i="34"/>
  <c r="AV10" i="34" s="1"/>
  <c r="E92" i="28"/>
  <c r="O80" i="28"/>
  <c r="D92" i="29"/>
  <c r="Q80" i="29"/>
  <c r="E95" i="22"/>
  <c r="N83" i="22"/>
  <c r="D97" i="24"/>
  <c r="Q85" i="24"/>
  <c r="D95" i="22"/>
  <c r="M83" i="22"/>
  <c r="L83" i="26"/>
  <c r="R83" i="26" s="1"/>
  <c r="D95" i="26"/>
  <c r="D96" i="26"/>
  <c r="L84" i="26"/>
  <c r="R84" i="26" s="1"/>
  <c r="E95" i="23"/>
  <c r="O83" i="23"/>
  <c r="BC10" i="18"/>
  <c r="BE9" i="18"/>
  <c r="E93" i="23"/>
  <c r="O81" i="23"/>
  <c r="E92" i="22"/>
  <c r="N80" i="22"/>
  <c r="D95" i="47"/>
  <c r="L83" i="47"/>
  <c r="R83" i="47" s="1"/>
  <c r="E92" i="23"/>
  <c r="O80" i="23"/>
  <c r="R89" i="29"/>
  <c r="E101" i="29"/>
  <c r="D102" i="31"/>
  <c r="L90" i="31"/>
  <c r="R90" i="31" s="1"/>
  <c r="D92" i="28"/>
  <c r="N80" i="28"/>
  <c r="D93" i="22"/>
  <c r="M81" i="22"/>
  <c r="D96" i="47"/>
  <c r="L84" i="47"/>
  <c r="R84" i="47" s="1"/>
  <c r="D90" i="27"/>
  <c r="M78" i="27"/>
  <c r="T78" i="27" s="1"/>
  <c r="D89" i="22"/>
  <c r="M77" i="22"/>
  <c r="D94" i="31"/>
  <c r="L82" i="31"/>
  <c r="R82" i="31" s="1"/>
  <c r="D91" i="27"/>
  <c r="M79" i="27"/>
  <c r="Q81" i="46"/>
  <c r="D93" i="46"/>
  <c r="D93" i="47"/>
  <c r="L81" i="47"/>
  <c r="R81" i="47" s="1"/>
  <c r="E95" i="24"/>
  <c r="R83" i="24"/>
  <c r="E91" i="24"/>
  <c r="R79" i="24"/>
  <c r="V67" i="23"/>
  <c r="D93" i="24"/>
  <c r="Q81" i="24"/>
  <c r="D93" i="28"/>
  <c r="N81" i="28"/>
  <c r="D92" i="26"/>
  <c r="L80" i="26"/>
  <c r="R80" i="26" s="1"/>
  <c r="D87" i="46"/>
  <c r="Q75" i="46"/>
  <c r="D87" i="24"/>
  <c r="Q75" i="24"/>
  <c r="E94" i="29"/>
  <c r="R82" i="29"/>
  <c r="AB82" i="29" s="1"/>
  <c r="E93" i="22"/>
  <c r="N81" i="22"/>
  <c r="M74" i="22"/>
  <c r="T74" i="22" s="1"/>
  <c r="D86" i="22"/>
  <c r="D91" i="28"/>
  <c r="N79" i="28"/>
  <c r="D90" i="29"/>
  <c r="Q78" i="29"/>
  <c r="AB78" i="29" s="1"/>
  <c r="T69" i="27"/>
  <c r="AB71" i="24"/>
  <c r="E92" i="46"/>
  <c r="R80" i="46"/>
  <c r="T76" i="27" l="1"/>
  <c r="BC9" i="34"/>
  <c r="BE8" i="34"/>
  <c r="D98" i="49"/>
  <c r="L98" i="49" s="1"/>
  <c r="R86" i="49"/>
  <c r="D99" i="49"/>
  <c r="L99" i="49" s="1"/>
  <c r="R87" i="49"/>
  <c r="R92" i="49"/>
  <c r="D104" i="49"/>
  <c r="L104" i="49" s="1"/>
  <c r="R108" i="49"/>
  <c r="D120" i="49"/>
  <c r="L120" i="49" s="1"/>
  <c r="D115" i="49"/>
  <c r="L115" i="49" s="1"/>
  <c r="R103" i="49"/>
  <c r="D100" i="49"/>
  <c r="L100" i="49" s="1"/>
  <c r="R88" i="49"/>
  <c r="D113" i="49"/>
  <c r="L113" i="49" s="1"/>
  <c r="R101" i="49"/>
  <c r="D114" i="49"/>
  <c r="L114" i="49" s="1"/>
  <c r="R102" i="49"/>
  <c r="D106" i="49"/>
  <c r="L106" i="49" s="1"/>
  <c r="R94" i="49"/>
  <c r="D105" i="49"/>
  <c r="L105" i="49" s="1"/>
  <c r="R93" i="49"/>
  <c r="D121" i="49"/>
  <c r="L121" i="49" s="1"/>
  <c r="R109" i="49"/>
  <c r="D119" i="49"/>
  <c r="L119" i="49" s="1"/>
  <c r="R107" i="49"/>
  <c r="AB88" i="48"/>
  <c r="AB92" i="48"/>
  <c r="AB94" i="48"/>
  <c r="D106" i="48"/>
  <c r="Q106" i="48" s="1"/>
  <c r="E101" i="48"/>
  <c r="R101" i="48" s="1"/>
  <c r="AB89" i="48"/>
  <c r="D113" i="48"/>
  <c r="Q113" i="48" s="1"/>
  <c r="D115" i="48"/>
  <c r="Q115" i="48" s="1"/>
  <c r="E109" i="48"/>
  <c r="R109" i="48" s="1"/>
  <c r="D116" i="48"/>
  <c r="Q116" i="48" s="1"/>
  <c r="E111" i="48"/>
  <c r="R111" i="48" s="1"/>
  <c r="D111" i="48"/>
  <c r="Q111" i="48" s="1"/>
  <c r="E102" i="48"/>
  <c r="R102" i="48" s="1"/>
  <c r="AB90" i="48"/>
  <c r="E103" i="48"/>
  <c r="R103" i="48" s="1"/>
  <c r="AB91" i="48"/>
  <c r="E117" i="48"/>
  <c r="R117" i="48" s="1"/>
  <c r="E108" i="48"/>
  <c r="R108" i="48" s="1"/>
  <c r="AB97" i="48"/>
  <c r="D108" i="48"/>
  <c r="Q108" i="48" s="1"/>
  <c r="AB93" i="48"/>
  <c r="E112" i="48"/>
  <c r="R112" i="48" s="1"/>
  <c r="D114" i="48"/>
  <c r="Q114" i="48" s="1"/>
  <c r="D119" i="48"/>
  <c r="Q119" i="48" s="1"/>
  <c r="E110" i="48"/>
  <c r="R110" i="48" s="1"/>
  <c r="E118" i="48"/>
  <c r="R118" i="48" s="1"/>
  <c r="D121" i="48"/>
  <c r="Q121" i="48" s="1"/>
  <c r="AB84" i="48"/>
  <c r="D117" i="48"/>
  <c r="Q117" i="48" s="1"/>
  <c r="E107" i="48"/>
  <c r="R107" i="48" s="1"/>
  <c r="AB95" i="48"/>
  <c r="E116" i="48"/>
  <c r="R116" i="48" s="1"/>
  <c r="D112" i="48"/>
  <c r="Q112" i="48" s="1"/>
  <c r="AB87" i="48"/>
  <c r="D98" i="48"/>
  <c r="Q98" i="48" s="1"/>
  <c r="AB86" i="48"/>
  <c r="E30" i="40"/>
  <c r="E59" i="40" s="1"/>
  <c r="E45" i="40"/>
  <c r="E74" i="40" s="1"/>
  <c r="H47" i="40"/>
  <c r="H76" i="40" s="1"/>
  <c r="L32" i="40"/>
  <c r="J61" i="40" s="1"/>
  <c r="F46" i="40"/>
  <c r="F75" i="40" s="1"/>
  <c r="K32" i="33"/>
  <c r="L32" i="33"/>
  <c r="AJ13" i="39"/>
  <c r="AP12" i="39"/>
  <c r="AN14" i="39"/>
  <c r="AM14" i="39"/>
  <c r="AO13" i="39"/>
  <c r="AP13" i="39" s="1"/>
  <c r="H38" i="33"/>
  <c r="AI14" i="39"/>
  <c r="AJ14" i="39" s="1"/>
  <c r="AJ18" i="39" s="1"/>
  <c r="X18" i="39"/>
  <c r="X20" i="39"/>
  <c r="AD20" i="39"/>
  <c r="AB20" i="39" s="1"/>
  <c r="AB24" i="39" s="1"/>
  <c r="L36" i="21"/>
  <c r="C47" i="21" s="1"/>
  <c r="E47" i="21" s="1"/>
  <c r="BH16" i="40"/>
  <c r="K83" i="40"/>
  <c r="K54" i="40" s="1"/>
  <c r="K36" i="21"/>
  <c r="BH15" i="40"/>
  <c r="K82" i="40"/>
  <c r="K53" i="40" s="1"/>
  <c r="T77" i="22"/>
  <c r="AB77" i="46"/>
  <c r="T85" i="27"/>
  <c r="AB74" i="46"/>
  <c r="AB74" i="24"/>
  <c r="G8" i="40"/>
  <c r="F9" i="40"/>
  <c r="P29" i="19"/>
  <c r="Q29" i="19" s="1"/>
  <c r="AM10" i="40" s="1"/>
  <c r="C28" i="19"/>
  <c r="D28" i="19" s="1"/>
  <c r="Y9" i="40" s="1"/>
  <c r="L83" i="40"/>
  <c r="L54" i="40" s="1"/>
  <c r="L82" i="40"/>
  <c r="L53" i="40" s="1"/>
  <c r="AQ20" i="19"/>
  <c r="AO20" i="19" s="1"/>
  <c r="AO19" i="19"/>
  <c r="H59" i="40"/>
  <c r="F61" i="40"/>
  <c r="E8" i="40"/>
  <c r="H31" i="40"/>
  <c r="V74" i="23"/>
  <c r="AB78" i="46"/>
  <c r="AB75" i="24"/>
  <c r="T75" i="22"/>
  <c r="AB81" i="24"/>
  <c r="V84" i="23"/>
  <c r="AB96" i="29"/>
  <c r="V79" i="28"/>
  <c r="V78" i="23"/>
  <c r="V80" i="23"/>
  <c r="AB80" i="24"/>
  <c r="AB76" i="46"/>
  <c r="AB75" i="46"/>
  <c r="T79" i="22"/>
  <c r="V77" i="23"/>
  <c r="AB84" i="46"/>
  <c r="V85" i="28"/>
  <c r="AB85" i="24"/>
  <c r="T83" i="27"/>
  <c r="Y10" i="18"/>
  <c r="AB10" i="18" s="1"/>
  <c r="T80" i="22"/>
  <c r="V83" i="28"/>
  <c r="G10" i="34"/>
  <c r="I10" i="34" s="1"/>
  <c r="AB82" i="46"/>
  <c r="AB80" i="46"/>
  <c r="P10" i="18"/>
  <c r="R10" i="18" s="1"/>
  <c r="Q10" i="40" s="1"/>
  <c r="G33" i="40" s="1"/>
  <c r="G62" i="40" s="1"/>
  <c r="T79" i="27"/>
  <c r="V80" i="28"/>
  <c r="AB80" i="29"/>
  <c r="AB76" i="29"/>
  <c r="T81" i="27"/>
  <c r="T85" i="22"/>
  <c r="AB84" i="24"/>
  <c r="V75" i="23"/>
  <c r="V76" i="28"/>
  <c r="W9" i="40"/>
  <c r="Y10" i="34"/>
  <c r="AB10" i="34" s="1"/>
  <c r="T81" i="22"/>
  <c r="E98" i="23"/>
  <c r="O86" i="23"/>
  <c r="T78" i="22"/>
  <c r="P10" i="34"/>
  <c r="R10" i="34" s="1"/>
  <c r="R86" i="24"/>
  <c r="E98" i="24"/>
  <c r="E98" i="46"/>
  <c r="R86" i="46"/>
  <c r="AB81" i="46"/>
  <c r="V96" i="28"/>
  <c r="AB81" i="29"/>
  <c r="T80" i="27"/>
  <c r="T83" i="22"/>
  <c r="AB76" i="24"/>
  <c r="T76" i="22"/>
  <c r="D110" i="47"/>
  <c r="L98" i="47"/>
  <c r="R98" i="47" s="1"/>
  <c r="T77" i="27"/>
  <c r="T82" i="22"/>
  <c r="AB82" i="24"/>
  <c r="AK10" i="40"/>
  <c r="E101" i="23"/>
  <c r="O89" i="23"/>
  <c r="D100" i="26"/>
  <c r="L88" i="26"/>
  <c r="R88" i="26" s="1"/>
  <c r="D100" i="23"/>
  <c r="N88" i="23"/>
  <c r="D101" i="47"/>
  <c r="L89" i="47"/>
  <c r="R89" i="47" s="1"/>
  <c r="E100" i="23"/>
  <c r="O88" i="23"/>
  <c r="L97" i="26"/>
  <c r="R97" i="26" s="1"/>
  <c r="D109" i="26"/>
  <c r="L90" i="26"/>
  <c r="R90" i="26" s="1"/>
  <c r="D102" i="26"/>
  <c r="N96" i="23"/>
  <c r="D108" i="23"/>
  <c r="N87" i="22"/>
  <c r="E99" i="22"/>
  <c r="E103" i="27"/>
  <c r="N91" i="27"/>
  <c r="L88" i="47"/>
  <c r="R88" i="47" s="1"/>
  <c r="D100" i="47"/>
  <c r="D104" i="46"/>
  <c r="Q92" i="46"/>
  <c r="E100" i="29"/>
  <c r="R88" i="29"/>
  <c r="D104" i="22"/>
  <c r="M92" i="22"/>
  <c r="L94" i="26"/>
  <c r="R94" i="26" s="1"/>
  <c r="D106" i="26"/>
  <c r="D109" i="47"/>
  <c r="L97" i="47"/>
  <c r="R97" i="47" s="1"/>
  <c r="AB79" i="24"/>
  <c r="V82" i="23"/>
  <c r="AB83" i="24"/>
  <c r="E103" i="28"/>
  <c r="O91" i="28"/>
  <c r="E106" i="22"/>
  <c r="N94" i="22"/>
  <c r="R94" i="24"/>
  <c r="E106" i="24"/>
  <c r="E106" i="23"/>
  <c r="O94" i="23"/>
  <c r="L88" i="31"/>
  <c r="R88" i="31" s="1"/>
  <c r="D100" i="31"/>
  <c r="E100" i="28"/>
  <c r="O88" i="28"/>
  <c r="D102" i="47"/>
  <c r="L90" i="47"/>
  <c r="R90" i="47" s="1"/>
  <c r="O89" i="28"/>
  <c r="E101" i="28"/>
  <c r="R88" i="46"/>
  <c r="E100" i="46"/>
  <c r="N90" i="22"/>
  <c r="E102" i="22"/>
  <c r="E107" i="27"/>
  <c r="N95" i="27"/>
  <c r="R89" i="46"/>
  <c r="E101" i="46"/>
  <c r="O97" i="28"/>
  <c r="E109" i="28"/>
  <c r="R88" i="24"/>
  <c r="E100" i="24"/>
  <c r="E120" i="29"/>
  <c r="R108" i="29"/>
  <c r="N97" i="27"/>
  <c r="E109" i="27"/>
  <c r="Q96" i="46"/>
  <c r="D108" i="46"/>
  <c r="D108" i="24"/>
  <c r="Q96" i="24"/>
  <c r="N88" i="27"/>
  <c r="E100" i="27"/>
  <c r="E110" i="22"/>
  <c r="N98" i="22"/>
  <c r="D106" i="47"/>
  <c r="L94" i="47"/>
  <c r="R94" i="47" s="1"/>
  <c r="D99" i="47"/>
  <c r="L87" i="47"/>
  <c r="R87" i="47" s="1"/>
  <c r="E101" i="22"/>
  <c r="N89" i="22"/>
  <c r="Q88" i="46"/>
  <c r="D100" i="46"/>
  <c r="O97" i="23"/>
  <c r="E109" i="23"/>
  <c r="D104" i="24"/>
  <c r="Q92" i="24"/>
  <c r="D100" i="22"/>
  <c r="M88" i="22"/>
  <c r="G10" i="18"/>
  <c r="I10" i="18" s="1"/>
  <c r="L10" i="40" s="1"/>
  <c r="F33" i="40" s="1"/>
  <c r="AB78" i="24"/>
  <c r="T84" i="22"/>
  <c r="V85" i="23"/>
  <c r="D100" i="24"/>
  <c r="Q88" i="24"/>
  <c r="E106" i="46"/>
  <c r="R94" i="46"/>
  <c r="V76" i="23"/>
  <c r="M96" i="22"/>
  <c r="D108" i="22"/>
  <c r="R97" i="24"/>
  <c r="E109" i="24"/>
  <c r="E102" i="24"/>
  <c r="R90" i="24"/>
  <c r="N89" i="27"/>
  <c r="E101" i="27"/>
  <c r="E107" i="28"/>
  <c r="O95" i="28"/>
  <c r="R97" i="46"/>
  <c r="E109" i="46"/>
  <c r="E99" i="46"/>
  <c r="R87" i="46"/>
  <c r="O90" i="23"/>
  <c r="E102" i="23"/>
  <c r="N88" i="22"/>
  <c r="E100" i="22"/>
  <c r="N92" i="23"/>
  <c r="D104" i="23"/>
  <c r="E109" i="22"/>
  <c r="N97" i="22"/>
  <c r="R90" i="46"/>
  <c r="E102" i="46"/>
  <c r="E99" i="23"/>
  <c r="O87" i="23"/>
  <c r="D99" i="26"/>
  <c r="L87" i="26"/>
  <c r="R87" i="26" s="1"/>
  <c r="R87" i="24"/>
  <c r="E99" i="24"/>
  <c r="M95" i="27"/>
  <c r="D107" i="27"/>
  <c r="N95" i="28"/>
  <c r="D107" i="28"/>
  <c r="Q94" i="46"/>
  <c r="D106" i="46"/>
  <c r="D109" i="46"/>
  <c r="Q97" i="46"/>
  <c r="D107" i="46"/>
  <c r="Q95" i="46"/>
  <c r="D98" i="31"/>
  <c r="L86" i="31"/>
  <c r="R86" i="31" s="1"/>
  <c r="E113" i="24"/>
  <c r="R101" i="24"/>
  <c r="N91" i="28"/>
  <c r="D103" i="28"/>
  <c r="E105" i="22"/>
  <c r="N93" i="22"/>
  <c r="D99" i="24"/>
  <c r="Q87" i="24"/>
  <c r="V81" i="28"/>
  <c r="E103" i="24"/>
  <c r="R91" i="24"/>
  <c r="E104" i="23"/>
  <c r="O92" i="23"/>
  <c r="E104" i="22"/>
  <c r="N92" i="22"/>
  <c r="L95" i="26"/>
  <c r="R95" i="26" s="1"/>
  <c r="D107" i="26"/>
  <c r="D107" i="22"/>
  <c r="M95" i="22"/>
  <c r="D104" i="29"/>
  <c r="Q92" i="29"/>
  <c r="AR11" i="18"/>
  <c r="AV11" i="18" s="1"/>
  <c r="P30" i="19" s="1"/>
  <c r="Q30" i="19" s="1"/>
  <c r="AM11" i="40" s="1"/>
  <c r="D109" i="29"/>
  <c r="Q97" i="29"/>
  <c r="AB97" i="29" s="1"/>
  <c r="D105" i="27"/>
  <c r="M93" i="27"/>
  <c r="R92" i="24"/>
  <c r="E104" i="24"/>
  <c r="D101" i="27"/>
  <c r="M89" i="27"/>
  <c r="D102" i="46"/>
  <c r="Q90" i="46"/>
  <c r="D107" i="29"/>
  <c r="Q95" i="29"/>
  <c r="AB95" i="29" s="1"/>
  <c r="D99" i="23"/>
  <c r="N87" i="23"/>
  <c r="N88" i="28"/>
  <c r="D100" i="28"/>
  <c r="D118" i="28"/>
  <c r="N106" i="28"/>
  <c r="D103" i="46"/>
  <c r="Q91" i="46"/>
  <c r="D106" i="22"/>
  <c r="M94" i="22"/>
  <c r="D103" i="47"/>
  <c r="L91" i="47"/>
  <c r="R91" i="47" s="1"/>
  <c r="R96" i="46"/>
  <c r="E108" i="46"/>
  <c r="N94" i="27"/>
  <c r="T94" i="27" s="1"/>
  <c r="E106" i="27"/>
  <c r="N93" i="27"/>
  <c r="E105" i="27"/>
  <c r="V79" i="23"/>
  <c r="D120" i="27"/>
  <c r="M108" i="27"/>
  <c r="D110" i="27"/>
  <c r="M98" i="27"/>
  <c r="Q94" i="24"/>
  <c r="D106" i="24"/>
  <c r="E99" i="28"/>
  <c r="O87" i="28"/>
  <c r="T75" i="27"/>
  <c r="AB75" i="29"/>
  <c r="D120" i="29"/>
  <c r="Q108" i="29"/>
  <c r="D100" i="29"/>
  <c r="Q88" i="29"/>
  <c r="D110" i="29"/>
  <c r="Q98" i="29"/>
  <c r="E114" i="29"/>
  <c r="R102" i="29"/>
  <c r="D99" i="28"/>
  <c r="N87" i="28"/>
  <c r="D102" i="23"/>
  <c r="N90" i="23"/>
  <c r="D113" i="26"/>
  <c r="L101" i="26"/>
  <c r="R101" i="26" s="1"/>
  <c r="R92" i="46"/>
  <c r="E104" i="46"/>
  <c r="D102" i="29"/>
  <c r="Q90" i="29"/>
  <c r="AB90" i="29" s="1"/>
  <c r="E107" i="24"/>
  <c r="R95" i="24"/>
  <c r="D114" i="31"/>
  <c r="L102" i="31"/>
  <c r="R102" i="31" s="1"/>
  <c r="L95" i="47"/>
  <c r="R95" i="47" s="1"/>
  <c r="D107" i="47"/>
  <c r="BC11" i="18"/>
  <c r="BE10" i="18"/>
  <c r="D109" i="24"/>
  <c r="Q97" i="24"/>
  <c r="E107" i="22"/>
  <c r="N95" i="22"/>
  <c r="O92" i="28"/>
  <c r="E104" i="28"/>
  <c r="O108" i="28"/>
  <c r="E120" i="28"/>
  <c r="D107" i="23"/>
  <c r="N95" i="23"/>
  <c r="D103" i="22"/>
  <c r="M91" i="22"/>
  <c r="R92" i="29"/>
  <c r="E104" i="29"/>
  <c r="E103" i="22"/>
  <c r="N91" i="22"/>
  <c r="R91" i="46"/>
  <c r="E103" i="46"/>
  <c r="E107" i="46"/>
  <c r="R95" i="46"/>
  <c r="D105" i="31"/>
  <c r="L93" i="31"/>
  <c r="R93" i="31" s="1"/>
  <c r="D99" i="22"/>
  <c r="M87" i="22"/>
  <c r="D105" i="23"/>
  <c r="N93" i="23"/>
  <c r="D118" i="29"/>
  <c r="Q106" i="29"/>
  <c r="D98" i="22"/>
  <c r="M86" i="22"/>
  <c r="T86" i="22" s="1"/>
  <c r="D105" i="28"/>
  <c r="N93" i="28"/>
  <c r="D105" i="47"/>
  <c r="L93" i="47"/>
  <c r="R93" i="47" s="1"/>
  <c r="M91" i="27"/>
  <c r="D103" i="27"/>
  <c r="D106" i="31"/>
  <c r="L94" i="31"/>
  <c r="R94" i="31" s="1"/>
  <c r="D102" i="27"/>
  <c r="M90" i="27"/>
  <c r="T90" i="27" s="1"/>
  <c r="D104" i="28"/>
  <c r="N92" i="28"/>
  <c r="E113" i="29"/>
  <c r="R101" i="29"/>
  <c r="E107" i="23"/>
  <c r="O95" i="23"/>
  <c r="D109" i="27"/>
  <c r="M97" i="27"/>
  <c r="E98" i="29"/>
  <c r="R86" i="29"/>
  <c r="AB86" i="29" s="1"/>
  <c r="V83" i="23"/>
  <c r="E121" i="29"/>
  <c r="R109" i="29"/>
  <c r="E99" i="27"/>
  <c r="N87" i="27"/>
  <c r="D98" i="46"/>
  <c r="Q86" i="46"/>
  <c r="Q86" i="24"/>
  <c r="AB86" i="24" s="1"/>
  <c r="D98" i="24"/>
  <c r="D101" i="28"/>
  <c r="N89" i="28"/>
  <c r="D103" i="23"/>
  <c r="N91" i="23"/>
  <c r="D121" i="31"/>
  <c r="L109" i="31"/>
  <c r="R109" i="31" s="1"/>
  <c r="T96" i="27"/>
  <c r="D109" i="22"/>
  <c r="M97" i="22"/>
  <c r="D100" i="27"/>
  <c r="M88" i="27"/>
  <c r="T88" i="27" s="1"/>
  <c r="R87" i="29"/>
  <c r="E99" i="29"/>
  <c r="AR11" i="34"/>
  <c r="AV11" i="34" s="1"/>
  <c r="D109" i="28"/>
  <c r="N97" i="28"/>
  <c r="E105" i="46"/>
  <c r="R93" i="46"/>
  <c r="D113" i="31"/>
  <c r="L101" i="31"/>
  <c r="R101" i="31" s="1"/>
  <c r="D99" i="27"/>
  <c r="M87" i="27"/>
  <c r="D99" i="29"/>
  <c r="Q87" i="29"/>
  <c r="R103" i="29"/>
  <c r="E115" i="29"/>
  <c r="N108" i="28"/>
  <c r="D120" i="28"/>
  <c r="D119" i="31"/>
  <c r="L107" i="31"/>
  <c r="R107" i="31" s="1"/>
  <c r="E108" i="22"/>
  <c r="N96" i="22"/>
  <c r="D118" i="27"/>
  <c r="M106" i="27"/>
  <c r="L110" i="26"/>
  <c r="R110" i="26" s="1"/>
  <c r="D122" i="26"/>
  <c r="D109" i="23"/>
  <c r="N97" i="23"/>
  <c r="V81" i="23"/>
  <c r="Q89" i="46"/>
  <c r="D101" i="46"/>
  <c r="E120" i="27"/>
  <c r="N108" i="27"/>
  <c r="D102" i="28"/>
  <c r="N90" i="28"/>
  <c r="V90" i="28" s="1"/>
  <c r="E106" i="29"/>
  <c r="R94" i="29"/>
  <c r="AB94" i="29" s="1"/>
  <c r="D105" i="46"/>
  <c r="Q93" i="46"/>
  <c r="D120" i="31"/>
  <c r="L108" i="31"/>
  <c r="R108" i="31" s="1"/>
  <c r="Q90" i="24"/>
  <c r="D102" i="24"/>
  <c r="R107" i="29"/>
  <c r="E119" i="29"/>
  <c r="E114" i="27"/>
  <c r="N102" i="27"/>
  <c r="D104" i="47"/>
  <c r="L92" i="47"/>
  <c r="R92" i="47" s="1"/>
  <c r="D101" i="23"/>
  <c r="N89" i="23"/>
  <c r="D104" i="31"/>
  <c r="L92" i="31"/>
  <c r="R92" i="31" s="1"/>
  <c r="R93" i="29"/>
  <c r="E105" i="29"/>
  <c r="E105" i="24"/>
  <c r="R93" i="24"/>
  <c r="D102" i="22"/>
  <c r="M90" i="22"/>
  <c r="Q87" i="46"/>
  <c r="D99" i="46"/>
  <c r="L92" i="26"/>
  <c r="R92" i="26" s="1"/>
  <c r="D104" i="26"/>
  <c r="D105" i="24"/>
  <c r="Q93" i="24"/>
  <c r="D101" i="22"/>
  <c r="M89" i="22"/>
  <c r="D108" i="47"/>
  <c r="L96" i="47"/>
  <c r="R96" i="47" s="1"/>
  <c r="D105" i="22"/>
  <c r="M93" i="22"/>
  <c r="E105" i="23"/>
  <c r="O93" i="23"/>
  <c r="L96" i="26"/>
  <c r="R96" i="26" s="1"/>
  <c r="D108" i="26"/>
  <c r="Q93" i="29"/>
  <c r="D105" i="29"/>
  <c r="L91" i="26"/>
  <c r="R91" i="26" s="1"/>
  <c r="D103" i="26"/>
  <c r="D98" i="23"/>
  <c r="N86" i="23"/>
  <c r="D103" i="24"/>
  <c r="Q91" i="24"/>
  <c r="E108" i="23"/>
  <c r="O96" i="23"/>
  <c r="AB79" i="46"/>
  <c r="O102" i="28"/>
  <c r="E114" i="28"/>
  <c r="D115" i="31"/>
  <c r="L103" i="31"/>
  <c r="R103" i="31" s="1"/>
  <c r="D103" i="29"/>
  <c r="Q91" i="29"/>
  <c r="AB91" i="29" s="1"/>
  <c r="D99" i="31"/>
  <c r="L87" i="31"/>
  <c r="R87" i="31" s="1"/>
  <c r="AB83" i="46"/>
  <c r="O94" i="28"/>
  <c r="V94" i="28" s="1"/>
  <c r="E106" i="28"/>
  <c r="D110" i="28"/>
  <c r="N98" i="28"/>
  <c r="D106" i="23"/>
  <c r="N94" i="23"/>
  <c r="D101" i="29"/>
  <c r="Q89" i="29"/>
  <c r="AB89" i="29" s="1"/>
  <c r="E98" i="28"/>
  <c r="O86" i="28"/>
  <c r="V86" i="28" s="1"/>
  <c r="E105" i="28"/>
  <c r="O93" i="28"/>
  <c r="N92" i="27"/>
  <c r="E104" i="27"/>
  <c r="V75" i="28"/>
  <c r="M92" i="27"/>
  <c r="D104" i="27"/>
  <c r="E98" i="27"/>
  <c r="N86" i="27"/>
  <c r="T86" i="27" s="1"/>
  <c r="E103" i="23"/>
  <c r="O91" i="23"/>
  <c r="D101" i="24"/>
  <c r="Q89" i="24"/>
  <c r="AB89" i="24" s="1"/>
  <c r="D107" i="24"/>
  <c r="Q95" i="24"/>
  <c r="R96" i="24"/>
  <c r="E108" i="24"/>
  <c r="L93" i="26"/>
  <c r="R93" i="26" s="1"/>
  <c r="D105" i="26"/>
  <c r="V87" i="23" l="1"/>
  <c r="C43" i="33"/>
  <c r="E43" i="33" s="1"/>
  <c r="BE9" i="34"/>
  <c r="BC10" i="34"/>
  <c r="R120" i="49"/>
  <c r="D132" i="49"/>
  <c r="L132" i="49" s="1"/>
  <c r="D131" i="49"/>
  <c r="L131" i="49" s="1"/>
  <c r="R119" i="49"/>
  <c r="D117" i="49"/>
  <c r="L117" i="49" s="1"/>
  <c r="R105" i="49"/>
  <c r="D126" i="49"/>
  <c r="L126" i="49" s="1"/>
  <c r="R114" i="49"/>
  <c r="D112" i="49"/>
  <c r="L112" i="49" s="1"/>
  <c r="R100" i="49"/>
  <c r="D111" i="49"/>
  <c r="L111" i="49" s="1"/>
  <c r="R99" i="49"/>
  <c r="D116" i="49"/>
  <c r="L116" i="49" s="1"/>
  <c r="R104" i="49"/>
  <c r="D133" i="49"/>
  <c r="L133" i="49" s="1"/>
  <c r="R121" i="49"/>
  <c r="R106" i="49"/>
  <c r="D118" i="49"/>
  <c r="L118" i="49" s="1"/>
  <c r="D125" i="49"/>
  <c r="L125" i="49" s="1"/>
  <c r="R113" i="49"/>
  <c r="D127" i="49"/>
  <c r="L127" i="49" s="1"/>
  <c r="R115" i="49"/>
  <c r="D110" i="49"/>
  <c r="L110" i="49" s="1"/>
  <c r="R98" i="49"/>
  <c r="AB100" i="48"/>
  <c r="AB105" i="48"/>
  <c r="AB99" i="48"/>
  <c r="D129" i="48"/>
  <c r="Q129" i="48" s="1"/>
  <c r="E124" i="48"/>
  <c r="R124" i="48" s="1"/>
  <c r="AB96" i="48"/>
  <c r="E129" i="48"/>
  <c r="R129" i="48" s="1"/>
  <c r="E115" i="48"/>
  <c r="R115" i="48" s="1"/>
  <c r="AB103" i="48"/>
  <c r="D123" i="48"/>
  <c r="Q123" i="48" s="1"/>
  <c r="D128" i="48"/>
  <c r="Q128" i="48" s="1"/>
  <c r="D110" i="48"/>
  <c r="Q110" i="48" s="1"/>
  <c r="AB98" i="48"/>
  <c r="E128" i="48"/>
  <c r="R128" i="48" s="1"/>
  <c r="E130" i="48"/>
  <c r="R130" i="48" s="1"/>
  <c r="D131" i="48"/>
  <c r="Q131" i="48" s="1"/>
  <c r="AB104" i="48"/>
  <c r="D127" i="48"/>
  <c r="Q127" i="48" s="1"/>
  <c r="E113" i="48"/>
  <c r="R113" i="48" s="1"/>
  <c r="AB107" i="48"/>
  <c r="E119" i="48"/>
  <c r="R119" i="48" s="1"/>
  <c r="D133" i="48"/>
  <c r="Q133" i="48" s="1"/>
  <c r="E120" i="48"/>
  <c r="R120" i="48" s="1"/>
  <c r="E114" i="48"/>
  <c r="R114" i="48" s="1"/>
  <c r="AB102" i="48"/>
  <c r="E121" i="48"/>
  <c r="R121" i="48" s="1"/>
  <c r="AB109" i="48"/>
  <c r="AB101" i="48"/>
  <c r="D118" i="48"/>
  <c r="Q118" i="48" s="1"/>
  <c r="AB106" i="48"/>
  <c r="D124" i="48"/>
  <c r="Q124" i="48" s="1"/>
  <c r="AB112" i="48"/>
  <c r="E122" i="48"/>
  <c r="R122" i="48" s="1"/>
  <c r="D126" i="48"/>
  <c r="Q126" i="48" s="1"/>
  <c r="D120" i="48"/>
  <c r="Q120" i="48" s="1"/>
  <c r="AB108" i="48"/>
  <c r="E123" i="48"/>
  <c r="R123" i="48" s="1"/>
  <c r="D125" i="48"/>
  <c r="Q125" i="48" s="1"/>
  <c r="E46" i="40"/>
  <c r="E75" i="40" s="1"/>
  <c r="E31" i="40"/>
  <c r="E60" i="40" s="1"/>
  <c r="L33" i="40"/>
  <c r="J62" i="40" s="1"/>
  <c r="H48" i="40"/>
  <c r="H77" i="40" s="1"/>
  <c r="F47" i="40"/>
  <c r="F76" i="40" s="1"/>
  <c r="L35" i="33"/>
  <c r="AJ19" i="39"/>
  <c r="AH18" i="39"/>
  <c r="AH22" i="39" s="1"/>
  <c r="I38" i="33"/>
  <c r="AO14" i="39"/>
  <c r="AP14" i="39" s="1"/>
  <c r="AP18" i="39" s="1"/>
  <c r="AD18" i="39"/>
  <c r="AB18" i="39" s="1"/>
  <c r="AB22" i="39" s="1"/>
  <c r="AD19" i="39"/>
  <c r="AB19" i="39" s="1"/>
  <c r="AB23" i="39" s="1"/>
  <c r="K37" i="21"/>
  <c r="BO15" i="40"/>
  <c r="L37" i="21"/>
  <c r="C48" i="21" s="1"/>
  <c r="BO16" i="40"/>
  <c r="V88" i="23"/>
  <c r="G9" i="40"/>
  <c r="F10" i="40"/>
  <c r="F11" i="40"/>
  <c r="W10" i="40"/>
  <c r="C29" i="19"/>
  <c r="D29" i="19" s="1"/>
  <c r="Y10" i="40" s="1"/>
  <c r="F62" i="40"/>
  <c r="H60" i="40"/>
  <c r="E9" i="40"/>
  <c r="H32" i="40"/>
  <c r="AB87" i="29"/>
  <c r="T89" i="22"/>
  <c r="V94" i="23"/>
  <c r="V96" i="23"/>
  <c r="V97" i="23"/>
  <c r="AB96" i="46"/>
  <c r="T92" i="22"/>
  <c r="V95" i="28"/>
  <c r="T97" i="22"/>
  <c r="AB92" i="46"/>
  <c r="AB94" i="24"/>
  <c r="T92" i="27"/>
  <c r="AB95" i="24"/>
  <c r="AB87" i="46"/>
  <c r="AB90" i="24"/>
  <c r="V97" i="28"/>
  <c r="T91" i="27"/>
  <c r="Y11" i="18"/>
  <c r="AB11" i="18" s="1"/>
  <c r="V86" i="23"/>
  <c r="AB97" i="24"/>
  <c r="V90" i="23"/>
  <c r="V91" i="28"/>
  <c r="T97" i="27"/>
  <c r="V89" i="28"/>
  <c r="AB88" i="29"/>
  <c r="T93" i="22"/>
  <c r="T96" i="22"/>
  <c r="Y11" i="34"/>
  <c r="AB11" i="34" s="1"/>
  <c r="G11" i="18"/>
  <c r="I11" i="18" s="1"/>
  <c r="L11" i="40" s="1"/>
  <c r="F34" i="40" s="1"/>
  <c r="AB90" i="46"/>
  <c r="T94" i="22"/>
  <c r="AB87" i="24"/>
  <c r="AB86" i="46"/>
  <c r="AB96" i="24"/>
  <c r="P11" i="34"/>
  <c r="R11" i="34" s="1"/>
  <c r="AB91" i="24"/>
  <c r="T90" i="22"/>
  <c r="V89" i="23"/>
  <c r="AB89" i="46"/>
  <c r="G11" i="34"/>
  <c r="I11" i="34" s="1"/>
  <c r="T87" i="22"/>
  <c r="AB108" i="29"/>
  <c r="T95" i="27"/>
  <c r="T89" i="27"/>
  <c r="AB88" i="24"/>
  <c r="V108" i="28"/>
  <c r="V92" i="28"/>
  <c r="T93" i="27"/>
  <c r="V88" i="28"/>
  <c r="E110" i="23"/>
  <c r="O98" i="23"/>
  <c r="AB92" i="24"/>
  <c r="E110" i="24"/>
  <c r="R98" i="24"/>
  <c r="E110" i="46"/>
  <c r="R98" i="46"/>
  <c r="L110" i="47"/>
  <c r="R110" i="47" s="1"/>
  <c r="D122" i="47"/>
  <c r="V87" i="28"/>
  <c r="V91" i="23"/>
  <c r="AB97" i="46"/>
  <c r="E111" i="23"/>
  <c r="O99" i="23"/>
  <c r="N109" i="22"/>
  <c r="E121" i="22"/>
  <c r="E111" i="46"/>
  <c r="R99" i="46"/>
  <c r="O107" i="28"/>
  <c r="E119" i="28"/>
  <c r="R102" i="24"/>
  <c r="E114" i="24"/>
  <c r="D112" i="22"/>
  <c r="M100" i="22"/>
  <c r="N101" i="22"/>
  <c r="E113" i="22"/>
  <c r="D118" i="47"/>
  <c r="L106" i="47"/>
  <c r="R106" i="47" s="1"/>
  <c r="E132" i="29"/>
  <c r="R120" i="29"/>
  <c r="N107" i="27"/>
  <c r="E119" i="27"/>
  <c r="AB88" i="46"/>
  <c r="D114" i="47"/>
  <c r="L102" i="47"/>
  <c r="R102" i="47" s="1"/>
  <c r="O103" i="28"/>
  <c r="E115" i="28"/>
  <c r="N108" i="23"/>
  <c r="D120" i="23"/>
  <c r="L109" i="26"/>
  <c r="R109" i="26" s="1"/>
  <c r="D121" i="26"/>
  <c r="P11" i="18"/>
  <c r="R11" i="18" s="1"/>
  <c r="Q11" i="40" s="1"/>
  <c r="G34" i="40" s="1"/>
  <c r="G63" i="40" s="1"/>
  <c r="T95" i="22"/>
  <c r="R102" i="46"/>
  <c r="E114" i="46"/>
  <c r="N104" i="23"/>
  <c r="D116" i="23"/>
  <c r="E114" i="23"/>
  <c r="O102" i="23"/>
  <c r="R109" i="46"/>
  <c r="E121" i="46"/>
  <c r="N101" i="27"/>
  <c r="E113" i="27"/>
  <c r="E121" i="24"/>
  <c r="R109" i="24"/>
  <c r="D112" i="24"/>
  <c r="Q100" i="24"/>
  <c r="Q100" i="46"/>
  <c r="D112" i="46"/>
  <c r="N109" i="27"/>
  <c r="E121" i="27"/>
  <c r="R100" i="24"/>
  <c r="E112" i="24"/>
  <c r="R101" i="46"/>
  <c r="E113" i="46"/>
  <c r="N102" i="22"/>
  <c r="E114" i="22"/>
  <c r="E113" i="28"/>
  <c r="O101" i="28"/>
  <c r="D121" i="47"/>
  <c r="L109" i="47"/>
  <c r="R109" i="47" s="1"/>
  <c r="M104" i="22"/>
  <c r="D116" i="22"/>
  <c r="D116" i="46"/>
  <c r="Q104" i="46"/>
  <c r="E115" i="27"/>
  <c r="N103" i="27"/>
  <c r="D113" i="47"/>
  <c r="L101" i="47"/>
  <c r="R101" i="47" s="1"/>
  <c r="D112" i="26"/>
  <c r="L100" i="26"/>
  <c r="R100" i="26" s="1"/>
  <c r="L99" i="26"/>
  <c r="R99" i="26" s="1"/>
  <c r="D111" i="26"/>
  <c r="Q104" i="24"/>
  <c r="D116" i="24"/>
  <c r="L99" i="47"/>
  <c r="R99" i="47" s="1"/>
  <c r="D111" i="47"/>
  <c r="N110" i="22"/>
  <c r="E122" i="22"/>
  <c r="D120" i="24"/>
  <c r="Q108" i="24"/>
  <c r="E112" i="28"/>
  <c r="O100" i="28"/>
  <c r="O106" i="23"/>
  <c r="E118" i="23"/>
  <c r="N106" i="22"/>
  <c r="E118" i="22"/>
  <c r="D118" i="26"/>
  <c r="L106" i="26"/>
  <c r="R106" i="26" s="1"/>
  <c r="L100" i="47"/>
  <c r="R100" i="47" s="1"/>
  <c r="D112" i="47"/>
  <c r="E111" i="22"/>
  <c r="N99" i="22"/>
  <c r="D114" i="26"/>
  <c r="L102" i="26"/>
  <c r="R102" i="26" s="1"/>
  <c r="AB93" i="24"/>
  <c r="AB93" i="46"/>
  <c r="T87" i="27"/>
  <c r="V92" i="23"/>
  <c r="AB94" i="46"/>
  <c r="R99" i="24"/>
  <c r="E111" i="24"/>
  <c r="E112" i="22"/>
  <c r="N100" i="22"/>
  <c r="M108" i="22"/>
  <c r="D120" i="22"/>
  <c r="E118" i="46"/>
  <c r="R106" i="46"/>
  <c r="T88" i="22"/>
  <c r="E121" i="23"/>
  <c r="O109" i="23"/>
  <c r="E112" i="27"/>
  <c r="N100" i="27"/>
  <c r="D120" i="46"/>
  <c r="Q108" i="46"/>
  <c r="E121" i="28"/>
  <c r="O109" i="28"/>
  <c r="E112" i="46"/>
  <c r="R100" i="46"/>
  <c r="L100" i="31"/>
  <c r="R100" i="31" s="1"/>
  <c r="D112" i="31"/>
  <c r="E118" i="24"/>
  <c r="R106" i="24"/>
  <c r="E112" i="29"/>
  <c r="R100" i="29"/>
  <c r="E112" i="23"/>
  <c r="O100" i="23"/>
  <c r="D112" i="23"/>
  <c r="N100" i="23"/>
  <c r="E113" i="23"/>
  <c r="O101" i="23"/>
  <c r="R108" i="24"/>
  <c r="E120" i="24"/>
  <c r="D113" i="24"/>
  <c r="Q101" i="24"/>
  <c r="AB101" i="24" s="1"/>
  <c r="E110" i="27"/>
  <c r="N98" i="27"/>
  <c r="T98" i="27" s="1"/>
  <c r="D116" i="26"/>
  <c r="L104" i="26"/>
  <c r="R104" i="26" s="1"/>
  <c r="D111" i="27"/>
  <c r="M99" i="27"/>
  <c r="D125" i="31"/>
  <c r="L113" i="31"/>
  <c r="R113" i="31" s="1"/>
  <c r="D130" i="29"/>
  <c r="Q118" i="29"/>
  <c r="M99" i="22"/>
  <c r="D111" i="22"/>
  <c r="D119" i="23"/>
  <c r="N107" i="23"/>
  <c r="D121" i="24"/>
  <c r="Q109" i="24"/>
  <c r="O98" i="28"/>
  <c r="V98" i="28" s="1"/>
  <c r="E110" i="28"/>
  <c r="D118" i="23"/>
  <c r="N106" i="23"/>
  <c r="D115" i="24"/>
  <c r="Q103" i="24"/>
  <c r="AR12" i="18"/>
  <c r="AV12" i="18" s="1"/>
  <c r="P31" i="19" s="1"/>
  <c r="Q31" i="19" s="1"/>
  <c r="AM12" i="40" s="1"/>
  <c r="AB93" i="29"/>
  <c r="E117" i="23"/>
  <c r="O105" i="23"/>
  <c r="D120" i="47"/>
  <c r="L108" i="47"/>
  <c r="R108" i="47" s="1"/>
  <c r="D117" i="24"/>
  <c r="Q105" i="24"/>
  <c r="E117" i="29"/>
  <c r="R105" i="29"/>
  <c r="D113" i="23"/>
  <c r="N101" i="23"/>
  <c r="D114" i="28"/>
  <c r="N102" i="28"/>
  <c r="V102" i="28" s="1"/>
  <c r="Q101" i="46"/>
  <c r="D113" i="46"/>
  <c r="D121" i="23"/>
  <c r="N109" i="23"/>
  <c r="D130" i="27"/>
  <c r="M118" i="27"/>
  <c r="E120" i="22"/>
  <c r="N108" i="22"/>
  <c r="D132" i="28"/>
  <c r="N120" i="28"/>
  <c r="D121" i="22"/>
  <c r="M109" i="22"/>
  <c r="D133" i="31"/>
  <c r="L121" i="31"/>
  <c r="R121" i="31" s="1"/>
  <c r="Q98" i="24"/>
  <c r="D110" i="24"/>
  <c r="D121" i="27"/>
  <c r="M109" i="27"/>
  <c r="E125" i="29"/>
  <c r="R113" i="29"/>
  <c r="D118" i="31"/>
  <c r="L106" i="31"/>
  <c r="R106" i="31" s="1"/>
  <c r="D117" i="47"/>
  <c r="L105" i="47"/>
  <c r="R105" i="47" s="1"/>
  <c r="N105" i="28"/>
  <c r="D117" i="28"/>
  <c r="E116" i="29"/>
  <c r="R104" i="29"/>
  <c r="V95" i="23"/>
  <c r="O104" i="28"/>
  <c r="E116" i="28"/>
  <c r="D119" i="47"/>
  <c r="L107" i="47"/>
  <c r="R107" i="47" s="1"/>
  <c r="N99" i="28"/>
  <c r="D111" i="28"/>
  <c r="D122" i="29"/>
  <c r="Q110" i="29"/>
  <c r="D132" i="29"/>
  <c r="Q120" i="29"/>
  <c r="D115" i="47"/>
  <c r="L103" i="47"/>
  <c r="R103" i="47" s="1"/>
  <c r="D115" i="46"/>
  <c r="Q103" i="46"/>
  <c r="D130" i="28"/>
  <c r="N118" i="28"/>
  <c r="D111" i="23"/>
  <c r="N99" i="23"/>
  <c r="Q102" i="46"/>
  <c r="D114" i="46"/>
  <c r="D113" i="27"/>
  <c r="M101" i="27"/>
  <c r="D117" i="27"/>
  <c r="M105" i="27"/>
  <c r="E116" i="23"/>
  <c r="O104" i="23"/>
  <c r="E115" i="24"/>
  <c r="R103" i="24"/>
  <c r="N103" i="28"/>
  <c r="D115" i="28"/>
  <c r="AR12" i="34"/>
  <c r="AV12" i="34" s="1"/>
  <c r="N107" i="28"/>
  <c r="D119" i="28"/>
  <c r="D115" i="29"/>
  <c r="Q103" i="29"/>
  <c r="AB103" i="29" s="1"/>
  <c r="O114" i="28"/>
  <c r="E126" i="28"/>
  <c r="D114" i="22"/>
  <c r="M102" i="22"/>
  <c r="Q105" i="46"/>
  <c r="D117" i="46"/>
  <c r="D134" i="26"/>
  <c r="L134" i="26" s="1"/>
  <c r="R134" i="26" s="1"/>
  <c r="L122" i="26"/>
  <c r="R122" i="26" s="1"/>
  <c r="D111" i="29"/>
  <c r="Q99" i="29"/>
  <c r="N109" i="28"/>
  <c r="D121" i="28"/>
  <c r="E111" i="27"/>
  <c r="N99" i="27"/>
  <c r="M103" i="27"/>
  <c r="D115" i="27"/>
  <c r="E119" i="46"/>
  <c r="R107" i="46"/>
  <c r="E115" i="22"/>
  <c r="N103" i="22"/>
  <c r="E119" i="24"/>
  <c r="R107" i="24"/>
  <c r="E111" i="28"/>
  <c r="O99" i="28"/>
  <c r="D122" i="27"/>
  <c r="M110" i="27"/>
  <c r="N105" i="27"/>
  <c r="E117" i="27"/>
  <c r="E120" i="46"/>
  <c r="R108" i="46"/>
  <c r="D112" i="28"/>
  <c r="N100" i="28"/>
  <c r="R104" i="24"/>
  <c r="E116" i="24"/>
  <c r="AB92" i="29"/>
  <c r="D111" i="24"/>
  <c r="Q99" i="24"/>
  <c r="D110" i="31"/>
  <c r="L98" i="31"/>
  <c r="R98" i="31" s="1"/>
  <c r="Q109" i="46"/>
  <c r="D121" i="46"/>
  <c r="D116" i="27"/>
  <c r="M104" i="27"/>
  <c r="E116" i="27"/>
  <c r="N104" i="27"/>
  <c r="E117" i="28"/>
  <c r="O105" i="28"/>
  <c r="Q101" i="29"/>
  <c r="AB101" i="29" s="1"/>
  <c r="D113" i="29"/>
  <c r="D122" i="28"/>
  <c r="N110" i="28"/>
  <c r="E120" i="23"/>
  <c r="O108" i="23"/>
  <c r="D110" i="23"/>
  <c r="N98" i="23"/>
  <c r="D117" i="22"/>
  <c r="M105" i="22"/>
  <c r="M101" i="22"/>
  <c r="D113" i="22"/>
  <c r="D116" i="31"/>
  <c r="L104" i="31"/>
  <c r="R104" i="31" s="1"/>
  <c r="L104" i="47"/>
  <c r="R104" i="47" s="1"/>
  <c r="D116" i="47"/>
  <c r="E126" i="27"/>
  <c r="N114" i="27"/>
  <c r="D132" i="31"/>
  <c r="L120" i="31"/>
  <c r="R120" i="31" s="1"/>
  <c r="R115" i="29"/>
  <c r="E127" i="29"/>
  <c r="M100" i="27"/>
  <c r="D112" i="27"/>
  <c r="D115" i="23"/>
  <c r="N103" i="23"/>
  <c r="D113" i="28"/>
  <c r="N101" i="28"/>
  <c r="E110" i="29"/>
  <c r="R98" i="29"/>
  <c r="AB98" i="29" s="1"/>
  <c r="E119" i="23"/>
  <c r="O107" i="23"/>
  <c r="N104" i="28"/>
  <c r="D116" i="28"/>
  <c r="D114" i="27"/>
  <c r="M102" i="27"/>
  <c r="T102" i="27" s="1"/>
  <c r="D110" i="22"/>
  <c r="M98" i="22"/>
  <c r="T98" i="22" s="1"/>
  <c r="V93" i="23"/>
  <c r="E115" i="46"/>
  <c r="R103" i="46"/>
  <c r="T91" i="22"/>
  <c r="O120" i="28"/>
  <c r="E132" i="28"/>
  <c r="E116" i="46"/>
  <c r="R104" i="46"/>
  <c r="L113" i="26"/>
  <c r="R113" i="26" s="1"/>
  <c r="D125" i="26"/>
  <c r="D114" i="23"/>
  <c r="N102" i="23"/>
  <c r="E126" i="29"/>
  <c r="R114" i="29"/>
  <c r="D112" i="29"/>
  <c r="Q100" i="29"/>
  <c r="Q106" i="24"/>
  <c r="D118" i="24"/>
  <c r="T108" i="27"/>
  <c r="D118" i="22"/>
  <c r="M106" i="22"/>
  <c r="D119" i="29"/>
  <c r="Q107" i="29"/>
  <c r="AB107" i="29" s="1"/>
  <c r="Q109" i="29"/>
  <c r="AB109" i="29" s="1"/>
  <c r="D121" i="29"/>
  <c r="D116" i="29"/>
  <c r="Q104" i="29"/>
  <c r="D119" i="22"/>
  <c r="M107" i="22"/>
  <c r="E116" i="22"/>
  <c r="N104" i="22"/>
  <c r="AB95" i="46"/>
  <c r="Q106" i="46"/>
  <c r="D118" i="46"/>
  <c r="M107" i="27"/>
  <c r="D119" i="27"/>
  <c r="D120" i="26"/>
  <c r="L108" i="26"/>
  <c r="R108" i="26" s="1"/>
  <c r="Q102" i="24"/>
  <c r="D114" i="24"/>
  <c r="L105" i="26"/>
  <c r="R105" i="26" s="1"/>
  <c r="D117" i="26"/>
  <c r="D119" i="24"/>
  <c r="Q107" i="24"/>
  <c r="E115" i="23"/>
  <c r="O103" i="23"/>
  <c r="O106" i="28"/>
  <c r="V106" i="28" s="1"/>
  <c r="E118" i="28"/>
  <c r="D111" i="31"/>
  <c r="L99" i="31"/>
  <c r="R99" i="31" s="1"/>
  <c r="D127" i="31"/>
  <c r="L115" i="31"/>
  <c r="R115" i="31" s="1"/>
  <c r="L103" i="26"/>
  <c r="R103" i="26" s="1"/>
  <c r="D115" i="26"/>
  <c r="Q105" i="29"/>
  <c r="D117" i="29"/>
  <c r="Q99" i="46"/>
  <c r="D111" i="46"/>
  <c r="E117" i="24"/>
  <c r="R105" i="24"/>
  <c r="R119" i="29"/>
  <c r="E131" i="29"/>
  <c r="E118" i="29"/>
  <c r="R106" i="29"/>
  <c r="AB106" i="29" s="1"/>
  <c r="E132" i="27"/>
  <c r="N120" i="27"/>
  <c r="D131" i="31"/>
  <c r="L119" i="31"/>
  <c r="R119" i="31" s="1"/>
  <c r="R105" i="46"/>
  <c r="E117" i="46"/>
  <c r="R99" i="29"/>
  <c r="E111" i="29"/>
  <c r="Q98" i="46"/>
  <c r="D110" i="46"/>
  <c r="E133" i="29"/>
  <c r="R121" i="29"/>
  <c r="V93" i="28"/>
  <c r="D117" i="23"/>
  <c r="N105" i="23"/>
  <c r="D117" i="31"/>
  <c r="L105" i="31"/>
  <c r="R105" i="31" s="1"/>
  <c r="D115" i="22"/>
  <c r="M103" i="22"/>
  <c r="E119" i="22"/>
  <c r="N107" i="22"/>
  <c r="BC12" i="18"/>
  <c r="BE11" i="18"/>
  <c r="D126" i="31"/>
  <c r="L114" i="31"/>
  <c r="R114" i="31" s="1"/>
  <c r="D114" i="29"/>
  <c r="Q102" i="29"/>
  <c r="AB102" i="29" s="1"/>
  <c r="D132" i="27"/>
  <c r="M120" i="27"/>
  <c r="E118" i="27"/>
  <c r="N106" i="27"/>
  <c r="T106" i="27" s="1"/>
  <c r="AB91" i="46"/>
  <c r="H49" i="40"/>
  <c r="H78" i="40" s="1"/>
  <c r="AK11" i="40"/>
  <c r="L107" i="26"/>
  <c r="R107" i="26" s="1"/>
  <c r="D119" i="26"/>
  <c r="E117" i="22"/>
  <c r="N105" i="22"/>
  <c r="E125" i="24"/>
  <c r="R113" i="24"/>
  <c r="D119" i="46"/>
  <c r="Q107" i="46"/>
  <c r="C46" i="33" l="1"/>
  <c r="E46" i="33" s="1"/>
  <c r="BE10" i="34"/>
  <c r="BC11" i="34"/>
  <c r="D122" i="49"/>
  <c r="L122" i="49" s="1"/>
  <c r="R110" i="49"/>
  <c r="D137" i="49"/>
  <c r="R125" i="49"/>
  <c r="D145" i="49"/>
  <c r="R133" i="49"/>
  <c r="D123" i="49"/>
  <c r="L123" i="49" s="1"/>
  <c r="R111" i="49"/>
  <c r="D138" i="49"/>
  <c r="R126" i="49"/>
  <c r="D143" i="49"/>
  <c r="R131" i="49"/>
  <c r="D130" i="49"/>
  <c r="L130" i="49" s="1"/>
  <c r="R118" i="49"/>
  <c r="D144" i="49"/>
  <c r="R132" i="49"/>
  <c r="D139" i="49"/>
  <c r="R127" i="49"/>
  <c r="D128" i="49"/>
  <c r="L128" i="49" s="1"/>
  <c r="R116" i="49"/>
  <c r="D124" i="49"/>
  <c r="L124" i="49" s="1"/>
  <c r="R112" i="49"/>
  <c r="D129" i="49"/>
  <c r="L129" i="49" s="1"/>
  <c r="R117" i="49"/>
  <c r="AB116" i="48"/>
  <c r="E135" i="48"/>
  <c r="R135" i="48" s="1"/>
  <c r="D138" i="48"/>
  <c r="Q138" i="48" s="1"/>
  <c r="E126" i="48"/>
  <c r="R126" i="48" s="1"/>
  <c r="E125" i="48"/>
  <c r="R125" i="48" s="1"/>
  <c r="E142" i="48"/>
  <c r="R142" i="48" s="1"/>
  <c r="D122" i="48"/>
  <c r="Q122" i="48" s="1"/>
  <c r="AB110" i="48"/>
  <c r="AB111" i="48"/>
  <c r="E141" i="48"/>
  <c r="R141" i="48" s="1"/>
  <c r="E136" i="48"/>
  <c r="R136" i="48" s="1"/>
  <c r="AB113" i="48"/>
  <c r="D136" i="48"/>
  <c r="Q136" i="48" s="1"/>
  <c r="AB124" i="48"/>
  <c r="D145" i="48"/>
  <c r="Q145" i="48" s="1"/>
  <c r="D135" i="48"/>
  <c r="D137" i="48"/>
  <c r="Q137" i="48" s="1"/>
  <c r="D132" i="48"/>
  <c r="Q132" i="48" s="1"/>
  <c r="E134" i="48"/>
  <c r="R134" i="48" s="1"/>
  <c r="E133" i="48"/>
  <c r="R133" i="48" s="1"/>
  <c r="AB121" i="48"/>
  <c r="E132" i="48"/>
  <c r="R132" i="48" s="1"/>
  <c r="E131" i="48"/>
  <c r="R131" i="48" s="1"/>
  <c r="AB119" i="48"/>
  <c r="D143" i="48"/>
  <c r="Q143" i="48" s="1"/>
  <c r="E140" i="48"/>
  <c r="R140" i="48" s="1"/>
  <c r="D141" i="48"/>
  <c r="Q141" i="48" s="1"/>
  <c r="AB129" i="48"/>
  <c r="AB114" i="48"/>
  <c r="D130" i="48"/>
  <c r="Q130" i="48" s="1"/>
  <c r="AB118" i="48"/>
  <c r="D139" i="48"/>
  <c r="Q139" i="48" s="1"/>
  <c r="D140" i="48"/>
  <c r="Q140" i="48" s="1"/>
  <c r="AB128" i="48"/>
  <c r="E127" i="48"/>
  <c r="R127" i="48" s="1"/>
  <c r="AB115" i="48"/>
  <c r="AB117" i="48"/>
  <c r="E47" i="40"/>
  <c r="E76" i="40" s="1"/>
  <c r="E32" i="40"/>
  <c r="E61" i="40" s="1"/>
  <c r="L34" i="40"/>
  <c r="J63" i="40" s="1"/>
  <c r="F48" i="40"/>
  <c r="F77" i="40" s="1"/>
  <c r="H33" i="40"/>
  <c r="H62" i="40" s="1"/>
  <c r="J35" i="33"/>
  <c r="J36" i="33"/>
  <c r="K35" i="33"/>
  <c r="AP19" i="39"/>
  <c r="AN18" i="39"/>
  <c r="AJ20" i="39"/>
  <c r="AH20" i="39" s="1"/>
  <c r="AH24" i="39" s="1"/>
  <c r="AH19" i="39"/>
  <c r="AH23" i="39" s="1"/>
  <c r="T109" i="27"/>
  <c r="V103" i="28"/>
  <c r="G10" i="40"/>
  <c r="E10" i="40"/>
  <c r="F12" i="40"/>
  <c r="W11" i="40"/>
  <c r="C30" i="19"/>
  <c r="D30" i="19" s="1"/>
  <c r="Y11" i="40" s="1"/>
  <c r="H61" i="40"/>
  <c r="F63" i="40"/>
  <c r="T109" i="22"/>
  <c r="T108" i="22"/>
  <c r="T104" i="22"/>
  <c r="AB104" i="24"/>
  <c r="AB101" i="46"/>
  <c r="AB102" i="46"/>
  <c r="T106" i="22"/>
  <c r="T101" i="27"/>
  <c r="G12" i="34"/>
  <c r="I12" i="34" s="1"/>
  <c r="AB98" i="46"/>
  <c r="T100" i="27"/>
  <c r="Y12" i="34"/>
  <c r="AB12" i="34" s="1"/>
  <c r="V109" i="28"/>
  <c r="AB109" i="24"/>
  <c r="AB108" i="24"/>
  <c r="Y12" i="18"/>
  <c r="AB12" i="18" s="1"/>
  <c r="AB100" i="29"/>
  <c r="AB104" i="46"/>
  <c r="G12" i="18"/>
  <c r="I12" i="18" s="1"/>
  <c r="L12" i="40" s="1"/>
  <c r="F35" i="40" s="1"/>
  <c r="AB105" i="29"/>
  <c r="T107" i="27"/>
  <c r="V107" i="28"/>
  <c r="T99" i="22"/>
  <c r="AB104" i="29"/>
  <c r="AB99" i="24"/>
  <c r="AB107" i="46"/>
  <c r="V101" i="28"/>
  <c r="V98" i="23"/>
  <c r="P12" i="34"/>
  <c r="R12" i="34" s="1"/>
  <c r="AB106" i="24"/>
  <c r="T101" i="22"/>
  <c r="V100" i="28"/>
  <c r="V102" i="23"/>
  <c r="T103" i="27"/>
  <c r="AB98" i="24"/>
  <c r="AB102" i="24"/>
  <c r="O110" i="23"/>
  <c r="E122" i="23"/>
  <c r="E122" i="46"/>
  <c r="R110" i="46"/>
  <c r="V105" i="23"/>
  <c r="V104" i="28"/>
  <c r="V104" i="23"/>
  <c r="V100" i="23"/>
  <c r="E122" i="24"/>
  <c r="R110" i="24"/>
  <c r="AB107" i="24"/>
  <c r="AB100" i="46"/>
  <c r="P12" i="18"/>
  <c r="R12" i="18" s="1"/>
  <c r="Q12" i="40" s="1"/>
  <c r="G35" i="40" s="1"/>
  <c r="G64" i="40" s="1"/>
  <c r="D134" i="47"/>
  <c r="L134" i="47" s="1"/>
  <c r="R134" i="47" s="1"/>
  <c r="L122" i="47"/>
  <c r="R122" i="47" s="1"/>
  <c r="AB106" i="46"/>
  <c r="AB105" i="46"/>
  <c r="E130" i="46"/>
  <c r="R118" i="46"/>
  <c r="N112" i="22"/>
  <c r="E124" i="22"/>
  <c r="E123" i="22"/>
  <c r="N111" i="22"/>
  <c r="D130" i="26"/>
  <c r="L118" i="26"/>
  <c r="R118" i="26" s="1"/>
  <c r="D132" i="24"/>
  <c r="Q120" i="24"/>
  <c r="D125" i="47"/>
  <c r="L113" i="47"/>
  <c r="R113" i="47" s="1"/>
  <c r="Q116" i="46"/>
  <c r="D128" i="46"/>
  <c r="D133" i="47"/>
  <c r="L121" i="47"/>
  <c r="R121" i="47" s="1"/>
  <c r="E133" i="24"/>
  <c r="R121" i="24"/>
  <c r="D126" i="47"/>
  <c r="L114" i="47"/>
  <c r="R114" i="47" s="1"/>
  <c r="E125" i="22"/>
  <c r="N113" i="22"/>
  <c r="R114" i="24"/>
  <c r="E126" i="24"/>
  <c r="AB99" i="46"/>
  <c r="AR13" i="18"/>
  <c r="AV13" i="18" s="1"/>
  <c r="T102" i="22"/>
  <c r="V106" i="23"/>
  <c r="O113" i="23"/>
  <c r="E125" i="23"/>
  <c r="O112" i="23"/>
  <c r="E124" i="23"/>
  <c r="E130" i="24"/>
  <c r="R118" i="24"/>
  <c r="E124" i="46"/>
  <c r="R112" i="46"/>
  <c r="Q120" i="46"/>
  <c r="D132" i="46"/>
  <c r="O121" i="23"/>
  <c r="E133" i="23"/>
  <c r="M120" i="22"/>
  <c r="D132" i="22"/>
  <c r="R111" i="24"/>
  <c r="E123" i="24"/>
  <c r="L112" i="47"/>
  <c r="R112" i="47" s="1"/>
  <c r="D124" i="47"/>
  <c r="E130" i="22"/>
  <c r="N118" i="22"/>
  <c r="N122" i="22"/>
  <c r="E134" i="22"/>
  <c r="N134" i="22" s="1"/>
  <c r="D128" i="24"/>
  <c r="Q116" i="24"/>
  <c r="M116" i="22"/>
  <c r="D128" i="22"/>
  <c r="E125" i="46"/>
  <c r="R113" i="46"/>
  <c r="N121" i="27"/>
  <c r="E133" i="27"/>
  <c r="AB100" i="24"/>
  <c r="N113" i="27"/>
  <c r="E125" i="27"/>
  <c r="E126" i="46"/>
  <c r="R114" i="46"/>
  <c r="L121" i="26"/>
  <c r="R121" i="26" s="1"/>
  <c r="D133" i="26"/>
  <c r="E127" i="28"/>
  <c r="O115" i="28"/>
  <c r="E144" i="29"/>
  <c r="R144" i="29" s="1"/>
  <c r="R132" i="29"/>
  <c r="E123" i="46"/>
  <c r="R111" i="46"/>
  <c r="E123" i="23"/>
  <c r="O111" i="23"/>
  <c r="AB109" i="46"/>
  <c r="AB108" i="46"/>
  <c r="V99" i="23"/>
  <c r="AB120" i="29"/>
  <c r="D124" i="31"/>
  <c r="L112" i="31"/>
  <c r="R112" i="31" s="1"/>
  <c r="D126" i="26"/>
  <c r="L114" i="26"/>
  <c r="R114" i="26" s="1"/>
  <c r="E124" i="28"/>
  <c r="O112" i="28"/>
  <c r="L112" i="26"/>
  <c r="R112" i="26" s="1"/>
  <c r="D124" i="26"/>
  <c r="E127" i="27"/>
  <c r="N115" i="27"/>
  <c r="E125" i="28"/>
  <c r="O113" i="28"/>
  <c r="Q112" i="24"/>
  <c r="D124" i="24"/>
  <c r="O114" i="23"/>
  <c r="E126" i="23"/>
  <c r="E131" i="27"/>
  <c r="N119" i="27"/>
  <c r="T100" i="22"/>
  <c r="E131" i="28"/>
  <c r="O119" i="28"/>
  <c r="N121" i="22"/>
  <c r="E133" i="22"/>
  <c r="V103" i="23"/>
  <c r="T105" i="22"/>
  <c r="V108" i="23"/>
  <c r="V109" i="23"/>
  <c r="V101" i="23"/>
  <c r="N112" i="23"/>
  <c r="D124" i="23"/>
  <c r="E124" i="29"/>
  <c r="R112" i="29"/>
  <c r="O121" i="28"/>
  <c r="E133" i="28"/>
  <c r="N112" i="27"/>
  <c r="E124" i="27"/>
  <c r="E130" i="23"/>
  <c r="O118" i="23"/>
  <c r="D123" i="47"/>
  <c r="L111" i="47"/>
  <c r="R111" i="47" s="1"/>
  <c r="L111" i="26"/>
  <c r="R111" i="26" s="1"/>
  <c r="D123" i="26"/>
  <c r="E126" i="22"/>
  <c r="N114" i="22"/>
  <c r="R112" i="24"/>
  <c r="E124" i="24"/>
  <c r="D124" i="46"/>
  <c r="Q112" i="46"/>
  <c r="R121" i="46"/>
  <c r="E133" i="46"/>
  <c r="N116" i="23"/>
  <c r="D128" i="23"/>
  <c r="N120" i="23"/>
  <c r="D132" i="23"/>
  <c r="D130" i="47"/>
  <c r="L118" i="47"/>
  <c r="R118" i="47" s="1"/>
  <c r="M112" i="22"/>
  <c r="D124" i="22"/>
  <c r="D144" i="27"/>
  <c r="M144" i="27" s="1"/>
  <c r="M132" i="27"/>
  <c r="O118" i="28"/>
  <c r="V118" i="28" s="1"/>
  <c r="E130" i="28"/>
  <c r="O126" i="28"/>
  <c r="E138" i="28"/>
  <c r="O138" i="28" s="1"/>
  <c r="E128" i="23"/>
  <c r="O116" i="23"/>
  <c r="D142" i="28"/>
  <c r="N142" i="28" s="1"/>
  <c r="N130" i="28"/>
  <c r="E128" i="29"/>
  <c r="R116" i="29"/>
  <c r="Q110" i="24"/>
  <c r="D122" i="24"/>
  <c r="AK12" i="40"/>
  <c r="H50" i="40"/>
  <c r="H79" i="40" s="1"/>
  <c r="D130" i="23"/>
  <c r="N118" i="23"/>
  <c r="D133" i="24"/>
  <c r="Q121" i="24"/>
  <c r="L119" i="26"/>
  <c r="R119" i="26" s="1"/>
  <c r="D131" i="26"/>
  <c r="T120" i="27"/>
  <c r="D126" i="29"/>
  <c r="Q114" i="29"/>
  <c r="AB114" i="29" s="1"/>
  <c r="BC13" i="18"/>
  <c r="BE12" i="18"/>
  <c r="D127" i="22"/>
  <c r="M115" i="22"/>
  <c r="D129" i="31"/>
  <c r="L117" i="31"/>
  <c r="R117" i="31" s="1"/>
  <c r="D122" i="46"/>
  <c r="Q110" i="46"/>
  <c r="R111" i="29"/>
  <c r="E123" i="29"/>
  <c r="E130" i="29"/>
  <c r="R118" i="29"/>
  <c r="AB118" i="29" s="1"/>
  <c r="D123" i="31"/>
  <c r="L111" i="31"/>
  <c r="R111" i="31" s="1"/>
  <c r="E127" i="23"/>
  <c r="O115" i="23"/>
  <c r="L117" i="26"/>
  <c r="R117" i="26" s="1"/>
  <c r="D129" i="26"/>
  <c r="M119" i="27"/>
  <c r="D131" i="27"/>
  <c r="D131" i="22"/>
  <c r="M119" i="22"/>
  <c r="D131" i="29"/>
  <c r="Q119" i="29"/>
  <c r="AB119" i="29" s="1"/>
  <c r="Q118" i="24"/>
  <c r="D130" i="24"/>
  <c r="D128" i="28"/>
  <c r="N116" i="28"/>
  <c r="R127" i="29"/>
  <c r="E139" i="29"/>
  <c r="R139" i="29" s="1"/>
  <c r="D144" i="31"/>
  <c r="L144" i="31" s="1"/>
  <c r="R144" i="31" s="1"/>
  <c r="L132" i="31"/>
  <c r="R132" i="31" s="1"/>
  <c r="T104" i="27"/>
  <c r="D122" i="31"/>
  <c r="L110" i="31"/>
  <c r="R110" i="31" s="1"/>
  <c r="E132" i="46"/>
  <c r="R120" i="46"/>
  <c r="D134" i="27"/>
  <c r="M134" i="27" s="1"/>
  <c r="M122" i="27"/>
  <c r="E131" i="24"/>
  <c r="R119" i="24"/>
  <c r="R119" i="46"/>
  <c r="E131" i="46"/>
  <c r="M115" i="27"/>
  <c r="D127" i="27"/>
  <c r="AB99" i="29"/>
  <c r="Q117" i="46"/>
  <c r="D129" i="46"/>
  <c r="D127" i="29"/>
  <c r="Q115" i="29"/>
  <c r="AB115" i="29" s="1"/>
  <c r="N115" i="28"/>
  <c r="D127" i="28"/>
  <c r="T105" i="27"/>
  <c r="Q114" i="46"/>
  <c r="D126" i="46"/>
  <c r="D144" i="29"/>
  <c r="Q144" i="29" s="1"/>
  <c r="Q132" i="29"/>
  <c r="D134" i="29"/>
  <c r="Q134" i="29" s="1"/>
  <c r="Q122" i="29"/>
  <c r="D131" i="47"/>
  <c r="L119" i="47"/>
  <c r="R119" i="47" s="1"/>
  <c r="V105" i="28"/>
  <c r="D130" i="31"/>
  <c r="L118" i="31"/>
  <c r="R118" i="31" s="1"/>
  <c r="D133" i="27"/>
  <c r="M121" i="27"/>
  <c r="T121" i="27" s="1"/>
  <c r="D145" i="31"/>
  <c r="L145" i="31" s="1"/>
  <c r="R145" i="31" s="1"/>
  <c r="L133" i="31"/>
  <c r="R133" i="31" s="1"/>
  <c r="D144" i="28"/>
  <c r="N144" i="28" s="1"/>
  <c r="N132" i="28"/>
  <c r="D142" i="27"/>
  <c r="M142" i="27" s="1"/>
  <c r="M130" i="27"/>
  <c r="M111" i="22"/>
  <c r="D123" i="22"/>
  <c r="T99" i="27"/>
  <c r="D128" i="26"/>
  <c r="L116" i="26"/>
  <c r="R116" i="26" s="1"/>
  <c r="D125" i="24"/>
  <c r="Q113" i="24"/>
  <c r="AB113" i="24" s="1"/>
  <c r="E137" i="24"/>
  <c r="R137" i="24" s="1"/>
  <c r="R125" i="24"/>
  <c r="G11" i="40"/>
  <c r="D132" i="26"/>
  <c r="L120" i="26"/>
  <c r="R120" i="26" s="1"/>
  <c r="D126" i="23"/>
  <c r="N114" i="23"/>
  <c r="E122" i="29"/>
  <c r="R110" i="29"/>
  <c r="AB110" i="29" s="1"/>
  <c r="D127" i="47"/>
  <c r="L115" i="47"/>
  <c r="R115" i="47" s="1"/>
  <c r="N111" i="28"/>
  <c r="D123" i="28"/>
  <c r="D123" i="27"/>
  <c r="M111" i="27"/>
  <c r="D138" i="31"/>
  <c r="L138" i="31" s="1"/>
  <c r="R138" i="31" s="1"/>
  <c r="L126" i="31"/>
  <c r="R126" i="31" s="1"/>
  <c r="E131" i="22"/>
  <c r="N119" i="22"/>
  <c r="D129" i="23"/>
  <c r="N117" i="23"/>
  <c r="R117" i="46"/>
  <c r="E129" i="46"/>
  <c r="N132" i="27"/>
  <c r="E144" i="27"/>
  <c r="N144" i="27" s="1"/>
  <c r="E129" i="24"/>
  <c r="R117" i="24"/>
  <c r="D139" i="31"/>
  <c r="L139" i="31" s="1"/>
  <c r="R139" i="31" s="1"/>
  <c r="L127" i="31"/>
  <c r="R127" i="31" s="1"/>
  <c r="D131" i="24"/>
  <c r="Q119" i="24"/>
  <c r="Q114" i="24"/>
  <c r="AB114" i="24" s="1"/>
  <c r="D126" i="24"/>
  <c r="D130" i="46"/>
  <c r="Q118" i="46"/>
  <c r="E128" i="22"/>
  <c r="N116" i="22"/>
  <c r="D128" i="29"/>
  <c r="Q116" i="29"/>
  <c r="D130" i="22"/>
  <c r="M118" i="22"/>
  <c r="T118" i="22" s="1"/>
  <c r="L125" i="26"/>
  <c r="R125" i="26" s="1"/>
  <c r="D137" i="26"/>
  <c r="L137" i="26" s="1"/>
  <c r="R137" i="26" s="1"/>
  <c r="O132" i="28"/>
  <c r="E144" i="28"/>
  <c r="O144" i="28" s="1"/>
  <c r="E127" i="46"/>
  <c r="R115" i="46"/>
  <c r="D124" i="27"/>
  <c r="M112" i="27"/>
  <c r="E138" i="27"/>
  <c r="N138" i="27" s="1"/>
  <c r="N126" i="27"/>
  <c r="D128" i="31"/>
  <c r="L116" i="31"/>
  <c r="R116" i="31" s="1"/>
  <c r="D129" i="22"/>
  <c r="M117" i="22"/>
  <c r="Q113" i="29"/>
  <c r="AB113" i="29" s="1"/>
  <c r="D125" i="29"/>
  <c r="N112" i="28"/>
  <c r="D124" i="28"/>
  <c r="E123" i="28"/>
  <c r="O111" i="28"/>
  <c r="E127" i="22"/>
  <c r="N115" i="22"/>
  <c r="N121" i="28"/>
  <c r="D133" i="28"/>
  <c r="AB103" i="46"/>
  <c r="V99" i="28"/>
  <c r="L117" i="47"/>
  <c r="R117" i="47" s="1"/>
  <c r="D129" i="47"/>
  <c r="E137" i="29"/>
  <c r="R137" i="29" s="1"/>
  <c r="R125" i="29"/>
  <c r="D133" i="22"/>
  <c r="M121" i="22"/>
  <c r="E132" i="22"/>
  <c r="N120" i="22"/>
  <c r="D133" i="23"/>
  <c r="N121" i="23"/>
  <c r="D126" i="28"/>
  <c r="N114" i="28"/>
  <c r="V114" i="28" s="1"/>
  <c r="AB105" i="24"/>
  <c r="AB103" i="24"/>
  <c r="O110" i="28"/>
  <c r="V110" i="28" s="1"/>
  <c r="E122" i="28"/>
  <c r="V107" i="23"/>
  <c r="E122" i="27"/>
  <c r="N110" i="27"/>
  <c r="T110" i="27" s="1"/>
  <c r="R131" i="29"/>
  <c r="E143" i="29"/>
  <c r="R143" i="29" s="1"/>
  <c r="Q117" i="29"/>
  <c r="D129" i="29"/>
  <c r="E128" i="46"/>
  <c r="R116" i="46"/>
  <c r="M110" i="22"/>
  <c r="T110" i="22" s="1"/>
  <c r="D122" i="22"/>
  <c r="D127" i="23"/>
  <c r="N115" i="23"/>
  <c r="D122" i="23"/>
  <c r="N110" i="23"/>
  <c r="D134" i="28"/>
  <c r="N134" i="28" s="1"/>
  <c r="N122" i="28"/>
  <c r="E129" i="28"/>
  <c r="O117" i="28"/>
  <c r="D128" i="27"/>
  <c r="M116" i="27"/>
  <c r="Q121" i="46"/>
  <c r="D133" i="46"/>
  <c r="N117" i="27"/>
  <c r="E129" i="27"/>
  <c r="D123" i="29"/>
  <c r="Q111" i="29"/>
  <c r="D129" i="27"/>
  <c r="M117" i="27"/>
  <c r="O116" i="28"/>
  <c r="E128" i="28"/>
  <c r="E129" i="29"/>
  <c r="R117" i="29"/>
  <c r="D132" i="47"/>
  <c r="L120" i="47"/>
  <c r="R120" i="47" s="1"/>
  <c r="Q119" i="46"/>
  <c r="D131" i="46"/>
  <c r="E129" i="22"/>
  <c r="N117" i="22"/>
  <c r="E130" i="27"/>
  <c r="N118" i="27"/>
  <c r="T118" i="27" s="1"/>
  <c r="T103" i="22"/>
  <c r="E145" i="29"/>
  <c r="R145" i="29" s="1"/>
  <c r="R133" i="29"/>
  <c r="D143" i="31"/>
  <c r="L143" i="31" s="1"/>
  <c r="R143" i="31" s="1"/>
  <c r="L131" i="31"/>
  <c r="R131" i="31" s="1"/>
  <c r="D123" i="46"/>
  <c r="Q111" i="46"/>
  <c r="L115" i="26"/>
  <c r="R115" i="26" s="1"/>
  <c r="D127" i="26"/>
  <c r="T107" i="22"/>
  <c r="Q121" i="29"/>
  <c r="AB121" i="29" s="1"/>
  <c r="D133" i="29"/>
  <c r="D124" i="29"/>
  <c r="Q112" i="29"/>
  <c r="E138" i="29"/>
  <c r="R138" i="29" s="1"/>
  <c r="R126" i="29"/>
  <c r="D126" i="27"/>
  <c r="M114" i="27"/>
  <c r="T114" i="27" s="1"/>
  <c r="E131" i="23"/>
  <c r="O119" i="23"/>
  <c r="N113" i="28"/>
  <c r="D125" i="28"/>
  <c r="D128" i="47"/>
  <c r="L116" i="47"/>
  <c r="R116" i="47" s="1"/>
  <c r="M113" i="22"/>
  <c r="D125" i="22"/>
  <c r="E132" i="23"/>
  <c r="O120" i="23"/>
  <c r="E128" i="27"/>
  <c r="N116" i="27"/>
  <c r="AR13" i="34"/>
  <c r="AV13" i="34" s="1"/>
  <c r="D123" i="24"/>
  <c r="Q111" i="24"/>
  <c r="R116" i="24"/>
  <c r="E128" i="24"/>
  <c r="E123" i="27"/>
  <c r="N111" i="27"/>
  <c r="D126" i="22"/>
  <c r="M114" i="22"/>
  <c r="N119" i="28"/>
  <c r="D131" i="28"/>
  <c r="E127" i="24"/>
  <c r="R115" i="24"/>
  <c r="D125" i="27"/>
  <c r="M113" i="27"/>
  <c r="N111" i="23"/>
  <c r="D123" i="23"/>
  <c r="D127" i="46"/>
  <c r="Q115" i="46"/>
  <c r="N117" i="28"/>
  <c r="D129" i="28"/>
  <c r="V120" i="28"/>
  <c r="D125" i="46"/>
  <c r="Q113" i="46"/>
  <c r="N113" i="23"/>
  <c r="D125" i="23"/>
  <c r="D129" i="24"/>
  <c r="Q117" i="24"/>
  <c r="E129" i="23"/>
  <c r="O117" i="23"/>
  <c r="D127" i="24"/>
  <c r="Q115" i="24"/>
  <c r="D131" i="23"/>
  <c r="N119" i="23"/>
  <c r="D142" i="29"/>
  <c r="Q142" i="29" s="1"/>
  <c r="Q130" i="29"/>
  <c r="D137" i="31"/>
  <c r="L137" i="31" s="1"/>
  <c r="R137" i="31" s="1"/>
  <c r="L125" i="31"/>
  <c r="R125" i="31" s="1"/>
  <c r="R120" i="24"/>
  <c r="E132" i="24"/>
  <c r="T112" i="27" l="1"/>
  <c r="BE11" i="34"/>
  <c r="BC12" i="34"/>
  <c r="L144" i="49"/>
  <c r="R144" i="49" s="1"/>
  <c r="L143" i="49"/>
  <c r="R143" i="49" s="1"/>
  <c r="L137" i="49"/>
  <c r="R137" i="49" s="1"/>
  <c r="L139" i="49"/>
  <c r="R139" i="49" s="1"/>
  <c r="L138" i="49"/>
  <c r="R138" i="49" s="1"/>
  <c r="L145" i="49"/>
  <c r="R145" i="49" s="1"/>
  <c r="D141" i="49"/>
  <c r="R129" i="49"/>
  <c r="D140" i="49"/>
  <c r="R128" i="49"/>
  <c r="D135" i="49"/>
  <c r="R123" i="49"/>
  <c r="D136" i="49"/>
  <c r="R124" i="49"/>
  <c r="D142" i="49"/>
  <c r="R130" i="49"/>
  <c r="D134" i="49"/>
  <c r="R122" i="49"/>
  <c r="Q135" i="48"/>
  <c r="AB135" i="48" s="1"/>
  <c r="AB136" i="48"/>
  <c r="AB123" i="48"/>
  <c r="AB141" i="48"/>
  <c r="AB120" i="48"/>
  <c r="E144" i="48"/>
  <c r="R144" i="48" s="1"/>
  <c r="D134" i="48"/>
  <c r="AB122" i="48"/>
  <c r="E137" i="48"/>
  <c r="AB125" i="48"/>
  <c r="AB140" i="48"/>
  <c r="D142" i="48"/>
  <c r="AB130" i="48"/>
  <c r="E138" i="48"/>
  <c r="AB126" i="48"/>
  <c r="AB127" i="48"/>
  <c r="E139" i="48"/>
  <c r="AB131" i="48"/>
  <c r="E143" i="48"/>
  <c r="AB133" i="48"/>
  <c r="E145" i="48"/>
  <c r="D144" i="48"/>
  <c r="Q144" i="48" s="1"/>
  <c r="E33" i="40"/>
  <c r="E62" i="40" s="1"/>
  <c r="E49" i="40"/>
  <c r="E78" i="40" s="1"/>
  <c r="E48" i="40"/>
  <c r="E77" i="40" s="1"/>
  <c r="L35" i="40"/>
  <c r="J64" i="40" s="1"/>
  <c r="F49" i="40"/>
  <c r="F78" i="40" s="1"/>
  <c r="H34" i="40"/>
  <c r="H63" i="40" s="1"/>
  <c r="AN22" i="39"/>
  <c r="J37" i="33" s="1"/>
  <c r="AB111" i="24"/>
  <c r="K36" i="33"/>
  <c r="L36" i="33"/>
  <c r="AP20" i="39"/>
  <c r="AN20" i="39" s="1"/>
  <c r="AN19" i="39"/>
  <c r="AB113" i="46"/>
  <c r="AB116" i="24"/>
  <c r="T114" i="22"/>
  <c r="AB116" i="46"/>
  <c r="E11" i="40"/>
  <c r="AK13" i="40"/>
  <c r="P32" i="19"/>
  <c r="Q32" i="19" s="1"/>
  <c r="AM13" i="40" s="1"/>
  <c r="W12" i="40"/>
  <c r="C31" i="19"/>
  <c r="D31" i="19" s="1"/>
  <c r="Y12" i="40" s="1"/>
  <c r="F64" i="40"/>
  <c r="V110" i="23"/>
  <c r="V114" i="23"/>
  <c r="Y13" i="34"/>
  <c r="AB13" i="34" s="1"/>
  <c r="AB111" i="46"/>
  <c r="V112" i="28"/>
  <c r="V115" i="28"/>
  <c r="T119" i="27"/>
  <c r="V118" i="23"/>
  <c r="V121" i="23"/>
  <c r="T121" i="22"/>
  <c r="AB114" i="46"/>
  <c r="AB110" i="24"/>
  <c r="V111" i="23"/>
  <c r="AB112" i="29"/>
  <c r="T116" i="22"/>
  <c r="AB110" i="46"/>
  <c r="T113" i="27"/>
  <c r="V113" i="28"/>
  <c r="AB111" i="29"/>
  <c r="P13" i="18"/>
  <c r="R13" i="18" s="1"/>
  <c r="Q13" i="40" s="1"/>
  <c r="G36" i="40" s="1"/>
  <c r="G65" i="40" s="1"/>
  <c r="AB144" i="29"/>
  <c r="V113" i="23"/>
  <c r="T120" i="22"/>
  <c r="P13" i="34"/>
  <c r="R13" i="34" s="1"/>
  <c r="AB119" i="24"/>
  <c r="G13" i="34"/>
  <c r="I13" i="34" s="1"/>
  <c r="T115" i="27"/>
  <c r="T112" i="22"/>
  <c r="V119" i="23"/>
  <c r="O122" i="23"/>
  <c r="E134" i="23"/>
  <c r="O134" i="23" s="1"/>
  <c r="V116" i="23"/>
  <c r="R122" i="24"/>
  <c r="E134" i="24"/>
  <c r="R134" i="24" s="1"/>
  <c r="AB115" i="46"/>
  <c r="T117" i="27"/>
  <c r="V115" i="23"/>
  <c r="E134" i="46"/>
  <c r="R134" i="46" s="1"/>
  <c r="R122" i="46"/>
  <c r="Y13" i="18"/>
  <c r="AB13" i="18" s="1"/>
  <c r="AB118" i="24"/>
  <c r="AB121" i="24"/>
  <c r="O130" i="23"/>
  <c r="E142" i="23"/>
  <c r="O142" i="23" s="1"/>
  <c r="AB112" i="24"/>
  <c r="L124" i="31"/>
  <c r="R124" i="31" s="1"/>
  <c r="D136" i="31"/>
  <c r="L136" i="31" s="1"/>
  <c r="R136" i="31" s="1"/>
  <c r="R123" i="46"/>
  <c r="E135" i="46"/>
  <c r="R135" i="46" s="1"/>
  <c r="E138" i="46"/>
  <c r="R138" i="46" s="1"/>
  <c r="R126" i="46"/>
  <c r="D136" i="47"/>
  <c r="L136" i="47" s="1"/>
  <c r="R136" i="47" s="1"/>
  <c r="L124" i="47"/>
  <c r="R124" i="47" s="1"/>
  <c r="M132" i="22"/>
  <c r="D144" i="22"/>
  <c r="M144" i="22" s="1"/>
  <c r="D144" i="46"/>
  <c r="Q144" i="46" s="1"/>
  <c r="Q132" i="46"/>
  <c r="Q128" i="46"/>
  <c r="D140" i="46"/>
  <c r="Q140" i="46" s="1"/>
  <c r="AB121" i="46"/>
  <c r="AB117" i="29"/>
  <c r="T111" i="27"/>
  <c r="D140" i="23"/>
  <c r="N140" i="23" s="1"/>
  <c r="N128" i="23"/>
  <c r="E136" i="27"/>
  <c r="N136" i="27" s="1"/>
  <c r="N124" i="27"/>
  <c r="O131" i="28"/>
  <c r="E143" i="28"/>
  <c r="O143" i="28" s="1"/>
  <c r="E138" i="23"/>
  <c r="O138" i="23" s="1"/>
  <c r="O126" i="23"/>
  <c r="L124" i="26"/>
  <c r="R124" i="26" s="1"/>
  <c r="D136" i="26"/>
  <c r="L136" i="26" s="1"/>
  <c r="R136" i="26" s="1"/>
  <c r="D145" i="26"/>
  <c r="L145" i="26" s="1"/>
  <c r="R145" i="26" s="1"/>
  <c r="L133" i="26"/>
  <c r="R133" i="26" s="1"/>
  <c r="N125" i="27"/>
  <c r="E137" i="27"/>
  <c r="N137" i="27" s="1"/>
  <c r="R130" i="24"/>
  <c r="E142" i="24"/>
  <c r="R142" i="24" s="1"/>
  <c r="N125" i="22"/>
  <c r="E137" i="22"/>
  <c r="N137" i="22" s="1"/>
  <c r="E145" i="24"/>
  <c r="R145" i="24" s="1"/>
  <c r="R133" i="24"/>
  <c r="Q132" i="24"/>
  <c r="D144" i="24"/>
  <c r="Q144" i="24" s="1"/>
  <c r="N123" i="22"/>
  <c r="E135" i="22"/>
  <c r="N135" i="22" s="1"/>
  <c r="R130" i="46"/>
  <c r="E142" i="46"/>
  <c r="R142" i="46" s="1"/>
  <c r="N131" i="27"/>
  <c r="E143" i="27"/>
  <c r="N143" i="27" s="1"/>
  <c r="N127" i="27"/>
  <c r="E139" i="27"/>
  <c r="N139" i="27" s="1"/>
  <c r="O127" i="28"/>
  <c r="E139" i="28"/>
  <c r="O139" i="28" s="1"/>
  <c r="N133" i="27"/>
  <c r="E145" i="27"/>
  <c r="N145" i="27" s="1"/>
  <c r="M128" i="22"/>
  <c r="D140" i="22"/>
  <c r="M140" i="22" s="1"/>
  <c r="E137" i="23"/>
  <c r="O137" i="23" s="1"/>
  <c r="O125" i="23"/>
  <c r="V119" i="28"/>
  <c r="T113" i="22"/>
  <c r="G13" i="18"/>
  <c r="I13" i="18" s="1"/>
  <c r="L13" i="40" s="1"/>
  <c r="F36" i="40" s="1"/>
  <c r="T116" i="27"/>
  <c r="V121" i="28"/>
  <c r="T111" i="22"/>
  <c r="AB132" i="29"/>
  <c r="D142" i="47"/>
  <c r="L142" i="47" s="1"/>
  <c r="R142" i="47" s="1"/>
  <c r="L130" i="47"/>
  <c r="R130" i="47" s="1"/>
  <c r="D136" i="46"/>
  <c r="Q136" i="46" s="1"/>
  <c r="Q124" i="46"/>
  <c r="N126" i="22"/>
  <c r="E138" i="22"/>
  <c r="N138" i="22" s="1"/>
  <c r="D135" i="47"/>
  <c r="L135" i="47" s="1"/>
  <c r="R135" i="47" s="1"/>
  <c r="L123" i="47"/>
  <c r="R123" i="47" s="1"/>
  <c r="E136" i="29"/>
  <c r="R136" i="29" s="1"/>
  <c r="R124" i="29"/>
  <c r="N133" i="22"/>
  <c r="E145" i="22"/>
  <c r="N145" i="22" s="1"/>
  <c r="O125" i="28"/>
  <c r="E137" i="28"/>
  <c r="O137" i="28" s="1"/>
  <c r="D138" i="26"/>
  <c r="L138" i="26" s="1"/>
  <c r="R138" i="26" s="1"/>
  <c r="L126" i="26"/>
  <c r="R126" i="26" s="1"/>
  <c r="E135" i="23"/>
  <c r="O135" i="23" s="1"/>
  <c r="O123" i="23"/>
  <c r="R123" i="24"/>
  <c r="E135" i="24"/>
  <c r="R135" i="24" s="1"/>
  <c r="E145" i="23"/>
  <c r="O145" i="23" s="1"/>
  <c r="O133" i="23"/>
  <c r="AB112" i="46"/>
  <c r="E136" i="23"/>
  <c r="O136" i="23" s="1"/>
  <c r="O124" i="23"/>
  <c r="E138" i="24"/>
  <c r="R138" i="24" s="1"/>
  <c r="R126" i="24"/>
  <c r="E136" i="22"/>
  <c r="N136" i="22" s="1"/>
  <c r="N124" i="22"/>
  <c r="O124" i="28"/>
  <c r="E136" i="28"/>
  <c r="O136" i="28" s="1"/>
  <c r="AB120" i="24"/>
  <c r="V117" i="28"/>
  <c r="V120" i="23"/>
  <c r="AR14" i="18"/>
  <c r="R150" i="47"/>
  <c r="AB116" i="29"/>
  <c r="AB118" i="46"/>
  <c r="AB120" i="46"/>
  <c r="T119" i="22"/>
  <c r="M124" i="22"/>
  <c r="D136" i="22"/>
  <c r="M136" i="22" s="1"/>
  <c r="N132" i="23"/>
  <c r="D144" i="23"/>
  <c r="N144" i="23" s="1"/>
  <c r="E145" i="46"/>
  <c r="R145" i="46" s="1"/>
  <c r="R133" i="46"/>
  <c r="R124" i="24"/>
  <c r="E136" i="24"/>
  <c r="R136" i="24" s="1"/>
  <c r="L123" i="26"/>
  <c r="R123" i="26" s="1"/>
  <c r="D135" i="26"/>
  <c r="L135" i="26" s="1"/>
  <c r="R135" i="26" s="1"/>
  <c r="E145" i="28"/>
  <c r="O145" i="28" s="1"/>
  <c r="O133" i="28"/>
  <c r="N124" i="23"/>
  <c r="D136" i="23"/>
  <c r="N136" i="23" s="1"/>
  <c r="D136" i="24"/>
  <c r="Q136" i="24" s="1"/>
  <c r="Q124" i="24"/>
  <c r="R125" i="46"/>
  <c r="E137" i="46"/>
  <c r="R137" i="46" s="1"/>
  <c r="D140" i="24"/>
  <c r="Q140" i="24" s="1"/>
  <c r="Q128" i="24"/>
  <c r="N130" i="22"/>
  <c r="E142" i="22"/>
  <c r="N142" i="22" s="1"/>
  <c r="E136" i="46"/>
  <c r="R136" i="46" s="1"/>
  <c r="AB136" i="46" s="1"/>
  <c r="R124" i="46"/>
  <c r="V112" i="23"/>
  <c r="D138" i="47"/>
  <c r="L138" i="47" s="1"/>
  <c r="R138" i="47" s="1"/>
  <c r="L126" i="47"/>
  <c r="R126" i="47" s="1"/>
  <c r="D145" i="47"/>
  <c r="L145" i="47" s="1"/>
  <c r="R145" i="47" s="1"/>
  <c r="L133" i="47"/>
  <c r="R133" i="47" s="1"/>
  <c r="D137" i="47"/>
  <c r="L137" i="47" s="1"/>
  <c r="R137" i="47" s="1"/>
  <c r="L125" i="47"/>
  <c r="R125" i="47" s="1"/>
  <c r="D142" i="26"/>
  <c r="L142" i="26" s="1"/>
  <c r="R142" i="26" s="1"/>
  <c r="L130" i="26"/>
  <c r="R130" i="26" s="1"/>
  <c r="Q125" i="29"/>
  <c r="AB125" i="29" s="1"/>
  <c r="D137" i="29"/>
  <c r="Q137" i="29" s="1"/>
  <c r="AB137" i="29" s="1"/>
  <c r="D141" i="23"/>
  <c r="N141" i="23" s="1"/>
  <c r="N129" i="23"/>
  <c r="D144" i="26"/>
  <c r="L144" i="26" s="1"/>
  <c r="R144" i="26" s="1"/>
  <c r="L132" i="26"/>
  <c r="R132" i="26" s="1"/>
  <c r="D143" i="47"/>
  <c r="L143" i="47" s="1"/>
  <c r="R143" i="47" s="1"/>
  <c r="L131" i="47"/>
  <c r="R131" i="47" s="1"/>
  <c r="D139" i="29"/>
  <c r="Q139" i="29" s="1"/>
  <c r="AB139" i="29" s="1"/>
  <c r="Q127" i="29"/>
  <c r="AB127" i="29" s="1"/>
  <c r="R132" i="24"/>
  <c r="E144" i="24"/>
  <c r="R144" i="24" s="1"/>
  <c r="AB115" i="24"/>
  <c r="AB117" i="24"/>
  <c r="N129" i="28"/>
  <c r="D141" i="28"/>
  <c r="N141" i="28" s="1"/>
  <c r="D139" i="46"/>
  <c r="Q139" i="46" s="1"/>
  <c r="Q127" i="46"/>
  <c r="M125" i="27"/>
  <c r="D137" i="27"/>
  <c r="M137" i="27" s="1"/>
  <c r="E135" i="27"/>
  <c r="N135" i="27" s="1"/>
  <c r="N123" i="27"/>
  <c r="D137" i="22"/>
  <c r="M137" i="22" s="1"/>
  <c r="M125" i="22"/>
  <c r="E143" i="23"/>
  <c r="O143" i="23" s="1"/>
  <c r="O131" i="23"/>
  <c r="E141" i="22"/>
  <c r="N141" i="22" s="1"/>
  <c r="N129" i="22"/>
  <c r="E141" i="29"/>
  <c r="R141" i="29" s="1"/>
  <c r="R129" i="29"/>
  <c r="D141" i="27"/>
  <c r="M141" i="27" s="1"/>
  <c r="M129" i="27"/>
  <c r="E141" i="28"/>
  <c r="O141" i="28" s="1"/>
  <c r="O129" i="28"/>
  <c r="D134" i="23"/>
  <c r="N134" i="23" s="1"/>
  <c r="N122" i="23"/>
  <c r="D145" i="23"/>
  <c r="N145" i="23" s="1"/>
  <c r="N133" i="23"/>
  <c r="D145" i="22"/>
  <c r="M145" i="22" s="1"/>
  <c r="M133" i="22"/>
  <c r="D141" i="47"/>
  <c r="L141" i="47" s="1"/>
  <c r="R141" i="47" s="1"/>
  <c r="L129" i="47"/>
  <c r="R129" i="47" s="1"/>
  <c r="E139" i="22"/>
  <c r="N139" i="22" s="1"/>
  <c r="N127" i="22"/>
  <c r="D141" i="22"/>
  <c r="M141" i="22" s="1"/>
  <c r="M129" i="22"/>
  <c r="V117" i="23"/>
  <c r="V111" i="28"/>
  <c r="V144" i="28"/>
  <c r="D145" i="27"/>
  <c r="M145" i="27" s="1"/>
  <c r="M133" i="27"/>
  <c r="E143" i="46"/>
  <c r="R143" i="46" s="1"/>
  <c r="R131" i="46"/>
  <c r="AR14" i="34"/>
  <c r="D143" i="29"/>
  <c r="Q143" i="29" s="1"/>
  <c r="AB143" i="29" s="1"/>
  <c r="Q131" i="29"/>
  <c r="AB131" i="29" s="1"/>
  <c r="E139" i="23"/>
  <c r="O139" i="23" s="1"/>
  <c r="O127" i="23"/>
  <c r="R123" i="29"/>
  <c r="E135" i="29"/>
  <c r="R135" i="29" s="1"/>
  <c r="D145" i="24"/>
  <c r="Q145" i="24" s="1"/>
  <c r="Q133" i="24"/>
  <c r="E140" i="29"/>
  <c r="R140" i="29" s="1"/>
  <c r="R128" i="29"/>
  <c r="E140" i="23"/>
  <c r="O140" i="23" s="1"/>
  <c r="O128" i="23"/>
  <c r="N128" i="27"/>
  <c r="E140" i="27"/>
  <c r="N140" i="27" s="1"/>
  <c r="O128" i="28"/>
  <c r="E140" i="28"/>
  <c r="O140" i="28" s="1"/>
  <c r="N129" i="27"/>
  <c r="E141" i="27"/>
  <c r="N141" i="27" s="1"/>
  <c r="O122" i="28"/>
  <c r="V122" i="28" s="1"/>
  <c r="E134" i="28"/>
  <c r="O134" i="28" s="1"/>
  <c r="V134" i="28" s="1"/>
  <c r="N133" i="28"/>
  <c r="D145" i="28"/>
  <c r="N145" i="28" s="1"/>
  <c r="R127" i="46"/>
  <c r="E139" i="46"/>
  <c r="R139" i="46" s="1"/>
  <c r="D140" i="29"/>
  <c r="Q140" i="29" s="1"/>
  <c r="Q128" i="29"/>
  <c r="D142" i="46"/>
  <c r="Q142" i="46" s="1"/>
  <c r="Q130" i="46"/>
  <c r="E134" i="29"/>
  <c r="R134" i="29" s="1"/>
  <c r="AB134" i="29" s="1"/>
  <c r="R122" i="29"/>
  <c r="AB122" i="29" s="1"/>
  <c r="D140" i="26"/>
  <c r="L140" i="26" s="1"/>
  <c r="R140" i="26" s="1"/>
  <c r="L128" i="26"/>
  <c r="R128" i="26" s="1"/>
  <c r="D134" i="31"/>
  <c r="L134" i="31" s="1"/>
  <c r="R134" i="31" s="1"/>
  <c r="L122" i="31"/>
  <c r="R122" i="31" s="1"/>
  <c r="Q130" i="24"/>
  <c r="D142" i="24"/>
  <c r="Q142" i="24" s="1"/>
  <c r="BC14" i="18"/>
  <c r="BE13" i="18"/>
  <c r="L131" i="26"/>
  <c r="R131" i="26" s="1"/>
  <c r="D143" i="26"/>
  <c r="L143" i="26" s="1"/>
  <c r="R143" i="26" s="1"/>
  <c r="D137" i="23"/>
  <c r="N137" i="23" s="1"/>
  <c r="N125" i="23"/>
  <c r="E139" i="24"/>
  <c r="R139" i="24" s="1"/>
  <c r="R127" i="24"/>
  <c r="D138" i="22"/>
  <c r="M138" i="22" s="1"/>
  <c r="M126" i="22"/>
  <c r="R128" i="24"/>
  <c r="E140" i="24"/>
  <c r="R140" i="24" s="1"/>
  <c r="D138" i="27"/>
  <c r="M138" i="27" s="1"/>
  <c r="T138" i="27" s="1"/>
  <c r="M126" i="27"/>
  <c r="T126" i="27" s="1"/>
  <c r="D136" i="29"/>
  <c r="Q136" i="29" s="1"/>
  <c r="Q124" i="29"/>
  <c r="L127" i="26"/>
  <c r="R127" i="26" s="1"/>
  <c r="D139" i="26"/>
  <c r="L139" i="26" s="1"/>
  <c r="R139" i="26" s="1"/>
  <c r="AB119" i="46"/>
  <c r="D144" i="47"/>
  <c r="L144" i="47" s="1"/>
  <c r="R144" i="47" s="1"/>
  <c r="L132" i="47"/>
  <c r="R132" i="47" s="1"/>
  <c r="D135" i="29"/>
  <c r="Q135" i="29" s="1"/>
  <c r="Q123" i="29"/>
  <c r="D140" i="27"/>
  <c r="M140" i="27" s="1"/>
  <c r="M128" i="27"/>
  <c r="D139" i="23"/>
  <c r="N139" i="23" s="1"/>
  <c r="N127" i="23"/>
  <c r="E140" i="46"/>
  <c r="R140" i="46" s="1"/>
  <c r="R128" i="46"/>
  <c r="N122" i="27"/>
  <c r="T122" i="27" s="1"/>
  <c r="E134" i="27"/>
  <c r="N134" i="27" s="1"/>
  <c r="T134" i="27" s="1"/>
  <c r="D138" i="28"/>
  <c r="N138" i="28" s="1"/>
  <c r="V138" i="28" s="1"/>
  <c r="N126" i="28"/>
  <c r="V126" i="28" s="1"/>
  <c r="E144" i="22"/>
  <c r="N144" i="22" s="1"/>
  <c r="N132" i="22"/>
  <c r="E135" i="28"/>
  <c r="O135" i="28" s="1"/>
  <c r="O123" i="28"/>
  <c r="D140" i="31"/>
  <c r="L140" i="31" s="1"/>
  <c r="R140" i="31" s="1"/>
  <c r="L128" i="31"/>
  <c r="R128" i="31" s="1"/>
  <c r="D143" i="24"/>
  <c r="Q143" i="24" s="1"/>
  <c r="Q131" i="24"/>
  <c r="E141" i="24"/>
  <c r="R141" i="24" s="1"/>
  <c r="R129" i="24"/>
  <c r="E141" i="46"/>
  <c r="R141" i="46" s="1"/>
  <c r="R129" i="46"/>
  <c r="D135" i="27"/>
  <c r="M135" i="27" s="1"/>
  <c r="M123" i="27"/>
  <c r="D139" i="47"/>
  <c r="L139" i="47" s="1"/>
  <c r="R139" i="47" s="1"/>
  <c r="L127" i="47"/>
  <c r="R127" i="47" s="1"/>
  <c r="D142" i="31"/>
  <c r="L142" i="31" s="1"/>
  <c r="R142" i="31" s="1"/>
  <c r="L130" i="31"/>
  <c r="R130" i="31" s="1"/>
  <c r="N127" i="28"/>
  <c r="D139" i="28"/>
  <c r="N139" i="28" s="1"/>
  <c r="Q129" i="46"/>
  <c r="D141" i="46"/>
  <c r="Q141" i="46" s="1"/>
  <c r="M127" i="27"/>
  <c r="D139" i="27"/>
  <c r="M139" i="27" s="1"/>
  <c r="V116" i="28"/>
  <c r="D143" i="22"/>
  <c r="M143" i="22" s="1"/>
  <c r="M131" i="22"/>
  <c r="D135" i="31"/>
  <c r="L135" i="31" s="1"/>
  <c r="R135" i="31" s="1"/>
  <c r="L123" i="31"/>
  <c r="R123" i="31" s="1"/>
  <c r="T115" i="22"/>
  <c r="D142" i="23"/>
  <c r="N142" i="23" s="1"/>
  <c r="N130" i="23"/>
  <c r="T144" i="27"/>
  <c r="D139" i="24"/>
  <c r="Q139" i="24" s="1"/>
  <c r="Q127" i="24"/>
  <c r="D141" i="24"/>
  <c r="Q141" i="24" s="1"/>
  <c r="Q129" i="24"/>
  <c r="D137" i="46"/>
  <c r="Q137" i="46" s="1"/>
  <c r="Q125" i="46"/>
  <c r="D135" i="23"/>
  <c r="N135" i="23" s="1"/>
  <c r="N123" i="23"/>
  <c r="D135" i="24"/>
  <c r="Q135" i="24" s="1"/>
  <c r="Q123" i="24"/>
  <c r="N125" i="28"/>
  <c r="D137" i="28"/>
  <c r="N137" i="28" s="1"/>
  <c r="D135" i="46"/>
  <c r="Q135" i="46" s="1"/>
  <c r="Q123" i="46"/>
  <c r="E142" i="27"/>
  <c r="N142" i="27" s="1"/>
  <c r="T142" i="27" s="1"/>
  <c r="N130" i="27"/>
  <c r="T130" i="27" s="1"/>
  <c r="Q131" i="46"/>
  <c r="D143" i="46"/>
  <c r="Q143" i="46" s="1"/>
  <c r="L129" i="26"/>
  <c r="R129" i="26" s="1"/>
  <c r="D141" i="26"/>
  <c r="L141" i="26" s="1"/>
  <c r="R141" i="26" s="1"/>
  <c r="D141" i="31"/>
  <c r="L141" i="31" s="1"/>
  <c r="R141" i="31" s="1"/>
  <c r="L129" i="31"/>
  <c r="R129" i="31" s="1"/>
  <c r="Q122" i="24"/>
  <c r="D134" i="24"/>
  <c r="Q134" i="24" s="1"/>
  <c r="T132" i="27"/>
  <c r="D143" i="23"/>
  <c r="N143" i="23" s="1"/>
  <c r="N131" i="23"/>
  <c r="E141" i="23"/>
  <c r="O141" i="23" s="1"/>
  <c r="O129" i="23"/>
  <c r="N131" i="28"/>
  <c r="D143" i="28"/>
  <c r="N143" i="28" s="1"/>
  <c r="E144" i="23"/>
  <c r="O144" i="23" s="1"/>
  <c r="O132" i="23"/>
  <c r="D140" i="47"/>
  <c r="L140" i="47" s="1"/>
  <c r="R140" i="47" s="1"/>
  <c r="L128" i="47"/>
  <c r="R128" i="47" s="1"/>
  <c r="Q133" i="29"/>
  <c r="AB133" i="29" s="1"/>
  <c r="D145" i="29"/>
  <c r="Q145" i="29" s="1"/>
  <c r="AB145" i="29" s="1"/>
  <c r="D145" i="46"/>
  <c r="Q145" i="46" s="1"/>
  <c r="Q133" i="46"/>
  <c r="D134" i="22"/>
  <c r="M134" i="22" s="1"/>
  <c r="T134" i="22" s="1"/>
  <c r="M122" i="22"/>
  <c r="T122" i="22" s="1"/>
  <c r="Q129" i="29"/>
  <c r="D141" i="29"/>
  <c r="Q141" i="29" s="1"/>
  <c r="D136" i="28"/>
  <c r="N136" i="28" s="1"/>
  <c r="N124" i="28"/>
  <c r="T117" i="22"/>
  <c r="D136" i="27"/>
  <c r="M136" i="27" s="1"/>
  <c r="M124" i="27"/>
  <c r="D142" i="22"/>
  <c r="M142" i="22" s="1"/>
  <c r="M130" i="22"/>
  <c r="E140" i="22"/>
  <c r="N140" i="22" s="1"/>
  <c r="N128" i="22"/>
  <c r="Q126" i="24"/>
  <c r="D138" i="24"/>
  <c r="Q138" i="24" s="1"/>
  <c r="E143" i="22"/>
  <c r="N143" i="22" s="1"/>
  <c r="N131" i="22"/>
  <c r="N123" i="28"/>
  <c r="D135" i="28"/>
  <c r="N135" i="28" s="1"/>
  <c r="D138" i="23"/>
  <c r="N138" i="23" s="1"/>
  <c r="N126" i="23"/>
  <c r="D137" i="24"/>
  <c r="Q137" i="24" s="1"/>
  <c r="AB137" i="24" s="1"/>
  <c r="Q125" i="24"/>
  <c r="AB125" i="24" s="1"/>
  <c r="D135" i="22"/>
  <c r="M135" i="22" s="1"/>
  <c r="M123" i="22"/>
  <c r="V132" i="28"/>
  <c r="D138" i="46"/>
  <c r="Q138" i="46" s="1"/>
  <c r="Q126" i="46"/>
  <c r="AB117" i="46"/>
  <c r="E143" i="24"/>
  <c r="R143" i="24" s="1"/>
  <c r="R131" i="24"/>
  <c r="E144" i="46"/>
  <c r="R144" i="46" s="1"/>
  <c r="R132" i="46"/>
  <c r="D140" i="28"/>
  <c r="N140" i="28" s="1"/>
  <c r="N128" i="28"/>
  <c r="M131" i="27"/>
  <c r="D143" i="27"/>
  <c r="M143" i="27" s="1"/>
  <c r="E142" i="29"/>
  <c r="R142" i="29" s="1"/>
  <c r="AB142" i="29" s="1"/>
  <c r="R130" i="29"/>
  <c r="AB130" i="29" s="1"/>
  <c r="D134" i="46"/>
  <c r="Q134" i="46" s="1"/>
  <c r="Q122" i="46"/>
  <c r="D139" i="22"/>
  <c r="M139" i="22" s="1"/>
  <c r="M127" i="22"/>
  <c r="D138" i="29"/>
  <c r="Q138" i="29" s="1"/>
  <c r="AB138" i="29" s="1"/>
  <c r="Q126" i="29"/>
  <c r="AB126" i="29" s="1"/>
  <c r="O130" i="28"/>
  <c r="V130" i="28" s="1"/>
  <c r="E142" i="28"/>
  <c r="O142" i="28" s="1"/>
  <c r="V142" i="28" s="1"/>
  <c r="AB124" i="46" l="1"/>
  <c r="C47" i="33"/>
  <c r="E47" i="33" s="1"/>
  <c r="BC13" i="34"/>
  <c r="BE12" i="34"/>
  <c r="L134" i="49"/>
  <c r="R134" i="49" s="1"/>
  <c r="L136" i="49"/>
  <c r="R136" i="49" s="1"/>
  <c r="L140" i="49"/>
  <c r="R140" i="49" s="1"/>
  <c r="L142" i="49"/>
  <c r="R142" i="49" s="1"/>
  <c r="L135" i="49"/>
  <c r="R135" i="49" s="1"/>
  <c r="L141" i="49"/>
  <c r="R141" i="49" s="1"/>
  <c r="R143" i="48"/>
  <c r="AB143" i="48" s="1"/>
  <c r="Q134" i="48"/>
  <c r="AB134" i="48" s="1"/>
  <c r="R138" i="48"/>
  <c r="AB138" i="48" s="1"/>
  <c r="R145" i="48"/>
  <c r="AB145" i="48" s="1"/>
  <c r="R139" i="48"/>
  <c r="AB139" i="48" s="1"/>
  <c r="R137" i="48"/>
  <c r="AB137" i="48" s="1"/>
  <c r="Q142" i="48"/>
  <c r="AB142" i="48" s="1"/>
  <c r="AB144" i="48"/>
  <c r="AB132" i="48"/>
  <c r="E34" i="40"/>
  <c r="E63" i="40" s="1"/>
  <c r="H51" i="40"/>
  <c r="H80" i="40" s="1"/>
  <c r="L36" i="40"/>
  <c r="J65" i="40" s="1"/>
  <c r="H35" i="40"/>
  <c r="H64" i="40" s="1"/>
  <c r="AN23" i="39"/>
  <c r="K37" i="33" s="1"/>
  <c r="AN24" i="39"/>
  <c r="L37" i="33" s="1"/>
  <c r="V137" i="23"/>
  <c r="AB134" i="24"/>
  <c r="T126" i="22"/>
  <c r="AB134" i="46"/>
  <c r="V134" i="23"/>
  <c r="AB128" i="29"/>
  <c r="AB123" i="46"/>
  <c r="V142" i="23"/>
  <c r="V132" i="23"/>
  <c r="F13" i="40"/>
  <c r="E12" i="40"/>
  <c r="C32" i="19"/>
  <c r="D32" i="19" s="1"/>
  <c r="Y13" i="40" s="1"/>
  <c r="F65" i="40"/>
  <c r="G12" i="40"/>
  <c r="F50" i="40"/>
  <c r="F79" i="40" s="1"/>
  <c r="V128" i="28"/>
  <c r="AB138" i="46"/>
  <c r="T130" i="22"/>
  <c r="AB145" i="46"/>
  <c r="AB128" i="46"/>
  <c r="AB125" i="46"/>
  <c r="T145" i="27"/>
  <c r="AB133" i="46"/>
  <c r="AB130" i="24"/>
  <c r="AB145" i="24"/>
  <c r="AB138" i="24"/>
  <c r="V127" i="28"/>
  <c r="AB140" i="46"/>
  <c r="AB124" i="29"/>
  <c r="T143" i="27"/>
  <c r="V126" i="23"/>
  <c r="T124" i="27"/>
  <c r="V136" i="28"/>
  <c r="AB144" i="46"/>
  <c r="T135" i="22"/>
  <c r="T140" i="22"/>
  <c r="Y14" i="34"/>
  <c r="T127" i="27"/>
  <c r="AB132" i="46"/>
  <c r="AB141" i="29"/>
  <c r="V135" i="28"/>
  <c r="AB129" i="24"/>
  <c r="T135" i="27"/>
  <c r="AB130" i="46"/>
  <c r="V122" i="23"/>
  <c r="T125" i="22"/>
  <c r="AB135" i="46"/>
  <c r="AB135" i="24"/>
  <c r="V133" i="28"/>
  <c r="AB126" i="24"/>
  <c r="AV14" i="18"/>
  <c r="P33" i="19" s="1"/>
  <c r="Q33" i="19" s="1"/>
  <c r="AM14" i="40" s="1"/>
  <c r="V131" i="28"/>
  <c r="V143" i="23"/>
  <c r="AB122" i="24"/>
  <c r="V139" i="28"/>
  <c r="V140" i="23"/>
  <c r="T133" i="27"/>
  <c r="T125" i="27"/>
  <c r="AB132" i="24"/>
  <c r="AB143" i="46"/>
  <c r="P14" i="18"/>
  <c r="R14" i="18" s="1"/>
  <c r="Q14" i="40" s="1"/>
  <c r="G37" i="40" s="1"/>
  <c r="T127" i="22"/>
  <c r="T142" i="22"/>
  <c r="V124" i="28"/>
  <c r="AB137" i="46"/>
  <c r="V133" i="23"/>
  <c r="G14" i="34"/>
  <c r="I14" i="34" s="1"/>
  <c r="J3" i="33" s="1"/>
  <c r="AB122" i="46"/>
  <c r="T123" i="22"/>
  <c r="T128" i="22"/>
  <c r="V137" i="28"/>
  <c r="V123" i="23"/>
  <c r="T144" i="22"/>
  <c r="T131" i="27"/>
  <c r="AB126" i="46"/>
  <c r="V138" i="23"/>
  <c r="T136" i="27"/>
  <c r="V130" i="23"/>
  <c r="T138" i="22"/>
  <c r="V140" i="28"/>
  <c r="AB131" i="46"/>
  <c r="AB141" i="46"/>
  <c r="T145" i="22"/>
  <c r="AB141" i="24"/>
  <c r="AB135" i="29"/>
  <c r="Y14" i="18"/>
  <c r="W13" i="40"/>
  <c r="T139" i="22"/>
  <c r="T133" i="22"/>
  <c r="V145" i="28"/>
  <c r="AB123" i="24"/>
  <c r="AB127" i="24"/>
  <c r="AB142" i="24"/>
  <c r="AB139" i="24"/>
  <c r="AB133" i="24"/>
  <c r="T141" i="22"/>
  <c r="T136" i="22"/>
  <c r="T140" i="27"/>
  <c r="AB140" i="24"/>
  <c r="V124" i="23"/>
  <c r="AB124" i="24"/>
  <c r="AB131" i="24"/>
  <c r="AB129" i="29"/>
  <c r="V125" i="28"/>
  <c r="V135" i="23"/>
  <c r="G14" i="18"/>
  <c r="I14" i="18" s="1"/>
  <c r="L14" i="40" s="1"/>
  <c r="F37" i="40" s="1"/>
  <c r="T143" i="22"/>
  <c r="T128" i="27"/>
  <c r="AR15" i="18"/>
  <c r="AV15" i="18" s="1"/>
  <c r="V125" i="23"/>
  <c r="V128" i="23"/>
  <c r="V145" i="23"/>
  <c r="AB136" i="24"/>
  <c r="V136" i="23"/>
  <c r="V144" i="23"/>
  <c r="T123" i="27"/>
  <c r="T132" i="22"/>
  <c r="AB142" i="46"/>
  <c r="P14" i="34"/>
  <c r="R14" i="34" s="1"/>
  <c r="J4" i="33" s="1"/>
  <c r="T129" i="27"/>
  <c r="T137" i="27"/>
  <c r="V141" i="28"/>
  <c r="V143" i="28"/>
  <c r="V131" i="23"/>
  <c r="T139" i="27"/>
  <c r="AB136" i="29"/>
  <c r="AB128" i="24"/>
  <c r="AR15" i="34"/>
  <c r="T137" i="22"/>
  <c r="AB144" i="24"/>
  <c r="T124" i="22"/>
  <c r="T131" i="22"/>
  <c r="V139" i="23"/>
  <c r="AB123" i="29"/>
  <c r="AB139" i="46"/>
  <c r="V123" i="28"/>
  <c r="AB129" i="46"/>
  <c r="AS16" i="18"/>
  <c r="C69" i="21" s="1"/>
  <c r="AR16" i="18"/>
  <c r="AB143" i="24"/>
  <c r="BC15" i="18"/>
  <c r="BE14" i="18"/>
  <c r="T129" i="22"/>
  <c r="T141" i="27"/>
  <c r="V129" i="28"/>
  <c r="V129" i="23"/>
  <c r="AV14" i="34"/>
  <c r="O22" i="39" s="1"/>
  <c r="V127" i="23"/>
  <c r="AB140" i="29"/>
  <c r="AB127" i="46"/>
  <c r="V141" i="23"/>
  <c r="C48" i="33" l="1"/>
  <c r="E48" i="33" s="1"/>
  <c r="Z16" i="34"/>
  <c r="Y16" i="34" s="1"/>
  <c r="BC14" i="34"/>
  <c r="BE13" i="34"/>
  <c r="AS16" i="34"/>
  <c r="AR16" i="34" s="1"/>
  <c r="AV16" i="34" s="1"/>
  <c r="E50" i="40"/>
  <c r="E79" i="40" s="1"/>
  <c r="E35" i="40"/>
  <c r="E64" i="40" s="1"/>
  <c r="F51" i="40"/>
  <c r="F80" i="40" s="1"/>
  <c r="O18" i="39"/>
  <c r="P18" i="39" s="1"/>
  <c r="G13" i="40"/>
  <c r="F14" i="40"/>
  <c r="P19" i="19"/>
  <c r="Q19" i="19" s="1"/>
  <c r="P34" i="19"/>
  <c r="Q34" i="19" s="1"/>
  <c r="D69" i="21"/>
  <c r="V18" i="19"/>
  <c r="W18" i="19" s="1"/>
  <c r="J7" i="21"/>
  <c r="P18" i="19"/>
  <c r="Q18" i="19" s="1"/>
  <c r="AB14" i="18"/>
  <c r="G66" i="40"/>
  <c r="F66" i="40"/>
  <c r="E13" i="40"/>
  <c r="H36" i="40"/>
  <c r="J4" i="21"/>
  <c r="P16" i="34"/>
  <c r="R16" i="34" s="1"/>
  <c r="L4" i="33" s="1"/>
  <c r="Y15" i="34"/>
  <c r="AB14" i="34"/>
  <c r="C22" i="39" s="1"/>
  <c r="AK14" i="40"/>
  <c r="H52" i="40"/>
  <c r="Y16" i="18"/>
  <c r="AB16" i="18" s="1"/>
  <c r="J3" i="21"/>
  <c r="G15" i="34"/>
  <c r="I15" i="34" s="1"/>
  <c r="K3" i="33" s="1"/>
  <c r="Y15" i="18"/>
  <c r="AB15" i="18" s="1"/>
  <c r="AV15" i="34"/>
  <c r="P15" i="18"/>
  <c r="R15" i="18" s="1"/>
  <c r="K4" i="21" s="1"/>
  <c r="G16" i="18"/>
  <c r="I16" i="18" s="1"/>
  <c r="L16" i="40" s="1"/>
  <c r="Z16" i="18"/>
  <c r="C68" i="21" s="1"/>
  <c r="D68" i="21" s="1"/>
  <c r="P15" i="34"/>
  <c r="R15" i="34" s="1"/>
  <c r="K4" i="33" s="1"/>
  <c r="P16" i="18"/>
  <c r="R16" i="18" s="1"/>
  <c r="G16" i="34"/>
  <c r="I16" i="34" s="1"/>
  <c r="L3" i="33" s="1"/>
  <c r="G15" i="18"/>
  <c r="I15" i="18" s="1"/>
  <c r="L15" i="40" s="1"/>
  <c r="J7" i="33"/>
  <c r="AK15" i="40"/>
  <c r="K7" i="21"/>
  <c r="AV16" i="18"/>
  <c r="P35" i="19" s="1"/>
  <c r="Q35" i="19" s="1"/>
  <c r="J8" i="21"/>
  <c r="BE15" i="18"/>
  <c r="BC16" i="18"/>
  <c r="BC15" i="34" l="1"/>
  <c r="BE14" i="34"/>
  <c r="C18" i="33"/>
  <c r="E18" i="33" s="1"/>
  <c r="C17" i="33"/>
  <c r="E17" i="33" s="1"/>
  <c r="E51" i="40"/>
  <c r="E80" i="40" s="1"/>
  <c r="E36" i="40"/>
  <c r="E65" i="40" s="1"/>
  <c r="L37" i="40"/>
  <c r="AB16" i="34"/>
  <c r="C24" i="39" s="1"/>
  <c r="O20" i="39"/>
  <c r="P20" i="39" s="1"/>
  <c r="O24" i="39"/>
  <c r="O19" i="39"/>
  <c r="P19" i="39" s="1"/>
  <c r="O23" i="39"/>
  <c r="P22" i="39"/>
  <c r="J33" i="33" s="1"/>
  <c r="L7" i="33"/>
  <c r="K7" i="33"/>
  <c r="J5" i="33"/>
  <c r="C18" i="39"/>
  <c r="D18" i="39" s="1"/>
  <c r="D22" i="39" s="1"/>
  <c r="V19" i="19"/>
  <c r="W19" i="19" s="1"/>
  <c r="C24" i="20"/>
  <c r="E24" i="20" s="1"/>
  <c r="C35" i="19"/>
  <c r="D35" i="19" s="1"/>
  <c r="C19" i="19"/>
  <c r="D19" i="19" s="1"/>
  <c r="C34" i="19"/>
  <c r="D34" i="19" s="1"/>
  <c r="C18" i="19"/>
  <c r="D18" i="19" s="1"/>
  <c r="C33" i="19"/>
  <c r="D33" i="19" s="1"/>
  <c r="Y14" i="40" s="1"/>
  <c r="P20" i="19"/>
  <c r="Q20" i="19" s="1"/>
  <c r="C26" i="20"/>
  <c r="E26" i="20" s="1"/>
  <c r="C20" i="19"/>
  <c r="D20" i="19" s="1"/>
  <c r="F24" i="20" s="1"/>
  <c r="G24" i="20" s="1"/>
  <c r="Q16" i="40"/>
  <c r="D70" i="21"/>
  <c r="K33" i="21"/>
  <c r="J34" i="21"/>
  <c r="J33" i="21"/>
  <c r="J5" i="21"/>
  <c r="J13" i="21" s="1"/>
  <c r="W14" i="40"/>
  <c r="H65" i="40"/>
  <c r="F67" i="40"/>
  <c r="F38" i="40" s="1"/>
  <c r="F68" i="40"/>
  <c r="F39" i="40" s="1"/>
  <c r="G68" i="40"/>
  <c r="G39" i="40" s="1"/>
  <c r="G67" i="40"/>
  <c r="G38" i="40" s="1"/>
  <c r="H81" i="40"/>
  <c r="J66" i="40"/>
  <c r="AB15" i="34"/>
  <c r="C23" i="39" s="1"/>
  <c r="L3" i="21"/>
  <c r="Q15" i="40"/>
  <c r="C70" i="21"/>
  <c r="L4" i="21"/>
  <c r="K3" i="21"/>
  <c r="W15" i="40"/>
  <c r="K5" i="21"/>
  <c r="L7" i="21"/>
  <c r="AK16" i="40"/>
  <c r="BE16" i="18"/>
  <c r="AR15" i="40"/>
  <c r="K8" i="21"/>
  <c r="L5" i="21"/>
  <c r="W16" i="40"/>
  <c r="L5" i="33" l="1"/>
  <c r="C20" i="39"/>
  <c r="D20" i="39" s="1"/>
  <c r="D24" i="39" s="1"/>
  <c r="L31" i="33" s="1"/>
  <c r="U22" i="39"/>
  <c r="J8" i="33"/>
  <c r="J13" i="33" s="1"/>
  <c r="U18" i="39"/>
  <c r="V18" i="39" s="1"/>
  <c r="V22" i="39" s="1"/>
  <c r="J34" i="33" s="1"/>
  <c r="BC16" i="34"/>
  <c r="BE16" i="34" s="1"/>
  <c r="U24" i="39" s="1"/>
  <c r="BE15" i="34"/>
  <c r="C21" i="33"/>
  <c r="E21" i="33" s="1"/>
  <c r="F52" i="40"/>
  <c r="F81" i="40" s="1"/>
  <c r="F82" i="40" s="1"/>
  <c r="F53" i="40" s="1"/>
  <c r="H37" i="40"/>
  <c r="H66" i="40" s="1"/>
  <c r="H68" i="40" s="1"/>
  <c r="H39" i="40" s="1"/>
  <c r="P23" i="39"/>
  <c r="K33" i="33" s="1"/>
  <c r="P24" i="39"/>
  <c r="L33" i="33" s="1"/>
  <c r="J31" i="33"/>
  <c r="C19" i="39"/>
  <c r="D19" i="39" s="1"/>
  <c r="D23" i="39" s="1"/>
  <c r="K34" i="21"/>
  <c r="L33" i="21"/>
  <c r="C44" i="21" s="1"/>
  <c r="F26" i="20"/>
  <c r="V20" i="19"/>
  <c r="W20" i="19" s="1"/>
  <c r="C27" i="20"/>
  <c r="G14" i="40"/>
  <c r="L31" i="21"/>
  <c r="C42" i="21" s="1"/>
  <c r="K31" i="21"/>
  <c r="J31" i="21"/>
  <c r="E14" i="40"/>
  <c r="C21" i="21"/>
  <c r="E21" i="21" s="1"/>
  <c r="C19" i="21"/>
  <c r="E19" i="21" s="1"/>
  <c r="C18" i="21"/>
  <c r="E18" i="21" s="1"/>
  <c r="C17" i="21"/>
  <c r="E17" i="21" s="1"/>
  <c r="H83" i="40"/>
  <c r="H54" i="40" s="1"/>
  <c r="H82" i="40"/>
  <c r="H53" i="40" s="1"/>
  <c r="F83" i="40"/>
  <c r="F54" i="40" s="1"/>
  <c r="J68" i="40"/>
  <c r="L39" i="40" s="1"/>
  <c r="J67" i="40"/>
  <c r="L38" i="40" s="1"/>
  <c r="K5" i="33"/>
  <c r="K13" i="21"/>
  <c r="E15" i="40"/>
  <c r="L8" i="21"/>
  <c r="AR16" i="40"/>
  <c r="C19" i="33"/>
  <c r="L8" i="33"/>
  <c r="U20" i="39" l="1"/>
  <c r="V20" i="39" s="1"/>
  <c r="V24" i="39" s="1"/>
  <c r="L34" i="33" s="1"/>
  <c r="C44" i="33"/>
  <c r="J38" i="33"/>
  <c r="C42" i="33"/>
  <c r="U23" i="39"/>
  <c r="K8" i="33"/>
  <c r="K13" i="33" s="1"/>
  <c r="U19" i="39"/>
  <c r="V19" i="39" s="1"/>
  <c r="V23" i="39" s="1"/>
  <c r="K34" i="33" s="1"/>
  <c r="H67" i="40"/>
  <c r="H38" i="40" s="1"/>
  <c r="C22" i="33"/>
  <c r="E22" i="33" s="1"/>
  <c r="E37" i="40"/>
  <c r="E66" i="40" s="1"/>
  <c r="E67" i="40" s="1"/>
  <c r="E38" i="40" s="1"/>
  <c r="E52" i="40"/>
  <c r="E81" i="40" s="1"/>
  <c r="E83" i="40" s="1"/>
  <c r="E54" i="40" s="1"/>
  <c r="E16" i="40"/>
  <c r="K38" i="21"/>
  <c r="Y15" i="40"/>
  <c r="D42" i="33"/>
  <c r="K31" i="33"/>
  <c r="D42" i="21"/>
  <c r="E42" i="21" s="1"/>
  <c r="Y16" i="40"/>
  <c r="F27" i="20"/>
  <c r="F29" i="20" s="1"/>
  <c r="L34" i="21"/>
  <c r="L38" i="21" s="1"/>
  <c r="G26" i="20"/>
  <c r="C29" i="20"/>
  <c r="E29" i="20" s="1"/>
  <c r="E27" i="20"/>
  <c r="J38" i="21"/>
  <c r="C22" i="21"/>
  <c r="E22" i="21" s="1"/>
  <c r="E27" i="21" s="1"/>
  <c r="E82" i="40"/>
  <c r="E53" i="40" s="1"/>
  <c r="E68" i="40"/>
  <c r="E39" i="40" s="1"/>
  <c r="L13" i="21"/>
  <c r="E19" i="33"/>
  <c r="L13" i="33"/>
  <c r="C27" i="33" l="1"/>
  <c r="E27" i="33"/>
  <c r="K38" i="33"/>
  <c r="AM16" i="40"/>
  <c r="D44" i="33"/>
  <c r="E44" i="33" s="1"/>
  <c r="E42" i="33"/>
  <c r="C45" i="33"/>
  <c r="L38" i="33"/>
  <c r="AM15" i="40"/>
  <c r="D44" i="21"/>
  <c r="E44" i="21" s="1"/>
  <c r="C45" i="21"/>
  <c r="C49" i="21" s="1"/>
  <c r="G27" i="20"/>
  <c r="D45" i="33" s="1"/>
  <c r="E48" i="21"/>
  <c r="C27" i="21"/>
  <c r="E45" i="33" l="1"/>
  <c r="E49" i="33" s="1"/>
  <c r="D49" i="33"/>
  <c r="C49" i="33"/>
  <c r="AT15" i="40"/>
  <c r="AT16" i="40"/>
  <c r="G29" i="20"/>
  <c r="D45" i="21"/>
  <c r="G15" i="40" l="1"/>
  <c r="G16" i="40"/>
  <c r="E45" i="21"/>
  <c r="E49" i="21" s="1"/>
  <c r="D49" i="21"/>
</calcChain>
</file>

<file path=xl/sharedStrings.xml><?xml version="1.0" encoding="utf-8"?>
<sst xmlns="http://schemas.openxmlformats.org/spreadsheetml/2006/main" count="1481" uniqueCount="312">
  <si>
    <t>Residential_kWh</t>
  </si>
  <si>
    <t>Residential_Cust</t>
  </si>
  <si>
    <t>Residential_CDM</t>
  </si>
  <si>
    <t>Residential_NO_CDM</t>
  </si>
  <si>
    <t>GS_lt_50_kWh</t>
  </si>
  <si>
    <t>GS_lt_50_Cust</t>
  </si>
  <si>
    <t>GS_lt_50_CDM</t>
  </si>
  <si>
    <t>GS_lt_50_No_CDM</t>
  </si>
  <si>
    <t>GS_gt_50_kWh</t>
  </si>
  <si>
    <t>GS_gt_50_kW</t>
  </si>
  <si>
    <t>GS_gt_50_Cust</t>
  </si>
  <si>
    <t>GS_gt_50_CDM</t>
  </si>
  <si>
    <t>GS_gt_50_NO_CDM</t>
  </si>
  <si>
    <t>Intermediate_kWh</t>
  </si>
  <si>
    <t>Intermediate_kW</t>
  </si>
  <si>
    <t>Intermediate_Cust</t>
  </si>
  <si>
    <t>Intermediate_CDM</t>
  </si>
  <si>
    <t>Intermediate_NO_CDM</t>
  </si>
  <si>
    <t>Large_Use_kWh</t>
  </si>
  <si>
    <t>Large_Use_kW</t>
  </si>
  <si>
    <t>Large_Use_Cust</t>
  </si>
  <si>
    <t>Large_Use_CDM</t>
  </si>
  <si>
    <t>Large_Use_NO_CDM</t>
  </si>
  <si>
    <t>Large_Use_3TS_kWh</t>
  </si>
  <si>
    <t>Large_Use_3TS_kW</t>
  </si>
  <si>
    <t>Large_Use_3TS_Cust</t>
  </si>
  <si>
    <t>Large_Use_3TS_CDM</t>
  </si>
  <si>
    <t>Large_Use_3TS_NO_CDM</t>
  </si>
  <si>
    <t>Large_Use_FA_kWh</t>
  </si>
  <si>
    <t>Large_Use_FA_kW</t>
  </si>
  <si>
    <t>Large_Use_FA_Cust</t>
  </si>
  <si>
    <t>Large_Use_FA_CDM</t>
  </si>
  <si>
    <t>Large_Use_FA_NO_CDM</t>
  </si>
  <si>
    <t>Streetlights_kWh</t>
  </si>
  <si>
    <t>Streetlights_kW</t>
  </si>
  <si>
    <t>Streetlights_Conn</t>
  </si>
  <si>
    <t>Streetlights_CDM</t>
  </si>
  <si>
    <t>Streetlights_NO_CDM</t>
  </si>
  <si>
    <t>Sentinel_kWh</t>
  </si>
  <si>
    <t>Sentinel_kW</t>
  </si>
  <si>
    <t>Sentinel_Cust</t>
  </si>
  <si>
    <t>USL_kWh</t>
  </si>
  <si>
    <t>USL_Cust</t>
  </si>
  <si>
    <t>HDD</t>
  </si>
  <si>
    <t>CDD</t>
  </si>
  <si>
    <t>Jan</t>
  </si>
  <si>
    <t>Feb</t>
  </si>
  <si>
    <t>Mar</t>
  </si>
  <si>
    <t>Apr</t>
  </si>
  <si>
    <t>May</t>
  </si>
  <si>
    <t>June</t>
  </si>
  <si>
    <t>July</t>
  </si>
  <si>
    <t>August</t>
  </si>
  <si>
    <t>Sept</t>
  </si>
  <si>
    <t>Oct</t>
  </si>
  <si>
    <t>Nov</t>
  </si>
  <si>
    <t>Dec</t>
  </si>
  <si>
    <t>10-year</t>
  </si>
  <si>
    <t>20-year</t>
  </si>
  <si>
    <t>10 Year Average</t>
  </si>
  <si>
    <t>20 Year Trend</t>
  </si>
  <si>
    <t>Windsor Riverside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</si>
  <si>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</si>
  <si>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</si>
  <si>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</si>
  <si>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</si>
  <si>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</si>
  <si>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</si>
  <si>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</si>
  <si>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</si>
  <si>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BMO</t>
  </si>
  <si>
    <t>TD</t>
  </si>
  <si>
    <t>Scotia</t>
  </si>
  <si>
    <t>RBC</t>
  </si>
  <si>
    <t>Average</t>
  </si>
  <si>
    <t>Ont_Empl</t>
  </si>
  <si>
    <t>Windsor_Empl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</si>
  <si>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</si>
  <si>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</si>
  <si>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</si>
  <si>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</si>
  <si>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</si>
  <si>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</si>
  <si>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</si>
  <si>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</si>
  <si>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</si>
  <si>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Dependent variable: Residential_NO_CDM</t>
  </si>
  <si>
    <t>coefficient</t>
  </si>
  <si>
    <t>std. error</t>
  </si>
  <si>
    <t>t-ratio</t>
  </si>
  <si>
    <t>p-value</t>
  </si>
  <si>
    <t>const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</si>
  <si>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</si>
  <si>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</si>
  <si>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</si>
  <si>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</si>
  <si>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</si>
  <si>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</si>
  <si>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</si>
  <si>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F(7, 112)</t>
  </si>
  <si>
    <t>P-value(F)</t>
  </si>
  <si>
    <t>Log-likelihood</t>
  </si>
  <si>
    <t>Akaike criterion</t>
  </si>
  <si>
    <t>Schwarz criterion</t>
  </si>
  <si>
    <t>Hannan-Quinn</t>
  </si>
  <si>
    <t>rho</t>
  </si>
  <si>
    <t>Durbin-Watson</t>
  </si>
  <si>
    <t>GDP</t>
  </si>
  <si>
    <t>Ont_GDP</t>
  </si>
  <si>
    <t>FTE</t>
  </si>
  <si>
    <t>282-0135</t>
  </si>
  <si>
    <t>ONT_GDP</t>
  </si>
  <si>
    <t>379-0030</t>
  </si>
  <si>
    <t>Dependent variable: GS_lt_50_No_CDM</t>
  </si>
  <si>
    <t>F(8, 111)</t>
  </si>
  <si>
    <t>Lost_Customer_kWh</t>
  </si>
  <si>
    <t>Lost_Customer_kW</t>
  </si>
  <si>
    <t>Large_Use_3TS_kW_Adj</t>
  </si>
  <si>
    <t>GS_gt_50_kW_Adj</t>
  </si>
  <si>
    <t>Dependent variable: GS_gt_50_NO_CDM</t>
  </si>
  <si>
    <t>PeakDays</t>
  </si>
  <si>
    <t>Dependent variable: Intermediate_NO_CDM</t>
  </si>
  <si>
    <t>Dependent variable: Large_Use_NO_CDM</t>
  </si>
  <si>
    <t>Date</t>
  </si>
  <si>
    <t>Year</t>
  </si>
  <si>
    <t>Predicted</t>
  </si>
  <si>
    <t>Model Error</t>
  </si>
  <si>
    <t>Weather Actual</t>
  </si>
  <si>
    <t>Res kWh</t>
  </si>
  <si>
    <t>Absolute</t>
  </si>
  <si>
    <t>GS&lt;50 kWh</t>
  </si>
  <si>
    <t>GS&gt;50 kWh</t>
  </si>
  <si>
    <t>CDM Added Back</t>
  </si>
  <si>
    <t>Error (%)</t>
  </si>
  <si>
    <t>Mean Absolute Percentage Error (Annual)</t>
  </si>
  <si>
    <t>Mean Absolute Percentage Error (Monthly)</t>
  </si>
  <si>
    <t>Residential</t>
  </si>
  <si>
    <t>Percent of Prior Year</t>
  </si>
  <si>
    <t>GS &lt; 50</t>
  </si>
  <si>
    <t>GS &gt; 50</t>
  </si>
  <si>
    <t>Intermediate</t>
  </si>
  <si>
    <t>Large Use</t>
  </si>
  <si>
    <t>USL</t>
  </si>
  <si>
    <t>Sentinel Light</t>
  </si>
  <si>
    <t>Street Light</t>
  </si>
  <si>
    <t>Lamps / Devices</t>
  </si>
  <si>
    <t>Customers</t>
  </si>
  <si>
    <t>Connections</t>
  </si>
  <si>
    <t>Weather Normal</t>
  </si>
  <si>
    <t>Sentinel</t>
  </si>
  <si>
    <t>Actual</t>
  </si>
  <si>
    <t>Cumulative Persisting CDM</t>
  </si>
  <si>
    <t>Actual No CDM</t>
  </si>
  <si>
    <t>Normalized No CDM</t>
  </si>
  <si>
    <t>Normalized</t>
  </si>
  <si>
    <t>Average per Customer</t>
  </si>
  <si>
    <t>Normal Forecast</t>
  </si>
  <si>
    <t>A</t>
  </si>
  <si>
    <t>B</t>
  </si>
  <si>
    <t>C = A + B</t>
  </si>
  <si>
    <t>D</t>
  </si>
  <si>
    <t>E = B</t>
  </si>
  <si>
    <t>F = D - E</t>
  </si>
  <si>
    <t>GS&gt;50</t>
  </si>
  <si>
    <t>Ratio</t>
  </si>
  <si>
    <t>C = B / A</t>
  </si>
  <si>
    <t>kWh Normalized</t>
  </si>
  <si>
    <t>kW Normalized</t>
  </si>
  <si>
    <t>E</t>
  </si>
  <si>
    <t>F = D * E</t>
  </si>
  <si>
    <t>CDM Adjustment</t>
  </si>
  <si>
    <t>LRAMVA Target</t>
  </si>
  <si>
    <t>Amount</t>
  </si>
  <si>
    <t>Total</t>
  </si>
  <si>
    <t>kWh</t>
  </si>
  <si>
    <t>2012 Actual</t>
  </si>
  <si>
    <t>2013 Actual</t>
  </si>
  <si>
    <t>2014 Actual</t>
  </si>
  <si>
    <t>2015 Actual</t>
  </si>
  <si>
    <t>2016 Actual</t>
  </si>
  <si>
    <t>2018 Forecast</t>
  </si>
  <si>
    <t>Large User</t>
  </si>
  <si>
    <t>CDM Adjusted</t>
  </si>
  <si>
    <t>kW</t>
  </si>
  <si>
    <t>Intermediate kWh</t>
  </si>
  <si>
    <t>Large Use kWh</t>
  </si>
  <si>
    <t>Large Use - 3TS</t>
  </si>
  <si>
    <t>Large Use - FA</t>
  </si>
  <si>
    <t>Actual Adjusted</t>
  </si>
  <si>
    <t>Large Use 3TS</t>
  </si>
  <si>
    <t>Large Use FA</t>
  </si>
  <si>
    <t>2019 Forecast</t>
  </si>
  <si>
    <t>Residential kWh</t>
  </si>
  <si>
    <t>Rate Class</t>
  </si>
  <si>
    <t>TOTAL</t>
  </si>
  <si>
    <t>CDM Adj Weight</t>
  </si>
  <si>
    <t>C = A * B</t>
  </si>
  <si>
    <t>F</t>
  </si>
  <si>
    <t>Formula Driven - to support monthly estimate calculation on Monthly Data tab - not used for forecasting customer counts</t>
  </si>
  <si>
    <t>Customers / Connections</t>
  </si>
  <si>
    <t>2017 Actual</t>
  </si>
  <si>
    <t>2020 Forecast</t>
  </si>
  <si>
    <t>2020 CDM Adjusted Forecast</t>
  </si>
  <si>
    <t>2020 Weather Normal Forecast</t>
  </si>
  <si>
    <t>April17-March18</t>
  </si>
  <si>
    <t>*Full post-LED conversion year</t>
  </si>
  <si>
    <t>14-10-0294-01</t>
  </si>
  <si>
    <r>
      <t>36-10-0402-01</t>
    </r>
    <r>
      <rPr>
        <sz val="10"/>
        <rFont val="Times New Roman"/>
        <family val="1"/>
      </rPr>
      <t xml:space="preserve"> </t>
    </r>
  </si>
  <si>
    <t>StatCan Table</t>
  </si>
  <si>
    <t>(Former CANSIM Table)</t>
  </si>
  <si>
    <t>Report Date</t>
  </si>
  <si>
    <t>General Service &lt;50 kW</t>
  </si>
  <si>
    <t>General Service 50 - 4,999 kW</t>
  </si>
  <si>
    <t>General Service 3,000 - 4,999 kW</t>
  </si>
  <si>
    <t>Large use - Regular</t>
  </si>
  <si>
    <t>Large Use - Ford Annex</t>
  </si>
  <si>
    <t>Other</t>
  </si>
  <si>
    <t xml:space="preserve">Source: EnWin </t>
  </si>
  <si>
    <t>Persistent savings and 50% of first year savings</t>
  </si>
  <si>
    <t>CDM Savings in 2006 from 2006 programs</t>
  </si>
  <si>
    <t>CDM Savings in 2007 from 2007 programs and savings persisting in 2006</t>
  </si>
  <si>
    <t>CDM Savings in 2008 from 2008 programs and savings persisting in 2007</t>
  </si>
  <si>
    <t>CDM Savings in 2009 from 2009 programs and savings persisting in 2008</t>
  </si>
  <si>
    <t>CDM Savings in 2010 from 2010 programs and savings persisting in 2009</t>
  </si>
  <si>
    <t>CDM Savings in 2011 from 2011 programs and savings persisting in 2010</t>
  </si>
  <si>
    <t>CDM Savings in 2012 from 2012 programs and savings persisting in 2011</t>
  </si>
  <si>
    <t>CDM Savings in 2013 from 2013 programs and savings persisting in 2012</t>
  </si>
  <si>
    <t>CDM Savings in 2014 from 2014 programs and savings persisting in 2013</t>
  </si>
  <si>
    <t>CDM Savings in 2015 from 2015 programs and savings persisting in 2014</t>
  </si>
  <si>
    <t>CDM Savings in 2016 from 2016 programs and savings persisting in 2015</t>
  </si>
  <si>
    <t>CDM Savings in 2017 from 2017 programs and savings persisting in 2016</t>
  </si>
  <si>
    <t>CDM Savings in 2018 from 2018 programs and savings persisting in 2017</t>
  </si>
  <si>
    <t>CDM Savings in 2019 from 2019 programs and savings persisting in 2018</t>
  </si>
  <si>
    <t>CDM Savings in 2020 from 2020 programs and savings persisting in 2019</t>
  </si>
  <si>
    <t>CDM Savings Persisting from Prior Implementation Year(s)</t>
  </si>
  <si>
    <t>Incremental CDM Savings</t>
  </si>
  <si>
    <t>Total CDM Savings for Implementation Year</t>
  </si>
  <si>
    <t>Windsor, Ontario(map)</t>
  </si>
  <si>
    <t>Ontario FTE</t>
  </si>
  <si>
    <t>CDM</t>
  </si>
  <si>
    <t>Removed</t>
  </si>
  <si>
    <t>Ratio Moving Average</t>
  </si>
  <si>
    <t>Ratio Trend</t>
  </si>
  <si>
    <t>CDM Added</t>
  </si>
  <si>
    <t>Forecast</t>
  </si>
  <si>
    <t xml:space="preserve">*2017 Connection increase is due to recount of streetlights during LED conversion </t>
  </si>
  <si>
    <t>Average per Connection</t>
  </si>
  <si>
    <t xml:space="preserve">Residential </t>
  </si>
  <si>
    <t>Weather Normalized</t>
  </si>
  <si>
    <t>Normal</t>
  </si>
  <si>
    <t>*Not Weather-Sensitive</t>
  </si>
  <si>
    <t>Total System</t>
  </si>
  <si>
    <t>Ont GDP</t>
  </si>
  <si>
    <t>Accessed of July 2019</t>
  </si>
  <si>
    <t>2018 Actual</t>
  </si>
  <si>
    <t>2018 Normalized</t>
  </si>
  <si>
    <t>Model 1: OLS, using observations 2009:01-2018:12 (T = 120)</t>
  </si>
  <si>
    <t>Model 2: OLS, using observations 2009:01-2018:12 (T = 120)</t>
  </si>
  <si>
    <t>Model 5: OLS, using observations 2009:01-2018:12 (T = 120)</t>
  </si>
  <si>
    <t>F(9, 110)</t>
  </si>
  <si>
    <t>Revised</t>
  </si>
  <si>
    <t>Originial</t>
  </si>
  <si>
    <t>F(5, 114)</t>
  </si>
  <si>
    <t>Model 7: OLS, using observations 2009:01-2018:12 (T = 120)</t>
  </si>
  <si>
    <t>CIBC</t>
  </si>
  <si>
    <t>Original November 6th, 2018</t>
  </si>
  <si>
    <t>Revised July 19, 2019</t>
  </si>
  <si>
    <t>G = E * F</t>
  </si>
  <si>
    <t>H = C + D + G</t>
  </si>
  <si>
    <t>I = A + D + E</t>
  </si>
  <si>
    <t>2018-2020 Forcasted kWh Savings by Rate Class</t>
  </si>
  <si>
    <t>2018-2020 kW Forcasted Savings by Rate Class</t>
  </si>
  <si>
    <t>*Weather normalized figures in 2019-2020 include CDM</t>
  </si>
  <si>
    <t>CDM Savings in 2018 persisting in 2020</t>
  </si>
  <si>
    <t>CDM Savings in 2019 persisting in 2020</t>
  </si>
  <si>
    <t>CDM Savings in 2020 persisting in 2020</t>
  </si>
  <si>
    <t>CDM Savings from 2006-2017 Programs and 2018 Programs Persisting to 2018</t>
  </si>
  <si>
    <t>CDM Savings from 2006-2017 Programs and 2018 Programs Persisting to 2019</t>
  </si>
  <si>
    <t>CDM Savings from 2006-2017 Programs and 2018 Programs Persisting to 2020</t>
  </si>
  <si>
    <t>2006-2017</t>
  </si>
  <si>
    <t>CDM Savings from 2018 Programs</t>
  </si>
  <si>
    <t>CDM Savings from 2006-2017 Programs</t>
  </si>
  <si>
    <t>Lost_CustomerN_LU_kW</t>
  </si>
  <si>
    <t>Lost_CustomerN_LU_kWh</t>
  </si>
  <si>
    <t>Lost_CustomerN_GSgt_kWh</t>
  </si>
  <si>
    <t>Lost_CustomerN_GSgt_kW</t>
  </si>
  <si>
    <t>Lost_CustomerN_GSgt_kWhCDM</t>
  </si>
  <si>
    <t>GSgt_LC_kWh_NoCDM</t>
  </si>
  <si>
    <t>GSgt_LC_kW</t>
  </si>
  <si>
    <t>Lost_CustomerN_LU_CDM</t>
  </si>
  <si>
    <t>Large_Use_LC_kWh_NO_CDM</t>
  </si>
  <si>
    <t>Large_Use_LC_kW</t>
  </si>
  <si>
    <t>Dependent variable: GSgt_LC_kWh_NoCDM</t>
  </si>
  <si>
    <t>Dependent variable: Large_Use_LC_kWh_NO_CDM</t>
  </si>
  <si>
    <t>Lost Customer</t>
  </si>
  <si>
    <t>All programs from 2013 to 2015)</t>
  </si>
  <si>
    <t>kWh CDM*</t>
  </si>
  <si>
    <t>kW CDM*</t>
  </si>
  <si>
    <t>*Previous StatCan data has been rebased. FTE and GDP data for 2018 has been scalled to existing data.</t>
  </si>
  <si>
    <t>*Loss in persisting CDM. No incremental CDM that requires revision to CDM adjustment.</t>
  </si>
  <si>
    <t>GS&lt;50 kW</t>
  </si>
  <si>
    <t>GS&gt;50 kW</t>
  </si>
  <si>
    <t>2020 Forecast kWh</t>
  </si>
  <si>
    <t>% Savings</t>
  </si>
  <si>
    <t>Weather-Normal Forecast</t>
  </si>
  <si>
    <t>Weather</t>
  </si>
  <si>
    <t>2020 Forecast kW</t>
  </si>
  <si>
    <t>Inc'l LC</t>
  </si>
  <si>
    <t>3-Staff-81</t>
  </si>
  <si>
    <t>E = C * D</t>
  </si>
  <si>
    <t>Lost</t>
  </si>
  <si>
    <t>Customer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</si>
</sst>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3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[Red]\(&quot;$&quot;#,##0.00\)"/>
    <numFmt numFmtId="167" formatCode="_(&quot;$&quot;* #,##0_);_(&quot;$&quot;* \(#,##0\);_(&quot;$&quot;* &quot;-&quot;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0.0"/>
    <numFmt numFmtId="172" formatCode="_(* #,##0_);_(* \(#,##0\);_(* &quot;-&quot;??_);_(@_)"/>
    <numFmt numFmtId="173" formatCode="0.0%"/>
    <numFmt numFmtId="174" formatCode="#,##0.0_);\(#,##0.0\)"/>
    <numFmt numFmtId="175" formatCode="&quot;$&quot;_(#,##0.00_);&quot;$&quot;\(#,##0.00\)"/>
    <numFmt numFmtId="176" formatCode="_(* #,##0.0_);_(* \(#,##0.0\);_(* &quot;-&quot;??_);_(@_)"/>
    <numFmt numFmtId="177" formatCode="_(&quot;$&quot;* #,##0.00000000000000000_);_(&quot;$&quot;* \(#,##0.00000000000000000\);_(&quot;$&quot;* &quot;-&quot;??_);_(@_)"/>
    <numFmt numFmtId="178" formatCode="_-&quot;£&quot;* #,##0.00_-;\-&quot;£&quot;* #,##0.00_-;_-&quot;£&quot;* &quot;-&quot;??_-;_-@_-"/>
    <numFmt numFmtId="179" formatCode="#,##0.0_)\x;\(#,##0.0\)\x"/>
    <numFmt numFmtId="180" formatCode="_(&quot;$&quot;* #,##0.00000000_);_(&quot;$&quot;* \(#,##0.00000000\);_(&quot;$&quot;* &quot;-&quot;??_);_(@_)"/>
    <numFmt numFmtId="181" formatCode="_(&quot;$&quot;* #,##0.00000000000_);_(&quot;$&quot;* \(#,##0.00000000000\);_(&quot;$&quot;* &quot;-&quot;??_);_(@_)"/>
    <numFmt numFmtId="182" formatCode="_(&quot;$&quot;* #,##0.000000000000_);_(&quot;$&quot;* \(#,##0.000000000000\);_(&quot;$&quot;* &quot;-&quot;??_);_(@_)"/>
    <numFmt numFmtId="183" formatCode="_-&quot;£&quot;* #,##0_-;\-&quot;£&quot;* #,##0_-;_-&quot;£&quot;* &quot;-&quot;_-;_-@_-"/>
    <numFmt numFmtId="184" formatCode="#,##0.0_)_x;\(#,##0.0\)_x"/>
    <numFmt numFmtId="185" formatCode="_(* #,##0.0_);_(* \(#,##0.0\);_(* &quot;-&quot;?_);_(@_)"/>
    <numFmt numFmtId="186" formatCode="#,##0.0_)_x;\(#,##0.0\)_x;0.0_)_x;@_)_x"/>
    <numFmt numFmtId="187" formatCode="_(&quot;$&quot;* #,##0.00000000000000_);_(&quot;$&quot;* \(#,##0.00000000000000\);_(&quot;$&quot;* &quot;-&quot;??_);_(@_)"/>
    <numFmt numFmtId="188" formatCode="0.0_)\%;\(0.0\)\%"/>
    <numFmt numFmtId="189" formatCode="0.0000"/>
    <numFmt numFmtId="190" formatCode="_(&quot;$&quot;* #,##0.000000000000000_);_(&quot;$&quot;* \(#,##0.000000000000000\);_(&quot;$&quot;* &quot;-&quot;??_);_(@_)"/>
    <numFmt numFmtId="191" formatCode="#,##0.0_)_%;\(#,##0.0\)_%"/>
    <numFmt numFmtId="192" formatCode="_(* #,##0.000_);_(* \(#,##0.000\);_(* &quot;-&quot;??_);_(@_)"/>
    <numFmt numFmtId="193" formatCode="#,##0.0_);\(#,##0.0\);0_._0_)"/>
    <numFmt numFmtId="194" formatCode="\¥\ #,##0_);[Red]\(\¥\ #,##0\)"/>
    <numFmt numFmtId="195" formatCode="0.000000"/>
    <numFmt numFmtId="196" formatCode="[&gt;1]&quot;10Q: &quot;0&quot; qtrs&quot;;&quot;10Q: &quot;0&quot; qtr&quot;"/>
    <numFmt numFmtId="197" formatCode="0.0%;[Red]\(0.0%\)"/>
    <numFmt numFmtId="198" formatCode="#,##0.0\ \ \ _);\(#,##0.0\)\ \ "/>
    <numFmt numFmtId="199" formatCode="#,##0.00;[Red]\(#,##0.00\)"/>
    <numFmt numFmtId="200" formatCode="_-* #,##0.00\ _F_-;\-* #,##0.00\ _F_-;_-* &quot;-&quot;??\ _F_-;_-@_-"/>
    <numFmt numFmtId="201" formatCode="m\-d\-yy"/>
    <numFmt numFmtId="202" formatCode="&quot;£&quot;#,##0.00_);[Red]\(&quot;£&quot;#,##0.00\)"/>
    <numFmt numFmtId="203" formatCode="0.0_)"/>
    <numFmt numFmtId="204" formatCode="m/yy"/>
    <numFmt numFmtId="205" formatCode="#,###.0#"/>
    <numFmt numFmtId="206" formatCode="#,###.#"/>
    <numFmt numFmtId="207" formatCode="&quot;$&quot;#,##0.00"/>
    <numFmt numFmtId="208" formatCode="0000\ \-\ 0000"/>
    <numFmt numFmtId="209" formatCode="[Red][&gt;0.0000001]\+#,##0.?#;[Red][&lt;-0.0000001]\-#,##0.?#;[Green]&quot;=  &quot;"/>
    <numFmt numFmtId="210" formatCode="#.#######\x"/>
    <numFmt numFmtId="211" formatCode="0.00000E+00"/>
    <numFmt numFmtId="212" formatCode="_(* #,##0.0_);_(* \(#,##0.0\);_(* &quot;-&quot;_);_(@_)"/>
    <numFmt numFmtId="213" formatCode="_-* #,##0.00\ _D_M_-;\-* #,##0.00\ _D_M_-;_-* &quot;-&quot;??\ _D_M_-;_-@_-"/>
    <numFmt numFmtId="214" formatCode="#,##0_%_);\(#,##0\)_%;#,##0_%_);@_%_)"/>
    <numFmt numFmtId="215" formatCode="#,##0.00_%_);\(#,##0.00\)_%;**;@_%_)"/>
    <numFmt numFmtId="216" formatCode="0.000\x"/>
    <numFmt numFmtId="217" formatCode="&quot;$&quot;#,##0.00_);[Red]\(&quot;$&quot;#,##0.00\);&quot;--  &quot;;_(@_)"/>
    <numFmt numFmtId="218" formatCode="_(&quot;$&quot;* #,##0.0_);_(&quot;$&quot;* \(#,##0.0\);_(&quot;$&quot;* &quot;-&quot;_);_(@_)"/>
    <numFmt numFmtId="219" formatCode="_(&quot;$&quot;* #,##0_);_(&quot;$&quot;* \(#,##0\);_(&quot;$&quot;* &quot;-&quot;??_);_(@_)"/>
    <numFmt numFmtId="220" formatCode="&quot;$&quot;#,##0.00_%_);\(&quot;$&quot;#,##0.00\)_%;**;@_%_)"/>
    <numFmt numFmtId="221" formatCode="&quot;$&quot;#,##0.00_%_);\(&quot;$&quot;#,##0.00\)_%;&quot;$&quot;###0.00_%_);@_%_)"/>
    <numFmt numFmtId="222" formatCode="_(\§\ #,##0_)\ ;[Red]\(\§\ #,##0\)\ ;&quot; - &quot;;_(@\ _)"/>
    <numFmt numFmtId="223" formatCode="_(\§\ #,##0.00_);[Red]\(\§\ #,##0.00\);&quot; - &quot;_0_0;_(@_)"/>
    <numFmt numFmtId="224" formatCode="###0.00_)"/>
    <numFmt numFmtId="225" formatCode="m/d/yy_%_)"/>
    <numFmt numFmtId="226" formatCode="mmm\-dd\-yyyy"/>
    <numFmt numFmtId="227" formatCode="mmm\-d\-yyyy"/>
    <numFmt numFmtId="228" formatCode="mmm\-yyyy"/>
    <numFmt numFmtId="229" formatCode="m/d/yy_%_);;**"/>
    <numFmt numFmtId="230" formatCode="#,##0.0_);[Red]\(#,##0.0\)"/>
    <numFmt numFmtId="231" formatCode="_([$€-2]* #,##0.00_);_([$€-2]* \(#,##0.00\);_([$€-2]* &quot;-&quot;??_)"/>
    <numFmt numFmtId="232" formatCode="&quot;$&quot;#,##0.000_);[Red]\(&quot;$&quot;#,##0.000\)"/>
    <numFmt numFmtId="233" formatCode="0.0000000000000"/>
    <numFmt numFmtId="234" formatCode="0_)"/>
    <numFmt numFmtId="235" formatCode="[$-409]d\-mmm\-yy;@"/>
    <numFmt numFmtId="236" formatCode="#,##0.00_);[Red]\(#,##0.00\);\-\-\ \ \ "/>
    <numFmt numFmtId="237" formatCode="General_)"/>
    <numFmt numFmtId="238" formatCode="&quot;&quot;"/>
    <numFmt numFmtId="239" formatCode="#,##0.0\ ;\(#,##0.0\ \)"/>
    <numFmt numFmtId="240" formatCode="0.0%;0.0%;\-\ "/>
    <numFmt numFmtId="241" formatCode="0.0%\ ;\(0.0%\)"/>
    <numFmt numFmtId="242" formatCode="_ * #,##0.00_)\ _$_ ;_ * \(#,##0.00\)\ _$_ ;_ * &quot;-&quot;??_)\ _$_ ;_ @_ "/>
    <numFmt numFmtId="243" formatCode="#,##0.00000\ ;\(#,##0.00000\ \)"/>
    <numFmt numFmtId="244" formatCode="0.000000000000"/>
    <numFmt numFmtId="245" formatCode="_ * #,##0.00_)\ &quot;$&quot;_ ;_ * \(#,##0.00\)\ &quot;$&quot;_ ;_ * &quot;-&quot;??_)\ &quot;$&quot;_ ;_ @_ "/>
    <numFmt numFmtId="246" formatCode="#,##0.0000\ ;\(#,##0.0000\ \)"/>
    <numFmt numFmtId="247" formatCode="0.000%\ ;\(0.000%\)"/>
    <numFmt numFmtId="248" formatCode="#,##0.0\x_)_);\(#,##0.0\x\)_);#,##0.0\x_)_);@_%_)"/>
    <numFmt numFmtId="249" formatCode="_(* #,##0.00000_);_(* \(#,##0.00000\);_(* &quot;-&quot;?_);_(@_)"/>
    <numFmt numFmtId="250" formatCode="#,##0.0_);[Red]\(#,##0.0\);&quot;--  &quot;"/>
    <numFmt numFmtId="251" formatCode="0.00_)"/>
    <numFmt numFmtId="252" formatCode="#,##0.000_);[Red]\(#,##0.000\)"/>
    <numFmt numFmtId="253" formatCode="0_);\(0\)"/>
    <numFmt numFmtId="254" formatCode="[$-1009]d\-mmm\-yy;@"/>
    <numFmt numFmtId="255" formatCode="_-* #,##0_-;\-* #,##0_-;_-* &quot;-&quot;??_-;_-@_-"/>
    <numFmt numFmtId="256" formatCode="#,##0.00&quot;x&quot;_);[Red]\(#,##0.00&quot;x&quot;\)"/>
    <numFmt numFmtId="257" formatCode="#,##0_);\(#,##0\);&quot;-  &quot;"/>
    <numFmt numFmtId="258" formatCode="#,##0.0_);\(#,##0.0\);&quot;-  &quot;"/>
    <numFmt numFmtId="259" formatCode="#,##0.0_);\(#,##0.0\);\-_)"/>
    <numFmt numFmtId="260" formatCode="0.00000000"/>
    <numFmt numFmtId="261" formatCode="#,##0.0%_);[Red]\(#,##0.0%\)"/>
    <numFmt numFmtId="262" formatCode="#,##0.00%_);[Red]\(#,##0.00%\)"/>
    <numFmt numFmtId="263" formatCode="0.0%_);\(0.0%\);&quot;-  &quot;"/>
    <numFmt numFmtId="264" formatCode="#,##0.0\%_);\(#,##0.0\%\);#,##0.0\%_);@_%_)"/>
    <numFmt numFmtId="265" formatCode="mm/dd/yy"/>
    <numFmt numFmtId="266" formatCode="0.00\ ;\-0.00\ ;&quot;- &quot;"/>
    <numFmt numFmtId="267" formatCode="#,##0.0000"/>
    <numFmt numFmtId="268" formatCode="#,##0\ ;[Red]\(#,##0\);\ \-\ "/>
    <numFmt numFmtId="269" formatCode="#,##0.00_);\(#,##0.00\);#,##0.00_);@_)"/>
    <numFmt numFmtId="270" formatCode="[White]General"/>
    <numFmt numFmtId="271" formatCode="#,###.##"/>
    <numFmt numFmtId="272" formatCode="&quot;$&quot;#,##0.000000_);[Red]\(&quot;$&quot;#,##0.000000\)"/>
    <numFmt numFmtId="273" formatCode="&quot;Table &quot;0"/>
    <numFmt numFmtId="274" formatCode="_(General_)"/>
    <numFmt numFmtId="275" formatCode="0.00\ "/>
    <numFmt numFmtId="276" formatCode="0_%_);\(0\)_%;0_%_);@_%_)"/>
    <numFmt numFmtId="277" formatCode="0,000\x"/>
    <numFmt numFmtId="278" formatCode="yyyy&quot;A&quot;"/>
    <numFmt numFmtId="279" formatCode="_-* #,##0\ _D_M_-;\-* #,##0\ _D_M_-;_-* &quot;-&quot;\ _D_M_-;_-@_-"/>
    <numFmt numFmtId="280" formatCode="&quot;@ &quot;0.00"/>
    <numFmt numFmtId="281" formatCode="&quot;Yes&quot;_%_);&quot;Error&quot;_%_);&quot;No&quot;_%_);&quot;--&quot;_%_)"/>
    <numFmt numFmtId="282" formatCode="0.000"/>
    <numFmt numFmtId="283" formatCode="0.00000"/>
    <numFmt numFmtId="284" formatCode="d\-mmm\-yyyy"/>
    <numFmt numFmtId="285" formatCode="0.0000000000"/>
    <numFmt numFmtId="286" formatCode="#,##0.0"/>
    <numFmt numFmtId="287" formatCode="0.00000%"/>
    <numFmt numFmtId="288" formatCode="0.0000000"/>
    <numFmt numFmtId="289" formatCode="_(* #,##0.0000_);_(* \(#,##0.0000\);_(* &quot;-&quot;??_);_(@_)"/>
  </numFmts>
  <fonts count="215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b/>
      <sz val="8"/>
      <name val="Arial"/>
      <family val="2"/>
    </font>
    <font>
      <sz val="12"/>
      <color indexed="8"/>
      <name val="Times New Roman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2"/>
      <name val="Arial"/>
      <family val="2"/>
    </font>
    <font>
      <sz val="9"/>
      <name val="Times New Roman"/>
      <family val="1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indexed="8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8"/>
      <name val="Arial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sz val="14"/>
      <color indexed="32"/>
      <name val="Times New Roman"/>
      <family val="1"/>
    </font>
    <font>
      <sz val="7"/>
      <name val="Palatino"/>
      <family val="1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name val="Calibri"/>
      <family val="2"/>
    </font>
    <font>
      <sz val="11"/>
      <color indexed="8"/>
      <name val="宋体"/>
      <charset val="134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Times New Roman"/>
      <family val="2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Calibri"/>
      <family val="2"/>
      <scheme val="minor"/>
    </font>
    <font>
      <sz val="11"/>
      <color rgb="FF9C0006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Arial"/>
      <family val="2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61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u/>
      <sz val="9.35"/>
      <color theme="10"/>
      <name val="Calibri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Arial"/>
      <family val="2"/>
    </font>
    <font>
      <sz val="11"/>
      <color rgb="FFFA7D00"/>
      <name val="Calibri"/>
      <family val="2"/>
      <scheme val="minor"/>
    </font>
    <font>
      <sz val="11"/>
      <color rgb="FFFA7D00"/>
      <name val="Arial"/>
      <family val="2"/>
    </font>
    <font>
      <sz val="11"/>
      <color rgb="FF9C6500"/>
      <name val="Calibri"/>
      <family val="2"/>
      <scheme val="minor"/>
    </font>
    <font>
      <sz val="11"/>
      <color rgb="FF9C65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b/>
      <sz val="1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sz val="12"/>
      <color theme="1"/>
      <name val="Calibri"/>
      <family val="2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1"/>
      <color indexed="63"/>
      <name val="Calibri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sz val="11"/>
      <name val="돋움"/>
      <family val="3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sz val="16"/>
      <name val="WarburgLogo"/>
      <family val="1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sz val="11"/>
      <name val="Calibri"/>
      <family val="2"/>
      <scheme val="minor"/>
    </font>
    <font>
      <sz val="11"/>
      <name val="돋움"/>
      <family val="3"/>
      <charset val="129"/>
    </font>
    <font>
      <u/>
      <sz val="10"/>
      <color theme="10"/>
      <name val="Arial"/>
      <family val="2"/>
    </font>
    <font>
      <sz val="10"/>
      <name val="Geneva"/>
      <family val="2"/>
    </font>
    <font>
      <sz val="18"/>
      <name val="Helvetica-Black"/>
      <family val="2"/>
    </font>
    <font>
      <sz val="10"/>
      <color indexed="16"/>
      <name val="Helvetica-Black"/>
      <family val="2"/>
    </font>
    <font>
      <sz val="9.5"/>
      <color indexed="23"/>
      <name val="Helvetica-Black"/>
      <family val="2"/>
    </font>
    <font>
      <sz val="9"/>
      <color indexed="21"/>
      <name val="Helvetica-Black"/>
      <family val="2"/>
    </font>
    <font>
      <sz val="11"/>
      <color indexed="8"/>
      <name val="Helvetica-Black"/>
      <family val="2"/>
    </font>
    <font>
      <sz val="8"/>
      <name val="Times New Roman"/>
      <family val="1"/>
    </font>
    <font>
      <i/>
      <sz val="10"/>
      <color rgb="FFFF0000"/>
      <name val="Times New Roman"/>
      <family val="1"/>
    </font>
  </fonts>
  <fills count="92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20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0281">
    <xf numFmtId="0" fontId="0" fillId="0" borderId="0"/>
    <xf numFmtId="9" fontId="30" fillId="0" borderId="0">
      <alignment horizontal="right"/>
    </xf>
    <xf numFmtId="0" fontId="27" fillId="0" borderId="0"/>
    <xf numFmtId="164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8" fontId="31" fillId="0" borderId="0" applyFont="0" applyFill="0" applyBorder="0" applyAlignment="0" applyProtection="0"/>
    <xf numFmtId="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0" fontId="27" fillId="2" borderId="1" applyNumberFormat="0">
      <alignment horizontal="centerContinuous" vertical="center" wrapText="1"/>
    </xf>
    <xf numFmtId="0" fontId="27" fillId="2" borderId="1" applyNumberFormat="0">
      <alignment horizontal="centerContinuous" vertical="center" wrapText="1"/>
    </xf>
    <xf numFmtId="0" fontId="27" fillId="2" borderId="1" applyNumberFormat="0">
      <alignment horizontal="centerContinuous" vertical="center" wrapText="1"/>
    </xf>
    <xf numFmtId="0" fontId="27" fillId="3" borderId="1" applyNumberFormat="0">
      <alignment horizontal="left" vertical="center"/>
    </xf>
    <xf numFmtId="0" fontId="27" fillId="3" borderId="1" applyNumberFormat="0">
      <alignment horizontal="left" vertical="center"/>
    </xf>
    <xf numFmtId="0" fontId="27" fillId="3" borderId="1" applyNumberFormat="0">
      <alignment horizontal="left" vertical="center"/>
    </xf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0" fontId="33" fillId="0" borderId="0"/>
    <xf numFmtId="0" fontId="34" fillId="0" borderId="0" applyFont="0" applyFill="0" applyBorder="0" applyAlignment="0" applyProtection="0"/>
    <xf numFmtId="175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9" fontId="27" fillId="0" borderId="0" applyFont="0" applyFill="0" applyBorder="0" applyAlignment="0" applyProtection="0"/>
    <xf numFmtId="0" fontId="33" fillId="0" borderId="0"/>
    <xf numFmtId="0" fontId="27" fillId="0" borderId="0">
      <alignment vertical="top"/>
    </xf>
    <xf numFmtId="9" fontId="34" fillId="0" borderId="0">
      <alignment horizontal="right"/>
    </xf>
    <xf numFmtId="0" fontId="35" fillId="0" borderId="0" applyNumberFormat="0" applyFill="0">
      <alignment horizontal="left" vertical="center" wrapText="1"/>
    </xf>
    <xf numFmtId="179" fontId="27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6" fontId="27" fillId="0" borderId="0" applyFont="0" applyFill="0" applyBorder="0" applyProtection="0">
      <alignment horizontal="right"/>
    </xf>
    <xf numFmtId="187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88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27" fillId="0" borderId="0" applyFont="0" applyFill="0" applyBorder="0" applyAlignment="0" applyProtection="0"/>
    <xf numFmtId="191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0" fontId="27" fillId="0" borderId="0"/>
    <xf numFmtId="0" fontId="27" fillId="0" borderId="0"/>
    <xf numFmtId="0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/>
    <xf numFmtId="195" fontId="35" fillId="0" borderId="0" applyNumberFormat="0" applyFill="0">
      <alignment horizontal="left" vertical="center" wrapText="1"/>
    </xf>
    <xf numFmtId="0" fontId="35" fillId="4" borderId="0" applyFont="0" applyFill="0" applyProtection="0"/>
    <xf numFmtId="174" fontId="27" fillId="0" borderId="0"/>
    <xf numFmtId="196" fontId="37" fillId="0" borderId="0" applyFill="0" applyBorder="0" applyAlignment="0" applyProtection="0">
      <alignment horizontal="right"/>
    </xf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07" fillId="43" borderId="0" applyNumberFormat="0" applyBorder="0" applyAlignment="0" applyProtection="0"/>
    <xf numFmtId="0" fontId="108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8" fillId="43" borderId="0" applyNumberFormat="0" applyBorder="0" applyAlignment="0" applyProtection="0"/>
    <xf numFmtId="0" fontId="107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9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07" fillId="43" borderId="0" applyNumberFormat="0" applyBorder="0" applyAlignment="0" applyProtection="0"/>
    <xf numFmtId="0" fontId="11" fillId="6" borderId="0" applyNumberFormat="0" applyBorder="0" applyAlignment="0" applyProtection="0"/>
    <xf numFmtId="0" fontId="107" fillId="44" borderId="0" applyNumberFormat="0" applyBorder="0" applyAlignment="0" applyProtection="0"/>
    <xf numFmtId="0" fontId="108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8" fillId="44" borderId="0" applyNumberFormat="0" applyBorder="0" applyAlignment="0" applyProtection="0"/>
    <xf numFmtId="0" fontId="107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9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07" fillId="44" borderId="0" applyNumberFormat="0" applyBorder="0" applyAlignment="0" applyProtection="0"/>
    <xf numFmtId="0" fontId="11" fillId="7" borderId="0" applyNumberFormat="0" applyBorder="0" applyAlignment="0" applyProtection="0"/>
    <xf numFmtId="0" fontId="107" fillId="45" borderId="0" applyNumberFormat="0" applyBorder="0" applyAlignment="0" applyProtection="0"/>
    <xf numFmtId="0" fontId="108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8" fillId="45" borderId="0" applyNumberFormat="0" applyBorder="0" applyAlignment="0" applyProtection="0"/>
    <xf numFmtId="0" fontId="107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9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07" fillId="45" borderId="0" applyNumberFormat="0" applyBorder="0" applyAlignment="0" applyProtection="0"/>
    <xf numFmtId="0" fontId="11" fillId="8" borderId="0" applyNumberFormat="0" applyBorder="0" applyAlignment="0" applyProtection="0"/>
    <xf numFmtId="0" fontId="107" fillId="46" borderId="0" applyNumberFormat="0" applyBorder="0" applyAlignment="0" applyProtection="0"/>
    <xf numFmtId="0" fontId="108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8" fillId="46" borderId="0" applyNumberFormat="0" applyBorder="0" applyAlignment="0" applyProtection="0"/>
    <xf numFmtId="0" fontId="107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9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1" fillId="9" borderId="0" applyNumberFormat="0" applyBorder="0" applyAlignment="0" applyProtection="0"/>
    <xf numFmtId="0" fontId="107" fillId="47" borderId="0" applyNumberFormat="0" applyBorder="0" applyAlignment="0" applyProtection="0"/>
    <xf numFmtId="0" fontId="108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8" fillId="47" borderId="0" applyNumberFormat="0" applyBorder="0" applyAlignment="0" applyProtection="0"/>
    <xf numFmtId="0" fontId="107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9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07" fillId="47" borderId="0" applyNumberFormat="0" applyBorder="0" applyAlignment="0" applyProtection="0"/>
    <xf numFmtId="0" fontId="11" fillId="10" borderId="0" applyNumberFormat="0" applyBorder="0" applyAlignment="0" applyProtection="0"/>
    <xf numFmtId="0" fontId="107" fillId="48" borderId="0" applyNumberFormat="0" applyBorder="0" applyAlignment="0" applyProtection="0"/>
    <xf numFmtId="0" fontId="108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8" fillId="48" borderId="0" applyNumberFormat="0" applyBorder="0" applyAlignment="0" applyProtection="0"/>
    <xf numFmtId="0" fontId="107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9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07" fillId="48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07" fillId="49" borderId="0" applyNumberFormat="0" applyBorder="0" applyAlignment="0" applyProtection="0"/>
    <xf numFmtId="0" fontId="108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8" fillId="49" borderId="0" applyNumberFormat="0" applyBorder="0" applyAlignment="0" applyProtection="0"/>
    <xf numFmtId="0" fontId="107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9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07" fillId="49" borderId="0" applyNumberFormat="0" applyBorder="0" applyAlignment="0" applyProtection="0"/>
    <xf numFmtId="0" fontId="11" fillId="12" borderId="0" applyNumberFormat="0" applyBorder="0" applyAlignment="0" applyProtection="0"/>
    <xf numFmtId="0" fontId="107" fillId="50" borderId="0" applyNumberFormat="0" applyBorder="0" applyAlignment="0" applyProtection="0"/>
    <xf numFmtId="0" fontId="108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8" fillId="50" borderId="0" applyNumberFormat="0" applyBorder="0" applyAlignment="0" applyProtection="0"/>
    <xf numFmtId="0" fontId="107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9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1" fillId="13" borderId="0" applyNumberFormat="0" applyBorder="0" applyAlignment="0" applyProtection="0"/>
    <xf numFmtId="0" fontId="107" fillId="51" borderId="0" applyNumberFormat="0" applyBorder="0" applyAlignment="0" applyProtection="0"/>
    <xf numFmtId="0" fontId="108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8" fillId="51" borderId="0" applyNumberFormat="0" applyBorder="0" applyAlignment="0" applyProtection="0"/>
    <xf numFmtId="0" fontId="107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8" fillId="51" borderId="0" applyNumberFormat="0" applyBorder="0" applyAlignment="0" applyProtection="0"/>
    <xf numFmtId="0" fontId="109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07" fillId="51" borderId="0" applyNumberFormat="0" applyBorder="0" applyAlignment="0" applyProtection="0"/>
    <xf numFmtId="0" fontId="11" fillId="8" borderId="0" applyNumberFormat="0" applyBorder="0" applyAlignment="0" applyProtection="0"/>
    <xf numFmtId="0" fontId="107" fillId="52" borderId="0" applyNumberFormat="0" applyBorder="0" applyAlignment="0" applyProtection="0"/>
    <xf numFmtId="0" fontId="108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8" fillId="52" borderId="0" applyNumberFormat="0" applyBorder="0" applyAlignment="0" applyProtection="0"/>
    <xf numFmtId="0" fontId="107" fillId="52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9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07" fillId="52" borderId="0" applyNumberFormat="0" applyBorder="0" applyAlignment="0" applyProtection="0"/>
    <xf numFmtId="0" fontId="11" fillId="11" borderId="0" applyNumberFormat="0" applyBorder="0" applyAlignment="0" applyProtection="0"/>
    <xf numFmtId="0" fontId="107" fillId="53" borderId="0" applyNumberFormat="0" applyBorder="0" applyAlignment="0" applyProtection="0"/>
    <xf numFmtId="0" fontId="108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8" fillId="53" borderId="0" applyNumberFormat="0" applyBorder="0" applyAlignment="0" applyProtection="0"/>
    <xf numFmtId="0" fontId="107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9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1" fillId="14" borderId="0" applyNumberFormat="0" applyBorder="0" applyAlignment="0" applyProtection="0"/>
    <xf numFmtId="0" fontId="107" fillId="54" borderId="0" applyNumberFormat="0" applyBorder="0" applyAlignment="0" applyProtection="0"/>
    <xf numFmtId="0" fontId="108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8" fillId="54" borderId="0" applyNumberFormat="0" applyBorder="0" applyAlignment="0" applyProtection="0"/>
    <xf numFmtId="0" fontId="107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9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07" fillId="5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5" borderId="0" applyNumberFormat="0" applyBorder="0" applyAlignment="0" applyProtection="0"/>
    <xf numFmtId="0" fontId="111" fillId="55" borderId="0" applyNumberFormat="0" applyBorder="0" applyAlignment="0" applyProtection="0"/>
    <xf numFmtId="0" fontId="111" fillId="55" borderId="0" applyNumberFormat="0" applyBorder="0" applyAlignment="0" applyProtection="0"/>
    <xf numFmtId="0" fontId="111" fillId="55" borderId="0" applyNumberFormat="0" applyBorder="0" applyAlignment="0" applyProtection="0"/>
    <xf numFmtId="0" fontId="111" fillId="55" borderId="0" applyNumberFormat="0" applyBorder="0" applyAlignment="0" applyProtection="0"/>
    <xf numFmtId="0" fontId="111" fillId="55" borderId="0" applyNumberFormat="0" applyBorder="0" applyAlignment="0" applyProtection="0"/>
    <xf numFmtId="0" fontId="111" fillId="55" borderId="0" applyNumberFormat="0" applyBorder="0" applyAlignment="0" applyProtection="0"/>
    <xf numFmtId="0" fontId="111" fillId="55" borderId="0" applyNumberFormat="0" applyBorder="0" applyAlignment="0" applyProtection="0"/>
    <xf numFmtId="0" fontId="110" fillId="55" borderId="0" applyNumberFormat="0" applyBorder="0" applyAlignment="0" applyProtection="0"/>
    <xf numFmtId="0" fontId="110" fillId="55" borderId="0" applyNumberFormat="0" applyBorder="0" applyAlignment="0" applyProtection="0"/>
    <xf numFmtId="0" fontId="12" fillId="12" borderId="0" applyNumberFormat="0" applyBorder="0" applyAlignment="0" applyProtection="0"/>
    <xf numFmtId="0" fontId="111" fillId="56" borderId="0" applyNumberFormat="0" applyBorder="0" applyAlignment="0" applyProtection="0"/>
    <xf numFmtId="0" fontId="111" fillId="56" borderId="0" applyNumberFormat="0" applyBorder="0" applyAlignment="0" applyProtection="0"/>
    <xf numFmtId="0" fontId="111" fillId="56" borderId="0" applyNumberFormat="0" applyBorder="0" applyAlignment="0" applyProtection="0"/>
    <xf numFmtId="0" fontId="111" fillId="56" borderId="0" applyNumberFormat="0" applyBorder="0" applyAlignment="0" applyProtection="0"/>
    <xf numFmtId="0" fontId="111" fillId="56" borderId="0" applyNumberFormat="0" applyBorder="0" applyAlignment="0" applyProtection="0"/>
    <xf numFmtId="0" fontId="111" fillId="56" borderId="0" applyNumberFormat="0" applyBorder="0" applyAlignment="0" applyProtection="0"/>
    <xf numFmtId="0" fontId="111" fillId="56" borderId="0" applyNumberFormat="0" applyBorder="0" applyAlignment="0" applyProtection="0"/>
    <xf numFmtId="0" fontId="110" fillId="56" borderId="0" applyNumberFormat="0" applyBorder="0" applyAlignment="0" applyProtection="0"/>
    <xf numFmtId="0" fontId="110" fillId="56" borderId="0" applyNumberFormat="0" applyBorder="0" applyAlignment="0" applyProtection="0"/>
    <xf numFmtId="0" fontId="12" fillId="13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0" fillId="57" borderId="0" applyNumberFormat="0" applyBorder="0" applyAlignment="0" applyProtection="0"/>
    <xf numFmtId="0" fontId="110" fillId="57" borderId="0" applyNumberFormat="0" applyBorder="0" applyAlignment="0" applyProtection="0"/>
    <xf numFmtId="0" fontId="12" fillId="16" borderId="0" applyNumberFormat="0" applyBorder="0" applyAlignment="0" applyProtection="0"/>
    <xf numFmtId="0" fontId="111" fillId="58" borderId="0" applyNumberFormat="0" applyBorder="0" applyAlignment="0" applyProtection="0"/>
    <xf numFmtId="0" fontId="111" fillId="58" borderId="0" applyNumberFormat="0" applyBorder="0" applyAlignment="0" applyProtection="0"/>
    <xf numFmtId="0" fontId="111" fillId="58" borderId="0" applyNumberFormat="0" applyBorder="0" applyAlignment="0" applyProtection="0"/>
    <xf numFmtId="0" fontId="111" fillId="58" borderId="0" applyNumberFormat="0" applyBorder="0" applyAlignment="0" applyProtection="0"/>
    <xf numFmtId="0" fontId="111" fillId="58" borderId="0" applyNumberFormat="0" applyBorder="0" applyAlignment="0" applyProtection="0"/>
    <xf numFmtId="0" fontId="111" fillId="58" borderId="0" applyNumberFormat="0" applyBorder="0" applyAlignment="0" applyProtection="0"/>
    <xf numFmtId="0" fontId="111" fillId="58" borderId="0" applyNumberFormat="0" applyBorder="0" applyAlignment="0" applyProtection="0"/>
    <xf numFmtId="0" fontId="110" fillId="58" borderId="0" applyNumberFormat="0" applyBorder="0" applyAlignment="0" applyProtection="0"/>
    <xf numFmtId="0" fontId="110" fillId="58" borderId="0" applyNumberFormat="0" applyBorder="0" applyAlignment="0" applyProtection="0"/>
    <xf numFmtId="0" fontId="12" fillId="17" borderId="0" applyNumberFormat="0" applyBorder="0" applyAlignment="0" applyProtection="0"/>
    <xf numFmtId="0" fontId="111" fillId="59" borderId="0" applyNumberFormat="0" applyBorder="0" applyAlignment="0" applyProtection="0"/>
    <xf numFmtId="0" fontId="111" fillId="59" borderId="0" applyNumberFormat="0" applyBorder="0" applyAlignment="0" applyProtection="0"/>
    <xf numFmtId="0" fontId="111" fillId="59" borderId="0" applyNumberFormat="0" applyBorder="0" applyAlignment="0" applyProtection="0"/>
    <xf numFmtId="0" fontId="111" fillId="59" borderId="0" applyNumberFormat="0" applyBorder="0" applyAlignment="0" applyProtection="0"/>
    <xf numFmtId="0" fontId="111" fillId="59" borderId="0" applyNumberFormat="0" applyBorder="0" applyAlignment="0" applyProtection="0"/>
    <xf numFmtId="0" fontId="111" fillId="59" borderId="0" applyNumberFormat="0" applyBorder="0" applyAlignment="0" applyProtection="0"/>
    <xf numFmtId="0" fontId="111" fillId="59" borderId="0" applyNumberFormat="0" applyBorder="0" applyAlignment="0" applyProtection="0"/>
    <xf numFmtId="0" fontId="110" fillId="59" borderId="0" applyNumberFormat="0" applyBorder="0" applyAlignment="0" applyProtection="0"/>
    <xf numFmtId="0" fontId="110" fillId="59" borderId="0" applyNumberFormat="0" applyBorder="0" applyAlignment="0" applyProtection="0"/>
    <xf numFmtId="0" fontId="12" fillId="18" borderId="0" applyNumberFormat="0" applyBorder="0" applyAlignment="0" applyProtection="0"/>
    <xf numFmtId="0" fontId="111" fillId="60" borderId="0" applyNumberFormat="0" applyBorder="0" applyAlignment="0" applyProtection="0"/>
    <xf numFmtId="0" fontId="111" fillId="60" borderId="0" applyNumberFormat="0" applyBorder="0" applyAlignment="0" applyProtection="0"/>
    <xf numFmtId="0" fontId="111" fillId="60" borderId="0" applyNumberFormat="0" applyBorder="0" applyAlignment="0" applyProtection="0"/>
    <xf numFmtId="0" fontId="111" fillId="60" borderId="0" applyNumberFormat="0" applyBorder="0" applyAlignment="0" applyProtection="0"/>
    <xf numFmtId="0" fontId="111" fillId="60" borderId="0" applyNumberFormat="0" applyBorder="0" applyAlignment="0" applyProtection="0"/>
    <xf numFmtId="0" fontId="111" fillId="60" borderId="0" applyNumberFormat="0" applyBorder="0" applyAlignment="0" applyProtection="0"/>
    <xf numFmtId="0" fontId="111" fillId="60" borderId="0" applyNumberFormat="0" applyBorder="0" applyAlignment="0" applyProtection="0"/>
    <xf numFmtId="0" fontId="110" fillId="60" borderId="0" applyNumberFormat="0" applyBorder="0" applyAlignment="0" applyProtection="0"/>
    <xf numFmtId="0" fontId="110" fillId="60" borderId="0" applyNumberFormat="0" applyBorder="0" applyAlignment="0" applyProtection="0"/>
    <xf numFmtId="197" fontId="27" fillId="0" borderId="2">
      <alignment horizontal="right"/>
    </xf>
    <xf numFmtId="197" fontId="27" fillId="0" borderId="2">
      <alignment horizontal="right"/>
    </xf>
    <xf numFmtId="0" fontId="12" fillId="19" borderId="0" applyNumberFormat="0" applyBorder="0" applyAlignment="0" applyProtection="0"/>
    <xf numFmtId="0" fontId="111" fillId="61" borderId="0" applyNumberFormat="0" applyBorder="0" applyAlignment="0" applyProtection="0"/>
    <xf numFmtId="0" fontId="111" fillId="61" borderId="0" applyNumberFormat="0" applyBorder="0" applyAlignment="0" applyProtection="0"/>
    <xf numFmtId="0" fontId="111" fillId="61" borderId="0" applyNumberFormat="0" applyBorder="0" applyAlignment="0" applyProtection="0"/>
    <xf numFmtId="0" fontId="111" fillId="61" borderId="0" applyNumberFormat="0" applyBorder="0" applyAlignment="0" applyProtection="0"/>
    <xf numFmtId="0" fontId="111" fillId="61" borderId="0" applyNumberFormat="0" applyBorder="0" applyAlignment="0" applyProtection="0"/>
    <xf numFmtId="0" fontId="111" fillId="61" borderId="0" applyNumberFormat="0" applyBorder="0" applyAlignment="0" applyProtection="0"/>
    <xf numFmtId="0" fontId="111" fillId="61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2" fillId="20" borderId="0" applyNumberFormat="0" applyBorder="0" applyAlignment="0" applyProtection="0"/>
    <xf numFmtId="0" fontId="111" fillId="62" borderId="0" applyNumberFormat="0" applyBorder="0" applyAlignment="0" applyProtection="0"/>
    <xf numFmtId="0" fontId="111" fillId="62" borderId="0" applyNumberFormat="0" applyBorder="0" applyAlignment="0" applyProtection="0"/>
    <xf numFmtId="0" fontId="111" fillId="62" borderId="0" applyNumberFormat="0" applyBorder="0" applyAlignment="0" applyProtection="0"/>
    <xf numFmtId="0" fontId="111" fillId="62" borderId="0" applyNumberFormat="0" applyBorder="0" applyAlignment="0" applyProtection="0"/>
    <xf numFmtId="0" fontId="111" fillId="62" borderId="0" applyNumberFormat="0" applyBorder="0" applyAlignment="0" applyProtection="0"/>
    <xf numFmtId="0" fontId="111" fillId="62" borderId="0" applyNumberFormat="0" applyBorder="0" applyAlignment="0" applyProtection="0"/>
    <xf numFmtId="0" fontId="111" fillId="62" borderId="0" applyNumberFormat="0" applyBorder="0" applyAlignment="0" applyProtection="0"/>
    <xf numFmtId="0" fontId="110" fillId="62" borderId="0" applyNumberFormat="0" applyBorder="0" applyAlignment="0" applyProtection="0"/>
    <xf numFmtId="0" fontId="110" fillId="62" borderId="0" applyNumberFormat="0" applyBorder="0" applyAlignment="0" applyProtection="0"/>
    <xf numFmtId="0" fontId="12" fillId="21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0" fillId="63" borderId="0" applyNumberFormat="0" applyBorder="0" applyAlignment="0" applyProtection="0"/>
    <xf numFmtId="0" fontId="110" fillId="63" borderId="0" applyNumberFormat="0" applyBorder="0" applyAlignment="0" applyProtection="0"/>
    <xf numFmtId="0" fontId="12" fillId="16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0" fillId="64" borderId="0" applyNumberFormat="0" applyBorder="0" applyAlignment="0" applyProtection="0"/>
    <xf numFmtId="0" fontId="110" fillId="64" borderId="0" applyNumberFormat="0" applyBorder="0" applyAlignment="0" applyProtection="0"/>
    <xf numFmtId="0" fontId="12" fillId="17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0" fillId="65" borderId="0" applyNumberFormat="0" applyBorder="0" applyAlignment="0" applyProtection="0"/>
    <xf numFmtId="0" fontId="110" fillId="65" borderId="0" applyNumberFormat="0" applyBorder="0" applyAlignment="0" applyProtection="0"/>
    <xf numFmtId="0" fontId="12" fillId="22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0" fillId="66" borderId="0" applyNumberFormat="0" applyBorder="0" applyAlignment="0" applyProtection="0"/>
    <xf numFmtId="0" fontId="110" fillId="66" borderId="0" applyNumberFormat="0" applyBorder="0" applyAlignment="0" applyProtection="0"/>
    <xf numFmtId="167" fontId="39" fillId="0" borderId="0" applyFont="0"/>
    <xf numFmtId="42" fontId="39" fillId="0" borderId="0" applyFont="0"/>
    <xf numFmtId="167" fontId="39" fillId="0" borderId="3" applyFont="0"/>
    <xf numFmtId="42" fontId="39" fillId="0" borderId="3" applyFont="0"/>
    <xf numFmtId="168" fontId="39" fillId="0" borderId="0" applyFont="0"/>
    <xf numFmtId="41" fontId="39" fillId="0" borderId="0" applyFont="0"/>
    <xf numFmtId="198" fontId="40" fillId="0" borderId="2">
      <alignment horizontal="right"/>
    </xf>
    <xf numFmtId="198" fontId="40" fillId="0" borderId="2">
      <alignment horizontal="right"/>
    </xf>
    <xf numFmtId="198" fontId="40" fillId="0" borderId="2" applyFill="0">
      <alignment horizontal="right"/>
    </xf>
    <xf numFmtId="198" fontId="40" fillId="0" borderId="2" applyFill="0">
      <alignment horizontal="right"/>
    </xf>
    <xf numFmtId="199" fontId="27" fillId="0" borderId="2">
      <alignment horizontal="right"/>
    </xf>
    <xf numFmtId="3" fontId="27" fillId="0" borderId="2" applyFill="0">
      <alignment horizontal="right"/>
    </xf>
    <xf numFmtId="3" fontId="27" fillId="0" borderId="2" applyFill="0">
      <alignment horizontal="right"/>
    </xf>
    <xf numFmtId="200" fontId="40" fillId="0" borderId="2" applyFill="0">
      <alignment horizontal="right"/>
    </xf>
    <xf numFmtId="200" fontId="40" fillId="0" borderId="2" applyFill="0">
      <alignment horizontal="right"/>
    </xf>
    <xf numFmtId="3" fontId="9" fillId="0" borderId="2" applyFill="0">
      <alignment horizontal="right"/>
    </xf>
    <xf numFmtId="201" fontId="26" fillId="23" borderId="4">
      <alignment horizontal="center" vertical="center"/>
    </xf>
    <xf numFmtId="0" fontId="27" fillId="0" borderId="0"/>
    <xf numFmtId="174" fontId="41" fillId="0" borderId="0"/>
    <xf numFmtId="0" fontId="27" fillId="0" borderId="0"/>
    <xf numFmtId="202" fontId="27" fillId="0" borderId="2">
      <alignment horizontal="right"/>
      <protection locked="0"/>
    </xf>
    <xf numFmtId="202" fontId="27" fillId="0" borderId="2">
      <alignment horizontal="right"/>
      <protection locked="0"/>
    </xf>
    <xf numFmtId="165" fontId="40" fillId="0" borderId="2" applyNumberFormat="0" applyFont="0" applyBorder="0" applyProtection="0">
      <alignment horizontal="right"/>
    </xf>
    <xf numFmtId="6" fontId="40" fillId="0" borderId="2" applyNumberFormat="0" applyFont="0" applyBorder="0" applyProtection="0">
      <alignment horizontal="right"/>
    </xf>
    <xf numFmtId="203" fontId="42" fillId="24" borderId="5"/>
    <xf numFmtId="203" fontId="42" fillId="24" borderId="5"/>
    <xf numFmtId="203" fontId="42" fillId="24" borderId="5"/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/>
    <xf numFmtId="0" fontId="24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13" fillId="67" borderId="0" applyNumberFormat="0" applyBorder="0" applyAlignment="0" applyProtection="0"/>
    <xf numFmtId="0" fontId="113" fillId="67" borderId="0" applyNumberFormat="0" applyBorder="0" applyAlignment="0" applyProtection="0"/>
    <xf numFmtId="0" fontId="113" fillId="67" borderId="0" applyNumberFormat="0" applyBorder="0" applyAlignment="0" applyProtection="0"/>
    <xf numFmtId="0" fontId="113" fillId="67" borderId="0" applyNumberFormat="0" applyBorder="0" applyAlignment="0" applyProtection="0"/>
    <xf numFmtId="0" fontId="113" fillId="67" borderId="0" applyNumberFormat="0" applyBorder="0" applyAlignment="0" applyProtection="0"/>
    <xf numFmtId="0" fontId="113" fillId="67" borderId="0" applyNumberFormat="0" applyBorder="0" applyAlignment="0" applyProtection="0"/>
    <xf numFmtId="0" fontId="113" fillId="67" borderId="0" applyNumberFormat="0" applyBorder="0" applyAlignment="0" applyProtection="0"/>
    <xf numFmtId="0" fontId="112" fillId="67" borderId="0" applyNumberFormat="0" applyBorder="0" applyAlignment="0" applyProtection="0"/>
    <xf numFmtId="0" fontId="112" fillId="67" borderId="0" applyNumberFormat="0" applyBorder="0" applyAlignment="0" applyProtection="0"/>
    <xf numFmtId="1" fontId="45" fillId="25" borderId="6" applyNumberFormat="0" applyBorder="0" applyAlignment="0">
      <alignment horizontal="center" vertical="top" wrapText="1"/>
      <protection hidden="1"/>
    </xf>
    <xf numFmtId="0" fontId="46" fillId="26" borderId="0"/>
    <xf numFmtId="0" fontId="47" fillId="0" borderId="0" applyAlignment="0"/>
    <xf numFmtId="0" fontId="48" fillId="0" borderId="7" applyNumberFormat="0" applyFill="0" applyAlignment="0" applyProtection="0"/>
    <xf numFmtId="0" fontId="48" fillId="0" borderId="7" applyNumberFormat="0" applyFill="0" applyAlignment="0" applyProtection="0"/>
    <xf numFmtId="0" fontId="9" fillId="0" borderId="8" applyNumberFormat="0" applyFont="0" applyFill="0" applyAlignment="0" applyProtection="0"/>
    <xf numFmtId="0" fontId="49" fillId="0" borderId="9" applyNumberFormat="0" applyFont="0" applyFill="0" applyAlignment="0" applyProtection="0">
      <alignment horizontal="centerContinuous"/>
    </xf>
    <xf numFmtId="0" fontId="31" fillId="0" borderId="7" applyNumberFormat="0" applyFont="0" applyFill="0" applyAlignment="0" applyProtection="0"/>
    <xf numFmtId="0" fontId="31" fillId="0" borderId="7" applyNumberFormat="0" applyFont="0" applyFill="0" applyAlignment="0" applyProtection="0"/>
    <xf numFmtId="0" fontId="31" fillId="0" borderId="6" applyNumberFormat="0" applyFont="0" applyFill="0" applyAlignment="0" applyProtection="0"/>
    <xf numFmtId="0" fontId="31" fillId="0" borderId="10" applyNumberFormat="0" applyFont="0" applyFill="0" applyAlignment="0" applyProtection="0"/>
    <xf numFmtId="0" fontId="31" fillId="0" borderId="11" applyNumberFormat="0" applyFont="0" applyFill="0" applyAlignment="0" applyProtection="0"/>
    <xf numFmtId="0" fontId="31" fillId="0" borderId="11" applyNumberFormat="0" applyFont="0" applyFill="0" applyAlignment="0" applyProtection="0"/>
    <xf numFmtId="0" fontId="31" fillId="0" borderId="11" applyNumberFormat="0" applyFont="0" applyFill="0" applyAlignment="0" applyProtection="0"/>
    <xf numFmtId="0" fontId="31" fillId="0" borderId="11" applyNumberFormat="0" applyFont="0" applyFill="0" applyAlignment="0" applyProtection="0"/>
    <xf numFmtId="0" fontId="31" fillId="0" borderId="11" applyNumberFormat="0" applyFont="0" applyFill="0" applyAlignment="0" applyProtection="0"/>
    <xf numFmtId="0" fontId="31" fillId="0" borderId="11" applyNumberFormat="0" applyFont="0" applyFill="0" applyAlignment="0" applyProtection="0"/>
    <xf numFmtId="204" fontId="27" fillId="0" borderId="0" applyFont="0" applyFill="0" applyBorder="0" applyAlignment="0" applyProtection="0"/>
    <xf numFmtId="0" fontId="10" fillId="0" borderId="0">
      <alignment horizontal="right"/>
    </xf>
    <xf numFmtId="0" fontId="36" fillId="0" borderId="0" applyFont="0" applyFill="0" applyBorder="0" applyAlignment="0" applyProtection="0"/>
    <xf numFmtId="205" fontId="10" fillId="0" borderId="0" applyFill="0" applyBorder="0" applyAlignment="0"/>
    <xf numFmtId="206" fontId="10" fillId="0" borderId="0" applyFill="0" applyBorder="0" applyAlignment="0"/>
    <xf numFmtId="207" fontId="10" fillId="0" borderId="0" applyFill="0" applyBorder="0" applyAlignment="0"/>
    <xf numFmtId="208" fontId="10" fillId="0" borderId="0" applyFill="0" applyBorder="0" applyAlignment="0"/>
    <xf numFmtId="207" fontId="27" fillId="0" borderId="0" applyFill="0" applyBorder="0" applyAlignment="0"/>
    <xf numFmtId="205" fontId="10" fillId="0" borderId="0" applyFill="0" applyBorder="0" applyAlignment="0"/>
    <xf numFmtId="208" fontId="27" fillId="0" borderId="0" applyFill="0" applyBorder="0" applyAlignment="0"/>
    <xf numFmtId="206" fontId="10" fillId="0" borderId="0" applyFill="0" applyBorder="0" applyAlignment="0"/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15" fillId="68" borderId="34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4" fillId="27" borderId="1" applyNumberFormat="0" applyAlignment="0" applyProtection="0"/>
    <xf numFmtId="0" fontId="115" fillId="68" borderId="34" applyNumberFormat="0" applyAlignment="0" applyProtection="0"/>
    <xf numFmtId="0" fontId="114" fillId="68" borderId="34" applyNumberFormat="0" applyAlignment="0" applyProtection="0"/>
    <xf numFmtId="0" fontId="114" fillId="68" borderId="34" applyNumberFormat="0" applyAlignment="0" applyProtection="0"/>
    <xf numFmtId="174" fontId="9" fillId="28" borderId="0" applyNumberFormat="0" applyFont="0" applyBorder="0" applyAlignment="0">
      <alignment horizontal="left"/>
    </xf>
    <xf numFmtId="0" fontId="22" fillId="0" borderId="12" applyNumberFormat="0" applyFill="0" applyAlignment="0" applyProtection="0"/>
    <xf numFmtId="209" fontId="27" fillId="0" borderId="0" applyFont="0" applyFill="0" applyBorder="0" applyProtection="0">
      <alignment horizontal="center" vertical="center"/>
    </xf>
    <xf numFmtId="0" fontId="15" fillId="29" borderId="13" applyNumberFormat="0" applyAlignment="0" applyProtection="0"/>
    <xf numFmtId="0" fontId="117" fillId="69" borderId="35" applyNumberFormat="0" applyAlignment="0" applyProtection="0"/>
    <xf numFmtId="0" fontId="117" fillId="69" borderId="35" applyNumberFormat="0" applyAlignment="0" applyProtection="0"/>
    <xf numFmtId="0" fontId="117" fillId="69" borderId="35" applyNumberFormat="0" applyAlignment="0" applyProtection="0"/>
    <xf numFmtId="0" fontId="117" fillId="69" borderId="35" applyNumberFormat="0" applyAlignment="0" applyProtection="0"/>
    <xf numFmtId="0" fontId="117" fillId="69" borderId="35" applyNumberFormat="0" applyAlignment="0" applyProtection="0"/>
    <xf numFmtId="0" fontId="117" fillId="69" borderId="35" applyNumberFormat="0" applyAlignment="0" applyProtection="0"/>
    <xf numFmtId="0" fontId="117" fillId="69" borderId="35" applyNumberFormat="0" applyAlignment="0" applyProtection="0"/>
    <xf numFmtId="0" fontId="116" fillId="69" borderId="35" applyNumberFormat="0" applyAlignment="0" applyProtection="0"/>
    <xf numFmtId="0" fontId="116" fillId="69" borderId="35" applyNumberFormat="0" applyAlignment="0" applyProtection="0"/>
    <xf numFmtId="210" fontId="27" fillId="0" borderId="0" applyNumberFormat="0" applyFont="0" applyFill="0" applyAlignment="0" applyProtection="0"/>
    <xf numFmtId="0" fontId="48" fillId="0" borderId="7" applyNumberFormat="0" applyFill="0" applyProtection="0">
      <alignment horizontal="left" vertical="center"/>
    </xf>
    <xf numFmtId="0" fontId="50" fillId="0" borderId="0">
      <alignment horizontal="center" wrapText="1"/>
      <protection hidden="1"/>
    </xf>
    <xf numFmtId="0" fontId="51" fillId="0" borderId="0">
      <alignment horizontal="right"/>
    </xf>
    <xf numFmtId="171" fontId="37" fillId="0" borderId="0" applyBorder="0">
      <alignment horizontal="right"/>
    </xf>
    <xf numFmtId="171" fontId="37" fillId="0" borderId="8" applyAlignment="0">
      <alignment horizontal="right"/>
    </xf>
    <xf numFmtId="170" fontId="8" fillId="0" borderId="0" applyFont="0" applyFill="0" applyBorder="0" applyAlignment="0" applyProtection="0"/>
    <xf numFmtId="211" fontId="10" fillId="0" borderId="0"/>
    <xf numFmtId="211" fontId="10" fillId="0" borderId="0"/>
    <xf numFmtId="211" fontId="10" fillId="0" borderId="0"/>
    <xf numFmtId="211" fontId="10" fillId="0" borderId="0"/>
    <xf numFmtId="211" fontId="10" fillId="0" borderId="0"/>
    <xf numFmtId="211" fontId="10" fillId="0" borderId="0"/>
    <xf numFmtId="211" fontId="10" fillId="0" borderId="0"/>
    <xf numFmtId="211" fontId="10" fillId="0" borderId="0"/>
    <xf numFmtId="168" fontId="52" fillId="0" borderId="0" applyFont="0" applyBorder="0">
      <alignment horizontal="right"/>
    </xf>
    <xf numFmtId="41" fontId="52" fillId="0" borderId="0" applyFont="0" applyBorder="0">
      <alignment horizontal="right"/>
    </xf>
    <xf numFmtId="205" fontId="10" fillId="0" borderId="0" applyFont="0" applyFill="0" applyBorder="0" applyAlignment="0" applyProtection="0"/>
    <xf numFmtId="212" fontId="27" fillId="0" borderId="0" applyFont="0"/>
    <xf numFmtId="0" fontId="53" fillId="0" borderId="0" applyFont="0" applyFill="0" applyBorder="0" applyProtection="0">
      <alignment horizontal="right"/>
    </xf>
    <xf numFmtId="0" fontId="53" fillId="0" borderId="0" applyFont="0" applyFill="0" applyBorder="0" applyProtection="0">
      <alignment horizontal="right"/>
    </xf>
    <xf numFmtId="189" fontId="27" fillId="0" borderId="0" applyFont="0" applyFill="0" applyBorder="0" applyAlignment="0" applyProtection="0">
      <alignment horizontal="right"/>
    </xf>
    <xf numFmtId="213" fontId="27" fillId="0" borderId="0" applyFont="0" applyFill="0" applyBorder="0" applyAlignment="0" applyProtection="0"/>
    <xf numFmtId="214" fontId="54" fillId="0" borderId="0" applyFont="0" applyFill="0" applyBorder="0" applyAlignment="0" applyProtection="0">
      <alignment horizontal="right"/>
    </xf>
    <xf numFmtId="170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7" fillId="0" borderId="0" applyFont="0" applyFill="0" applyBorder="0" applyAlignment="0" applyProtection="0">
      <alignment horizontal="right"/>
    </xf>
    <xf numFmtId="172" fontId="27" fillId="0" borderId="0" applyFont="0" applyFill="0" applyBorder="0" applyAlignment="0" applyProtection="0">
      <alignment horizontal="right"/>
    </xf>
    <xf numFmtId="172" fontId="27" fillId="0" borderId="0" applyFont="0" applyFill="0" applyBorder="0" applyAlignment="0" applyProtection="0">
      <alignment horizontal="right"/>
    </xf>
    <xf numFmtId="172" fontId="27" fillId="0" borderId="0" applyFont="0" applyFill="0" applyBorder="0" applyAlignment="0" applyProtection="0">
      <alignment horizontal="right"/>
    </xf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56" fillId="0" borderId="0" applyFont="0" applyFill="0" applyBorder="0" applyAlignment="0" applyProtection="0"/>
    <xf numFmtId="172" fontId="27" fillId="0" borderId="0" applyFont="0" applyFill="0" applyBorder="0" applyAlignment="0" applyProtection="0">
      <alignment horizontal="right"/>
    </xf>
    <xf numFmtId="172" fontId="27" fillId="0" borderId="0" applyFont="0" applyFill="0" applyBorder="0" applyAlignment="0" applyProtection="0">
      <alignment horizontal="right"/>
    </xf>
    <xf numFmtId="172" fontId="27" fillId="0" borderId="0" applyFont="0" applyFill="0" applyBorder="0" applyAlignment="0" applyProtection="0">
      <alignment horizontal="right"/>
    </xf>
    <xf numFmtId="172" fontId="27" fillId="0" borderId="0" applyFont="0" applyFill="0" applyBorder="0" applyAlignment="0" applyProtection="0">
      <alignment horizontal="right"/>
    </xf>
    <xf numFmtId="17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6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15" fontId="54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4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3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8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58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/>
    <xf numFmtId="3" fontId="61" fillId="0" borderId="0" applyFont="0" applyFill="0" applyBorder="0" applyAlignment="0" applyProtection="0"/>
    <xf numFmtId="174" fontId="62" fillId="0" borderId="0"/>
    <xf numFmtId="0" fontId="63" fillId="0" borderId="0"/>
    <xf numFmtId="0" fontId="27" fillId="30" borderId="14" applyNumberFormat="0" applyFont="0" applyAlignment="0" applyProtection="0"/>
    <xf numFmtId="0" fontId="64" fillId="31" borderId="0">
      <alignment horizontal="center" vertical="center" wrapText="1"/>
    </xf>
    <xf numFmtId="216" fontId="27" fillId="0" borderId="0" applyFill="0" applyBorder="0">
      <alignment horizontal="right"/>
      <protection locked="0"/>
    </xf>
    <xf numFmtId="217" fontId="65" fillId="0" borderId="15" applyFont="0" applyFill="0" applyBorder="0" applyAlignment="0" applyProtection="0"/>
    <xf numFmtId="206" fontId="10" fillId="0" borderId="0" applyFont="0" applyFill="0" applyBorder="0" applyAlignment="0" applyProtection="0"/>
    <xf numFmtId="218" fontId="66" fillId="0" borderId="0">
      <alignment horizontal="right"/>
    </xf>
    <xf numFmtId="166" fontId="67" fillId="0" borderId="16">
      <protection locked="0"/>
    </xf>
    <xf numFmtId="166" fontId="67" fillId="0" borderId="16">
      <protection locked="0"/>
    </xf>
    <xf numFmtId="166" fontId="67" fillId="0" borderId="16">
      <protection locked="0"/>
    </xf>
    <xf numFmtId="8" fontId="67" fillId="0" borderId="16">
      <protection locked="0"/>
    </xf>
    <xf numFmtId="0" fontId="53" fillId="0" borderId="0" applyFont="0" applyFill="0" applyBorder="0" applyProtection="0">
      <alignment horizontal="right"/>
    </xf>
    <xf numFmtId="184" fontId="27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43" fillId="0" borderId="0" applyFont="0" applyFill="0" applyBorder="0" applyAlignment="0" applyProtection="0"/>
    <xf numFmtId="169" fontId="5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1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58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19" fontId="27" fillId="0" borderId="0" applyFont="0" applyFill="0" applyBorder="0" applyAlignment="0" applyProtection="0">
      <alignment horizontal="right"/>
    </xf>
    <xf numFmtId="219" fontId="27" fillId="0" borderId="0" applyFont="0" applyFill="0" applyBorder="0" applyAlignment="0" applyProtection="0">
      <alignment horizontal="right"/>
    </xf>
    <xf numFmtId="219" fontId="27" fillId="0" borderId="0" applyFont="0" applyFill="0" applyBorder="0" applyAlignment="0" applyProtection="0">
      <alignment horizontal="right"/>
    </xf>
    <xf numFmtId="219" fontId="27" fillId="0" borderId="0" applyFont="0" applyFill="0" applyBorder="0" applyAlignment="0" applyProtection="0">
      <alignment horizontal="right"/>
    </xf>
    <xf numFmtId="44" fontId="27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19" fontId="27" fillId="0" borderId="0" applyFont="0" applyFill="0" applyBorder="0" applyAlignment="0" applyProtection="0">
      <alignment horizontal="right"/>
    </xf>
    <xf numFmtId="219" fontId="27" fillId="0" borderId="0" applyFont="0" applyFill="0" applyBorder="0" applyAlignment="0" applyProtection="0">
      <alignment horizontal="right"/>
    </xf>
    <xf numFmtId="219" fontId="27" fillId="0" borderId="0" applyFont="0" applyFill="0" applyBorder="0" applyAlignment="0" applyProtection="0">
      <alignment horizontal="right"/>
    </xf>
    <xf numFmtId="219" fontId="27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20" fontId="68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6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221" fontId="10" fillId="0" borderId="0" applyFont="0" applyFill="0" applyBorder="0" applyProtection="0">
      <alignment horizontal="right"/>
    </xf>
    <xf numFmtId="222" fontId="40" fillId="0" borderId="0" applyFont="0" applyFill="0" applyBorder="0" applyAlignment="0" applyProtection="0">
      <alignment vertical="center"/>
    </xf>
    <xf numFmtId="223" fontId="40" fillId="0" borderId="0" applyFont="0" applyFill="0" applyBorder="0" applyAlignment="0" applyProtection="0">
      <alignment vertical="center"/>
    </xf>
    <xf numFmtId="0" fontId="50" fillId="0" borderId="0" applyFont="0" applyFill="0" applyBorder="0" applyAlignment="0">
      <protection locked="0"/>
    </xf>
    <xf numFmtId="0" fontId="36" fillId="0" borderId="0" applyFont="0" applyFill="0" applyBorder="0" applyAlignment="0" applyProtection="0"/>
    <xf numFmtId="224" fontId="69" fillId="0" borderId="17" applyNumberFormat="0" applyFill="0">
      <alignment horizontal="right"/>
    </xf>
    <xf numFmtId="224" fontId="69" fillId="0" borderId="17" applyNumberFormat="0" applyFill="0">
      <alignment horizontal="right"/>
    </xf>
    <xf numFmtId="1" fontId="70" fillId="0" borderId="0"/>
    <xf numFmtId="225" fontId="9" fillId="0" borderId="0" applyFont="0" applyFill="0" applyBorder="0" applyProtection="0">
      <alignment horizontal="right"/>
    </xf>
    <xf numFmtId="226" fontId="65" fillId="0" borderId="0" applyFont="0" applyFill="0" applyBorder="0" applyAlignment="0" applyProtection="0"/>
    <xf numFmtId="226" fontId="65" fillId="0" borderId="0" applyFont="0" applyFill="0" applyBorder="0" applyAlignment="0" applyProtection="0"/>
    <xf numFmtId="227" fontId="30" fillId="26" borderId="18" applyFont="0" applyFill="0" applyBorder="0" applyAlignment="0" applyProtection="0"/>
    <xf numFmtId="228" fontId="37" fillId="0" borderId="7" applyFont="0" applyFill="0" applyBorder="0" applyAlignment="0" applyProtection="0"/>
    <xf numFmtId="228" fontId="37" fillId="0" borderId="7" applyFont="0" applyFill="0" applyBorder="0" applyAlignment="0" applyProtection="0"/>
    <xf numFmtId="175" fontId="27" fillId="0" borderId="0" applyFont="0" applyFill="0" applyBorder="0" applyAlignment="0" applyProtection="0"/>
    <xf numFmtId="229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4" fontId="29" fillId="0" borderId="0" applyFill="0" applyBorder="0" applyAlignment="0"/>
    <xf numFmtId="0" fontId="27" fillId="0" borderId="0">
      <alignment horizontal="left" vertical="top"/>
    </xf>
    <xf numFmtId="167" fontId="71" fillId="0" borderId="0"/>
    <xf numFmtId="42" fontId="71" fillId="0" borderId="0"/>
    <xf numFmtId="0" fontId="65" fillId="0" borderId="0"/>
    <xf numFmtId="168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72" fillId="0" borderId="0">
      <protection locked="0"/>
    </xf>
    <xf numFmtId="0" fontId="27" fillId="0" borderId="0"/>
    <xf numFmtId="167" fontId="10" fillId="0" borderId="0"/>
    <xf numFmtId="42" fontId="10" fillId="0" borderId="0"/>
    <xf numFmtId="171" fontId="27" fillId="0" borderId="19" applyNumberFormat="0" applyFont="0" applyFill="0" applyAlignment="0" applyProtection="0"/>
    <xf numFmtId="171" fontId="27" fillId="0" borderId="19" applyNumberFormat="0" applyFont="0" applyFill="0" applyAlignment="0" applyProtection="0"/>
    <xf numFmtId="171" fontId="27" fillId="0" borderId="19" applyNumberFormat="0" applyFont="0" applyFill="0" applyAlignment="0" applyProtection="0"/>
    <xf numFmtId="167" fontId="73" fillId="0" borderId="0" applyFill="0" applyBorder="0" applyAlignment="0" applyProtection="0"/>
    <xf numFmtId="42" fontId="73" fillId="0" borderId="0" applyFill="0" applyBorder="0" applyAlignment="0" applyProtection="0"/>
    <xf numFmtId="1" fontId="9" fillId="0" borderId="0"/>
    <xf numFmtId="230" fontId="74" fillId="0" borderId="0">
      <protection locked="0"/>
    </xf>
    <xf numFmtId="230" fontId="74" fillId="0" borderId="0">
      <protection locked="0"/>
    </xf>
    <xf numFmtId="205" fontId="10" fillId="0" borderId="0" applyFill="0" applyBorder="0" applyAlignment="0"/>
    <xf numFmtId="206" fontId="10" fillId="0" borderId="0" applyFill="0" applyBorder="0" applyAlignment="0"/>
    <xf numFmtId="205" fontId="10" fillId="0" borderId="0" applyFill="0" applyBorder="0" applyAlignment="0"/>
    <xf numFmtId="208" fontId="27" fillId="0" borderId="0" applyFill="0" applyBorder="0" applyAlignment="0"/>
    <xf numFmtId="206" fontId="10" fillId="0" borderId="0" applyFill="0" applyBorder="0" applyAlignment="0"/>
    <xf numFmtId="0" fontId="21" fillId="10" borderId="1" applyNumberFormat="0" applyAlignment="0" applyProtection="0"/>
    <xf numFmtId="231" fontId="3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232" fontId="50" fillId="32" borderId="6">
      <alignment horizontal="left"/>
    </xf>
    <xf numFmtId="1" fontId="75" fillId="33" borderId="20" applyNumberFormat="0" applyBorder="0" applyAlignment="0">
      <alignment horizontal="centerContinuous" vertical="center"/>
      <protection locked="0"/>
    </xf>
    <xf numFmtId="1" fontId="75" fillId="33" borderId="20" applyNumberFormat="0" applyBorder="0" applyAlignment="0">
      <alignment horizontal="centerContinuous" vertical="center"/>
      <protection locked="0"/>
    </xf>
    <xf numFmtId="1" fontId="75" fillId="33" borderId="20" applyNumberFormat="0" applyBorder="0" applyAlignment="0">
      <alignment horizontal="centerContinuous" vertical="center"/>
      <protection locked="0"/>
    </xf>
    <xf numFmtId="233" fontId="27" fillId="0" borderId="0">
      <protection locked="0"/>
    </xf>
    <xf numFmtId="210" fontId="27" fillId="0" borderId="0">
      <protection locked="0"/>
    </xf>
    <xf numFmtId="2" fontId="61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76" fillId="0" borderId="0" applyFill="0" applyBorder="0" applyProtection="0">
      <alignment horizontal="left"/>
    </xf>
    <xf numFmtId="0" fontId="17" fillId="7" borderId="0" applyNumberFormat="0" applyBorder="0" applyAlignment="0" applyProtection="0"/>
    <xf numFmtId="0" fontId="122" fillId="70" borderId="0" applyNumberFormat="0" applyBorder="0" applyAlignment="0" applyProtection="0"/>
    <xf numFmtId="0" fontId="122" fillId="70" borderId="0" applyNumberFormat="0" applyBorder="0" applyAlignment="0" applyProtection="0"/>
    <xf numFmtId="0" fontId="122" fillId="70" borderId="0" applyNumberFormat="0" applyBorder="0" applyAlignment="0" applyProtection="0"/>
    <xf numFmtId="0" fontId="122" fillId="70" borderId="0" applyNumberFormat="0" applyBorder="0" applyAlignment="0" applyProtection="0"/>
    <xf numFmtId="0" fontId="122" fillId="70" borderId="0" applyNumberFormat="0" applyBorder="0" applyAlignment="0" applyProtection="0"/>
    <xf numFmtId="0" fontId="122" fillId="70" borderId="0" applyNumberFormat="0" applyBorder="0" applyAlignment="0" applyProtection="0"/>
    <xf numFmtId="0" fontId="122" fillId="70" borderId="0" applyNumberFormat="0" applyBorder="0" applyAlignment="0" applyProtection="0"/>
    <xf numFmtId="0" fontId="121" fillId="70" borderId="0" applyNumberFormat="0" applyBorder="0" applyAlignment="0" applyProtection="0"/>
    <xf numFmtId="0" fontId="121" fillId="70" borderId="0" applyNumberFormat="0" applyBorder="0" applyAlignment="0" applyProtection="0"/>
    <xf numFmtId="38" fontId="65" fillId="34" borderId="0" applyNumberFormat="0" applyBorder="0" applyAlignment="0" applyProtection="0"/>
    <xf numFmtId="0" fontId="77" fillId="0" borderId="0" applyNumberFormat="0">
      <alignment horizontal="right"/>
    </xf>
    <xf numFmtId="0" fontId="27" fillId="0" borderId="0"/>
    <xf numFmtId="0" fontId="27" fillId="0" borderId="0"/>
    <xf numFmtId="0" fontId="27" fillId="0" borderId="0"/>
    <xf numFmtId="0" fontId="27" fillId="0" borderId="0"/>
    <xf numFmtId="173" fontId="27" fillId="35" borderId="21" applyNumberFormat="0" applyFont="0" applyBorder="0" applyAlignment="0" applyProtection="0"/>
    <xf numFmtId="179" fontId="27" fillId="0" borderId="0" applyFont="0" applyFill="0" applyBorder="0" applyAlignment="0" applyProtection="0">
      <alignment horizontal="right"/>
    </xf>
    <xf numFmtId="174" fontId="78" fillId="35" borderId="0" applyNumberFormat="0" applyFont="0" applyAlignment="0"/>
    <xf numFmtId="0" fontId="79" fillId="0" borderId="0" applyProtection="0">
      <alignment horizontal="right"/>
    </xf>
    <xf numFmtId="0" fontId="80" fillId="0" borderId="22" applyNumberFormat="0" applyAlignment="0" applyProtection="0">
      <alignment horizontal="left" vertical="center"/>
    </xf>
    <xf numFmtId="0" fontId="80" fillId="0" borderId="23">
      <alignment horizontal="left" vertical="center"/>
    </xf>
    <xf numFmtId="0" fontId="80" fillId="0" borderId="23">
      <alignment horizontal="left" vertical="center"/>
    </xf>
    <xf numFmtId="0" fontId="80" fillId="0" borderId="23">
      <alignment horizontal="left" vertical="center"/>
    </xf>
    <xf numFmtId="0" fontId="80" fillId="0" borderId="23">
      <alignment horizontal="left" vertical="center"/>
    </xf>
    <xf numFmtId="49" fontId="81" fillId="0" borderId="0">
      <alignment horizontal="centerContinuous"/>
    </xf>
    <xf numFmtId="0" fontId="18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23" fillId="0" borderId="36" applyNumberFormat="0" applyFill="0" applyAlignment="0" applyProtection="0"/>
    <xf numFmtId="0" fontId="82" fillId="0" borderId="0" applyNumberFormat="0" applyFill="0" applyBorder="0" applyAlignment="0" applyProtection="0"/>
    <xf numFmtId="0" fontId="19" fillId="0" borderId="25" applyNumberFormat="0" applyFill="0" applyAlignment="0" applyProtection="0"/>
    <xf numFmtId="0" fontId="83" fillId="0" borderId="0" applyProtection="0">
      <alignment horizontal="left"/>
    </xf>
    <xf numFmtId="0" fontId="83" fillId="0" borderId="0" applyProtection="0">
      <alignment horizontal="left"/>
    </xf>
    <xf numFmtId="0" fontId="83" fillId="0" borderId="0" applyProtection="0">
      <alignment horizontal="left"/>
    </xf>
    <xf numFmtId="0" fontId="83" fillId="0" borderId="0" applyProtection="0">
      <alignment horizontal="left"/>
    </xf>
    <xf numFmtId="0" fontId="124" fillId="0" borderId="37" applyNumberFormat="0" applyFill="0" applyAlignment="0" applyProtection="0"/>
    <xf numFmtId="0" fontId="83" fillId="0" borderId="0" applyProtection="0">
      <alignment horizontal="left"/>
    </xf>
    <xf numFmtId="0" fontId="20" fillId="0" borderId="26" applyNumberFormat="0" applyFill="0" applyAlignment="0" applyProtection="0"/>
    <xf numFmtId="0" fontId="84" fillId="0" borderId="0" applyProtection="0">
      <alignment horizontal="left"/>
    </xf>
    <xf numFmtId="0" fontId="84" fillId="0" borderId="0" applyProtection="0">
      <alignment horizontal="left"/>
    </xf>
    <xf numFmtId="0" fontId="84" fillId="0" borderId="0" applyProtection="0">
      <alignment horizontal="left"/>
    </xf>
    <xf numFmtId="0" fontId="84" fillId="0" borderId="0" applyProtection="0">
      <alignment horizontal="left"/>
    </xf>
    <xf numFmtId="0" fontId="126" fillId="0" borderId="38" applyNumberFormat="0" applyFill="0" applyAlignment="0" applyProtection="0"/>
    <xf numFmtId="0" fontId="125" fillId="0" borderId="38" applyNumberFormat="0" applyFill="0" applyAlignment="0" applyProtection="0"/>
    <xf numFmtId="0" fontId="84" fillId="0" borderId="0" applyProtection="0">
      <alignment horizontal="left"/>
    </xf>
    <xf numFmtId="0" fontId="20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5" fillId="0" borderId="0"/>
    <xf numFmtId="0" fontId="44" fillId="0" borderId="0"/>
    <xf numFmtId="234" fontId="39" fillId="0" borderId="0">
      <alignment horizontal="centerContinuous"/>
    </xf>
    <xf numFmtId="0" fontId="86" fillId="0" borderId="27" applyNumberFormat="0" applyFill="0" applyBorder="0" applyAlignment="0" applyProtection="0">
      <alignment horizontal="left"/>
    </xf>
    <xf numFmtId="234" fontId="39" fillId="0" borderId="28">
      <alignment horizontal="center"/>
    </xf>
    <xf numFmtId="0" fontId="27" fillId="0" borderId="0" applyNumberFormat="0" applyFill="0" applyBorder="0" applyProtection="0">
      <alignment wrapText="1"/>
    </xf>
    <xf numFmtId="0" fontId="27" fillId="0" borderId="0" applyNumberFormat="0" applyFill="0" applyBorder="0" applyProtection="0">
      <alignment horizontal="justify" vertical="top" wrapText="1"/>
    </xf>
    <xf numFmtId="0" fontId="87" fillId="0" borderId="29">
      <alignment horizontal="left" vertical="center"/>
    </xf>
    <xf numFmtId="0" fontId="87" fillId="36" borderId="0">
      <alignment horizontal="centerContinuous" wrapText="1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235" fontId="8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>
      <alignment horizontal="right"/>
    </xf>
    <xf numFmtId="10" fontId="65" fillId="26" borderId="21" applyNumberFormat="0" applyBorder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132" fillId="71" borderId="34" applyNumberFormat="0" applyAlignment="0" applyProtection="0"/>
    <xf numFmtId="0" fontId="21" fillId="10" borderId="1" applyNumberFormat="0" applyAlignment="0" applyProtection="0"/>
    <xf numFmtId="0" fontId="131" fillId="71" borderId="34" applyNumberFormat="0" applyAlignment="0" applyProtection="0"/>
    <xf numFmtId="236" fontId="50" fillId="0" borderId="0" applyNumberFormat="0" applyFill="0" applyBorder="0" applyAlignment="0" applyProtection="0"/>
    <xf numFmtId="0" fontId="27" fillId="0" borderId="0" applyNumberFormat="0" applyFill="0" applyBorder="0" applyAlignment="0">
      <protection locked="0"/>
    </xf>
    <xf numFmtId="0" fontId="91" fillId="26" borderId="0" applyNumberFormat="0" applyFont="0" applyBorder="0" applyAlignment="0">
      <alignment horizontal="right"/>
      <protection locked="0"/>
    </xf>
    <xf numFmtId="0" fontId="92" fillId="37" borderId="0" applyNumberFormat="0" applyFont="0" applyBorder="0" applyAlignment="0">
      <alignment horizontal="right" vertical="top"/>
      <protection locked="0"/>
    </xf>
    <xf numFmtId="237" fontId="27" fillId="26" borderId="30" applyNumberFormat="0" applyFont="0" applyBorder="0" applyAlignment="0">
      <alignment horizontal="right" vertical="center"/>
      <protection locked="0"/>
    </xf>
    <xf numFmtId="0" fontId="92" fillId="37" borderId="0" applyNumberFormat="0" applyFont="0" applyBorder="0" applyAlignment="0">
      <alignment horizontal="right" vertical="top"/>
      <protection locked="0"/>
    </xf>
    <xf numFmtId="0" fontId="50" fillId="0" borderId="0" applyFill="0" applyBorder="0">
      <alignment horizontal="right"/>
      <protection locked="0"/>
    </xf>
    <xf numFmtId="238" fontId="93" fillId="0" borderId="31" applyFont="0" applyFill="0" applyBorder="0" applyAlignment="0" applyProtection="0"/>
    <xf numFmtId="239" fontId="27" fillId="0" borderId="0" applyFill="0" applyBorder="0">
      <alignment horizontal="right"/>
      <protection locked="0"/>
    </xf>
    <xf numFmtId="0" fontId="94" fillId="0" borderId="0" applyFill="0" applyBorder="0"/>
    <xf numFmtId="0" fontId="95" fillId="38" borderId="32">
      <alignment horizontal="left" vertical="center" wrapText="1"/>
    </xf>
    <xf numFmtId="0" fontId="95" fillId="38" borderId="32">
      <alignment horizontal="left" vertical="center" wrapText="1"/>
    </xf>
    <xf numFmtId="0" fontId="95" fillId="38" borderId="32">
      <alignment horizontal="left" vertical="center" wrapText="1"/>
    </xf>
    <xf numFmtId="0" fontId="36" fillId="0" borderId="0" applyNumberFormat="0" applyFill="0" applyBorder="0" applyProtection="0">
      <alignment horizontal="left" vertical="center"/>
    </xf>
    <xf numFmtId="0" fontId="96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0" fillId="39" borderId="0" applyNumberFormat="0" applyFont="0" applyBorder="0" applyProtection="0"/>
    <xf numFmtId="2" fontId="97" fillId="0" borderId="7"/>
    <xf numFmtId="2" fontId="97" fillId="0" borderId="7"/>
    <xf numFmtId="205" fontId="10" fillId="0" borderId="0" applyFill="0" applyBorder="0" applyAlignment="0"/>
    <xf numFmtId="206" fontId="10" fillId="0" borderId="0" applyFill="0" applyBorder="0" applyAlignment="0"/>
    <xf numFmtId="205" fontId="10" fillId="0" borderId="0" applyFill="0" applyBorder="0" applyAlignment="0"/>
    <xf numFmtId="208" fontId="27" fillId="0" borderId="0" applyFill="0" applyBorder="0" applyAlignment="0"/>
    <xf numFmtId="206" fontId="10" fillId="0" borderId="0" applyFill="0" applyBorder="0" applyAlignment="0"/>
    <xf numFmtId="0" fontId="22" fillId="0" borderId="12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14" fontId="37" fillId="0" borderId="7" applyFont="0" applyFill="0" applyBorder="0" applyAlignment="0" applyProtection="0"/>
    <xf numFmtId="14" fontId="37" fillId="0" borderId="7" applyFont="0" applyFill="0" applyBorder="0" applyAlignment="0" applyProtection="0"/>
    <xf numFmtId="3" fontId="27" fillId="0" borderId="0"/>
    <xf numFmtId="1" fontId="98" fillId="0" borderId="0"/>
    <xf numFmtId="240" fontId="99" fillId="40" borderId="0" applyBorder="0" applyAlignment="0">
      <alignment horizontal="right"/>
    </xf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41" fontId="27" fillId="0" borderId="0" applyFont="0" applyFill="0" applyBorder="0" applyAlignment="0" applyProtection="0"/>
    <xf numFmtId="242" fontId="25" fillId="0" borderId="0" applyFont="0" applyFill="0" applyBorder="0" applyAlignment="0" applyProtection="0"/>
    <xf numFmtId="243" fontId="27" fillId="0" borderId="0" applyFont="0" applyFill="0" applyBorder="0" applyAlignment="0" applyProtection="0"/>
    <xf numFmtId="14" fontId="31" fillId="0" borderId="0" applyFont="0" applyFill="0" applyBorder="0" applyAlignment="0" applyProtection="0"/>
    <xf numFmtId="3" fontId="36" fillId="0" borderId="0"/>
    <xf numFmtId="3" fontId="36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44" fontId="27" fillId="0" borderId="0" applyFont="0" applyFill="0" applyBorder="0" applyAlignment="0" applyProtection="0"/>
    <xf numFmtId="245" fontId="25" fillId="0" borderId="0" applyFont="0" applyFill="0" applyBorder="0" applyAlignment="0" applyProtection="0"/>
    <xf numFmtId="246" fontId="27" fillId="0" borderId="0" applyFont="0" applyFill="0" applyBorder="0" applyAlignment="0" applyProtection="0"/>
    <xf numFmtId="247" fontId="27" fillId="0" borderId="0">
      <protection locked="0"/>
    </xf>
    <xf numFmtId="228" fontId="65" fillId="26" borderId="0">
      <alignment horizontal="center"/>
    </xf>
    <xf numFmtId="248" fontId="54" fillId="0" borderId="0" applyFont="0" applyFill="0" applyBorder="0" applyProtection="0">
      <alignment horizontal="right"/>
    </xf>
    <xf numFmtId="249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53" fillId="0" borderId="0" applyFont="0" applyFill="0" applyBorder="0" applyProtection="0">
      <alignment horizontal="right"/>
    </xf>
    <xf numFmtId="0" fontId="53" fillId="0" borderId="0" applyFont="0" applyFill="0" applyBorder="0" applyProtection="0">
      <alignment horizontal="right"/>
    </xf>
    <xf numFmtId="0" fontId="53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171" fontId="27" fillId="0" borderId="0" applyFont="0" applyFill="0" applyBorder="0" applyProtection="0">
      <alignment horizontal="right"/>
    </xf>
    <xf numFmtId="0" fontId="27" fillId="0" borderId="33" applyBorder="0" applyAlignment="0" applyProtection="0">
      <alignment horizontal="center"/>
    </xf>
    <xf numFmtId="0" fontId="23" fillId="37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5" fillId="72" borderId="0" applyNumberFormat="0" applyBorder="0" applyAlignment="0" applyProtection="0"/>
    <xf numFmtId="0" fontId="135" fillId="72" borderId="0" applyNumberFormat="0" applyBorder="0" applyAlignment="0" applyProtection="0"/>
    <xf numFmtId="0" fontId="47" fillId="0" borderId="0"/>
    <xf numFmtId="237" fontId="40" fillId="0" borderId="0" applyNumberFormat="0" applyFont="0" applyFill="0" applyBorder="0" applyAlignment="0" applyProtection="0">
      <alignment vertical="center"/>
    </xf>
    <xf numFmtId="37" fontId="100" fillId="0" borderId="0"/>
    <xf numFmtId="0" fontId="101" fillId="0" borderId="0"/>
    <xf numFmtId="0" fontId="66" fillId="41" borderId="0" applyNumberFormat="0" applyBorder="0" applyAlignment="0">
      <alignment horizontal="right"/>
      <protection hidden="1"/>
    </xf>
    <xf numFmtId="237" fontId="102" fillId="0" borderId="0" applyNumberFormat="0" applyFill="0" applyBorder="0" applyAlignment="0" applyProtection="0">
      <alignment vertical="center"/>
    </xf>
    <xf numFmtId="1" fontId="36" fillId="0" borderId="0"/>
    <xf numFmtId="250" fontId="65" fillId="0" borderId="0" applyFont="0" applyFill="0" applyBorder="0" applyAlignment="0" applyProtection="0">
      <alignment horizontal="right"/>
    </xf>
    <xf numFmtId="251" fontId="103" fillId="0" borderId="0"/>
    <xf numFmtId="37" fontId="30" fillId="42" borderId="0" applyFont="0" applyFill="0" applyBorder="0" applyAlignment="0" applyProtection="0"/>
    <xf numFmtId="230" fontId="27" fillId="0" borderId="0" applyFont="0" applyFill="0" applyBorder="0" applyAlignment="0"/>
    <xf numFmtId="252" fontId="65" fillId="0" borderId="0" applyFont="0" applyFill="0" applyBorder="0" applyAlignment="0"/>
    <xf numFmtId="253" fontId="65" fillId="0" borderId="0" applyFont="0" applyFill="0" applyBorder="0" applyAlignment="0"/>
    <xf numFmtId="252" fontId="65" fillId="0" borderId="0" applyFont="0" applyFill="0" applyBorder="0" applyAlignment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107" fillId="0" borderId="0"/>
    <xf numFmtId="254" fontId="107" fillId="0" borderId="0"/>
    <xf numFmtId="0" fontId="137" fillId="0" borderId="0"/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50" fillId="0" borderId="0"/>
    <xf numFmtId="0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9" fillId="0" borderId="0"/>
    <xf numFmtId="0" fontId="50" fillId="0" borderId="0"/>
    <xf numFmtId="0" fontId="29" fillId="0" borderId="0">
      <alignment vertical="top"/>
    </xf>
    <xf numFmtId="0" fontId="29" fillId="0" borderId="0">
      <alignment vertical="top"/>
    </xf>
    <xf numFmtId="0" fontId="107" fillId="0" borderId="0"/>
    <xf numFmtId="0" fontId="27" fillId="0" borderId="21"/>
    <xf numFmtId="0" fontId="50" fillId="0" borderId="0"/>
    <xf numFmtId="0" fontId="27" fillId="0" borderId="0"/>
    <xf numFmtId="0" fontId="107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50" fillId="0" borderId="0"/>
    <xf numFmtId="0" fontId="27" fillId="0" borderId="0"/>
    <xf numFmtId="0" fontId="27" fillId="0" borderId="0"/>
    <xf numFmtId="0" fontId="107" fillId="0" borderId="0"/>
    <xf numFmtId="0" fontId="50" fillId="0" borderId="0"/>
    <xf numFmtId="0" fontId="107" fillId="0" borderId="0"/>
    <xf numFmtId="0" fontId="50" fillId="0" borderId="0"/>
    <xf numFmtId="0" fontId="50" fillId="0" borderId="0"/>
    <xf numFmtId="0" fontId="27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138" fillId="0" borderId="0"/>
    <xf numFmtId="0" fontId="29" fillId="0" borderId="0"/>
    <xf numFmtId="0" fontId="139" fillId="0" borderId="0"/>
    <xf numFmtId="0" fontId="27" fillId="0" borderId="0"/>
    <xf numFmtId="0" fontId="27" fillId="0" borderId="0"/>
    <xf numFmtId="0" fontId="139" fillId="0" borderId="0"/>
    <xf numFmtId="0" fontId="50" fillId="0" borderId="0"/>
    <xf numFmtId="0" fontId="27" fillId="0" borderId="0"/>
    <xf numFmtId="0" fontId="50" fillId="0" borderId="0"/>
    <xf numFmtId="0" fontId="27" fillId="0" borderId="0"/>
    <xf numFmtId="235" fontId="27" fillId="0" borderId="0"/>
    <xf numFmtId="0" fontId="50" fillId="0" borderId="0"/>
    <xf numFmtId="0" fontId="50" fillId="0" borderId="0"/>
    <xf numFmtId="235" fontId="27" fillId="0" borderId="0"/>
    <xf numFmtId="0" fontId="139" fillId="0" borderId="0"/>
    <xf numFmtId="235" fontId="27" fillId="0" borderId="0"/>
    <xf numFmtId="0" fontId="107" fillId="0" borderId="0"/>
    <xf numFmtId="254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29" fillId="0" borderId="0"/>
    <xf numFmtId="235" fontId="27" fillId="0" borderId="0"/>
    <xf numFmtId="0" fontId="43" fillId="0" borderId="0"/>
    <xf numFmtId="0" fontId="27" fillId="0" borderId="0"/>
    <xf numFmtId="235" fontId="27" fillId="0" borderId="0"/>
    <xf numFmtId="0" fontId="43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11" fillId="0" borderId="0"/>
    <xf numFmtId="0" fontId="27" fillId="0" borderId="0"/>
    <xf numFmtId="0" fontId="27" fillId="0" borderId="0"/>
    <xf numFmtId="0" fontId="77" fillId="0" borderId="0"/>
    <xf numFmtId="0" fontId="27" fillId="0" borderId="0"/>
    <xf numFmtId="235" fontId="27" fillId="0" borderId="0"/>
    <xf numFmtId="0" fontId="27" fillId="0" borderId="0"/>
    <xf numFmtId="235" fontId="27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254" fontId="27" fillId="0" borderId="0"/>
    <xf numFmtId="0" fontId="27" fillId="0" borderId="0"/>
    <xf numFmtId="254" fontId="27" fillId="0" borderId="0"/>
    <xf numFmtId="0" fontId="77" fillId="0" borderId="0"/>
    <xf numFmtId="235" fontId="27" fillId="0" borderId="0"/>
    <xf numFmtId="0" fontId="50" fillId="0" borderId="0"/>
    <xf numFmtId="254" fontId="27" fillId="0" borderId="0"/>
    <xf numFmtId="254" fontId="27" fillId="0" borderId="0"/>
    <xf numFmtId="254" fontId="27" fillId="0" borderId="0"/>
    <xf numFmtId="254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107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7" fillId="0" borderId="0"/>
    <xf numFmtId="0" fontId="27" fillId="0" borderId="0"/>
    <xf numFmtId="0" fontId="27" fillId="0" borderId="0"/>
    <xf numFmtId="0" fontId="77" fillId="0" borderId="0"/>
    <xf numFmtId="0" fontId="57" fillId="0" borderId="0"/>
    <xf numFmtId="0" fontId="50" fillId="0" borderId="0"/>
    <xf numFmtId="0" fontId="57" fillId="0" borderId="0"/>
    <xf numFmtId="254" fontId="107" fillId="0" borderId="0"/>
    <xf numFmtId="0" fontId="77" fillId="0" borderId="0"/>
    <xf numFmtId="0" fontId="50" fillId="0" borderId="0"/>
    <xf numFmtId="0" fontId="50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0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3" fillId="0" borderId="0"/>
    <xf numFmtId="0" fontId="50" fillId="0" borderId="0"/>
    <xf numFmtId="0" fontId="57" fillId="0" borderId="0"/>
    <xf numFmtId="0" fontId="57" fillId="0" borderId="0"/>
    <xf numFmtId="0" fontId="11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50" fillId="0" borderId="0"/>
    <xf numFmtId="0" fontId="27" fillId="0" borderId="0"/>
    <xf numFmtId="0" fontId="10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107" fillId="0" borderId="0"/>
    <xf numFmtId="0" fontId="27" fillId="0" borderId="0"/>
    <xf numFmtId="0" fontId="7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107" fillId="0" borderId="0"/>
    <xf numFmtId="0" fontId="50" fillId="0" borderId="0"/>
    <xf numFmtId="0" fontId="7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4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54" fontId="107" fillId="0" borderId="0"/>
    <xf numFmtId="0" fontId="50" fillId="0" borderId="0"/>
    <xf numFmtId="0" fontId="7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0" fontId="10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107" fillId="0" borderId="0"/>
    <xf numFmtId="0" fontId="50" fillId="0" borderId="0"/>
    <xf numFmtId="235" fontId="27" fillId="0" borderId="0"/>
    <xf numFmtId="0" fontId="107" fillId="0" borderId="0"/>
    <xf numFmtId="0" fontId="27" fillId="0" borderId="0"/>
    <xf numFmtId="0" fontId="27" fillId="0" borderId="0"/>
    <xf numFmtId="235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0" fillId="0" borderId="0"/>
    <xf numFmtId="0" fontId="140" fillId="0" borderId="0"/>
    <xf numFmtId="0" fontId="50" fillId="0" borderId="0"/>
    <xf numFmtId="235" fontId="27" fillId="0" borderId="0"/>
    <xf numFmtId="0" fontId="43" fillId="0" borderId="0"/>
    <xf numFmtId="0" fontId="104" fillId="0" borderId="0"/>
    <xf numFmtId="254" fontId="10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235" fontId="27" fillId="0" borderId="0"/>
    <xf numFmtId="0" fontId="58" fillId="0" borderId="0"/>
    <xf numFmtId="254" fontId="107" fillId="0" borderId="0"/>
    <xf numFmtId="0" fontId="27" fillId="0" borderId="0"/>
    <xf numFmtId="0" fontId="107" fillId="0" borderId="0"/>
    <xf numFmtId="0" fontId="27" fillId="0" borderId="0"/>
    <xf numFmtId="0" fontId="58" fillId="0" borderId="0"/>
    <xf numFmtId="0" fontId="27" fillId="0" borderId="0"/>
    <xf numFmtId="235" fontId="27" fillId="0" borderId="0"/>
    <xf numFmtId="0" fontId="27" fillId="0" borderId="0"/>
    <xf numFmtId="235" fontId="27" fillId="0" borderId="0"/>
    <xf numFmtId="0" fontId="57" fillId="0" borderId="0"/>
    <xf numFmtId="0" fontId="107" fillId="0" borderId="0"/>
    <xf numFmtId="0" fontId="57" fillId="0" borderId="0"/>
    <xf numFmtId="0" fontId="50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235" fontId="27" fillId="0" borderId="0"/>
    <xf numFmtId="0" fontId="50" fillId="0" borderId="0"/>
    <xf numFmtId="0" fontId="107" fillId="0" borderId="0"/>
    <xf numFmtId="0" fontId="107" fillId="0" borderId="0"/>
    <xf numFmtId="0" fontId="107" fillId="0" borderId="0"/>
    <xf numFmtId="235" fontId="27" fillId="0" borderId="0"/>
    <xf numFmtId="0" fontId="50" fillId="0" borderId="0"/>
    <xf numFmtId="0" fontId="107" fillId="0" borderId="0"/>
    <xf numFmtId="235" fontId="27" fillId="0" borderId="0"/>
    <xf numFmtId="0" fontId="50" fillId="0" borderId="0"/>
    <xf numFmtId="23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5" fontId="27" fillId="0" borderId="0"/>
    <xf numFmtId="0" fontId="27" fillId="0" borderId="0"/>
    <xf numFmtId="0" fontId="50" fillId="0" borderId="0"/>
    <xf numFmtId="0" fontId="107" fillId="0" borderId="0"/>
    <xf numFmtId="0" fontId="27" fillId="0" borderId="0"/>
    <xf numFmtId="235" fontId="27" fillId="0" borderId="0"/>
    <xf numFmtId="0" fontId="27" fillId="0" borderId="0"/>
    <xf numFmtId="235" fontId="27" fillId="0" borderId="0"/>
    <xf numFmtId="0" fontId="27" fillId="0" borderId="0"/>
    <xf numFmtId="235" fontId="27" fillId="0" borderId="0"/>
    <xf numFmtId="0" fontId="10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9" fontId="144" fillId="0" borderId="0" applyFont="0" applyFill="0" applyBorder="0" applyAlignment="0" applyProtection="0"/>
    <xf numFmtId="0" fontId="123" fillId="0" borderId="36" applyNumberFormat="0" applyFill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5" fillId="0" borderId="0" applyNumberFormat="0" applyFill="0" applyBorder="0" applyAlignment="0" applyProtection="0"/>
    <xf numFmtId="0" fontId="121" fillId="70" borderId="0" applyNumberFormat="0" applyBorder="0" applyAlignment="0" applyProtection="0"/>
    <xf numFmtId="0" fontId="112" fillId="67" borderId="0" applyNumberFormat="0" applyBorder="0" applyAlignment="0" applyProtection="0"/>
    <xf numFmtId="0" fontId="131" fillId="71" borderId="34" applyNumberFormat="0" applyAlignment="0" applyProtection="0"/>
    <xf numFmtId="0" fontId="145" fillId="68" borderId="40" applyNumberFormat="0" applyAlignment="0" applyProtection="0"/>
    <xf numFmtId="0" fontId="114" fillId="68" borderId="34" applyNumberFormat="0" applyAlignment="0" applyProtection="0"/>
    <xf numFmtId="0" fontId="133" fillId="0" borderId="39" applyNumberFormat="0" applyFill="0" applyAlignment="0" applyProtection="0"/>
    <xf numFmtId="0" fontId="116" fillId="69" borderId="35" applyNumberFormat="0" applyAlignment="0" applyProtection="0"/>
    <xf numFmtId="0" fontId="14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47" fillId="0" borderId="42" applyNumberFormat="0" applyFill="0" applyAlignment="0" applyProtection="0"/>
    <xf numFmtId="0" fontId="110" fillId="61" borderId="0" applyNumberFormat="0" applyBorder="0" applyAlignment="0" applyProtection="0"/>
    <xf numFmtId="0" fontId="7" fillId="43" borderId="0" applyNumberFormat="0" applyBorder="0" applyAlignment="0" applyProtection="0"/>
    <xf numFmtId="0" fontId="7" fillId="49" borderId="0" applyNumberFormat="0" applyBorder="0" applyAlignment="0" applyProtection="0"/>
    <xf numFmtId="0" fontId="110" fillId="62" borderId="0" applyNumberFormat="0" applyBorder="0" applyAlignment="0" applyProtection="0"/>
    <xf numFmtId="0" fontId="7" fillId="44" borderId="0" applyNumberFormat="0" applyBorder="0" applyAlignment="0" applyProtection="0"/>
    <xf numFmtId="0" fontId="7" fillId="50" borderId="0" applyNumberFormat="0" applyBorder="0" applyAlignment="0" applyProtection="0"/>
    <xf numFmtId="0" fontId="110" fillId="63" borderId="0" applyNumberFormat="0" applyBorder="0" applyAlignment="0" applyProtection="0"/>
    <xf numFmtId="0" fontId="7" fillId="45" borderId="0" applyNumberFormat="0" applyBorder="0" applyAlignment="0" applyProtection="0"/>
    <xf numFmtId="0" fontId="7" fillId="51" borderId="0" applyNumberFormat="0" applyBorder="0" applyAlignment="0" applyProtection="0"/>
    <xf numFmtId="0" fontId="110" fillId="64" borderId="0" applyNumberFormat="0" applyBorder="0" applyAlignment="0" applyProtection="0"/>
    <xf numFmtId="0" fontId="7" fillId="46" borderId="0" applyNumberFormat="0" applyBorder="0" applyAlignment="0" applyProtection="0"/>
    <xf numFmtId="0" fontId="7" fillId="52" borderId="0" applyNumberFormat="0" applyBorder="0" applyAlignment="0" applyProtection="0"/>
    <xf numFmtId="0" fontId="110" fillId="65" borderId="0" applyNumberFormat="0" applyBorder="0" applyAlignment="0" applyProtection="0"/>
    <xf numFmtId="0" fontId="7" fillId="47" borderId="0" applyNumberFormat="0" applyBorder="0" applyAlignment="0" applyProtection="0"/>
    <xf numFmtId="0" fontId="7" fillId="53" borderId="0" applyNumberFormat="0" applyBorder="0" applyAlignment="0" applyProtection="0"/>
    <xf numFmtId="0" fontId="110" fillId="66" borderId="0" applyNumberFormat="0" applyBorder="0" applyAlignment="0" applyProtection="0"/>
    <xf numFmtId="0" fontId="7" fillId="48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148" fillId="0" borderId="0" applyNumberFormat="0" applyFill="0" applyBorder="0" applyAlignment="0" applyProtection="0"/>
    <xf numFmtId="0" fontId="7" fillId="73" borderId="41" applyNumberFormat="0" applyFont="0" applyAlignment="0" applyProtection="0"/>
    <xf numFmtId="9" fontId="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9" fillId="0" borderId="0"/>
    <xf numFmtId="43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0" fontId="149" fillId="0" borderId="0"/>
    <xf numFmtId="0" fontId="109" fillId="73" borderId="41" applyNumberFormat="0" applyFont="0" applyAlignment="0" applyProtection="0"/>
    <xf numFmtId="235" fontId="27" fillId="0" borderId="0"/>
    <xf numFmtId="235" fontId="27" fillId="0" borderId="0"/>
    <xf numFmtId="235" fontId="27" fillId="0" borderId="0"/>
    <xf numFmtId="0" fontId="27" fillId="0" borderId="0"/>
    <xf numFmtId="0" fontId="50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187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235" fontId="27" fillId="0" borderId="0"/>
    <xf numFmtId="235" fontId="27" fillId="0" borderId="0"/>
    <xf numFmtId="190" fontId="8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8" fillId="0" borderId="0" applyNumberForma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4" fillId="43" borderId="0" applyNumberFormat="0" applyBorder="0" applyAlignment="0" applyProtection="0"/>
    <xf numFmtId="235" fontId="27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235" fontId="27" fillId="0" borderId="0"/>
    <xf numFmtId="0" fontId="4" fillId="43" borderId="0" applyNumberFormat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235" fontId="27" fillId="0" borderId="0"/>
    <xf numFmtId="0" fontId="4" fillId="44" borderId="0" applyNumberFormat="0" applyBorder="0" applyAlignment="0" applyProtection="0"/>
    <xf numFmtId="235" fontId="27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235" fontId="27" fillId="0" borderId="0"/>
    <xf numFmtId="0" fontId="4" fillId="44" borderId="0" applyNumberFormat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235" fontId="27" fillId="0" borderId="0"/>
    <xf numFmtId="0" fontId="4" fillId="45" borderId="0" applyNumberFormat="0" applyBorder="0" applyAlignment="0" applyProtection="0"/>
    <xf numFmtId="235" fontId="27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235" fontId="27" fillId="0" borderId="0"/>
    <xf numFmtId="0" fontId="4" fillId="45" borderId="0" applyNumberFormat="0" applyBorder="0" applyAlignment="0" applyProtection="0"/>
    <xf numFmtId="235" fontId="27" fillId="0" borderId="0"/>
    <xf numFmtId="235" fontId="27" fillId="0" borderId="0"/>
    <xf numFmtId="235" fontId="27" fillId="0" borderId="0"/>
    <xf numFmtId="0" fontId="50" fillId="0" borderId="0"/>
    <xf numFmtId="0" fontId="50" fillId="0" borderId="0"/>
    <xf numFmtId="0" fontId="50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50" fillId="0" borderId="0"/>
    <xf numFmtId="0" fontId="4" fillId="46" borderId="0" applyNumberFormat="0" applyBorder="0" applyAlignment="0" applyProtection="0"/>
    <xf numFmtId="0" fontId="50" fillId="0" borderId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50" fillId="0" borderId="0"/>
    <xf numFmtId="0" fontId="4" fillId="46" borderId="0" applyNumberFormat="0" applyBorder="0" applyAlignment="0" applyProtection="0"/>
    <xf numFmtId="0" fontId="50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50" fillId="0" borderId="0"/>
    <xf numFmtId="0" fontId="4" fillId="47" borderId="0" applyNumberFormat="0" applyBorder="0" applyAlignment="0" applyProtection="0"/>
    <xf numFmtId="0" fontId="50" fillId="0" borderId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50" fillId="0" borderId="0"/>
    <xf numFmtId="0" fontId="4" fillId="47" borderId="0" applyNumberFormat="0" applyBorder="0" applyAlignment="0" applyProtection="0"/>
    <xf numFmtId="0" fontId="50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49" borderId="0" applyNumberFormat="0" applyBorder="0" applyAlignment="0" applyProtection="0"/>
    <xf numFmtId="0" fontId="50" fillId="0" borderId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50" fillId="0" borderId="0"/>
    <xf numFmtId="0" fontId="4" fillId="49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50" fillId="0" borderId="0"/>
    <xf numFmtId="0" fontId="4" fillId="50" borderId="0" applyNumberFormat="0" applyBorder="0" applyAlignment="0" applyProtection="0"/>
    <xf numFmtId="0" fontId="50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50" fillId="0" borderId="0"/>
    <xf numFmtId="0" fontId="4" fillId="50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50" fillId="0" borderId="0"/>
    <xf numFmtId="0" fontId="4" fillId="51" borderId="0" applyNumberFormat="0" applyBorder="0" applyAlignment="0" applyProtection="0"/>
    <xf numFmtId="0" fontId="50" fillId="0" borderId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50" fillId="0" borderId="0"/>
    <xf numFmtId="0" fontId="4" fillId="51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50" fillId="0" borderId="0"/>
    <xf numFmtId="0" fontId="4" fillId="52" borderId="0" applyNumberFormat="0" applyBorder="0" applyAlignment="0" applyProtection="0"/>
    <xf numFmtId="0" fontId="50" fillId="0" borderId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50" fillId="0" borderId="0"/>
    <xf numFmtId="0" fontId="4" fillId="52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50" fillId="0" borderId="0"/>
    <xf numFmtId="0" fontId="4" fillId="53" borderId="0" applyNumberFormat="0" applyBorder="0" applyAlignment="0" applyProtection="0"/>
    <xf numFmtId="0" fontId="44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5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250" fontId="65" fillId="0" borderId="0" applyFont="0" applyFill="0" applyBorder="0" applyAlignment="0" applyProtection="0">
      <alignment horizontal="right"/>
    </xf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27" fillId="0" borderId="0"/>
    <xf numFmtId="235" fontId="27" fillId="0" borderId="0"/>
    <xf numFmtId="235" fontId="27" fillId="0" borderId="0"/>
    <xf numFmtId="235" fontId="27" fillId="0" borderId="0"/>
    <xf numFmtId="0" fontId="27" fillId="0" borderId="0">
      <alignment wrapText="1"/>
    </xf>
    <xf numFmtId="0" fontId="27" fillId="0" borderId="0">
      <alignment wrapText="1"/>
    </xf>
    <xf numFmtId="0" fontId="43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27" fillId="0" borderId="0"/>
    <xf numFmtId="235" fontId="27" fillId="0" borderId="0"/>
    <xf numFmtId="0" fontId="27" fillId="0" borderId="0"/>
    <xf numFmtId="0" fontId="4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4" fillId="0" borderId="0"/>
    <xf numFmtId="0" fontId="4" fillId="0" borderId="0"/>
    <xf numFmtId="0" fontId="4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horizontal="right"/>
    </xf>
    <xf numFmtId="0" fontId="4" fillId="0" borderId="0"/>
    <xf numFmtId="205" fontId="8" fillId="0" borderId="0" applyFill="0" applyBorder="0" applyAlignment="0"/>
    <xf numFmtId="206" fontId="8" fillId="0" borderId="0" applyFill="0" applyBorder="0" applyAlignment="0"/>
    <xf numFmtId="207" fontId="8" fillId="0" borderId="0" applyFill="0" applyBorder="0" applyAlignment="0"/>
    <xf numFmtId="208" fontId="8" fillId="0" borderId="0" applyFill="0" applyBorder="0" applyAlignment="0"/>
    <xf numFmtId="0" fontId="4" fillId="0" borderId="0"/>
    <xf numFmtId="205" fontId="8" fillId="0" borderId="0" applyFill="0" applyBorder="0" applyAlignment="0"/>
    <xf numFmtId="0" fontId="4" fillId="0" borderId="0"/>
    <xf numFmtId="206" fontId="8" fillId="0" borderId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211" fontId="8" fillId="0" borderId="0"/>
    <xf numFmtId="0" fontId="4" fillId="0" borderId="0"/>
    <xf numFmtId="0" fontId="4" fillId="0" borderId="0"/>
    <xf numFmtId="205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" fillId="0" borderId="0"/>
    <xf numFmtId="0" fontId="4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235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43" fontId="11" fillId="0" borderId="0" applyFont="0" applyFill="0" applyBorder="0" applyAlignment="0" applyProtection="0"/>
    <xf numFmtId="254" fontId="4" fillId="0" borderId="0"/>
    <xf numFmtId="250" fontId="65" fillId="0" borderId="0" applyFont="0" applyFill="0" applyBorder="0" applyAlignment="0" applyProtection="0">
      <alignment horizontal="right"/>
    </xf>
    <xf numFmtId="235" fontId="27" fillId="0" borderId="0"/>
    <xf numFmtId="235" fontId="27" fillId="0" borderId="0"/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0" fontId="27" fillId="0" borderId="0"/>
    <xf numFmtId="235" fontId="27" fillId="0" borderId="0"/>
    <xf numFmtId="235" fontId="27" fillId="0" borderId="0"/>
    <xf numFmtId="235" fontId="27" fillId="0" borderId="0"/>
    <xf numFmtId="0" fontId="108" fillId="0" borderId="0"/>
    <xf numFmtId="0" fontId="108" fillId="0" borderId="0"/>
    <xf numFmtId="0" fontId="27" fillId="0" borderId="0">
      <alignment wrapText="1"/>
    </xf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7" fillId="0" borderId="0">
      <alignment wrapText="1"/>
    </xf>
    <xf numFmtId="0" fontId="27" fillId="0" borderId="0">
      <alignment wrapText="1"/>
    </xf>
    <xf numFmtId="0" fontId="108" fillId="0" borderId="0"/>
    <xf numFmtId="0" fontId="108" fillId="0" borderId="0"/>
    <xf numFmtId="235" fontId="27" fillId="0" borderId="0"/>
    <xf numFmtId="235" fontId="27" fillId="0" borderId="0"/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35" fontId="27" fillId="0" borderId="0"/>
    <xf numFmtId="235" fontId="27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0" fontId="50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7" fillId="0" borderId="0">
      <alignment wrapText="1"/>
    </xf>
    <xf numFmtId="43" fontId="11" fillId="0" borderId="0" applyFont="0" applyFill="0" applyBorder="0" applyAlignment="0" applyProtection="0"/>
    <xf numFmtId="235" fontId="27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4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4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8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0" fontId="4" fillId="0" borderId="0"/>
    <xf numFmtId="0" fontId="4" fillId="0" borderId="0"/>
    <xf numFmtId="0" fontId="4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235" fontId="27" fillId="0" borderId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06" fontId="8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27" fillId="0" borderId="0">
      <alignment wrapText="1"/>
    </xf>
    <xf numFmtId="0" fontId="50" fillId="0" borderId="0"/>
    <xf numFmtId="235" fontId="27" fillId="0" borderId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58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44" fontId="11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35" fontId="27" fillId="0" borderId="0"/>
    <xf numFmtId="235" fontId="27" fillId="0" borderId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21" fontId="8" fillId="0" borderId="0" applyFont="0" applyFill="0" applyBorder="0" applyProtection="0">
      <alignment horizontal="right"/>
    </xf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8" fillId="0" borderId="0"/>
    <xf numFmtId="42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5" fontId="8" fillId="0" borderId="0" applyFill="0" applyBorder="0" applyAlignment="0"/>
    <xf numFmtId="206" fontId="8" fillId="0" borderId="0" applyFill="0" applyBorder="0" applyAlignment="0"/>
    <xf numFmtId="205" fontId="8" fillId="0" borderId="0" applyFill="0" applyBorder="0" applyAlignment="0"/>
    <xf numFmtId="0" fontId="4" fillId="0" borderId="0"/>
    <xf numFmtId="206" fontId="8" fillId="0" borderId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4" fontId="4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139" fillId="0" borderId="0"/>
    <xf numFmtId="0" fontId="2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235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7" fillId="0" borderId="0"/>
    <xf numFmtId="254" fontId="4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4" fillId="0" borderId="0"/>
    <xf numFmtId="0" fontId="27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205" fontId="8" fillId="0" borderId="0" applyFill="0" applyBorder="0" applyAlignment="0"/>
    <xf numFmtId="206" fontId="8" fillId="0" borderId="0" applyFill="0" applyBorder="0" applyAlignment="0"/>
    <xf numFmtId="205" fontId="8" fillId="0" borderId="0" applyFill="0" applyBorder="0" applyAlignment="0"/>
    <xf numFmtId="0" fontId="4" fillId="0" borderId="0"/>
    <xf numFmtId="206" fontId="8" fillId="0" borderId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54" fontId="4" fillId="0" borderId="0"/>
    <xf numFmtId="0" fontId="29" fillId="0" borderId="0"/>
    <xf numFmtId="0" fontId="27" fillId="0" borderId="0"/>
    <xf numFmtId="242" fontId="11" fillId="0" borderId="0" applyFont="0" applyFill="0" applyBorder="0" applyAlignment="0" applyProtection="0"/>
    <xf numFmtId="0" fontId="27" fillId="0" borderId="0"/>
    <xf numFmtId="0" fontId="65" fillId="0" borderId="0"/>
    <xf numFmtId="0" fontId="4" fillId="0" borderId="0"/>
    <xf numFmtId="0" fontId="50" fillId="0" borderId="0"/>
    <xf numFmtId="0" fontId="154" fillId="0" borderId="0"/>
    <xf numFmtId="0" fontId="144" fillId="0" borderId="0"/>
    <xf numFmtId="245" fontId="11" fillId="0" borderId="0" applyFont="0" applyFill="0" applyBorder="0" applyAlignment="0" applyProtection="0"/>
    <xf numFmtId="0" fontId="144" fillId="0" borderId="0"/>
    <xf numFmtId="0" fontId="155" fillId="0" borderId="0"/>
    <xf numFmtId="256" fontId="65" fillId="0" borderId="0" applyFont="0" applyFill="0" applyBorder="0" applyAlignment="0" applyProtection="0"/>
    <xf numFmtId="0" fontId="4" fillId="73" borderId="41" applyNumberFormat="0" applyFont="0" applyAlignment="0" applyProtection="0"/>
    <xf numFmtId="0" fontId="109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1" fillId="30" borderId="14" applyNumberFormat="0" applyFont="0" applyAlignment="0" applyProtection="0"/>
    <xf numFmtId="0" fontId="156" fillId="73" borderId="41" applyNumberFormat="0" applyFont="0" applyAlignment="0" applyProtection="0"/>
    <xf numFmtId="0" fontId="108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08" fillId="73" borderId="41" applyNumberFormat="0" applyFont="0" applyAlignment="0" applyProtection="0"/>
    <xf numFmtId="0" fontId="4" fillId="73" borderId="41" applyNumberFormat="0" applyFont="0" applyAlignment="0" applyProtection="0"/>
    <xf numFmtId="0" fontId="11" fillId="30" borderId="14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56" fillId="73" borderId="41" applyNumberFormat="0" applyFont="0" applyAlignment="0" applyProtection="0"/>
    <xf numFmtId="0" fontId="156" fillId="73" borderId="41" applyNumberFormat="0" applyFont="0" applyAlignment="0" applyProtection="0"/>
    <xf numFmtId="0" fontId="156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156" fillId="73" borderId="41" applyNumberFormat="0" applyFont="0" applyAlignment="0" applyProtection="0"/>
    <xf numFmtId="0" fontId="156" fillId="73" borderId="41" applyNumberFormat="0" applyFont="0" applyAlignment="0" applyProtection="0"/>
    <xf numFmtId="0" fontId="156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4" fillId="73" borderId="41" applyNumberFormat="0" applyFont="0" applyAlignment="0" applyProtection="0"/>
    <xf numFmtId="0" fontId="109" fillId="73" borderId="41" applyNumberFormat="0" applyFont="0" applyAlignment="0" applyProtection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09" fillId="73" borderId="41" applyNumberFormat="0" applyFont="0" applyAlignment="0" applyProtection="0"/>
    <xf numFmtId="0" fontId="4" fillId="0" borderId="0"/>
    <xf numFmtId="254" fontId="4" fillId="0" borderId="0"/>
    <xf numFmtId="0" fontId="4" fillId="73" borderId="41" applyNumberFormat="0" applyFont="0" applyAlignment="0" applyProtection="0"/>
    <xf numFmtId="0" fontId="4" fillId="0" borderId="0"/>
    <xf numFmtId="0" fontId="109" fillId="73" borderId="4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09" fillId="73" borderId="41" applyNumberFormat="0" applyFont="0" applyAlignment="0" applyProtection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4" fillId="73" borderId="41" applyNumberFormat="0" applyFont="0" applyAlignment="0" applyProtection="0"/>
    <xf numFmtId="0" fontId="4" fillId="73" borderId="41" applyNumberFormat="0" applyFont="0" applyAlignment="0" applyProtection="0"/>
    <xf numFmtId="0" fontId="14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73" borderId="41" applyNumberFormat="0" applyFont="0" applyAlignment="0" applyProtection="0"/>
    <xf numFmtId="0" fontId="4" fillId="73" borderId="41" applyNumberFormat="0" applyFont="0" applyAlignment="0" applyProtection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4" fillId="73" borderId="41" applyNumberFormat="0" applyFont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257" fontId="157" fillId="0" borderId="0" applyBorder="0" applyProtection="0">
      <alignment horizontal="right"/>
    </xf>
    <xf numFmtId="0" fontId="144" fillId="0" borderId="0"/>
    <xf numFmtId="257" fontId="158" fillId="77" borderId="0" applyBorder="0" applyProtection="0">
      <alignment horizontal="right"/>
    </xf>
    <xf numFmtId="0" fontId="144" fillId="0" borderId="0"/>
    <xf numFmtId="257" fontId="159" fillId="0" borderId="23" applyBorder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258" fontId="160" fillId="0" borderId="0" applyBorder="0" applyProtection="0">
      <alignment horizontal="right"/>
    </xf>
    <xf numFmtId="0" fontId="144" fillId="0" borderId="0"/>
    <xf numFmtId="258" fontId="161" fillId="77" borderId="0" applyProtection="0">
      <alignment horizontal="right"/>
    </xf>
    <xf numFmtId="37" fontId="35" fillId="0" borderId="0" applyFill="0" applyBorder="0" applyProtection="0">
      <alignment horizontal="right"/>
    </xf>
    <xf numFmtId="0" fontId="144" fillId="0" borderId="0"/>
    <xf numFmtId="185" fontId="30" fillId="0" borderId="0" applyFont="0" applyFill="0" applyBorder="0" applyProtection="0">
      <alignment horizontal="right"/>
    </xf>
    <xf numFmtId="259" fontId="157" fillId="0" borderId="0" applyFill="0" applyBorder="0" applyProtection="0"/>
    <xf numFmtId="0" fontId="46" fillId="26" borderId="0">
      <alignment horizontal="right"/>
    </xf>
    <xf numFmtId="0" fontId="144" fillId="0" borderId="0"/>
    <xf numFmtId="0" fontId="144" fillId="0" borderId="0"/>
    <xf numFmtId="0" fontId="144" fillId="0" borderId="0"/>
    <xf numFmtId="0" fontId="162" fillId="27" borderId="58" applyNumberFormat="0" applyAlignment="0" applyProtection="0"/>
    <xf numFmtId="0" fontId="144" fillId="0" borderId="0"/>
    <xf numFmtId="0" fontId="144" fillId="0" borderId="0"/>
    <xf numFmtId="0" fontId="4" fillId="0" borderId="0"/>
    <xf numFmtId="0" fontId="162" fillId="27" borderId="58" applyNumberFormat="0" applyAlignment="0" applyProtection="0"/>
    <xf numFmtId="0" fontId="144" fillId="0" borderId="0"/>
    <xf numFmtId="0" fontId="163" fillId="68" borderId="40" applyNumberFormat="0" applyAlignment="0" applyProtection="0"/>
    <xf numFmtId="0" fontId="162" fillId="27" borderId="58" applyNumberFormat="0" applyAlignment="0" applyProtection="0"/>
    <xf numFmtId="0" fontId="163" fillId="68" borderId="40" applyNumberFormat="0" applyAlignment="0" applyProtection="0"/>
    <xf numFmtId="0" fontId="144" fillId="0" borderId="0"/>
    <xf numFmtId="0" fontId="163" fillId="68" borderId="40" applyNumberFormat="0" applyAlignment="0" applyProtection="0"/>
    <xf numFmtId="0" fontId="144" fillId="0" borderId="0"/>
    <xf numFmtId="0" fontId="144" fillId="0" borderId="0"/>
    <xf numFmtId="0" fontId="163" fillId="68" borderId="40" applyNumberFormat="0" applyAlignment="0" applyProtection="0"/>
    <xf numFmtId="0" fontId="144" fillId="0" borderId="0"/>
    <xf numFmtId="0" fontId="163" fillId="68" borderId="40" applyNumberFormat="0" applyAlignment="0" applyProtection="0"/>
    <xf numFmtId="0" fontId="163" fillId="68" borderId="40" applyNumberFormat="0" applyAlignment="0" applyProtection="0"/>
    <xf numFmtId="0" fontId="144" fillId="0" borderId="0"/>
    <xf numFmtId="0" fontId="145" fillId="68" borderId="40" applyNumberFormat="0" applyAlignment="0" applyProtection="0"/>
    <xf numFmtId="0" fontId="145" fillId="68" borderId="40" applyNumberFormat="0" applyAlignment="0" applyProtection="0"/>
    <xf numFmtId="0" fontId="164" fillId="0" borderId="0" applyProtection="0">
      <alignment horizontal="left"/>
    </xf>
    <xf numFmtId="0" fontId="144" fillId="0" borderId="0"/>
    <xf numFmtId="0" fontId="164" fillId="0" borderId="0" applyFill="0" applyBorder="0" applyProtection="0">
      <alignment horizontal="left"/>
    </xf>
    <xf numFmtId="0" fontId="144" fillId="0" borderId="0"/>
    <xf numFmtId="0" fontId="165" fillId="0" borderId="0" applyFill="0" applyBorder="0" applyProtection="0">
      <alignment horizontal="left"/>
    </xf>
    <xf numFmtId="0" fontId="144" fillId="0" borderId="0"/>
    <xf numFmtId="1" fontId="166" fillId="0" borderId="0" applyProtection="0">
      <alignment horizontal="right" vertical="center"/>
    </xf>
    <xf numFmtId="0" fontId="144" fillId="0" borderId="0"/>
    <xf numFmtId="2" fontId="9" fillId="0" borderId="0"/>
    <xf numFmtId="173" fontId="167" fillId="0" borderId="0" applyFill="0" applyBorder="0" applyAlignment="0" applyProtection="0"/>
    <xf numFmtId="207" fontId="27" fillId="0" borderId="0" applyFont="0" applyFill="0" applyBorder="0" applyAlignment="0" applyProtection="0"/>
    <xf numFmtId="0" fontId="144" fillId="0" borderId="0"/>
    <xf numFmtId="260" fontId="8" fillId="0" borderId="0" applyFont="0" applyFill="0" applyBorder="0" applyAlignment="0" applyProtection="0"/>
    <xf numFmtId="261" fontId="168" fillId="26" borderId="21" applyFill="0" applyBorder="0" applyAlignment="0" applyProtection="0">
      <alignment horizontal="right"/>
      <protection locked="0"/>
    </xf>
    <xf numFmtId="262" fontId="168" fillId="34" borderId="0" applyFill="0" applyBorder="0" applyAlignment="0" applyProtection="0">
      <protection hidden="1"/>
    </xf>
    <xf numFmtId="0" fontId="144" fillId="0" borderId="0"/>
    <xf numFmtId="0" fontId="144" fillId="0" borderId="0"/>
    <xf numFmtId="0" fontId="144" fillId="0" borderId="0"/>
    <xf numFmtId="10" fontId="27" fillId="0" borderId="0" applyFont="0" applyFill="0" applyBorder="0" applyAlignment="0" applyProtection="0"/>
    <xf numFmtId="0" fontId="144" fillId="0" borderId="0"/>
    <xf numFmtId="0" fontId="144" fillId="0" borderId="0"/>
    <xf numFmtId="10" fontId="27" fillId="0" borderId="0" applyFont="0" applyFill="0" applyBorder="0" applyAlignment="0" applyProtection="0"/>
    <xf numFmtId="263" fontId="157" fillId="0" borderId="0" applyBorder="0" applyProtection="0">
      <alignment horizontal="right"/>
    </xf>
    <xf numFmtId="263" fontId="158" fillId="77" borderId="0" applyProtection="0">
      <alignment horizontal="right"/>
    </xf>
    <xf numFmtId="0" fontId="14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4" fillId="0" borderId="0"/>
    <xf numFmtId="0" fontId="14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4" fillId="0" borderId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17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4" fillId="0" borderId="0"/>
    <xf numFmtId="0" fontId="144" fillId="0" borderId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0" fontId="144" fillId="0" borderId="0"/>
    <xf numFmtId="9" fontId="4" fillId="0" borderId="0" applyFont="0" applyFill="0" applyBorder="0" applyAlignment="0" applyProtection="0"/>
    <xf numFmtId="264" fontId="9" fillId="0" borderId="0" applyFont="0" applyFill="0" applyBorder="0" applyProtection="0">
      <alignment horizontal="right"/>
    </xf>
    <xf numFmtId="9" fontId="27" fillId="0" borderId="0"/>
    <xf numFmtId="265" fontId="27" fillId="0" borderId="0" applyFill="0" applyBorder="0">
      <alignment horizontal="right"/>
      <protection locked="0"/>
    </xf>
    <xf numFmtId="0" fontId="144" fillId="0" borderId="0"/>
    <xf numFmtId="1" fontId="36" fillId="0" borderId="0"/>
    <xf numFmtId="247" fontId="27" fillId="0" borderId="0">
      <protection locked="0"/>
    </xf>
    <xf numFmtId="0" fontId="144" fillId="0" borderId="0"/>
    <xf numFmtId="0" fontId="144" fillId="0" borderId="0"/>
    <xf numFmtId="205" fontId="8" fillId="0" borderId="0" applyFill="0" applyBorder="0" applyAlignment="0"/>
    <xf numFmtId="0" fontId="144" fillId="0" borderId="0"/>
    <xf numFmtId="206" fontId="8" fillId="0" borderId="0" applyFill="0" applyBorder="0" applyAlignment="0"/>
    <xf numFmtId="0" fontId="144" fillId="0" borderId="0"/>
    <xf numFmtId="205" fontId="8" fillId="0" borderId="0" applyFill="0" applyBorder="0" applyAlignment="0"/>
    <xf numFmtId="208" fontId="27" fillId="0" borderId="0" applyFill="0" applyBorder="0" applyAlignment="0"/>
    <xf numFmtId="206" fontId="8" fillId="0" borderId="0" applyFill="0" applyBorder="0" applyAlignment="0"/>
    <xf numFmtId="0" fontId="144" fillId="0" borderId="0"/>
    <xf numFmtId="0" fontId="144" fillId="0" borderId="0"/>
    <xf numFmtId="0" fontId="144" fillId="0" borderId="0"/>
    <xf numFmtId="0" fontId="144" fillId="0" borderId="0"/>
    <xf numFmtId="10" fontId="9" fillId="0" borderId="0"/>
    <xf numFmtId="10" fontId="9" fillId="38" borderId="0"/>
    <xf numFmtId="0" fontId="144" fillId="0" borderId="0"/>
    <xf numFmtId="171" fontId="29" fillId="0" borderId="0"/>
    <xf numFmtId="0" fontId="144" fillId="0" borderId="0"/>
    <xf numFmtId="266" fontId="169" fillId="34" borderId="0" applyBorder="0" applyAlignment="0">
      <protection hidden="1"/>
    </xf>
    <xf numFmtId="0" fontId="144" fillId="0" borderId="0"/>
    <xf numFmtId="0" fontId="144" fillId="0" borderId="0"/>
    <xf numFmtId="1" fontId="169" fillId="34" borderId="0">
      <alignment horizontal="center"/>
    </xf>
    <xf numFmtId="0" fontId="144" fillId="0" borderId="0"/>
    <xf numFmtId="0" fontId="50" fillId="0" borderId="0" applyNumberFormat="0" applyFont="0" applyFill="0" applyBorder="0" applyAlignment="0" applyProtection="0">
      <alignment horizontal="left"/>
    </xf>
    <xf numFmtId="0" fontId="144" fillId="0" borderId="0"/>
    <xf numFmtId="15" fontId="50" fillId="0" borderId="0" applyFont="0" applyFill="0" applyBorder="0" applyAlignment="0" applyProtection="0"/>
    <xf numFmtId="0" fontId="144" fillId="0" borderId="0"/>
    <xf numFmtId="4" fontId="50" fillId="0" borderId="0" applyFont="0" applyFill="0" applyBorder="0" applyAlignment="0" applyProtection="0"/>
    <xf numFmtId="0" fontId="144" fillId="0" borderId="0"/>
    <xf numFmtId="0" fontId="95" fillId="0" borderId="8">
      <alignment horizontal="center"/>
    </xf>
    <xf numFmtId="0" fontId="144" fillId="0" borderId="0"/>
    <xf numFmtId="0" fontId="144" fillId="0" borderId="0"/>
    <xf numFmtId="0" fontId="144" fillId="0" borderId="0"/>
    <xf numFmtId="0" fontId="144" fillId="0" borderId="0"/>
    <xf numFmtId="3" fontId="50" fillId="0" borderId="0" applyFont="0" applyFill="0" applyBorder="0" applyAlignment="0" applyProtection="0"/>
    <xf numFmtId="0" fontId="50" fillId="78" borderId="0" applyNumberFormat="0" applyFont="0" applyBorder="0" applyAlignment="0" applyProtection="0"/>
    <xf numFmtId="0" fontId="144" fillId="0" borderId="0"/>
    <xf numFmtId="0" fontId="50" fillId="0" borderId="0">
      <alignment horizontal="right"/>
      <protection locked="0"/>
    </xf>
    <xf numFmtId="230" fontId="170" fillId="0" borderId="0" applyNumberFormat="0" applyFill="0" applyBorder="0" applyAlignment="0" applyProtection="0">
      <alignment horizontal="left"/>
    </xf>
    <xf numFmtId="0" fontId="144" fillId="0" borderId="0"/>
    <xf numFmtId="0" fontId="171" fillId="32" borderId="0"/>
    <xf numFmtId="0" fontId="36" fillId="0" borderId="0" applyNumberFormat="0" applyFill="0" applyBorder="0" applyProtection="0">
      <alignment horizontal="right" vertical="center"/>
    </xf>
    <xf numFmtId="0" fontId="172" fillId="0" borderId="59">
      <alignment vertical="center"/>
    </xf>
    <xf numFmtId="0" fontId="144" fillId="0" borderId="0"/>
    <xf numFmtId="0" fontId="144" fillId="0" borderId="0"/>
    <xf numFmtId="267" fontId="27" fillId="0" borderId="0" applyFill="0" applyBorder="0">
      <alignment horizontal="right"/>
      <protection hidden="1"/>
    </xf>
    <xf numFmtId="0" fontId="144" fillId="0" borderId="0"/>
    <xf numFmtId="0" fontId="173" fillId="31" borderId="21">
      <alignment horizontal="center" vertical="center" wrapText="1"/>
      <protection hidden="1"/>
    </xf>
    <xf numFmtId="0" fontId="144" fillId="0" borderId="0"/>
    <xf numFmtId="0" fontId="50" fillId="79" borderId="60"/>
    <xf numFmtId="0" fontId="8" fillId="80" borderId="0" applyNumberFormat="0" applyFont="0" applyBorder="0" applyAlignment="0" applyProtection="0"/>
    <xf numFmtId="42" fontId="174" fillId="0" borderId="0" applyFill="0" applyBorder="0" applyAlignment="0" applyProtection="0"/>
    <xf numFmtId="41" fontId="175" fillId="0" borderId="0"/>
    <xf numFmtId="0" fontId="6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76" fillId="0" borderId="0">
      <alignment horizontal="right"/>
    </xf>
    <xf numFmtId="0" fontId="144" fillId="0" borderId="0"/>
    <xf numFmtId="0" fontId="70" fillId="0" borderId="0">
      <alignment horizontal="left"/>
    </xf>
    <xf numFmtId="0" fontId="144" fillId="0" borderId="0"/>
    <xf numFmtId="0" fontId="144" fillId="0" borderId="0"/>
    <xf numFmtId="173" fontId="177" fillId="0" borderId="28"/>
    <xf numFmtId="0" fontId="144" fillId="0" borderId="0"/>
    <xf numFmtId="0" fontId="144" fillId="0" borderId="0"/>
    <xf numFmtId="0" fontId="144" fillId="0" borderId="0"/>
    <xf numFmtId="0" fontId="144" fillId="0" borderId="0"/>
    <xf numFmtId="268" fontId="40" fillId="40" borderId="0" applyFont="0" applyBorder="0"/>
    <xf numFmtId="0" fontId="144" fillId="0" borderId="0"/>
    <xf numFmtId="0" fontId="178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27" fillId="0" borderId="0">
      <alignment vertical="top"/>
    </xf>
    <xf numFmtId="41" fontId="27" fillId="0" borderId="0" applyFont="0" applyFill="0" applyBorder="0" applyAlignment="0" applyProtection="0"/>
    <xf numFmtId="0" fontId="66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0" fontId="8" fillId="0" borderId="0">
      <alignment vertical="top"/>
    </xf>
    <xf numFmtId="0" fontId="4" fillId="0" borderId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254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27" fillId="0" borderId="0" applyNumberFormat="0" applyFill="0" applyBorder="0" applyAlignment="0" applyProtection="0"/>
    <xf numFmtId="0" fontId="144" fillId="0" borderId="0"/>
    <xf numFmtId="0" fontId="27" fillId="0" borderId="0" applyNumberForma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79" fillId="80" borderId="21" applyNumberFormat="0" applyProtection="0">
      <alignment horizontal="center" vertical="center"/>
    </xf>
    <xf numFmtId="0" fontId="8" fillId="0" borderId="0">
      <alignment vertical="top"/>
    </xf>
    <xf numFmtId="0" fontId="144" fillId="0" borderId="0"/>
    <xf numFmtId="0" fontId="26" fillId="80" borderId="21" applyNumberFormat="0" applyProtection="0">
      <alignment horizontal="center" vertical="center" wrapText="1"/>
    </xf>
    <xf numFmtId="0" fontId="26" fillId="80" borderId="21" applyNumberFormat="0" applyProtection="0">
      <alignment horizontal="center" vertical="center"/>
    </xf>
    <xf numFmtId="0" fontId="4" fillId="0" borderId="0"/>
    <xf numFmtId="0" fontId="26" fillId="80" borderId="21" applyNumberFormat="0" applyProtection="0">
      <alignment horizontal="center" vertical="center" wrapText="1"/>
    </xf>
    <xf numFmtId="0" fontId="180" fillId="0" borderId="0" applyNumberFormat="0" applyFill="0" applyBorder="0" applyAlignment="0" applyProtection="0"/>
    <xf numFmtId="0" fontId="144" fillId="0" borderId="0"/>
    <xf numFmtId="0" fontId="27" fillId="4" borderId="21" applyNumberFormat="0" applyProtection="0">
      <alignment horizontal="left" vertical="center"/>
    </xf>
    <xf numFmtId="0" fontId="144" fillId="0" borderId="0"/>
    <xf numFmtId="0" fontId="27" fillId="4" borderId="21" applyNumberFormat="0" applyProtection="0">
      <alignment horizontal="left" vertical="center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4" fontId="4" fillId="0" borderId="0"/>
    <xf numFmtId="0" fontId="26" fillId="2" borderId="21" applyNumberFormat="0" applyProtection="0">
      <alignment horizontal="left" vertical="center" wrapText="1"/>
    </xf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80" fillId="0" borderId="0" applyNumberFormat="0" applyFill="0" applyBorder="0" applyAlignment="0" applyProtection="0"/>
    <xf numFmtId="254" fontId="26" fillId="81" borderId="21" applyNumberFormat="0" applyProtection="0">
      <alignment horizontal="center" vertical="center" wrapText="1"/>
    </xf>
    <xf numFmtId="0" fontId="144" fillId="0" borderId="0"/>
    <xf numFmtId="0" fontId="27" fillId="4" borderId="21" applyNumberFormat="0" applyProtection="0">
      <alignment horizontal="left" vertical="center" wrapText="1"/>
    </xf>
    <xf numFmtId="0" fontId="144" fillId="0" borderId="0"/>
    <xf numFmtId="0" fontId="8" fillId="0" borderId="0">
      <alignment vertical="top"/>
    </xf>
    <xf numFmtId="0" fontId="26" fillId="2" borderId="21" applyNumberFormat="0" applyProtection="0">
      <alignment horizontal="left" vertical="center" wrapText="1"/>
    </xf>
    <xf numFmtId="0" fontId="8" fillId="0" borderId="0">
      <alignment vertical="top"/>
    </xf>
    <xf numFmtId="0" fontId="8" fillId="0" borderId="0">
      <alignment vertical="top"/>
    </xf>
    <xf numFmtId="0" fontId="181" fillId="82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43" fontId="3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8" fontId="27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44" fontId="27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269" fontId="9" fillId="0" borderId="0" applyFont="0" applyFill="0" applyBorder="0" applyAlignment="0" applyProtection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69" fontId="9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4" fillId="0" borderId="0"/>
    <xf numFmtId="0" fontId="29" fillId="0" borderId="0" applyNumberFormat="0" applyBorder="0" applyAlignment="0"/>
    <xf numFmtId="0" fontId="144" fillId="0" borderId="0"/>
    <xf numFmtId="0" fontId="182" fillId="0" borderId="0" applyNumberFormat="0" applyBorder="0" applyAlignment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83" fillId="0" borderId="0" applyNumberFormat="0" applyBorder="0" applyAlignment="0"/>
    <xf numFmtId="0" fontId="48" fillId="0" borderId="0" applyNumberFormat="0" applyFill="0" applyBorder="0" applyProtection="0">
      <alignment horizontal="left" vertical="center"/>
    </xf>
    <xf numFmtId="270" fontId="40" fillId="83" borderId="0" applyNumberFormat="0" applyFont="0" applyBorder="0">
      <alignment horizontal="center" vertical="center"/>
      <protection locked="0"/>
    </xf>
    <xf numFmtId="9" fontId="27" fillId="0" borderId="0"/>
    <xf numFmtId="0" fontId="49" fillId="0" borderId="0" applyFill="0" applyBorder="0" applyProtection="0">
      <alignment horizontal="center" vertical="center"/>
    </xf>
    <xf numFmtId="0" fontId="184" fillId="0" borderId="0" applyBorder="0" applyProtection="0">
      <alignment vertical="center"/>
    </xf>
    <xf numFmtId="171" fontId="27" fillId="0" borderId="7" applyBorder="0" applyProtection="0">
      <alignment horizontal="right" vertical="center"/>
    </xf>
    <xf numFmtId="0" fontId="185" fillId="84" borderId="0" applyBorder="0" applyProtection="0">
      <alignment horizontal="centerContinuous" vertical="center"/>
    </xf>
    <xf numFmtId="0" fontId="185" fillId="82" borderId="7" applyBorder="0" applyProtection="0">
      <alignment horizontal="centerContinuous" vertical="center"/>
    </xf>
    <xf numFmtId="0" fontId="144" fillId="0" borderId="0"/>
    <xf numFmtId="0" fontId="49" fillId="0" borderId="0" applyFill="0" applyBorder="0" applyProtection="0"/>
    <xf numFmtId="0" fontId="155" fillId="0" borderId="0"/>
    <xf numFmtId="0" fontId="186" fillId="0" borderId="0" applyFill="0" applyBorder="0" applyProtection="0">
      <alignment horizontal="left"/>
    </xf>
    <xf numFmtId="0" fontId="187" fillId="0" borderId="0" applyFill="0" applyBorder="0" applyProtection="0">
      <alignment horizontal="left" vertical="top"/>
    </xf>
    <xf numFmtId="0" fontId="4" fillId="0" borderId="0"/>
    <xf numFmtId="237" fontId="27" fillId="4" borderId="61" applyNumberFormat="0" applyAlignment="0">
      <alignment vertical="center"/>
    </xf>
    <xf numFmtId="237" fontId="188" fillId="85" borderId="62" applyNumberFormat="0" applyBorder="0" applyAlignment="0" applyProtection="0">
      <alignment vertical="center"/>
    </xf>
    <xf numFmtId="237" fontId="27" fillId="4" borderId="61" applyNumberFormat="0" applyProtection="0">
      <alignment horizontal="centerContinuous" vertical="center"/>
    </xf>
    <xf numFmtId="237" fontId="189" fillId="86" borderId="0" applyNumberFormat="0" applyBorder="0" applyAlignment="0" applyProtection="0">
      <alignment vertical="center"/>
    </xf>
    <xf numFmtId="237" fontId="27" fillId="85" borderId="0" applyBorder="0" applyAlignment="0" applyProtection="0">
      <alignment vertical="center"/>
    </xf>
    <xf numFmtId="49" fontId="35" fillId="0" borderId="7">
      <alignment vertical="center"/>
    </xf>
    <xf numFmtId="0" fontId="144" fillId="0" borderId="0"/>
    <xf numFmtId="0" fontId="190" fillId="0" borderId="0"/>
    <xf numFmtId="0" fontId="191" fillId="0" borderId="0"/>
    <xf numFmtId="49" fontId="29" fillId="0" borderId="0" applyFill="0" applyBorder="0" applyAlignment="0"/>
    <xf numFmtId="271" fontId="8" fillId="0" borderId="0" applyFill="0" applyBorder="0" applyAlignment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272" fontId="8" fillId="0" borderId="0" applyFill="0" applyBorder="0" applyAlignment="0"/>
    <xf numFmtId="0" fontId="31" fillId="0" borderId="0" applyNumberFormat="0" applyFont="0" applyFill="0" applyBorder="0" applyProtection="0">
      <alignment horizontal="left" vertical="top" wrapText="1"/>
    </xf>
    <xf numFmtId="18" fontId="65" fillId="0" borderId="0" applyFill="0" applyBorder="0" applyAlignment="0" applyProtection="0"/>
    <xf numFmtId="0" fontId="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0" fontId="192" fillId="0" borderId="0"/>
    <xf numFmtId="0" fontId="193" fillId="0" borderId="0" applyNumberFormat="0" applyFill="0" applyBorder="0" applyAlignment="0" applyProtection="0"/>
    <xf numFmtId="0" fontId="194" fillId="0" borderId="0" applyNumberFormat="0" applyBorder="0" applyAlignment="0" applyProtection="0"/>
    <xf numFmtId="0" fontId="194" fillId="0" borderId="0" applyNumberFormat="0" applyBorder="0" applyAlignment="0" applyProtection="0"/>
    <xf numFmtId="273" fontId="195" fillId="82" borderId="0" applyNumberFormat="0" applyProtection="0">
      <alignment horizontal="left" vertical="center"/>
    </xf>
    <xf numFmtId="0" fontId="196" fillId="0" borderId="0" applyNumberFormat="0" applyProtection="0">
      <alignment horizontal="left" vertical="center"/>
    </xf>
    <xf numFmtId="0" fontId="197" fillId="0" borderId="0">
      <alignment horizontal="left"/>
    </xf>
    <xf numFmtId="0" fontId="50" fillId="0" borderId="0" applyBorder="0"/>
    <xf numFmtId="274" fontId="27" fillId="0" borderId="0" applyNumberFormat="0" applyFill="0" applyBorder="0" applyProtection="0">
      <alignment vertical="top"/>
    </xf>
    <xf numFmtId="0" fontId="198" fillId="0" borderId="63" applyNumberFormat="0" applyFill="0" applyAlignment="0" applyProtection="0"/>
    <xf numFmtId="0" fontId="144" fillId="0" borderId="0"/>
    <xf numFmtId="0" fontId="147" fillId="0" borderId="42" applyNumberFormat="0" applyFill="0" applyAlignment="0" applyProtection="0"/>
    <xf numFmtId="0" fontId="198" fillId="0" borderId="63" applyNumberFormat="0" applyFill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99" fillId="0" borderId="42" applyNumberFormat="0" applyFill="0" applyAlignment="0" applyProtection="0"/>
    <xf numFmtId="0" fontId="198" fillId="0" borderId="63" applyNumberFormat="0" applyFill="0" applyAlignment="0" applyProtection="0"/>
    <xf numFmtId="0" fontId="144" fillId="0" borderId="0"/>
    <xf numFmtId="0" fontId="199" fillId="0" borderId="42" applyNumberFormat="0" applyFill="0" applyAlignment="0" applyProtection="0"/>
    <xf numFmtId="0" fontId="144" fillId="0" borderId="0"/>
    <xf numFmtId="0" fontId="144" fillId="0" borderId="0"/>
    <xf numFmtId="0" fontId="199" fillId="0" borderId="42" applyNumberFormat="0" applyFill="0" applyAlignment="0" applyProtection="0"/>
    <xf numFmtId="0" fontId="199" fillId="0" borderId="42" applyNumberFormat="0" applyFill="0" applyAlignment="0" applyProtection="0"/>
    <xf numFmtId="0" fontId="199" fillId="0" borderId="42" applyNumberFormat="0" applyFill="0" applyAlignment="0" applyProtection="0"/>
    <xf numFmtId="0" fontId="199" fillId="0" borderId="42" applyNumberFormat="0" applyFill="0" applyAlignment="0" applyProtection="0"/>
    <xf numFmtId="0" fontId="200" fillId="0" borderId="42" applyNumberFormat="0" applyFill="0" applyAlignment="0" applyProtection="0"/>
    <xf numFmtId="39" fontId="27" fillId="0" borderId="3">
      <protection locked="0"/>
    </xf>
    <xf numFmtId="6" fontId="152" fillId="0" borderId="3" applyFill="0" applyAlignment="0" applyProtection="0"/>
    <xf numFmtId="171" fontId="37" fillId="0" borderId="64"/>
    <xf numFmtId="275" fontId="169" fillId="34" borderId="6" applyBorder="0">
      <alignment horizontal="right" vertical="center"/>
      <protection locked="0"/>
    </xf>
    <xf numFmtId="274" fontId="201" fillId="85" borderId="0" applyNumberFormat="0" applyBorder="0" applyProtection="0">
      <alignment horizontal="centerContinuous" vertical="center"/>
    </xf>
    <xf numFmtId="0" fontId="24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3" fillId="0" borderId="0"/>
    <xf numFmtId="0" fontId="144" fillId="0" borderId="0"/>
    <xf numFmtId="1" fontId="203" fillId="0" borderId="0"/>
    <xf numFmtId="276" fontId="9" fillId="0" borderId="0" applyFont="0" applyFill="0" applyBorder="0" applyProtection="0">
      <alignment horizontal="right"/>
    </xf>
    <xf numFmtId="277" fontId="27" fillId="0" borderId="0"/>
    <xf numFmtId="278" fontId="157" fillId="0" borderId="0" applyFill="0" applyBorder="0" applyProtection="0"/>
    <xf numFmtId="279" fontId="35" fillId="0" borderId="7">
      <alignment horizontal="right"/>
    </xf>
    <xf numFmtId="280" fontId="27" fillId="0" borderId="0" applyFont="0" applyFill="0" applyBorder="0" applyAlignment="0" applyProtection="0"/>
    <xf numFmtId="281" fontId="42" fillId="0" borderId="0" applyFont="0" applyFill="0" applyBorder="0" applyProtection="0">
      <alignment horizontal="right"/>
    </xf>
    <xf numFmtId="0" fontId="27" fillId="0" borderId="0"/>
    <xf numFmtId="170" fontId="27" fillId="0" borderId="0" applyFont="0" applyFill="0" applyBorder="0" applyAlignment="0" applyProtection="0"/>
    <xf numFmtId="254" fontId="27" fillId="0" borderId="0"/>
    <xf numFmtId="0" fontId="144" fillId="0" borderId="0"/>
    <xf numFmtId="254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8" applyNumberFormat="0" applyFont="0" applyFill="0" applyAlignment="0" applyProtection="0"/>
    <xf numFmtId="0" fontId="49" fillId="0" borderId="9" applyNumberFormat="0" applyFont="0" applyFill="0" applyAlignment="0" applyProtection="0">
      <alignment horizontal="centerContinuous"/>
    </xf>
    <xf numFmtId="0" fontId="14" fillId="27" borderId="1" applyNumberFormat="0" applyAlignment="0" applyProtection="0"/>
    <xf numFmtId="0" fontId="14" fillId="27" borderId="1" applyNumberFormat="0" applyAlignment="0" applyProtection="0"/>
    <xf numFmtId="0" fontId="14" fillId="27" borderId="1" applyNumberFormat="0" applyAlignment="0" applyProtection="0"/>
    <xf numFmtId="171" fontId="37" fillId="0" borderId="8" applyAlignment="0">
      <alignment horizontal="right"/>
    </xf>
    <xf numFmtId="0" fontId="27" fillId="30" borderId="14" applyNumberFormat="0" applyFont="0" applyAlignment="0" applyProtection="0"/>
    <xf numFmtId="8" fontId="67" fillId="0" borderId="16">
      <protection locked="0"/>
    </xf>
    <xf numFmtId="224" fontId="69" fillId="0" borderId="17" applyNumberFormat="0" applyFill="0">
      <alignment horizontal="right"/>
    </xf>
    <xf numFmtId="224" fontId="69" fillId="0" borderId="17" applyNumberFormat="0" applyFill="0">
      <alignment horizontal="right"/>
    </xf>
    <xf numFmtId="0" fontId="144" fillId="0" borderId="0"/>
    <xf numFmtId="0" fontId="21" fillId="10" borderId="1" applyNumberFormat="0" applyAlignment="0" applyProtection="0"/>
    <xf numFmtId="173" fontId="27" fillId="35" borderId="21" applyNumberFormat="0" applyFont="0" applyBorder="0" applyAlignment="0" applyProtection="0"/>
    <xf numFmtId="234" fontId="39" fillId="0" borderId="28">
      <alignment horizontal="center"/>
    </xf>
    <xf numFmtId="10" fontId="65" fillId="26" borderId="21" applyNumberFormat="0" applyBorder="0" applyAlignment="0" applyProtection="0"/>
    <xf numFmtId="0" fontId="144" fillId="0" borderId="0"/>
    <xf numFmtId="0" fontId="21" fillId="10" borderId="1" applyNumberFormat="0" applyAlignment="0" applyProtection="0"/>
    <xf numFmtId="0" fontId="21" fillId="10" borderId="1" applyNumberFormat="0" applyAlignment="0" applyProtection="0"/>
    <xf numFmtId="0" fontId="27" fillId="0" borderId="21"/>
    <xf numFmtId="0" fontId="144" fillId="0" borderId="0"/>
    <xf numFmtId="237" fontId="27" fillId="26" borderId="30" applyNumberFormat="0" applyFont="0" applyBorder="0" applyAlignment="0">
      <alignment horizontal="right" vertical="center"/>
      <protection locked="0"/>
    </xf>
    <xf numFmtId="10" fontId="65" fillId="26" borderId="21" applyNumberFormat="0" applyBorder="0" applyAlignment="0" applyProtection="0"/>
    <xf numFmtId="234" fontId="39" fillId="0" borderId="28">
      <alignment horizontal="center"/>
    </xf>
    <xf numFmtId="0" fontId="86" fillId="0" borderId="27" applyNumberFormat="0" applyFill="0" applyBorder="0" applyAlignment="0" applyProtection="0">
      <alignment horizontal="left"/>
    </xf>
    <xf numFmtId="173" fontId="27" fillId="35" borderId="21" applyNumberFormat="0" applyFont="0" applyBorder="0" applyAlignment="0" applyProtection="0"/>
    <xf numFmtId="228" fontId="37" fillId="0" borderId="7" applyFont="0" applyFill="0" applyBorder="0" applyAlignment="0" applyProtection="0"/>
    <xf numFmtId="227" fontId="30" fillId="26" borderId="18" applyFont="0" applyFill="0" applyBorder="0" applyAlignment="0" applyProtection="0"/>
    <xf numFmtId="224" fontId="33" fillId="0" borderId="17" applyNumberFormat="0" applyFill="0">
      <alignment horizontal="right"/>
    </xf>
    <xf numFmtId="224" fontId="33" fillId="0" borderId="17" applyNumberFormat="0" applyFill="0">
      <alignment horizontal="right"/>
    </xf>
    <xf numFmtId="0" fontId="49" fillId="0" borderId="9" applyNumberFormat="0" applyFont="0" applyFill="0" applyAlignment="0" applyProtection="0">
      <alignment horizontal="centerContinuous"/>
    </xf>
    <xf numFmtId="0" fontId="48" fillId="0" borderId="7" applyNumberFormat="0" applyFill="0" applyAlignment="0" applyProtection="0"/>
    <xf numFmtId="0" fontId="34" fillId="4" borderId="0" applyFont="0" applyFill="0" applyProtection="0"/>
    <xf numFmtId="195" fontId="34" fillId="0" borderId="0" applyNumberFormat="0" applyFill="0">
      <alignment horizontal="left" vertical="center" wrapText="1"/>
    </xf>
    <xf numFmtId="254" fontId="4" fillId="0" borderId="0"/>
    <xf numFmtId="0" fontId="34" fillId="0" borderId="0" applyNumberFormat="0" applyFill="0">
      <alignment horizontal="left" vertical="center" wrapText="1"/>
    </xf>
    <xf numFmtId="0" fontId="138" fillId="0" borderId="0"/>
    <xf numFmtId="170" fontId="57" fillId="0" borderId="0" applyFont="0" applyFill="0" applyBorder="0" applyAlignment="0" applyProtection="0"/>
    <xf numFmtId="0" fontId="138" fillId="0" borderId="0"/>
    <xf numFmtId="0" fontId="57" fillId="0" borderId="0"/>
    <xf numFmtId="0" fontId="11" fillId="30" borderId="14" applyNumberFormat="0" applyFont="0" applyAlignment="0" applyProtection="0"/>
    <xf numFmtId="0" fontId="11" fillId="30" borderId="14" applyNumberFormat="0" applyFont="0" applyAlignment="0" applyProtection="0"/>
    <xf numFmtId="257" fontId="159" fillId="0" borderId="23" applyBorder="0"/>
    <xf numFmtId="0" fontId="162" fillId="27" borderId="58" applyNumberFormat="0" applyAlignment="0" applyProtection="0"/>
    <xf numFmtId="0" fontId="162" fillId="27" borderId="58" applyNumberFormat="0" applyAlignment="0" applyProtection="0"/>
    <xf numFmtId="0" fontId="162" fillId="27" borderId="58" applyNumberFormat="0" applyAlignment="0" applyProtection="0"/>
    <xf numFmtId="261" fontId="168" fillId="26" borderId="21" applyFill="0" applyBorder="0" applyAlignment="0" applyProtection="0">
      <alignment horizontal="right"/>
      <protection locked="0"/>
    </xf>
    <xf numFmtId="0" fontId="95" fillId="0" borderId="8">
      <alignment horizontal="center"/>
    </xf>
    <xf numFmtId="0" fontId="173" fillId="31" borderId="21">
      <alignment horizontal="center" vertical="center" wrapText="1"/>
      <protection hidden="1"/>
    </xf>
    <xf numFmtId="173" fontId="177" fillId="0" borderId="28"/>
    <xf numFmtId="0" fontId="179" fillId="80" borderId="21" applyNumberFormat="0" applyProtection="0">
      <alignment horizontal="center" vertical="center"/>
    </xf>
    <xf numFmtId="0" fontId="26" fillId="80" borderId="21" applyNumberFormat="0" applyProtection="0">
      <alignment horizontal="center" vertical="center" wrapText="1"/>
    </xf>
    <xf numFmtId="0" fontId="26" fillId="80" borderId="21" applyNumberFormat="0" applyProtection="0">
      <alignment horizontal="center" vertical="center"/>
    </xf>
    <xf numFmtId="0" fontId="26" fillId="80" borderId="21" applyNumberFormat="0" applyProtection="0">
      <alignment horizontal="center" vertical="center" wrapText="1"/>
    </xf>
    <xf numFmtId="0" fontId="27" fillId="4" borderId="21" applyNumberFormat="0" applyProtection="0">
      <alignment horizontal="left" vertical="center"/>
    </xf>
    <xf numFmtId="0" fontId="27" fillId="4" borderId="21" applyNumberFormat="0" applyProtection="0">
      <alignment horizontal="left" vertical="center"/>
    </xf>
    <xf numFmtId="0" fontId="26" fillId="2" borderId="21" applyNumberFormat="0" applyProtection="0">
      <alignment horizontal="left" vertical="center" wrapText="1"/>
    </xf>
    <xf numFmtId="254" fontId="26" fillId="81" borderId="21" applyNumberFormat="0" applyProtection="0">
      <alignment horizontal="center" vertical="center" wrapText="1"/>
    </xf>
    <xf numFmtId="0" fontId="27" fillId="4" borderId="21" applyNumberFormat="0" applyProtection="0">
      <alignment horizontal="left" vertical="center" wrapText="1"/>
    </xf>
    <xf numFmtId="0" fontId="26" fillId="2" borderId="21" applyNumberFormat="0" applyProtection="0">
      <alignment horizontal="left" vertical="center" wrapText="1"/>
    </xf>
    <xf numFmtId="170" fontId="4" fillId="0" borderId="0" applyFont="0" applyFill="0" applyBorder="0" applyAlignment="0" applyProtection="0"/>
    <xf numFmtId="0" fontId="144" fillId="0" borderId="0"/>
    <xf numFmtId="0" fontId="27" fillId="4" borderId="21" applyNumberFormat="0" applyProtection="0">
      <alignment horizontal="left" vertical="center"/>
    </xf>
    <xf numFmtId="0" fontId="27" fillId="4" borderId="21" applyNumberFormat="0" applyProtection="0">
      <alignment horizontal="left" vertical="center"/>
    </xf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98" fillId="0" borderId="63" applyNumberFormat="0" applyFill="0" applyAlignment="0" applyProtection="0"/>
    <xf numFmtId="0" fontId="162" fillId="27" borderId="58" applyNumberFormat="0" applyAlignment="0" applyProtection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0" fontId="21" fillId="10" borderId="1" applyNumberFormat="0" applyAlignment="0" applyProtection="0"/>
    <xf numFmtId="0" fontId="14" fillId="27" borderId="1" applyNumberFormat="0" applyAlignment="0" applyProtection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0" fontId="27" fillId="4" borderId="21" applyNumberFormat="0" applyProtection="0">
      <alignment horizontal="left" vertical="center"/>
    </xf>
    <xf numFmtId="0" fontId="27" fillId="4" borderId="21" applyNumberFormat="0" applyProtection="0">
      <alignment horizontal="left" vertical="center"/>
    </xf>
    <xf numFmtId="44" fontId="4" fillId="0" borderId="0" applyFont="0" applyFill="0" applyBorder="0" applyAlignment="0" applyProtection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171" fontId="27" fillId="0" borderId="7" applyBorder="0" applyProtection="0">
      <alignment horizontal="right" vertical="center"/>
    </xf>
    <xf numFmtId="0" fontId="185" fillId="82" borderId="7" applyBorder="0" applyProtection="0">
      <alignment horizontal="centerContinuous" vertical="center"/>
    </xf>
    <xf numFmtId="0" fontId="27" fillId="4" borderId="21" applyNumberFormat="0" applyProtection="0">
      <alignment horizontal="left" vertical="center"/>
    </xf>
    <xf numFmtId="0" fontId="27" fillId="4" borderId="21" applyNumberFormat="0" applyProtection="0">
      <alignment horizontal="left" vertical="center"/>
    </xf>
    <xf numFmtId="237" fontId="27" fillId="4" borderId="61" applyNumberFormat="0" applyAlignment="0">
      <alignment vertical="center"/>
    </xf>
    <xf numFmtId="237" fontId="188" fillId="85" borderId="62" applyNumberFormat="0" applyBorder="0" applyAlignment="0" applyProtection="0">
      <alignment vertical="center"/>
    </xf>
    <xf numFmtId="237" fontId="27" fillId="4" borderId="61" applyNumberFormat="0" applyProtection="0">
      <alignment horizontal="centerContinuous" vertical="center"/>
    </xf>
    <xf numFmtId="0" fontId="27" fillId="30" borderId="14" applyNumberFormat="0" applyFont="0" applyAlignment="0" applyProtection="0"/>
    <xf numFmtId="49" fontId="35" fillId="0" borderId="7">
      <alignment vertical="center"/>
    </xf>
    <xf numFmtId="0" fontId="27" fillId="30" borderId="14" applyNumberFormat="0" applyFont="0" applyAlignment="0" applyProtection="0"/>
    <xf numFmtId="0" fontId="144" fillId="0" borderId="0"/>
    <xf numFmtId="0" fontId="4" fillId="0" borderId="0"/>
    <xf numFmtId="0" fontId="27" fillId="0" borderId="0"/>
    <xf numFmtId="0" fontId="4" fillId="0" borderId="0"/>
    <xf numFmtId="0" fontId="29" fillId="0" borderId="0"/>
    <xf numFmtId="0" fontId="29" fillId="0" borderId="0"/>
    <xf numFmtId="43" fontId="27" fillId="0" borderId="0" applyFont="0" applyFill="0" applyBorder="0" applyAlignment="0" applyProtection="0"/>
    <xf numFmtId="0" fontId="144" fillId="0" borderId="0"/>
    <xf numFmtId="0" fontId="198" fillId="0" borderId="63" applyNumberFormat="0" applyFill="0" applyAlignment="0" applyProtection="0"/>
    <xf numFmtId="0" fontId="198" fillId="0" borderId="63" applyNumberFormat="0" applyFill="0" applyAlignment="0" applyProtection="0"/>
    <xf numFmtId="0" fontId="198" fillId="0" borderId="63" applyNumberFormat="0" applyFill="0" applyAlignment="0" applyProtection="0"/>
    <xf numFmtId="39" fontId="27" fillId="0" borderId="3">
      <protection locked="0"/>
    </xf>
    <xf numFmtId="6" fontId="152" fillId="0" borderId="3" applyFill="0" applyAlignment="0" applyProtection="0"/>
    <xf numFmtId="171" fontId="37" fillId="0" borderId="64"/>
    <xf numFmtId="9" fontId="4" fillId="0" borderId="0" applyFont="0" applyFill="0" applyBorder="0" applyAlignment="0" applyProtection="0"/>
    <xf numFmtId="0" fontId="27" fillId="0" borderId="0"/>
    <xf numFmtId="0" fontId="138" fillId="0" borderId="0"/>
    <xf numFmtId="279" fontId="35" fillId="0" borderId="7">
      <alignment horizontal="right"/>
    </xf>
    <xf numFmtId="0" fontId="27" fillId="0" borderId="0"/>
    <xf numFmtId="170" fontId="27" fillId="0" borderId="0" applyFont="0" applyFill="0" applyBorder="0" applyAlignment="0" applyProtection="0"/>
    <xf numFmtId="170" fontId="138" fillId="0" borderId="0" applyFont="0" applyFill="0" applyBorder="0" applyAlignment="0" applyProtection="0"/>
    <xf numFmtId="257" fontId="159" fillId="0" borderId="23" applyBorder="0"/>
    <xf numFmtId="258" fontId="157" fillId="0" borderId="0" applyBorder="0" applyProtection="0">
      <alignment horizontal="right"/>
    </xf>
    <xf numFmtId="37" fontId="34" fillId="0" borderId="0" applyFill="0" applyBorder="0" applyProtection="0">
      <alignment horizontal="right"/>
    </xf>
    <xf numFmtId="261" fontId="168" fillId="26" borderId="21" applyFill="0" applyBorder="0" applyAlignment="0" applyProtection="0">
      <alignment horizontal="right"/>
      <protection locked="0"/>
    </xf>
    <xf numFmtId="0" fontId="173" fillId="31" borderId="21">
      <alignment horizontal="center" vertical="center" wrapText="1"/>
      <protection hidden="1"/>
    </xf>
    <xf numFmtId="173" fontId="177" fillId="0" borderId="28"/>
    <xf numFmtId="0" fontId="179" fillId="80" borderId="21" applyNumberFormat="0" applyProtection="0">
      <alignment horizontal="center" vertical="center"/>
    </xf>
    <xf numFmtId="0" fontId="26" fillId="80" borderId="21" applyNumberFormat="0" applyProtection="0">
      <alignment horizontal="center" vertical="center" wrapText="1"/>
    </xf>
    <xf numFmtId="0" fontId="4" fillId="0" borderId="0"/>
    <xf numFmtId="0" fontId="26" fillId="80" borderId="21" applyNumberFormat="0" applyProtection="0">
      <alignment horizontal="center" vertical="center"/>
    </xf>
    <xf numFmtId="0" fontId="26" fillId="80" borderId="21" applyNumberFormat="0" applyProtection="0">
      <alignment horizontal="center" vertical="center" wrapText="1"/>
    </xf>
    <xf numFmtId="0" fontId="4" fillId="0" borderId="0"/>
    <xf numFmtId="0" fontId="26" fillId="2" borderId="21" applyNumberFormat="0" applyProtection="0">
      <alignment horizontal="left" vertical="center" wrapText="1"/>
    </xf>
    <xf numFmtId="254" fontId="26" fillId="81" borderId="21" applyNumberFormat="0" applyProtection="0">
      <alignment horizontal="center" vertical="center" wrapText="1"/>
    </xf>
    <xf numFmtId="0" fontId="27" fillId="4" borderId="21" applyNumberFormat="0" applyProtection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2" borderId="21" applyNumberFormat="0" applyProtection="0">
      <alignment horizontal="left" vertical="center" wrapText="1"/>
    </xf>
    <xf numFmtId="237" fontId="27" fillId="4" borderId="61" applyNumberFormat="0" applyAlignment="0">
      <alignment vertical="center"/>
    </xf>
    <xf numFmtId="237" fontId="27" fillId="4" borderId="61" applyNumberFormat="0" applyProtection="0">
      <alignment horizontal="centerContinuous" vertical="center"/>
    </xf>
    <xf numFmtId="49" fontId="34" fillId="0" borderId="7">
      <alignment vertical="center"/>
    </xf>
    <xf numFmtId="279" fontId="34" fillId="0" borderId="7">
      <alignment horizontal="right"/>
    </xf>
    <xf numFmtId="0" fontId="138" fillId="0" borderId="0"/>
    <xf numFmtId="254" fontId="4" fillId="0" borderId="0"/>
    <xf numFmtId="197" fontId="27" fillId="0" borderId="65">
      <alignment horizontal="right"/>
    </xf>
    <xf numFmtId="198" fontId="40" fillId="0" borderId="65">
      <alignment horizontal="right"/>
    </xf>
    <xf numFmtId="198" fontId="40" fillId="0" borderId="65" applyFill="0">
      <alignment horizontal="right"/>
    </xf>
    <xf numFmtId="3" fontId="27" fillId="0" borderId="65" applyFill="0">
      <alignment horizontal="right"/>
    </xf>
    <xf numFmtId="200" fontId="40" fillId="0" borderId="65" applyFill="0">
      <alignment horizontal="right"/>
    </xf>
    <xf numFmtId="202" fontId="27" fillId="0" borderId="65">
      <alignment horizontal="right"/>
      <protection locked="0"/>
    </xf>
    <xf numFmtId="0" fontId="144" fillId="0" borderId="0"/>
    <xf numFmtId="0" fontId="144" fillId="0" borderId="0"/>
    <xf numFmtId="6" fontId="40" fillId="0" borderId="65" applyNumberFormat="0" applyFont="0" applyBorder="0" applyProtection="0">
      <alignment horizontal="right"/>
    </xf>
    <xf numFmtId="1" fontId="45" fillId="25" borderId="66" applyNumberFormat="0" applyBorder="0" applyAlignment="0">
      <alignment horizontal="center" vertical="top" wrapText="1"/>
      <protection hidden="1"/>
    </xf>
    <xf numFmtId="0" fontId="31" fillId="0" borderId="66" applyNumberFormat="0" applyFont="0" applyFill="0" applyAlignment="0" applyProtection="0"/>
    <xf numFmtId="227" fontId="30" fillId="26" borderId="18" applyFont="0" applyFill="0" applyBorder="0" applyAlignment="0" applyProtection="0"/>
    <xf numFmtId="232" fontId="50" fillId="32" borderId="66">
      <alignment horizontal="left"/>
    </xf>
    <xf numFmtId="254" fontId="4" fillId="0" borderId="0"/>
    <xf numFmtId="170" fontId="4" fillId="0" borderId="0" applyFont="0" applyFill="0" applyBorder="0" applyAlignment="0" applyProtection="0"/>
    <xf numFmtId="0" fontId="4" fillId="0" borderId="0"/>
    <xf numFmtId="49" fontId="34" fillId="0" borderId="7">
      <alignment vertical="center"/>
    </xf>
    <xf numFmtId="275" fontId="169" fillId="34" borderId="66" applyBorder="0">
      <alignment horizontal="right" vertical="center"/>
      <protection locked="0"/>
    </xf>
    <xf numFmtId="279" fontId="34" fillId="0" borderId="7">
      <alignment horizontal="right"/>
    </xf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44" fillId="0" borderId="0"/>
    <xf numFmtId="170" fontId="4" fillId="0" borderId="0" applyFont="0" applyFill="0" applyBorder="0" applyAlignment="0" applyProtection="0"/>
    <xf numFmtId="0" fontId="4" fillId="0" borderId="0"/>
    <xf numFmtId="0" fontId="95" fillId="38" borderId="32">
      <alignment horizontal="left" vertical="center" wrapText="1"/>
    </xf>
    <xf numFmtId="8" fontId="67" fillId="0" borderId="16">
      <protection locked="0"/>
    </xf>
    <xf numFmtId="203" fontId="42" fillId="24" borderId="5"/>
    <xf numFmtId="237" fontId="188" fillId="85" borderId="62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37" fillId="0" borderId="67"/>
    <xf numFmtId="0" fontId="14" fillId="2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26" applyNumberFormat="0" applyFill="0" applyAlignment="0" applyProtection="0"/>
    <xf numFmtId="0" fontId="21" fillId="10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62" fillId="27" borderId="58" applyNumberFormat="0" applyAlignment="0" applyProtection="0"/>
    <xf numFmtId="0" fontId="198" fillId="0" borderId="63" applyNumberFormat="0" applyFill="0" applyAlignment="0" applyProtection="0"/>
    <xf numFmtId="0" fontId="14" fillId="27" borderId="1" applyNumberFormat="0" applyAlignment="0" applyProtection="0"/>
    <xf numFmtId="0" fontId="21" fillId="10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0" fontId="4" fillId="0" borderId="0"/>
    <xf numFmtId="0" fontId="162" fillId="27" borderId="58" applyNumberFormat="0" applyAlignment="0" applyProtection="0"/>
    <xf numFmtId="0" fontId="198" fillId="0" borderId="63" applyNumberFormat="0" applyFill="0" applyAlignment="0" applyProtection="0"/>
    <xf numFmtId="0" fontId="27" fillId="4" borderId="21" applyNumberFormat="0" applyProtection="0">
      <alignment horizontal="left" vertical="center"/>
    </xf>
    <xf numFmtId="0" fontId="27" fillId="4" borderId="21" applyNumberFormat="0" applyProtection="0">
      <alignment horizontal="left" vertical="center"/>
    </xf>
    <xf numFmtId="0" fontId="14" fillId="27" borderId="1" applyNumberFormat="0" applyAlignment="0" applyProtection="0"/>
    <xf numFmtId="0" fontId="21" fillId="10" borderId="1" applyNumberFormat="0" applyAlignment="0" applyProtection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0" fontId="162" fillId="27" borderId="58" applyNumberFormat="0" applyAlignment="0" applyProtection="0"/>
    <xf numFmtId="0" fontId="198" fillId="0" borderId="63" applyNumberFormat="0" applyFill="0" applyAlignment="0" applyProtection="0"/>
    <xf numFmtId="0" fontId="4" fillId="0" borderId="0"/>
    <xf numFmtId="0" fontId="27" fillId="30" borderId="14" applyNumberFormat="0" applyFont="0" applyAlignment="0" applyProtection="0"/>
    <xf numFmtId="0" fontId="27" fillId="30" borderId="14" applyNumberFormat="0" applyFont="0" applyAlignment="0" applyProtection="0"/>
    <xf numFmtId="0" fontId="162" fillId="27" borderId="58" applyNumberFormat="0" applyAlignment="0" applyProtection="0"/>
    <xf numFmtId="0" fontId="198" fillId="0" borderId="63" applyNumberFormat="0" applyFill="0" applyAlignment="0" applyProtection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254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254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165" fontId="40" fillId="0" borderId="65" applyNumberFormat="0" applyFont="0" applyBorder="0" applyProtection="0">
      <alignment horizontal="right"/>
    </xf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254" fontId="27" fillId="0" borderId="0"/>
    <xf numFmtId="0" fontId="144" fillId="0" borderId="0"/>
    <xf numFmtId="245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6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4" fillId="0" borderId="0"/>
    <xf numFmtId="44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137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65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153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153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153" fillId="0" borderId="0" applyFont="0" applyFill="0" applyBorder="0" applyAlignment="0" applyProtection="0"/>
    <xf numFmtId="0" fontId="144" fillId="0" borderId="0"/>
    <xf numFmtId="0" fontId="144" fillId="0" borderId="0"/>
    <xf numFmtId="170" fontId="27" fillId="0" borderId="0" applyFont="0" applyFill="0" applyBorder="0" applyAlignment="0" applyProtection="0"/>
    <xf numFmtId="0" fontId="144" fillId="0" borderId="0"/>
    <xf numFmtId="43" fontId="153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3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5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0" fontId="4" fillId="0" borderId="0"/>
    <xf numFmtId="0" fontId="144" fillId="0" borderId="0"/>
    <xf numFmtId="0" fontId="1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79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" fillId="0" borderId="0"/>
    <xf numFmtId="0" fontId="2" fillId="0" borderId="0"/>
    <xf numFmtId="4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27" fillId="4" borderId="189" applyNumberFormat="0" applyProtection="0">
      <alignment horizontal="left" vertical="center" wrapText="1"/>
    </xf>
    <xf numFmtId="0" fontId="8" fillId="0" borderId="0"/>
    <xf numFmtId="261" fontId="168" fillId="26" borderId="150" applyFill="0" applyBorder="0" applyAlignment="0" applyProtection="0">
      <alignment horizontal="right"/>
      <protection locked="0"/>
    </xf>
    <xf numFmtId="0" fontId="162" fillId="27" borderId="158" applyNumberFormat="0" applyAlignment="0" applyProtection="0"/>
    <xf numFmtId="0" fontId="8" fillId="0" borderId="0"/>
    <xf numFmtId="0" fontId="8" fillId="0" borderId="0"/>
    <xf numFmtId="0" fontId="8" fillId="0" borderId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170" fontId="2" fillId="0" borderId="0" applyFont="0" applyFill="0" applyBorder="0" applyAlignment="0" applyProtection="0"/>
    <xf numFmtId="0" fontId="8" fillId="0" borderId="0"/>
    <xf numFmtId="0" fontId="8" fillId="0" borderId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8" fillId="0" borderId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7" fillId="4" borderId="73" applyNumberFormat="0" applyProtection="0">
      <alignment horizontal="left" vertical="center"/>
    </xf>
    <xf numFmtId="0" fontId="8" fillId="0" borderId="0"/>
    <xf numFmtId="0" fontId="27" fillId="2" borderId="78" applyNumberFormat="0">
      <alignment horizontal="centerContinuous" vertical="center" wrapText="1"/>
    </xf>
    <xf numFmtId="0" fontId="27" fillId="2" borderId="78" applyNumberFormat="0">
      <alignment horizontal="centerContinuous" vertical="center" wrapText="1"/>
    </xf>
    <xf numFmtId="0" fontId="27" fillId="2" borderId="78" applyNumberFormat="0">
      <alignment horizontal="centerContinuous" vertical="center" wrapText="1"/>
    </xf>
    <xf numFmtId="0" fontId="27" fillId="3" borderId="78" applyNumberFormat="0">
      <alignment horizontal="left" vertical="center"/>
    </xf>
    <xf numFmtId="0" fontId="27" fillId="3" borderId="78" applyNumberFormat="0">
      <alignment horizontal="left" vertical="center"/>
    </xf>
    <xf numFmtId="0" fontId="27" fillId="3" borderId="78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217" fontId="65" fillId="0" borderId="83" applyFont="0" applyFill="0" applyBorder="0" applyAlignment="0" applyProtection="0"/>
    <xf numFmtId="0" fontId="8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8" fillId="0" borderId="0"/>
    <xf numFmtId="0" fontId="2" fillId="44" borderId="0" applyNumberFormat="0" applyBorder="0" applyAlignment="0" applyProtection="0"/>
    <xf numFmtId="0" fontId="8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8" fillId="0" borderId="0"/>
    <xf numFmtId="0" fontId="8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8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8" fillId="0" borderId="0"/>
    <xf numFmtId="0" fontId="2" fillId="0" borderId="0"/>
    <xf numFmtId="0" fontId="8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8" fillId="0" borderId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8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8" fillId="0" borderId="0"/>
    <xf numFmtId="0" fontId="2" fillId="50" borderId="0" applyNumberFormat="0" applyBorder="0" applyAlignment="0" applyProtection="0"/>
    <xf numFmtId="0" fontId="8" fillId="0" borderId="0"/>
    <xf numFmtId="0" fontId="27" fillId="4" borderId="189" applyNumberFormat="0" applyProtection="0">
      <alignment horizontal="left" vertical="center"/>
    </xf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8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8" fillId="0" borderId="0"/>
    <xf numFmtId="0" fontId="2" fillId="5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8" fillId="0" borderId="0"/>
    <xf numFmtId="0" fontId="8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8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8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171" fontId="37" fillId="0" borderId="20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49" applyBorder="0"/>
    <xf numFmtId="0" fontId="8" fillId="0" borderId="0"/>
    <xf numFmtId="0" fontId="11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5"/>
    <xf numFmtId="0" fontId="14" fillId="27" borderId="164" applyNumberFormat="0" applyAlignment="0" applyProtection="0"/>
    <xf numFmtId="0" fontId="27" fillId="4" borderId="163" applyNumberFormat="0" applyProtection="0">
      <alignment horizontal="left" vertical="center"/>
    </xf>
    <xf numFmtId="0" fontId="26" fillId="80" borderId="163" applyNumberFormat="0" applyProtection="0">
      <alignment horizontal="center" vertical="center" wrapText="1"/>
    </xf>
    <xf numFmtId="0" fontId="27" fillId="2" borderId="164" applyNumberFormat="0">
      <alignment horizontal="centerContinuous" vertical="center" wrapText="1"/>
    </xf>
    <xf numFmtId="0" fontId="8" fillId="0" borderId="0"/>
    <xf numFmtId="0" fontId="162" fillId="27" borderId="171" applyNumberFormat="0" applyAlignment="0" applyProtection="0"/>
    <xf numFmtId="173" fontId="27" fillId="35" borderId="163" applyNumberFormat="0" applyFont="0" applyBorder="0" applyAlignment="0" applyProtection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203" fontId="42" fillId="24" borderId="82"/>
    <xf numFmtId="203" fontId="42" fillId="24" borderId="82"/>
    <xf numFmtId="203" fontId="42" fillId="24" borderId="82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31" fillId="0" borderId="77" applyNumberFormat="0" applyFont="0" applyFill="0" applyAlignment="0" applyProtection="0"/>
    <xf numFmtId="0" fontId="31" fillId="0" borderId="77" applyNumberFormat="0" applyFont="0" applyFill="0" applyAlignment="0" applyProtection="0"/>
    <xf numFmtId="0" fontId="31" fillId="0" borderId="77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261" fontId="168" fillId="26" borderId="189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1" fillId="30" borderId="154" applyNumberFormat="0" applyFon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8" fillId="0" borderId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1" fillId="30" borderId="154" applyNumberFormat="0" applyFon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8" fillId="0" borderId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8" fillId="0" borderId="0"/>
    <xf numFmtId="0" fontId="14" fillId="27" borderId="78" applyNumberFormat="0" applyAlignment="0" applyProtection="0"/>
    <xf numFmtId="0" fontId="8" fillId="0" borderId="0"/>
    <xf numFmtId="0" fontId="95" fillId="38" borderId="144">
      <alignment horizontal="left" vertical="center" wrapText="1"/>
    </xf>
    <xf numFmtId="0" fontId="95" fillId="38" borderId="144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8" fillId="0" borderId="0"/>
    <xf numFmtId="0" fontId="21" fillId="10" borderId="137" applyNumberFormat="0" applyAlignment="0" applyProtection="0"/>
    <xf numFmtId="170" fontId="2" fillId="0" borderId="0" applyFont="0" applyFill="0" applyBorder="0" applyAlignment="0" applyProtection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" fillId="0" borderId="0"/>
    <xf numFmtId="170" fontId="2" fillId="0" borderId="0" applyFont="0" applyFill="0" applyBorder="0" applyAlignment="0" applyProtection="0"/>
    <xf numFmtId="0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53" fillId="0" borderId="0" applyFont="0" applyFill="0" applyBorder="0" applyAlignment="0" applyProtection="0"/>
    <xf numFmtId="170" fontId="153" fillId="0" borderId="0" applyFont="0" applyFill="0" applyBorder="0" applyAlignment="0" applyProtection="0"/>
    <xf numFmtId="0" fontId="8" fillId="0" borderId="0"/>
    <xf numFmtId="0" fontId="8" fillId="0" borderId="0"/>
    <xf numFmtId="170" fontId="153" fillId="0" borderId="0" applyFont="0" applyFill="0" applyBorder="0" applyAlignment="0" applyProtection="0"/>
    <xf numFmtId="0" fontId="8" fillId="0" borderId="0"/>
    <xf numFmtId="170" fontId="153" fillId="0" borderId="0" applyFont="0" applyFill="0" applyBorder="0" applyAlignment="0" applyProtection="0"/>
    <xf numFmtId="0" fontId="21" fillId="10" borderId="177" applyNumberFormat="0" applyAlignment="0" applyProtection="0"/>
    <xf numFmtId="0" fontId="8" fillId="0" borderId="0"/>
    <xf numFmtId="170" fontId="1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3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0" fillId="0" borderId="143">
      <alignment horizontal="left" vertical="center"/>
    </xf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0" fillId="0" borderId="143">
      <alignment horizontal="left" vertical="center"/>
    </xf>
    <xf numFmtId="170" fontId="2" fillId="0" borderId="0" applyFont="0" applyFill="0" applyBorder="0" applyAlignment="0" applyProtection="0"/>
    <xf numFmtId="170" fontId="109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217" fontId="65" fillId="0" borderId="83" applyFont="0" applyFill="0" applyBorder="0" applyAlignment="0" applyProtection="0"/>
    <xf numFmtId="166" fontId="67" fillId="0" borderId="84">
      <protection locked="0"/>
    </xf>
    <xf numFmtId="166" fontId="67" fillId="0" borderId="84">
      <protection locked="0"/>
    </xf>
    <xf numFmtId="166" fontId="67" fillId="0" borderId="84">
      <protection locked="0"/>
    </xf>
    <xf numFmtId="0" fontId="8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7" fillId="3" borderId="177" applyNumberFormat="0">
      <alignment horizontal="left" vertical="center"/>
    </xf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" fontId="75" fillId="33" borderId="142" applyNumberFormat="0" applyBorder="0" applyAlignment="0">
      <alignment horizontal="centerContinuous" vertical="center"/>
      <protection locked="0"/>
    </xf>
    <xf numFmtId="0" fontId="8" fillId="0" borderId="0"/>
    <xf numFmtId="44" fontId="2" fillId="0" borderId="0" applyFont="0" applyFill="0" applyBorder="0" applyAlignment="0" applyProtection="0"/>
    <xf numFmtId="0" fontId="21" fillId="10" borderId="13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88" applyBorder="0"/>
    <xf numFmtId="0" fontId="8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76" applyNumberFormat="0" applyBorder="0" applyAlignment="0">
      <alignment horizontal="centerContinuous" vertical="center"/>
      <protection locked="0"/>
    </xf>
    <xf numFmtId="1" fontId="75" fillId="33" borderId="76" applyNumberFormat="0" applyBorder="0" applyAlignment="0">
      <alignment horizontal="centerContinuous" vertical="center"/>
      <protection locked="0"/>
    </xf>
    <xf numFmtId="1" fontId="75" fillId="33" borderId="76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27" fillId="35" borderId="73" applyNumberFormat="0" applyFont="0" applyBorder="0" applyAlignment="0" applyProtection="0"/>
    <xf numFmtId="203" fontId="42" fillId="24" borderId="178"/>
    <xf numFmtId="0" fontId="80" fillId="0" borderId="70">
      <alignment horizontal="left" vertical="center"/>
    </xf>
    <xf numFmtId="0" fontId="80" fillId="0" borderId="7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14" fillId="27" borderId="164" applyNumberFormat="0" applyAlignment="0" applyProtection="0"/>
    <xf numFmtId="0" fontId="8" fillId="0" borderId="0"/>
    <xf numFmtId="0" fontId="14" fillId="27" borderId="164" applyNumberFormat="0" applyAlignment="0" applyProtection="0"/>
    <xf numFmtId="0" fontId="8" fillId="0" borderId="0"/>
    <xf numFmtId="0" fontId="198" fillId="0" borderId="186" applyNumberFormat="0" applyFill="0" applyAlignment="0" applyProtection="0"/>
    <xf numFmtId="169" fontId="58" fillId="0" borderId="0" applyFont="0" applyFill="0" applyBorder="0" applyAlignment="0" applyProtection="0"/>
    <xf numFmtId="0" fontId="8" fillId="0" borderId="0"/>
    <xf numFmtId="10" fontId="65" fillId="26" borderId="73" applyNumberFormat="0" applyBorder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8" fillId="0" borderId="0"/>
    <xf numFmtId="0" fontId="8" fillId="0" borderId="0"/>
    <xf numFmtId="0" fontId="95" fillId="38" borderId="85">
      <alignment horizontal="left" vertical="center" wrapText="1"/>
    </xf>
    <xf numFmtId="0" fontId="95" fillId="38" borderId="85">
      <alignment horizontal="left" vertical="center" wrapText="1"/>
    </xf>
    <xf numFmtId="0" fontId="95" fillId="38" borderId="85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242" fontId="2" fillId="0" borderId="0" applyFont="0" applyFill="0" applyBorder="0" applyAlignment="0" applyProtection="0"/>
    <xf numFmtId="0" fontId="8" fillId="0" borderId="0"/>
    <xf numFmtId="245" fontId="2" fillId="0" borderId="0" applyFont="0" applyFill="0" applyBorder="0" applyAlignment="0" applyProtection="0"/>
    <xf numFmtId="0" fontId="8" fillId="0" borderId="0"/>
    <xf numFmtId="0" fontId="8" fillId="0" borderId="0"/>
    <xf numFmtId="0" fontId="27" fillId="0" borderId="163"/>
    <xf numFmtId="0" fontId="80" fillId="0" borderId="162">
      <alignment horizontal="left" vertical="center"/>
    </xf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37" fillId="0" borderId="161"/>
    <xf numFmtId="0" fontId="2" fillId="0" borderId="0"/>
    <xf numFmtId="0" fontId="8" fillId="0" borderId="0"/>
    <xf numFmtId="0" fontId="8" fillId="0" borderId="0"/>
    <xf numFmtId="169" fontId="58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195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176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31" fillId="0" borderId="166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89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0" fontId="173" fillId="31" borderId="163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95" fillId="38" borderId="183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189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78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0" fontId="179" fillId="80" borderId="163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179" fillId="80" borderId="176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8" fontId="67" fillId="0" borderId="141">
      <protection locked="0"/>
    </xf>
    <xf numFmtId="166" fontId="67" fillId="0" borderId="141">
      <protection locked="0"/>
    </xf>
    <xf numFmtId="166" fontId="67" fillId="0" borderId="141">
      <protection locked="0"/>
    </xf>
    <xf numFmtId="166" fontId="67" fillId="0" borderId="141">
      <protection locked="0"/>
    </xf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8" fillId="0" borderId="0"/>
    <xf numFmtId="0" fontId="8" fillId="0" borderId="0"/>
    <xf numFmtId="0" fontId="27" fillId="30" borderId="14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2" borderId="190" applyNumberFormat="0">
      <alignment horizontal="centerContinuous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169" applyNumberFormat="0" applyBorder="0" applyAlignment="0">
      <alignment horizontal="centerContinuous" vertical="center"/>
      <protection locked="0"/>
    </xf>
    <xf numFmtId="0" fontId="8" fillId="0" borderId="0"/>
    <xf numFmtId="169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14" fillId="27" borderId="164" applyNumberFormat="0" applyAlignment="0" applyProtection="0"/>
    <xf numFmtId="0" fontId="31" fillId="0" borderId="166" applyNumberFormat="0" applyFont="0" applyFill="0" applyAlignment="0" applyProtection="0"/>
    <xf numFmtId="0" fontId="8" fillId="0" borderId="0"/>
    <xf numFmtId="203" fontId="42" fillId="24" borderId="165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" borderId="164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8" fontId="67" fillId="0" borderId="155">
      <protection locked="0"/>
    </xf>
    <xf numFmtId="0" fontId="8" fillId="0" borderId="0"/>
    <xf numFmtId="0" fontId="8" fillId="0" borderId="0"/>
    <xf numFmtId="0" fontId="14" fillId="27" borderId="164" applyNumberFormat="0" applyAlignment="0" applyProtection="0"/>
    <xf numFmtId="0" fontId="14" fillId="27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8" fillId="0" borderId="0"/>
    <xf numFmtId="203" fontId="42" fillId="24" borderId="152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63" applyNumberFormat="0" applyProtection="0">
      <alignment horizontal="center" vertical="center" wrapText="1"/>
    </xf>
    <xf numFmtId="0" fontId="8" fillId="0" borderId="0"/>
    <xf numFmtId="0" fontId="8" fillId="0" borderId="0"/>
    <xf numFmtId="0" fontId="11" fillId="30" borderId="167" applyNumberFormat="0" applyFont="0" applyAlignment="0" applyProtection="0"/>
    <xf numFmtId="0" fontId="26" fillId="2" borderId="163" applyNumberFormat="0" applyProtection="0">
      <alignment horizontal="left" vertical="center" wrapText="1"/>
    </xf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85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94">
      <protection locked="0"/>
    </xf>
    <xf numFmtId="0" fontId="8" fillId="0" borderId="0"/>
    <xf numFmtId="0" fontId="8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7" fillId="3" borderId="151" applyNumberFormat="0">
      <alignment horizontal="left" vertical="center"/>
    </xf>
    <xf numFmtId="0" fontId="27" fillId="2" borderId="151" applyNumberFormat="0">
      <alignment horizontal="centerContinuous" vertical="center" wrapText="1"/>
    </xf>
    <xf numFmtId="0" fontId="198" fillId="0" borderId="173" applyNumberFormat="0" applyFill="0" applyAlignment="0" applyProtection="0"/>
    <xf numFmtId="0" fontId="27" fillId="30" borderId="167" applyNumberFormat="0" applyFont="0" applyAlignment="0" applyProtection="0"/>
    <xf numFmtId="0" fontId="8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" fillId="0" borderId="0"/>
    <xf numFmtId="0" fontId="14" fillId="27" borderId="137" applyNumberFormat="0" applyAlignment="0" applyProtection="0"/>
    <xf numFmtId="0" fontId="8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4" fillId="27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14" fillId="27" borderId="137" applyNumberFormat="0" applyAlignment="0" applyProtection="0"/>
    <xf numFmtId="0" fontId="2" fillId="0" borderId="0"/>
    <xf numFmtId="0" fontId="8" fillId="0" borderId="0"/>
    <xf numFmtId="0" fontId="8" fillId="0" borderId="0"/>
    <xf numFmtId="0" fontId="80" fillId="0" borderId="188">
      <alignment horizontal="left" vertical="center"/>
    </xf>
    <xf numFmtId="0" fontId="8" fillId="0" borderId="0"/>
    <xf numFmtId="0" fontId="31" fillId="0" borderId="139" applyNumberFormat="0" applyFont="0" applyFill="0" applyAlignment="0" applyProtection="0"/>
    <xf numFmtId="0" fontId="31" fillId="0" borderId="139" applyNumberFormat="0" applyFont="0" applyFill="0" applyAlignment="0" applyProtection="0"/>
    <xf numFmtId="0" fontId="31" fillId="0" borderId="139" applyNumberFormat="0" applyFont="0" applyFill="0" applyAlignment="0" applyProtection="0"/>
    <xf numFmtId="0" fontId="31" fillId="0" borderId="139" applyNumberFormat="0" applyFont="0" applyFill="0" applyAlignment="0" applyProtection="0"/>
    <xf numFmtId="0" fontId="31" fillId="0" borderId="139" applyNumberFormat="0" applyFont="0" applyFill="0" applyAlignment="0" applyProtection="0"/>
    <xf numFmtId="0" fontId="31" fillId="0" borderId="139" applyNumberFormat="0" applyFont="0" applyFill="0" applyAlignment="0" applyProtection="0"/>
    <xf numFmtId="0" fontId="2" fillId="0" borderId="0"/>
    <xf numFmtId="0" fontId="31" fillId="0" borderId="128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203" fontId="42" fillId="24" borderId="138"/>
    <xf numFmtId="203" fontId="42" fillId="24" borderId="138"/>
    <xf numFmtId="203" fontId="42" fillId="24" borderId="138"/>
    <xf numFmtId="6" fontId="40" fillId="0" borderId="129" applyNumberFormat="0" applyFont="0" applyBorder="0" applyProtection="0">
      <alignment horizontal="right"/>
    </xf>
    <xf numFmtId="165" fontId="40" fillId="0" borderId="129" applyNumberFormat="0" applyFont="0" applyBorder="0" applyProtection="0">
      <alignment horizontal="right"/>
    </xf>
    <xf numFmtId="202" fontId="27" fillId="0" borderId="129">
      <alignment horizontal="right"/>
      <protection locked="0"/>
    </xf>
    <xf numFmtId="0" fontId="50" fillId="0" borderId="0"/>
    <xf numFmtId="0" fontId="8" fillId="0" borderId="0"/>
    <xf numFmtId="200" fontId="40" fillId="0" borderId="129" applyFill="0">
      <alignment horizontal="right"/>
    </xf>
    <xf numFmtId="3" fontId="27" fillId="0" borderId="129" applyFill="0">
      <alignment horizontal="right"/>
    </xf>
    <xf numFmtId="198" fontId="40" fillId="0" borderId="129" applyFill="0">
      <alignment horizontal="right"/>
    </xf>
    <xf numFmtId="0" fontId="8" fillId="0" borderId="0"/>
    <xf numFmtId="0" fontId="50" fillId="0" borderId="0"/>
    <xf numFmtId="198" fontId="40" fillId="0" borderId="129">
      <alignment horizontal="right"/>
    </xf>
    <xf numFmtId="0" fontId="8" fillId="0" borderId="0"/>
    <xf numFmtId="0" fontId="27" fillId="4" borderId="176" applyNumberFormat="0" applyProtection="0">
      <alignment horizontal="left" vertical="center" wrapText="1"/>
    </xf>
    <xf numFmtId="0" fontId="21" fillId="10" borderId="177" applyNumberFormat="0" applyAlignment="0" applyProtection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9" fillId="80" borderId="189" applyNumberFormat="0" applyProtection="0">
      <alignment horizontal="center" vertical="center"/>
    </xf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27" fillId="0" borderId="129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8" fillId="0" borderId="0"/>
    <xf numFmtId="0" fontId="8" fillId="0" borderId="0"/>
    <xf numFmtId="0" fontId="8" fillId="0" borderId="0"/>
    <xf numFmtId="235" fontId="27" fillId="0" borderId="0"/>
    <xf numFmtId="0" fontId="50" fillId="0" borderId="0"/>
    <xf numFmtId="0" fontId="8" fillId="0" borderId="0"/>
    <xf numFmtId="0" fontId="139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235" fontId="27" fillId="0" borderId="0"/>
    <xf numFmtId="0" fontId="2" fillId="0" borderId="0"/>
    <xf numFmtId="0" fontId="2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50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27" fillId="0" borderId="0"/>
    <xf numFmtId="0" fontId="198" fillId="0" borderId="17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0" fillId="0" borderId="175">
      <alignment horizontal="left" vertical="center"/>
    </xf>
    <xf numFmtId="0" fontId="50" fillId="0" borderId="0"/>
    <xf numFmtId="0" fontId="198" fillId="0" borderId="173" applyNumberFormat="0" applyFill="0" applyAlignment="0" applyProtection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8" fillId="0" borderId="0"/>
    <xf numFmtId="169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5" fontId="27" fillId="0" borderId="0"/>
    <xf numFmtId="0" fontId="50" fillId="0" borderId="0"/>
    <xf numFmtId="0" fontId="27" fillId="30" borderId="193" applyNumberFormat="0" applyFont="0" applyAlignment="0" applyProtection="0"/>
    <xf numFmtId="0" fontId="27" fillId="0" borderId="0">
      <alignment wrapText="1"/>
    </xf>
    <xf numFmtId="0" fontId="8" fillId="0" borderId="0"/>
    <xf numFmtId="0" fontId="8" fillId="0" borderId="0"/>
    <xf numFmtId="0" fontId="8" fillId="0" borderId="0"/>
    <xf numFmtId="0" fontId="108" fillId="0" borderId="0"/>
    <xf numFmtId="0" fontId="27" fillId="0" borderId="0">
      <alignment wrapText="1"/>
    </xf>
    <xf numFmtId="0" fontId="108" fillId="0" borderId="0"/>
    <xf numFmtId="0" fontId="27" fillId="0" borderId="0">
      <alignment wrapText="1"/>
    </xf>
    <xf numFmtId="0" fontId="27" fillId="0" borderId="0">
      <alignment wrapText="1"/>
    </xf>
    <xf numFmtId="0" fontId="10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50" fillId="0" borderId="0"/>
    <xf numFmtId="261" fontId="168" fillId="26" borderId="176" applyFill="0" applyBorder="0" applyAlignment="0" applyProtection="0">
      <alignment horizontal="right"/>
      <protection locked="0"/>
    </xf>
    <xf numFmtId="0" fontId="50" fillId="0" borderId="0"/>
    <xf numFmtId="0" fontId="50" fillId="0" borderId="0"/>
    <xf numFmtId="0" fontId="2" fillId="0" borderId="0"/>
    <xf numFmtId="235" fontId="27" fillId="0" borderId="0"/>
    <xf numFmtId="0" fontId="27" fillId="0" borderId="0">
      <alignment wrapText="1"/>
    </xf>
    <xf numFmtId="0" fontId="8" fillId="0" borderId="0"/>
    <xf numFmtId="0" fontId="50" fillId="0" borderId="0"/>
    <xf numFmtId="0" fontId="8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50" fillId="0" borderId="0"/>
    <xf numFmtId="0" fontId="50" fillId="0" borderId="0"/>
    <xf numFmtId="0" fontId="27" fillId="0" borderId="0">
      <alignment wrapText="1"/>
    </xf>
    <xf numFmtId="0" fontId="8" fillId="0" borderId="0"/>
    <xf numFmtId="0" fontId="8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235" fontId="27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30" borderId="16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4" borderId="163" applyNumberFormat="0" applyProtection="0">
      <alignment horizontal="left"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203" fontId="42" fillId="24" borderId="191"/>
    <xf numFmtId="0" fontId="27" fillId="0" borderId="0"/>
    <xf numFmtId="250" fontId="65" fillId="0" borderId="0" applyFont="0" applyFill="0" applyBorder="0" applyAlignment="0" applyProtection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8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2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2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11" fillId="30" borderId="79" applyNumberFormat="0" applyFont="0" applyAlignment="0" applyProtection="0"/>
    <xf numFmtId="0" fontId="8" fillId="0" borderId="0"/>
    <xf numFmtId="0" fontId="109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257" fontId="157" fillId="0" borderId="0" applyBorder="0" applyProtection="0">
      <alignment horizontal="right"/>
    </xf>
    <xf numFmtId="0" fontId="8" fillId="0" borderId="0"/>
    <xf numFmtId="257" fontId="159" fillId="0" borderId="70" applyBorder="0"/>
    <xf numFmtId="257" fontId="159" fillId="0" borderId="70" applyBorder="0"/>
    <xf numFmtId="258" fontId="160" fillId="0" borderId="0" applyBorder="0" applyProtection="0">
      <alignment horizontal="right"/>
    </xf>
    <xf numFmtId="0" fontId="95" fillId="38" borderId="170">
      <alignment horizontal="left" vertical="center" wrapText="1"/>
    </xf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8" fillId="0" borderId="0"/>
    <xf numFmtId="0" fontId="8" fillId="0" borderId="0"/>
    <xf numFmtId="261" fontId="168" fillId="26" borderId="73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263" fontId="157" fillId="0" borderId="0" applyBorder="0" applyProtection="0">
      <alignment horizontal="right"/>
    </xf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73" fillId="31" borderId="73">
      <alignment horizontal="center" vertical="center" wrapText="1"/>
      <protection hidden="1"/>
    </xf>
    <xf numFmtId="0" fontId="27" fillId="4" borderId="189" applyNumberFormat="0" applyProtection="0">
      <alignment horizontal="left" vertical="center"/>
    </xf>
    <xf numFmtId="167" fontId="174" fillId="0" borderId="0" applyFill="0" applyBorder="0" applyAlignment="0" applyProtection="0"/>
    <xf numFmtId="168" fontId="175" fillId="0" borderId="0"/>
    <xf numFmtId="0" fontId="8" fillId="0" borderId="0"/>
    <xf numFmtId="0" fontId="31" fillId="0" borderId="179" applyNumberFormat="0" applyFont="0" applyFill="0" applyAlignment="0" applyProtection="0"/>
    <xf numFmtId="195" fontId="35" fillId="0" borderId="0" applyNumberFormat="0" applyFill="0">
      <alignment horizontal="left" vertical="center" wrapText="1"/>
    </xf>
    <xf numFmtId="0" fontId="8" fillId="0" borderId="0"/>
    <xf numFmtId="0" fontId="8" fillId="0" borderId="0"/>
    <xf numFmtId="0" fontId="26" fillId="80" borderId="189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2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2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6" fillId="2" borderId="73" applyNumberFormat="0" applyProtection="0">
      <alignment horizontal="left" vertical="center" wrapText="1"/>
    </xf>
    <xf numFmtId="0" fontId="8" fillId="0" borderId="0"/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169" fontId="27" fillId="0" borderId="0" applyFont="0" applyFill="0" applyBorder="0" applyAlignment="0" applyProtection="0"/>
    <xf numFmtId="0" fontId="8" fillId="0" borderId="0"/>
    <xf numFmtId="0" fontId="8" fillId="0" borderId="0"/>
    <xf numFmtId="10" fontId="65" fillId="26" borderId="176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86" applyNumberFormat="0" applyBorder="0" applyAlignment="0" applyProtection="0">
      <alignment vertical="center"/>
    </xf>
    <xf numFmtId="237" fontId="188" fillId="85" borderId="86" applyNumberFormat="0" applyBorder="0" applyAlignment="0" applyProtection="0">
      <alignment vertical="center"/>
    </xf>
    <xf numFmtId="237" fontId="188" fillId="85" borderId="86" applyNumberFormat="0" applyBorder="0" applyAlignment="0" applyProtection="0">
      <alignment vertical="center"/>
    </xf>
    <xf numFmtId="0" fontId="21" fillId="10" borderId="190" applyNumberFormat="0" applyAlignment="0" applyProtection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196" fillId="0" borderId="0" applyNumberFormat="0" applyProtection="0">
      <alignment horizontal="left" vertical="center"/>
    </xf>
    <xf numFmtId="0" fontId="197" fillId="0" borderId="0">
      <alignment horizontal="left"/>
    </xf>
    <xf numFmtId="0" fontId="8" fillId="0" borderId="0"/>
    <xf numFmtId="0" fontId="8" fillId="0" borderId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47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8" fillId="0" borderId="0"/>
    <xf numFmtId="0" fontId="8" fillId="0" borderId="0"/>
    <xf numFmtId="165" fontId="152" fillId="0" borderId="3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" borderId="137" applyNumberFormat="0">
      <alignment horizontal="left" vertical="center"/>
    </xf>
    <xf numFmtId="0" fontId="27" fillId="3" borderId="137" applyNumberFormat="0">
      <alignment horizontal="left" vertical="center"/>
    </xf>
    <xf numFmtId="0" fontId="27" fillId="2" borderId="137" applyNumberFormat="0">
      <alignment horizontal="centerContinuous" vertical="center" wrapText="1"/>
    </xf>
    <xf numFmtId="0" fontId="27" fillId="2" borderId="137" applyNumberFormat="0">
      <alignment horizontal="centerContinuous" vertical="center" wrapText="1"/>
    </xf>
    <xf numFmtId="0" fontId="27" fillId="2" borderId="137" applyNumberFormat="0">
      <alignment horizontal="centerContinuous" vertical="center" wrapText="1"/>
    </xf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0" fontId="26" fillId="80" borderId="73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8" fillId="0" borderId="0"/>
    <xf numFmtId="0" fontId="8" fillId="0" borderId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162" fillId="27" borderId="158" applyNumberFormat="0" applyAlignment="0" applyProtection="0"/>
    <xf numFmtId="0" fontId="8" fillId="0" borderId="0"/>
    <xf numFmtId="0" fontId="8" fillId="0" borderId="0"/>
    <xf numFmtId="0" fontId="14" fillId="27" borderId="78" applyNumberFormat="0" applyAlignment="0" applyProtection="0"/>
    <xf numFmtId="0" fontId="95" fillId="38" borderId="144">
      <alignment horizontal="left" vertical="center" wrapText="1"/>
    </xf>
    <xf numFmtId="0" fontId="8" fillId="0" borderId="0"/>
    <xf numFmtId="0" fontId="27" fillId="30" borderId="79" applyNumberFormat="0" applyFont="0" applyAlignment="0" applyProtection="0"/>
    <xf numFmtId="169" fontId="2" fillId="0" borderId="0" applyFont="0" applyFill="0" applyBorder="0" applyAlignment="0" applyProtection="0"/>
    <xf numFmtId="0" fontId="21" fillId="10" borderId="78" applyNumberFormat="0" applyAlignment="0" applyProtection="0"/>
    <xf numFmtId="0" fontId="8" fillId="0" borderId="0"/>
    <xf numFmtId="0" fontId="8" fillId="0" borderId="0"/>
    <xf numFmtId="0" fontId="8" fillId="0" borderId="0"/>
    <xf numFmtId="0" fontId="27" fillId="3" borderId="137" applyNumberFormat="0">
      <alignment horizontal="left" vertical="center"/>
    </xf>
    <xf numFmtId="0" fontId="8" fillId="0" borderId="0"/>
    <xf numFmtId="0" fontId="27" fillId="4" borderId="163" applyNumberFormat="0" applyProtection="0">
      <alignment horizontal="left" vertical="center" wrapText="1"/>
    </xf>
    <xf numFmtId="0" fontId="8" fillId="0" borderId="0"/>
    <xf numFmtId="0" fontId="26" fillId="80" borderId="163" applyNumberFormat="0" applyProtection="0">
      <alignment horizontal="center" vertical="center" wrapText="1"/>
    </xf>
    <xf numFmtId="0" fontId="21" fillId="10" borderId="137" applyNumberFormat="0" applyAlignment="0" applyProtection="0"/>
    <xf numFmtId="43" fontId="2" fillId="0" borderId="0" applyFont="0" applyFill="0" applyBorder="0" applyAlignment="0" applyProtection="0"/>
    <xf numFmtId="0" fontId="21" fillId="10" borderId="137" applyNumberFormat="0" applyAlignment="0" applyProtection="0"/>
    <xf numFmtId="10" fontId="65" fillId="26" borderId="135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27" borderId="19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8" fillId="0" borderId="0"/>
    <xf numFmtId="0" fontId="8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30" borderId="19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0" fillId="0" borderId="143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0" fillId="0" borderId="143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7" fillId="35" borderId="135" applyNumberFormat="0" applyFont="0" applyBorder="0" applyAlignment="0" applyProtection="0"/>
    <xf numFmtId="43" fontId="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67" fillId="0" borderId="84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" fontId="75" fillId="33" borderId="142" applyNumberFormat="0" applyBorder="0" applyAlignment="0">
      <alignment horizontal="centerContinuous" vertical="center"/>
      <protection locked="0"/>
    </xf>
    <xf numFmtId="1" fontId="75" fillId="33" borderId="142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1" fontId="75" fillId="33" borderId="169" applyNumberFormat="0" applyBorder="0" applyAlignment="0">
      <alignment horizontal="centerContinuous" vertical="center"/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254" fontId="2" fillId="0" borderId="0"/>
    <xf numFmtId="44" fontId="11" fillId="0" borderId="0" applyFont="0" applyFill="0" applyBorder="0" applyAlignment="0" applyProtection="0"/>
    <xf numFmtId="0" fontId="27" fillId="0" borderId="73"/>
    <xf numFmtId="0" fontId="2" fillId="0" borderId="0"/>
    <xf numFmtId="0" fontId="2" fillId="0" borderId="0"/>
    <xf numFmtId="0" fontId="2" fillId="0" borderId="0"/>
    <xf numFmtId="0" fontId="8" fillId="0" borderId="0"/>
    <xf numFmtId="254" fontId="2" fillId="0" borderId="0"/>
    <xf numFmtId="254" fontId="2" fillId="0" borderId="0"/>
    <xf numFmtId="0" fontId="8" fillId="0" borderId="0"/>
    <xf numFmtId="0" fontId="2" fillId="0" borderId="0"/>
    <xf numFmtId="254" fontId="2" fillId="0" borderId="0"/>
    <xf numFmtId="0" fontId="2" fillId="0" borderId="0"/>
    <xf numFmtId="0" fontId="8" fillId="0" borderId="0"/>
    <xf numFmtId="254" fontId="2" fillId="0" borderId="0"/>
    <xf numFmtId="0" fontId="2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" fillId="0" borderId="0"/>
    <xf numFmtId="0" fontId="27" fillId="0" borderId="0"/>
    <xf numFmtId="235" fontId="27" fillId="0" borderId="0"/>
    <xf numFmtId="0" fontId="27" fillId="0" borderId="0"/>
    <xf numFmtId="235" fontId="27" fillId="0" borderId="0"/>
    <xf numFmtId="254" fontId="2" fillId="0" borderId="0"/>
    <xf numFmtId="0" fontId="27" fillId="0" borderId="0"/>
    <xf numFmtId="235" fontId="27" fillId="0" borderId="0"/>
    <xf numFmtId="0" fontId="2" fillId="0" borderId="0"/>
    <xf numFmtId="235" fontId="27" fillId="0" borderId="0"/>
    <xf numFmtId="254" fontId="2" fillId="0" borderId="0"/>
    <xf numFmtId="0" fontId="2" fillId="0" borderId="0"/>
    <xf numFmtId="0" fontId="27" fillId="0" borderId="0"/>
    <xf numFmtId="254" fontId="2" fillId="0" borderId="0"/>
    <xf numFmtId="0" fontId="2" fillId="0" borderId="0"/>
    <xf numFmtId="254" fontId="2" fillId="0" borderId="0"/>
    <xf numFmtId="0" fontId="29" fillId="0" borderId="0"/>
    <xf numFmtId="0" fontId="27" fillId="0" borderId="0"/>
    <xf numFmtId="0" fontId="65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8" fillId="0" borderId="0"/>
    <xf numFmtId="9" fontId="27" fillId="0" borderId="0" applyFont="0" applyFill="0" applyBorder="0" applyAlignment="0" applyProtection="0"/>
    <xf numFmtId="42" fontId="174" fillId="0" borderId="0" applyFill="0" applyBorder="0" applyAlignment="0" applyProtection="0"/>
    <xf numFmtId="41" fontId="175" fillId="0" borderId="0"/>
    <xf numFmtId="0" fontId="178" fillId="0" borderId="0"/>
    <xf numFmtId="41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254" fontId="26" fillId="81" borderId="73" applyNumberFormat="0" applyProtection="0">
      <alignment horizontal="center" vertical="center" wrapText="1"/>
    </xf>
    <xf numFmtId="44" fontId="27" fillId="0" borderId="0" applyFont="0" applyFill="0" applyBorder="0" applyAlignment="0" applyProtection="0"/>
    <xf numFmtId="0" fontId="8" fillId="0" borderId="0"/>
    <xf numFmtId="43" fontId="27" fillId="0" borderId="0" applyFont="0" applyFill="0" applyBorder="0" applyAlignment="0" applyProtection="0"/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 wrapText="1"/>
    </xf>
    <xf numFmtId="0" fontId="2" fillId="0" borderId="0"/>
    <xf numFmtId="0" fontId="2" fillId="0" borderId="0"/>
    <xf numFmtId="0" fontId="27" fillId="4" borderId="73" applyNumberFormat="0" applyProtection="0">
      <alignment horizontal="left" vertical="center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137" fillId="0" borderId="0" applyFont="0" applyFill="0" applyBorder="0" applyAlignment="0" applyProtection="0"/>
    <xf numFmtId="0" fontId="21" fillId="10" borderId="137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27" fillId="30" borderId="79" applyNumberFormat="0" applyFont="0" applyAlignment="0" applyProtection="0"/>
    <xf numFmtId="0" fontId="31" fillId="0" borderId="77" applyNumberFormat="0" applyFont="0" applyFill="0" applyAlignment="0" applyProtection="0"/>
    <xf numFmtId="0" fontId="31" fillId="0" borderId="77" applyNumberFormat="0" applyFont="0" applyFill="0" applyAlignment="0" applyProtection="0"/>
    <xf numFmtId="0" fontId="31" fillId="0" borderId="77" applyNumberFormat="0" applyFont="0" applyFill="0" applyAlignment="0" applyProtection="0"/>
    <xf numFmtId="0" fontId="80" fillId="0" borderId="70">
      <alignment horizontal="left" vertical="center"/>
    </xf>
    <xf numFmtId="0" fontId="80" fillId="0" borderId="70">
      <alignment horizontal="left" vertical="center"/>
    </xf>
    <xf numFmtId="257" fontId="159" fillId="0" borderId="70" applyBorder="0"/>
    <xf numFmtId="257" fontId="159" fillId="0" borderId="70" applyBorder="0"/>
    <xf numFmtId="0" fontId="8" fillId="0" borderId="0"/>
    <xf numFmtId="0" fontId="27" fillId="4" borderId="189" applyNumberFormat="0" applyProtection="0">
      <alignment horizontal="left" vertical="center"/>
    </xf>
    <xf numFmtId="235" fontId="27" fillId="0" borderId="0"/>
    <xf numFmtId="44" fontId="27" fillId="0" borderId="0" applyFont="0" applyFill="0" applyBorder="0" applyAlignment="0" applyProtection="0"/>
    <xf numFmtId="235" fontId="27" fillId="0" borderId="0"/>
    <xf numFmtId="0" fontId="27" fillId="0" borderId="0"/>
    <xf numFmtId="235" fontId="27" fillId="0" borderId="0"/>
    <xf numFmtId="235" fontId="27" fillId="0" borderId="0"/>
    <xf numFmtId="235" fontId="27" fillId="0" borderId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170" fontId="27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0" fontId="27" fillId="30" borderId="79" applyNumberFormat="0" applyFont="0" applyAlignment="0" applyProtection="0"/>
    <xf numFmtId="169" fontId="58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0" borderId="73"/>
    <xf numFmtId="0" fontId="77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205" fillId="0" borderId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7" fillId="0" borderId="0"/>
    <xf numFmtId="9" fontId="27" fillId="0" borderId="0" applyFont="0" applyFill="0" applyBorder="0" applyAlignment="0" applyProtection="0"/>
    <xf numFmtId="0" fontId="2" fillId="0" borderId="0"/>
    <xf numFmtId="0" fontId="57" fillId="0" borderId="0"/>
    <xf numFmtId="0" fontId="2" fillId="0" borderId="0"/>
    <xf numFmtId="170" fontId="27" fillId="0" borderId="0" applyFont="0" applyFill="0" applyBorder="0" applyAlignment="0" applyProtection="0"/>
    <xf numFmtId="0" fontId="2" fillId="0" borderId="0"/>
    <xf numFmtId="235" fontId="27" fillId="0" borderId="0"/>
    <xf numFmtId="44" fontId="27" fillId="0" borderId="0" applyFont="0" applyFill="0" applyBorder="0" applyAlignment="0" applyProtection="0"/>
    <xf numFmtId="0" fontId="2" fillId="0" borderId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0" borderId="73"/>
    <xf numFmtId="0" fontId="27" fillId="0" borderId="73"/>
    <xf numFmtId="0" fontId="2" fillId="0" borderId="0"/>
    <xf numFmtId="0" fontId="2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0" fontId="27" fillId="0" borderId="0" applyFont="0" applyFill="0" applyBorder="0" applyAlignment="0" applyProtection="0"/>
    <xf numFmtId="0" fontId="2" fillId="0" borderId="0"/>
    <xf numFmtId="235" fontId="27" fillId="0" borderId="0"/>
    <xf numFmtId="44" fontId="2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73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9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73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6" fillId="80" borderId="73" applyNumberFormat="0" applyProtection="0">
      <alignment horizontal="center" vertical="center" wrapText="1"/>
    </xf>
    <xf numFmtId="0" fontId="179" fillId="80" borderId="73" applyNumberFormat="0" applyProtection="0">
      <alignment horizontal="center" vertical="center"/>
    </xf>
    <xf numFmtId="0" fontId="27" fillId="0" borderId="73"/>
    <xf numFmtId="0" fontId="27" fillId="0" borderId="73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27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7" fillId="0" borderId="73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235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0" borderId="73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73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73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6" fillId="80" borderId="73" applyNumberFormat="0" applyProtection="0">
      <alignment horizontal="center" vertical="center" wrapText="1"/>
    </xf>
    <xf numFmtId="0" fontId="179" fillId="80" borderId="73" applyNumberFormat="0" applyProtection="0">
      <alignment horizontal="center" vertical="center"/>
    </xf>
    <xf numFmtId="0" fontId="27" fillId="0" borderId="73"/>
    <xf numFmtId="0" fontId="27" fillId="0" borderId="73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27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7" fillId="0" borderId="73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7" fillId="0" borderId="73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7" fillId="2" borderId="78" applyNumberFormat="0">
      <alignment horizontal="centerContinuous" vertical="center" wrapText="1"/>
    </xf>
    <xf numFmtId="0" fontId="27" fillId="2" borderId="78" applyNumberFormat="0">
      <alignment horizontal="centerContinuous" vertical="center" wrapText="1"/>
    </xf>
    <xf numFmtId="0" fontId="27" fillId="2" borderId="78" applyNumberFormat="0">
      <alignment horizontal="centerContinuous" vertical="center" wrapText="1"/>
    </xf>
    <xf numFmtId="0" fontId="27" fillId="3" borderId="78" applyNumberFormat="0">
      <alignment horizontal="left" vertical="center"/>
    </xf>
    <xf numFmtId="0" fontId="27" fillId="3" borderId="78" applyNumberFormat="0">
      <alignment horizontal="left" vertical="center"/>
    </xf>
    <xf numFmtId="0" fontId="27" fillId="3" borderId="78" applyNumberFormat="0">
      <alignment horizontal="left" vertical="center"/>
    </xf>
    <xf numFmtId="203" fontId="42" fillId="24" borderId="82"/>
    <xf numFmtId="203" fontId="42" fillId="24" borderId="82"/>
    <xf numFmtId="203" fontId="42" fillId="24" borderId="82"/>
    <xf numFmtId="0" fontId="14" fillId="27" borderId="78" applyNumberFormat="0" applyAlignment="0" applyProtection="0"/>
    <xf numFmtId="0" fontId="14" fillId="27" borderId="78" applyNumberFormat="0" applyAlignment="0" applyProtection="0"/>
    <xf numFmtId="0" fontId="115" fillId="68" borderId="34" applyNumberFormat="0" applyAlignment="0" applyProtection="0"/>
    <xf numFmtId="0" fontId="14" fillId="27" borderId="78" applyNumberFormat="0" applyAlignment="0" applyProtection="0"/>
    <xf numFmtId="0" fontId="115" fillId="68" borderId="34" applyNumberFormat="0" applyAlignment="0" applyProtection="0"/>
    <xf numFmtId="0" fontId="115" fillId="68" borderId="34" applyNumberFormat="0" applyAlignment="0" applyProtection="0"/>
    <xf numFmtId="0" fontId="14" fillId="27" borderId="78" applyNumberFormat="0" applyAlignment="0" applyProtection="0"/>
    <xf numFmtId="0" fontId="115" fillId="68" borderId="34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170" fontId="2" fillId="0" borderId="0" applyFont="0" applyFill="0" applyBorder="0" applyAlignment="0" applyProtection="0"/>
    <xf numFmtId="170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3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39" fillId="0" borderId="0" applyFont="0" applyFill="0" applyBorder="0" applyAlignment="0" applyProtection="0"/>
    <xf numFmtId="170" fontId="109" fillId="0" borderId="0" applyFont="0" applyFill="0" applyBorder="0" applyAlignment="0" applyProtection="0"/>
    <xf numFmtId="166" fontId="67" fillId="0" borderId="84">
      <protection locked="0"/>
    </xf>
    <xf numFmtId="166" fontId="67" fillId="0" borderId="84">
      <protection locked="0"/>
    </xf>
    <xf numFmtId="166" fontId="67" fillId="0" borderId="84">
      <protection locked="0"/>
    </xf>
    <xf numFmtId="169" fontId="27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7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" fontId="75" fillId="33" borderId="76" applyNumberFormat="0" applyBorder="0" applyAlignment="0">
      <alignment horizontal="centerContinuous" vertical="center"/>
      <protection locked="0"/>
    </xf>
    <xf numFmtId="1" fontId="75" fillId="33" borderId="76" applyNumberFormat="0" applyBorder="0" applyAlignment="0">
      <alignment horizontal="centerContinuous" vertical="center"/>
      <protection locked="0"/>
    </xf>
    <xf numFmtId="1" fontId="75" fillId="33" borderId="76" applyNumberFormat="0" applyBorder="0" applyAlignment="0">
      <alignment horizontal="centerContinuous" vertical="center"/>
      <protection locked="0"/>
    </xf>
    <xf numFmtId="0" fontId="90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21" fillId="10" borderId="78" applyNumberFormat="0" applyAlignment="0" applyProtection="0"/>
    <xf numFmtId="0" fontId="132" fillId="71" borderId="34" applyNumberFormat="0" applyAlignment="0" applyProtection="0"/>
    <xf numFmtId="0" fontId="21" fillId="10" borderId="78" applyNumberFormat="0" applyAlignment="0" applyProtection="0"/>
    <xf numFmtId="0" fontId="132" fillId="71" borderId="34" applyNumberFormat="0" applyAlignment="0" applyProtection="0"/>
    <xf numFmtId="0" fontId="132" fillId="71" borderId="34" applyNumberFormat="0" applyAlignment="0" applyProtection="0"/>
    <xf numFmtId="0" fontId="21" fillId="10" borderId="78" applyNumberFormat="0" applyAlignment="0" applyProtection="0"/>
    <xf numFmtId="0" fontId="132" fillId="71" borderId="34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95" fillId="38" borderId="85">
      <alignment horizontal="left" vertical="center" wrapText="1"/>
    </xf>
    <xf numFmtId="0" fontId="95" fillId="38" borderId="85">
      <alignment horizontal="left" vertical="center" wrapText="1"/>
    </xf>
    <xf numFmtId="0" fontId="95" fillId="38" borderId="85">
      <alignment horizontal="left" vertical="center" wrapText="1"/>
    </xf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7" fillId="0" borderId="0"/>
    <xf numFmtId="0" fontId="50" fillId="0" borderId="0"/>
    <xf numFmtId="0" fontId="50" fillId="0" borderId="0"/>
    <xf numFmtId="0" fontId="29" fillId="0" borderId="0">
      <alignment vertical="top"/>
    </xf>
    <xf numFmtId="0" fontId="29" fillId="0" borderId="0">
      <alignment vertical="top"/>
    </xf>
    <xf numFmtId="0" fontId="50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0" fontId="27" fillId="0" borderId="0"/>
    <xf numFmtId="0" fontId="50" fillId="0" borderId="0"/>
    <xf numFmtId="0" fontId="50" fillId="0" borderId="0"/>
    <xf numFmtId="235" fontId="27" fillId="0" borderId="0"/>
    <xf numFmtId="0" fontId="27" fillId="0" borderId="0"/>
    <xf numFmtId="0" fontId="7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7" fillId="0" borderId="0"/>
    <xf numFmtId="0" fontId="27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0" fontId="50" fillId="0" borderId="0"/>
    <xf numFmtId="0" fontId="2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0" fontId="50" fillId="0" borderId="0"/>
    <xf numFmtId="0" fontId="13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0" fontId="2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0" fontId="50" fillId="0" borderId="0"/>
    <xf numFmtId="0" fontId="27" fillId="0" borderId="0">
      <alignment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235" fontId="27" fillId="0" borderId="0"/>
    <xf numFmtId="0" fontId="27" fillId="0" borderId="0">
      <alignment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>
      <alignment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08" fillId="73" borderId="41" applyNumberFormat="0" applyFont="0" applyAlignment="0" applyProtection="0"/>
    <xf numFmtId="0" fontId="156" fillId="73" borderId="41" applyNumberFormat="0" applyFont="0" applyAlignment="0" applyProtection="0"/>
    <xf numFmtId="0" fontId="2" fillId="73" borderId="41" applyNumberFormat="0" applyFont="0" applyAlignment="0" applyProtection="0"/>
    <xf numFmtId="0" fontId="11" fillId="30" borderId="79" applyNumberFormat="0" applyFont="0" applyAlignment="0" applyProtection="0"/>
    <xf numFmtId="0" fontId="108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2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56" fillId="73" borderId="41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3" fillId="68" borderId="4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5" fontId="35" fillId="0" borderId="0" applyNumberFormat="0" applyFill="0">
      <alignment horizontal="left" vertical="center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80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0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81" fillId="82" borderId="0" applyNumberFormat="0" applyBorder="0" applyAlignment="0" applyProtection="0"/>
    <xf numFmtId="237" fontId="188" fillId="85" borderId="86" applyNumberFormat="0" applyBorder="0" applyAlignment="0" applyProtection="0">
      <alignment vertical="center"/>
    </xf>
    <xf numFmtId="237" fontId="188" fillId="85" borderId="86" applyNumberFormat="0" applyBorder="0" applyAlignment="0" applyProtection="0">
      <alignment vertical="center"/>
    </xf>
    <xf numFmtId="237" fontId="188" fillId="85" borderId="86" applyNumberFormat="0" applyBorder="0" applyAlignment="0" applyProtection="0">
      <alignment vertical="center"/>
    </xf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9" fillId="0" borderId="42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8" fillId="0" borderId="0"/>
    <xf numFmtId="0" fontId="26" fillId="80" borderId="73" applyNumberFormat="0" applyProtection="0">
      <alignment horizontal="center" vertical="center" wrapText="1"/>
    </xf>
    <xf numFmtId="0" fontId="27" fillId="30" borderId="79" applyNumberFormat="0" applyFont="0" applyAlignment="0" applyProtection="0"/>
    <xf numFmtId="0" fontId="8" fillId="0" borderId="0"/>
    <xf numFmtId="0" fontId="8" fillId="0" borderId="0"/>
    <xf numFmtId="0" fontId="14" fillId="27" borderId="190" applyNumberFormat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67" fillId="0" borderId="84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254" fontId="26" fillId="81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 wrapText="1"/>
    </xf>
    <xf numFmtId="0" fontId="2" fillId="0" borderId="0"/>
    <xf numFmtId="0" fontId="2" fillId="0" borderId="0"/>
    <xf numFmtId="0" fontId="27" fillId="2" borderId="78" applyNumberFormat="0">
      <alignment horizontal="centerContinuous" vertical="center" wrapText="1"/>
    </xf>
    <xf numFmtId="0" fontId="27" fillId="2" borderId="78" applyNumberFormat="0">
      <alignment horizontal="centerContinuous" vertical="center" wrapText="1"/>
    </xf>
    <xf numFmtId="0" fontId="27" fillId="2" borderId="78" applyNumberFormat="0">
      <alignment horizontal="centerContinuous" vertical="center" wrapText="1"/>
    </xf>
    <xf numFmtId="0" fontId="27" fillId="3" borderId="78" applyNumberFormat="0">
      <alignment horizontal="left" vertical="center"/>
    </xf>
    <xf numFmtId="0" fontId="27" fillId="3" borderId="78" applyNumberFormat="0">
      <alignment horizontal="left" vertical="center"/>
    </xf>
    <xf numFmtId="0" fontId="27" fillId="3" borderId="78" applyNumberFormat="0">
      <alignment horizontal="left" vertical="center"/>
    </xf>
    <xf numFmtId="167" fontId="39" fillId="0" borderId="3" applyFont="0"/>
    <xf numFmtId="203" fontId="42" fillId="24" borderId="82"/>
    <xf numFmtId="203" fontId="42" fillId="24" borderId="82"/>
    <xf numFmtId="203" fontId="42" fillId="24" borderId="82"/>
    <xf numFmtId="0" fontId="8" fillId="0" borderId="0"/>
    <xf numFmtId="0" fontId="31" fillId="0" borderId="77" applyNumberFormat="0" applyFont="0" applyFill="0" applyAlignment="0" applyProtection="0"/>
    <xf numFmtId="0" fontId="31" fillId="0" borderId="77" applyNumberFormat="0" applyFont="0" applyFill="0" applyAlignment="0" applyProtection="0"/>
    <xf numFmtId="0" fontId="31" fillId="0" borderId="77" applyNumberFormat="0" applyFont="0" applyFill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166" fontId="67" fillId="0" borderId="84">
      <protection locked="0"/>
    </xf>
    <xf numFmtId="166" fontId="67" fillId="0" borderId="84">
      <protection locked="0"/>
    </xf>
    <xf numFmtId="166" fontId="67" fillId="0" borderId="84">
      <protection locked="0"/>
    </xf>
    <xf numFmtId="0" fontId="8" fillId="0" borderId="0"/>
    <xf numFmtId="1" fontId="75" fillId="33" borderId="76" applyNumberFormat="0" applyBorder="0" applyAlignment="0">
      <alignment horizontal="centerContinuous" vertical="center"/>
      <protection locked="0"/>
    </xf>
    <xf numFmtId="1" fontId="75" fillId="33" borderId="76" applyNumberFormat="0" applyBorder="0" applyAlignment="0">
      <alignment horizontal="centerContinuous" vertical="center"/>
      <protection locked="0"/>
    </xf>
    <xf numFmtId="1" fontId="75" fillId="33" borderId="76" applyNumberFormat="0" applyBorder="0" applyAlignment="0">
      <alignment horizontal="centerContinuous" vertical="center"/>
      <protection locked="0"/>
    </xf>
    <xf numFmtId="173" fontId="27" fillId="35" borderId="73" applyNumberFormat="0" applyFont="0" applyBorder="0" applyAlignment="0" applyProtection="0"/>
    <xf numFmtId="10" fontId="65" fillId="26" borderId="73" applyNumberFormat="0" applyBorder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95" fillId="38" borderId="85">
      <alignment horizontal="left" vertical="center" wrapText="1"/>
    </xf>
    <xf numFmtId="0" fontId="95" fillId="38" borderId="85">
      <alignment horizontal="left" vertical="center" wrapText="1"/>
    </xf>
    <xf numFmtId="0" fontId="95" fillId="38" borderId="85">
      <alignment horizontal="left" vertical="center" wrapText="1"/>
    </xf>
    <xf numFmtId="9" fontId="2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26" fillId="80" borderId="73" applyNumberFormat="0" applyProtection="0">
      <alignment horizontal="center" vertical="center"/>
    </xf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30" borderId="79" applyNumberFormat="0" applyFon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7" fillId="4" borderId="73" applyNumberFormat="0" applyProtection="0">
      <alignment horizontal="left" vertical="center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1" fillId="30" borderId="7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30" borderId="79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73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7" fillId="0" borderId="0" applyFont="0" applyFill="0" applyBorder="0" applyAlignment="0" applyProtection="0"/>
    <xf numFmtId="0" fontId="26" fillId="2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73"/>
    <xf numFmtId="0" fontId="21" fillId="10" borderId="78" applyNumberFormat="0" applyAlignment="0" applyProtection="0"/>
    <xf numFmtId="0" fontId="27" fillId="30" borderId="79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27" borderId="78" applyNumberFormat="0" applyAlignment="0" applyProtection="0"/>
    <xf numFmtId="0" fontId="27" fillId="0" borderId="73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26" fillId="80" borderId="73" applyNumberFormat="0" applyProtection="0">
      <alignment horizontal="center" vertical="center"/>
    </xf>
    <xf numFmtId="0" fontId="198" fillId="0" borderId="81" applyNumberFormat="0" applyFill="0" applyAlignment="0" applyProtection="0"/>
    <xf numFmtId="235" fontId="27" fillId="0" borderId="0"/>
    <xf numFmtId="0" fontId="162" fillId="27" borderId="80" applyNumberFormat="0" applyAlignment="0" applyProtection="0"/>
    <xf numFmtId="0" fontId="11" fillId="30" borderId="79" applyNumberFormat="0" applyFont="0" applyAlignment="0" applyProtection="0"/>
    <xf numFmtId="0" fontId="21" fillId="10" borderId="78" applyNumberFormat="0" applyAlignment="0" applyProtection="0"/>
    <xf numFmtId="0" fontId="21" fillId="10" borderId="78" applyNumberFormat="0" applyAlignment="0" applyProtection="0"/>
    <xf numFmtId="0" fontId="27" fillId="30" borderId="79" applyNumberFormat="0" applyFont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27" fillId="30" borderId="79" applyNumberFormat="0" applyFont="0" applyAlignment="0" applyProtection="0"/>
    <xf numFmtId="0" fontId="2" fillId="0" borderId="0"/>
    <xf numFmtId="170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6" fillId="80" borderId="73" applyNumberFormat="0" applyProtection="0">
      <alignment horizontal="center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73"/>
    <xf numFmtId="0" fontId="27" fillId="0" borderId="73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7" fillId="0" borderId="0" applyFont="0" applyFill="0" applyBorder="0" applyAlignment="0" applyProtection="0"/>
    <xf numFmtId="235" fontId="27" fillId="0" borderId="0"/>
    <xf numFmtId="0" fontId="2" fillId="0" borderId="0"/>
    <xf numFmtId="170" fontId="2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98" fillId="0" borderId="81" applyNumberFormat="0" applyFill="0" applyAlignment="0" applyProtection="0"/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 wrapText="1"/>
    </xf>
    <xf numFmtId="0" fontId="26" fillId="2" borderId="73" applyNumberFormat="0" applyProtection="0">
      <alignment horizontal="left" vertical="center" wrapText="1"/>
    </xf>
    <xf numFmtId="0" fontId="27" fillId="4" borderId="73" applyNumberFormat="0" applyProtection="0">
      <alignment horizontal="left" vertical="center"/>
    </xf>
    <xf numFmtId="0" fontId="27" fillId="4" borderId="73" applyNumberFormat="0" applyProtection="0">
      <alignment horizontal="left" vertical="center"/>
    </xf>
    <xf numFmtId="0" fontId="26" fillId="80" borderId="73" applyNumberFormat="0" applyProtection="0">
      <alignment horizontal="center" vertical="center" wrapText="1"/>
    </xf>
    <xf numFmtId="0" fontId="26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179" fillId="80" borderId="73" applyNumberFormat="0" applyProtection="0">
      <alignment horizontal="center" vertical="center"/>
    </xf>
    <xf numFmtId="9" fontId="2" fillId="0" borderId="0" applyFont="0" applyFill="0" applyBorder="0" applyAlignment="0" applyProtection="0"/>
    <xf numFmtId="0" fontId="162" fillId="27" borderId="80" applyNumberFormat="0" applyAlignment="0" applyProtection="0"/>
    <xf numFmtId="0" fontId="11" fillId="30" borderId="79" applyNumberFormat="0" applyFont="0" applyAlignment="0" applyProtection="0"/>
    <xf numFmtId="0" fontId="2" fillId="0" borderId="0"/>
    <xf numFmtId="0" fontId="2" fillId="0" borderId="0"/>
    <xf numFmtId="0" fontId="27" fillId="0" borderId="73"/>
    <xf numFmtId="0" fontId="27" fillId="0" borderId="73"/>
    <xf numFmtId="0" fontId="21" fillId="10" borderId="7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7" fillId="0" borderId="0" applyFont="0" applyFill="0" applyBorder="0" applyAlignment="0" applyProtection="0"/>
    <xf numFmtId="235" fontId="27" fillId="0" borderId="0"/>
    <xf numFmtId="0" fontId="2" fillId="0" borderId="0"/>
    <xf numFmtId="170" fontId="27" fillId="0" borderId="0" applyFont="0" applyFill="0" applyBorder="0" applyAlignment="0" applyProtection="0"/>
    <xf numFmtId="235" fontId="206" fillId="0" borderId="0" applyNumberFormat="0" applyFill="0" applyBorder="0" applyAlignment="0" applyProtection="0"/>
    <xf numFmtId="0" fontId="57" fillId="0" borderId="0"/>
    <xf numFmtId="0" fontId="2" fillId="0" borderId="0"/>
    <xf numFmtId="9" fontId="27" fillId="0" borderId="0" applyFont="0" applyFill="0" applyBorder="0" applyAlignment="0" applyProtection="0"/>
    <xf numFmtId="0" fontId="27" fillId="0" borderId="0"/>
    <xf numFmtId="235" fontId="27" fillId="0" borderId="0"/>
    <xf numFmtId="0" fontId="77" fillId="0" borderId="0"/>
    <xf numFmtId="0" fontId="27" fillId="0" borderId="73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65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/>
    <xf numFmtId="170" fontId="65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27" fillId="0" borderId="0" applyFont="0" applyFill="0" applyBorder="0" applyAlignment="0" applyProtection="0"/>
    <xf numFmtId="235" fontId="27" fillId="0" borderId="0"/>
    <xf numFmtId="235" fontId="27" fillId="0" borderId="0"/>
    <xf numFmtId="235" fontId="27" fillId="0" borderId="0"/>
    <xf numFmtId="0" fontId="27" fillId="0" borderId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1" fillId="30" borderId="79" applyNumberFormat="0" applyFon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0" fontId="162" fillId="27" borderId="80" applyNumberFormat="0" applyAlignment="0" applyProtection="0"/>
    <xf numFmtId="261" fontId="168" fillId="26" borderId="73" applyFill="0" applyBorder="0" applyAlignment="0" applyProtection="0">
      <alignment horizontal="right"/>
      <protection locked="0"/>
    </xf>
    <xf numFmtId="235" fontId="27" fillId="0" borderId="0"/>
    <xf numFmtId="235" fontId="27" fillId="0" borderId="0"/>
    <xf numFmtId="0" fontId="173" fillId="31" borderId="73">
      <alignment horizontal="center" vertical="center" wrapText="1"/>
      <protection hidden="1"/>
    </xf>
    <xf numFmtId="235" fontId="27" fillId="0" borderId="0"/>
    <xf numFmtId="0" fontId="26" fillId="80" borderId="73" applyNumberFormat="0" applyProtection="0">
      <alignment horizontal="center" vertical="center"/>
    </xf>
    <xf numFmtId="237" fontId="188" fillId="85" borderId="86" applyNumberFormat="0" applyBorder="0" applyAlignment="0" applyProtection="0">
      <alignment vertical="center"/>
    </xf>
    <xf numFmtId="237" fontId="188" fillId="85" borderId="86" applyNumberFormat="0" applyBorder="0" applyAlignment="0" applyProtection="0">
      <alignment vertical="center"/>
    </xf>
    <xf numFmtId="237" fontId="188" fillId="85" borderId="86" applyNumberFormat="0" applyBorder="0" applyAlignment="0" applyProtection="0">
      <alignment vertical="center"/>
    </xf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0" fontId="198" fillId="0" borderId="81" applyNumberFormat="0" applyFill="0" applyAlignment="0" applyProtection="0"/>
    <xf numFmtId="165" fontId="152" fillId="0" borderId="3" applyFill="0" applyAlignment="0" applyProtection="0"/>
    <xf numFmtId="0" fontId="8" fillId="0" borderId="0"/>
    <xf numFmtId="235" fontId="27" fillId="0" borderId="0"/>
    <xf numFmtId="0" fontId="26" fillId="80" borderId="73" applyNumberFormat="0" applyProtection="0">
      <alignment horizontal="center" vertical="center" wrapText="1"/>
    </xf>
    <xf numFmtId="0" fontId="14" fillId="27" borderId="78" applyNumberFormat="0" applyAlignment="0" applyProtection="0"/>
    <xf numFmtId="0" fontId="27" fillId="30" borderId="79" applyNumberFormat="0" applyFont="0" applyAlignment="0" applyProtection="0"/>
    <xf numFmtId="0" fontId="21" fillId="10" borderId="78" applyNumberFormat="0" applyAlignment="0" applyProtection="0"/>
    <xf numFmtId="44" fontId="27" fillId="0" borderId="0" applyFont="0" applyFill="0" applyBorder="0" applyAlignment="0" applyProtection="0"/>
    <xf numFmtId="42" fontId="39" fillId="0" borderId="3" applyFont="0"/>
    <xf numFmtId="8" fontId="67" fillId="0" borderId="84">
      <protection locked="0"/>
    </xf>
    <xf numFmtId="0" fontId="27" fillId="0" borderId="73"/>
    <xf numFmtId="0" fontId="27" fillId="30" borderId="79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4" fillId="27" borderId="78" applyNumberFormat="0" applyAlignment="0" applyProtection="0"/>
    <xf numFmtId="0" fontId="14" fillId="27" borderId="78" applyNumberFormat="0" applyAlignment="0" applyProtection="0"/>
    <xf numFmtId="0" fontId="205" fillId="0" borderId="0"/>
    <xf numFmtId="169" fontId="27" fillId="0" borderId="0" applyFont="0" applyFill="0" applyBorder="0" applyAlignment="0" applyProtection="0"/>
    <xf numFmtId="0" fontId="27" fillId="0" borderId="0"/>
    <xf numFmtId="254" fontId="26" fillId="81" borderId="73" applyNumberFormat="0" applyProtection="0">
      <alignment horizontal="center" vertical="center" wrapText="1"/>
    </xf>
    <xf numFmtId="6" fontId="152" fillId="0" borderId="3" applyFill="0" applyAlignment="0" applyProtection="0"/>
    <xf numFmtId="235" fontId="27" fillId="0" borderId="0"/>
    <xf numFmtId="0" fontId="26" fillId="80" borderId="73" applyNumberFormat="0" applyProtection="0">
      <alignment horizontal="center" vertical="center" wrapText="1"/>
    </xf>
    <xf numFmtId="0" fontId="2" fillId="0" borderId="0"/>
    <xf numFmtId="0" fontId="26" fillId="80" borderId="73" applyNumberFormat="0" applyProtection="0">
      <alignment horizontal="center" vertical="center" wrapText="1"/>
    </xf>
    <xf numFmtId="0" fontId="2" fillId="0" borderId="0"/>
    <xf numFmtId="44" fontId="27" fillId="0" borderId="0" applyFont="0" applyFill="0" applyBorder="0" applyAlignment="0" applyProtection="0"/>
    <xf numFmtId="0" fontId="21" fillId="10" borderId="96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203" fontId="42" fillId="24" borderId="89"/>
    <xf numFmtId="0" fontId="95" fillId="38" borderId="103">
      <alignment horizontal="left" vertical="center" wrapText="1"/>
    </xf>
    <xf numFmtId="1" fontId="75" fillId="33" borderId="100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27" fillId="30" borderId="92" applyNumberFormat="0" applyFont="0" applyAlignment="0" applyProtection="0"/>
    <xf numFmtId="0" fontId="14" fillId="27" borderId="96" applyNumberFormat="0" applyAlignment="0" applyProtection="0"/>
    <xf numFmtId="203" fontId="42" fillId="24" borderId="101"/>
    <xf numFmtId="0" fontId="21" fillId="10" borderId="108" applyNumberFormat="0" applyAlignment="0" applyProtection="0"/>
    <xf numFmtId="0" fontId="27" fillId="2" borderId="96" applyNumberFormat="0">
      <alignment horizontal="centerContinuous" vertical="center" wrapText="1"/>
    </xf>
    <xf numFmtId="257" fontId="159" fillId="0" borderId="99" applyBorder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203" fontId="42" fillId="24" borderId="101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203" fontId="42" fillId="24" borderId="89"/>
    <xf numFmtId="0" fontId="11" fillId="30" borderId="92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203" fontId="42" fillId="24" borderId="89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31" fillId="0" borderId="109" applyNumberFormat="0" applyFon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31" fillId="0" borderId="97" applyNumberFormat="0" applyFont="0" applyFill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7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7" fillId="3" borderId="108" applyNumberFormat="0">
      <alignment horizontal="left" vertical="center"/>
    </xf>
    <xf numFmtId="0" fontId="11" fillId="30" borderId="104" applyNumberFormat="0" applyFont="0" applyAlignment="0" applyProtection="0"/>
    <xf numFmtId="0" fontId="21" fillId="10" borderId="96" applyNumberFormat="0" applyAlignment="0" applyProtection="0"/>
    <xf numFmtId="203" fontId="42" fillId="24" borderId="89"/>
    <xf numFmtId="170" fontId="27" fillId="0" borderId="0" applyFont="0" applyFill="0" applyBorder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27" fillId="2" borderId="96" applyNumberFormat="0">
      <alignment horizontal="centerContinuous" vertical="center" wrapText="1"/>
    </xf>
    <xf numFmtId="0" fontId="14" fillId="27" borderId="96" applyNumberFormat="0" applyAlignment="0" applyProtection="0"/>
    <xf numFmtId="0" fontId="27" fillId="3" borderId="96" applyNumberFormat="0">
      <alignment horizontal="left" vertical="center"/>
    </xf>
    <xf numFmtId="0" fontId="14" fillId="27" borderId="96" applyNumberForma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257" fontId="159" fillId="0" borderId="87" applyBorder="0"/>
    <xf numFmtId="0" fontId="14" fillId="27" borderId="96" applyNumberFormat="0" applyAlignment="0" applyProtection="0"/>
    <xf numFmtId="0" fontId="198" fillId="0" borderId="107" applyNumberFormat="0" applyFill="0" applyAlignment="0" applyProtection="0"/>
    <xf numFmtId="0" fontId="31" fillId="0" borderId="109" applyNumberFormat="0" applyFont="0" applyFill="0" applyAlignment="0" applyProtection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27" fillId="3" borderId="96" applyNumberFormat="0">
      <alignment horizontal="left" vertical="center"/>
    </xf>
    <xf numFmtId="0" fontId="162" fillId="27" borderId="105" applyNumberFormat="0" applyAlignment="0" applyProtection="0"/>
    <xf numFmtId="203" fontId="42" fillId="24" borderId="101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166" fontId="67" fillId="0" borderId="102">
      <protection locked="0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257" fontId="159" fillId="0" borderId="99" applyBorder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9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166" fontId="67" fillId="0" borderId="102">
      <protection locked="0"/>
    </xf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203" fontId="42" fillId="24" borderId="101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203" fontId="42" fillId="24" borderId="89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203" fontId="42" fillId="24" borderId="101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166" fontId="67" fillId="0" borderId="102">
      <protection locked="0"/>
    </xf>
    <xf numFmtId="0" fontId="198" fillId="0" borderId="95" applyNumberFormat="0" applyFill="0" applyAlignment="0" applyProtection="0"/>
    <xf numFmtId="0" fontId="21" fillId="10" borderId="108" applyNumberFormat="0" applyAlignment="0" applyProtection="0"/>
    <xf numFmtId="166" fontId="67" fillId="0" borderId="102">
      <protection locked="0"/>
    </xf>
    <xf numFmtId="170" fontId="27" fillId="0" borderId="0" applyFont="0" applyFill="0" applyBorder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96" applyNumberFormat="0" applyAlignment="0" applyProtection="0"/>
    <xf numFmtId="235" fontId="27" fillId="0" borderId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44" fontId="27" fillId="0" borderId="0" applyFont="0" applyFill="0" applyBorder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27" fillId="30" borderId="104" applyNumberFormat="0" applyFon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166" fontId="67" fillId="0" borderId="90">
      <protection locked="0"/>
    </xf>
    <xf numFmtId="166" fontId="67" fillId="0" borderId="90">
      <protection locked="0"/>
    </xf>
    <xf numFmtId="166" fontId="67" fillId="0" borderId="90">
      <protection locked="0"/>
    </xf>
    <xf numFmtId="0" fontId="198" fillId="0" borderId="95" applyNumberFormat="0" applyFill="0" applyAlignment="0" applyProtection="0"/>
    <xf numFmtId="0" fontId="80" fillId="0" borderId="87">
      <alignment horizontal="left" vertical="center"/>
    </xf>
    <xf numFmtId="1" fontId="75" fillId="33" borderId="88" applyNumberFormat="0" applyBorder="0" applyAlignment="0">
      <alignment horizontal="centerContinuous" vertical="center"/>
      <protection locked="0"/>
    </xf>
    <xf numFmtId="166" fontId="67" fillId="0" borderId="90">
      <protection locked="0"/>
    </xf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166" fontId="67" fillId="0" borderId="90">
      <protection locked="0"/>
    </xf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80" fillId="0" borderId="87">
      <alignment horizontal="left" vertical="center"/>
    </xf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203" fontId="42" fillId="24" borderId="101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257" fontId="159" fillId="0" borderId="87" applyBorder="0"/>
    <xf numFmtId="0" fontId="198" fillId="0" borderId="107" applyNumberFormat="0" applyFill="0" applyAlignment="0" applyProtection="0"/>
    <xf numFmtId="0" fontId="27" fillId="3" borderId="108" applyNumberFormat="0">
      <alignment horizontal="left" vertical="center"/>
    </xf>
    <xf numFmtId="0" fontId="11" fillId="30" borderId="104" applyNumberFormat="0" applyFont="0" applyAlignment="0" applyProtection="0"/>
    <xf numFmtId="166" fontId="67" fillId="0" borderId="102">
      <protection locked="0"/>
    </xf>
    <xf numFmtId="0" fontId="162" fillId="27" borderId="93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166" fontId="67" fillId="0" borderId="102">
      <protection locked="0"/>
    </xf>
    <xf numFmtId="0" fontId="27" fillId="2" borderId="108" applyNumberFormat="0">
      <alignment horizontal="centerContinuous" vertical="center" wrapText="1"/>
    </xf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203" fontId="42" fillId="24" borderId="101"/>
    <xf numFmtId="44" fontId="27" fillId="0" borderId="0" applyFont="0" applyFill="0" applyBorder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203" fontId="42" fillId="24" borderId="101"/>
    <xf numFmtId="0" fontId="11" fillId="30" borderId="104" applyNumberFormat="0" applyFont="0" applyAlignment="0" applyProtection="0"/>
    <xf numFmtId="235" fontId="27" fillId="0" borderId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203" fontId="42" fillId="24" borderId="89"/>
    <xf numFmtId="203" fontId="42" fillId="24" borderId="89"/>
    <xf numFmtId="203" fontId="42" fillId="24" borderId="89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27" fillId="2" borderId="96" applyNumberFormat="0">
      <alignment horizontal="centerContinuous" vertical="center" wrapText="1"/>
    </xf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166" fontId="67" fillId="0" borderId="90">
      <protection locked="0"/>
    </xf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80" fillId="0" borderId="87">
      <alignment horizontal="left" vertical="center"/>
    </xf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95" fillId="38" borderId="91">
      <alignment horizontal="left" vertical="center" wrapText="1"/>
    </xf>
    <xf numFmtId="0" fontId="95" fillId="38" borderId="91">
      <alignment horizontal="left" vertical="center" wrapText="1"/>
    </xf>
    <xf numFmtId="0" fontId="14" fillId="27" borderId="96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166" fontId="67" fillId="0" borderId="102">
      <protection locked="0"/>
    </xf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92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105" applyNumberFormat="0" applyAlignment="0" applyProtection="0"/>
    <xf numFmtId="0" fontId="80" fillId="0" borderId="99">
      <alignment horizontal="left" vertical="center"/>
    </xf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95" applyNumberFormat="0" applyFill="0" applyAlignment="0" applyProtection="0"/>
    <xf numFmtId="0" fontId="95" fillId="38" borderId="91">
      <alignment horizontal="left" vertical="center" wrapText="1"/>
    </xf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235" fontId="27" fillId="0" borderId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235" fontId="27" fillId="0" borderId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257" fontId="159" fillId="0" borderId="99" applyBorder="0"/>
    <xf numFmtId="0" fontId="11" fillId="30" borderId="104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0" fontId="14" fillId="27" borderId="96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80" fillId="0" borderId="87">
      <alignment horizontal="left" vertical="center"/>
    </xf>
    <xf numFmtId="0" fontId="162" fillId="27" borderId="105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44" fontId="27" fillId="0" borderId="0" applyFont="0" applyFill="0" applyBorder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235" fontId="27" fillId="0" borderId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11" fillId="30" borderId="92" applyNumberFormat="0" applyFont="0" applyAlignment="0" applyProtection="0"/>
    <xf numFmtId="0" fontId="95" fillId="38" borderId="103">
      <alignment horizontal="left" vertical="center" wrapText="1"/>
    </xf>
    <xf numFmtId="9" fontId="27" fillId="0" borderId="0" applyFont="0" applyFill="0" applyBorder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27" fillId="30" borderId="104" applyNumberFormat="0" applyFont="0" applyAlignment="0" applyProtection="0"/>
    <xf numFmtId="257" fontId="159" fillId="0" borderId="99" applyBorder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237" fontId="188" fillId="85" borderId="106" applyNumberFormat="0" applyBorder="0" applyAlignment="0" applyProtection="0">
      <alignment vertical="center"/>
    </xf>
    <xf numFmtId="8" fontId="67" fillId="0" borderId="102">
      <protection locked="0"/>
    </xf>
    <xf numFmtId="0" fontId="27" fillId="3" borderId="96" applyNumberFormat="0">
      <alignment horizontal="left" vertical="center"/>
    </xf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203" fontId="42" fillId="24" borderId="89"/>
    <xf numFmtId="1" fontId="75" fillId="33" borderId="100" applyNumberFormat="0" applyBorder="0" applyAlignment="0">
      <alignment horizontal="centerContinuous" vertical="center"/>
      <protection locked="0"/>
    </xf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4" fillId="27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8" fontId="67" fillId="0" borderId="102">
      <protection locked="0"/>
    </xf>
    <xf numFmtId="0" fontId="21" fillId="10" borderId="108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44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235" fontId="27" fillId="0" borderId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203" fontId="42" fillId="24" borderId="101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203" fontId="42" fillId="24" borderId="101"/>
    <xf numFmtId="0" fontId="162" fillId="27" borderId="93" applyNumberFormat="0" applyAlignment="0" applyProtection="0"/>
    <xf numFmtId="257" fontId="159" fillId="0" borderId="87" applyBorder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203" fontId="42" fillId="24" borderId="89"/>
    <xf numFmtId="0" fontId="162" fillId="27" borderId="93" applyNumberFormat="0" applyAlignment="0" applyProtection="0"/>
    <xf numFmtId="0" fontId="27" fillId="2" borderId="96" applyNumberFormat="0">
      <alignment horizontal="centerContinuous" vertical="center" wrapText="1"/>
    </xf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7" fillId="3" borderId="108" applyNumberFormat="0">
      <alignment horizontal="left" vertical="center"/>
    </xf>
    <xf numFmtId="0" fontId="162" fillId="27" borderId="105" applyNumberFormat="0" applyAlignment="0" applyProtection="0"/>
    <xf numFmtId="0" fontId="162" fillId="27" borderId="105" applyNumberFormat="0" applyAlignment="0" applyProtection="0"/>
    <xf numFmtId="166" fontId="67" fillId="0" borderId="102">
      <protection locked="0"/>
    </xf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95" fillId="38" borderId="103">
      <alignment horizontal="left" vertical="center" wrapText="1"/>
    </xf>
    <xf numFmtId="0" fontId="95" fillId="38" borderId="103">
      <alignment horizontal="left" vertical="center" wrapText="1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235" fontId="27" fillId="0" borderId="0"/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7" fillId="30" borderId="92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31" fillId="0" borderId="97" applyNumberFormat="0" applyFont="0" applyFill="0" applyAlignment="0" applyProtection="0"/>
    <xf numFmtId="0" fontId="31" fillId="0" borderId="97" applyNumberFormat="0" applyFont="0" applyFill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44" fontId="27" fillId="0" borderId="0" applyFont="0" applyFill="0" applyBorder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166" fontId="67" fillId="0" borderId="90">
      <protection locked="0"/>
    </xf>
    <xf numFmtId="237" fontId="188" fillId="85" borderId="106" applyNumberFormat="0" applyBorder="0" applyAlignment="0" applyProtection="0">
      <alignment vertical="center"/>
    </xf>
    <xf numFmtId="0" fontId="162" fillId="27" borderId="93" applyNumberFormat="0" applyAlignment="0" applyProtection="0"/>
    <xf numFmtId="0" fontId="14" fillId="27" borderId="96" applyNumberFormat="0" applyAlignment="0" applyProtection="0"/>
    <xf numFmtId="9" fontId="27" fillId="0" borderId="0" applyFont="0" applyFill="0" applyBorder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170" fontId="27" fillId="0" borderId="0" applyFont="0" applyFill="0" applyBorder="0" applyAlignment="0" applyProtection="0"/>
    <xf numFmtId="0" fontId="27" fillId="30" borderId="104" applyNumberFormat="0" applyFon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166" fontId="67" fillId="0" borderId="90">
      <protection locked="0"/>
    </xf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0" fontId="27" fillId="3" borderId="96" applyNumberFormat="0">
      <alignment horizontal="left" vertical="center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4" fillId="27" borderId="96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31" fillId="0" borderId="97" applyNumberFormat="0" applyFont="0" applyFill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235" fontId="27" fillId="0" borderId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96" applyNumberForma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257" fontId="159" fillId="0" borderId="99" applyBorder="0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27" fillId="3" borderId="96" applyNumberFormat="0">
      <alignment horizontal="left" vertical="center"/>
    </xf>
    <xf numFmtId="0" fontId="162" fillId="27" borderId="105" applyNumberFormat="0" applyAlignment="0" applyProtection="0"/>
    <xf numFmtId="44" fontId="27" fillId="0" borderId="0" applyFont="0" applyFill="0" applyBorder="0" applyAlignment="0" applyProtection="0"/>
    <xf numFmtId="166" fontId="67" fillId="0" borderId="102">
      <protection locked="0"/>
    </xf>
    <xf numFmtId="0" fontId="162" fillId="27" borderId="93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95" fillId="38" borderId="103">
      <alignment horizontal="left" vertical="center" wrapText="1"/>
    </xf>
    <xf numFmtId="237" fontId="188" fillId="85" borderId="94" applyNumberFormat="0" applyBorder="0" applyAlignment="0" applyProtection="0">
      <alignment vertical="center"/>
    </xf>
    <xf numFmtId="0" fontId="162" fillId="27" borderId="93" applyNumberFormat="0" applyAlignment="0" applyProtection="0"/>
    <xf numFmtId="0" fontId="162" fillId="27" borderId="93" applyNumberFormat="0" applyAlignment="0" applyProtection="0"/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95" fillId="38" borderId="91">
      <alignment horizontal="left" vertical="center" wrapText="1"/>
    </xf>
    <xf numFmtId="1" fontId="75" fillId="33" borderId="88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9" fontId="27" fillId="0" borderId="0" applyFont="0" applyFill="0" applyBorder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166" fontId="67" fillId="0" borderId="102">
      <protection locked="0"/>
    </xf>
    <xf numFmtId="0" fontId="11" fillId="30" borderId="104" applyNumberFormat="0" applyFont="0" applyAlignment="0" applyProtection="0"/>
    <xf numFmtId="166" fontId="67" fillId="0" borderId="102">
      <protection locked="0"/>
    </xf>
    <xf numFmtId="0" fontId="11" fillId="30" borderId="92" applyNumberFormat="0" applyFont="0" applyAlignment="0" applyProtection="0"/>
    <xf numFmtId="0" fontId="14" fillId="27" borderId="96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21" fillId="10" borderId="96" applyNumberFormat="0" applyAlignment="0" applyProtection="0"/>
    <xf numFmtId="0" fontId="14" fillId="27" borderId="96" applyNumberFormat="0" applyAlignment="0" applyProtection="0"/>
    <xf numFmtId="8" fontId="67" fillId="0" borderId="102">
      <protection locked="0"/>
    </xf>
    <xf numFmtId="0" fontId="27" fillId="2" borderId="108" applyNumberFormat="0">
      <alignment horizontal="centerContinuous" vertical="center" wrapText="1"/>
    </xf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0" fontId="21" fillId="10" borderId="108" applyNumberFormat="0" applyAlignment="0" applyProtection="0"/>
    <xf numFmtId="0" fontId="14" fillId="27" borderId="96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0" fontId="162" fillId="27" borderId="93" applyNumberFormat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4" fillId="27" borderId="96" applyNumberFormat="0" applyAlignment="0" applyProtection="0"/>
    <xf numFmtId="0" fontId="27" fillId="2" borderId="96" applyNumberFormat="0">
      <alignment horizontal="centerContinuous" vertical="center" wrapText="1"/>
    </xf>
    <xf numFmtId="9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95" fillId="38" borderId="91">
      <alignment horizontal="left" vertical="center" wrapText="1"/>
    </xf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14" fillId="27" borderId="108" applyNumberFormat="0" applyAlignment="0" applyProtection="0"/>
    <xf numFmtId="0" fontId="95" fillId="38" borderId="91">
      <alignment horizontal="left" vertical="center" wrapText="1"/>
    </xf>
    <xf numFmtId="0" fontId="21" fillId="10" borderId="108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203" fontId="42" fillId="24" borderId="101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98" fillId="0" borderId="95" applyNumberFormat="0" applyFill="0" applyAlignment="0" applyProtection="0"/>
    <xf numFmtId="0" fontId="21" fillId="10" borderId="96" applyNumberFormat="0" applyAlignment="0" applyProtection="0"/>
    <xf numFmtId="235" fontId="27" fillId="0" borderId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21" fillId="10" borderId="96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166" fontId="67" fillId="0" borderId="90">
      <protection locked="0"/>
    </xf>
    <xf numFmtId="203" fontId="42" fillId="24" borderId="89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96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80" fillId="0" borderId="87">
      <alignment horizontal="left" vertical="center"/>
    </xf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27" fillId="3" borderId="96" applyNumberFormat="0">
      <alignment horizontal="left" vertical="center"/>
    </xf>
    <xf numFmtId="0" fontId="198" fillId="0" borderId="95" applyNumberFormat="0" applyFill="0" applyAlignment="0" applyProtection="0"/>
    <xf numFmtId="0" fontId="14" fillId="27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95" applyNumberFormat="0" applyFill="0" applyAlignment="0" applyProtection="0"/>
    <xf numFmtId="0" fontId="27" fillId="3" borderId="108" applyNumberFormat="0">
      <alignment horizontal="left" vertical="center"/>
    </xf>
    <xf numFmtId="0" fontId="80" fillId="0" borderId="99">
      <alignment horizontal="left" vertical="center"/>
    </xf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9" fontId="27" fillId="0" borderId="0" applyFont="0" applyFill="0" applyBorder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203" fontId="42" fillId="24" borderId="101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9" fontId="27" fillId="0" borderId="0" applyFont="0" applyFill="0" applyBorder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203" fontId="42" fillId="24" borderId="89"/>
    <xf numFmtId="166" fontId="67" fillId="0" borderId="102">
      <protection locked="0"/>
    </xf>
    <xf numFmtId="237" fontId="188" fillId="85" borderId="106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166" fontId="67" fillId="0" borderId="102">
      <protection locked="0"/>
    </xf>
    <xf numFmtId="44" fontId="27" fillId="0" borderId="0" applyFont="0" applyFill="0" applyBorder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14" fillId="27" borderId="96" applyNumberFormat="0" applyAlignment="0" applyProtection="0"/>
    <xf numFmtId="0" fontId="27" fillId="2" borderId="96" applyNumberFormat="0">
      <alignment horizontal="centerContinuous" vertical="center" wrapText="1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9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27" fillId="30" borderId="92" applyNumberFormat="0" applyFont="0" applyAlignment="0" applyProtection="0"/>
    <xf numFmtId="0" fontId="21" fillId="10" borderId="96" applyNumberFormat="0" applyAlignment="0" applyProtection="0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237" fontId="188" fillId="85" borderId="94" applyNumberFormat="0" applyBorder="0" applyAlignment="0" applyProtection="0">
      <alignment vertical="center"/>
    </xf>
    <xf numFmtId="237" fontId="188" fillId="85" borderId="94" applyNumberFormat="0" applyBorder="0" applyAlignment="0" applyProtection="0">
      <alignment vertical="center"/>
    </xf>
    <xf numFmtId="235" fontId="27" fillId="0" borderId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257" fontId="159" fillId="0" borderId="87" applyBorder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98" fillId="0" borderId="107" applyNumberFormat="0" applyFill="0" applyAlignment="0" applyProtection="0"/>
    <xf numFmtId="0" fontId="27" fillId="30" borderId="92" applyNumberFormat="0" applyFon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80" fillId="0" borderId="99">
      <alignment horizontal="left" vertical="center"/>
    </xf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7" fillId="30" borderId="92" applyNumberFormat="0" applyFon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4" fillId="27" borderId="96" applyNumberFormat="0" applyAlignment="0" applyProtection="0"/>
    <xf numFmtId="0" fontId="27" fillId="30" borderId="92" applyNumberFormat="0" applyFont="0" applyAlignment="0" applyProtection="0"/>
    <xf numFmtId="0" fontId="21" fillId="10" borderId="96" applyNumberFormat="0" applyAlignment="0" applyProtection="0"/>
    <xf numFmtId="166" fontId="67" fillId="0" borderId="102">
      <protection locked="0"/>
    </xf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203" fontId="42" fillId="24" borderId="89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95" fillId="38" borderId="103">
      <alignment horizontal="left" vertical="center" wrapText="1"/>
    </xf>
    <xf numFmtId="203" fontId="42" fillId="24" borderId="101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4" fillId="27" borderId="108" applyNumberForma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31" fillId="0" borderId="97" applyNumberFormat="0" applyFont="0" applyFill="0" applyAlignment="0" applyProtection="0"/>
    <xf numFmtId="166" fontId="67" fillId="0" borderId="102">
      <protection locked="0"/>
    </xf>
    <xf numFmtId="0" fontId="11" fillId="30" borderId="92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0" fontId="11" fillId="30" borderId="92" applyNumberFormat="0" applyFont="0" applyAlignment="0" applyProtection="0"/>
    <xf numFmtId="166" fontId="67" fillId="0" borderId="102">
      <protection locked="0"/>
    </xf>
    <xf numFmtId="0" fontId="162" fillId="27" borderId="93" applyNumberForma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7" fillId="30" borderId="92" applyNumberFormat="0" applyFon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237" fontId="188" fillId="85" borderId="94" applyNumberFormat="0" applyBorder="0" applyAlignment="0" applyProtection="0">
      <alignment vertical="center"/>
    </xf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27" fillId="2" borderId="108" applyNumberFormat="0">
      <alignment horizontal="centerContinuous" vertical="center" wrapText="1"/>
    </xf>
    <xf numFmtId="0" fontId="95" fillId="38" borderId="91">
      <alignment horizontal="left" vertical="center" wrapText="1"/>
    </xf>
    <xf numFmtId="0" fontId="95" fillId="38" borderId="91">
      <alignment horizontal="left" vertical="center" wrapText="1"/>
    </xf>
    <xf numFmtId="0" fontId="95" fillId="38" borderId="91">
      <alignment horizontal="left" vertical="center" wrapText="1"/>
    </xf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80" fillId="0" borderId="87">
      <alignment horizontal="left" vertical="center"/>
    </xf>
    <xf numFmtId="0" fontId="80" fillId="0" borderId="87">
      <alignment horizontal="left" vertical="center"/>
    </xf>
    <xf numFmtId="1" fontId="75" fillId="33" borderId="88" applyNumberFormat="0" applyBorder="0" applyAlignment="0">
      <alignment horizontal="centerContinuous" vertical="center"/>
      <protection locked="0"/>
    </xf>
    <xf numFmtId="1" fontId="75" fillId="33" borderId="88" applyNumberFormat="0" applyBorder="0" applyAlignment="0">
      <alignment horizontal="centerContinuous" vertical="center"/>
      <protection locked="0"/>
    </xf>
    <xf numFmtId="1" fontId="75" fillId="33" borderId="88" applyNumberFormat="0" applyBorder="0" applyAlignment="0">
      <alignment horizontal="centerContinuous" vertical="center"/>
      <protection locked="0"/>
    </xf>
    <xf numFmtId="166" fontId="67" fillId="0" borderId="90">
      <protection locked="0"/>
    </xf>
    <xf numFmtId="166" fontId="67" fillId="0" borderId="90">
      <protection locked="0"/>
    </xf>
    <xf numFmtId="166" fontId="67" fillId="0" borderId="90">
      <protection locked="0"/>
    </xf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31" fillId="0" borderId="97" applyNumberFormat="0" applyFont="0" applyFill="0" applyAlignment="0" applyProtection="0"/>
    <xf numFmtId="0" fontId="31" fillId="0" borderId="97" applyNumberFormat="0" applyFont="0" applyFill="0" applyAlignment="0" applyProtection="0"/>
    <xf numFmtId="0" fontId="31" fillId="0" borderId="97" applyNumberFormat="0" applyFont="0" applyFill="0" applyAlignment="0" applyProtection="0"/>
    <xf numFmtId="0" fontId="27" fillId="30" borderId="104" applyNumberFormat="0" applyFont="0" applyAlignment="0" applyProtection="0"/>
    <xf numFmtId="203" fontId="42" fillId="24" borderId="89"/>
    <xf numFmtId="203" fontId="42" fillId="24" borderId="89"/>
    <xf numFmtId="203" fontId="42" fillId="24" borderId="89"/>
    <xf numFmtId="0" fontId="95" fillId="38" borderId="103">
      <alignment horizontal="left" vertical="center" wrapText="1"/>
    </xf>
    <xf numFmtId="0" fontId="27" fillId="3" borderId="96" applyNumberFormat="0">
      <alignment horizontal="left" vertical="center"/>
    </xf>
    <xf numFmtId="0" fontId="27" fillId="3" borderId="96" applyNumberFormat="0">
      <alignment horizontal="left" vertical="center"/>
    </xf>
    <xf numFmtId="0" fontId="27" fillId="3" borderId="96" applyNumberFormat="0">
      <alignment horizontal="left" vertical="center"/>
    </xf>
    <xf numFmtId="0" fontId="27" fillId="2" borderId="96" applyNumberFormat="0">
      <alignment horizontal="centerContinuous" vertical="center" wrapText="1"/>
    </xf>
    <xf numFmtId="0" fontId="27" fillId="2" borderId="96" applyNumberFormat="0">
      <alignment horizontal="centerContinuous" vertical="center" wrapText="1"/>
    </xf>
    <xf numFmtId="0" fontId="27" fillId="2" borderId="96" applyNumberFormat="0">
      <alignment horizontal="centerContinuous" vertical="center" wrapText="1"/>
    </xf>
    <xf numFmtId="0" fontId="162" fillId="27" borderId="93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166" fontId="67" fillId="0" borderId="102">
      <protection locked="0"/>
    </xf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27" fillId="3" borderId="108" applyNumberFormat="0">
      <alignment horizontal="left" vertical="center"/>
    </xf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4" fillId="27" borderId="96" applyNumberFormat="0" applyAlignment="0" applyProtection="0"/>
    <xf numFmtId="257" fontId="159" fillId="0" borderId="87" applyBorder="0"/>
    <xf numFmtId="237" fontId="188" fillId="85" borderId="106" applyNumberFormat="0" applyBorder="0" applyAlignment="0" applyProtection="0">
      <alignment vertical="center"/>
    </xf>
    <xf numFmtId="203" fontId="42" fillId="24" borderId="89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95" fillId="38" borderId="103">
      <alignment horizontal="left" vertical="center" wrapText="1"/>
    </xf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8" fontId="67" fillId="0" borderId="90">
      <protection locked="0"/>
    </xf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203" fontId="42" fillId="24" borderId="101"/>
    <xf numFmtId="0" fontId="21" fillId="10" borderId="96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95" fillId="38" borderId="91">
      <alignment horizontal="left" vertical="center" wrapText="1"/>
    </xf>
    <xf numFmtId="0" fontId="27" fillId="2" borderId="108" applyNumberFormat="0">
      <alignment horizontal="centerContinuous" vertical="center" wrapText="1"/>
    </xf>
    <xf numFmtId="0" fontId="11" fillId="30" borderId="92" applyNumberFormat="0" applyFont="0" applyAlignment="0" applyProtection="0"/>
    <xf numFmtId="166" fontId="67" fillId="0" borderId="90">
      <protection locked="0"/>
    </xf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" borderId="96" applyNumberFormat="0">
      <alignment horizontal="left" vertical="center"/>
    </xf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9" fontId="27" fillId="0" borderId="0" applyFont="0" applyFill="0" applyBorder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4" fillId="27" borderId="108" applyNumberFormat="0" applyAlignment="0" applyProtection="0"/>
    <xf numFmtId="203" fontId="42" fillId="24" borderId="89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95" fillId="38" borderId="103">
      <alignment horizontal="left" vertical="center" wrapText="1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2" borderId="108" applyNumberFormat="0">
      <alignment horizontal="centerContinuous" vertical="center" wrapText="1"/>
    </xf>
    <xf numFmtId="8" fontId="67" fillId="0" borderId="90">
      <protection locked="0"/>
    </xf>
    <xf numFmtId="0" fontId="21" fillId="10" borderId="96" applyNumberFormat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4" fillId="27" borderId="108" applyNumberFormat="0" applyAlignment="0" applyProtection="0"/>
    <xf numFmtId="203" fontId="42" fillId="24" borderId="101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95" fillId="38" borderId="103">
      <alignment horizontal="left" vertical="center" wrapText="1"/>
    </xf>
    <xf numFmtId="9" fontId="27" fillId="0" borderId="0" applyFont="0" applyFill="0" applyBorder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0" fontId="80" fillId="0" borderId="87">
      <alignment horizontal="left" vertical="center"/>
    </xf>
    <xf numFmtId="0" fontId="21" fillId="10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166" fontId="67" fillId="0" borderId="102">
      <protection locked="0"/>
    </xf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80" fillId="0" borderId="99">
      <alignment horizontal="left" vertical="center"/>
    </xf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257" fontId="159" fillId="0" borderId="87" applyBorder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2" borderId="108" applyNumberFormat="0">
      <alignment horizontal="centerContinuous" vertical="center" wrapText="1"/>
    </xf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9" fontId="27" fillId="0" borderId="0" applyFont="0" applyFill="0" applyBorder="0" applyAlignment="0" applyProtection="0"/>
    <xf numFmtId="0" fontId="27" fillId="3" borderId="108" applyNumberFormat="0">
      <alignment horizontal="left" vertical="center"/>
    </xf>
    <xf numFmtId="0" fontId="198" fillId="0" borderId="95" applyNumberFormat="0" applyFill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166" fontId="67" fillId="0" borderId="90">
      <protection locked="0"/>
    </xf>
    <xf numFmtId="166" fontId="67" fillId="0" borderId="102">
      <protection locked="0"/>
    </xf>
    <xf numFmtId="0" fontId="14" fillId="27" borderId="96" applyNumberFormat="0" applyAlignment="0" applyProtection="0"/>
    <xf numFmtId="9" fontId="27" fillId="0" borderId="0" applyFont="0" applyFill="0" applyBorder="0" applyAlignment="0" applyProtection="0"/>
    <xf numFmtId="203" fontId="42" fillId="24" borderId="101"/>
    <xf numFmtId="0" fontId="27" fillId="30" borderId="104" applyNumberFormat="0" applyFont="0" applyAlignment="0" applyProtection="0"/>
    <xf numFmtId="257" fontId="159" fillId="0" borderId="99" applyBorder="0"/>
    <xf numFmtId="166" fontId="67" fillId="0" borderId="90">
      <protection locked="0"/>
    </xf>
    <xf numFmtId="203" fontId="42" fillId="24" borderId="101"/>
    <xf numFmtId="0" fontId="80" fillId="0" borderId="99">
      <alignment horizontal="left" vertical="center"/>
    </xf>
    <xf numFmtId="0" fontId="95" fillId="38" borderId="103">
      <alignment horizontal="left" vertical="center" wrapText="1"/>
    </xf>
    <xf numFmtId="0" fontId="14" fillId="27" borderId="108" applyNumberFormat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93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203" fontId="42" fillId="24" borderId="89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95" fillId="38" borderId="103">
      <alignment horizontal="left" vertical="center" wrapText="1"/>
    </xf>
    <xf numFmtId="0" fontId="14" fillId="27" borderId="96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96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203" fontId="42" fillId="24" borderId="101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203" fontId="42" fillId="24" borderId="101"/>
    <xf numFmtId="9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27" fillId="2" borderId="96" applyNumberFormat="0">
      <alignment horizontal="centerContinuous" vertical="center" wrapText="1"/>
    </xf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203" fontId="42" fillId="24" borderId="89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203" fontId="42" fillId="24" borderId="101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170" fontId="27" fillId="0" borderId="0" applyFont="0" applyFill="0" applyBorder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203" fontId="42" fillId="24" borderId="89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257" fontId="159" fillId="0" borderId="99" applyBorder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27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166" fontId="67" fillId="0" borderId="102">
      <protection locked="0"/>
    </xf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8" fontId="67" fillId="0" borderId="90">
      <protection locked="0"/>
    </xf>
    <xf numFmtId="0" fontId="162" fillId="27" borderId="105" applyNumberFormat="0" applyAlignment="0" applyProtection="0"/>
    <xf numFmtId="235" fontId="27" fillId="0" borderId="0"/>
    <xf numFmtId="9" fontId="27" fillId="0" borderId="0" applyFont="0" applyFill="0" applyBorder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170" fontId="27" fillId="0" borderId="0" applyFont="0" applyFill="0" applyBorder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235" fontId="27" fillId="0" borderId="0"/>
    <xf numFmtId="0" fontId="27" fillId="3" borderId="108" applyNumberFormat="0">
      <alignment horizontal="left" vertical="center"/>
    </xf>
    <xf numFmtId="0" fontId="14" fillId="27" borderId="108" applyNumberFormat="0" applyAlignment="0" applyProtection="0"/>
    <xf numFmtId="0" fontId="27" fillId="2" borderId="108" applyNumberFormat="0">
      <alignment horizontal="centerContinuous" vertical="center" wrapText="1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166" fontId="67" fillId="0" borderId="102">
      <protection locked="0"/>
    </xf>
    <xf numFmtId="0" fontId="80" fillId="0" borderId="99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31" fillId="0" borderId="109" applyNumberFormat="0" applyFont="0" applyFill="0" applyAlignment="0" applyProtection="0"/>
    <xf numFmtId="0" fontId="27" fillId="3" borderId="108" applyNumberFormat="0">
      <alignment horizontal="left" vertical="center"/>
    </xf>
    <xf numFmtId="0" fontId="95" fillId="38" borderId="91">
      <alignment horizontal="left" vertical="center" wrapText="1"/>
    </xf>
    <xf numFmtId="0" fontId="14" fillId="27" borderId="108" applyNumberFormat="0" applyAlignment="0" applyProtection="0"/>
    <xf numFmtId="0" fontId="162" fillId="27" borderId="93" applyNumberFormat="0" applyAlignment="0" applyProtection="0"/>
    <xf numFmtId="257" fontId="159" fillId="0" borderId="99" applyBorder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93" applyNumberFormat="0" applyAlignment="0" applyProtection="0"/>
    <xf numFmtId="237" fontId="188" fillId="85" borderId="94" applyNumberFormat="0" applyBorder="0" applyAlignment="0" applyProtection="0">
      <alignment vertical="center"/>
    </xf>
    <xf numFmtId="166" fontId="67" fillId="0" borderId="102">
      <protection locked="0"/>
    </xf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27" fillId="3" borderId="108" applyNumberFormat="0">
      <alignment horizontal="left" vertical="center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80" fillId="0" borderId="99">
      <alignment horizontal="left" vertical="center"/>
    </xf>
    <xf numFmtId="0" fontId="31" fillId="0" borderId="109" applyNumberFormat="0" applyFont="0" applyFill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170" fontId="27" fillId="0" borderId="0" applyFont="0" applyFill="0" applyBorder="0" applyAlignment="0" applyProtection="0"/>
    <xf numFmtId="166" fontId="67" fillId="0" borderId="102">
      <protection locked="0"/>
    </xf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235" fontId="27" fillId="0" borderId="0"/>
    <xf numFmtId="166" fontId="67" fillId="0" borderId="102">
      <protection locked="0"/>
    </xf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166" fontId="67" fillId="0" borderId="102">
      <protection locked="0"/>
    </xf>
    <xf numFmtId="0" fontId="198" fillId="0" borderId="95" applyNumberFormat="0" applyFill="0" applyAlignment="0" applyProtection="0"/>
    <xf numFmtId="0" fontId="95" fillId="38" borderId="103">
      <alignment horizontal="left" vertical="center" wrapText="1"/>
    </xf>
    <xf numFmtId="9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95" applyNumberFormat="0" applyFill="0" applyAlignment="0" applyProtection="0"/>
    <xf numFmtId="0" fontId="80" fillId="0" borderId="99">
      <alignment horizontal="left" vertical="center"/>
    </xf>
    <xf numFmtId="0" fontId="11" fillId="30" borderId="104" applyNumberFormat="0" applyFon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1" fontId="75" fillId="33" borderId="88" applyNumberFormat="0" applyBorder="0" applyAlignment="0">
      <alignment horizontal="centerContinuous" vertical="center"/>
      <protection locked="0"/>
    </xf>
    <xf numFmtId="1" fontId="75" fillId="33" borderId="88" applyNumberFormat="0" applyBorder="0" applyAlignment="0">
      <alignment horizontal="centerContinuous" vertical="center"/>
      <protection locked="0"/>
    </xf>
    <xf numFmtId="0" fontId="31" fillId="0" borderId="109" applyNumberFormat="0" applyFont="0" applyFill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80" fillId="0" borderId="87">
      <alignment horizontal="left" vertical="center"/>
    </xf>
    <xf numFmtId="0" fontId="80" fillId="0" borderId="87">
      <alignment horizontal="left" vertical="center"/>
    </xf>
    <xf numFmtId="0" fontId="21" fillId="10" borderId="108" applyNumberForma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166" fontId="67" fillId="0" borderId="90">
      <protection locked="0"/>
    </xf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96" applyNumberFormat="0" applyAlignment="0" applyProtection="0"/>
    <xf numFmtId="44" fontId="27" fillId="0" borderId="0" applyFont="0" applyFill="0" applyBorder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257" fontId="159" fillId="0" borderId="99" applyBorder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203" fontId="42" fillId="24" borderId="101"/>
    <xf numFmtId="0" fontId="80" fillId="0" borderId="87">
      <alignment horizontal="left" vertical="center"/>
    </xf>
    <xf numFmtId="235" fontId="27" fillId="0" borderId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203" fontId="42" fillId="24" borderId="101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9" fontId="27" fillId="0" borderId="0" applyFont="0" applyFill="0" applyBorder="0" applyAlignment="0" applyProtection="0"/>
    <xf numFmtId="0" fontId="162" fillId="27" borderId="105" applyNumberFormat="0" applyAlignment="0" applyProtection="0"/>
    <xf numFmtId="8" fontId="67" fillId="0" borderId="102">
      <protection locked="0"/>
    </xf>
    <xf numFmtId="0" fontId="27" fillId="30" borderId="92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1" fontId="75" fillId="33" borderId="88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170" fontId="27" fillId="0" borderId="0" applyFont="0" applyFill="0" applyBorder="0" applyAlignment="0" applyProtection="0"/>
    <xf numFmtId="0" fontId="95" fillId="38" borderId="91">
      <alignment horizontal="left" vertical="center" wrapText="1"/>
    </xf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257" fontId="159" fillId="0" borderId="99" applyBorder="0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166" fontId="67" fillId="0" borderId="102">
      <protection locked="0"/>
    </xf>
    <xf numFmtId="0" fontId="21" fillId="10" borderId="108" applyNumberFormat="0" applyAlignment="0" applyProtection="0"/>
    <xf numFmtId="8" fontId="67" fillId="0" borderId="102">
      <protection locked="0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0" fontId="14" fillId="27" borderId="96" applyNumberFormat="0" applyAlignment="0" applyProtection="0"/>
    <xf numFmtId="235" fontId="27" fillId="0" borderId="0"/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95" fillId="38" borderId="91">
      <alignment horizontal="left" vertical="center" wrapText="1"/>
    </xf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27" fillId="3" borderId="108" applyNumberFormat="0">
      <alignment horizontal="left" vertical="center"/>
    </xf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44" fontId="27" fillId="0" borderId="0" applyFont="0" applyFill="0" applyBorder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95" fillId="38" borderId="103">
      <alignment horizontal="left" vertical="center" wrapText="1"/>
    </xf>
    <xf numFmtId="0" fontId="162" fillId="27" borderId="105" applyNumberFormat="0" applyAlignment="0" applyProtection="0"/>
    <xf numFmtId="203" fontId="42" fillId="24" borderId="101"/>
    <xf numFmtId="0" fontId="21" fillId="10" borderId="108" applyNumberFormat="0" applyAlignment="0" applyProtection="0"/>
    <xf numFmtId="0" fontId="21" fillId="10" borderId="96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95" fillId="38" borderId="91">
      <alignment horizontal="left" vertical="center" wrapText="1"/>
    </xf>
    <xf numFmtId="0" fontId="162" fillId="27" borderId="93" applyNumberFormat="0" applyAlignment="0" applyProtection="0"/>
    <xf numFmtId="0" fontId="162" fillId="27" borderId="105" applyNumberFormat="0" applyAlignment="0" applyProtection="0"/>
    <xf numFmtId="8" fontId="67" fillId="0" borderId="90">
      <protection locked="0"/>
    </xf>
    <xf numFmtId="0" fontId="162" fillId="27" borderId="105" applyNumberForma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257" fontId="159" fillId="0" borderId="99" applyBorder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27" fillId="30" borderId="104" applyNumberFormat="0" applyFon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21" fillId="10" borderId="108" applyNumberFormat="0" applyAlignment="0" applyProtection="0"/>
    <xf numFmtId="0" fontId="21" fillId="10" borderId="96" applyNumberFormat="0" applyAlignment="0" applyProtection="0"/>
    <xf numFmtId="0" fontId="198" fillId="0" borderId="95" applyNumberFormat="0" applyFill="0" applyAlignment="0" applyProtection="0"/>
    <xf numFmtId="0" fontId="27" fillId="3" borderId="108" applyNumberFormat="0">
      <alignment horizontal="left" vertical="center"/>
    </xf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80" fillId="0" borderId="87">
      <alignment horizontal="left" vertical="center"/>
    </xf>
    <xf numFmtId="0" fontId="198" fillId="0" borderId="107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166" fontId="67" fillId="0" borderId="90">
      <protection locked="0"/>
    </xf>
    <xf numFmtId="0" fontId="162" fillId="27" borderId="93" applyNumberFormat="0" applyAlignment="0" applyProtection="0"/>
    <xf numFmtId="257" fontId="159" fillId="0" borderId="87" applyBorder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95" fillId="38" borderId="91">
      <alignment horizontal="left" vertical="center" wrapText="1"/>
    </xf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203" fontId="42" fillId="24" borderId="101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203" fontId="42" fillId="24" borderId="101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44" fontId="27" fillId="0" borderId="0" applyFont="0" applyFill="0" applyBorder="0" applyAlignment="0" applyProtection="0"/>
    <xf numFmtId="0" fontId="162" fillId="27" borderId="93" applyNumberFormat="0" applyAlignment="0" applyProtection="0"/>
    <xf numFmtId="257" fontId="159" fillId="0" borderId="99" applyBorder="0"/>
    <xf numFmtId="0" fontId="11" fillId="30" borderId="92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27" fillId="2" borderId="108" applyNumberFormat="0">
      <alignment horizontal="centerContinuous" vertical="center" wrapText="1"/>
    </xf>
    <xf numFmtId="0" fontId="21" fillId="10" borderId="108" applyNumberFormat="0" applyAlignment="0" applyProtection="0"/>
    <xf numFmtId="203" fontId="42" fillId="24" borderId="101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44" fontId="27" fillId="0" borderId="0" applyFont="0" applyFill="0" applyBorder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170" fontId="27" fillId="0" borderId="0" applyFont="0" applyFill="0" applyBorder="0" applyAlignment="0" applyProtection="0"/>
    <xf numFmtId="0" fontId="162" fillId="27" borderId="105" applyNumberFormat="0" applyAlignment="0" applyProtection="0"/>
    <xf numFmtId="166" fontId="67" fillId="0" borderId="102">
      <protection locked="0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80" fillId="0" borderId="99">
      <alignment horizontal="left" vertical="center"/>
    </xf>
    <xf numFmtId="0" fontId="162" fillId="27" borderId="93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203" fontId="42" fillId="24" borderId="101"/>
    <xf numFmtId="0" fontId="27" fillId="30" borderId="104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9" fontId="27" fillId="0" borderId="0" applyFont="0" applyFill="0" applyBorder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203" fontId="42" fillId="24" borderId="101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95" fillId="38" borderId="103">
      <alignment horizontal="left" vertical="center" wrapText="1"/>
    </xf>
    <xf numFmtId="0" fontId="14" fillId="27" borderId="108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62" fillId="27" borderId="93" applyNumberFormat="0" applyAlignment="0" applyProtection="0"/>
    <xf numFmtId="257" fontId="159" fillId="0" borderId="99" applyBorder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9" fontId="27" fillId="0" borderId="0" applyFont="0" applyFill="0" applyBorder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27" fillId="3" borderId="108" applyNumberFormat="0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170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203" fontId="42" fillId="24" borderId="101"/>
    <xf numFmtId="44" fontId="27" fillId="0" borderId="0" applyFont="0" applyFill="0" applyBorder="0" applyAlignment="0" applyProtection="0"/>
    <xf numFmtId="0" fontId="27" fillId="30" borderId="104" applyNumberFormat="0" applyFont="0" applyAlignment="0" applyProtection="0"/>
    <xf numFmtId="0" fontId="162" fillId="27" borderId="93" applyNumberFormat="0" applyAlignment="0" applyProtection="0"/>
    <xf numFmtId="0" fontId="95" fillId="38" borderId="103">
      <alignment horizontal="left" vertical="center" wrapText="1"/>
    </xf>
    <xf numFmtId="166" fontId="67" fillId="0" borderId="90">
      <protection locked="0"/>
    </xf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170" fontId="27" fillId="0" borderId="0" applyFont="0" applyFill="0" applyBorder="0" applyAlignment="0" applyProtection="0"/>
    <xf numFmtId="0" fontId="14" fillId="27" borderId="108" applyNumberFormat="0" applyAlignment="0" applyProtection="0"/>
    <xf numFmtId="166" fontId="67" fillId="0" borderId="90">
      <protection locked="0"/>
    </xf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203" fontId="42" fillId="24" borderId="89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95" fillId="38" borderId="91">
      <alignment horizontal="left" vertical="center" wrapText="1"/>
    </xf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203" fontId="42" fillId="24" borderId="101"/>
    <xf numFmtId="0" fontId="27" fillId="30" borderId="92" applyNumberFormat="0" applyFont="0" applyAlignment="0" applyProtection="0"/>
    <xf numFmtId="0" fontId="95" fillId="38" borderId="103">
      <alignment horizontal="left" vertical="center" wrapText="1"/>
    </xf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95" fillId="38" borderId="103">
      <alignment horizontal="left" vertical="center" wrapText="1"/>
    </xf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235" fontId="27" fillId="0" borderId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31" fillId="0" borderId="109" applyNumberFormat="0" applyFon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170" fontId="27" fillId="0" borderId="0" applyFont="0" applyFill="0" applyBorder="0" applyAlignment="0" applyProtection="0"/>
    <xf numFmtId="235" fontId="27" fillId="0" borderId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8" fontId="67" fillId="0" borderId="90">
      <protection locked="0"/>
    </xf>
    <xf numFmtId="0" fontId="162" fillId="27" borderId="105" applyNumberFormat="0" applyAlignment="0" applyProtection="0"/>
    <xf numFmtId="0" fontId="27" fillId="3" borderId="108" applyNumberFormat="0">
      <alignment horizontal="left" vertical="center"/>
    </xf>
    <xf numFmtId="0" fontId="14" fillId="27" borderId="96" applyNumberFormat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27" fillId="30" borderId="92" applyNumberFormat="0" applyFon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27" fillId="3" borderId="108" applyNumberFormat="0">
      <alignment horizontal="left" vertical="center"/>
    </xf>
    <xf numFmtId="0" fontId="31" fillId="0" borderId="97" applyNumberFormat="0" applyFont="0" applyFill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44" fontId="27" fillId="0" borderId="0" applyFont="0" applyFill="0" applyBorder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166" fontId="67" fillId="0" borderId="102">
      <protection locked="0"/>
    </xf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257" fontId="159" fillId="0" borderId="87" applyBorder="0"/>
    <xf numFmtId="257" fontId="159" fillId="0" borderId="87" applyBorder="0"/>
    <xf numFmtId="0" fontId="198" fillId="0" borderId="107" applyNumberFormat="0" applyFill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7" fillId="30" borderId="92" applyNumberFormat="0" applyFon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257" fontId="159" fillId="0" borderId="87" applyBorder="0"/>
    <xf numFmtId="0" fontId="21" fillId="10" borderId="108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95" fillId="38" borderId="103">
      <alignment horizontal="left" vertical="center" wrapText="1"/>
    </xf>
    <xf numFmtId="203" fontId="42" fillId="24" borderId="101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95" fillId="38" borderId="91">
      <alignment horizontal="left" vertical="center" wrapText="1"/>
    </xf>
    <xf numFmtId="0" fontId="95" fillId="38" borderId="91">
      <alignment horizontal="left" vertical="center" wrapText="1"/>
    </xf>
    <xf numFmtId="0" fontId="95" fillId="38" borderId="91">
      <alignment horizontal="left" vertical="center" wrapText="1"/>
    </xf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166" fontId="67" fillId="0" borderId="90">
      <protection locked="0"/>
    </xf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7" fillId="2" borderId="108" applyNumberFormat="0">
      <alignment horizontal="centerContinuous" vertical="center" wrapText="1"/>
    </xf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80" fillId="0" borderId="99">
      <alignment horizontal="left" vertical="center"/>
    </xf>
    <xf numFmtId="166" fontId="67" fillId="0" borderId="102">
      <protection locked="0"/>
    </xf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0" fontId="21" fillId="10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166" fontId="67" fillId="0" borderId="102">
      <protection locked="0"/>
    </xf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235" fontId="27" fillId="0" borderId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203" fontId="42" fillId="24" borderId="101"/>
    <xf numFmtId="0" fontId="27" fillId="30" borderId="104" applyNumberFormat="0" applyFon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31" fillId="0" borderId="109" applyNumberFormat="0" applyFon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31" fillId="0" borderId="109" applyNumberFormat="0" applyFont="0" applyFill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257" fontId="159" fillId="0" borderId="87" applyBorder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27" fillId="2" borderId="96" applyNumberFormat="0">
      <alignment horizontal="centerContinuous" vertical="center" wrapText="1"/>
    </xf>
    <xf numFmtId="8" fontId="67" fillId="0" borderId="90">
      <protection locked="0"/>
    </xf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166" fontId="67" fillId="0" borderId="90">
      <protection locked="0"/>
    </xf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170" fontId="27" fillId="0" borderId="0" applyFont="0" applyFill="0" applyBorder="0" applyAlignment="0" applyProtection="0"/>
    <xf numFmtId="0" fontId="27" fillId="30" borderId="92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203" fontId="42" fillId="24" borderId="101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0" fontId="14" fillId="27" borderId="108" applyNumberFormat="0" applyAlignment="0" applyProtection="0"/>
    <xf numFmtId="0" fontId="162" fillId="27" borderId="93" applyNumberFormat="0" applyAlignment="0" applyProtection="0"/>
    <xf numFmtId="203" fontId="42" fillId="24" borderId="101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235" fontId="27" fillId="0" borderId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95" fillId="38" borderId="91">
      <alignment horizontal="left" vertical="center" wrapText="1"/>
    </xf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166" fontId="67" fillId="0" borderId="102">
      <protection locked="0"/>
    </xf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257" fontId="159" fillId="0" borderId="99" applyBorder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27" fillId="3" borderId="96" applyNumberFormat="0">
      <alignment horizontal="left" vertical="center"/>
    </xf>
    <xf numFmtId="0" fontId="31" fillId="0" borderId="97" applyNumberFormat="0" applyFont="0" applyFill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21" fillId="10" borderId="96" applyNumberFormat="0" applyAlignment="0" applyProtection="0"/>
    <xf numFmtId="257" fontId="159" fillId="0" borderId="87" applyBorder="0"/>
    <xf numFmtId="257" fontId="159" fillId="0" borderId="87" applyBorder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257" fontId="159" fillId="0" borderId="87" applyBorder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162" fillId="27" borderId="105" applyNumberFormat="0" applyAlignment="0" applyProtection="0"/>
    <xf numFmtId="0" fontId="27" fillId="30" borderId="92" applyNumberFormat="0" applyFon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27" fillId="30" borderId="104" applyNumberFormat="0" applyFont="0" applyAlignment="0" applyProtection="0"/>
    <xf numFmtId="44" fontId="27" fillId="0" borderId="0" applyFont="0" applyFill="0" applyBorder="0" applyAlignment="0" applyProtection="0"/>
    <xf numFmtId="235" fontId="27" fillId="0" borderId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27" fillId="30" borderId="92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166" fontId="67" fillId="0" borderId="90">
      <protection locked="0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8" fontId="67" fillId="0" borderId="90">
      <protection locked="0"/>
    </xf>
    <xf numFmtId="0" fontId="198" fillId="0" borderId="95" applyNumberFormat="0" applyFill="0" applyAlignment="0" applyProtection="0"/>
    <xf numFmtId="0" fontId="27" fillId="30" borderId="104" applyNumberFormat="0" applyFont="0" applyAlignment="0" applyProtection="0"/>
    <xf numFmtId="0" fontId="162" fillId="27" borderId="93" applyNumberFormat="0" applyAlignment="0" applyProtection="0"/>
    <xf numFmtId="0" fontId="80" fillId="0" borderId="99">
      <alignment horizontal="left" vertical="center"/>
    </xf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95" fillId="38" borderId="91">
      <alignment horizontal="left" vertical="center" wrapText="1"/>
    </xf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31" fillId="0" borderId="109" applyNumberFormat="0" applyFon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203" fontId="42" fillId="24" borderId="101"/>
    <xf numFmtId="0" fontId="27" fillId="3" borderId="96" applyNumberFormat="0">
      <alignment horizontal="left" vertical="center"/>
    </xf>
    <xf numFmtId="0" fontId="27" fillId="2" borderId="96" applyNumberFormat="0">
      <alignment horizontal="centerContinuous" vertical="center" wrapText="1"/>
    </xf>
    <xf numFmtId="0" fontId="14" fillId="27" borderId="96" applyNumberFormat="0" applyAlignment="0" applyProtection="0"/>
    <xf numFmtId="0" fontId="14" fillId="27" borderId="96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203" fontId="42" fillId="24" borderId="101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166" fontId="67" fillId="0" borderId="90">
      <protection locked="0"/>
    </xf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21" fillId="10" borderId="108" applyNumberFormat="0" applyAlignment="0" applyProtection="0"/>
    <xf numFmtId="166" fontId="67" fillId="0" borderId="102">
      <protection locked="0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237" fontId="188" fillId="85" borderId="94" applyNumberFormat="0" applyBorder="0" applyAlignment="0" applyProtection="0">
      <alignment vertical="center"/>
    </xf>
    <xf numFmtId="0" fontId="14" fillId="27" borderId="108" applyNumberFormat="0" applyAlignment="0" applyProtection="0"/>
    <xf numFmtId="0" fontId="27" fillId="3" borderId="108" applyNumberFormat="0">
      <alignment horizontal="left" vertical="center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105" applyNumberFormat="0" applyAlignment="0" applyProtection="0"/>
    <xf numFmtId="170" fontId="27" fillId="0" borderId="0" applyFont="0" applyFill="0" applyBorder="0" applyAlignment="0" applyProtection="0"/>
    <xf numFmtId="0" fontId="31" fillId="0" borderId="109" applyNumberFormat="0" applyFon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9" fontId="27" fillId="0" borderId="0" applyFont="0" applyFill="0" applyBorder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166" fontId="67" fillId="0" borderId="90">
      <protection locked="0"/>
    </xf>
    <xf numFmtId="166" fontId="67" fillId="0" borderId="90">
      <protection locked="0"/>
    </xf>
    <xf numFmtId="203" fontId="42" fillId="24" borderId="101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2" borderId="108" applyNumberFormat="0">
      <alignment horizontal="centerContinuous" vertical="center" wrapText="1"/>
    </xf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166" fontId="67" fillId="0" borderId="90">
      <protection locked="0"/>
    </xf>
    <xf numFmtId="0" fontId="21" fillId="10" borderId="108" applyNumberFormat="0" applyAlignment="0" applyProtection="0"/>
    <xf numFmtId="0" fontId="27" fillId="3" borderId="108" applyNumberFormat="0">
      <alignment horizontal="left" vertical="center"/>
    </xf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203" fontId="42" fillId="24" borderId="89"/>
    <xf numFmtId="0" fontId="21" fillId="10" borderId="108" applyNumberFormat="0" applyAlignment="0" applyProtection="0"/>
    <xf numFmtId="0" fontId="95" fillId="38" borderId="91">
      <alignment horizontal="left" vertical="center" wrapText="1"/>
    </xf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170" fontId="27" fillId="0" borderId="0" applyFont="0" applyFill="0" applyBorder="0" applyAlignment="0" applyProtection="0"/>
    <xf numFmtId="0" fontId="21" fillId="10" borderId="108" applyNumberFormat="0" applyAlignment="0" applyProtection="0"/>
    <xf numFmtId="0" fontId="21" fillId="10" borderId="96" applyNumberFormat="0" applyAlignment="0" applyProtection="0"/>
    <xf numFmtId="203" fontId="42" fillId="24" borderId="89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9" fontId="27" fillId="0" borderId="0" applyFont="0" applyFill="0" applyBorder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166" fontId="67" fillId="0" borderId="102">
      <protection locked="0"/>
    </xf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166" fontId="67" fillId="0" borderId="102">
      <protection locked="0"/>
    </xf>
    <xf numFmtId="0" fontId="11" fillId="30" borderId="92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7" fillId="2" borderId="96" applyNumberFormat="0">
      <alignment horizontal="centerContinuous" vertical="center" wrapText="1"/>
    </xf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95" fillId="38" borderId="103">
      <alignment horizontal="left" vertical="center" wrapText="1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44" fontId="27" fillId="0" borderId="0" applyFont="0" applyFill="0" applyBorder="0" applyAlignment="0" applyProtection="0"/>
    <xf numFmtId="8" fontId="67" fillId="0" borderId="102">
      <protection locked="0"/>
    </xf>
    <xf numFmtId="0" fontId="21" fillId="10" borderId="108" applyNumberFormat="0" applyAlignment="0" applyProtection="0"/>
    <xf numFmtId="0" fontId="21" fillId="10" borderId="96" applyNumberFormat="0" applyAlignment="0" applyProtection="0"/>
    <xf numFmtId="0" fontId="27" fillId="30" borderId="92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0" fontId="27" fillId="3" borderId="96" applyNumberFormat="0">
      <alignment horizontal="left" vertical="center"/>
    </xf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203" fontId="42" fillId="24" borderId="89"/>
    <xf numFmtId="0" fontId="198" fillId="0" borderId="95" applyNumberFormat="0" applyFill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170" fontId="27" fillId="0" borderId="0" applyFont="0" applyFill="0" applyBorder="0" applyAlignment="0" applyProtection="0"/>
    <xf numFmtId="0" fontId="162" fillId="27" borderId="93" applyNumberFormat="0" applyAlignment="0" applyProtection="0"/>
    <xf numFmtId="235" fontId="27" fillId="0" borderId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44" fontId="27" fillId="0" borderId="0" applyFont="0" applyFill="0" applyBorder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31" fillId="0" borderId="109" applyNumberFormat="0" applyFon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166" fontId="67" fillId="0" borderId="102">
      <protection locked="0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166" fontId="67" fillId="0" borderId="102">
      <protection locked="0"/>
    </xf>
    <xf numFmtId="0" fontId="95" fillId="38" borderId="103">
      <alignment horizontal="left" vertical="center" wrapText="1"/>
    </xf>
    <xf numFmtId="166" fontId="67" fillId="0" borderId="90">
      <protection locked="0"/>
    </xf>
    <xf numFmtId="0" fontId="95" fillId="38" borderId="91">
      <alignment horizontal="left" vertical="center" wrapText="1"/>
    </xf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257" fontId="159" fillId="0" borderId="99" applyBorder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257" fontId="159" fillId="0" borderId="87" applyBorder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8" fontId="67" fillId="0" borderId="102">
      <protection locked="0"/>
    </xf>
    <xf numFmtId="0" fontId="162" fillId="27" borderId="105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93" applyNumberFormat="0" applyAlignment="0" applyProtection="0"/>
    <xf numFmtId="257" fontId="159" fillId="0" borderId="99" applyBorder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62" fillId="27" borderId="93" applyNumberFormat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27" fillId="3" borderId="108" applyNumberFormat="0">
      <alignment horizontal="left" vertical="center"/>
    </xf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27" fillId="30" borderId="92" applyNumberFormat="0" applyFont="0" applyAlignment="0" applyProtection="0"/>
    <xf numFmtId="0" fontId="162" fillId="27" borderId="105" applyNumberFormat="0" applyAlignment="0" applyProtection="0"/>
    <xf numFmtId="0" fontId="95" fillId="38" borderId="91">
      <alignment horizontal="left" vertical="center" wrapText="1"/>
    </xf>
    <xf numFmtId="0" fontId="162" fillId="27" borderId="105" applyNumberFormat="0" applyAlignment="0" applyProtection="0"/>
    <xf numFmtId="0" fontId="14" fillId="27" borderId="96" applyNumberFormat="0" applyAlignment="0" applyProtection="0"/>
    <xf numFmtId="166" fontId="67" fillId="0" borderId="102">
      <protection locked="0"/>
    </xf>
    <xf numFmtId="0" fontId="21" fillId="10" borderId="96" applyNumberFormat="0" applyAlignment="0" applyProtection="0"/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31" fillId="0" borderId="97" applyNumberFormat="0" applyFont="0" applyFill="0" applyAlignment="0" applyProtection="0"/>
    <xf numFmtId="0" fontId="162" fillId="27" borderId="93" applyNumberFormat="0" applyAlignment="0" applyProtection="0"/>
    <xf numFmtId="8" fontId="67" fillId="0" borderId="90">
      <protection locked="0"/>
    </xf>
    <xf numFmtId="0" fontId="27" fillId="30" borderId="92" applyNumberFormat="0" applyFon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166" fontId="67" fillId="0" borderId="102"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92" applyNumberFormat="0" applyFont="0" applyAlignment="0" applyProtection="0"/>
    <xf numFmtId="166" fontId="67" fillId="0" borderId="102">
      <protection locked="0"/>
    </xf>
    <xf numFmtId="0" fontId="27" fillId="2" borderId="108" applyNumberFormat="0">
      <alignment horizontal="centerContinuous" vertical="center" wrapText="1"/>
    </xf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95" fillId="38" borderId="91">
      <alignment horizontal="left" vertical="center" wrapText="1"/>
    </xf>
    <xf numFmtId="0" fontId="95" fillId="38" borderId="91">
      <alignment horizontal="left" vertical="center" wrapText="1"/>
    </xf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203" fontId="42" fillId="24" borderId="101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203" fontId="42" fillId="24" borderId="89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235" fontId="27" fillId="0" borderId="0"/>
    <xf numFmtId="0" fontId="198" fillId="0" borderId="95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" borderId="96" applyNumberFormat="0">
      <alignment horizontal="left" vertical="center"/>
    </xf>
    <xf numFmtId="0" fontId="14" fillId="27" borderId="96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92" applyNumberFormat="0" applyFont="0" applyAlignment="0" applyProtection="0"/>
    <xf numFmtId="0" fontId="21" fillId="10" borderId="108" applyNumberForma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166" fontId="67" fillId="0" borderId="90">
      <protection locked="0"/>
    </xf>
    <xf numFmtId="0" fontId="21" fillId="10" borderId="96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92" applyNumberFormat="0" applyFont="0" applyAlignment="0" applyProtection="0"/>
    <xf numFmtId="0" fontId="11" fillId="30" borderId="104" applyNumberFormat="0" applyFont="0" applyAlignment="0" applyProtection="0"/>
    <xf numFmtId="0" fontId="31" fillId="0" borderId="109" applyNumberFormat="0" applyFont="0" applyFill="0" applyAlignment="0" applyProtection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98" fillId="0" borderId="107" applyNumberFormat="0" applyFill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3" borderId="108" applyNumberFormat="0">
      <alignment horizontal="left" vertical="center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0" fontId="31" fillId="0" borderId="109" applyNumberFormat="0" applyFont="0" applyFill="0" applyAlignment="0" applyProtection="0"/>
    <xf numFmtId="9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27" fillId="2" borderId="96" applyNumberFormat="0">
      <alignment horizontal="centerContinuous" vertical="center" wrapText="1"/>
    </xf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203" fontId="42" fillId="24" borderId="101"/>
    <xf numFmtId="0" fontId="95" fillId="38" borderId="91">
      <alignment horizontal="left" vertical="center" wrapText="1"/>
    </xf>
    <xf numFmtId="0" fontId="11" fillId="30" borderId="104" applyNumberFormat="0" applyFont="0" applyAlignment="0" applyProtection="0"/>
    <xf numFmtId="227" fontId="30" fillId="26" borderId="98" applyFont="0" applyFill="0" applyBorder="0" applyAlignment="0" applyProtection="0"/>
    <xf numFmtId="0" fontId="14" fillId="27" borderId="96" applyNumberFormat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62" fillId="27" borderId="105" applyNumberFormat="0" applyAlignment="0" applyProtection="0"/>
    <xf numFmtId="203" fontId="42" fillId="24" borderId="89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80" fillId="0" borderId="99">
      <alignment horizontal="left" vertical="center"/>
    </xf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27" fillId="2" borderId="96" applyNumberFormat="0">
      <alignment horizontal="centerContinuous" vertical="center" wrapText="1"/>
    </xf>
    <xf numFmtId="0" fontId="80" fillId="0" borderId="99">
      <alignment horizontal="left" vertical="center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203" fontId="42" fillId="24" borderId="89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" borderId="96" applyNumberFormat="0">
      <alignment horizontal="left" vertical="center"/>
    </xf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27" fillId="30" borderId="92" applyNumberFormat="0" applyFont="0" applyAlignment="0" applyProtection="0"/>
    <xf numFmtId="0" fontId="21" fillId="10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27" fillId="30" borderId="92" applyNumberFormat="0" applyFont="0" applyAlignment="0" applyProtection="0"/>
    <xf numFmtId="0" fontId="11" fillId="30" borderId="92" applyNumberFormat="0" applyFont="0" applyAlignment="0" applyProtection="0"/>
    <xf numFmtId="0" fontId="80" fillId="0" borderId="87">
      <alignment horizontal="left" vertical="center"/>
    </xf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92" applyNumberFormat="0" applyFon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235" fontId="27" fillId="0" borderId="0"/>
    <xf numFmtId="235" fontId="27" fillId="0" borderId="0"/>
    <xf numFmtId="0" fontId="198" fillId="0" borderId="95" applyNumberFormat="0" applyFill="0" applyAlignment="0" applyProtection="0"/>
    <xf numFmtId="257" fontId="159" fillId="0" borderId="99" applyBorder="0"/>
    <xf numFmtId="0" fontId="162" fillId="27" borderId="93" applyNumberFormat="0" applyAlignment="0" applyProtection="0"/>
    <xf numFmtId="8" fontId="67" fillId="0" borderId="90">
      <protection locked="0"/>
    </xf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31" fillId="0" borderId="97" applyNumberFormat="0" applyFon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80" fillId="0" borderId="87">
      <alignment horizontal="left" vertical="center"/>
    </xf>
    <xf numFmtId="166" fontId="67" fillId="0" borderId="90">
      <protection locked="0"/>
    </xf>
    <xf numFmtId="0" fontId="27" fillId="30" borderId="104" applyNumberFormat="0" applyFont="0" applyAlignment="0" applyProtection="0"/>
    <xf numFmtId="0" fontId="11" fillId="30" borderId="92" applyNumberFormat="0" applyFont="0" applyAlignment="0" applyProtection="0"/>
    <xf numFmtId="0" fontId="27" fillId="30" borderId="92" applyNumberFormat="0" applyFont="0" applyAlignment="0" applyProtection="0"/>
    <xf numFmtId="44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27" fillId="30" borderId="92" applyNumberFormat="0" applyFont="0" applyAlignment="0" applyProtection="0"/>
    <xf numFmtId="166" fontId="67" fillId="0" borderId="102">
      <protection locked="0"/>
    </xf>
    <xf numFmtId="0" fontId="14" fillId="27" borderId="108" applyNumberFormat="0" applyAlignment="0" applyProtection="0"/>
    <xf numFmtId="0" fontId="27" fillId="30" borderId="92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95" fillId="38" borderId="91">
      <alignment horizontal="left" vertical="center" wrapText="1"/>
    </xf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166" fontId="67" fillId="0" borderId="90">
      <protection locked="0"/>
    </xf>
    <xf numFmtId="0" fontId="162" fillId="27" borderId="93" applyNumberFormat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237" fontId="188" fillId="85" borderId="94" applyNumberFormat="0" applyBorder="0" applyAlignment="0" applyProtection="0">
      <alignment vertical="center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31" fillId="0" borderId="97" applyNumberFormat="0" applyFon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0" fontId="198" fillId="0" borderId="95" applyNumberFormat="0" applyFill="0" applyAlignment="0" applyProtection="0"/>
    <xf numFmtId="0" fontId="31" fillId="0" borderId="109" applyNumberFormat="0" applyFont="0" applyFill="0" applyAlignment="0" applyProtection="0"/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257" fontId="159" fillId="0" borderId="87" applyBorder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80" fillId="0" borderId="99">
      <alignment horizontal="left" vertical="center"/>
    </xf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95" fillId="38" borderId="103">
      <alignment horizontal="left" vertical="center" wrapText="1"/>
    </xf>
    <xf numFmtId="237" fontId="188" fillId="85" borderId="94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80" fillId="0" borderId="87">
      <alignment horizontal="left" vertical="center"/>
    </xf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31" fillId="0" borderId="109" applyNumberFormat="0" applyFon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62" fillId="27" borderId="93" applyNumberFormat="0" applyAlignment="0" applyProtection="0"/>
    <xf numFmtId="257" fontId="159" fillId="0" borderId="99" applyBorder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80" fillId="0" borderId="87">
      <alignment horizontal="left" vertical="center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80" fillId="0" borderId="99">
      <alignment horizontal="left" vertical="center"/>
    </xf>
    <xf numFmtId="170" fontId="27" fillId="0" borderId="0" applyFont="0" applyFill="0" applyBorder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95" fillId="38" borderId="103">
      <alignment horizontal="left" vertical="center" wrapText="1"/>
    </xf>
    <xf numFmtId="0" fontId="31" fillId="0" borderId="109" applyNumberFormat="0" applyFont="0" applyFill="0" applyAlignment="0" applyProtection="0"/>
    <xf numFmtId="0" fontId="11" fillId="30" borderId="104" applyNumberFormat="0" applyFont="0" applyAlignment="0" applyProtection="0"/>
    <xf numFmtId="166" fontId="67" fillId="0" borderId="102">
      <protection locked="0"/>
    </xf>
    <xf numFmtId="0" fontId="14" fillId="27" borderId="96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203" fontId="42" fillId="24" borderId="101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8" fontId="67" fillId="0" borderId="102">
      <protection locked="0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166" fontId="67" fillId="0" borderId="102">
      <protection locked="0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31" fillId="0" borderId="109" applyNumberFormat="0" applyFon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1" fillId="30" borderId="92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93" applyNumberFormat="0" applyAlignment="0" applyProtection="0"/>
    <xf numFmtId="44" fontId="27" fillId="0" borderId="0" applyFont="0" applyFill="0" applyBorder="0" applyAlignment="0" applyProtection="0"/>
    <xf numFmtId="203" fontId="42" fillId="24" borderId="101"/>
    <xf numFmtId="0" fontId="198" fillId="0" borderId="107" applyNumberFormat="0" applyFill="0" applyAlignment="0" applyProtection="0"/>
    <xf numFmtId="1" fontId="75" fillId="33" borderId="88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166" fontId="67" fillId="0" borderId="102">
      <protection locked="0"/>
    </xf>
    <xf numFmtId="0" fontId="198" fillId="0" borderId="95" applyNumberFormat="0" applyFill="0" applyAlignment="0" applyProtection="0"/>
    <xf numFmtId="0" fontId="27" fillId="3" borderId="108" applyNumberFormat="0">
      <alignment horizontal="left" vertical="center"/>
    </xf>
    <xf numFmtId="0" fontId="31" fillId="0" borderId="97" applyNumberFormat="0" applyFon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235" fontId="27" fillId="0" borderId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44" fontId="27" fillId="0" borderId="0" applyFont="0" applyFill="0" applyBorder="0" applyAlignment="0" applyProtection="0"/>
    <xf numFmtId="0" fontId="11" fillId="30" borderId="92" applyNumberFormat="0" applyFont="0" applyAlignment="0" applyProtection="0"/>
    <xf numFmtId="0" fontId="11" fillId="30" borderId="92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203" fontId="42" fillId="24" borderId="89"/>
    <xf numFmtId="0" fontId="162" fillId="27" borderId="105" applyNumberFormat="0" applyAlignment="0" applyProtection="0"/>
    <xf numFmtId="44" fontId="27" fillId="0" borderId="0" applyFont="0" applyFill="0" applyBorder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98" fillId="0" borderId="95" applyNumberFormat="0" applyFill="0" applyAlignment="0" applyProtection="0"/>
    <xf numFmtId="0" fontId="14" fillId="27" borderId="108" applyNumberFormat="0" applyAlignment="0" applyProtection="0"/>
    <xf numFmtId="0" fontId="80" fillId="0" borderId="99">
      <alignment horizontal="left" vertical="center"/>
    </xf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9" fontId="27" fillId="0" borderId="0" applyFont="0" applyFill="0" applyBorder="0" applyAlignment="0" applyProtection="0"/>
    <xf numFmtId="0" fontId="27" fillId="30" borderId="92" applyNumberFormat="0" applyFont="0" applyAlignment="0" applyProtection="0"/>
    <xf numFmtId="0" fontId="27" fillId="30" borderId="104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8" fontId="67" fillId="0" borderId="90">
      <protection locked="0"/>
    </xf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235" fontId="27" fillId="0" borderId="0"/>
    <xf numFmtId="0" fontId="31" fillId="0" borderId="109" applyNumberFormat="0" applyFon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95" fillId="38" borderId="91">
      <alignment horizontal="left" vertical="center" wrapText="1"/>
    </xf>
    <xf numFmtId="0" fontId="11" fillId="30" borderId="92" applyNumberFormat="0" applyFon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235" fontId="27" fillId="0" borderId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62" fillId="27" borderId="93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96" applyNumberFormat="0" applyAlignment="0" applyProtection="0"/>
    <xf numFmtId="0" fontId="11" fillId="30" borderId="92" applyNumberFormat="0" applyFont="0" applyAlignment="0" applyProtection="0"/>
    <xf numFmtId="0" fontId="21" fillId="10" borderId="96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44" fontId="27" fillId="0" borderId="0" applyFont="0" applyFill="0" applyBorder="0" applyAlignment="0" applyProtection="0"/>
    <xf numFmtId="0" fontId="21" fillId="10" borderId="108" applyNumberFormat="0" applyAlignment="0" applyProtection="0"/>
    <xf numFmtId="170" fontId="27" fillId="0" borderId="0" applyFont="0" applyFill="0" applyBorder="0" applyAlignment="0" applyProtection="0"/>
    <xf numFmtId="203" fontId="42" fillId="24" borderId="89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31" fillId="0" borderId="97" applyNumberFormat="0" applyFont="0" applyFill="0" applyAlignment="0" applyProtection="0"/>
    <xf numFmtId="203" fontId="42" fillId="24" borderId="101"/>
    <xf numFmtId="0" fontId="14" fillId="27" borderId="108" applyNumberFormat="0" applyAlignment="0" applyProtection="0"/>
    <xf numFmtId="0" fontId="162" fillId="27" borderId="93" applyNumberFormat="0" applyAlignment="0" applyProtection="0"/>
    <xf numFmtId="0" fontId="198" fillId="0" borderId="95" applyNumberFormat="0" applyFill="0" applyAlignment="0" applyProtection="0"/>
    <xf numFmtId="0" fontId="31" fillId="0" borderId="109" applyNumberFormat="0" applyFont="0" applyFill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7" fillId="3" borderId="108" applyNumberFormat="0">
      <alignment horizontal="left" vertical="center"/>
    </xf>
    <xf numFmtId="0" fontId="11" fillId="30" borderId="92" applyNumberFormat="0" applyFon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166" fontId="67" fillId="0" borderId="102">
      <protection locked="0"/>
    </xf>
    <xf numFmtId="0" fontId="27" fillId="30" borderId="104" applyNumberFormat="0" applyFont="0" applyAlignment="0" applyProtection="0"/>
    <xf numFmtId="0" fontId="80" fillId="0" borderId="99">
      <alignment horizontal="left" vertical="center"/>
    </xf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198" fillId="0" borderId="107" applyNumberFormat="0" applyFill="0" applyAlignment="0" applyProtection="0"/>
    <xf numFmtId="0" fontId="27" fillId="2" borderId="108" applyNumberFormat="0">
      <alignment horizontal="centerContinuous" vertical="center" wrapText="1"/>
    </xf>
    <xf numFmtId="0" fontId="14" fillId="27" borderId="108" applyNumberFormat="0" applyAlignment="0" applyProtection="0"/>
    <xf numFmtId="0" fontId="11" fillId="30" borderId="92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9" fontId="27" fillId="0" borderId="0" applyFont="0" applyFill="0" applyBorder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" borderId="108" applyNumberFormat="0">
      <alignment horizontal="left" vertical="center"/>
    </xf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0" fontId="14" fillId="27" borderId="108" applyNumberFormat="0" applyAlignment="0" applyProtection="0"/>
    <xf numFmtId="203" fontId="42" fillId="24" borderId="101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92" applyNumberFormat="0" applyFont="0" applyAlignment="0" applyProtection="0"/>
    <xf numFmtId="257" fontId="159" fillId="0" borderId="99" applyBorder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11" fillId="30" borderId="92" applyNumberFormat="0" applyFont="0" applyAlignment="0" applyProtection="0"/>
    <xf numFmtId="0" fontId="198" fillId="0" borderId="95" applyNumberFormat="0" applyFill="0" applyAlignment="0" applyProtection="0"/>
    <xf numFmtId="166" fontId="67" fillId="0" borderId="102">
      <protection locked="0"/>
    </xf>
    <xf numFmtId="0" fontId="95" fillId="38" borderId="103">
      <alignment horizontal="left" vertical="center" wrapText="1"/>
    </xf>
    <xf numFmtId="0" fontId="162" fillId="27" borderId="105" applyNumberFormat="0" applyAlignment="0" applyProtection="0"/>
    <xf numFmtId="0" fontId="21" fillId="10" borderId="96" applyNumberFormat="0" applyAlignment="0" applyProtection="0"/>
    <xf numFmtId="0" fontId="14" fillId="27" borderId="108" applyNumberFormat="0" applyAlignment="0" applyProtection="0"/>
    <xf numFmtId="0" fontId="27" fillId="30" borderId="92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96" applyNumberFormat="0" applyAlignment="0" applyProtection="0"/>
    <xf numFmtId="0" fontId="21" fillId="10" borderId="96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95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44" fontId="27" fillId="0" borderId="0" applyFont="0" applyFill="0" applyBorder="0" applyAlignment="0" applyProtection="0"/>
    <xf numFmtId="235" fontId="27" fillId="0" borderId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92" applyNumberFormat="0" applyFont="0" applyAlignment="0" applyProtection="0"/>
    <xf numFmtId="0" fontId="95" fillId="38" borderId="103">
      <alignment horizontal="left" vertical="center" wrapText="1"/>
    </xf>
    <xf numFmtId="235" fontId="27" fillId="0" borderId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203" fontId="42" fillId="24" borderId="101"/>
    <xf numFmtId="0" fontId="27" fillId="30" borderId="92" applyNumberFormat="0" applyFont="0" applyAlignment="0" applyProtection="0"/>
    <xf numFmtId="237" fontId="188" fillId="85" borderId="94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3" borderId="108" applyNumberFormat="0">
      <alignment horizontal="left" vertical="center"/>
    </xf>
    <xf numFmtId="0" fontId="31" fillId="0" borderId="109" applyNumberFormat="0" applyFon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96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203" fontId="42" fillId="24" borderId="101"/>
    <xf numFmtId="0" fontId="198" fillId="0" borderId="107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166" fontId="67" fillId="0" borderId="102">
      <protection locked="0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95" applyNumberFormat="0" applyFill="0" applyAlignment="0" applyProtection="0"/>
    <xf numFmtId="166" fontId="67" fillId="0" borderId="102">
      <protection locked="0"/>
    </xf>
    <xf numFmtId="0" fontId="11" fillId="30" borderId="104" applyNumberFormat="0" applyFont="0" applyAlignment="0" applyProtection="0"/>
    <xf numFmtId="0" fontId="162" fillId="27" borderId="93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96" applyNumberFormat="0" applyAlignment="0" applyProtection="0"/>
    <xf numFmtId="0" fontId="14" fillId="27" borderId="96" applyNumberFormat="0" applyAlignment="0" applyProtection="0"/>
    <xf numFmtId="0" fontId="27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95" fillId="38" borderId="91">
      <alignment horizontal="left" vertical="center" wrapText="1"/>
    </xf>
    <xf numFmtId="0" fontId="162" fillId="27" borderId="105" applyNumberFormat="0" applyAlignment="0" applyProtection="0"/>
    <xf numFmtId="170" fontId="27" fillId="0" borderId="0" applyFont="0" applyFill="0" applyBorder="0" applyAlignment="0" applyProtection="0"/>
    <xf numFmtId="0" fontId="27" fillId="2" borderId="108" applyNumberFormat="0">
      <alignment horizontal="centerContinuous" vertical="center" wrapText="1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31" fillId="0" borderId="109" applyNumberFormat="0" applyFon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62" fillId="27" borderId="105" applyNumberFormat="0" applyAlignment="0" applyProtection="0"/>
    <xf numFmtId="170" fontId="27" fillId="0" borderId="0" applyFont="0" applyFill="0" applyBorder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9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95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170" fontId="27" fillId="0" borderId="0" applyFont="0" applyFill="0" applyBorder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80" fillId="0" borderId="99">
      <alignment horizontal="left" vertical="center"/>
    </xf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257" fontId="159" fillId="0" borderId="99" applyBorder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2" borderId="108" applyNumberFormat="0">
      <alignment horizontal="centerContinuous" vertical="center" wrapText="1"/>
    </xf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203" fontId="42" fillId="24" borderId="101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9" fontId="27" fillId="0" borderId="0" applyFont="0" applyFill="0" applyBorder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166" fontId="67" fillId="0" borderId="102">
      <protection locked="0"/>
    </xf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8" fontId="67" fillId="0" borderId="102">
      <protection locked="0"/>
    </xf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166" fontId="67" fillId="0" borderId="102">
      <protection locked="0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203" fontId="42" fillId="24" borderId="101"/>
    <xf numFmtId="0" fontId="162" fillId="27" borderId="105" applyNumberFormat="0" applyAlignment="0" applyProtection="0"/>
    <xf numFmtId="166" fontId="67" fillId="0" borderId="102">
      <protection locked="0"/>
    </xf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" borderId="108" applyNumberFormat="0">
      <alignment horizontal="left" vertical="center"/>
    </xf>
    <xf numFmtId="235" fontId="27" fillId="0" borderId="0"/>
    <xf numFmtId="0" fontId="27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1" fontId="75" fillId="33" borderId="100" applyNumberFormat="0" applyBorder="0" applyAlignment="0">
      <alignment horizontal="centerContinuous" vertical="center"/>
      <protection locked="0"/>
    </xf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2" borderId="108" applyNumberFormat="0">
      <alignment horizontal="centerContinuous" vertical="center" wrapText="1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2" borderId="108" applyNumberFormat="0">
      <alignment horizontal="centerContinuous" vertical="center" wrapText="1"/>
    </xf>
    <xf numFmtId="0" fontId="21" fillId="10" borderId="108" applyNumberFormat="0" applyAlignment="0" applyProtection="0"/>
    <xf numFmtId="203" fontId="42" fillId="24" borderId="101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95" fillId="38" borderId="103">
      <alignment horizontal="left" vertical="center" wrapText="1"/>
    </xf>
    <xf numFmtId="0" fontId="11" fillId="30" borderId="104" applyNumberFormat="0" applyFont="0" applyAlignment="0" applyProtection="0"/>
    <xf numFmtId="235" fontId="27" fillId="0" borderId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257" fontId="159" fillId="0" borderId="99" applyBorder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1" fontId="75" fillId="33" borderId="100" applyNumberFormat="0" applyBorder="0" applyAlignment="0">
      <alignment horizontal="centerContinuous" vertical="center"/>
      <protection locked="0"/>
    </xf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62" fillId="27" borderId="105" applyNumberFormat="0" applyAlignment="0" applyProtection="0"/>
    <xf numFmtId="166" fontId="67" fillId="0" borderId="102">
      <protection locked="0"/>
    </xf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95" fillId="38" borderId="103">
      <alignment horizontal="left" vertical="center" wrapText="1"/>
    </xf>
    <xf numFmtId="235" fontId="27" fillId="0" borderId="0"/>
    <xf numFmtId="0" fontId="21" fillId="10" borderId="108" applyNumberFormat="0" applyAlignment="0" applyProtection="0"/>
    <xf numFmtId="170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31" fillId="0" borderId="109" applyNumberFormat="0" applyFon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44" fontId="27" fillId="0" borderId="0" applyFont="0" applyFill="0" applyBorder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235" fontId="27" fillId="0" borderId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170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166" fontId="67" fillId="0" borderId="102">
      <protection locked="0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203" fontId="42" fillId="24" borderId="101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2" borderId="108" applyNumberFormat="0">
      <alignment horizontal="centerContinuous" vertical="center" wrapText="1"/>
    </xf>
    <xf numFmtId="0" fontId="162" fillId="27" borderId="105" applyNumberFormat="0" applyAlignment="0" applyProtection="0"/>
    <xf numFmtId="257" fontId="159" fillId="0" borderId="99" applyBorder="0"/>
    <xf numFmtId="0" fontId="80" fillId="0" borderId="99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95" fillId="38" borderId="103">
      <alignment horizontal="left" vertical="center" wrapText="1"/>
    </xf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95" fillId="38" borderId="103">
      <alignment horizontal="left" vertical="center" wrapText="1"/>
    </xf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31" fillId="0" borderId="109" applyNumberFormat="0" applyFont="0" applyFill="0" applyAlignment="0" applyProtection="0"/>
    <xf numFmtId="0" fontId="95" fillId="38" borderId="103">
      <alignment horizontal="left" vertical="center" wrapText="1"/>
    </xf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4" fillId="27" borderId="108" applyNumberFormat="0" applyAlignment="0" applyProtection="0"/>
    <xf numFmtId="0" fontId="27" fillId="3" borderId="108" applyNumberFormat="0">
      <alignment horizontal="left" vertical="center"/>
    </xf>
    <xf numFmtId="8" fontId="67" fillId="0" borderId="102">
      <protection locked="0"/>
    </xf>
    <xf numFmtId="0" fontId="162" fillId="27" borderId="105" applyNumberFormat="0" applyAlignment="0" applyProtection="0"/>
    <xf numFmtId="166" fontId="67" fillId="0" borderId="102">
      <protection locked="0"/>
    </xf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31" fillId="0" borderId="109" applyNumberFormat="0" applyFont="0" applyFill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80" fillId="0" borderId="99">
      <alignment horizontal="left" vertical="center"/>
    </xf>
    <xf numFmtId="0" fontId="31" fillId="0" borderId="109" applyNumberFormat="0" applyFont="0" applyFill="0" applyAlignment="0" applyProtection="0"/>
    <xf numFmtId="166" fontId="67" fillId="0" borderId="102">
      <protection locked="0"/>
    </xf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235" fontId="27" fillId="0" borderId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203" fontId="42" fillId="24" borderId="101"/>
    <xf numFmtId="0" fontId="95" fillId="38" borderId="103">
      <alignment horizontal="left" vertical="center" wrapText="1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31" fillId="0" borderId="109" applyNumberFormat="0" applyFon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44" fontId="27" fillId="0" borderId="0" applyFont="0" applyFill="0" applyBorder="0" applyAlignment="0" applyProtection="0"/>
    <xf numFmtId="0" fontId="11" fillId="30" borderId="104" applyNumberFormat="0" applyFont="0" applyAlignment="0" applyProtection="0"/>
    <xf numFmtId="0" fontId="27" fillId="3" borderId="108" applyNumberFormat="0">
      <alignment horizontal="left" vertical="center"/>
    </xf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2" borderId="108" applyNumberFormat="0">
      <alignment horizontal="centerContinuous" vertical="center" wrapText="1"/>
    </xf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80" fillId="0" borderId="99">
      <alignment horizontal="left" vertical="center"/>
    </xf>
    <xf numFmtId="0" fontId="162" fillId="27" borderId="105" applyNumberFormat="0" applyAlignment="0" applyProtection="0"/>
    <xf numFmtId="170" fontId="27" fillId="0" borderId="0" applyFont="0" applyFill="0" applyBorder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203" fontId="42" fillId="24" borderId="101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1" fillId="30" borderId="104" applyNumberFormat="0" applyFont="0" applyAlignment="0" applyProtection="0"/>
    <xf numFmtId="203" fontId="42" fillId="24" borderId="101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8" fontId="67" fillId="0" borderId="102">
      <protection locked="0"/>
    </xf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" borderId="108" applyNumberFormat="0">
      <alignment horizontal="left" vertical="center"/>
    </xf>
    <xf numFmtId="0" fontId="198" fillId="0" borderId="107" applyNumberFormat="0" applyFill="0" applyAlignment="0" applyProtection="0"/>
    <xf numFmtId="0" fontId="80" fillId="0" borderId="99">
      <alignment horizontal="left" vertical="center"/>
    </xf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27" fillId="30" borderId="104" applyNumberFormat="0" applyFont="0" applyAlignment="0" applyProtection="0"/>
    <xf numFmtId="203" fontId="42" fillId="24" borderId="101"/>
    <xf numFmtId="0" fontId="14" fillId="27" borderId="108" applyNumberFormat="0" applyAlignment="0" applyProtection="0"/>
    <xf numFmtId="0" fontId="14" fillId="27" borderId="108" applyNumberFormat="0" applyAlignment="0" applyProtection="0"/>
    <xf numFmtId="237" fontId="188" fillId="85" borderId="106" applyNumberFormat="0" applyBorder="0" applyAlignment="0" applyProtection="0">
      <alignment vertical="center"/>
    </xf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31" fillId="0" borderId="109" applyNumberFormat="0" applyFon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203" fontId="42" fillId="24" borderId="101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7" fillId="3" borderId="108" applyNumberFormat="0">
      <alignment horizontal="left" vertical="center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235" fontId="27" fillId="0" borderId="0"/>
    <xf numFmtId="0" fontId="21" fillId="10" borderId="108" applyNumberFormat="0" applyAlignment="0" applyProtection="0"/>
    <xf numFmtId="9" fontId="27" fillId="0" borderId="0" applyFont="0" applyFill="0" applyBorder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237" fontId="188" fillId="85" borderId="106" applyNumberFormat="0" applyBorder="0" applyAlignment="0" applyProtection="0">
      <alignment vertical="center"/>
    </xf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237" fontId="188" fillId="85" borderId="106" applyNumberFormat="0" applyBorder="0" applyAlignment="0" applyProtection="0">
      <alignment vertical="center"/>
    </xf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8" fontId="67" fillId="0" borderId="102">
      <protection locked="0"/>
    </xf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95" fillId="38" borderId="103">
      <alignment horizontal="left" vertical="center" wrapText="1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1" fontId="75" fillId="33" borderId="100" applyNumberFormat="0" applyBorder="0" applyAlignment="0">
      <alignment horizontal="centerContinuous" vertical="center"/>
      <protection locked="0"/>
    </xf>
    <xf numFmtId="0" fontId="14" fillId="27" borderId="108" applyNumberFormat="0" applyAlignment="0" applyProtection="0"/>
    <xf numFmtId="0" fontId="162" fillId="27" borderId="105" applyNumberFormat="0" applyAlignment="0" applyProtection="0"/>
    <xf numFmtId="44" fontId="27" fillId="0" borderId="0" applyFont="0" applyFill="0" applyBorder="0" applyAlignment="0" applyProtection="0"/>
    <xf numFmtId="235" fontId="27" fillId="0" borderId="0"/>
    <xf numFmtId="8" fontId="67" fillId="0" borderId="132">
      <protection locked="0"/>
    </xf>
    <xf numFmtId="217" fontId="65" fillId="0" borderId="83" applyFont="0" applyFill="0" applyBorder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07" fillId="0" borderId="131" applyNumberFormat="0" applyFont="0" applyFill="0" applyAlignment="0" applyProtection="0"/>
    <xf numFmtId="0" fontId="207" fillId="0" borderId="128" applyNumberFormat="0" applyFont="0" applyFill="0" applyAlignment="0" applyProtection="0"/>
    <xf numFmtId="0" fontId="207" fillId="0" borderId="7" applyNumberFormat="0" applyFont="0" applyFill="0" applyAlignment="0" applyProtection="0"/>
    <xf numFmtId="1" fontId="45" fillId="25" borderId="128" applyNumberFormat="0" applyBorder="0" applyAlignment="0">
      <alignment horizontal="center" vertical="top" wrapText="1"/>
      <protection hidden="1"/>
    </xf>
    <xf numFmtId="203" fontId="42" fillId="24" borderId="113"/>
    <xf numFmtId="6" fontId="40" fillId="0" borderId="129" applyNumberFormat="0" applyFont="0" applyBorder="0" applyProtection="0">
      <alignment horizontal="right"/>
    </xf>
    <xf numFmtId="202" fontId="27" fillId="0" borderId="129">
      <alignment horizontal="right"/>
      <protection locked="0"/>
    </xf>
    <xf numFmtId="200" fontId="40" fillId="0" borderId="129" applyFill="0">
      <alignment horizontal="right"/>
    </xf>
    <xf numFmtId="3" fontId="27" fillId="0" borderId="129" applyFill="0">
      <alignment horizontal="right"/>
    </xf>
    <xf numFmtId="198" fontId="40" fillId="0" borderId="129" applyFill="0">
      <alignment horizontal="right"/>
    </xf>
    <xf numFmtId="198" fontId="40" fillId="0" borderId="129">
      <alignment horizontal="right"/>
    </xf>
    <xf numFmtId="197" fontId="27" fillId="0" borderId="129">
      <alignment horizontal="right"/>
    </xf>
    <xf numFmtId="0" fontId="27" fillId="0" borderId="0"/>
    <xf numFmtId="0" fontId="27" fillId="3" borderId="124" applyNumberFormat="0">
      <alignment horizontal="left" vertical="center"/>
    </xf>
    <xf numFmtId="0" fontId="27" fillId="2" borderId="124" applyNumberFormat="0">
      <alignment horizontal="centerContinuous" vertical="center" wrapText="1"/>
    </xf>
    <xf numFmtId="5" fontId="207" fillId="0" borderId="0" applyFont="0" applyFill="0" applyBorder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235" fontId="27" fillId="0" borderId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6" fillId="80" borderId="122" applyNumberFormat="0" applyProtection="0">
      <alignment horizontal="center" vertical="center" wrapText="1"/>
    </xf>
    <xf numFmtId="0" fontId="198" fillId="0" borderId="127" applyNumberFormat="0" applyFill="0" applyAlignment="0" applyProtection="0"/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79" fillId="80" borderId="122" applyNumberFormat="0" applyProtection="0">
      <alignment horizontal="center" vertical="center"/>
    </xf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0" borderId="122"/>
    <xf numFmtId="0" fontId="27" fillId="0" borderId="122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79" fillId="80" borderId="122" applyNumberFormat="0" applyProtection="0">
      <alignment horizontal="center" vertical="center"/>
    </xf>
    <xf numFmtId="0" fontId="27" fillId="0" borderId="122"/>
    <xf numFmtId="0" fontId="27" fillId="0" borderId="122"/>
    <xf numFmtId="235" fontId="27" fillId="0" borderId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0" borderId="122"/>
    <xf numFmtId="0" fontId="27" fillId="0" borderId="122"/>
    <xf numFmtId="0" fontId="179" fillId="80" borderId="122" applyNumberFormat="0" applyProtection="0">
      <alignment horizontal="center" vertical="center"/>
    </xf>
    <xf numFmtId="0" fontId="11" fillId="30" borderId="125" applyNumberFormat="0" applyFont="0" applyAlignment="0" applyProtection="0"/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/>
    </xf>
    <xf numFmtId="0" fontId="179" fillId="80" borderId="122" applyNumberFormat="0" applyProtection="0">
      <alignment horizontal="center" vertical="center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 wrapText="1"/>
    </xf>
    <xf numFmtId="0" fontId="27" fillId="0" borderId="122"/>
    <xf numFmtId="0" fontId="27" fillId="0" borderId="122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79" fillId="80" borderId="122" applyNumberFormat="0" applyProtection="0">
      <alignment horizontal="center" vertical="center"/>
    </xf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0" borderId="122"/>
    <xf numFmtId="0" fontId="27" fillId="0" borderId="122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235" fontId="27" fillId="0" borderId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44" fontId="27" fillId="0" borderId="0" applyFont="0" applyFill="0" applyBorder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7" fillId="4" borderId="122" applyNumberFormat="0" applyProtection="0">
      <alignment horizontal="left" vertical="center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80" borderId="122" applyNumberFormat="0" applyProtection="0">
      <alignment horizontal="center" vertical="center" wrapText="1"/>
    </xf>
    <xf numFmtId="0" fontId="11" fillId="30" borderId="125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6" fillId="80" borderId="122" applyNumberFormat="0" applyProtection="0">
      <alignment horizontal="center" vertical="center" wrapText="1"/>
    </xf>
    <xf numFmtId="0" fontId="11" fillId="30" borderId="125" applyNumberFormat="0" applyFont="0" applyAlignment="0" applyProtection="0"/>
    <xf numFmtId="0" fontId="26" fillId="80" borderId="122" applyNumberFormat="0" applyProtection="0">
      <alignment horizontal="center" vertical="center"/>
    </xf>
    <xf numFmtId="257" fontId="159" fillId="0" borderId="123" applyBorder="0"/>
    <xf numFmtId="0" fontId="21" fillId="10" borderId="124" applyNumberFormat="0" applyAlignment="0" applyProtection="0"/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6" fillId="80" borderId="122" applyNumberFormat="0" applyProtection="0">
      <alignment horizontal="center" vertical="center" wrapText="1"/>
    </xf>
    <xf numFmtId="0" fontId="11" fillId="30" borderId="125" applyNumberFormat="0" applyFont="0" applyAlignment="0" applyProtection="0"/>
    <xf numFmtId="5" fontId="207" fillId="0" borderId="0" applyFont="0" applyFill="0" applyBorder="0" applyAlignment="0" applyProtection="0"/>
    <xf numFmtId="8" fontId="207" fillId="0" borderId="0" applyFont="0" applyFill="0" applyBorder="0" applyAlignment="0" applyProtection="0"/>
    <xf numFmtId="9" fontId="207" fillId="0" borderId="0" applyFont="0" applyFill="0" applyBorder="0" applyAlignment="0" applyProtection="0"/>
    <xf numFmtId="10" fontId="207" fillId="0" borderId="0" applyFont="0" applyFill="0" applyBorder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79" fillId="80" borderId="135" applyNumberFormat="0" applyProtection="0">
      <alignment horizontal="center" vertical="center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4" borderId="135" applyNumberFormat="0" applyProtection="0">
      <alignment horizontal="left" vertical="center"/>
    </xf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4" borderId="135" applyNumberFormat="0" applyProtection="0">
      <alignment horizontal="left" vertical="center"/>
    </xf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275" fontId="169" fillId="34" borderId="128" applyBorder="0">
      <alignment horizontal="right" vertical="center"/>
      <protection locked="0"/>
    </xf>
    <xf numFmtId="237" fontId="188" fillId="85" borderId="134" applyNumberFormat="0" applyBorder="0" applyAlignment="0" applyProtection="0">
      <alignment vertical="center"/>
    </xf>
    <xf numFmtId="0" fontId="211" fillId="82" borderId="7" applyBorder="0" applyProtection="0">
      <alignment horizontal="centerContinuous" vertical="center"/>
    </xf>
    <xf numFmtId="254" fontId="26" fillId="81" borderId="122" applyNumberFormat="0" applyProtection="0">
      <alignment horizontal="center" vertical="center" wrapText="1"/>
    </xf>
    <xf numFmtId="0" fontId="173" fillId="31" borderId="122">
      <alignment horizontal="center" vertical="center" wrapText="1"/>
      <protection hidden="1"/>
    </xf>
    <xf numFmtId="0" fontId="207" fillId="0" borderId="7" applyNumberFormat="0" applyFont="0" applyFill="0" applyAlignment="0" applyProtection="0"/>
    <xf numFmtId="0" fontId="207" fillId="0" borderId="66" applyNumberFormat="0" applyFont="0" applyFill="0" applyAlignment="0" applyProtection="0"/>
    <xf numFmtId="0" fontId="207" fillId="0" borderId="10" applyNumberFormat="0" applyFont="0" applyFill="0" applyAlignment="0" applyProtection="0"/>
    <xf numFmtId="0" fontId="207" fillId="0" borderId="109" applyNumberFormat="0" applyFont="0" applyFill="0" applyAlignment="0" applyProtection="0"/>
    <xf numFmtId="261" fontId="168" fillId="26" borderId="122" applyFill="0" applyBorder="0" applyAlignment="0" applyProtection="0">
      <alignment horizontal="right"/>
      <protection locked="0"/>
    </xf>
    <xf numFmtId="0" fontId="14" fillId="27" borderId="108" applyNumberFormat="0" applyAlignment="0" applyProtection="0"/>
    <xf numFmtId="0" fontId="162" fillId="27" borderId="126" applyNumberFormat="0" applyAlignment="0" applyProtection="0"/>
    <xf numFmtId="0" fontId="14" fillId="27" borderId="108" applyNumberFormat="0" applyAlignment="0" applyProtection="0"/>
    <xf numFmtId="0" fontId="115" fillId="68" borderId="34" applyNumberFormat="0" applyAlignment="0" applyProtection="0"/>
    <xf numFmtId="0" fontId="115" fillId="68" borderId="3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43" fontId="10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7" fontId="65" fillId="0" borderId="83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1" fillId="10" borderId="124" applyNumberFormat="0" applyAlignment="0" applyProtection="0"/>
    <xf numFmtId="0" fontId="95" fillId="38" borderId="133">
      <alignment horizontal="left" vertical="center" wrapText="1"/>
    </xf>
    <xf numFmtId="0" fontId="21" fillId="10" borderId="124" applyNumberFormat="0" applyAlignment="0" applyProtection="0"/>
    <xf numFmtId="0" fontId="21" fillId="10" borderId="124" applyNumberFormat="0" applyAlignment="0" applyProtection="0"/>
    <xf numFmtId="10" fontId="65" fillId="26" borderId="122" applyNumberFormat="0" applyBorder="0" applyAlignment="0" applyProtection="0"/>
    <xf numFmtId="224" fontId="69" fillId="0" borderId="17" applyNumberFormat="0" applyFill="0">
      <alignment horizontal="right"/>
    </xf>
    <xf numFmtId="224" fontId="69" fillId="0" borderId="17" applyNumberFormat="0" applyFill="0">
      <alignment horizontal="right"/>
    </xf>
    <xf numFmtId="0" fontId="21" fillId="10" borderId="108" applyNumberFormat="0" applyAlignment="0" applyProtection="0"/>
    <xf numFmtId="0" fontId="80" fillId="0" borderId="123">
      <alignment horizontal="left" vertical="center"/>
    </xf>
    <xf numFmtId="173" fontId="27" fillId="35" borderId="122" applyNumberFormat="0" applyFont="0" applyBorder="0" applyAlignment="0" applyProtection="0"/>
    <xf numFmtId="1" fontId="75" fillId="33" borderId="130" applyNumberFormat="0" applyBorder="0" applyAlignment="0">
      <alignment horizontal="centerContinuous" vertical="center"/>
      <protection locked="0"/>
    </xf>
    <xf numFmtId="232" fontId="50" fillId="32" borderId="128">
      <alignment horizontal="left"/>
    </xf>
    <xf numFmtId="0" fontId="208" fillId="0" borderId="0" applyProtection="0">
      <alignment horizontal="left"/>
    </xf>
    <xf numFmtId="0" fontId="208" fillId="0" borderId="0" applyProtection="0">
      <alignment horizontal="left"/>
    </xf>
    <xf numFmtId="0" fontId="208" fillId="0" borderId="0" applyProtection="0">
      <alignment horizontal="left"/>
    </xf>
    <xf numFmtId="0" fontId="208" fillId="0" borderId="0" applyProtection="0">
      <alignment horizontal="left"/>
    </xf>
    <xf numFmtId="0" fontId="208" fillId="0" borderId="0" applyProtection="0">
      <alignment horizontal="left"/>
    </xf>
    <xf numFmtId="0" fontId="8" fillId="0" borderId="0"/>
    <xf numFmtId="0" fontId="128" fillId="0" borderId="0" applyNumberFormat="0" applyFill="0" applyBorder="0" applyAlignment="0" applyProtection="0"/>
    <xf numFmtId="0" fontId="21" fillId="10" borderId="108" applyNumberFormat="0" applyAlignment="0" applyProtection="0"/>
    <xf numFmtId="0" fontId="132" fillId="71" borderId="34" applyNumberFormat="0" applyAlignment="0" applyProtection="0"/>
    <xf numFmtId="0" fontId="132" fillId="71" borderId="34" applyNumberFormat="0" applyAlignment="0" applyProtection="0"/>
    <xf numFmtId="14" fontId="20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>
      <alignment vertical="top"/>
    </xf>
    <xf numFmtId="0" fontId="29" fillId="0" borderId="0">
      <alignment vertical="top"/>
    </xf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254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54" fontId="2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179" fillId="80" borderId="122" applyNumberFormat="0" applyProtection="0">
      <alignment horizontal="center" vertical="center"/>
    </xf>
    <xf numFmtId="254" fontId="2" fillId="0" borderId="0"/>
    <xf numFmtId="0" fontId="2" fillId="0" borderId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" fillId="0" borderId="0"/>
    <xf numFmtId="0" fontId="27" fillId="0" borderId="122"/>
    <xf numFmtId="0" fontId="27" fillId="0" borderId="122"/>
    <xf numFmtId="0" fontId="179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79" fillId="80" borderId="122" applyNumberFormat="0" applyProtection="0">
      <alignment horizontal="center" vertical="center"/>
    </xf>
    <xf numFmtId="0" fontId="27" fillId="0" borderId="122"/>
    <xf numFmtId="0" fontId="27" fillId="0" borderId="122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79" fillId="80" borderId="122" applyNumberFormat="0" applyProtection="0">
      <alignment horizontal="center" vertical="center"/>
    </xf>
    <xf numFmtId="0" fontId="27" fillId="0" borderId="122"/>
    <xf numFmtId="0" fontId="27" fillId="0" borderId="122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/>
    </xf>
    <xf numFmtId="0" fontId="26" fillId="80" borderId="122" applyNumberFormat="0" applyProtection="0">
      <alignment horizontal="center" vertical="center" wrapText="1"/>
    </xf>
    <xf numFmtId="0" fontId="179" fillId="80" borderId="122" applyNumberFormat="0" applyProtection="0">
      <alignment horizontal="center" vertical="center"/>
    </xf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0" borderId="122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0" borderId="122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/>
    </xf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 wrapText="1"/>
    </xf>
    <xf numFmtId="0" fontId="26" fillId="80" borderId="122" applyNumberFormat="0" applyProtection="0">
      <alignment horizontal="center" vertical="center" wrapText="1"/>
    </xf>
    <xf numFmtId="0" fontId="27" fillId="0" borderId="122"/>
    <xf numFmtId="0" fontId="27" fillId="0" borderId="122"/>
    <xf numFmtId="0" fontId="27" fillId="4" borderId="122" applyNumberFormat="0" applyProtection="0">
      <alignment horizontal="left" vertical="center" wrapText="1"/>
    </xf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/>
    </xf>
    <xf numFmtId="0" fontId="26" fillId="80" borderId="122" applyNumberFormat="0" applyProtection="0">
      <alignment horizontal="center" vertical="center"/>
    </xf>
    <xf numFmtId="0" fontId="179" fillId="80" borderId="122" applyNumberFormat="0" applyProtection="0">
      <alignment horizontal="center" vertical="center"/>
    </xf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" fillId="0" borderId="0"/>
    <xf numFmtId="235" fontId="27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5" fontId="27" fillId="0" borderId="0"/>
    <xf numFmtId="0" fontId="2" fillId="0" borderId="0"/>
    <xf numFmtId="235" fontId="27" fillId="0" borderId="0"/>
    <xf numFmtId="0" fontId="2" fillId="73" borderId="41" applyNumberFormat="0" applyFont="0" applyAlignment="0" applyProtection="0"/>
    <xf numFmtId="0" fontId="156" fillId="73" borderId="41" applyNumberFormat="0" applyFont="0" applyAlignment="0" applyProtection="0"/>
    <xf numFmtId="0" fontId="108" fillId="73" borderId="41" applyNumberFormat="0" applyFont="0" applyAlignment="0" applyProtection="0"/>
    <xf numFmtId="0" fontId="2" fillId="73" borderId="41" applyNumberFormat="0" applyFont="0" applyAlignment="0" applyProtection="0"/>
    <xf numFmtId="0" fontId="108" fillId="73" borderId="41" applyNumberFormat="0" applyFont="0" applyAlignment="0" applyProtection="0"/>
    <xf numFmtId="0" fontId="2" fillId="73" borderId="41" applyNumberFormat="0" applyFont="0" applyAlignment="0" applyProtection="0"/>
    <xf numFmtId="0" fontId="156" fillId="73" borderId="41" applyNumberFormat="0" applyFont="0" applyAlignment="0" applyProtection="0"/>
    <xf numFmtId="0" fontId="156" fillId="73" borderId="41" applyNumberFormat="0" applyFont="0" applyAlignment="0" applyProtection="0"/>
    <xf numFmtId="0" fontId="163" fillId="68" borderId="40" applyNumberFormat="0" applyAlignment="0" applyProtection="0"/>
    <xf numFmtId="0" fontId="163" fillId="68" borderId="40" applyNumberFormat="0" applyAlignment="0" applyProtection="0"/>
    <xf numFmtId="1" fontId="209" fillId="0" borderId="0" applyProtection="0">
      <alignment horizontal="right"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0" fillId="0" borderId="59">
      <alignment vertical="center"/>
    </xf>
    <xf numFmtId="0" fontId="8" fillId="0" borderId="0">
      <alignment vertical="top"/>
    </xf>
    <xf numFmtId="0" fontId="180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0" fillId="0" borderId="0" applyNumberFormat="0" applyFill="0" applyBorder="0" applyAlignment="0" applyProtection="0"/>
    <xf numFmtId="254" fontId="26" fillId="81" borderId="73" applyNumberFormat="0" applyProtection="0">
      <alignment horizontal="center" vertical="center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81" fillId="82" borderId="0" applyNumberFormat="0" applyBorder="0" applyAlignment="0" applyProtection="0"/>
    <xf numFmtId="0" fontId="211" fillId="84" borderId="0" applyBorder="0" applyProtection="0">
      <alignment horizontal="centerContinuous" vertical="center"/>
    </xf>
    <xf numFmtId="0" fontId="211" fillId="82" borderId="7" applyBorder="0" applyProtection="0">
      <alignment horizontal="centerContinuous" vertical="center"/>
    </xf>
    <xf numFmtId="0" fontId="212" fillId="0" borderId="0"/>
    <xf numFmtId="0" fontId="207" fillId="0" borderId="0" applyNumberFormat="0" applyFont="0" applyFill="0" applyBorder="0" applyProtection="0">
      <alignment horizontal="left" vertical="top" wrapText="1"/>
    </xf>
    <xf numFmtId="0" fontId="199" fillId="0" borderId="42" applyNumberFormat="0" applyFill="0" applyAlignment="0" applyProtection="0"/>
    <xf numFmtId="0" fontId="199" fillId="0" borderId="42" applyNumberFormat="0" applyFill="0" applyAlignment="0" applyProtection="0"/>
    <xf numFmtId="235" fontId="27" fillId="0" borderId="0"/>
    <xf numFmtId="254" fontId="27" fillId="0" borderId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" fillId="0" borderId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" fillId="0" borderId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" fillId="0" borderId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4" borderId="110" applyNumberFormat="0" applyProtection="0">
      <alignment horizontal="left" vertical="center"/>
    </xf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79" fillId="80" borderId="110" applyNumberFormat="0" applyProtection="0">
      <alignment horizontal="center" vertical="center"/>
    </xf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" fillId="0" borderId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" fillId="0" borderId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" fillId="0" borderId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" fillId="0" borderId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" fillId="0" borderId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0" borderId="11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6" fillId="80" borderId="110" applyNumberFormat="0" applyProtection="0">
      <alignment horizontal="center" vertical="center" wrapText="1"/>
    </xf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" fillId="0" borderId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0" borderId="11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" fillId="0" borderId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" fillId="0" borderId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" fillId="0" borderId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" fillId="0" borderId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" fillId="0" borderId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" fillId="0" borderId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" fillId="0" borderId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0" borderId="110"/>
    <xf numFmtId="0" fontId="27" fillId="4" borderId="110" applyNumberFormat="0" applyProtection="0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30" borderId="104" applyNumberFormat="0" applyFont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170" fontId="2" fillId="0" borderId="0" applyFont="0" applyFill="0" applyBorder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" fillId="0" borderId="0"/>
    <xf numFmtId="0" fontId="162" fillId="27" borderId="105" applyNumberFormat="0" applyAlignment="0" applyProtection="0"/>
    <xf numFmtId="0" fontId="2" fillId="0" borderId="0"/>
    <xf numFmtId="0" fontId="2" fillId="0" borderId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" fillId="0" borderId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" fillId="0" borderId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" fillId="0" borderId="0"/>
    <xf numFmtId="0" fontId="162" fillId="27" borderId="105" applyNumberFormat="0" applyAlignment="0" applyProtection="0"/>
    <xf numFmtId="0" fontId="2" fillId="0" borderId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9" fontId="2" fillId="0" borderId="0" applyFont="0" applyFill="0" applyBorder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9" fontId="2" fillId="0" borderId="0" applyFont="0" applyFill="0" applyBorder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27" borderId="10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" fillId="0" borderId="0"/>
    <xf numFmtId="0" fontId="162" fillId="27" borderId="105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" fillId="0" borderId="0"/>
    <xf numFmtId="0" fontId="2" fillId="0" borderId="0"/>
    <xf numFmtId="0" fontId="162" fillId="27" borderId="126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79" fillId="80" borderId="110" applyNumberFormat="0" applyProtection="0">
      <alignment horizontal="center" vertical="center"/>
    </xf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162" fillId="27" borderId="105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7" fillId="0" borderId="122"/>
    <xf numFmtId="0" fontId="21" fillId="10" borderId="12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" fillId="0" borderId="0"/>
    <xf numFmtId="0" fontId="27" fillId="0" borderId="122"/>
    <xf numFmtId="0" fontId="198" fillId="0" borderId="127" applyNumberForma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6" fillId="80" borderId="110" applyNumberFormat="0" applyProtection="0">
      <alignment horizontal="center" vertical="center" wrapText="1"/>
    </xf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" fillId="0" borderId="0"/>
    <xf numFmtId="0" fontId="2" fillId="0" borderId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" fillId="0" borderId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" fillId="0" borderId="0"/>
    <xf numFmtId="0" fontId="11" fillId="30" borderId="10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4" fillId="27" borderId="124" applyNumberFormat="0" applyAlignment="0" applyProtection="0"/>
    <xf numFmtId="9" fontId="2" fillId="0" borderId="0" applyFont="0" applyFill="0" applyBorder="0" applyAlignment="0" applyProtection="0"/>
    <xf numFmtId="0" fontId="14" fillId="27" borderId="108" applyNumberFormat="0" applyAlignment="0" applyProtection="0"/>
    <xf numFmtId="0" fontId="26" fillId="2" borderId="110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26" applyNumberFormat="0" applyAlignment="0" applyProtection="0"/>
    <xf numFmtId="9" fontId="2" fillId="0" borderId="0" applyFont="0" applyFill="0" applyBorder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25" applyNumberFormat="0" applyFont="0" applyAlignment="0" applyProtection="0"/>
    <xf numFmtId="9" fontId="2" fillId="0" borderId="0" applyFont="0" applyFill="0" applyBorder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27" applyNumberFormat="0" applyFill="0" applyAlignment="0" applyProtection="0"/>
    <xf numFmtId="9" fontId="2" fillId="0" borderId="0" applyFont="0" applyFill="0" applyBorder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" fillId="0" borderId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26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9" fontId="2" fillId="0" borderId="0" applyFont="0" applyFill="0" applyBorder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6" fillId="80" borderId="122" applyNumberFormat="0" applyProtection="0">
      <alignment horizontal="center" vertical="center"/>
    </xf>
    <xf numFmtId="170" fontId="27" fillId="0" borderId="0" applyFont="0" applyFill="0" applyBorder="0" applyAlignment="0" applyProtection="0"/>
    <xf numFmtId="0" fontId="2" fillId="0" borderId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" fillId="0" borderId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" fillId="0" borderId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" fillId="0" borderId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 wrapText="1"/>
    </xf>
    <xf numFmtId="0" fontId="26" fillId="80" borderId="110" applyNumberFormat="0" applyProtection="0">
      <alignment horizontal="center" vertical="center"/>
    </xf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6" fillId="80" borderId="110" applyNumberFormat="0" applyProtection="0">
      <alignment horizontal="center" vertical="center" wrapText="1"/>
    </xf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" fillId="0" borderId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4" borderId="110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6" fillId="2" borderId="110" applyNumberFormat="0" applyProtection="0">
      <alignment horizontal="left" vertical="center" wrapText="1"/>
    </xf>
    <xf numFmtId="0" fontId="27" fillId="4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0" borderId="11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" fillId="0" borderId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" fillId="0" borderId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6" fillId="80" borderId="110" applyNumberFormat="0" applyProtection="0">
      <alignment horizontal="center" vertical="center" wrapText="1"/>
    </xf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6" fillId="80" borderId="110" applyNumberFormat="0" applyProtection="0">
      <alignment horizontal="center" vertical="center" wrapText="1"/>
    </xf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6" fillId="80" borderId="110" applyNumberFormat="0" applyProtection="0">
      <alignment horizontal="center" vertical="center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0" borderId="110"/>
    <xf numFmtId="0" fontId="162" fillId="27" borderId="105" applyNumberFormat="0" applyAlignment="0" applyProtection="0"/>
    <xf numFmtId="0" fontId="26" fillId="80" borderId="110" applyNumberFormat="0" applyProtection="0">
      <alignment horizontal="center" vertical="center" wrapText="1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0" borderId="11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" fillId="0" borderId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6" fillId="2" borderId="110" applyNumberFormat="0" applyProtection="0">
      <alignment horizontal="left" vertical="center" wrapText="1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" fillId="0" borderId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" fillId="0" borderId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6" fillId="2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" fillId="0" borderId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" fillId="0" borderId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4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6" fillId="2" borderId="110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79" fillId="80" borderId="110" applyNumberFormat="0" applyProtection="0">
      <alignment horizontal="center" vertical="center"/>
    </xf>
    <xf numFmtId="0" fontId="21" fillId="10" borderId="108" applyNumberFormat="0" applyAlignment="0" applyProtection="0"/>
    <xf numFmtId="0" fontId="27" fillId="4" borderId="110" applyNumberFormat="0" applyProtection="0">
      <alignment horizontal="left" vertical="center" wrapText="1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6" fillId="2" borderId="110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4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6" fillId="80" borderId="110" applyNumberFormat="0" applyProtection="0">
      <alignment horizontal="center" vertical="center"/>
    </xf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" fillId="0" borderId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8" fontId="67" fillId="0" borderId="116">
      <protection locked="0"/>
    </xf>
    <xf numFmtId="0" fontId="27" fillId="30" borderId="115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07" fillId="0" borderId="114" applyNumberFormat="0" applyFont="0" applyFill="0" applyAlignment="0" applyProtection="0"/>
    <xf numFmtId="203" fontId="42" fillId="24" borderId="113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170" fontId="27" fillId="0" borderId="0" applyFont="0" applyFill="0" applyBorder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79" fillId="80" borderId="122" applyNumberFormat="0" applyProtection="0">
      <alignment horizontal="center" vertical="center"/>
    </xf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4" borderId="122" applyNumberFormat="0" applyProtection="0">
      <alignment horizontal="left" vertical="center"/>
    </xf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05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0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4" borderId="122" applyNumberFormat="0" applyProtection="0">
      <alignment horizontal="left" vertical="center"/>
    </xf>
    <xf numFmtId="0" fontId="11" fillId="30" borderId="115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4" borderId="122" applyNumberFormat="0" applyProtection="0">
      <alignment horizontal="left" vertical="center"/>
    </xf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237" fontId="188" fillId="85" borderId="119" applyNumberFormat="0" applyBorder="0" applyAlignment="0" applyProtection="0">
      <alignment vertical="center"/>
    </xf>
    <xf numFmtId="0" fontId="207" fillId="0" borderId="109" applyNumberFormat="0" applyFon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257" fontId="159" fillId="0" borderId="112" applyBorder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04" applyNumberFormat="0" applyFont="0" applyAlignment="0" applyProtection="0"/>
    <xf numFmtId="8" fontId="67" fillId="0" borderId="102">
      <protection locked="0"/>
    </xf>
    <xf numFmtId="0" fontId="95" fillId="38" borderId="117">
      <alignment horizontal="left" vertical="center" wrapText="1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80" fillId="0" borderId="112">
      <alignment horizontal="left" vertical="center"/>
    </xf>
    <xf numFmtId="1" fontId="75" fillId="33" borderId="111" applyNumberFormat="0" applyBorder="0" applyAlignment="0">
      <alignment horizontal="centerContinuous" vertical="center"/>
      <protection locked="0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235" fontId="27" fillId="0" borderId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4" borderId="110" applyNumberFormat="0" applyProtection="0">
      <alignment horizontal="left" vertical="center"/>
    </xf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79" fillId="80" borderId="110" applyNumberFormat="0" applyProtection="0">
      <alignment horizontal="center" vertical="center"/>
    </xf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0" borderId="11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6" fillId="80" borderId="110" applyNumberFormat="0" applyProtection="0">
      <alignment horizontal="center" vertical="center" wrapText="1"/>
    </xf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0" borderId="11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0" borderId="110"/>
    <xf numFmtId="0" fontId="27" fillId="4" borderId="110" applyNumberFormat="0" applyProtection="0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79" fillId="80" borderId="110" applyNumberFormat="0" applyProtection="0">
      <alignment horizontal="center" vertical="center"/>
    </xf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6" fillId="80" borderId="110" applyNumberFormat="0" applyProtection="0">
      <alignment horizontal="center" vertical="center" wrapText="1"/>
    </xf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6" fillId="2" borderId="110" applyNumberFormat="0" applyProtection="0">
      <alignment horizontal="left" vertical="center" wrapText="1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26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 wrapText="1"/>
    </xf>
    <xf numFmtId="0" fontId="26" fillId="80" borderId="110" applyNumberFormat="0" applyProtection="0">
      <alignment horizontal="center" vertical="center"/>
    </xf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6" fillId="80" borderId="110" applyNumberFormat="0" applyProtection="0">
      <alignment horizontal="center" vertical="center" wrapText="1"/>
    </xf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4" borderId="110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6" fillId="2" borderId="110" applyNumberFormat="0" applyProtection="0">
      <alignment horizontal="left" vertical="center" wrapText="1"/>
    </xf>
    <xf numFmtId="0" fontId="27" fillId="4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0" borderId="11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6" fillId="80" borderId="110" applyNumberFormat="0" applyProtection="0">
      <alignment horizontal="center" vertical="center" wrapText="1"/>
    </xf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6" fillId="80" borderId="110" applyNumberFormat="0" applyProtection="0">
      <alignment horizontal="center" vertical="center" wrapText="1"/>
    </xf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4" borderId="110" applyNumberFormat="0" applyProtection="0">
      <alignment horizontal="left" vertical="center"/>
    </xf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6" fillId="80" borderId="110" applyNumberFormat="0" applyProtection="0">
      <alignment horizontal="center" vertical="center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0" borderId="110"/>
    <xf numFmtId="0" fontId="162" fillId="27" borderId="105" applyNumberFormat="0" applyAlignment="0" applyProtection="0"/>
    <xf numFmtId="0" fontId="26" fillId="80" borderId="110" applyNumberFormat="0" applyProtection="0">
      <alignment horizontal="center" vertical="center" wrapText="1"/>
    </xf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0" borderId="11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6" fillId="2" borderId="110" applyNumberFormat="0" applyProtection="0">
      <alignment horizontal="left" vertical="center" wrapText="1"/>
    </xf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6" fillId="2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4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6" fillId="2" borderId="110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79" fillId="80" borderId="110" applyNumberFormat="0" applyProtection="0">
      <alignment horizontal="center" vertical="center"/>
    </xf>
    <xf numFmtId="0" fontId="21" fillId="10" borderId="108" applyNumberFormat="0" applyAlignment="0" applyProtection="0"/>
    <xf numFmtId="0" fontId="27" fillId="4" borderId="110" applyNumberFormat="0" applyProtection="0">
      <alignment horizontal="left" vertical="center" wrapText="1"/>
    </xf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62" fillId="27" borderId="105" applyNumberFormat="0" applyAlignment="0" applyProtection="0"/>
    <xf numFmtId="0" fontId="26" fillId="2" borderId="110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7" fillId="4" borderId="110" applyNumberFormat="0" applyProtection="0">
      <alignment horizontal="left" vertical="center" wrapText="1"/>
    </xf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6" fillId="80" borderId="110" applyNumberFormat="0" applyProtection="0">
      <alignment horizontal="center" vertical="center"/>
    </xf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98" fillId="0" borderId="107" applyNumberFormat="0" applyFill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7" fillId="0" borderId="122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6" fillId="80" borderId="122" applyNumberFormat="0" applyProtection="0">
      <alignment horizontal="center" vertical="center" wrapText="1"/>
    </xf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7" fillId="0" borderId="122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7" fillId="0" borderId="122"/>
    <xf numFmtId="0" fontId="27" fillId="4" borderId="122" applyNumberFormat="0" applyProtection="0">
      <alignment horizontal="left" vertical="center"/>
    </xf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4" fillId="27" borderId="108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162" fillId="27" borderId="105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20" applyNumberFormat="0" applyFill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15" applyNumberFormat="0" applyFon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05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07" applyNumberFormat="0" applyFill="0" applyAlignment="0" applyProtection="0"/>
    <xf numFmtId="0" fontId="21" fillId="10" borderId="121" applyNumberFormat="0" applyAlignment="0" applyProtection="0"/>
    <xf numFmtId="0" fontId="21" fillId="10" borderId="10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04" applyNumberFormat="0" applyFont="0" applyAlignment="0" applyProtection="0"/>
    <xf numFmtId="0" fontId="27" fillId="30" borderId="104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07" applyNumberFormat="0" applyFill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198" fillId="0" borderId="107" applyNumberFormat="0" applyFill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08" applyNumberFormat="0" applyAlignment="0" applyProtection="0"/>
    <xf numFmtId="0" fontId="162" fillId="27" borderId="105" applyNumberFormat="0" applyAlignment="0" applyProtection="0"/>
    <xf numFmtId="0" fontId="198" fillId="0" borderId="107" applyNumberFormat="0" applyFill="0" applyAlignment="0" applyProtection="0"/>
    <xf numFmtId="0" fontId="21" fillId="10" borderId="121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1" fillId="30" borderId="115" applyNumberFormat="0" applyFont="0" applyAlignment="0" applyProtection="0"/>
    <xf numFmtId="0" fontId="14" fillId="27" borderId="108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0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79" fillId="80" borderId="122" applyNumberFormat="0" applyProtection="0">
      <alignment horizontal="center" vertical="center"/>
    </xf>
    <xf numFmtId="0" fontId="14" fillId="27" borderId="108" applyNumberFormat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07" applyNumberFormat="0" applyFill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04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14" fillId="27" borderId="108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04" applyNumberFormat="0" applyFont="0" applyAlignment="0" applyProtection="0"/>
    <xf numFmtId="0" fontId="11" fillId="30" borderId="115" applyNumberFormat="0" applyFont="0" applyAlignment="0" applyProtection="0"/>
    <xf numFmtId="0" fontId="11" fillId="30" borderId="104" applyNumberFormat="0" applyFon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6" fillId="80" borderId="122" applyNumberFormat="0" applyProtection="0">
      <alignment horizontal="center" vertical="center" wrapText="1"/>
    </xf>
    <xf numFmtId="0" fontId="27" fillId="30" borderId="115" applyNumberFormat="0" applyFont="0" applyAlignment="0" applyProtection="0"/>
    <xf numFmtId="0" fontId="21" fillId="10" borderId="108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05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4" fillId="27" borderId="10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6" fillId="2" borderId="122" applyNumberFormat="0" applyProtection="0">
      <alignment horizontal="left" vertical="center" wrapText="1"/>
    </xf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08" applyNumberFormat="0" applyAlignment="0" applyProtection="0"/>
    <xf numFmtId="0" fontId="11" fillId="30" borderId="115" applyNumberFormat="0" applyFont="0" applyAlignment="0" applyProtection="0"/>
    <xf numFmtId="0" fontId="162" fillId="27" borderId="105" applyNumberFormat="0" applyAlignment="0" applyProtection="0"/>
    <xf numFmtId="0" fontId="14" fillId="27" borderId="121" applyNumberFormat="0" applyAlignment="0" applyProtection="0"/>
    <xf numFmtId="0" fontId="21" fillId="10" borderId="108" applyNumberFormat="0" applyAlignment="0" applyProtection="0"/>
    <xf numFmtId="0" fontId="27" fillId="30" borderId="104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0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08" applyNumberFormat="0" applyAlignment="0" applyProtection="0"/>
    <xf numFmtId="0" fontId="14" fillId="27" borderId="121" applyNumberFormat="0" applyAlignment="0" applyProtection="0"/>
    <xf numFmtId="0" fontId="198" fillId="0" borderId="107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08" applyNumberFormat="0" applyAlignment="0" applyProtection="0"/>
    <xf numFmtId="0" fontId="198" fillId="0" borderId="107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0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08" applyNumberFormat="0" applyAlignment="0" applyProtection="0"/>
    <xf numFmtId="0" fontId="21" fillId="10" borderId="108" applyNumberFormat="0" applyAlignment="0" applyProtection="0"/>
    <xf numFmtId="0" fontId="14" fillId="27" borderId="108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0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0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08" applyNumberFormat="0" applyAlignment="0" applyProtection="0"/>
    <xf numFmtId="0" fontId="11" fillId="30" borderId="115" applyNumberFormat="0" applyFont="0" applyAlignment="0" applyProtection="0"/>
    <xf numFmtId="0" fontId="162" fillId="27" borderId="105" applyNumberFormat="0" applyAlignment="0" applyProtection="0"/>
    <xf numFmtId="0" fontId="198" fillId="0" borderId="120" applyNumberFormat="0" applyFill="0" applyAlignment="0" applyProtection="0"/>
    <xf numFmtId="0" fontId="14" fillId="27" borderId="10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05" applyNumberFormat="0" applyAlignment="0" applyProtection="0"/>
    <xf numFmtId="0" fontId="14" fillId="27" borderId="121" applyNumberForma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30" borderId="104" applyNumberFormat="0" applyFont="0" applyAlignment="0" applyProtection="0"/>
    <xf numFmtId="0" fontId="11" fillId="30" borderId="104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08" applyNumberFormat="0" applyAlignment="0" applyProtection="0"/>
    <xf numFmtId="0" fontId="198" fillId="0" borderId="120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4" fillId="27" borderId="108" applyNumberFormat="0" applyAlignment="0" applyProtection="0"/>
    <xf numFmtId="0" fontId="27" fillId="30" borderId="104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0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04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7" fillId="4" borderId="122" applyNumberFormat="0" applyProtection="0">
      <alignment horizontal="left" vertical="center" wrapText="1"/>
    </xf>
    <xf numFmtId="0" fontId="26" fillId="80" borderId="122" applyNumberFormat="0" applyProtection="0">
      <alignment horizontal="center" vertical="center"/>
    </xf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0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07" applyNumberFormat="0" applyFill="0" applyAlignment="0" applyProtection="0"/>
    <xf numFmtId="0" fontId="11" fillId="30" borderId="115" applyNumberFormat="0" applyFon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08" applyNumberFormat="0" applyAlignment="0" applyProtection="0"/>
    <xf numFmtId="0" fontId="11" fillId="30" borderId="104" applyNumberFormat="0" applyFont="0" applyAlignment="0" applyProtection="0"/>
    <xf numFmtId="0" fontId="198" fillId="0" borderId="120" applyNumberFormat="0" applyFill="0" applyAlignment="0" applyProtection="0"/>
    <xf numFmtId="0" fontId="26" fillId="80" borderId="122" applyNumberFormat="0" applyProtection="0">
      <alignment horizontal="center" vertical="center" wrapText="1"/>
    </xf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08" applyNumberFormat="0" applyAlignment="0" applyProtection="0"/>
    <xf numFmtId="0" fontId="162" fillId="27" borderId="105" applyNumberFormat="0" applyAlignment="0" applyProtection="0"/>
    <xf numFmtId="0" fontId="27" fillId="30" borderId="115" applyNumberFormat="0" applyFont="0" applyAlignment="0" applyProtection="0"/>
    <xf numFmtId="0" fontId="198" fillId="0" borderId="107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62" fillId="27" borderId="105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08" applyNumberFormat="0" applyAlignment="0" applyProtection="0"/>
    <xf numFmtId="0" fontId="11" fillId="30" borderId="104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04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0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07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62" fillId="27" borderId="105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08" applyNumberFormat="0" applyAlignment="0" applyProtection="0"/>
    <xf numFmtId="0" fontId="21" fillId="10" borderId="121" applyNumberFormat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05" applyNumberFormat="0" applyAlignment="0" applyProtection="0"/>
    <xf numFmtId="0" fontId="198" fillId="0" borderId="120" applyNumberFormat="0" applyFill="0" applyAlignment="0" applyProtection="0"/>
    <xf numFmtId="0" fontId="11" fillId="30" borderId="104" applyNumberFormat="0" applyFont="0" applyAlignment="0" applyProtection="0"/>
    <xf numFmtId="0" fontId="11" fillId="30" borderId="104" applyNumberFormat="0" applyFont="0" applyAlignment="0" applyProtection="0"/>
    <xf numFmtId="0" fontId="198" fillId="0" borderId="107" applyNumberFormat="0" applyFill="0" applyAlignment="0" applyProtection="0"/>
    <xf numFmtId="0" fontId="27" fillId="4" borderId="122" applyNumberFormat="0" applyProtection="0">
      <alignment horizontal="left" vertical="center" wrapText="1"/>
    </xf>
    <xf numFmtId="0" fontId="11" fillId="30" borderId="104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07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0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6" fillId="2" borderId="122" applyNumberFormat="0" applyProtection="0">
      <alignment horizontal="left" vertical="center" wrapText="1"/>
    </xf>
    <xf numFmtId="0" fontId="27" fillId="4" borderId="122" applyNumberFormat="0" applyProtection="0">
      <alignment horizontal="left" vertical="center" wrapText="1"/>
    </xf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4" borderId="122" applyNumberFormat="0" applyProtection="0">
      <alignment horizontal="left" vertical="center"/>
    </xf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0" borderId="122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07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6" fillId="80" borderId="122" applyNumberFormat="0" applyProtection="0">
      <alignment horizontal="center" vertical="center" wrapText="1"/>
    </xf>
    <xf numFmtId="0" fontId="21" fillId="10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6" fillId="80" borderId="122" applyNumberFormat="0" applyProtection="0">
      <alignment horizontal="center" vertical="center" wrapText="1"/>
    </xf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4" borderId="122" applyNumberFormat="0" applyProtection="0">
      <alignment horizontal="left" vertical="center"/>
    </xf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6" fillId="80" borderId="122" applyNumberFormat="0" applyProtection="0">
      <alignment horizontal="center" vertical="center"/>
    </xf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0" borderId="122"/>
    <xf numFmtId="0" fontId="162" fillId="27" borderId="118" applyNumberFormat="0" applyAlignment="0" applyProtection="0"/>
    <xf numFmtId="0" fontId="26" fillId="80" borderId="122" applyNumberFormat="0" applyProtection="0">
      <alignment horizontal="center" vertical="center" wrapText="1"/>
    </xf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0" borderId="122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6" fillId="2" borderId="122" applyNumberFormat="0" applyProtection="0">
      <alignment horizontal="left" vertical="center" wrapText="1"/>
    </xf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6" fillId="2" borderId="122" applyNumberFormat="0" applyProtection="0">
      <alignment horizontal="left" vertical="center" wrapText="1"/>
    </xf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7" fillId="4" borderId="122" applyNumberFormat="0" applyProtection="0">
      <alignment horizontal="left" vertical="center" wrapText="1"/>
    </xf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6" fillId="2" borderId="122" applyNumberFormat="0" applyProtection="0">
      <alignment horizontal="left" vertical="center" wrapText="1"/>
    </xf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79" fillId="80" borderId="122" applyNumberFormat="0" applyProtection="0">
      <alignment horizontal="center" vertical="center"/>
    </xf>
    <xf numFmtId="0" fontId="21" fillId="10" borderId="121" applyNumberFormat="0" applyAlignment="0" applyProtection="0"/>
    <xf numFmtId="0" fontId="27" fillId="4" borderId="122" applyNumberFormat="0" applyProtection="0">
      <alignment horizontal="left" vertical="center" wrapText="1"/>
    </xf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62" fillId="27" borderId="118" applyNumberFormat="0" applyAlignment="0" applyProtection="0"/>
    <xf numFmtId="0" fontId="26" fillId="2" borderId="122" applyNumberFormat="0" applyProtection="0">
      <alignment horizontal="left" vertical="center" wrapText="1"/>
    </xf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7" fillId="4" borderId="122" applyNumberFormat="0" applyProtection="0">
      <alignment horizontal="left" vertical="center" wrapText="1"/>
    </xf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6" fillId="80" borderId="122" applyNumberFormat="0" applyProtection="0">
      <alignment horizontal="center" vertical="center"/>
    </xf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98" fillId="0" borderId="120" applyNumberFormat="0" applyFill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4" fillId="27" borderId="121" applyNumberFormat="0" applyAlignment="0" applyProtection="0"/>
    <xf numFmtId="0" fontId="162" fillId="27" borderId="118" applyNumberFormat="0" applyAlignment="0" applyProtection="0"/>
    <xf numFmtId="0" fontId="11" fillId="30" borderId="115" applyNumberFormat="0" applyFont="0" applyAlignment="0" applyProtection="0"/>
    <xf numFmtId="0" fontId="198" fillId="0" borderId="120" applyNumberFormat="0" applyFill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7" fillId="30" borderId="115" applyNumberFormat="0" applyFon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27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1" fillId="30" borderId="115" applyNumberFormat="0" applyFon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14" fillId="27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21" fillId="10" borderId="121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62" fillId="27" borderId="118" applyNumberFormat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198" fillId="0" borderId="120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0" borderId="135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0" borderId="135"/>
    <xf numFmtId="0" fontId="27" fillId="4" borderId="135" applyNumberFormat="0" applyProtection="0">
      <alignment horizontal="left" vertical="center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79" fillId="80" borderId="135" applyNumberFormat="0" applyProtection="0">
      <alignment horizontal="center" vertical="center"/>
    </xf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 wrapText="1"/>
    </xf>
    <xf numFmtId="0" fontId="26" fillId="80" borderId="135" applyNumberFormat="0" applyProtection="0">
      <alignment horizontal="center" vertical="center"/>
    </xf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4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6" fillId="80" borderId="135" applyNumberFormat="0" applyProtection="0">
      <alignment horizontal="center" vertical="center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0" borderId="135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79" fillId="80" borderId="135" applyNumberFormat="0" applyProtection="0">
      <alignment horizontal="center" vertical="center"/>
    </xf>
    <xf numFmtId="0" fontId="21" fillId="10" borderId="124" applyNumberFormat="0" applyAlignment="0" applyProtection="0"/>
    <xf numFmtId="0" fontId="27" fillId="4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6" fillId="80" borderId="135" applyNumberFormat="0" applyProtection="0">
      <alignment horizontal="center" vertical="center"/>
    </xf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8" fontId="67" fillId="0" borderId="132">
      <protection locked="0"/>
    </xf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07" fillId="0" borderId="131" applyNumberFormat="0" applyFont="0" applyFill="0" applyAlignment="0" applyProtection="0"/>
    <xf numFmtId="203" fontId="42" fillId="24" borderId="136"/>
    <xf numFmtId="0" fontId="27" fillId="3" borderId="124" applyNumberFormat="0">
      <alignment horizontal="left" vertical="center"/>
    </xf>
    <xf numFmtId="0" fontId="27" fillId="2" borderId="124" applyNumberFormat="0">
      <alignment horizontal="centerContinuous" vertical="center" wrapText="1"/>
    </xf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2" borderId="124" applyNumberFormat="0">
      <alignment horizontal="centerContinuous" vertical="center" wrapText="1"/>
    </xf>
    <xf numFmtId="0" fontId="27" fillId="3" borderId="124" applyNumberFormat="0">
      <alignment horizontal="left" vertical="center"/>
    </xf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79" fillId="80" borderId="135" applyNumberFormat="0" applyProtection="0">
      <alignment horizontal="center" vertical="center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4" borderId="135" applyNumberFormat="0" applyProtection="0">
      <alignment horizontal="left" vertical="center"/>
    </xf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4" borderId="135" applyNumberFormat="0" applyProtection="0">
      <alignment horizontal="left" vertical="center"/>
    </xf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237" fontId="188" fillId="85" borderId="134" applyNumberFormat="0" applyBorder="0" applyAlignment="0" applyProtection="0">
      <alignment vertical="center"/>
    </xf>
    <xf numFmtId="203" fontId="42" fillId="24" borderId="136"/>
    <xf numFmtId="0" fontId="207" fillId="0" borderId="131" applyNumberFormat="0" applyFon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257" fontId="159" fillId="0" borderId="123" applyBorder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8" fontId="67" fillId="0" borderId="132">
      <protection locked="0"/>
    </xf>
    <xf numFmtId="0" fontId="95" fillId="38" borderId="133">
      <alignment horizontal="left" vertical="center" wrapText="1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80" fillId="0" borderId="123">
      <alignment horizontal="left" vertical="center"/>
    </xf>
    <xf numFmtId="1" fontId="75" fillId="33" borderId="130" applyNumberFormat="0" applyBorder="0" applyAlignment="0">
      <alignment horizontal="centerContinuous" vertical="center"/>
      <protection locked="0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95" fillId="38" borderId="133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237" fontId="188" fillId="85" borderId="134" applyNumberFormat="0" applyBorder="0" applyAlignment="0" applyProtection="0">
      <alignment vertical="center"/>
    </xf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4" borderId="135" applyNumberFormat="0" applyProtection="0">
      <alignment horizontal="left" vertical="center"/>
    </xf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79" fillId="80" borderId="135" applyNumberFormat="0" applyProtection="0">
      <alignment horizontal="center" vertical="center"/>
    </xf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0" borderId="135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0" borderId="135"/>
    <xf numFmtId="0" fontId="27" fillId="4" borderId="135" applyNumberFormat="0" applyProtection="0">
      <alignment horizontal="left" vertical="center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79" fillId="80" borderId="135" applyNumberFormat="0" applyProtection="0">
      <alignment horizontal="center" vertical="center"/>
    </xf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 wrapText="1"/>
    </xf>
    <xf numFmtId="0" fontId="26" fillId="80" borderId="135" applyNumberFormat="0" applyProtection="0">
      <alignment horizontal="center" vertical="center"/>
    </xf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4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6" fillId="80" borderId="135" applyNumberFormat="0" applyProtection="0">
      <alignment horizontal="center" vertical="center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0" borderId="135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79" fillId="80" borderId="135" applyNumberFormat="0" applyProtection="0">
      <alignment horizontal="center" vertical="center"/>
    </xf>
    <xf numFmtId="0" fontId="21" fillId="10" borderId="124" applyNumberFormat="0" applyAlignment="0" applyProtection="0"/>
    <xf numFmtId="0" fontId="27" fillId="4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6" fillId="80" borderId="135" applyNumberFormat="0" applyProtection="0">
      <alignment horizontal="center" vertical="center"/>
    </xf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0" borderId="135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0" borderId="135"/>
    <xf numFmtId="0" fontId="27" fillId="4" borderId="135" applyNumberFormat="0" applyProtection="0">
      <alignment horizontal="left" vertical="center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79" fillId="80" borderId="135" applyNumberFormat="0" applyProtection="0">
      <alignment horizontal="center" vertical="center"/>
    </xf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 wrapText="1"/>
    </xf>
    <xf numFmtId="0" fontId="26" fillId="80" borderId="135" applyNumberFormat="0" applyProtection="0">
      <alignment horizontal="center" vertical="center"/>
    </xf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4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6" fillId="80" borderId="135" applyNumberFormat="0" applyProtection="0">
      <alignment horizontal="center" vertical="center" wrapText="1"/>
    </xf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4" borderId="135" applyNumberFormat="0" applyProtection="0">
      <alignment horizontal="left" vertical="center"/>
    </xf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6" fillId="80" borderId="135" applyNumberFormat="0" applyProtection="0">
      <alignment horizontal="center" vertical="center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0" borderId="135"/>
    <xf numFmtId="0" fontId="162" fillId="27" borderId="126" applyNumberFormat="0" applyAlignment="0" applyProtection="0"/>
    <xf numFmtId="0" fontId="26" fillId="80" borderId="135" applyNumberFormat="0" applyProtection="0">
      <alignment horizontal="center" vertical="center" wrapText="1"/>
    </xf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0" borderId="135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6" fillId="2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79" fillId="80" borderId="135" applyNumberFormat="0" applyProtection="0">
      <alignment horizontal="center" vertical="center"/>
    </xf>
    <xf numFmtId="0" fontId="21" fillId="10" borderId="124" applyNumberFormat="0" applyAlignment="0" applyProtection="0"/>
    <xf numFmtId="0" fontId="27" fillId="4" borderId="135" applyNumberFormat="0" applyProtection="0">
      <alignment horizontal="left" vertical="center" wrapText="1"/>
    </xf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62" fillId="27" borderId="126" applyNumberFormat="0" applyAlignment="0" applyProtection="0"/>
    <xf numFmtId="0" fontId="26" fillId="2" borderId="135" applyNumberFormat="0" applyProtection="0">
      <alignment horizontal="left" vertical="center" wrapText="1"/>
    </xf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7" fillId="4" borderId="135" applyNumberFormat="0" applyProtection="0">
      <alignment horizontal="left" vertical="center" wrapText="1"/>
    </xf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6" fillId="80" borderId="135" applyNumberFormat="0" applyProtection="0">
      <alignment horizontal="center" vertical="center"/>
    </xf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98" fillId="0" borderId="127" applyNumberFormat="0" applyFill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1" fillId="10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4" fillId="27" borderId="124" applyNumberFormat="0" applyAlignment="0" applyProtection="0"/>
    <xf numFmtId="0" fontId="162" fillId="27" borderId="126" applyNumberFormat="0" applyAlignment="0" applyProtection="0"/>
    <xf numFmtId="0" fontId="11" fillId="30" borderId="125" applyNumberFormat="0" applyFont="0" applyAlignment="0" applyProtection="0"/>
    <xf numFmtId="0" fontId="198" fillId="0" borderId="127" applyNumberFormat="0" applyFill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7" fillId="30" borderId="125" applyNumberFormat="0" applyFon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27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1" fillId="30" borderId="125" applyNumberFormat="0" applyFon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14" fillId="27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21" fillId="10" borderId="124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62" fillId="27" borderId="126" applyNumberFormat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198" fillId="0" borderId="127" applyNumberFormat="0" applyFill="0" applyAlignment="0" applyProtection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179" fillId="80" borderId="150" applyNumberFormat="0" applyProtection="0">
      <alignment horizontal="center" vertical="center"/>
    </xf>
    <xf numFmtId="0" fontId="26" fillId="80" borderId="150" applyNumberFormat="0" applyProtection="0">
      <alignment horizontal="center" vertical="center" wrapText="1"/>
    </xf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27" fillId="4" borderId="150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58" fillId="0" borderId="0" applyFont="0" applyFill="0" applyBorder="0" applyAlignment="0" applyProtection="0"/>
    <xf numFmtId="0" fontId="31" fillId="0" borderId="179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59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171" fontId="37" fillId="0" borderId="148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51" applyNumberFormat="0" applyAlignment="0" applyProtection="0"/>
    <xf numFmtId="0" fontId="27" fillId="30" borderId="154" applyNumberFormat="0" applyFont="0" applyAlignment="0" applyProtection="0"/>
    <xf numFmtId="8" fontId="67" fillId="0" borderId="155">
      <protection locked="0"/>
    </xf>
    <xf numFmtId="173" fontId="27" fillId="35" borderId="150" applyNumberFormat="0" applyFont="0" applyBorder="0" applyAlignment="0" applyProtection="0"/>
    <xf numFmtId="0" fontId="21" fillId="10" borderId="151" applyNumberFormat="0" applyAlignment="0" applyProtection="0"/>
    <xf numFmtId="0" fontId="21" fillId="10" borderId="151" applyNumberFormat="0" applyAlignment="0" applyProtection="0"/>
    <xf numFmtId="10" fontId="65" fillId="26" borderId="15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30" borderId="154" applyNumberFormat="0" applyFont="0" applyAlignment="0" applyProtection="0"/>
    <xf numFmtId="0" fontId="162" fillId="27" borderId="158" applyNumberFormat="0" applyAlignment="0" applyProtection="0"/>
    <xf numFmtId="0" fontId="173" fillId="31" borderId="150">
      <alignment horizontal="center" vertical="center" wrapText="1"/>
      <protection hidden="1"/>
    </xf>
    <xf numFmtId="0" fontId="179" fillId="80" borderId="150" applyNumberFormat="0" applyProtection="0">
      <alignment horizontal="center" vertical="center"/>
    </xf>
    <xf numFmtId="0" fontId="27" fillId="4" borderId="150" applyNumberFormat="0" applyProtection="0">
      <alignment horizontal="left" vertical="center"/>
    </xf>
    <xf numFmtId="0" fontId="27" fillId="4" borderId="150" applyNumberFormat="0" applyProtection="0">
      <alignment horizontal="left" vertical="center" wrapText="1"/>
    </xf>
    <xf numFmtId="0" fontId="26" fillId="2" borderId="150" applyNumberFormat="0" applyProtection="0">
      <alignment horizontal="left" vertical="center" wrapText="1"/>
    </xf>
    <xf numFmtId="0" fontId="27" fillId="4" borderId="150" applyNumberFormat="0" applyProtection="0">
      <alignment horizontal="left" vertical="center"/>
    </xf>
    <xf numFmtId="0" fontId="162" fillId="27" borderId="158" applyNumberFormat="0" applyAlignment="0" applyProtection="0"/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21" fillId="10" borderId="151" applyNumberFormat="0" applyAlignment="0" applyProtection="0"/>
    <xf numFmtId="0" fontId="27" fillId="4" borderId="150" applyNumberFormat="0" applyProtection="0">
      <alignment horizontal="left" vertical="center"/>
    </xf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198" fillId="0" borderId="160" applyNumberFormat="0" applyFill="0" applyAlignment="0" applyProtection="0"/>
    <xf numFmtId="0" fontId="198" fillId="0" borderId="160" applyNumberFormat="0" applyFill="0" applyAlignment="0" applyProtection="0"/>
    <xf numFmtId="171" fontId="37" fillId="0" borderId="148"/>
    <xf numFmtId="257" fontId="159" fillId="0" borderId="149" applyBorder="0"/>
    <xf numFmtId="0" fontId="173" fillId="31" borderId="150">
      <alignment horizontal="center" vertical="center" wrapText="1"/>
      <protection hidden="1"/>
    </xf>
    <xf numFmtId="0" fontId="26" fillId="80" borderId="150" applyNumberFormat="0" applyProtection="0">
      <alignment horizontal="center" vertical="center"/>
    </xf>
    <xf numFmtId="254" fontId="26" fillId="81" borderId="150" applyNumberFormat="0" applyProtection="0">
      <alignment horizontal="center" vertical="center" wrapText="1"/>
    </xf>
    <xf numFmtId="0" fontId="8" fillId="0" borderId="0"/>
    <xf numFmtId="0" fontId="31" fillId="0" borderId="192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203" fontId="42" fillId="24" borderId="152"/>
    <xf numFmtId="0" fontId="8" fillId="0" borderId="0"/>
    <xf numFmtId="0" fontId="14" fillId="27" borderId="151" applyNumberFormat="0" applyAlignment="0" applyProtection="0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8" fillId="0" borderId="0"/>
    <xf numFmtId="0" fontId="162" fillId="27" borderId="158" applyNumberFormat="0" applyAlignment="0" applyProtection="0"/>
    <xf numFmtId="0" fontId="198" fillId="0" borderId="160" applyNumberFormat="0" applyFill="0" applyAlignment="0" applyProtection="0"/>
    <xf numFmtId="0" fontId="162" fillId="27" borderId="158" applyNumberFormat="0" applyAlignment="0" applyProtection="0"/>
    <xf numFmtId="0" fontId="14" fillId="27" borderId="151" applyNumberFormat="0" applyAlignment="0" applyProtection="0"/>
    <xf numFmtId="0" fontId="162" fillId="27" borderId="158" applyNumberFormat="0" applyAlignment="0" applyProtection="0"/>
    <xf numFmtId="0" fontId="198" fillId="0" borderId="160" applyNumberFormat="0" applyFill="0" applyAlignment="0" applyProtection="0"/>
    <xf numFmtId="0" fontId="198" fillId="0" borderId="16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68">
      <protection locked="0"/>
    </xf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11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21" fillId="10" borderId="164" applyNumberFormat="0" applyAlignment="0" applyProtection="0"/>
    <xf numFmtId="0" fontId="27" fillId="4" borderId="163" applyNumberFormat="0" applyProtection="0">
      <alignment horizontal="left" vertical="center"/>
    </xf>
    <xf numFmtId="0" fontId="198" fillId="0" borderId="173" applyNumberFormat="0" applyFill="0" applyAlignment="0" applyProtection="0"/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27" fillId="2" borderId="177" applyNumberFormat="0">
      <alignment horizontal="centerContinuous" vertical="center" wrapText="1"/>
    </xf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65" fillId="26" borderId="189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173" fillId="31" borderId="189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27" fillId="35" borderId="176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254" fontId="26" fillId="81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65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98" applyNumberFormat="0" applyBorder="0" applyAlignment="0" applyProtection="0">
      <alignment vertical="center"/>
    </xf>
    <xf numFmtId="0" fontId="8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8" fillId="0" borderId="0"/>
    <xf numFmtId="0" fontId="8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8" fillId="0" borderId="0"/>
    <xf numFmtId="0" fontId="8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8" fillId="0" borderId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8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8" fillId="0" borderId="0"/>
    <xf numFmtId="0" fontId="2" fillId="49" borderId="0" applyNumberFormat="0" applyBorder="0" applyAlignment="0" applyProtection="0"/>
    <xf numFmtId="0" fontId="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8" fillId="0" borderId="0"/>
    <xf numFmtId="0" fontId="2" fillId="5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8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8" fillId="0" borderId="0"/>
    <xf numFmtId="0" fontId="2" fillId="51" borderId="0" applyNumberFormat="0" applyBorder="0" applyAlignment="0" applyProtection="0"/>
    <xf numFmtId="0" fontId="8" fillId="0" borderId="0"/>
    <xf numFmtId="0" fontId="8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8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8" fillId="0" borderId="0"/>
    <xf numFmtId="0" fontId="2" fillId="52" borderId="0" applyNumberFormat="0" applyBorder="0" applyAlignment="0" applyProtection="0"/>
    <xf numFmtId="0" fontId="8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8" fillId="0" borderId="0"/>
    <xf numFmtId="0" fontId="2" fillId="53" borderId="0" applyNumberFormat="0" applyBorder="0" applyAlignment="0" applyProtection="0"/>
    <xf numFmtId="0" fontId="8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14" fillId="27" borderId="190" applyNumberFormat="0" applyAlignment="0" applyProtection="0"/>
    <xf numFmtId="254" fontId="26" fillId="81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27" fillId="2" borderId="164" applyNumberFormat="0">
      <alignment horizontal="centerContinuous" vertical="center" wrapText="1"/>
    </xf>
    <xf numFmtId="0" fontId="8" fillId="0" borderId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 wrapText="1"/>
    </xf>
    <xf numFmtId="257" fontId="159" fillId="0" borderId="175" applyBorder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237" fontId="188" fillId="85" borderId="172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61" fontId="168" fillId="26" borderId="163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8" fillId="0" borderId="0"/>
    <xf numFmtId="0" fontId="31" fillId="0" borderId="153" applyNumberFormat="0" applyFont="0" applyFill="0" applyAlignment="0" applyProtection="0"/>
    <xf numFmtId="0" fontId="31" fillId="0" borderId="153" applyNumberFormat="0" applyFont="0" applyFill="0" applyAlignment="0" applyProtection="0"/>
    <xf numFmtId="0" fontId="14" fillId="27" borderId="151" applyNumberFormat="0" applyAlignment="0" applyProtection="0"/>
    <xf numFmtId="0" fontId="8" fillId="0" borderId="0"/>
    <xf numFmtId="0" fontId="14" fillId="27" borderId="151" applyNumberFormat="0" applyAlignment="0" applyProtection="0"/>
    <xf numFmtId="0" fontId="14" fillId="27" borderId="151" applyNumberFormat="0" applyAlignment="0" applyProtection="0"/>
    <xf numFmtId="173" fontId="27" fillId="35" borderId="189" applyNumberFormat="0" applyFont="0" applyBorder="0" applyAlignment="0" applyProtection="0"/>
    <xf numFmtId="0" fontId="8" fillId="0" borderId="0"/>
    <xf numFmtId="0" fontId="95" fillId="38" borderId="196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55">
      <protection locked="0"/>
    </xf>
    <xf numFmtId="166" fontId="67" fillId="0" borderId="155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179" fillId="80" borderId="176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95" fillId="38" borderId="157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89" applyNumberFormat="0" applyProtection="0">
      <alignment horizontal="center" vertical="center"/>
    </xf>
    <xf numFmtId="0" fontId="179" fillId="80" borderId="176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254" fontId="26" fillId="81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37" fillId="0" borderId="174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163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27" fillId="35" borderId="189" applyNumberFormat="0" applyFont="0" applyBorder="0" applyAlignment="0" applyProtection="0"/>
    <xf numFmtId="0" fontId="8" fillId="0" borderId="0"/>
    <xf numFmtId="261" fontId="168" fillId="26" borderId="176" applyFill="0" applyBorder="0" applyAlignment="0" applyProtection="0">
      <alignment horizontal="right"/>
      <protection locked="0"/>
    </xf>
    <xf numFmtId="0" fontId="11" fillId="30" borderId="180" applyNumberFormat="0" applyFont="0" applyAlignment="0" applyProtection="0"/>
    <xf numFmtId="0" fontId="8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261" fontId="168" fillId="26" borderId="189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27" fillId="35" borderId="176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38" borderId="196">
      <alignment horizontal="left" vertical="center" wrapText="1"/>
    </xf>
    <xf numFmtId="0" fontId="27" fillId="3" borderId="164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8" fontId="67" fillId="0" borderId="168">
      <protection locked="0"/>
    </xf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175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3" borderId="177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169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14" fillId="27" borderId="164" applyNumberFormat="0" applyAlignment="0" applyProtection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2" borderId="190" applyNumberFormat="0">
      <alignment horizontal="centerContinuous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4" fontId="2" fillId="0" borderId="0"/>
    <xf numFmtId="0" fontId="14" fillId="27" borderId="164" applyNumberFormat="0" applyAlignment="0" applyProtection="0"/>
    <xf numFmtId="0" fontId="14" fillId="27" borderId="164" applyNumberFormat="0" applyAlignment="0" applyProtection="0"/>
    <xf numFmtId="0" fontId="8" fillId="0" borderId="0"/>
    <xf numFmtId="0" fontId="27" fillId="3" borderId="164" applyNumberFormat="0">
      <alignment horizontal="left" vertical="center"/>
    </xf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25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27" fillId="3" borderId="177" applyNumberFormat="0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254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11" fillId="30" borderId="140" applyNumberFormat="0" applyFont="0" applyAlignment="0" applyProtection="0"/>
    <xf numFmtId="0" fontId="26" fillId="2" borderId="176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11" fillId="30" borderId="140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254" fontId="2" fillId="0" borderId="0"/>
    <xf numFmtId="0" fontId="2" fillId="73" borderId="41" applyNumberFormat="0" applyFont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2" fillId="73" borderId="4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43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45" applyNumberFormat="0" applyAlignment="0" applyProtection="0"/>
    <xf numFmtId="0" fontId="8" fillId="0" borderId="0"/>
    <xf numFmtId="0" fontId="8" fillId="0" borderId="0"/>
    <xf numFmtId="0" fontId="2" fillId="0" borderId="0"/>
    <xf numFmtId="0" fontId="162" fillId="27" borderId="145" applyNumberFormat="0" applyAlignment="0" applyProtection="0"/>
    <xf numFmtId="0" fontId="8" fillId="0" borderId="0"/>
    <xf numFmtId="0" fontId="8" fillId="0" borderId="0"/>
    <xf numFmtId="0" fontId="162" fillId="27" borderId="14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61" fontId="168" fillId="26" borderId="135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182" applyNumberFormat="0" applyBorder="0" applyAlignment="0">
      <alignment horizontal="centerContinuous" vertical="center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0" fontId="21" fillId="10" borderId="164" applyNumberFormat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9" fontId="58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135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98" fillId="0" borderId="173" applyNumberFormat="0" applyFill="0" applyAlignment="0" applyProtection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9" fillId="80" borderId="135" applyNumberFormat="0" applyProtection="0">
      <alignment horizontal="center" vertical="center"/>
    </xf>
    <xf numFmtId="0" fontId="8" fillId="0" borderId="0"/>
    <xf numFmtId="0" fontId="26" fillId="80" borderId="135" applyNumberFormat="0" applyProtection="0">
      <alignment horizontal="center" vertical="center" wrapText="1"/>
    </xf>
    <xf numFmtId="0" fontId="26" fillId="80" borderId="135" applyNumberFormat="0" applyProtection="0">
      <alignment horizontal="center" vertical="center"/>
    </xf>
    <xf numFmtId="0" fontId="8" fillId="0" borderId="0"/>
    <xf numFmtId="0" fontId="26" fillId="80" borderId="135" applyNumberFormat="0" applyProtection="0">
      <alignment horizontal="center" vertical="center" wrapText="1"/>
    </xf>
    <xf numFmtId="0" fontId="14" fillId="27" borderId="177" applyNumberFormat="0" applyAlignment="0" applyProtection="0"/>
    <xf numFmtId="0" fontId="8" fillId="0" borderId="0"/>
    <xf numFmtId="0" fontId="27" fillId="4" borderId="135" applyNumberFormat="0" applyProtection="0">
      <alignment horizontal="left" vertical="center"/>
    </xf>
    <xf numFmtId="0" fontId="8" fillId="0" borderId="0"/>
    <xf numFmtId="0" fontId="27" fillId="4" borderId="135" applyNumberFormat="0" applyProtection="0">
      <alignment horizontal="left" vertical="center"/>
    </xf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4" fontId="2" fillId="0" borderId="0"/>
    <xf numFmtId="0" fontId="26" fillId="2" borderId="135" applyNumberFormat="0" applyProtection="0">
      <alignment horizontal="left" vertical="center" wrapText="1"/>
    </xf>
    <xf numFmtId="0" fontId="8" fillId="0" borderId="0"/>
    <xf numFmtId="0" fontId="8" fillId="0" borderId="0"/>
    <xf numFmtId="254" fontId="26" fillId="81" borderId="135" applyNumberFormat="0" applyProtection="0">
      <alignment horizontal="center" vertical="center" wrapText="1"/>
    </xf>
    <xf numFmtId="0" fontId="8" fillId="0" borderId="0"/>
    <xf numFmtId="0" fontId="27" fillId="4" borderId="135" applyNumberFormat="0" applyProtection="0">
      <alignment horizontal="left" vertical="center" wrapText="1"/>
    </xf>
    <xf numFmtId="0" fontId="8" fillId="0" borderId="0"/>
    <xf numFmtId="0" fontId="26" fillId="2" borderId="135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65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46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198" fillId="0" borderId="147" applyNumberFormat="0" applyFill="0" applyAlignment="0" applyProtection="0"/>
    <xf numFmtId="0" fontId="8" fillId="0" borderId="0"/>
    <xf numFmtId="0" fontId="198" fillId="0" borderId="1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47" applyNumberFormat="0" applyFill="0" applyAlignment="0" applyProtection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14" fillId="27" borderId="137" applyNumberFormat="0" applyAlignment="0" applyProtection="0"/>
    <xf numFmtId="0" fontId="27" fillId="30" borderId="140" applyNumberFormat="0" applyFont="0" applyAlignment="0" applyProtection="0"/>
    <xf numFmtId="8" fontId="67" fillId="0" borderId="141">
      <protection locked="0"/>
    </xf>
    <xf numFmtId="0" fontId="8" fillId="0" borderId="0"/>
    <xf numFmtId="0" fontId="8" fillId="0" borderId="0"/>
    <xf numFmtId="0" fontId="21" fillId="10" borderId="137" applyNumberFormat="0" applyAlignment="0" applyProtection="0"/>
    <xf numFmtId="173" fontId="27" fillId="35" borderId="135" applyNumberFormat="0" applyFont="0" applyBorder="0" applyAlignment="0" applyProtection="0"/>
    <xf numFmtId="0" fontId="8" fillId="0" borderId="0"/>
    <xf numFmtId="10" fontId="65" fillId="26" borderId="135" applyNumberFormat="0" applyBorder="0" applyAlignment="0" applyProtection="0"/>
    <xf numFmtId="0" fontId="8" fillId="0" borderId="0"/>
    <xf numFmtId="0" fontId="21" fillId="10" borderId="137" applyNumberFormat="0" applyAlignment="0" applyProtection="0"/>
    <xf numFmtId="0" fontId="21" fillId="10" borderId="137" applyNumberFormat="0" applyAlignment="0" applyProtection="0"/>
    <xf numFmtId="0" fontId="27" fillId="0" borderId="135"/>
    <xf numFmtId="0" fontId="8" fillId="0" borderId="0"/>
    <xf numFmtId="0" fontId="8" fillId="0" borderId="0"/>
    <xf numFmtId="10" fontId="65" fillId="26" borderId="135" applyNumberFormat="0" applyBorder="0" applyAlignment="0" applyProtection="0"/>
    <xf numFmtId="173" fontId="27" fillId="35" borderId="135" applyNumberFormat="0" applyFont="0" applyBorder="0" applyAlignment="0" applyProtection="0"/>
    <xf numFmtId="0" fontId="8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11" fillId="30" borderId="140" applyNumberFormat="0" applyFont="0" applyAlignment="0" applyProtection="0"/>
    <xf numFmtId="0" fontId="11" fillId="30" borderId="140" applyNumberFormat="0" applyFont="0" applyAlignment="0" applyProtection="0"/>
    <xf numFmtId="257" fontId="159" fillId="0" borderId="143" applyBorder="0"/>
    <xf numFmtId="0" fontId="162" fillId="27" borderId="145" applyNumberFormat="0" applyAlignment="0" applyProtection="0"/>
    <xf numFmtId="0" fontId="162" fillId="27" borderId="145" applyNumberFormat="0" applyAlignment="0" applyProtection="0"/>
    <xf numFmtId="0" fontId="162" fillId="27" borderId="145" applyNumberFormat="0" applyAlignment="0" applyProtection="0"/>
    <xf numFmtId="261" fontId="168" fillId="26" borderId="135" applyFill="0" applyBorder="0" applyAlignment="0" applyProtection="0">
      <alignment horizontal="right"/>
      <protection locked="0"/>
    </xf>
    <xf numFmtId="0" fontId="8" fillId="0" borderId="0"/>
    <xf numFmtId="0" fontId="173" fillId="31" borderId="135">
      <alignment horizontal="center" vertical="center" wrapText="1"/>
      <protection hidden="1"/>
    </xf>
    <xf numFmtId="0" fontId="8" fillId="0" borderId="0"/>
    <xf numFmtId="0" fontId="179" fillId="80" borderId="135" applyNumberFormat="0" applyProtection="0">
      <alignment horizontal="center" vertical="center"/>
    </xf>
    <xf numFmtId="0" fontId="26" fillId="80" borderId="135" applyNumberFormat="0" applyProtection="0">
      <alignment horizontal="center" vertical="center" wrapText="1"/>
    </xf>
    <xf numFmtId="0" fontId="26" fillId="80" borderId="135" applyNumberFormat="0" applyProtection="0">
      <alignment horizontal="center" vertical="center"/>
    </xf>
    <xf numFmtId="0" fontId="26" fillId="80" borderId="135" applyNumberFormat="0" applyProtection="0">
      <alignment horizontal="center" vertical="center" wrapText="1"/>
    </xf>
    <xf numFmtId="0" fontId="27" fillId="4" borderId="135" applyNumberFormat="0" applyProtection="0">
      <alignment horizontal="left" vertical="center"/>
    </xf>
    <xf numFmtId="0" fontId="26" fillId="2" borderId="135" applyNumberFormat="0" applyProtection="0">
      <alignment horizontal="left" vertical="center" wrapText="1"/>
    </xf>
    <xf numFmtId="254" fontId="26" fillId="81" borderId="135" applyNumberFormat="0" applyProtection="0">
      <alignment horizontal="center" vertical="center" wrapText="1"/>
    </xf>
    <xf numFmtId="0" fontId="27" fillId="4" borderId="135" applyNumberFormat="0" applyProtection="0">
      <alignment horizontal="left" vertical="center" wrapText="1"/>
    </xf>
    <xf numFmtId="0" fontId="26" fillId="2" borderId="135" applyNumberFormat="0" applyProtection="0">
      <alignment horizontal="left" vertical="center" wrapText="1"/>
    </xf>
    <xf numFmtId="170" fontId="2" fillId="0" borderId="0" applyFont="0" applyFill="0" applyBorder="0" applyAlignment="0" applyProtection="0"/>
    <xf numFmtId="0" fontId="8" fillId="0" borderId="0"/>
    <xf numFmtId="0" fontId="27" fillId="4" borderId="135" applyNumberFormat="0" applyProtection="0">
      <alignment horizontal="left" vertical="center"/>
    </xf>
    <xf numFmtId="0" fontId="27" fillId="4" borderId="135" applyNumberFormat="0" applyProtection="0">
      <alignment horizontal="left" vertical="center"/>
    </xf>
    <xf numFmtId="170" fontId="2" fillId="0" borderId="0" applyFont="0" applyFill="0" applyBorder="0" applyAlignment="0" applyProtection="0"/>
    <xf numFmtId="0" fontId="198" fillId="0" borderId="147" applyNumberFormat="0" applyFill="0" applyAlignment="0" applyProtection="0"/>
    <xf numFmtId="0" fontId="162" fillId="27" borderId="145" applyNumberFormat="0" applyAlignment="0" applyProtection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21" fillId="10" borderId="137" applyNumberFormat="0" applyAlignment="0" applyProtection="0"/>
    <xf numFmtId="0" fontId="14" fillId="27" borderId="137" applyNumberFormat="0" applyAlignment="0" applyProtection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27" fillId="4" borderId="135" applyNumberFormat="0" applyProtection="0">
      <alignment horizontal="left" vertical="center"/>
    </xf>
    <xf numFmtId="0" fontId="27" fillId="4" borderId="135" applyNumberFormat="0" applyProtection="0">
      <alignment horizontal="left" vertical="center"/>
    </xf>
    <xf numFmtId="44" fontId="2" fillId="0" borderId="0" applyFont="0" applyFill="0" applyBorder="0" applyAlignment="0" applyProtection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27" fillId="4" borderId="135" applyNumberFormat="0" applyProtection="0">
      <alignment horizontal="left" vertical="center"/>
    </xf>
    <xf numFmtId="0" fontId="27" fillId="4" borderId="135" applyNumberFormat="0" applyProtection="0">
      <alignment horizontal="left" vertical="center"/>
    </xf>
    <xf numFmtId="237" fontId="188" fillId="85" borderId="146" applyNumberFormat="0" applyBorder="0" applyAlignment="0" applyProtection="0">
      <alignment vertical="center"/>
    </xf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198" fillId="0" borderId="147" applyNumberFormat="0" applyFill="0" applyAlignment="0" applyProtection="0"/>
    <xf numFmtId="0" fontId="198" fillId="0" borderId="147" applyNumberFormat="0" applyFill="0" applyAlignment="0" applyProtection="0"/>
    <xf numFmtId="0" fontId="198" fillId="0" borderId="1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43" applyBorder="0"/>
    <xf numFmtId="0" fontId="8" fillId="0" borderId="0"/>
    <xf numFmtId="261" fontId="168" fillId="26" borderId="135" applyFill="0" applyBorder="0" applyAlignment="0" applyProtection="0">
      <alignment horizontal="right"/>
      <protection locked="0"/>
    </xf>
    <xf numFmtId="0" fontId="173" fillId="31" borderId="135">
      <alignment horizontal="center" vertical="center" wrapText="1"/>
      <protection hidden="1"/>
    </xf>
    <xf numFmtId="0" fontId="179" fillId="80" borderId="135" applyNumberFormat="0" applyProtection="0">
      <alignment horizontal="center" vertical="center"/>
    </xf>
    <xf numFmtId="0" fontId="26" fillId="80" borderId="135" applyNumberFormat="0" applyProtection="0">
      <alignment horizontal="center" vertical="center" wrapText="1"/>
    </xf>
    <xf numFmtId="0" fontId="8" fillId="0" borderId="0"/>
    <xf numFmtId="0" fontId="26" fillId="80" borderId="135" applyNumberFormat="0" applyProtection="0">
      <alignment horizontal="center" vertical="center"/>
    </xf>
    <xf numFmtId="0" fontId="26" fillId="80" borderId="135" applyNumberFormat="0" applyProtection="0">
      <alignment horizontal="center" vertical="center" wrapText="1"/>
    </xf>
    <xf numFmtId="0" fontId="26" fillId="2" borderId="135" applyNumberFormat="0" applyProtection="0">
      <alignment horizontal="left" vertical="center" wrapText="1"/>
    </xf>
    <xf numFmtId="254" fontId="26" fillId="81" borderId="135" applyNumberFormat="0" applyProtection="0">
      <alignment horizontal="center" vertical="center" wrapText="1"/>
    </xf>
    <xf numFmtId="0" fontId="27" fillId="4" borderId="135" applyNumberForma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2" borderId="135" applyNumberFormat="0" applyProtection="0">
      <alignment horizontal="left" vertical="center" wrapText="1"/>
    </xf>
    <xf numFmtId="0" fontId="8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4" fontId="2" fillId="0" borderId="0"/>
    <xf numFmtId="170" fontId="2" fillId="0" borderId="0" applyFont="0" applyFill="0" applyBorder="0" applyAlignment="0" applyProtection="0"/>
    <xf numFmtId="0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170" fontId="2" fillId="0" borderId="0" applyFont="0" applyFill="0" applyBorder="0" applyAlignment="0" applyProtection="0"/>
    <xf numFmtId="0" fontId="2" fillId="0" borderId="0"/>
    <xf numFmtId="0" fontId="95" fillId="38" borderId="144">
      <alignment horizontal="left" vertical="center" wrapText="1"/>
    </xf>
    <xf numFmtId="8" fontId="67" fillId="0" borderId="141">
      <protection locked="0"/>
    </xf>
    <xf numFmtId="203" fontId="42" fillId="24" borderId="138"/>
    <xf numFmtId="237" fontId="188" fillId="85" borderId="146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7" fillId="0" borderId="64"/>
    <xf numFmtId="0" fontId="14" fillId="27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10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62" fillId="27" borderId="145" applyNumberFormat="0" applyAlignment="0" applyProtection="0"/>
    <xf numFmtId="0" fontId="198" fillId="0" borderId="147" applyNumberFormat="0" applyFill="0" applyAlignment="0" applyProtection="0"/>
    <xf numFmtId="0" fontId="14" fillId="27" borderId="137" applyNumberFormat="0" applyAlignment="0" applyProtection="0"/>
    <xf numFmtId="0" fontId="21" fillId="10" borderId="137" applyNumberFormat="0" applyAlignment="0" applyProtection="0"/>
    <xf numFmtId="0" fontId="2" fillId="0" borderId="0"/>
    <xf numFmtId="0" fontId="2" fillId="0" borderId="0"/>
    <xf numFmtId="0" fontId="2" fillId="0" borderId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2" fillId="0" borderId="0"/>
    <xf numFmtId="0" fontId="162" fillId="27" borderId="145" applyNumberFormat="0" applyAlignment="0" applyProtection="0"/>
    <xf numFmtId="0" fontId="198" fillId="0" borderId="147" applyNumberFormat="0" applyFill="0" applyAlignment="0" applyProtection="0"/>
    <xf numFmtId="0" fontId="27" fillId="4" borderId="135" applyNumberFormat="0" applyProtection="0">
      <alignment horizontal="left" vertical="center"/>
    </xf>
    <xf numFmtId="0" fontId="27" fillId="4" borderId="135" applyNumberFormat="0" applyProtection="0">
      <alignment horizontal="left" vertical="center"/>
    </xf>
    <xf numFmtId="0" fontId="14" fillId="27" borderId="137" applyNumberFormat="0" applyAlignment="0" applyProtection="0"/>
    <xf numFmtId="0" fontId="21" fillId="10" borderId="137" applyNumberFormat="0" applyAlignment="0" applyProtection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162" fillId="27" borderId="145" applyNumberFormat="0" applyAlignment="0" applyProtection="0"/>
    <xf numFmtId="0" fontId="198" fillId="0" borderId="147" applyNumberFormat="0" applyFill="0" applyAlignment="0" applyProtection="0"/>
    <xf numFmtId="0" fontId="2" fillId="0" borderId="0"/>
    <xf numFmtId="0" fontId="27" fillId="30" borderId="140" applyNumberFormat="0" applyFont="0" applyAlignment="0" applyProtection="0"/>
    <xf numFmtId="0" fontId="27" fillId="30" borderId="140" applyNumberFormat="0" applyFont="0" applyAlignment="0" applyProtection="0"/>
    <xf numFmtId="0" fontId="162" fillId="27" borderId="145" applyNumberFormat="0" applyAlignment="0" applyProtection="0"/>
    <xf numFmtId="0" fontId="198" fillId="0" borderId="1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4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5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" fillId="0" borderId="0"/>
    <xf numFmtId="0" fontId="162" fillId="27" borderId="171" applyNumberFormat="0" applyAlignment="0" applyProtection="0"/>
    <xf numFmtId="0" fontId="14" fillId="27" borderId="164" applyNumberFormat="0" applyAlignment="0" applyProtection="0"/>
    <xf numFmtId="10" fontId="65" fillId="26" borderId="163" applyNumberFormat="0" applyBorder="0" applyAlignment="0" applyProtection="0"/>
    <xf numFmtId="0" fontId="8" fillId="0" borderId="0"/>
    <xf numFmtId="0" fontId="198" fillId="0" borderId="17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27" fillId="30" borderId="180" applyNumberFormat="0" applyFont="0" applyAlignment="0" applyProtection="0"/>
    <xf numFmtId="0" fontId="8" fillId="0" borderId="0"/>
    <xf numFmtId="169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189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261" fontId="168" fillId="26" borderId="176" applyFill="0" applyBorder="0" applyAlignment="0" applyProtection="0">
      <alignment horizontal="right"/>
      <protection locked="0"/>
    </xf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63" applyNumberFormat="0" applyProtection="0">
      <alignment horizontal="center" vertical="center" wrapText="1"/>
    </xf>
    <xf numFmtId="0" fontId="14" fillId="27" borderId="164" applyNumberFormat="0" applyAlignment="0" applyProtection="0"/>
    <xf numFmtId="0" fontId="26" fillId="80" borderId="163" applyNumberFormat="0" applyProtection="0">
      <alignment horizontal="center" vertical="center"/>
    </xf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261" fontId="168" fillId="26" borderId="163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0" fillId="0" borderId="175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14" fillId="27" borderId="190" applyNumberFormat="0" applyAlignment="0" applyProtection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88" applyBorder="0"/>
    <xf numFmtId="0" fontId="21" fillId="10" borderId="151" applyNumberFormat="0" applyAlignment="0" applyProtection="0"/>
    <xf numFmtId="0" fontId="27" fillId="30" borderId="154" applyNumberFormat="0" applyFont="0" applyAlignment="0" applyProtection="0"/>
    <xf numFmtId="0" fontId="8" fillId="0" borderId="0"/>
    <xf numFmtId="0" fontId="162" fillId="27" borderId="158" applyNumberFormat="0" applyAlignment="0" applyProtection="0"/>
    <xf numFmtId="0" fontId="27" fillId="4" borderId="150" applyNumberFormat="0" applyProtection="0">
      <alignment horizontal="left" vertical="center"/>
    </xf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27" fillId="4" borderId="150" applyNumberFormat="0" applyProtection="0">
      <alignment horizontal="left" vertical="center"/>
    </xf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8" fontId="67" fillId="0" borderId="194">
      <protection locked="0"/>
    </xf>
    <xf numFmtId="0" fontId="8" fillId="0" borderId="0"/>
    <xf numFmtId="0" fontId="8" fillId="0" borderId="0"/>
    <xf numFmtId="0" fontId="14" fillId="27" borderId="177" applyNumberFormat="0" applyAlignment="0" applyProtection="0"/>
    <xf numFmtId="0" fontId="95" fillId="38" borderId="157">
      <alignment horizontal="left" vertical="center" wrapText="1"/>
    </xf>
    <xf numFmtId="8" fontId="67" fillId="0" borderId="155">
      <protection locked="0"/>
    </xf>
    <xf numFmtId="0" fontId="8" fillId="0" borderId="0"/>
    <xf numFmtId="0" fontId="26" fillId="2" borderId="150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50" applyNumberFormat="0" applyProtection="0">
      <alignment horizontal="left" vertical="center" wrapText="1"/>
    </xf>
    <xf numFmtId="0" fontId="179" fillId="80" borderId="150" applyNumberFormat="0" applyProtection="0">
      <alignment horizontal="center" vertical="center"/>
    </xf>
    <xf numFmtId="0" fontId="26" fillId="80" borderId="150" applyNumberFormat="0" applyProtection="0">
      <alignment horizontal="center" vertical="center" wrapText="1"/>
    </xf>
    <xf numFmtId="261" fontId="168" fillId="26" borderId="150" applyFill="0" applyBorder="0" applyAlignment="0" applyProtection="0">
      <alignment horizontal="right"/>
      <protection locked="0"/>
    </xf>
    <xf numFmtId="0" fontId="27" fillId="30" borderId="15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50" applyNumberFormat="0" applyProtection="0">
      <alignment horizontal="left" vertical="center"/>
    </xf>
    <xf numFmtId="0" fontId="8" fillId="0" borderId="0"/>
    <xf numFmtId="0" fontId="27" fillId="30" borderId="154" applyNumberFormat="0" applyFont="0" applyAlignment="0" applyProtection="0"/>
    <xf numFmtId="0" fontId="27" fillId="4" borderId="150" applyNumberFormat="0" applyProtection="0">
      <alignment horizontal="left" vertical="center"/>
    </xf>
    <xf numFmtId="0" fontId="14" fillId="27" borderId="164" applyNumberFormat="0" applyAlignment="0" applyProtection="0"/>
    <xf numFmtId="0" fontId="27" fillId="30" borderId="154" applyNumberFormat="0" applyFont="0" applyAlignment="0" applyProtection="0"/>
    <xf numFmtId="0" fontId="27" fillId="30" borderId="154" applyNumberFormat="0" applyFont="0" applyAlignment="0" applyProtection="0"/>
    <xf numFmtId="0" fontId="26" fillId="80" borderId="150" applyNumberFormat="0" applyProtection="0">
      <alignment horizontal="center" vertical="center"/>
    </xf>
    <xf numFmtId="0" fontId="198" fillId="0" borderId="160" applyNumberFormat="0" applyFill="0" applyAlignment="0" applyProtection="0"/>
    <xf numFmtId="0" fontId="27" fillId="4" borderId="150" applyNumberFormat="0" applyProtection="0">
      <alignment horizontal="left" vertical="center"/>
    </xf>
    <xf numFmtId="0" fontId="26" fillId="2" borderId="150" applyNumberFormat="0" applyProtection="0">
      <alignment horizontal="left" vertical="center" wrapText="1"/>
    </xf>
    <xf numFmtId="254" fontId="26" fillId="81" borderId="150" applyNumberFormat="0" applyProtection="0">
      <alignment horizontal="center" vertical="center" wrapText="1"/>
    </xf>
    <xf numFmtId="0" fontId="26" fillId="80" borderId="150" applyNumberFormat="0" applyProtection="0">
      <alignment horizontal="center" vertical="center" wrapText="1"/>
    </xf>
    <xf numFmtId="257" fontId="159" fillId="0" borderId="149" applyBorder="0"/>
    <xf numFmtId="261" fontId="168" fillId="26" borderId="150" applyFill="0" applyBorder="0" applyAlignment="0" applyProtection="0">
      <alignment horizontal="right"/>
      <protection locked="0"/>
    </xf>
    <xf numFmtId="0" fontId="162" fillId="27" borderId="158" applyNumberFormat="0" applyAlignment="0" applyProtection="0"/>
    <xf numFmtId="0" fontId="173" fillId="31" borderId="163">
      <alignment horizontal="center" vertical="center" wrapText="1"/>
      <protection hidden="1"/>
    </xf>
    <xf numFmtId="0" fontId="8" fillId="0" borderId="0"/>
    <xf numFmtId="173" fontId="27" fillId="35" borderId="150" applyNumberFormat="0" applyFont="0" applyBorder="0" applyAlignment="0" applyProtection="0"/>
    <xf numFmtId="10" fontId="65" fillId="26" borderId="150" applyNumberFormat="0" applyBorder="0" applyAlignment="0" applyProtection="0"/>
    <xf numFmtId="0" fontId="8" fillId="0" borderId="0"/>
    <xf numFmtId="0" fontId="21" fillId="10" borderId="151" applyNumberFormat="0" applyAlignment="0" applyProtection="0"/>
    <xf numFmtId="0" fontId="14" fillId="27" borderId="151" applyNumberFormat="0" applyAlignment="0" applyProtection="0"/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198" fillId="0" borderId="160" applyNumberFormat="0" applyFill="0" applyAlignment="0" applyProtection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198" fillId="0" borderId="16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50" applyNumberFormat="0" applyProtection="0">
      <alignment horizontal="left" vertical="center" wrapText="1"/>
    </xf>
    <xf numFmtId="169" fontId="11" fillId="0" borderId="0" applyFont="0" applyFill="0" applyBorder="0" applyAlignment="0" applyProtection="0"/>
    <xf numFmtId="254" fontId="26" fillId="81" borderId="150" applyNumberFormat="0" applyProtection="0">
      <alignment horizontal="center" vertical="center" wrapText="1"/>
    </xf>
    <xf numFmtId="0" fontId="8" fillId="0" borderId="0"/>
    <xf numFmtId="0" fontId="27" fillId="4" borderId="150" applyNumberFormat="0" applyProtection="0">
      <alignment horizontal="left" vertical="center"/>
    </xf>
    <xf numFmtId="0" fontId="26" fillId="80" borderId="150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173" fontId="27" fillId="35" borderId="189" applyNumberFormat="0" applyFont="0" applyBorder="0" applyAlignment="0" applyProtection="0"/>
    <xf numFmtId="0" fontId="8" fillId="0" borderId="0"/>
    <xf numFmtId="0" fontId="31" fillId="0" borderId="179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2" borderId="177" applyNumberFormat="0">
      <alignment horizontal="centerContinuous" vertical="center" wrapText="1"/>
    </xf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150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8" fillId="0" borderId="0"/>
    <xf numFmtId="0" fontId="179" fillId="80" borderId="163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63" applyNumberFormat="0" applyProtection="0">
      <alignment horizontal="left" vertical="center" wrapText="1"/>
    </xf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50"/>
    <xf numFmtId="0" fontId="8" fillId="0" borderId="0"/>
    <xf numFmtId="0" fontId="21" fillId="10" borderId="151" applyNumberFormat="0" applyAlignment="0" applyProtection="0"/>
    <xf numFmtId="0" fontId="95" fillId="38" borderId="157">
      <alignment horizontal="left" vertical="center" wrapText="1"/>
    </xf>
    <xf numFmtId="0" fontId="21" fillId="10" borderId="151" applyNumberFormat="0" applyAlignment="0" applyProtection="0"/>
    <xf numFmtId="0" fontId="21" fillId="10" borderId="151" applyNumberFormat="0" applyAlignment="0" applyProtection="0"/>
    <xf numFmtId="0" fontId="8" fillId="0" borderId="0"/>
    <xf numFmtId="0" fontId="80" fillId="0" borderId="149">
      <alignment horizontal="left" vertical="center"/>
    </xf>
    <xf numFmtId="10" fontId="65" fillId="26" borderId="163" applyNumberFormat="0" applyBorder="0" applyAlignment="0" applyProtection="0"/>
    <xf numFmtId="0" fontId="8" fillId="0" borderId="0"/>
    <xf numFmtId="1" fontId="75" fillId="33" borderId="156" applyNumberFormat="0" applyBorder="0" applyAlignment="0">
      <alignment horizontal="centerContinuous" vertical="center"/>
      <protection locked="0"/>
    </xf>
    <xf numFmtId="0" fontId="80" fillId="0" borderId="162">
      <alignment horizontal="left" vertical="center"/>
    </xf>
    <xf numFmtId="0" fontId="8" fillId="0" borderId="0"/>
    <xf numFmtId="0" fontId="2" fillId="0" borderId="0"/>
    <xf numFmtId="0" fontId="2" fillId="0" borderId="0"/>
    <xf numFmtId="0" fontId="21" fillId="10" borderId="151" applyNumberFormat="0" applyAlignment="0" applyProtection="0"/>
    <xf numFmtId="0" fontId="8" fillId="0" borderId="0"/>
    <xf numFmtId="0" fontId="8" fillId="0" borderId="0"/>
    <xf numFmtId="0" fontId="27" fillId="2" borderId="177" applyNumberFormat="0">
      <alignment horizontal="centerContinuous" vertical="center" wrapText="1"/>
    </xf>
    <xf numFmtId="0" fontId="8" fillId="0" borderId="0"/>
    <xf numFmtId="0" fontId="31" fillId="0" borderId="179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66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65" fillId="26" borderId="176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70" applyBorder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61" fontId="168" fillId="26" borderId="73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76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27" fillId="30" borderId="154" applyNumberFormat="0" applyFont="0" applyAlignment="0" applyProtection="0"/>
    <xf numFmtId="0" fontId="8" fillId="0" borderId="0"/>
    <xf numFmtId="0" fontId="8" fillId="0" borderId="0"/>
    <xf numFmtId="0" fontId="8" fillId="0" borderId="0"/>
    <xf numFmtId="166" fontId="67" fillId="0" borderId="168">
      <protection locked="0"/>
    </xf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66" applyNumberFormat="0" applyFont="0" applyFill="0" applyAlignment="0" applyProtection="0"/>
    <xf numFmtId="203" fontId="42" fillId="24" borderId="165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3" fillId="31" borderId="73">
      <alignment horizontal="center" vertical="center" wrapText="1"/>
      <protection hidden="1"/>
    </xf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31" fillId="0" borderId="192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9" fillId="80" borderId="163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" borderId="190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95" fillId="38" borderId="17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26" fillId="2" borderId="176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51" applyNumberFormat="0" applyAlignment="0" applyProtection="0"/>
    <xf numFmtId="0" fontId="8" fillId="0" borderId="0"/>
    <xf numFmtId="0" fontId="14" fillId="27" borderId="151" applyNumberFormat="0" applyAlignment="0" applyProtection="0"/>
    <xf numFmtId="0" fontId="14" fillId="27" borderId="151" applyNumberFormat="0" applyAlignment="0" applyProtection="0"/>
    <xf numFmtId="257" fontId="159" fillId="0" borderId="175" applyBorder="0"/>
    <xf numFmtId="0" fontId="8" fillId="0" borderId="0"/>
    <xf numFmtId="0" fontId="14" fillId="27" borderId="151" applyNumberFormat="0" applyAlignment="0" applyProtection="0"/>
    <xf numFmtId="0" fontId="8" fillId="0" borderId="0"/>
    <xf numFmtId="0" fontId="14" fillId="27" borderId="151" applyNumberFormat="0" applyAlignment="0" applyProtection="0"/>
    <xf numFmtId="0" fontId="14" fillId="27" borderId="151" applyNumberFormat="0" applyAlignment="0" applyProtection="0"/>
    <xf numFmtId="1" fontId="75" fillId="33" borderId="195" applyNumberFormat="0" applyBorder="0" applyAlignment="0">
      <alignment horizontal="centerContinuous" vertical="center"/>
      <protection locked="0"/>
    </xf>
    <xf numFmtId="0" fontId="8" fillId="0" borderId="0"/>
    <xf numFmtId="0" fontId="31" fillId="0" borderId="153" applyNumberFormat="0" applyFont="0" applyFill="0" applyAlignment="0" applyProtection="0"/>
    <xf numFmtId="0" fontId="31" fillId="0" borderId="153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52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8" fontId="67" fillId="0" borderId="168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91"/>
    <xf numFmtId="0" fontId="26" fillId="80" borderId="73" applyNumberFormat="0" applyProtection="0">
      <alignment horizontal="center" vertical="center" wrapText="1"/>
    </xf>
    <xf numFmtId="0" fontId="27" fillId="4" borderId="163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26" fillId="2" borderId="73" applyNumberFormat="0" applyProtection="0">
      <alignment horizontal="left" vertical="center" wrapText="1"/>
    </xf>
    <xf numFmtId="0" fontId="8" fillId="0" borderId="0"/>
    <xf numFmtId="254" fontId="26" fillId="81" borderId="73" applyNumberFormat="0" applyProtection="0">
      <alignment horizontal="center" vertical="center" wrapText="1"/>
    </xf>
    <xf numFmtId="0" fontId="26" fillId="2" borderId="73" applyNumberFormat="0" applyProtection="0">
      <alignment horizontal="left" vertical="center" wrapText="1"/>
    </xf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257" fontId="159" fillId="0" borderId="162" applyBorder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173" fillId="31" borderId="176">
      <alignment horizontal="center" vertical="center" wrapText="1"/>
      <protection hidden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254" fontId="26" fillId="81" borderId="163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75" fontId="169" fillId="34" borderId="66" applyBorder="0">
      <alignment horizontal="right" vertical="center"/>
      <protection locked="0"/>
    </xf>
    <xf numFmtId="0" fontId="8" fillId="0" borderId="0"/>
    <xf numFmtId="0" fontId="8" fillId="0" borderId="0"/>
    <xf numFmtId="0" fontId="8" fillId="0" borderId="0"/>
    <xf numFmtId="0" fontId="80" fillId="0" borderId="149">
      <alignment horizontal="left" vertical="center"/>
    </xf>
    <xf numFmtId="0" fontId="8" fillId="0" borderId="0"/>
    <xf numFmtId="0" fontId="8" fillId="0" borderId="0"/>
    <xf numFmtId="0" fontId="27" fillId="3" borderId="151" applyNumberFormat="0">
      <alignment horizontal="left" vertical="center"/>
    </xf>
    <xf numFmtId="0" fontId="27" fillId="2" borderId="151" applyNumberFormat="0">
      <alignment horizontal="centerContinuous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63" applyNumberFormat="0" applyProtection="0">
      <alignment horizontal="left" vertical="center" wrapText="1"/>
    </xf>
    <xf numFmtId="0" fontId="8" fillId="0" borderId="0"/>
    <xf numFmtId="0" fontId="27" fillId="30" borderId="193" applyNumberFormat="0" applyFont="0" applyAlignment="0" applyProtection="0"/>
    <xf numFmtId="10" fontId="65" fillId="26" borderId="73" applyNumberFormat="0" applyBorder="0" applyAlignment="0" applyProtection="0"/>
    <xf numFmtId="0" fontId="8" fillId="0" borderId="0"/>
    <xf numFmtId="0" fontId="8" fillId="0" borderId="0"/>
    <xf numFmtId="173" fontId="27" fillId="35" borderId="73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257" fontId="159" fillId="0" borderId="70" applyBorder="0"/>
    <xf numFmtId="261" fontId="168" fillId="26" borderId="73" applyFill="0" applyBorder="0" applyAlignment="0" applyProtection="0">
      <alignment horizontal="right"/>
      <protection locked="0"/>
    </xf>
    <xf numFmtId="0" fontId="173" fillId="31" borderId="73">
      <alignment horizontal="center" vertical="center" wrapText="1"/>
      <protection hidden="1"/>
    </xf>
    <xf numFmtId="0" fontId="8" fillId="0" borderId="0"/>
    <xf numFmtId="0" fontId="179" fillId="80" borderId="73" applyNumberFormat="0" applyProtection="0">
      <alignment horizontal="center" vertical="center"/>
    </xf>
    <xf numFmtId="0" fontId="26" fillId="80" borderId="73" applyNumberFormat="0" applyProtection="0">
      <alignment horizontal="center" vertical="center" wrapText="1"/>
    </xf>
    <xf numFmtId="0" fontId="8" fillId="0" borderId="0"/>
    <xf numFmtId="0" fontId="27" fillId="4" borderId="73" applyNumberFormat="0" applyProtection="0">
      <alignment horizontal="left" vertical="center"/>
    </xf>
    <xf numFmtId="0" fontId="26" fillId="2" borderId="73" applyNumberFormat="0" applyProtection="0">
      <alignment horizontal="left" vertical="center" wrapText="1"/>
    </xf>
    <xf numFmtId="254" fontId="26" fillId="81" borderId="73" applyNumberFormat="0" applyProtection="0">
      <alignment horizontal="center" vertical="center" wrapText="1"/>
    </xf>
    <xf numFmtId="0" fontId="8" fillId="0" borderId="0"/>
    <xf numFmtId="0" fontId="26" fillId="2" borderId="73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162" fillId="27" borderId="184" applyNumberFormat="0" applyAlignment="0" applyProtection="0"/>
    <xf numFmtId="0" fontId="8" fillId="0" borderId="0"/>
    <xf numFmtId="257" fontId="159" fillId="0" borderId="70" applyBorder="0"/>
    <xf numFmtId="261" fontId="168" fillId="26" borderId="73" applyFill="0" applyBorder="0" applyAlignment="0" applyProtection="0">
      <alignment horizontal="right"/>
      <protection locked="0"/>
    </xf>
    <xf numFmtId="0" fontId="173" fillId="31" borderId="73">
      <alignment horizontal="center" vertical="center" wrapText="1"/>
      <protection hidden="1"/>
    </xf>
    <xf numFmtId="0" fontId="80" fillId="0" borderId="188">
      <alignment horizontal="left" vertical="center"/>
    </xf>
    <xf numFmtId="0" fontId="26" fillId="80" borderId="73" applyNumberFormat="0" applyProtection="0">
      <alignment horizontal="center" vertical="center"/>
    </xf>
    <xf numFmtId="0" fontId="8" fillId="0" borderId="0"/>
    <xf numFmtId="0" fontId="26" fillId="2" borderId="73" applyNumberFormat="0" applyProtection="0">
      <alignment horizontal="left" vertical="center" wrapText="1"/>
    </xf>
    <xf numFmtId="254" fontId="26" fillId="81" borderId="73" applyNumberFormat="0" applyProtection="0">
      <alignment horizontal="center" vertical="center" wrapText="1"/>
    </xf>
    <xf numFmtId="0" fontId="8" fillId="0" borderId="0"/>
    <xf numFmtId="0" fontId="26" fillId="2" borderId="73" applyNumberFormat="0" applyProtection="0">
      <alignment horizontal="left" vertical="center" wrapText="1"/>
    </xf>
    <xf numFmtId="0" fontId="162" fillId="27" borderId="197" applyNumberFormat="0" applyAlignment="0" applyProtection="0"/>
    <xf numFmtId="0" fontId="27" fillId="2" borderId="164" applyNumberFormat="0">
      <alignment horizontal="centerContinuous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5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27" fillId="35" borderId="163" applyNumberFormat="0" applyFont="0" applyBorder="0" applyAlignment="0" applyProtection="0"/>
    <xf numFmtId="0" fontId="8" fillId="0" borderId="0"/>
    <xf numFmtId="171" fontId="37" fillId="0" borderId="148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" borderId="190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0" fontId="27" fillId="4" borderId="163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8" fillId="0" borderId="0"/>
    <xf numFmtId="0" fontId="27" fillId="4" borderId="163" applyNumberFormat="0" applyProtection="0">
      <alignment horizontal="left" vertical="center"/>
    </xf>
    <xf numFmtId="0" fontId="26" fillId="80" borderId="163" applyNumberFormat="0" applyProtection="0">
      <alignment horizontal="center" vertical="center"/>
    </xf>
    <xf numFmtId="0" fontId="27" fillId="4" borderId="163" applyNumberFormat="0" applyProtection="0">
      <alignment horizontal="left" vertical="center"/>
    </xf>
    <xf numFmtId="8" fontId="67" fillId="0" borderId="168">
      <protection locked="0"/>
    </xf>
    <xf numFmtId="0" fontId="8" fillId="0" borderId="0"/>
    <xf numFmtId="0" fontId="26" fillId="2" borderId="163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8" fontId="67" fillId="0" borderId="181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94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78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8" fontId="67" fillId="0" borderId="194">
      <protection locked="0"/>
    </xf>
    <xf numFmtId="0" fontId="198" fillId="0" borderId="199" applyNumberFormat="0" applyFill="0" applyAlignment="0" applyProtection="0"/>
    <xf numFmtId="0" fontId="8" fillId="0" borderId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89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254" fontId="26" fillId="81" borderId="163" applyNumberFormat="0" applyProtection="0">
      <alignment horizontal="center" vertical="center" wrapText="1"/>
    </xf>
    <xf numFmtId="0" fontId="26" fillId="80" borderId="163" applyNumberFormat="0" applyProtection="0">
      <alignment horizontal="center" vertical="center" wrapText="1"/>
    </xf>
    <xf numFmtId="0" fontId="26" fillId="80" borderId="163" applyNumberFormat="0" applyProtection="0">
      <alignment horizontal="center" vertical="center"/>
    </xf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95" fillId="38" borderId="157">
      <alignment horizontal="left" vertical="center" wrapText="1"/>
    </xf>
    <xf numFmtId="0" fontId="31" fillId="0" borderId="192" applyNumberFormat="0" applyFont="0" applyFill="0" applyAlignment="0" applyProtection="0"/>
    <xf numFmtId="0" fontId="8" fillId="0" borderId="0"/>
    <xf numFmtId="0" fontId="21" fillId="10" borderId="151" applyNumberFormat="0" applyAlignment="0" applyProtection="0"/>
    <xf numFmtId="0" fontId="21" fillId="10" borderId="151" applyNumberFormat="0" applyAlignment="0" applyProtection="0"/>
    <xf numFmtId="0" fontId="21" fillId="10" borderId="151" applyNumberFormat="0" applyAlignment="0" applyProtection="0"/>
    <xf numFmtId="0" fontId="21" fillId="10" borderId="15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95" fillId="38" borderId="183">
      <alignment horizontal="left" vertical="center" wrapText="1"/>
    </xf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9" fontId="58" fillId="0" borderId="0" applyFont="0" applyFill="0" applyBorder="0" applyAlignment="0" applyProtection="0"/>
    <xf numFmtId="0" fontId="8" fillId="0" borderId="0"/>
    <xf numFmtId="254" fontId="26" fillId="81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85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166" fontId="67" fillId="0" borderId="181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55">
      <protection locked="0"/>
    </xf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64" applyNumberFormat="0" applyAlignment="0" applyProtection="0"/>
    <xf numFmtId="0" fontId="8" fillId="0" borderId="0"/>
    <xf numFmtId="0" fontId="8" fillId="0" borderId="0"/>
    <xf numFmtId="0" fontId="14" fillId="27" borderId="190" applyNumberFormat="0" applyAlignment="0" applyProtection="0"/>
    <xf numFmtId="0" fontId="198" fillId="0" borderId="18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84" applyNumberFormat="0" applyAlignment="0" applyProtection="0"/>
    <xf numFmtId="0" fontId="8" fillId="0" borderId="0"/>
    <xf numFmtId="0" fontId="31" fillId="0" borderId="192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8" fillId="0" borderId="0"/>
    <xf numFmtId="0" fontId="173" fillId="31" borderId="176">
      <alignment horizontal="center" vertical="center" wrapText="1"/>
      <protection hidden="1"/>
    </xf>
    <xf numFmtId="0" fontId="8" fillId="0" borderId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14" fillId="27" borderId="151" applyNumberFormat="0" applyAlignment="0" applyProtection="0"/>
    <xf numFmtId="0" fontId="8" fillId="0" borderId="0"/>
    <xf numFmtId="0" fontId="31" fillId="0" borderId="153" applyNumberFormat="0" applyFont="0" applyFill="0" applyAlignment="0" applyProtection="0"/>
    <xf numFmtId="0" fontId="31" fillId="0" borderId="153" applyNumberFormat="0" applyFont="0" applyFill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03" fontId="42" fillId="24" borderId="152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62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63"/>
    <xf numFmtId="10" fontId="65" fillId="26" borderId="163" applyNumberFormat="0" applyBorder="0" applyAlignment="0" applyProtection="0"/>
    <xf numFmtId="0" fontId="27" fillId="30" borderId="167" applyNumberFormat="0" applyFont="0" applyAlignment="0" applyProtection="0"/>
    <xf numFmtId="0" fontId="8" fillId="0" borderId="0"/>
    <xf numFmtId="237" fontId="188" fillId="85" borderId="172" applyNumberFormat="0" applyBorder="0" applyAlignment="0" applyProtection="0">
      <alignment vertical="center"/>
    </xf>
    <xf numFmtId="0" fontId="198" fillId="0" borderId="17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" borderId="151" applyNumberFormat="0">
      <alignment horizontal="left" vertical="center"/>
    </xf>
    <xf numFmtId="0" fontId="27" fillId="2" borderId="151" applyNumberFormat="0">
      <alignment horizontal="centerContinuous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156" applyNumberFormat="0" applyBorder="0" applyAlignment="0">
      <alignment horizontal="centerContinuous" vertical="center"/>
      <protection locked="0"/>
    </xf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237" fontId="188" fillId="85" borderId="185" applyNumberFormat="0" applyBorder="0" applyAlignment="0" applyProtection="0">
      <alignment vertical="center"/>
    </xf>
    <xf numFmtId="0" fontId="8" fillId="0" borderId="0"/>
    <xf numFmtId="203" fontId="42" fillId="24" borderId="178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173" fontId="27" fillId="35" borderId="163" applyNumberFormat="0" applyFont="0" applyBorder="0" applyAlignment="0" applyProtection="0"/>
    <xf numFmtId="254" fontId="26" fillId="81" borderId="163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21" fillId="10" borderId="151" applyNumberFormat="0" applyAlignment="0" applyProtection="0"/>
    <xf numFmtId="0" fontId="8" fillId="0" borderId="0"/>
    <xf numFmtId="0" fontId="27" fillId="30" borderId="167" applyNumberFormat="0" applyFont="0" applyAlignment="0" applyProtection="0"/>
    <xf numFmtId="0" fontId="26" fillId="2" borderId="176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8" fontId="67" fillId="0" borderId="181">
      <protection locked="0"/>
    </xf>
    <xf numFmtId="0" fontId="8" fillId="0" borderId="0"/>
    <xf numFmtId="10" fontId="65" fillId="26" borderId="150" applyNumberFormat="0" applyBorder="0" applyAlignment="0" applyProtection="0"/>
    <xf numFmtId="0" fontId="8" fillId="0" borderId="0"/>
    <xf numFmtId="0" fontId="8" fillId="0" borderId="0"/>
    <xf numFmtId="0" fontId="8" fillId="0" borderId="0"/>
    <xf numFmtId="237" fontId="188" fillId="85" borderId="198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8" fillId="0" borderId="0"/>
    <xf numFmtId="0" fontId="8" fillId="0" borderId="0"/>
    <xf numFmtId="257" fontId="159" fillId="0" borderId="162" applyBorder="0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65" fillId="26" borderId="189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2" borderId="163" applyNumberFormat="0" applyProtection="0">
      <alignment horizontal="left" vertical="center" wrapText="1"/>
    </xf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31" fillId="0" borderId="179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162" fillId="27" borderId="197" applyNumberFormat="0" applyAlignment="0" applyProtection="0"/>
    <xf numFmtId="0" fontId="8" fillId="0" borderId="0"/>
    <xf numFmtId="0" fontId="8" fillId="0" borderId="0"/>
    <xf numFmtId="0" fontId="95" fillId="38" borderId="183">
      <alignment horizontal="left" vertical="center" wrapText="1"/>
    </xf>
    <xf numFmtId="0" fontId="8" fillId="0" borderId="0"/>
    <xf numFmtId="0" fontId="26" fillId="80" borderId="176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8" fontId="67" fillId="0" borderId="194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50" applyNumberFormat="0" applyProtection="0">
      <alignment horizontal="center" vertical="center"/>
    </xf>
    <xf numFmtId="0" fontId="27" fillId="4" borderId="150" applyNumberFormat="0" applyProtection="0">
      <alignment horizontal="left" vertical="center"/>
    </xf>
    <xf numFmtId="0" fontId="26" fillId="2" borderId="150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6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4" fillId="27" borderId="151" applyNumberFormat="0" applyAlignment="0" applyProtection="0"/>
    <xf numFmtId="0" fontId="8" fillId="0" borderId="0"/>
    <xf numFmtId="0" fontId="8" fillId="0" borderId="0"/>
    <xf numFmtId="0" fontId="8" fillId="0" borderId="0"/>
    <xf numFmtId="0" fontId="27" fillId="0" borderId="150"/>
    <xf numFmtId="0" fontId="8" fillId="0" borderId="0"/>
    <xf numFmtId="0" fontId="162" fillId="27" borderId="158" applyNumberFormat="0" applyAlignment="0" applyProtection="0"/>
    <xf numFmtId="0" fontId="11" fillId="30" borderId="154" applyNumberFormat="0" applyFont="0" applyAlignment="0" applyProtection="0"/>
    <xf numFmtId="0" fontId="27" fillId="4" borderId="150" applyNumberFormat="0" applyProtection="0">
      <alignment horizontal="left" vertical="center"/>
    </xf>
    <xf numFmtId="0" fontId="8" fillId="0" borderId="0"/>
    <xf numFmtId="0" fontId="26" fillId="80" borderId="150" applyNumberFormat="0" applyProtection="0">
      <alignment horizontal="center" vertical="center" wrapText="1"/>
    </xf>
    <xf numFmtId="0" fontId="27" fillId="4" borderId="150" applyNumberFormat="0" applyProtection="0">
      <alignment horizontal="left" vertical="center"/>
    </xf>
    <xf numFmtId="237" fontId="188" fillId="85" borderId="159" applyNumberFormat="0" applyBorder="0" applyAlignment="0" applyProtection="0">
      <alignment vertical="center"/>
    </xf>
    <xf numFmtId="0" fontId="8" fillId="0" borderId="0"/>
    <xf numFmtId="0" fontId="198" fillId="0" borderId="160" applyNumberFormat="0" applyFill="0" applyAlignment="0" applyProtection="0"/>
    <xf numFmtId="0" fontId="14" fillId="27" borderId="151" applyNumberFormat="0" applyAlignment="0" applyProtection="0"/>
    <xf numFmtId="0" fontId="8" fillId="0" borderId="0"/>
    <xf numFmtId="0" fontId="27" fillId="4" borderId="150" applyNumberFormat="0" applyProtection="0">
      <alignment horizontal="left" vertical="center" wrapText="1"/>
    </xf>
    <xf numFmtId="0" fontId="26" fillId="80" borderId="150" applyNumberFormat="0" applyProtection="0">
      <alignment horizontal="center" vertical="center" wrapText="1"/>
    </xf>
    <xf numFmtId="0" fontId="27" fillId="4" borderId="176" applyNumberFormat="0" applyProtection="0">
      <alignment horizontal="left" vertical="center" wrapText="1"/>
    </xf>
    <xf numFmtId="0" fontId="27" fillId="2" borderId="190" applyNumberFormat="0">
      <alignment horizontal="centerContinuous" vertical="center" wrapText="1"/>
    </xf>
    <xf numFmtId="0" fontId="8" fillId="0" borderId="0"/>
    <xf numFmtId="237" fontId="188" fillId="85" borderId="159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198" fillId="0" borderId="160" applyNumberFormat="0" applyFill="0" applyAlignment="0" applyProtection="0"/>
    <xf numFmtId="0" fontId="8" fillId="0" borderId="0"/>
    <xf numFmtId="0" fontId="27" fillId="30" borderId="154" applyNumberFormat="0" applyFont="0" applyAlignment="0" applyProtection="0"/>
    <xf numFmtId="0" fontId="14" fillId="27" borderId="151" applyNumberFormat="0" applyAlignment="0" applyProtection="0"/>
    <xf numFmtId="0" fontId="26" fillId="80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89" applyNumberFormat="0" applyProtection="0">
      <alignment horizontal="left" vertical="center" wrapText="1"/>
    </xf>
    <xf numFmtId="0" fontId="2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166" fontId="67" fillId="0" borderId="181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66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89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7" fontId="159" fillId="0" borderId="188" applyBorder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76" applyNumberFormat="0" applyProtection="0">
      <alignment horizontal="left" vertical="center" wrapText="1"/>
    </xf>
    <xf numFmtId="0" fontId="8" fillId="0" borderId="0"/>
    <xf numFmtId="254" fontId="26" fillId="81" borderId="176" applyNumberFormat="0" applyProtection="0">
      <alignment horizontal="center" vertical="center" wrapText="1"/>
    </xf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76" applyNumberFormat="0" applyProtection="0">
      <alignment horizontal="left" vertical="center"/>
    </xf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198" fillId="0" borderId="17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26" fillId="2" borderId="163" applyNumberFormat="0" applyProtection="0">
      <alignment horizontal="left" vertical="center" wrapText="1"/>
    </xf>
    <xf numFmtId="0" fontId="198" fillId="0" borderId="173" applyNumberFormat="0" applyFill="0" applyAlignment="0" applyProtection="0"/>
    <xf numFmtId="0" fontId="8" fillId="0" borderId="0"/>
    <xf numFmtId="0" fontId="8" fillId="0" borderId="0"/>
    <xf numFmtId="203" fontId="42" fillId="24" borderId="191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92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63" applyNumberFormat="0" applyProtection="0">
      <alignment horizontal="left" vertical="center" wrapText="1"/>
    </xf>
    <xf numFmtId="0" fontId="27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92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71" applyNumberFormat="0" applyAlignment="0" applyProtection="0"/>
    <xf numFmtId="0" fontId="198" fillId="0" borderId="173" applyNumberFormat="0" applyFill="0" applyAlignment="0" applyProtection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8" fillId="0" borderId="0"/>
    <xf numFmtId="0" fontId="198" fillId="0" borderId="173" applyNumberFormat="0" applyFill="0" applyAlignment="0" applyProtection="0"/>
    <xf numFmtId="0" fontId="8" fillId="0" borderId="0"/>
    <xf numFmtId="0" fontId="26" fillId="2" borderId="189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61" fontId="168" fillId="26" borderId="163" applyFill="0" applyBorder="0" applyAlignment="0" applyProtection="0">
      <alignment horizontal="right"/>
      <protection locked="0"/>
    </xf>
    <xf numFmtId="0" fontId="80" fillId="0" borderId="149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149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94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27" fillId="3" borderId="190" applyNumberForma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37" fillId="0" borderId="187"/>
    <xf numFmtId="0" fontId="8" fillId="0" borderId="0"/>
    <xf numFmtId="0" fontId="8" fillId="0" borderId="0"/>
    <xf numFmtId="217" fontId="65" fillId="0" borderId="83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63" applyNumberFormat="0" applyProtection="0">
      <alignment horizontal="center" vertical="center" wrapText="1"/>
    </xf>
    <xf numFmtId="0" fontId="8" fillId="0" borderId="0"/>
    <xf numFmtId="0" fontId="26" fillId="2" borderId="189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72" applyNumberFormat="0" applyBorder="0" applyAlignment="0" applyProtection="0">
      <alignment vertical="center"/>
    </xf>
    <xf numFmtId="0" fontId="8" fillId="0" borderId="0"/>
    <xf numFmtId="0" fontId="198" fillId="0" borderId="199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7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21" fillId="10" borderId="151" applyNumberFormat="0" applyAlignment="0" applyProtection="0"/>
    <xf numFmtId="0" fontId="8" fillId="0" borderId="0"/>
    <xf numFmtId="0" fontId="21" fillId="10" borderId="164" applyNumberFormat="0" applyAlignment="0" applyProtection="0"/>
    <xf numFmtId="0" fontId="8" fillId="0" borderId="0"/>
    <xf numFmtId="0" fontId="11" fillId="30" borderId="16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162" fillId="27" borderId="18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8" fillId="0" borderId="0"/>
    <xf numFmtId="10" fontId="65" fillId="26" borderId="176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51" applyNumberFormat="0" applyAlignment="0" applyProtection="0"/>
    <xf numFmtId="0" fontId="8" fillId="0" borderId="0"/>
    <xf numFmtId="0" fontId="14" fillId="27" borderId="177" applyNumberFormat="0" applyAlignment="0" applyProtection="0"/>
    <xf numFmtId="0" fontId="14" fillId="27" borderId="177" applyNumberFormat="0" applyAlignment="0" applyProtection="0"/>
    <xf numFmtId="173" fontId="27" fillId="35" borderId="15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/>
    </xf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68">
      <protection locked="0"/>
    </xf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8" fillId="0" borderId="0"/>
    <xf numFmtId="0" fontId="21" fillId="10" borderId="151" applyNumberFormat="0" applyAlignment="0" applyProtection="0"/>
    <xf numFmtId="0" fontId="162" fillId="27" borderId="184" applyNumberFormat="0" applyAlignment="0" applyProtection="0"/>
    <xf numFmtId="0" fontId="8" fillId="0" borderId="0"/>
    <xf numFmtId="0" fontId="8" fillId="0" borderId="0"/>
    <xf numFmtId="0" fontId="21" fillId="10" borderId="164" applyNumberFormat="0" applyAlignment="0" applyProtection="0"/>
    <xf numFmtId="0" fontId="21" fillId="10" borderId="164" applyNumberFormat="0" applyAlignment="0" applyProtection="0"/>
    <xf numFmtId="0" fontId="11" fillId="30" borderId="180" applyNumberFormat="0" applyFont="0" applyAlignment="0" applyProtection="0"/>
    <xf numFmtId="1" fontId="75" fillId="33" borderId="156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66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27" fillId="0" borderId="176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76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76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162" fillId="27" borderId="171" applyNumberFormat="0" applyAlignment="0" applyProtection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30" borderId="167" applyNumberFormat="0" applyFont="0" applyAlignment="0" applyProtection="0"/>
    <xf numFmtId="0" fontId="14" fillId="27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8" fontId="67" fillId="0" borderId="181">
      <protection locked="0"/>
    </xf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162">
      <alignment horizontal="left" vertical="center"/>
    </xf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76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8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7" fontId="188" fillId="85" borderId="198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257" fontId="159" fillId="0" borderId="175" applyBorder="0"/>
    <xf numFmtId="0" fontId="80" fillId="0" borderId="162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6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95" fillId="38" borderId="17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38" borderId="170">
      <alignment horizontal="left" vertical="center" wrapText="1"/>
    </xf>
    <xf numFmtId="0" fontId="21" fillId="10" borderId="164" applyNumberFormat="0" applyAlignment="0" applyProtection="0"/>
    <xf numFmtId="0" fontId="27" fillId="0" borderId="189"/>
    <xf numFmtId="0" fontId="8" fillId="0" borderId="0"/>
    <xf numFmtId="0" fontId="21" fillId="10" borderId="190" applyNumberFormat="0" applyAlignment="0" applyProtection="0"/>
    <xf numFmtId="0" fontId="8" fillId="0" borderId="0"/>
    <xf numFmtId="261" fontId="168" fillId="26" borderId="189" applyFill="0" applyBorder="0" applyAlignment="0" applyProtection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179" applyNumberFormat="0" applyFont="0" applyFill="0" applyAlignment="0" applyProtection="0"/>
    <xf numFmtId="0" fontId="8" fillId="0" borderId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14" fillId="27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7" fillId="0" borderId="181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4" fontId="26" fillId="81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8" fillId="0" borderId="199" applyNumberFormat="0" applyFill="0" applyAlignment="0" applyProtection="0"/>
    <xf numFmtId="0" fontId="198" fillId="0" borderId="18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2" fillId="27" borderId="184" applyNumberFormat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 wrapText="1"/>
    </xf>
    <xf numFmtId="0" fontId="8" fillId="0" borderId="0"/>
    <xf numFmtId="0" fontId="8" fillId="0" borderId="0"/>
    <xf numFmtId="0" fontId="179" fillId="80" borderId="189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198" fillId="0" borderId="186" applyNumberFormat="0" applyFill="0" applyAlignment="0" applyProtection="0"/>
    <xf numFmtId="0" fontId="27" fillId="4" borderId="176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6" fillId="2" borderId="176" applyNumberFormat="0" applyProtection="0">
      <alignment horizontal="left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27" fillId="35" borderId="176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" fillId="0" borderId="0"/>
    <xf numFmtId="0" fontId="27" fillId="30" borderId="193" applyNumberFormat="0" applyFont="0" applyAlignment="0" applyProtection="0"/>
    <xf numFmtId="0" fontId="26" fillId="80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77" applyNumberFormat="0" applyAlignment="0" applyProtection="0"/>
    <xf numFmtId="0" fontId="8" fillId="0" borderId="0"/>
    <xf numFmtId="0" fontId="11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89" applyNumberFormat="0" applyProtection="0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80" borderId="189" applyNumberFormat="0" applyProtection="0">
      <alignment horizontal="center" vertical="center" wrapText="1"/>
    </xf>
    <xf numFmtId="0" fontId="179" fillId="80" borderId="189" applyNumberFormat="0" applyProtection="0">
      <alignment horizontal="center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3" fontId="42" fillId="24" borderId="191"/>
    <xf numFmtId="0" fontId="14" fillId="27" borderId="190" applyNumberFormat="0" applyAlignment="0" applyProtection="0"/>
    <xf numFmtId="0" fontId="8" fillId="0" borderId="0"/>
    <xf numFmtId="0" fontId="14" fillId="27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89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38" borderId="183">
      <alignment horizontal="left" vertical="center" wrapText="1"/>
    </xf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1" fillId="0" borderId="0" applyFont="0" applyFill="0" applyBorder="0" applyAlignment="0" applyProtection="0"/>
    <xf numFmtId="0" fontId="8" fillId="0" borderId="0"/>
    <xf numFmtId="0" fontId="26" fillId="2" borderId="189" applyNumberFormat="0" applyProtection="0">
      <alignment horizontal="left" vertical="center" wrapText="1"/>
    </xf>
    <xf numFmtId="0" fontId="8" fillId="0" borderId="0"/>
    <xf numFmtId="0" fontId="21" fillId="10" borderId="17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" fontId="75" fillId="33" borderId="182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8" fillId="0" borderId="0"/>
    <xf numFmtId="0" fontId="21" fillId="10" borderId="177" applyNumberFormat="0" applyAlignment="0" applyProtection="0"/>
    <xf numFmtId="0" fontId="8" fillId="0" borderId="0"/>
    <xf numFmtId="0" fontId="80" fillId="0" borderId="175">
      <alignment horizontal="left" vertical="center"/>
    </xf>
    <xf numFmtId="1" fontId="75" fillId="33" borderId="182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27" fillId="30" borderId="193" applyNumberFormat="0" applyFont="0" applyAlignment="0" applyProtection="0"/>
    <xf numFmtId="0" fontId="27" fillId="30" borderId="19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" borderId="189" applyNumberFormat="0" applyProtection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38" borderId="196">
      <alignment horizontal="left" vertical="center" wrapText="1"/>
    </xf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38" borderId="196">
      <alignment horizontal="left" vertical="center" wrapText="1"/>
    </xf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65" fillId="26" borderId="189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21" fillId="10" borderId="19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0" fillId="0" borderId="188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0" borderId="190" applyNumberFormat="0" applyAlignment="0" applyProtection="0"/>
    <xf numFmtId="0" fontId="80" fillId="0" borderId="188">
      <alignment horizontal="left" vertical="center"/>
    </xf>
    <xf numFmtId="1" fontId="75" fillId="33" borderId="195" applyNumberFormat="0" applyBorder="0" applyAlignment="0">
      <alignment horizontal="centerContinuous"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</cellStyleXfs>
  <cellXfs count="292">
    <xf numFmtId="0" fontId="0" fillId="0" borderId="0" xfId="0"/>
    <xf numFmtId="0" fontId="141" fillId="0" borderId="0" xfId="0" applyFont="1"/>
    <xf numFmtId="170" fontId="141" fillId="0" borderId="0" xfId="831" applyFont="1"/>
    <xf numFmtId="14" fontId="141" fillId="0" borderId="0" xfId="0" applyNumberFormat="1" applyFont="1"/>
    <xf numFmtId="0" fontId="27" fillId="0" borderId="0" xfId="2628"/>
    <xf numFmtId="0" fontId="26" fillId="0" borderId="0" xfId="2628" applyFont="1" applyAlignment="1">
      <alignment horizontal="right"/>
    </xf>
    <xf numFmtId="0" fontId="10" fillId="0" borderId="0" xfId="2628" applyFont="1" applyAlignment="1">
      <alignment horizontal="right"/>
    </xf>
    <xf numFmtId="0" fontId="27" fillId="0" borderId="0" xfId="2628" applyFont="1" applyAlignment="1">
      <alignment horizontal="right"/>
    </xf>
    <xf numFmtId="15" fontId="27" fillId="0" borderId="0" xfId="2628" applyNumberFormat="1"/>
    <xf numFmtId="0" fontId="27" fillId="0" borderId="0" xfId="2628" applyFont="1"/>
    <xf numFmtId="0" fontId="142" fillId="0" borderId="0" xfId="2628" applyFont="1"/>
    <xf numFmtId="0" fontId="27" fillId="0" borderId="0" xfId="2628" applyAlignment="1">
      <alignment horizontal="center"/>
    </xf>
    <xf numFmtId="2" fontId="27" fillId="0" borderId="0" xfId="2628" applyNumberFormat="1"/>
    <xf numFmtId="0" fontId="143" fillId="0" borderId="0" xfId="2628" applyFont="1"/>
    <xf numFmtId="17" fontId="27" fillId="0" borderId="0" xfId="0" applyNumberFormat="1" applyFont="1"/>
    <xf numFmtId="0" fontId="27" fillId="0" borderId="0" xfId="0" applyFont="1"/>
    <xf numFmtId="170" fontId="27" fillId="0" borderId="0" xfId="831" applyFont="1"/>
    <xf numFmtId="14" fontId="27" fillId="0" borderId="0" xfId="0" applyNumberFormat="1" applyFont="1"/>
    <xf numFmtId="11" fontId="0" fillId="0" borderId="0" xfId="0" applyNumberFormat="1"/>
    <xf numFmtId="0" fontId="8" fillId="0" borderId="0" xfId="2628" applyFont="1"/>
    <xf numFmtId="0" fontId="107" fillId="0" borderId="0" xfId="3294" applyAlignment="1">
      <alignment horizontal="right"/>
    </xf>
    <xf numFmtId="3" fontId="107" fillId="0" borderId="0" xfId="3294" applyNumberFormat="1"/>
    <xf numFmtId="173" fontId="0" fillId="0" borderId="0" xfId="0" applyNumberFormat="1"/>
    <xf numFmtId="0" fontId="107" fillId="0" borderId="0" xfId="3294"/>
    <xf numFmtId="173" fontId="0" fillId="0" borderId="0" xfId="5528" applyNumberFormat="1" applyFont="1"/>
    <xf numFmtId="0" fontId="27" fillId="0" borderId="0" xfId="3294" applyFont="1" applyAlignment="1">
      <alignment horizontal="right"/>
    </xf>
    <xf numFmtId="14" fontId="0" fillId="0" borderId="0" xfId="0" applyNumberFormat="1"/>
    <xf numFmtId="0" fontId="107" fillId="0" borderId="0" xfId="3294"/>
    <xf numFmtId="0" fontId="150" fillId="0" borderId="0" xfId="2628" applyFont="1"/>
    <xf numFmtId="0" fontId="107" fillId="0" borderId="0" xfId="3294" applyFill="1"/>
    <xf numFmtId="10" fontId="150" fillId="0" borderId="0" xfId="5565" applyNumberFormat="1" applyFont="1"/>
    <xf numFmtId="173" fontId="0" fillId="0" borderId="0" xfId="5084" applyNumberFormat="1" applyFont="1"/>
    <xf numFmtId="3" fontId="150" fillId="0" borderId="0" xfId="2628" applyNumberFormat="1" applyFont="1"/>
    <xf numFmtId="3" fontId="27" fillId="0" borderId="0" xfId="2628" applyNumberFormat="1"/>
    <xf numFmtId="173" fontId="107" fillId="0" borderId="0" xfId="3294" applyNumberFormat="1"/>
    <xf numFmtId="3" fontId="27" fillId="0" borderId="0" xfId="2628" applyNumberFormat="1" applyFont="1"/>
    <xf numFmtId="0" fontId="26" fillId="0" borderId="0" xfId="2628" applyFont="1"/>
    <xf numFmtId="0" fontId="26" fillId="0" borderId="0" xfId="2628" applyFont="1" applyAlignment="1">
      <alignment horizontal="center"/>
    </xf>
    <xf numFmtId="255" fontId="0" fillId="0" borderId="0" xfId="5567" applyNumberFormat="1" applyFont="1"/>
    <xf numFmtId="255" fontId="26" fillId="0" borderId="0" xfId="5567" applyNumberFormat="1" applyFont="1" applyAlignment="1">
      <alignment horizontal="center"/>
    </xf>
    <xf numFmtId="255" fontId="150" fillId="0" borderId="0" xfId="5567" applyNumberFormat="1" applyFont="1"/>
    <xf numFmtId="0" fontId="80" fillId="74" borderId="0" xfId="2628" applyFont="1" applyFill="1"/>
    <xf numFmtId="0" fontId="27" fillId="74" borderId="0" xfId="2628" applyFill="1"/>
    <xf numFmtId="0" fontId="26" fillId="75" borderId="43" xfId="2628" applyFont="1" applyFill="1" applyBorder="1"/>
    <xf numFmtId="0" fontId="26" fillId="75" borderId="44" xfId="2628" applyFont="1" applyFill="1" applyBorder="1" applyAlignment="1">
      <alignment vertical="center"/>
    </xf>
    <xf numFmtId="0" fontId="26" fillId="74" borderId="46" xfId="2628" applyFont="1" applyFill="1" applyBorder="1" applyAlignment="1">
      <alignment horizontal="center"/>
    </xf>
    <xf numFmtId="3" fontId="27" fillId="74" borderId="0" xfId="2628" applyNumberFormat="1" applyFill="1" applyBorder="1"/>
    <xf numFmtId="3" fontId="27" fillId="74" borderId="47" xfId="2628" applyNumberFormat="1" applyFill="1" applyBorder="1"/>
    <xf numFmtId="0" fontId="26" fillId="74" borderId="48" xfId="2628" applyFont="1" applyFill="1" applyBorder="1" applyAlignment="1">
      <alignment horizontal="center"/>
    </xf>
    <xf numFmtId="0" fontId="26" fillId="75" borderId="49" xfId="2628" applyFont="1" applyFill="1" applyBorder="1" applyAlignment="1">
      <alignment horizontal="center"/>
    </xf>
    <xf numFmtId="3" fontId="27" fillId="75" borderId="8" xfId="2628" applyNumberFormat="1" applyFill="1" applyBorder="1"/>
    <xf numFmtId="3" fontId="27" fillId="75" borderId="50" xfId="2628" applyNumberFormat="1" applyFill="1" applyBorder="1"/>
    <xf numFmtId="0" fontId="26" fillId="75" borderId="44" xfId="2628" applyFont="1" applyFill="1" applyBorder="1" applyAlignment="1">
      <alignment horizontal="center" vertical="center" wrapText="1"/>
    </xf>
    <xf numFmtId="0" fontId="26" fillId="75" borderId="45" xfId="2628" applyFont="1" applyFill="1" applyBorder="1" applyAlignment="1">
      <alignment horizontal="center" vertical="center" wrapText="1"/>
    </xf>
    <xf numFmtId="0" fontId="27" fillId="0" borderId="0" xfId="831" applyNumberFormat="1" applyFont="1"/>
    <xf numFmtId="0" fontId="27" fillId="0" borderId="0" xfId="2653"/>
    <xf numFmtId="17" fontId="27" fillId="0" borderId="0" xfId="2628" applyNumberFormat="1"/>
    <xf numFmtId="0" fontId="26" fillId="0" borderId="0" xfId="2628" applyFont="1" applyAlignment="1">
      <alignment horizontal="center"/>
    </xf>
    <xf numFmtId="10" fontId="27" fillId="0" borderId="0" xfId="5565" applyNumberFormat="1" applyFont="1"/>
    <xf numFmtId="195" fontId="27" fillId="0" borderId="0" xfId="2628" applyNumberFormat="1"/>
    <xf numFmtId="195" fontId="150" fillId="0" borderId="0" xfId="2628" applyNumberFormat="1" applyFont="1"/>
    <xf numFmtId="0" fontId="27" fillId="74" borderId="0" xfId="2628" applyFont="1" applyFill="1"/>
    <xf numFmtId="0" fontId="27" fillId="74" borderId="0" xfId="2628" applyFill="1" applyAlignment="1">
      <alignment horizontal="right"/>
    </xf>
    <xf numFmtId="0" fontId="27" fillId="74" borderId="0" xfId="2628" applyFill="1" applyAlignment="1">
      <alignment horizontal="center"/>
    </xf>
    <xf numFmtId="0" fontId="27" fillId="74" borderId="0" xfId="2628" applyFont="1" applyFill="1" applyAlignment="1">
      <alignment horizontal="right"/>
    </xf>
    <xf numFmtId="3" fontId="27" fillId="74" borderId="0" xfId="2628" applyNumberFormat="1" applyFill="1"/>
    <xf numFmtId="173" fontId="0" fillId="74" borderId="0" xfId="5565" applyNumberFormat="1" applyFont="1" applyFill="1"/>
    <xf numFmtId="3" fontId="27" fillId="74" borderId="0" xfId="2628" applyNumberFormat="1" applyFont="1" applyFill="1"/>
    <xf numFmtId="173" fontId="8" fillId="74" borderId="0" xfId="5565" applyNumberFormat="1" applyFont="1" applyFill="1"/>
    <xf numFmtId="0" fontId="150" fillId="74" borderId="0" xfId="2628" applyFont="1" applyFill="1"/>
    <xf numFmtId="173" fontId="150" fillId="74" borderId="0" xfId="5565" applyNumberFormat="1" applyFont="1" applyFill="1"/>
    <xf numFmtId="173" fontId="27" fillId="74" borderId="0" xfId="5565" applyNumberFormat="1" applyFont="1" applyFill="1"/>
    <xf numFmtId="10" fontId="27" fillId="74" borderId="0" xfId="5565" applyNumberFormat="1" applyFont="1" applyFill="1"/>
    <xf numFmtId="3" fontId="150" fillId="74" borderId="0" xfId="2628" applyNumberFormat="1" applyFont="1" applyFill="1"/>
    <xf numFmtId="0" fontId="27" fillId="0" borderId="0" xfId="2628" applyFont="1" applyAlignment="1">
      <alignment horizontal="center"/>
    </xf>
    <xf numFmtId="173" fontId="27" fillId="0" borderId="0" xfId="2628" applyNumberFormat="1" applyFont="1"/>
    <xf numFmtId="0" fontId="0" fillId="0" borderId="51" xfId="0" applyBorder="1"/>
    <xf numFmtId="0" fontId="0" fillId="0" borderId="52" xfId="0" applyBorder="1"/>
    <xf numFmtId="0" fontId="27" fillId="0" borderId="0" xfId="2628" applyBorder="1"/>
    <xf numFmtId="0" fontId="0" fillId="0" borderId="54" xfId="0" applyFill="1" applyBorder="1" applyAlignment="1">
      <alignment wrapText="1"/>
    </xf>
    <xf numFmtId="172" fontId="0" fillId="0" borderId="55" xfId="0" applyNumberFormat="1" applyBorder="1"/>
    <xf numFmtId="0" fontId="27" fillId="0" borderId="52" xfId="2628" applyBorder="1"/>
    <xf numFmtId="0" fontId="27" fillId="0" borderId="53" xfId="2628" applyBorder="1"/>
    <xf numFmtId="0" fontId="27" fillId="0" borderId="55" xfId="2628" applyBorder="1"/>
    <xf numFmtId="176" fontId="27" fillId="0" borderId="55" xfId="831" applyNumberFormat="1" applyFont="1" applyBorder="1"/>
    <xf numFmtId="172" fontId="0" fillId="0" borderId="55" xfId="831" applyNumberFormat="1" applyFont="1" applyBorder="1"/>
    <xf numFmtId="172" fontId="0" fillId="0" borderId="55" xfId="831" applyNumberFormat="1" applyFont="1" applyBorder="1" applyAlignment="1">
      <alignment vertical="top"/>
    </xf>
    <xf numFmtId="3" fontId="139" fillId="0" borderId="0" xfId="5569" applyNumberFormat="1" applyFont="1" applyFill="1"/>
    <xf numFmtId="0" fontId="27" fillId="0" borderId="0" xfId="0" quotePrefix="1" applyFont="1"/>
    <xf numFmtId="3" fontId="151" fillId="0" borderId="0" xfId="0" applyNumberFormat="1" applyFont="1"/>
    <xf numFmtId="0" fontId="151" fillId="0" borderId="0" xfId="0" applyFont="1"/>
    <xf numFmtId="0" fontId="107" fillId="0" borderId="0" xfId="3294"/>
    <xf numFmtId="0" fontId="0" fillId="0" borderId="0" xfId="0"/>
    <xf numFmtId="282" fontId="27" fillId="0" borderId="0" xfId="2628" applyNumberFormat="1"/>
    <xf numFmtId="0" fontId="0" fillId="0" borderId="0" xfId="0"/>
    <xf numFmtId="10" fontId="27" fillId="0" borderId="0" xfId="5565" applyNumberFormat="1" applyFont="1"/>
    <xf numFmtId="10" fontId="150" fillId="0" borderId="0" xfId="5565" applyNumberFormat="1" applyFont="1"/>
    <xf numFmtId="0" fontId="0" fillId="0" borderId="0" xfId="0"/>
    <xf numFmtId="0" fontId="0" fillId="0" borderId="0" xfId="0"/>
    <xf numFmtId="173" fontId="27" fillId="74" borderId="0" xfId="5565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3" fontId="27" fillId="75" borderId="50" xfId="2628" applyNumberFormat="1" applyFill="1" applyBorder="1"/>
    <xf numFmtId="3" fontId="27" fillId="75" borderId="8" xfId="2628" applyNumberFormat="1" applyFill="1" applyBorder="1"/>
    <xf numFmtId="0" fontId="26" fillId="75" borderId="49" xfId="2628" applyFont="1" applyFill="1" applyBorder="1" applyAlignment="1">
      <alignment horizontal="center"/>
    </xf>
    <xf numFmtId="0" fontId="26" fillId="74" borderId="48" xfId="2628" applyFont="1" applyFill="1" applyBorder="1" applyAlignment="1">
      <alignment horizontal="center"/>
    </xf>
    <xf numFmtId="3" fontId="27" fillId="74" borderId="47" xfId="2628" applyNumberFormat="1" applyFill="1" applyBorder="1"/>
    <xf numFmtId="3" fontId="27" fillId="74" borderId="0" xfId="2628" applyNumberFormat="1" applyFill="1" applyBorder="1"/>
    <xf numFmtId="0" fontId="26" fillId="75" borderId="45" xfId="2628" applyFont="1" applyFill="1" applyBorder="1" applyAlignment="1">
      <alignment vertical="center"/>
    </xf>
    <xf numFmtId="0" fontId="26" fillId="75" borderId="44" xfId="2628" applyFont="1" applyFill="1" applyBorder="1" applyAlignment="1">
      <alignment vertical="center"/>
    </xf>
    <xf numFmtId="0" fontId="26" fillId="75" borderId="43" xfId="2628" applyFont="1" applyFill="1" applyBorder="1"/>
    <xf numFmtId="10" fontId="27" fillId="0" borderId="0" xfId="2628" applyNumberFormat="1"/>
    <xf numFmtId="10" fontId="27" fillId="0" borderId="0" xfId="2653" applyNumberFormat="1"/>
    <xf numFmtId="0" fontId="27" fillId="0" borderId="0" xfId="2628" applyFont="1"/>
    <xf numFmtId="0" fontId="27" fillId="0" borderId="0" xfId="2628"/>
    <xf numFmtId="0" fontId="0" fillId="0" borderId="0" xfId="0"/>
    <xf numFmtId="0" fontId="4" fillId="0" borderId="0" xfId="12986" applyFill="1" applyBorder="1"/>
    <xf numFmtId="10" fontId="0" fillId="0" borderId="0" xfId="5528" applyNumberFormat="1" applyFont="1"/>
    <xf numFmtId="3" fontId="150" fillId="76" borderId="0" xfId="2628" applyNumberFormat="1" applyFont="1" applyFill="1"/>
    <xf numFmtId="170" fontId="0" fillId="0" borderId="0" xfId="0" applyNumberFormat="1"/>
    <xf numFmtId="0" fontId="152" fillId="0" borderId="0" xfId="0" applyFont="1"/>
    <xf numFmtId="2" fontId="27" fillId="0" borderId="0" xfId="0" applyNumberFormat="1" applyFont="1"/>
    <xf numFmtId="0" fontId="0" fillId="0" borderId="0" xfId="0"/>
    <xf numFmtId="14" fontId="0" fillId="0" borderId="0" xfId="0" applyNumberFormat="1"/>
    <xf numFmtId="0" fontId="26" fillId="0" borderId="73" xfId="2628" applyFont="1" applyBorder="1"/>
    <xf numFmtId="0" fontId="26" fillId="0" borderId="74" xfId="2628" applyFont="1" applyBorder="1"/>
    <xf numFmtId="0" fontId="147" fillId="0" borderId="73" xfId="0" applyFont="1" applyFill="1" applyBorder="1" applyAlignment="1">
      <alignment horizontal="center"/>
    </xf>
    <xf numFmtId="0" fontId="147" fillId="0" borderId="74" xfId="0" applyFont="1" applyFill="1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72" xfId="0" applyBorder="1" applyAlignment="1">
      <alignment wrapText="1"/>
    </xf>
    <xf numFmtId="172" fontId="0" fillId="0" borderId="73" xfId="0" applyNumberFormat="1" applyBorder="1" applyAlignment="1">
      <alignment vertical="top"/>
    </xf>
    <xf numFmtId="0" fontId="27" fillId="0" borderId="73" xfId="2628" applyBorder="1"/>
    <xf numFmtId="172" fontId="0" fillId="0" borderId="73" xfId="831" applyNumberFormat="1" applyFont="1" applyBorder="1" applyAlignment="1">
      <alignment vertical="top"/>
    </xf>
    <xf numFmtId="176" fontId="27" fillId="0" borderId="73" xfId="831" applyNumberFormat="1" applyFont="1" applyBorder="1"/>
    <xf numFmtId="172" fontId="27" fillId="0" borderId="73" xfId="831" applyNumberFormat="1" applyFont="1" applyBorder="1"/>
    <xf numFmtId="172" fontId="27" fillId="0" borderId="74" xfId="831" applyNumberFormat="1" applyFont="1" applyBorder="1"/>
    <xf numFmtId="0" fontId="8" fillId="0" borderId="72" xfId="0" applyFont="1" applyBorder="1" applyAlignment="1">
      <alignment wrapText="1"/>
    </xf>
    <xf numFmtId="253" fontId="147" fillId="0" borderId="69" xfId="0" applyNumberFormat="1" applyFont="1" applyFill="1" applyBorder="1" applyAlignment="1">
      <alignment horizontal="center" wrapText="1"/>
    </xf>
    <xf numFmtId="0" fontId="27" fillId="74" borderId="0" xfId="2628" applyFill="1" applyAlignment="1">
      <alignment horizontal="center"/>
    </xf>
    <xf numFmtId="2" fontId="0" fillId="0" borderId="0" xfId="0" applyNumberFormat="1"/>
    <xf numFmtId="283" fontId="27" fillId="74" borderId="0" xfId="2628" applyNumberFormat="1" applyFill="1"/>
    <xf numFmtId="3" fontId="139" fillId="76" borderId="0" xfId="5569" applyNumberFormat="1" applyFont="1" applyFill="1"/>
    <xf numFmtId="3" fontId="139" fillId="87" borderId="0" xfId="5569" applyNumberFormat="1" applyFont="1" applyFill="1"/>
    <xf numFmtId="0" fontId="143" fillId="0" borderId="0" xfId="2628" applyFont="1" applyFill="1"/>
    <xf numFmtId="0" fontId="26" fillId="0" borderId="0" xfId="2628" applyFont="1" applyAlignment="1">
      <alignment horizontal="center"/>
    </xf>
    <xf numFmtId="284" fontId="27" fillId="0" borderId="0" xfId="2628" applyNumberFormat="1"/>
    <xf numFmtId="0" fontId="27" fillId="0" borderId="0" xfId="2628" applyFont="1" applyAlignment="1">
      <alignment horizontal="center" wrapText="1"/>
    </xf>
    <xf numFmtId="0" fontId="27" fillId="0" borderId="0" xfId="2628" applyFont="1" applyAlignment="1">
      <alignment horizontal="center"/>
    </xf>
    <xf numFmtId="0" fontId="26" fillId="0" borderId="0" xfId="2628" applyFont="1" applyAlignment="1">
      <alignment horizontal="center"/>
    </xf>
    <xf numFmtId="0" fontId="0" fillId="0" borderId="0" xfId="0" applyNumberFormat="1"/>
    <xf numFmtId="172" fontId="0" fillId="0" borderId="0" xfId="831" applyNumberFormat="1" applyFont="1"/>
    <xf numFmtId="172" fontId="27" fillId="0" borderId="0" xfId="831" applyNumberFormat="1" applyFont="1"/>
    <xf numFmtId="170" fontId="27" fillId="0" borderId="0" xfId="2628" applyNumberFormat="1"/>
    <xf numFmtId="10" fontId="27" fillId="0" borderId="0" xfId="5528" applyNumberFormat="1" applyFont="1"/>
    <xf numFmtId="39" fontId="27" fillId="0" borderId="0" xfId="2628" applyNumberFormat="1"/>
    <xf numFmtId="255" fontId="27" fillId="0" borderId="0" xfId="2628" applyNumberFormat="1"/>
    <xf numFmtId="0" fontId="8" fillId="0" borderId="0" xfId="0" applyFont="1"/>
    <xf numFmtId="0" fontId="146" fillId="0" borderId="0" xfId="0" applyFont="1"/>
    <xf numFmtId="0" fontId="147" fillId="88" borderId="73" xfId="0" applyFont="1" applyFill="1" applyBorder="1" applyAlignment="1">
      <alignment horizontal="center"/>
    </xf>
    <xf numFmtId="0" fontId="147" fillId="0" borderId="0" xfId="0" applyFont="1" applyFill="1" applyBorder="1" applyAlignment="1">
      <alignment horizontal="center"/>
    </xf>
    <xf numFmtId="4" fontId="143" fillId="0" borderId="0" xfId="2628" applyNumberFormat="1" applyFont="1"/>
    <xf numFmtId="4" fontId="27" fillId="0" borderId="0" xfId="0" applyNumberFormat="1" applyFont="1"/>
    <xf numFmtId="170" fontId="0" fillId="0" borderId="0" xfId="831" applyFont="1"/>
    <xf numFmtId="4" fontId="0" fillId="0" borderId="0" xfId="0" applyNumberFormat="1"/>
    <xf numFmtId="1" fontId="0" fillId="0" borderId="0" xfId="0" applyNumberFormat="1"/>
    <xf numFmtId="37" fontId="27" fillId="0" borderId="0" xfId="2628" applyNumberFormat="1"/>
    <xf numFmtId="0" fontId="27" fillId="0" borderId="0" xfId="2628" applyAlignment="1">
      <alignment horizontal="center" wrapText="1"/>
    </xf>
    <xf numFmtId="3" fontId="26" fillId="0" borderId="0" xfId="2628" applyNumberFormat="1" applyFont="1"/>
    <xf numFmtId="172" fontId="26" fillId="0" borderId="0" xfId="831" applyNumberFormat="1" applyFont="1"/>
    <xf numFmtId="285" fontId="27" fillId="0" borderId="0" xfId="2628" applyNumberFormat="1"/>
    <xf numFmtId="10" fontId="150" fillId="76" borderId="0" xfId="5565" applyNumberFormat="1" applyFont="1" applyFill="1"/>
    <xf numFmtId="0" fontId="8" fillId="0" borderId="0" xfId="0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/>
    <xf numFmtId="0" fontId="8" fillId="0" borderId="0" xfId="0" applyFont="1" applyAlignment="1">
      <alignment wrapText="1"/>
    </xf>
    <xf numFmtId="37" fontId="151" fillId="0" borderId="0" xfId="0" applyNumberFormat="1" applyFont="1"/>
    <xf numFmtId="10" fontId="27" fillId="0" borderId="0" xfId="2628" applyNumberFormat="1" applyFont="1"/>
    <xf numFmtId="0" fontId="107" fillId="0" borderId="0" xfId="3294"/>
    <xf numFmtId="0" fontId="27" fillId="0" borderId="0" xfId="2628" applyFont="1" applyAlignment="1">
      <alignment horizontal="center"/>
    </xf>
    <xf numFmtId="170" fontId="27" fillId="0" borderId="0" xfId="831" applyFont="1"/>
    <xf numFmtId="0" fontId="0" fillId="0" borderId="0" xfId="0"/>
    <xf numFmtId="0" fontId="27" fillId="0" borderId="0" xfId="2628" applyFont="1"/>
    <xf numFmtId="0" fontId="27" fillId="0" borderId="0" xfId="0" applyFont="1"/>
    <xf numFmtId="170" fontId="27" fillId="0" borderId="0" xfId="831" applyFont="1"/>
    <xf numFmtId="14" fontId="27" fillId="0" borderId="0" xfId="0" applyNumberFormat="1" applyFont="1"/>
    <xf numFmtId="0" fontId="27" fillId="0" borderId="0" xfId="831" applyNumberFormat="1" applyFont="1"/>
    <xf numFmtId="173" fontId="143" fillId="0" borderId="0" xfId="5528" applyNumberFormat="1" applyFont="1"/>
    <xf numFmtId="2" fontId="150" fillId="0" borderId="0" xfId="2628" applyNumberFormat="1" applyFont="1"/>
    <xf numFmtId="173" fontId="150" fillId="0" borderId="0" xfId="5528" applyNumberFormat="1" applyFont="1"/>
    <xf numFmtId="4" fontId="150" fillId="0" borderId="0" xfId="2628" applyNumberFormat="1" applyFont="1"/>
    <xf numFmtId="286" fontId="150" fillId="0" borderId="0" xfId="2628" applyNumberFormat="1" applyFont="1"/>
    <xf numFmtId="0" fontId="139" fillId="0" borderId="0" xfId="2628" applyFont="1"/>
    <xf numFmtId="3" fontId="139" fillId="0" borderId="0" xfId="2628" applyNumberFormat="1" applyFont="1"/>
    <xf numFmtId="10" fontId="139" fillId="0" borderId="0" xfId="5565" applyNumberFormat="1" applyFont="1"/>
    <xf numFmtId="3" fontId="139" fillId="76" borderId="0" xfId="2628" applyNumberFormat="1" applyFont="1" applyFill="1"/>
    <xf numFmtId="4" fontId="27" fillId="0" borderId="0" xfId="2628" applyNumberFormat="1"/>
    <xf numFmtId="4" fontId="27" fillId="76" borderId="0" xfId="2628" applyNumberFormat="1" applyFill="1"/>
    <xf numFmtId="0" fontId="27" fillId="76" borderId="0" xfId="2628" applyFill="1"/>
    <xf numFmtId="10" fontId="27" fillId="0" borderId="0" xfId="12961" applyNumberFormat="1" applyFont="1"/>
    <xf numFmtId="0" fontId="26" fillId="0" borderId="73" xfId="2628" applyFont="1" applyBorder="1" applyAlignment="1">
      <alignment horizontal="center"/>
    </xf>
    <xf numFmtId="0" fontId="26" fillId="0" borderId="74" xfId="2628" applyFont="1" applyBorder="1" applyAlignment="1">
      <alignment horizontal="center"/>
    </xf>
    <xf numFmtId="10" fontId="27" fillId="74" borderId="0" xfId="5528" applyNumberFormat="1" applyFont="1" applyFill="1"/>
    <xf numFmtId="37" fontId="2" fillId="89" borderId="73" xfId="13611" applyNumberFormat="1" applyFill="1" applyBorder="1" applyAlignment="1">
      <alignment horizontal="right" wrapText="1"/>
    </xf>
    <xf numFmtId="37" fontId="2" fillId="90" borderId="73" xfId="13611" applyNumberFormat="1" applyFill="1" applyBorder="1" applyAlignment="1">
      <alignment horizontal="right" wrapText="1"/>
    </xf>
    <xf numFmtId="37" fontId="147" fillId="0" borderId="0" xfId="13611" applyNumberFormat="1" applyFont="1" applyFill="1" applyBorder="1" applyAlignment="1">
      <alignment horizontal="center"/>
    </xf>
    <xf numFmtId="37" fontId="147" fillId="89" borderId="73" xfId="13611" applyNumberFormat="1" applyFont="1" applyFill="1" applyBorder="1"/>
    <xf numFmtId="37" fontId="147" fillId="90" borderId="73" xfId="13611" applyNumberFormat="1" applyFont="1" applyFill="1" applyBorder="1"/>
    <xf numFmtId="37" fontId="204" fillId="0" borderId="70" xfId="13611" applyNumberFormat="1" applyFont="1" applyBorder="1" applyAlignment="1"/>
    <xf numFmtId="37" fontId="147" fillId="90" borderId="73" xfId="13611" applyNumberFormat="1" applyFont="1" applyFill="1" applyBorder="1" applyAlignment="1">
      <alignment horizontal="right" wrapText="1"/>
    </xf>
    <xf numFmtId="37" fontId="0" fillId="89" borderId="73" xfId="0" applyNumberFormat="1" applyFill="1" applyBorder="1" applyAlignment="1">
      <alignment horizontal="right" wrapText="1"/>
    </xf>
    <xf numFmtId="37" fontId="147" fillId="0" borderId="0" xfId="0" applyNumberFormat="1" applyFont="1" applyFill="1" applyBorder="1" applyAlignment="1">
      <alignment horizontal="center"/>
    </xf>
    <xf numFmtId="37" fontId="147" fillId="89" borderId="73" xfId="0" applyNumberFormat="1" applyFont="1" applyFill="1" applyBorder="1"/>
    <xf numFmtId="37" fontId="204" fillId="0" borderId="70" xfId="0" applyNumberFormat="1" applyFont="1" applyBorder="1" applyAlignment="1"/>
    <xf numFmtId="37" fontId="0" fillId="0" borderId="0" xfId="831" applyNumberFormat="1" applyFont="1" applyBorder="1" applyAlignment="1">
      <alignment horizontal="center" wrapText="1"/>
    </xf>
    <xf numFmtId="37" fontId="0" fillId="0" borderId="0" xfId="0" applyNumberFormat="1" applyBorder="1"/>
    <xf numFmtId="37" fontId="0" fillId="0" borderId="0" xfId="0" applyNumberFormat="1" applyBorder="1" applyAlignment="1">
      <alignment horizontal="center" wrapText="1"/>
    </xf>
    <xf numFmtId="37" fontId="0" fillId="0" borderId="0" xfId="0" applyNumberFormat="1" applyFill="1" applyBorder="1"/>
    <xf numFmtId="37" fontId="147" fillId="89" borderId="73" xfId="0" applyNumberFormat="1" applyFont="1" applyFill="1" applyBorder="1" applyAlignment="1">
      <alignment horizontal="right"/>
    </xf>
    <xf numFmtId="37" fontId="147" fillId="90" borderId="73" xfId="0" applyNumberFormat="1" applyFont="1" applyFill="1" applyBorder="1" applyAlignment="1">
      <alignment horizontal="right"/>
    </xf>
    <xf numFmtId="37" fontId="0" fillId="0" borderId="0" xfId="831" applyNumberFormat="1" applyFont="1" applyAlignment="1">
      <alignment horizontal="right" wrapText="1"/>
    </xf>
    <xf numFmtId="37" fontId="0" fillId="0" borderId="0" xfId="831" applyNumberFormat="1" applyFont="1" applyBorder="1" applyAlignment="1">
      <alignment horizontal="right"/>
    </xf>
    <xf numFmtId="37" fontId="147" fillId="91" borderId="3" xfId="0" applyNumberFormat="1" applyFont="1" applyFill="1" applyBorder="1" applyAlignment="1">
      <alignment horizontal="right"/>
    </xf>
    <xf numFmtId="37" fontId="147" fillId="91" borderId="75" xfId="0" applyNumberFormat="1" applyFont="1" applyFill="1" applyBorder="1" applyAlignment="1">
      <alignment horizontal="right"/>
    </xf>
    <xf numFmtId="282" fontId="27" fillId="0" borderId="0" xfId="0" applyNumberFormat="1" applyFont="1"/>
    <xf numFmtId="172" fontId="0" fillId="0" borderId="0" xfId="0" applyNumberFormat="1"/>
    <xf numFmtId="170" fontId="27" fillId="0" borderId="0" xfId="0" applyNumberFormat="1" applyFont="1"/>
    <xf numFmtId="3" fontId="1" fillId="0" borderId="0" xfId="3294" applyNumberFormat="1" applyFont="1"/>
    <xf numFmtId="0" fontId="26" fillId="0" borderId="0" xfId="2628" applyFont="1" applyAlignment="1">
      <alignment horizontal="center"/>
    </xf>
    <xf numFmtId="176" fontId="0" fillId="0" borderId="0" xfId="831" applyNumberFormat="1" applyFont="1"/>
    <xf numFmtId="287" fontId="0" fillId="0" borderId="0" xfId="5528" applyNumberFormat="1" applyFont="1"/>
    <xf numFmtId="0" fontId="214" fillId="0" borderId="0" xfId="0" applyFont="1"/>
    <xf numFmtId="172" fontId="214" fillId="0" borderId="0" xfId="831" applyNumberFormat="1" applyFont="1"/>
    <xf numFmtId="287" fontId="152" fillId="0" borderId="0" xfId="5528" applyNumberFormat="1" applyFont="1" applyAlignment="1">
      <alignment horizontal="center" vertical="center" wrapText="1"/>
    </xf>
    <xf numFmtId="0" fontId="152" fillId="0" borderId="0" xfId="0" applyFont="1" applyAlignment="1">
      <alignment horizontal="center" vertical="center" wrapText="1"/>
    </xf>
    <xf numFmtId="3" fontId="152" fillId="0" borderId="0" xfId="0" applyNumberFormat="1" applyFont="1" applyAlignment="1">
      <alignment horizontal="center" vertical="center" wrapText="1"/>
    </xf>
    <xf numFmtId="172" fontId="152" fillId="0" borderId="0" xfId="831" applyNumberFormat="1" applyFont="1" applyAlignment="1">
      <alignment horizontal="center" vertical="center" wrapText="1"/>
    </xf>
    <xf numFmtId="0" fontId="152" fillId="0" borderId="0" xfId="0" applyFont="1" applyAlignment="1">
      <alignment horizontal="center" vertical="center"/>
    </xf>
    <xf numFmtId="172" fontId="27" fillId="0" borderId="0" xfId="12961" applyNumberFormat="1" applyFont="1"/>
    <xf numFmtId="173" fontId="27" fillId="0" borderId="0" xfId="5528" applyNumberFormat="1" applyFont="1"/>
    <xf numFmtId="288" fontId="27" fillId="0" borderId="0" xfId="2628" applyNumberFormat="1"/>
    <xf numFmtId="289" fontId="0" fillId="0" borderId="0" xfId="0" applyNumberFormat="1"/>
    <xf numFmtId="172" fontId="27" fillId="0" borderId="0" xfId="0" applyNumberFormat="1" applyFont="1"/>
    <xf numFmtId="0" fontId="0" fillId="0" borderId="53" xfId="0" applyBorder="1"/>
    <xf numFmtId="0" fontId="0" fillId="0" borderId="203" xfId="0" applyBorder="1" applyAlignment="1">
      <alignment vertical="center"/>
    </xf>
    <xf numFmtId="0" fontId="147" fillId="0" borderId="204" xfId="0" applyFont="1" applyFill="1" applyBorder="1" applyAlignment="1"/>
    <xf numFmtId="0" fontId="0" fillId="0" borderId="203" xfId="0" applyBorder="1" applyAlignment="1">
      <alignment wrapText="1"/>
    </xf>
    <xf numFmtId="172" fontId="0" fillId="0" borderId="204" xfId="0" applyNumberFormat="1" applyBorder="1" applyAlignment="1">
      <alignment vertical="top"/>
    </xf>
    <xf numFmtId="172" fontId="27" fillId="0" borderId="204" xfId="2628" applyNumberFormat="1" applyBorder="1"/>
    <xf numFmtId="173" fontId="0" fillId="0" borderId="204" xfId="5528" applyNumberFormat="1" applyFont="1" applyBorder="1" applyAlignment="1">
      <alignment vertical="top"/>
    </xf>
    <xf numFmtId="172" fontId="0" fillId="0" borderId="206" xfId="0" applyNumberFormat="1" applyBorder="1" applyAlignment="1">
      <alignment vertical="top"/>
    </xf>
    <xf numFmtId="173" fontId="0" fillId="0" borderId="55" xfId="5528" applyNumberFormat="1" applyFont="1" applyBorder="1" applyAlignment="1">
      <alignment vertical="top"/>
    </xf>
    <xf numFmtId="172" fontId="0" fillId="0" borderId="56" xfId="831" applyNumberFormat="1" applyFont="1" applyBorder="1"/>
    <xf numFmtId="0" fontId="0" fillId="0" borderId="203" xfId="0" applyBorder="1" applyAlignment="1">
      <alignment vertical="center" wrapText="1"/>
    </xf>
    <xf numFmtId="0" fontId="27" fillId="0" borderId="0" xfId="2628" applyAlignment="1">
      <alignment wrapText="1"/>
    </xf>
    <xf numFmtId="0" fontId="147" fillId="0" borderId="204" xfId="0" applyFont="1" applyFill="1" applyBorder="1" applyAlignment="1">
      <alignment horizontal="center" vertical="center" wrapText="1"/>
    </xf>
    <xf numFmtId="0" fontId="147" fillId="0" borderId="206" xfId="0" applyFont="1" applyFill="1" applyBorder="1" applyAlignment="1">
      <alignment horizontal="center" vertical="center" wrapText="1"/>
    </xf>
    <xf numFmtId="0" fontId="0" fillId="0" borderId="207" xfId="0" applyBorder="1" applyAlignment="1">
      <alignment vertical="center" wrapText="1"/>
    </xf>
    <xf numFmtId="0" fontId="147" fillId="0" borderId="21" xfId="0" applyFont="1" applyFill="1" applyBorder="1" applyAlignment="1">
      <alignment horizontal="center" vertical="center" wrapText="1"/>
    </xf>
    <xf numFmtId="0" fontId="147" fillId="0" borderId="208" xfId="0" applyFont="1" applyFill="1" applyBorder="1" applyAlignment="1">
      <alignment horizontal="center" vertical="center" wrapText="1"/>
    </xf>
    <xf numFmtId="0" fontId="147" fillId="88" borderId="201" xfId="0" applyFont="1" applyFill="1" applyBorder="1" applyAlignment="1">
      <alignment horizontal="center" vertical="center" wrapText="1"/>
    </xf>
    <xf numFmtId="0" fontId="147" fillId="88" borderId="202" xfId="0" applyFont="1" applyFill="1" applyBorder="1" applyAlignment="1">
      <alignment horizontal="center" vertical="center" wrapText="1"/>
    </xf>
    <xf numFmtId="0" fontId="147" fillId="88" borderId="73" xfId="0" applyFont="1" applyFill="1" applyBorder="1" applyAlignment="1">
      <alignment horizontal="center" vertical="center" wrapText="1"/>
    </xf>
    <xf numFmtId="0" fontId="27" fillId="0" borderId="0" xfId="2628" applyFont="1" applyAlignment="1">
      <alignment horizontal="center"/>
    </xf>
    <xf numFmtId="0" fontId="107" fillId="0" borderId="0" xfId="3294" applyAlignment="1">
      <alignment horizontal="center"/>
    </xf>
    <xf numFmtId="0" fontId="107" fillId="0" borderId="0" xfId="3294"/>
    <xf numFmtId="0" fontId="6" fillId="0" borderId="0" xfId="3294" applyFont="1" applyAlignment="1">
      <alignment horizontal="center"/>
    </xf>
    <xf numFmtId="0" fontId="1" fillId="0" borderId="0" xfId="3294" applyFont="1" applyAlignment="1">
      <alignment horizontal="center"/>
    </xf>
    <xf numFmtId="0" fontId="107" fillId="0" borderId="0" xfId="3294" applyAlignment="1">
      <alignment horizontal="left"/>
    </xf>
    <xf numFmtId="0" fontId="27" fillId="0" borderId="0" xfId="2628" applyFont="1" applyAlignment="1">
      <alignment horizontal="center" wrapText="1"/>
    </xf>
    <xf numFmtId="0" fontId="27" fillId="0" borderId="0" xfId="2628" applyFont="1" applyAlignment="1">
      <alignment horizontal="left" wrapText="1"/>
    </xf>
    <xf numFmtId="0" fontId="27" fillId="74" borderId="0" xfId="2628" applyFill="1" applyAlignment="1">
      <alignment horizontal="center"/>
    </xf>
    <xf numFmtId="0" fontId="26" fillId="0" borderId="0" xfId="2628" applyFont="1" applyAlignment="1">
      <alignment horizontal="center"/>
    </xf>
    <xf numFmtId="0" fontId="147" fillId="0" borderId="57" xfId="0" applyFont="1" applyBorder="1" applyAlignment="1">
      <alignment horizontal="center"/>
    </xf>
    <xf numFmtId="0" fontId="147" fillId="0" borderId="7" xfId="0" applyFont="1" applyBorder="1" applyAlignment="1">
      <alignment horizontal="center"/>
    </xf>
    <xf numFmtId="0" fontId="147" fillId="0" borderId="68" xfId="0" applyFont="1" applyBorder="1" applyAlignment="1">
      <alignment horizontal="center"/>
    </xf>
    <xf numFmtId="0" fontId="147" fillId="0" borderId="73" xfId="0" applyFont="1" applyFill="1" applyBorder="1" applyAlignment="1">
      <alignment horizontal="center"/>
    </xf>
    <xf numFmtId="0" fontId="0" fillId="0" borderId="72" xfId="0" applyBorder="1" applyAlignment="1">
      <alignment horizontal="center" vertical="center"/>
    </xf>
    <xf numFmtId="253" fontId="147" fillId="0" borderId="69" xfId="0" applyNumberFormat="1" applyFont="1" applyFill="1" applyBorder="1" applyAlignment="1">
      <alignment horizontal="center" wrapText="1"/>
    </xf>
    <xf numFmtId="253" fontId="147" fillId="0" borderId="70" xfId="0" applyNumberFormat="1" applyFont="1" applyFill="1" applyBorder="1" applyAlignment="1">
      <alignment horizontal="center" wrapText="1"/>
    </xf>
    <xf numFmtId="253" fontId="147" fillId="0" borderId="71" xfId="0" applyNumberFormat="1" applyFont="1" applyFill="1" applyBorder="1" applyAlignment="1">
      <alignment horizontal="center" wrapText="1"/>
    </xf>
    <xf numFmtId="253" fontId="147" fillId="0" borderId="201" xfId="0" applyNumberFormat="1" applyFont="1" applyFill="1" applyBorder="1" applyAlignment="1">
      <alignment horizontal="center" wrapText="1"/>
    </xf>
    <xf numFmtId="253" fontId="147" fillId="0" borderId="205" xfId="0" applyNumberFormat="1" applyFont="1" applyFill="1" applyBorder="1" applyAlignment="1">
      <alignment horizontal="center" wrapText="1"/>
    </xf>
    <xf numFmtId="0" fontId="147" fillId="0" borderId="201" xfId="0" applyFont="1" applyFill="1" applyBorder="1" applyAlignment="1">
      <alignment horizontal="center"/>
    </xf>
    <xf numFmtId="0" fontId="147" fillId="0" borderId="20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50281">
    <cellStyle name="-" xfId="1" xr:uid="{00000000-0005-0000-0000-000000000000}"/>
    <cellStyle name=" 3]_x000d__x000a_Zoomed=1_x000d__x000a_Row=0_x000d__x000a_Column=0_x000d__x000a_Height=300_x000d__x000a_Width=300_x000d__x000a_FontName=細明體_x000d__x000a_FontStyle=0_x000d__x000a_FontSize=9_x000d__x000a_PrtFontName=Co" xfId="2" xr:uid="{00000000-0005-0000-0000-000001000000}"/>
    <cellStyle name="$" xfId="3" xr:uid="{00000000-0005-0000-0000-000002000000}"/>
    <cellStyle name="$ &amp; ¢" xfId="4" xr:uid="{00000000-0005-0000-0000-000003000000}"/>
    <cellStyle name="$ &amp; ¢ 2" xfId="5" xr:uid="{00000000-0005-0000-0000-000004000000}"/>
    <cellStyle name="$ &amp; ¢ 3" xfId="23193" xr:uid="{48EE13F4-6D82-497B-BED4-0BE744832B8B}"/>
    <cellStyle name="$ 2" xfId="6" xr:uid="{00000000-0005-0000-0000-000005000000}"/>
    <cellStyle name="$ 3" xfId="12959" xr:uid="{00000000-0005-0000-0000-000002000000}"/>
    <cellStyle name="$ 3 2" xfId="23192" xr:uid="{78B50ECE-2F06-4847-9EFD-9571491F49C4}"/>
    <cellStyle name="$ 4" xfId="23037" xr:uid="{DDA165F3-97D1-453F-B1D8-98541B873B31}"/>
    <cellStyle name="%" xfId="7" xr:uid="{00000000-0005-0000-0000-000006000000}"/>
    <cellStyle name="% 2" xfId="23194" xr:uid="{1A7013BC-513D-4C94-996C-DE195530C8F0}"/>
    <cellStyle name="%.00" xfId="8" xr:uid="{00000000-0005-0000-0000-000007000000}"/>
    <cellStyle name="%.00 2" xfId="23195" xr:uid="{B7C4CE35-ECC1-4E61-B81A-1F0B65705C6B}"/>
    <cellStyle name="(Heading)" xfId="9" xr:uid="{00000000-0005-0000-0000-000008000000}"/>
    <cellStyle name="(Heading) 10" xfId="40105" xr:uid="{DC354A2A-8DC2-4E4E-A60D-DB17453B9F31}"/>
    <cellStyle name="(Heading) 11" xfId="46736" xr:uid="{B61FFAE9-0651-460F-9D58-2D195F8E511A}"/>
    <cellStyle name="(Heading) 12" xfId="48136" xr:uid="{B6BF0628-3717-4AC8-B81E-D3F030DD47EB}"/>
    <cellStyle name="(Heading) 2" xfId="10" xr:uid="{00000000-0005-0000-0000-000009000000}"/>
    <cellStyle name="(Heading) 2 10" xfId="15379" xr:uid="{A50AD7E5-CA00-424F-A8A5-2802A80FB192}"/>
    <cellStyle name="(Heading) 2 2" xfId="18337" xr:uid="{FC9D69D6-F5B9-4CE6-AD26-580A4C83C680}"/>
    <cellStyle name="(Heading) 2 2 10" xfId="22375" xr:uid="{C68594C3-10D2-4D00-B7A2-F4EF78A66974}"/>
    <cellStyle name="(Heading) 2 2 11" xfId="20781" xr:uid="{B6718E0A-6A72-4C36-B007-A5B5F5DEAC9A}"/>
    <cellStyle name="(Heading) 2 2 12" xfId="22224" xr:uid="{D6BC0EC3-C176-4D0B-87BB-16BFE6A47423}"/>
    <cellStyle name="(Heading) 2 2 13" xfId="19076" xr:uid="{0E9224B1-70E8-40B3-9806-C56E5BBE5362}"/>
    <cellStyle name="(Heading) 2 2 14" xfId="22367" xr:uid="{C3218B6A-9DA7-41DC-8558-34156B9B4196}"/>
    <cellStyle name="(Heading) 2 2 15" xfId="22028" xr:uid="{D6E3B480-F648-4601-88B7-E0550F2689C3}"/>
    <cellStyle name="(Heading) 2 2 2" xfId="20019" xr:uid="{2FF6F284-994D-4C3A-94D4-BFB629DC59D3}"/>
    <cellStyle name="(Heading) 2 2 3" xfId="19613" xr:uid="{2BF86453-296A-484B-BD31-AFF3623B6AF8}"/>
    <cellStyle name="(Heading) 2 2 4" xfId="19137" xr:uid="{A8266188-4118-43DF-BA68-BF024318AD58}"/>
    <cellStyle name="(Heading) 2 2 5" xfId="20342" xr:uid="{D950A64D-1EF3-468C-BE70-3AD669C423F0}"/>
    <cellStyle name="(Heading) 2 2 6" xfId="21179" xr:uid="{E67623F0-026F-4550-829D-FBBE0F137909}"/>
    <cellStyle name="(Heading) 2 2 7" xfId="20523" xr:uid="{04570A70-0616-44F3-802A-D1A1B0CA7030}"/>
    <cellStyle name="(Heading) 2 2 8" xfId="21648" xr:uid="{BD7668C7-8C59-46E5-A269-687237BA70BE}"/>
    <cellStyle name="(Heading) 2 2 9" xfId="20264" xr:uid="{E4280BB0-3D91-48FC-B7EE-1D212B3DBDCB}"/>
    <cellStyle name="(Heading) 2 3" xfId="17893" xr:uid="{A3F2C41D-1DAA-4F73-BA29-3CCDBE64FFEA}"/>
    <cellStyle name="(Heading) 2 4" xfId="32899" xr:uid="{6B8F713B-B649-4BB6-9366-2FDE7477D181}"/>
    <cellStyle name="(Heading) 2 5" xfId="13672" xr:uid="{77BC6ED4-FD18-41E1-A7EB-5B692163E7A2}"/>
    <cellStyle name="(Heading) 2 6" xfId="16579" xr:uid="{A5C05C91-1A71-416A-885B-5481F25C9FB5}"/>
    <cellStyle name="(Heading) 2 7" xfId="15535" xr:uid="{19BD296E-47F2-44E5-B7FB-3ADB9DBF1E0F}"/>
    <cellStyle name="(Heading) 2 8" xfId="47207" xr:uid="{31E41909-ABA7-4C2F-9BCD-EBB6730A94E5}"/>
    <cellStyle name="(Heading) 2 9" xfId="46633" xr:uid="{4A8D6EA5-7269-45C9-B8C7-755EC1C3B5C2}"/>
    <cellStyle name="(Heading) 3" xfId="11" xr:uid="{00000000-0005-0000-0000-00000A000000}"/>
    <cellStyle name="(Heading) 3 10" xfId="40752" xr:uid="{694D234F-301A-4F3D-AA4D-C705B7DD75C4}"/>
    <cellStyle name="(Heading) 3 2" xfId="18338" xr:uid="{E6D77E32-D8A6-41AD-B65E-E66E09CEAFA4}"/>
    <cellStyle name="(Heading) 3 2 10" xfId="22430" xr:uid="{1FD3BC99-74A4-44EB-B4AB-45565318A8F6}"/>
    <cellStyle name="(Heading) 3 2 11" xfId="22100" xr:uid="{061336B7-F70B-4DA1-9BBE-A054692B889F}"/>
    <cellStyle name="(Heading) 3 2 12" xfId="19645" xr:uid="{A1B01F55-B599-4F92-A25C-D2F21F433B98}"/>
    <cellStyle name="(Heading) 3 2 13" xfId="22292" xr:uid="{58CD040C-0317-42B8-9D05-7F4D5B440379}"/>
    <cellStyle name="(Heading) 3 2 14" xfId="19961" xr:uid="{05830E3E-39D6-4930-9621-D2E93989E1C3}"/>
    <cellStyle name="(Heading) 3 2 15" xfId="22682" xr:uid="{EB42C16F-84AA-40A2-86B3-FF791FDF3017}"/>
    <cellStyle name="(Heading) 3 2 2" xfId="20018" xr:uid="{3605035B-CCCF-43FF-A28A-5B0763825F5B}"/>
    <cellStyle name="(Heading) 3 2 3" xfId="21759" xr:uid="{FD1280E0-0841-4878-BB17-396C9685BF3F}"/>
    <cellStyle name="(Heading) 3 2 4" xfId="18860" xr:uid="{C2F887C1-17B4-4012-B70E-78A3BD8617CD}"/>
    <cellStyle name="(Heading) 3 2 5" xfId="21319" xr:uid="{3F66117A-18E1-4E9A-8FA7-0708F4713BAD}"/>
    <cellStyle name="(Heading) 3 2 6" xfId="21732" xr:uid="{D52EC448-DF41-43B8-A375-602D66BD09C7}"/>
    <cellStyle name="(Heading) 3 2 7" xfId="19593" xr:uid="{C231487F-1866-4863-BE1B-DD475B87EB69}"/>
    <cellStyle name="(Heading) 3 2 8" xfId="21401" xr:uid="{86803898-6D01-45E8-A213-963C54C390A1}"/>
    <cellStyle name="(Heading) 3 2 9" xfId="19428" xr:uid="{EF7F2BFD-4A9F-44F5-A09A-40765CA43B23}"/>
    <cellStyle name="(Heading) 3 3" xfId="17894" xr:uid="{20BF2BEC-A188-4E9B-AF70-2D913C90DDF0}"/>
    <cellStyle name="(Heading) 3 4" xfId="32875" xr:uid="{48DC8BC9-42E9-4948-A44D-7A4D32B99D96}"/>
    <cellStyle name="(Heading) 3 5" xfId="13673" xr:uid="{6ED37E0F-B69C-425A-A24F-7F5BFC56FBEB}"/>
    <cellStyle name="(Heading) 3 6" xfId="16578" xr:uid="{AB8A2B2F-5DD1-4638-A9B0-1DED215C6807}"/>
    <cellStyle name="(Heading) 3 7" xfId="47150" xr:uid="{E43DB448-98AB-493A-873C-F7508F003DB1}"/>
    <cellStyle name="(Heading) 3 8" xfId="14154" xr:uid="{ABE549E5-7862-40E8-AD38-7D4371DC1578}"/>
    <cellStyle name="(Heading) 3 9" xfId="37917" xr:uid="{C87314CA-1344-4774-A820-FD4D9DFDD65C}"/>
    <cellStyle name="(Heading) 4" xfId="18336" xr:uid="{5995AD74-16E3-4BB8-BDB6-DFB8D8DFCDB1}"/>
    <cellStyle name="(Heading) 4 10" xfId="20800" xr:uid="{6234866A-BBFB-4CB8-AE60-ED9B2932BFB2}"/>
    <cellStyle name="(Heading) 4 11" xfId="20179" xr:uid="{C358F8DA-26D5-432E-9A9B-3A7A34B4D1AE}"/>
    <cellStyle name="(Heading) 4 12" xfId="22515" xr:uid="{FF4610E8-D9BD-4ED3-8658-1C0510D91E63}"/>
    <cellStyle name="(Heading) 4 13" xfId="20431" xr:uid="{109BFCF6-2797-42FC-910C-1E7A134BB417}"/>
    <cellStyle name="(Heading) 4 14" xfId="19473" xr:uid="{BCEB2F3A-8E2A-4E58-B037-7A1885F948A4}"/>
    <cellStyle name="(Heading) 4 15" xfId="19343" xr:uid="{0373D95D-3737-4355-8DD9-0F984990DAAC}"/>
    <cellStyle name="(Heading) 4 2" xfId="20020" xr:uid="{B461B511-8104-4DF8-B65B-26CD0526572C}"/>
    <cellStyle name="(Heading) 4 3" xfId="19739" xr:uid="{DDFE79C3-E723-48DB-9E86-5DC728505720}"/>
    <cellStyle name="(Heading) 4 4" xfId="19425" xr:uid="{5F5A7E44-B7DE-4B8D-A919-BB4D0758BE30}"/>
    <cellStyle name="(Heading) 4 5" xfId="21458" xr:uid="{21751352-9931-4778-873E-92FF1FF4EFB2}"/>
    <cellStyle name="(Heading) 4 6" xfId="18913" xr:uid="{8742BF24-A017-4FBF-8BE8-FD460C77178D}"/>
    <cellStyle name="(Heading) 4 7" xfId="20097" xr:uid="{33214A64-A96E-4CE2-8697-51A18DAAAF04}"/>
    <cellStyle name="(Heading) 4 8" xfId="21128" xr:uid="{DE840006-9623-4AB9-80F4-FB1F4E72342A}"/>
    <cellStyle name="(Heading) 4 9" xfId="20211" xr:uid="{2B240288-20ED-4EE7-A4CD-13D68229863C}"/>
    <cellStyle name="(Heading) 5" xfId="17892" xr:uid="{DFB55097-0857-429C-AB80-74F92332EF2E}"/>
    <cellStyle name="(Heading) 6" xfId="23036" xr:uid="{ECE010C5-68B4-46B9-9906-EF16A204D609}"/>
    <cellStyle name="(Heading) 7" xfId="13671" xr:uid="{F2651480-69CB-4422-836F-FD46DD906153}"/>
    <cellStyle name="(Heading) 8" xfId="16580" xr:uid="{4B0367C0-59E5-41BD-8EB2-9F4FDA228FBC}"/>
    <cellStyle name="(Heading) 9" xfId="47831" xr:uid="{D2B19DD1-1216-4127-8E67-46112CE91BAA}"/>
    <cellStyle name="(Lefting)" xfId="12" xr:uid="{00000000-0005-0000-0000-00000B000000}"/>
    <cellStyle name="(Lefting) 10" xfId="15415" xr:uid="{29626A24-D555-428E-A08B-73E8D92AB5EB}"/>
    <cellStyle name="(Lefting) 11" xfId="14466" xr:uid="{8EA10E3A-03BD-44CD-AE6B-65CE0DF17FB5}"/>
    <cellStyle name="(Lefting) 12" xfId="47260" xr:uid="{67963603-6834-4283-831A-9BF8747A99BD}"/>
    <cellStyle name="(Lefting) 2" xfId="13" xr:uid="{00000000-0005-0000-0000-00000C000000}"/>
    <cellStyle name="(Lefting) 2 10" xfId="48667" xr:uid="{B1D29062-74DA-4DB6-9B28-C990915D1C54}"/>
    <cellStyle name="(Lefting) 2 2" xfId="18340" xr:uid="{9294FAE7-CFA3-4210-9EB7-4783303D4C48}"/>
    <cellStyle name="(Lefting) 2 2 10" xfId="20429" xr:uid="{2723DA9A-525E-4425-9C5F-6BAF7B187D2E}"/>
    <cellStyle name="(Lefting) 2 2 11" xfId="21001" xr:uid="{24C258B3-46FA-4472-9EE4-0B4D5630D51E}"/>
    <cellStyle name="(Lefting) 2 2 12" xfId="21368" xr:uid="{4581B4EF-F610-47E1-A8C4-304BF1389C6E}"/>
    <cellStyle name="(Lefting) 2 2 13" xfId="19431" xr:uid="{76FB5D7B-45BC-430A-BC1B-98E093529342}"/>
    <cellStyle name="(Lefting) 2 2 14" xfId="22861" xr:uid="{5A1B2B57-21A3-4466-AFCE-D937B81ADCAC}"/>
    <cellStyle name="(Lefting) 2 2 15" xfId="21408" xr:uid="{3C6F46C8-BB98-4A35-B690-93BD36750A12}"/>
    <cellStyle name="(Lefting) 2 2 2" xfId="20016" xr:uid="{3E62A507-7AE3-4564-B659-63F0C83E502A}"/>
    <cellStyle name="(Lefting) 2 2 3" xfId="19676" xr:uid="{AA35AAD5-7E7E-440C-962F-855F88E0892C}"/>
    <cellStyle name="(Lefting) 2 2 4" xfId="18915" xr:uid="{17A603F5-932C-4018-9C38-28D41E2B5EAD}"/>
    <cellStyle name="(Lefting) 2 2 5" xfId="21318" xr:uid="{9B302DA8-0CD5-4064-843D-6F8A54B463BC}"/>
    <cellStyle name="(Lefting) 2 2 6" xfId="21775" xr:uid="{9E9229C4-AA7F-48BC-9F2D-B3DFA5C7DECD}"/>
    <cellStyle name="(Lefting) 2 2 7" xfId="21719" xr:uid="{2EDBC874-4310-4FD9-80E0-41BB496E7FAF}"/>
    <cellStyle name="(Lefting) 2 2 8" xfId="20441" xr:uid="{DB8A3A31-6D04-4B4A-9F84-2CBA59498C0A}"/>
    <cellStyle name="(Lefting) 2 2 9" xfId="22350" xr:uid="{53B6D0DF-DA05-4673-B6AC-4EC63E113E0F}"/>
    <cellStyle name="(Lefting) 2 3" xfId="17896" xr:uid="{8240CFA8-BC09-410C-978C-FBF06EEA4118}"/>
    <cellStyle name="(Lefting) 2 4" xfId="32900" xr:uid="{A136E406-5BAC-406C-B2C3-F1F1194A3984}"/>
    <cellStyle name="(Lefting) 2 5" xfId="13675" xr:uid="{D9BBB184-E41E-4BC8-85B6-A0C7611263CA}"/>
    <cellStyle name="(Lefting) 2 6" xfId="16622" xr:uid="{E5CFB287-5EA0-4E4B-A61B-689572AD14B7}"/>
    <cellStyle name="(Lefting) 2 7" xfId="15534" xr:uid="{2F835B66-96AB-4CDA-A256-56EC8C18CC42}"/>
    <cellStyle name="(Lefting) 2 8" xfId="40582" xr:uid="{1158C182-6DA8-4848-8BA0-32A4356F8339}"/>
    <cellStyle name="(Lefting) 2 9" xfId="40649" xr:uid="{01F9A695-F50D-4C04-A5D3-936A5B1461F3}"/>
    <cellStyle name="(Lefting) 3" xfId="14" xr:uid="{00000000-0005-0000-0000-00000D000000}"/>
    <cellStyle name="(Lefting) 3 10" xfId="46957" xr:uid="{07B7DD05-F516-4435-8D71-35EA3AB364D1}"/>
    <cellStyle name="(Lefting) 3 2" xfId="18341" xr:uid="{D0EB468B-115F-4B6D-AF46-61183E58F599}"/>
    <cellStyle name="(Lefting) 3 2 10" xfId="20725" xr:uid="{C2117263-3437-417C-9299-41574217B226}"/>
    <cellStyle name="(Lefting) 3 2 11" xfId="20269" xr:uid="{C3E21817-A585-4515-8E4F-8C9548AED39A}"/>
    <cellStyle name="(Lefting) 3 2 12" xfId="20666" xr:uid="{3653C853-103F-4753-AFF3-875866320D6D}"/>
    <cellStyle name="(Lefting) 3 2 13" xfId="20460" xr:uid="{F6018048-1D5F-4475-8D77-C605528DCAAC}"/>
    <cellStyle name="(Lefting) 3 2 14" xfId="22615" xr:uid="{861AEFEC-9607-4602-9F40-9AB20F6C5E0C}"/>
    <cellStyle name="(Lefting) 3 2 15" xfId="22775" xr:uid="{69A09025-2B07-4B4B-9CA0-3325D37B1FDB}"/>
    <cellStyle name="(Lefting) 3 2 2" xfId="20015" xr:uid="{F053D4C3-EBEF-46E8-953A-4256EDB1A2A4}"/>
    <cellStyle name="(Lefting) 3 2 3" xfId="19534" xr:uid="{E676D477-69B2-4FD8-B1FE-13CFA0E1F4B4}"/>
    <cellStyle name="(Lefting) 3 2 4" xfId="21246" xr:uid="{D49856EA-494D-4DE2-8565-5447E4E47624}"/>
    <cellStyle name="(Lefting) 3 2 5" xfId="19312" xr:uid="{B891ECBF-012B-4AEC-92CF-59C419D83D96}"/>
    <cellStyle name="(Lefting) 3 2 6" xfId="18934" xr:uid="{215F7EEE-E9EC-49CF-9058-35D75EE5D493}"/>
    <cellStyle name="(Lefting) 3 2 7" xfId="18899" xr:uid="{64B4FF9E-D6CA-4901-838C-48015348A97F}"/>
    <cellStyle name="(Lefting) 3 2 8" xfId="19059" xr:uid="{EEBB8100-8FF1-42A2-982B-4875900A8BCD}"/>
    <cellStyle name="(Lefting) 3 2 9" xfId="21012" xr:uid="{A9D11B34-4ED2-4226-90D0-47748F786EE8}"/>
    <cellStyle name="(Lefting) 3 3" xfId="17897" xr:uid="{719DC573-D190-4175-BB3B-4AEB5B770D71}"/>
    <cellStyle name="(Lefting) 3 4" xfId="32874" xr:uid="{8D5713FC-3F1B-4971-B704-8A0C3663768D}"/>
    <cellStyle name="(Lefting) 3 5" xfId="13676" xr:uid="{151590B4-7EDC-4B87-8B31-257BC7DCD05B}"/>
    <cellStyle name="(Lefting) 3 6" xfId="16576" xr:uid="{C89BE7A8-6F92-4B75-8785-CBD0A7C2794C}"/>
    <cellStyle name="(Lefting) 3 7" xfId="47149" xr:uid="{D951FF72-4965-44CF-BADD-C350FEE95293}"/>
    <cellStyle name="(Lefting) 3 8" xfId="40822" xr:uid="{B50DFF37-8695-45FC-8D6C-DA8A7CA3034E}"/>
    <cellStyle name="(Lefting) 3 9" xfId="40898" xr:uid="{21FB1B32-644E-4880-A100-1AF42584AAF3}"/>
    <cellStyle name="(Lefting) 4" xfId="18339" xr:uid="{4D3C8C53-5D7A-486E-8221-6EA02A07E92C}"/>
    <cellStyle name="(Lefting) 4 10" xfId="19681" xr:uid="{33A662A4-6D30-4CAF-A97E-699E1FBD0375}"/>
    <cellStyle name="(Lefting) 4 11" xfId="20045" xr:uid="{84F004DD-9B31-4EA3-A109-2FC96EC4FFBD}"/>
    <cellStyle name="(Lefting) 4 12" xfId="22121" xr:uid="{F4CDDB96-B131-4DE2-B00C-D405E9F182CC}"/>
    <cellStyle name="(Lefting) 4 13" xfId="22675" xr:uid="{82D5F9CC-910A-4750-B2C3-D87111F0550A}"/>
    <cellStyle name="(Lefting) 4 14" xfId="22081" xr:uid="{3EF958FB-647B-41B6-8A61-7D100DDD13B2}"/>
    <cellStyle name="(Lefting) 4 15" xfId="21976" xr:uid="{E503C90C-ACA4-4D89-895A-A021438E5E31}"/>
    <cellStyle name="(Lefting) 4 2" xfId="20017" xr:uid="{CB27B79A-4099-41E9-AF24-D0FA32AEB2B4}"/>
    <cellStyle name="(Lefting) 4 3" xfId="21690" xr:uid="{AD63DE2B-EFD0-4CF5-B63A-6E3A12946556}"/>
    <cellStyle name="(Lefting) 4 4" xfId="20117" xr:uid="{5953BED6-50D1-4307-B40D-E1B3481D2517}"/>
    <cellStyle name="(Lefting) 4 5" xfId="21531" xr:uid="{A9F3F9F4-0A98-490B-A06D-2990558F1C5E}"/>
    <cellStyle name="(Lefting) 4 6" xfId="19507" xr:uid="{3B0D02C4-72CC-4B35-8832-53E3AD2361C9}"/>
    <cellStyle name="(Lefting) 4 7" xfId="22177" xr:uid="{7CD2272E-C0F6-46DF-B955-AF3570ED0623}"/>
    <cellStyle name="(Lefting) 4 8" xfId="20848" xr:uid="{E069F8C2-F3E4-4E4F-9372-0F5DFFA2FA3D}"/>
    <cellStyle name="(Lefting) 4 9" xfId="21620" xr:uid="{E93DC11A-C85F-4C79-8367-D20824A9216D}"/>
    <cellStyle name="(Lefting) 5" xfId="17895" xr:uid="{6121ECEF-2B0F-487E-B38F-1BC9B690B98D}"/>
    <cellStyle name="(Lefting) 6" xfId="23035" xr:uid="{7BD89D50-C8DD-4880-912E-32B8F6A8FA39}"/>
    <cellStyle name="(Lefting) 7" xfId="13674" xr:uid="{95D7C7C0-1CED-4CEB-A525-55ABCEFFCA31}"/>
    <cellStyle name="(Lefting) 8" xfId="16577" xr:uid="{9FACA99B-D010-44C5-A1ED-58793FA0C619}"/>
    <cellStyle name="(Lefting) 9" xfId="47830" xr:uid="{A365B960-A99B-4075-A9C9-5F4E78959DBD}"/>
    <cellStyle name="(z*¯_x000f_°(”,¯?À(¢,¯?Ð(°,¯?à(Â,¯?ð(Ô,¯?" xfId="15" xr:uid="{00000000-0005-0000-0000-00000E000000}"/>
    <cellStyle name="(z*¯_x000f_°(”,¯?À(¢,¯?Ð(°,¯?à(Â,¯?ð(Ô,¯? 2" xfId="16" xr:uid="{00000000-0005-0000-0000-00000F000000}"/>
    <cellStyle name="******************************************" xfId="17" xr:uid="{00000000-0005-0000-0000-000010000000}"/>
    <cellStyle name="_CNMD_Valuation Model_20081212_v2" xfId="18" xr:uid="{00000000-0005-0000-0000-000011000000}"/>
    <cellStyle name="_Comma" xfId="19" xr:uid="{00000000-0005-0000-0000-000012000000}"/>
    <cellStyle name="_Comps 4" xfId="20" xr:uid="{00000000-0005-0000-0000-000013000000}"/>
    <cellStyle name="_Cont Analysis" xfId="21" xr:uid="{00000000-0005-0000-0000-000014000000}"/>
    <cellStyle name="_Currency" xfId="22" xr:uid="{00000000-0005-0000-0000-000015000000}"/>
    <cellStyle name="_Currency_Analysis" xfId="23" xr:uid="{00000000-0005-0000-0000-000016000000}"/>
    <cellStyle name="_Currency_Smartportfolio model" xfId="24" xr:uid="{00000000-0005-0000-0000-000017000000}"/>
    <cellStyle name="_Currency_Smartportfolio model 2" xfId="5593" xr:uid="{00000000-0005-0000-0000-0000CF150000}"/>
    <cellStyle name="_Currency_Smartportfolio model_DB-merged files" xfId="25" xr:uid="{00000000-0005-0000-0000-000018000000}"/>
    <cellStyle name="_Currency_Smartportfolio model_DB-merged files 2" xfId="5594" xr:uid="{00000000-0005-0000-0000-0000D0150000}"/>
    <cellStyle name="_CurrencySpace" xfId="26" xr:uid="{00000000-0005-0000-0000-000019000000}"/>
    <cellStyle name="_Gamma Valuation - 8" xfId="27" xr:uid="{00000000-0005-0000-0000-00001A000000}"/>
    <cellStyle name="_ITRN" xfId="28" xr:uid="{00000000-0005-0000-0000-00001B000000}"/>
    <cellStyle name="-_Merger Model 17 Nov 04" xfId="29" xr:uid="{00000000-0005-0000-0000-00001C000000}"/>
    <cellStyle name="_Merger Model_KN&amp;Fzio_v2.30 - Street" xfId="30" xr:uid="{00000000-0005-0000-0000-00001D000000}"/>
    <cellStyle name="_Merger Model_KN&amp;Fzio_v2.30 - Street 2" xfId="9298" xr:uid="{00000000-0005-0000-0000-000016000000}"/>
    <cellStyle name="_Multiple" xfId="31" xr:uid="{00000000-0005-0000-0000-00001E000000}"/>
    <cellStyle name="_Multiple_Analysis" xfId="32" xr:uid="{00000000-0005-0000-0000-00001F000000}"/>
    <cellStyle name="_Multiple_Analysis 2" xfId="5601" xr:uid="{00000000-0005-0000-0000-0000D1150000}"/>
    <cellStyle name="_Multiple_Analysis_DB-merged files" xfId="33" xr:uid="{00000000-0005-0000-0000-000020000000}"/>
    <cellStyle name="_Multiple_Analysis_DB-merged files 2" xfId="5602" xr:uid="{00000000-0005-0000-0000-0000D2150000}"/>
    <cellStyle name="_Multiple_Smartportfolio model" xfId="34" xr:uid="{00000000-0005-0000-0000-000021000000}"/>
    <cellStyle name="_Multiple_Smartportfolio model 2" xfId="5603" xr:uid="{00000000-0005-0000-0000-0000D3150000}"/>
    <cellStyle name="_Multiple_Smartportfolio model_DB-merged files" xfId="35" xr:uid="{00000000-0005-0000-0000-000022000000}"/>
    <cellStyle name="_Multiple_Smartportfolio model_DB-merged files 2" xfId="5604" xr:uid="{00000000-0005-0000-0000-0000D4150000}"/>
    <cellStyle name="_MultipleSpace" xfId="36" xr:uid="{00000000-0005-0000-0000-000023000000}"/>
    <cellStyle name="_MultipleSpace_Analysis" xfId="37" xr:uid="{00000000-0005-0000-0000-000024000000}"/>
    <cellStyle name="_MultipleSpace_csc" xfId="38" xr:uid="{00000000-0005-0000-0000-000025000000}"/>
    <cellStyle name="_MultipleSpace_Smartportfolio model" xfId="39" xr:uid="{00000000-0005-0000-0000-000026000000}"/>
    <cellStyle name="_MultipleSpace_Smartportfolio model 2" xfId="5608" xr:uid="{00000000-0005-0000-0000-0000D5150000}"/>
    <cellStyle name="_MultipleSpace_Smartportfolio model_DB-merged files" xfId="40" xr:uid="{00000000-0005-0000-0000-000027000000}"/>
    <cellStyle name="_MultipleSpace_Smartportfolio model_DB-merged files 2" xfId="5609" xr:uid="{00000000-0005-0000-0000-0000D6150000}"/>
    <cellStyle name="_Percent" xfId="41" xr:uid="{00000000-0005-0000-0000-000028000000}"/>
    <cellStyle name="_Percent_Analysis" xfId="42" xr:uid="{00000000-0005-0000-0000-000029000000}"/>
    <cellStyle name="_Percent_Smartportfolio model" xfId="43" xr:uid="{00000000-0005-0000-0000-00002A000000}"/>
    <cellStyle name="_Percent_Smartportfolio model 2" xfId="5612" xr:uid="{00000000-0005-0000-0000-0000D7150000}"/>
    <cellStyle name="_Percent_Smartportfolio model_DB-merged files" xfId="44" xr:uid="{00000000-0005-0000-0000-00002B000000}"/>
    <cellStyle name="_PercentSpace" xfId="45" xr:uid="{00000000-0005-0000-0000-00002C000000}"/>
    <cellStyle name="_PercentSpace_Analysis" xfId="46" xr:uid="{00000000-0005-0000-0000-00002D000000}"/>
    <cellStyle name="_PercentSpace_Smartportfolio model" xfId="47" xr:uid="{00000000-0005-0000-0000-00002E000000}"/>
    <cellStyle name="_Sepracor Riders_Clean" xfId="48" xr:uid="{00000000-0005-0000-0000-00002F000000}"/>
    <cellStyle name="_SIAL_Model_5.22.09 v71" xfId="49" xr:uid="{00000000-0005-0000-0000-000030000000}"/>
    <cellStyle name="£ BP" xfId="50" xr:uid="{00000000-0005-0000-0000-000031000000}"/>
    <cellStyle name="¥ JY" xfId="51" xr:uid="{00000000-0005-0000-0000-000032000000}"/>
    <cellStyle name="&lt;9#_x000f_¾Èƒé1ƒÃ_x0002_;M_x0014_}$‹E_x0010_‹_x0004_ˆ…Àt_x001b_Pÿ_x0015_ x¦" xfId="52" xr:uid="{00000000-0005-0000-0000-000033000000}"/>
    <cellStyle name="&lt;9#_x000f_¾Èƒé1ƒÃ_x0002_;M_x0014_}$‹E_x0010_‹_x0004_ˆ…Àt_x001b_Pÿ_x0015_ x¦ 2" xfId="5621" xr:uid="{00000000-0005-0000-0000-0000D8150000}"/>
    <cellStyle name="=C:\WINNT\SYSTEM32\COMMAND.COM" xfId="53" xr:uid="{00000000-0005-0000-0000-000034000000}"/>
    <cellStyle name="=C:\WINNT35\SYSTEM32\COMMAND.COM" xfId="54" xr:uid="{00000000-0005-0000-0000-000035000000}"/>
    <cellStyle name="=C:\WINNT35\SYSTEM32\COMMAND.COM 2" xfId="9296" xr:uid="{00000000-0005-0000-0000-00002E000000}"/>
    <cellStyle name="0752-93035" xfId="55" xr:uid="{00000000-0005-0000-0000-000036000000}"/>
    <cellStyle name="0752-93035 2" xfId="9295" xr:uid="{00000000-0005-0000-0000-00002F000000}"/>
    <cellStyle name="1,comma" xfId="56" xr:uid="{00000000-0005-0000-0000-000037000000}"/>
    <cellStyle name="10Q" xfId="57" xr:uid="{00000000-0005-0000-0000-000038000000}"/>
    <cellStyle name="20 % - Accent1" xfId="58" xr:uid="{00000000-0005-0000-0000-000039000000}"/>
    <cellStyle name="20 % - Accent2" xfId="59" xr:uid="{00000000-0005-0000-0000-00003A000000}"/>
    <cellStyle name="20 % - Accent3" xfId="60" xr:uid="{00000000-0005-0000-0000-00003B000000}"/>
    <cellStyle name="20 % - Accent4" xfId="61" xr:uid="{00000000-0005-0000-0000-00003C000000}"/>
    <cellStyle name="20 % - Accent5" xfId="62" xr:uid="{00000000-0005-0000-0000-00003D000000}"/>
    <cellStyle name="20 % - Accent6" xfId="63" xr:uid="{00000000-0005-0000-0000-00003E000000}"/>
    <cellStyle name="20% - Accent1" xfId="5544" builtinId="30" customBuiltin="1"/>
    <cellStyle name="20% - Accent1 2" xfId="64" xr:uid="{00000000-0005-0000-0000-000040000000}"/>
    <cellStyle name="20% - Accent1 2 10" xfId="65" xr:uid="{00000000-0005-0000-0000-000041000000}"/>
    <cellStyle name="20% - Accent1 2 10 2" xfId="5634" xr:uid="{00000000-0005-0000-0000-0000D9150000}"/>
    <cellStyle name="20% - Accent1 2 10 2 2" xfId="39595" xr:uid="{88A4EAD6-81D8-43B9-8E44-A9592CE88E4E}"/>
    <cellStyle name="20% - Accent1 2 10 3" xfId="13690" xr:uid="{BEBBBE13-88E1-4E8B-8E03-67E7F43F313B}"/>
    <cellStyle name="20% - Accent1 2 2" xfId="66" xr:uid="{00000000-0005-0000-0000-000042000000}"/>
    <cellStyle name="20% - Accent1 2 2 2" xfId="67" xr:uid="{00000000-0005-0000-0000-000043000000}"/>
    <cellStyle name="20% - Accent1 2 2 2 2" xfId="5636" xr:uid="{00000000-0005-0000-0000-0000DA150000}"/>
    <cellStyle name="20% - Accent1 2 2 2 2 2" xfId="39596" xr:uid="{EE3844CD-0712-4D30-91DF-1D18059AE07A}"/>
    <cellStyle name="20% - Accent1 2 2 2 3" xfId="13691" xr:uid="{9AD4BE29-2E5A-4877-B012-39566252E2BE}"/>
    <cellStyle name="20% - Accent1 2 2 3" xfId="68" xr:uid="{00000000-0005-0000-0000-000044000000}"/>
    <cellStyle name="20% - Accent1 2 2 3 2" xfId="5637" xr:uid="{00000000-0005-0000-0000-0000DB150000}"/>
    <cellStyle name="20% - Accent1 2 2 3 2 2" xfId="39597" xr:uid="{501065DA-071D-41B9-BF9A-6D0B2CE9D278}"/>
    <cellStyle name="20% - Accent1 2 2 3 3" xfId="13692" xr:uid="{45081393-FFBC-4142-994B-893339CD950B}"/>
    <cellStyle name="20% - Accent1 2 3" xfId="69" xr:uid="{00000000-0005-0000-0000-000045000000}"/>
    <cellStyle name="20% - Accent1 2 3 2" xfId="70" xr:uid="{00000000-0005-0000-0000-000046000000}"/>
    <cellStyle name="20% - Accent1 2 3 2 2" xfId="5639" xr:uid="{00000000-0005-0000-0000-0000DC150000}"/>
    <cellStyle name="20% - Accent1 2 3 2 2 2" xfId="39598" xr:uid="{8E05A156-29FF-4975-8DE2-0F4B1A2C151B}"/>
    <cellStyle name="20% - Accent1 2 3 2 3" xfId="13693" xr:uid="{358FA267-40E7-4BAA-986C-0E2F83ABF9AB}"/>
    <cellStyle name="20% - Accent1 2 4" xfId="71" xr:uid="{00000000-0005-0000-0000-000047000000}"/>
    <cellStyle name="20% - Accent1 2 5" xfId="72" xr:uid="{00000000-0005-0000-0000-000048000000}"/>
    <cellStyle name="20% - Accent1 2 6" xfId="73" xr:uid="{00000000-0005-0000-0000-000049000000}"/>
    <cellStyle name="20% - Accent1 2 7" xfId="74" xr:uid="{00000000-0005-0000-0000-00004A000000}"/>
    <cellStyle name="20% - Accent1 2 8" xfId="75" xr:uid="{00000000-0005-0000-0000-00004B000000}"/>
    <cellStyle name="20% - Accent1 2 9" xfId="76" xr:uid="{00000000-0005-0000-0000-00004C000000}"/>
    <cellStyle name="20% - Accent1 3" xfId="77" xr:uid="{00000000-0005-0000-0000-00004D000000}"/>
    <cellStyle name="20% - Accent1 3 2" xfId="78" xr:uid="{00000000-0005-0000-0000-00004E000000}"/>
    <cellStyle name="20% - Accent1 3 2 2" xfId="79" xr:uid="{00000000-0005-0000-0000-00004F000000}"/>
    <cellStyle name="20% - Accent1 3 2 2 2" xfId="80" xr:uid="{00000000-0005-0000-0000-000050000000}"/>
    <cellStyle name="20% - Accent1 3 2 2 2 2" xfId="81" xr:uid="{00000000-0005-0000-0000-000051000000}"/>
    <cellStyle name="20% - Accent1 3 2 2 2 2 2" xfId="5650" xr:uid="{00000000-0005-0000-0000-0000E1150000}"/>
    <cellStyle name="20% - Accent1 3 2 2 2 2 2 2" xfId="39605" xr:uid="{3F536715-D706-4E5C-913F-7645BC26EE89}"/>
    <cellStyle name="20% - Accent1 3 2 2 2 2 3" xfId="13701" xr:uid="{6FD16679-4231-4F41-BB41-A26ACEFDFE18}"/>
    <cellStyle name="20% - Accent1 3 2 2 2 3" xfId="5649" xr:uid="{00000000-0005-0000-0000-0000E0150000}"/>
    <cellStyle name="20% - Accent1 3 2 2 2 3 2" xfId="39604" xr:uid="{B6569756-A89B-4AF0-8175-9BC6ECF7EC29}"/>
    <cellStyle name="20% - Accent1 3 2 2 2 4" xfId="13700" xr:uid="{9F891F2E-1801-46FF-A21A-0F48F702B273}"/>
    <cellStyle name="20% - Accent1 3 2 2 3" xfId="82" xr:uid="{00000000-0005-0000-0000-000052000000}"/>
    <cellStyle name="20% - Accent1 3 2 2 3 2" xfId="5651" xr:uid="{00000000-0005-0000-0000-0000E2150000}"/>
    <cellStyle name="20% - Accent1 3 2 2 3 2 2" xfId="39606" xr:uid="{CF615922-9432-4FFB-B23E-571D670D9004}"/>
    <cellStyle name="20% - Accent1 3 2 2 3 3" xfId="13702" xr:uid="{AEDF1ECC-046D-4D62-9B5C-32C93FBCDDEF}"/>
    <cellStyle name="20% - Accent1 3 2 2 4" xfId="5648" xr:uid="{00000000-0005-0000-0000-0000DF150000}"/>
    <cellStyle name="20% - Accent1 3 2 2 4 2" xfId="39603" xr:uid="{BA01CEAC-69C9-4542-944E-A1B181CEBB4C}"/>
    <cellStyle name="20% - Accent1 3 2 2 5" xfId="13699" xr:uid="{8569C57F-FE75-44D1-88AB-56BE72632147}"/>
    <cellStyle name="20% - Accent1 3 2 3" xfId="83" xr:uid="{00000000-0005-0000-0000-000053000000}"/>
    <cellStyle name="20% - Accent1 3 2 3 2" xfId="84" xr:uid="{00000000-0005-0000-0000-000054000000}"/>
    <cellStyle name="20% - Accent1 3 2 3 2 2" xfId="5653" xr:uid="{00000000-0005-0000-0000-0000E4150000}"/>
    <cellStyle name="20% - Accent1 3 2 3 2 2 2" xfId="39608" xr:uid="{61EC035F-CDF3-48B6-9C7A-62150D3569EE}"/>
    <cellStyle name="20% - Accent1 3 2 3 2 3" xfId="13704" xr:uid="{C1295264-C013-49B6-9E5A-E7AAA83B0852}"/>
    <cellStyle name="20% - Accent1 3 2 3 3" xfId="5652" xr:uid="{00000000-0005-0000-0000-0000E3150000}"/>
    <cellStyle name="20% - Accent1 3 2 3 3 2" xfId="39607" xr:uid="{7ED468C7-91A8-4C56-AF49-587D67C292A1}"/>
    <cellStyle name="20% - Accent1 3 2 3 4" xfId="13703" xr:uid="{DEDB7CBF-C482-485A-8893-1549A6BF027F}"/>
    <cellStyle name="20% - Accent1 3 2 4" xfId="85" xr:uid="{00000000-0005-0000-0000-000055000000}"/>
    <cellStyle name="20% - Accent1 3 2 4 2" xfId="5654" xr:uid="{00000000-0005-0000-0000-0000E5150000}"/>
    <cellStyle name="20% - Accent1 3 2 4 2 2" xfId="39609" xr:uid="{EAF5AD9A-00E2-4044-964D-0E9A52C7744B}"/>
    <cellStyle name="20% - Accent1 3 2 4 3" xfId="13705" xr:uid="{8A9DC20D-F431-448F-9CE1-1BD92A156BD3}"/>
    <cellStyle name="20% - Accent1 3 2 5" xfId="5647" xr:uid="{00000000-0005-0000-0000-0000DE150000}"/>
    <cellStyle name="20% - Accent1 3 2 5 2" xfId="39602" xr:uid="{0239730F-92A1-4291-AC3D-E412B4E196C5}"/>
    <cellStyle name="20% - Accent1 3 2 6" xfId="13698" xr:uid="{C798CA5B-23A0-4CC3-88A8-B59435C21813}"/>
    <cellStyle name="20% - Accent1 3 3" xfId="86" xr:uid="{00000000-0005-0000-0000-000056000000}"/>
    <cellStyle name="20% - Accent1 3 3 2" xfId="87" xr:uid="{00000000-0005-0000-0000-000057000000}"/>
    <cellStyle name="20% - Accent1 3 3 2 2" xfId="88" xr:uid="{00000000-0005-0000-0000-000058000000}"/>
    <cellStyle name="20% - Accent1 3 3 2 2 2" xfId="89" xr:uid="{00000000-0005-0000-0000-000059000000}"/>
    <cellStyle name="20% - Accent1 3 3 2 2 2 2" xfId="5658" xr:uid="{00000000-0005-0000-0000-0000E9150000}"/>
    <cellStyle name="20% - Accent1 3 3 2 2 2 2 2" xfId="39613" xr:uid="{CFBBFED1-81E6-4952-A7D1-2874C774DA61}"/>
    <cellStyle name="20% - Accent1 3 3 2 2 2 3" xfId="13709" xr:uid="{F71AAC2A-D3F4-4A3E-B780-44DD87572A58}"/>
    <cellStyle name="20% - Accent1 3 3 2 2 3" xfId="5657" xr:uid="{00000000-0005-0000-0000-0000E8150000}"/>
    <cellStyle name="20% - Accent1 3 3 2 2 3 2" xfId="39612" xr:uid="{83850899-134D-43E6-8EFA-F0E2E325BB6C}"/>
    <cellStyle name="20% - Accent1 3 3 2 2 4" xfId="13708" xr:uid="{605D9860-18E5-493A-8667-98EA238AA3C8}"/>
    <cellStyle name="20% - Accent1 3 3 2 3" xfId="90" xr:uid="{00000000-0005-0000-0000-00005A000000}"/>
    <cellStyle name="20% - Accent1 3 3 2 3 2" xfId="5659" xr:uid="{00000000-0005-0000-0000-0000EA150000}"/>
    <cellStyle name="20% - Accent1 3 3 2 3 2 2" xfId="39614" xr:uid="{BAA01E43-D6F9-4116-9829-4FC229F7E556}"/>
    <cellStyle name="20% - Accent1 3 3 2 3 3" xfId="13710" xr:uid="{14C43B32-F02D-40F4-805D-8537F8901983}"/>
    <cellStyle name="20% - Accent1 3 3 2 4" xfId="5656" xr:uid="{00000000-0005-0000-0000-0000E7150000}"/>
    <cellStyle name="20% - Accent1 3 3 2 4 2" xfId="39611" xr:uid="{44C3F084-A123-4460-8719-ADC138075F49}"/>
    <cellStyle name="20% - Accent1 3 3 2 5" xfId="13707" xr:uid="{B20D9883-430A-4B06-9172-65B461A679CC}"/>
    <cellStyle name="20% - Accent1 3 3 3" xfId="91" xr:uid="{00000000-0005-0000-0000-00005B000000}"/>
    <cellStyle name="20% - Accent1 3 3 3 2" xfId="92" xr:uid="{00000000-0005-0000-0000-00005C000000}"/>
    <cellStyle name="20% - Accent1 3 3 3 2 2" xfId="5661" xr:uid="{00000000-0005-0000-0000-0000EC150000}"/>
    <cellStyle name="20% - Accent1 3 3 3 2 2 2" xfId="39616" xr:uid="{3397DE28-ADF5-44D4-8226-174D68B83D00}"/>
    <cellStyle name="20% - Accent1 3 3 3 2 3" xfId="13712" xr:uid="{B2F74442-B50B-4B06-A474-181C2A908F9E}"/>
    <cellStyle name="20% - Accent1 3 3 3 3" xfId="5660" xr:uid="{00000000-0005-0000-0000-0000EB150000}"/>
    <cellStyle name="20% - Accent1 3 3 3 3 2" xfId="39615" xr:uid="{2683F2F8-7C22-41C7-A736-EDFC107BF4B0}"/>
    <cellStyle name="20% - Accent1 3 3 3 4" xfId="13711" xr:uid="{C7E4AB53-6985-402F-8803-2370DAD6AF59}"/>
    <cellStyle name="20% - Accent1 3 3 4" xfId="93" xr:uid="{00000000-0005-0000-0000-00005D000000}"/>
    <cellStyle name="20% - Accent1 3 3 4 2" xfId="5662" xr:uid="{00000000-0005-0000-0000-0000ED150000}"/>
    <cellStyle name="20% - Accent1 3 3 4 2 2" xfId="39617" xr:uid="{699C491A-E00A-4F9F-B406-4670141F2611}"/>
    <cellStyle name="20% - Accent1 3 3 4 3" xfId="13713" xr:uid="{DEDCBA8D-F42A-4E7C-920C-3846E334E108}"/>
    <cellStyle name="20% - Accent1 3 3 5" xfId="5655" xr:uid="{00000000-0005-0000-0000-0000E6150000}"/>
    <cellStyle name="20% - Accent1 3 3 5 2" xfId="39610" xr:uid="{83A6C55B-1B21-4932-B428-2B8F6C9B8849}"/>
    <cellStyle name="20% - Accent1 3 3 6" xfId="13706" xr:uid="{571B67A8-ED8A-4920-AFDD-14650F686D0C}"/>
    <cellStyle name="20% - Accent1 3 4" xfId="94" xr:uid="{00000000-0005-0000-0000-00005E000000}"/>
    <cellStyle name="20% - Accent1 3 4 2" xfId="95" xr:uid="{00000000-0005-0000-0000-00005F000000}"/>
    <cellStyle name="20% - Accent1 3 4 2 2" xfId="96" xr:uid="{00000000-0005-0000-0000-000060000000}"/>
    <cellStyle name="20% - Accent1 3 4 2 2 2" xfId="5665" xr:uid="{00000000-0005-0000-0000-0000F0150000}"/>
    <cellStyle name="20% - Accent1 3 4 2 2 2 2" xfId="39620" xr:uid="{9AF3C547-0467-4BC0-BB87-DD054550F3A4}"/>
    <cellStyle name="20% - Accent1 3 4 2 2 3" xfId="13716" xr:uid="{F2A89188-8B98-4B4A-A6F5-3AB69F90BD31}"/>
    <cellStyle name="20% - Accent1 3 4 2 3" xfId="5664" xr:uid="{00000000-0005-0000-0000-0000EF150000}"/>
    <cellStyle name="20% - Accent1 3 4 2 3 2" xfId="39619" xr:uid="{52094AE3-1736-4785-BD62-0DFE3FA711EA}"/>
    <cellStyle name="20% - Accent1 3 4 2 4" xfId="13715" xr:uid="{94D8D7F2-40F8-4DB0-ADDB-D72F4B3A45F5}"/>
    <cellStyle name="20% - Accent1 3 4 3" xfId="97" xr:uid="{00000000-0005-0000-0000-000061000000}"/>
    <cellStyle name="20% - Accent1 3 4 3 2" xfId="5666" xr:uid="{00000000-0005-0000-0000-0000F1150000}"/>
    <cellStyle name="20% - Accent1 3 4 3 2 2" xfId="39621" xr:uid="{8AE21E29-BAFF-41A6-8986-AF08EE362C66}"/>
    <cellStyle name="20% - Accent1 3 4 3 3" xfId="13717" xr:uid="{B34A6DFE-D345-405A-A924-A4481DF5F7EB}"/>
    <cellStyle name="20% - Accent1 3 4 4" xfId="5663" xr:uid="{00000000-0005-0000-0000-0000EE150000}"/>
    <cellStyle name="20% - Accent1 3 4 4 2" xfId="39618" xr:uid="{072FA3C7-1EE1-4840-ACD3-311A2A0852CB}"/>
    <cellStyle name="20% - Accent1 3 4 5" xfId="13714" xr:uid="{99D10A58-064F-444A-914F-3815BAF54F50}"/>
    <cellStyle name="20% - Accent1 3 5" xfId="98" xr:uid="{00000000-0005-0000-0000-000062000000}"/>
    <cellStyle name="20% - Accent1 3 5 2" xfId="99" xr:uid="{00000000-0005-0000-0000-000063000000}"/>
    <cellStyle name="20% - Accent1 3 5 2 2" xfId="5668" xr:uid="{00000000-0005-0000-0000-0000F3150000}"/>
    <cellStyle name="20% - Accent1 3 5 2 2 2" xfId="39623" xr:uid="{9B189DDA-651E-427B-B725-9555B14807DC}"/>
    <cellStyle name="20% - Accent1 3 5 2 3" xfId="13719" xr:uid="{C6C39553-50C8-4ED3-8A0D-F011C76BF3F6}"/>
    <cellStyle name="20% - Accent1 3 5 3" xfId="5667" xr:uid="{00000000-0005-0000-0000-0000F2150000}"/>
    <cellStyle name="20% - Accent1 3 5 3 2" xfId="39622" xr:uid="{DB80BAE0-D534-4DA2-9D91-77FBCBC99D3A}"/>
    <cellStyle name="20% - Accent1 3 5 4" xfId="13718" xr:uid="{134BABD0-C267-4107-B67B-70386378E40F}"/>
    <cellStyle name="20% - Accent1 3 6" xfId="100" xr:uid="{00000000-0005-0000-0000-000064000000}"/>
    <cellStyle name="20% - Accent1 3 6 2" xfId="5669" xr:uid="{00000000-0005-0000-0000-0000F4150000}"/>
    <cellStyle name="20% - Accent1 3 6 2 2" xfId="39624" xr:uid="{F7860EF8-E95B-42C5-8593-F88911FEE23E}"/>
    <cellStyle name="20% - Accent1 3 6 3" xfId="13720" xr:uid="{16105CC2-D384-46FF-A958-773D8B84DBC7}"/>
    <cellStyle name="20% - Accent1 3 7" xfId="5646" xr:uid="{00000000-0005-0000-0000-0000DD150000}"/>
    <cellStyle name="20% - Accent1 3 7 2" xfId="39601" xr:uid="{1CB6FDF6-7E8B-440C-8656-D22E1D81A924}"/>
    <cellStyle name="20% - Accent1 3 8" xfId="13697" xr:uid="{DDAB3EB2-9222-487E-91BC-0FA592A37729}"/>
    <cellStyle name="20% - Accent1 4" xfId="101" xr:uid="{00000000-0005-0000-0000-000065000000}"/>
    <cellStyle name="20% - Accent1 4 2" xfId="5670" xr:uid="{00000000-0005-0000-0000-0000F5150000}"/>
    <cellStyle name="20% - Accent1 4 2 2" xfId="39625" xr:uid="{2B3351B1-90BF-495B-8F9F-271CAD398EDD}"/>
    <cellStyle name="20% - Accent1 4 3" xfId="13721" xr:uid="{E56CF1EC-B45E-4146-9635-B89F915A530E}"/>
    <cellStyle name="20% - Accent1 5" xfId="102" xr:uid="{00000000-0005-0000-0000-000066000000}"/>
    <cellStyle name="20% - Accent1 5 2" xfId="5671" xr:uid="{00000000-0005-0000-0000-0000F6150000}"/>
    <cellStyle name="20% - Accent1 5 2 2" xfId="39626" xr:uid="{336297A7-D5E6-4356-9C58-2D2BFC6EE2BF}"/>
    <cellStyle name="20% - Accent1 5 3" xfId="13722" xr:uid="{1E57151F-8905-4BB0-A97C-0749D9103F29}"/>
    <cellStyle name="20% - Accent1 6" xfId="103" xr:uid="{00000000-0005-0000-0000-000067000000}"/>
    <cellStyle name="20% - Accent1 6 2" xfId="5672" xr:uid="{00000000-0005-0000-0000-0000F7150000}"/>
    <cellStyle name="20% - Accent1 6 2 2" xfId="39627" xr:uid="{4433A39E-DA99-49A1-9BCE-4B2135254674}"/>
    <cellStyle name="20% - Accent1 6 3" xfId="13723" xr:uid="{A9E09163-4337-41AA-83C2-FAE472C173A8}"/>
    <cellStyle name="20% - Accent1 7" xfId="104" xr:uid="{00000000-0005-0000-0000-000068000000}"/>
    <cellStyle name="20% - Accent1 7 2" xfId="5673" xr:uid="{00000000-0005-0000-0000-0000F8150000}"/>
    <cellStyle name="20% - Accent1 7 2 2" xfId="39628" xr:uid="{0D981DF4-EABB-4AFA-8E21-57F89720DAB2}"/>
    <cellStyle name="20% - Accent1 7 3" xfId="13724" xr:uid="{B9BE2BA3-3E91-4440-92FB-53A075BCFE97}"/>
    <cellStyle name="20% - Accent1 8" xfId="105" xr:uid="{00000000-0005-0000-0000-000069000000}"/>
    <cellStyle name="20% - Accent1 8 2" xfId="5674" xr:uid="{00000000-0005-0000-0000-0000F9150000}"/>
    <cellStyle name="20% - Accent1 8 2 2" xfId="39629" xr:uid="{28F77864-6782-48A9-A5DA-B1B562D7FCF8}"/>
    <cellStyle name="20% - Accent1 8 3" xfId="13725" xr:uid="{7BAFFEAC-304C-4054-94C6-76165AA44D9A}"/>
    <cellStyle name="20% - Accent1 9" xfId="106" xr:uid="{00000000-0005-0000-0000-00006A000000}"/>
    <cellStyle name="20% - Accent1 9 2" xfId="5675" xr:uid="{00000000-0005-0000-0000-0000FA150000}"/>
    <cellStyle name="20% - Accent1 9 2 2" xfId="39630" xr:uid="{D7A35320-4A04-414C-B401-EEE6F9BA2C28}"/>
    <cellStyle name="20% - Accent1 9 3" xfId="16590" xr:uid="{636BF8D7-2737-4CDA-8EE9-2BA949180E96}"/>
    <cellStyle name="20% - Accent2" xfId="5547" builtinId="34" customBuiltin="1"/>
    <cellStyle name="20% - Accent2 2" xfId="107" xr:uid="{00000000-0005-0000-0000-00006C000000}"/>
    <cellStyle name="20% - Accent2 2 10" xfId="108" xr:uid="{00000000-0005-0000-0000-00006D000000}"/>
    <cellStyle name="20% - Accent2 2 10 2" xfId="5677" xr:uid="{00000000-0005-0000-0000-0000FB150000}"/>
    <cellStyle name="20% - Accent2 2 10 2 2" xfId="39631" xr:uid="{C9E1F1EE-FD92-474E-9332-E8FD686DFD33}"/>
    <cellStyle name="20% - Accent2 2 10 3" xfId="13726" xr:uid="{B3EB29EA-BCEC-497B-94EF-886B60146263}"/>
    <cellStyle name="20% - Accent2 2 2" xfId="109" xr:uid="{00000000-0005-0000-0000-00006E000000}"/>
    <cellStyle name="20% - Accent2 2 2 2" xfId="110" xr:uid="{00000000-0005-0000-0000-00006F000000}"/>
    <cellStyle name="20% - Accent2 2 2 2 2" xfId="5679" xr:uid="{00000000-0005-0000-0000-0000FC150000}"/>
    <cellStyle name="20% - Accent2 2 2 2 2 2" xfId="39632" xr:uid="{017CADBD-C8A7-4A8F-8C8B-A87840E1C96A}"/>
    <cellStyle name="20% - Accent2 2 2 2 3" xfId="13728" xr:uid="{36669D9E-1ECB-4A00-B588-47EA785A1F8D}"/>
    <cellStyle name="20% - Accent2 2 2 3" xfId="111" xr:uid="{00000000-0005-0000-0000-000070000000}"/>
    <cellStyle name="20% - Accent2 2 2 3 2" xfId="5680" xr:uid="{00000000-0005-0000-0000-0000FD150000}"/>
    <cellStyle name="20% - Accent2 2 2 3 2 2" xfId="39633" xr:uid="{3705D088-DEC3-4B7C-9969-6356167D11FE}"/>
    <cellStyle name="20% - Accent2 2 2 3 3" xfId="13729" xr:uid="{39E1A107-B66A-4F34-9202-149D9E20D797}"/>
    <cellStyle name="20% - Accent2 2 3" xfId="112" xr:uid="{00000000-0005-0000-0000-000071000000}"/>
    <cellStyle name="20% - Accent2 2 3 2" xfId="113" xr:uid="{00000000-0005-0000-0000-000072000000}"/>
    <cellStyle name="20% - Accent2 2 3 2 2" xfId="5682" xr:uid="{00000000-0005-0000-0000-0000FE150000}"/>
    <cellStyle name="20% - Accent2 2 3 2 2 2" xfId="39634" xr:uid="{8D8E6000-99A6-4B8D-B55C-23670BE1B722}"/>
    <cellStyle name="20% - Accent2 2 3 2 3" xfId="13731" xr:uid="{B286BF50-C4E1-4255-9A44-178925DA250F}"/>
    <cellStyle name="20% - Accent2 2 4" xfId="114" xr:uid="{00000000-0005-0000-0000-000073000000}"/>
    <cellStyle name="20% - Accent2 2 5" xfId="115" xr:uid="{00000000-0005-0000-0000-000074000000}"/>
    <cellStyle name="20% - Accent2 2 6" xfId="116" xr:uid="{00000000-0005-0000-0000-000075000000}"/>
    <cellStyle name="20% - Accent2 2 7" xfId="117" xr:uid="{00000000-0005-0000-0000-000076000000}"/>
    <cellStyle name="20% - Accent2 2 8" xfId="118" xr:uid="{00000000-0005-0000-0000-000077000000}"/>
    <cellStyle name="20% - Accent2 2 9" xfId="119" xr:uid="{00000000-0005-0000-0000-000078000000}"/>
    <cellStyle name="20% - Accent2 3" xfId="120" xr:uid="{00000000-0005-0000-0000-000079000000}"/>
    <cellStyle name="20% - Accent2 3 2" xfId="121" xr:uid="{00000000-0005-0000-0000-00007A000000}"/>
    <cellStyle name="20% - Accent2 3 2 2" xfId="122" xr:uid="{00000000-0005-0000-0000-00007B000000}"/>
    <cellStyle name="20% - Accent2 3 2 2 2" xfId="123" xr:uid="{00000000-0005-0000-0000-00007C000000}"/>
    <cellStyle name="20% - Accent2 3 2 2 2 2" xfId="124" xr:uid="{00000000-0005-0000-0000-00007D000000}"/>
    <cellStyle name="20% - Accent2 3 2 2 2 2 2" xfId="5693" xr:uid="{00000000-0005-0000-0000-000003160000}"/>
    <cellStyle name="20% - Accent2 3 2 2 2 2 2 2" xfId="39639" xr:uid="{4E70A44B-8253-4266-8036-C463349A3956}"/>
    <cellStyle name="20% - Accent2 3 2 2 2 2 3" xfId="13737" xr:uid="{F4F3A9E0-5BEF-4425-A36C-71807325787A}"/>
    <cellStyle name="20% - Accent2 3 2 2 2 3" xfId="5692" xr:uid="{00000000-0005-0000-0000-000002160000}"/>
    <cellStyle name="20% - Accent2 3 2 2 2 3 2" xfId="39638" xr:uid="{3296F0B3-95D8-49DD-A7DE-0589D75A6AB3}"/>
    <cellStyle name="20% - Accent2 3 2 2 2 4" xfId="13736" xr:uid="{B50B4C8D-A1F8-452A-8BF4-1AE175EA7CF6}"/>
    <cellStyle name="20% - Accent2 3 2 2 3" xfId="125" xr:uid="{00000000-0005-0000-0000-00007E000000}"/>
    <cellStyle name="20% - Accent2 3 2 2 3 2" xfId="5694" xr:uid="{00000000-0005-0000-0000-000004160000}"/>
    <cellStyle name="20% - Accent2 3 2 2 3 2 2" xfId="39640" xr:uid="{872040FC-B313-42D1-96CC-069B1FCCF804}"/>
    <cellStyle name="20% - Accent2 3 2 2 3 3" xfId="13738" xr:uid="{C78C6B15-DFEB-44DD-84E6-A8382B1E0378}"/>
    <cellStyle name="20% - Accent2 3 2 2 4" xfId="5691" xr:uid="{00000000-0005-0000-0000-000001160000}"/>
    <cellStyle name="20% - Accent2 3 2 2 4 2" xfId="39637" xr:uid="{79124BA8-CD8D-47FE-A8A1-A30CAC52D8B8}"/>
    <cellStyle name="20% - Accent2 3 2 2 5" xfId="13735" xr:uid="{6A226729-0C85-4B2B-A991-55619C4E4805}"/>
    <cellStyle name="20% - Accent2 3 2 3" xfId="126" xr:uid="{00000000-0005-0000-0000-00007F000000}"/>
    <cellStyle name="20% - Accent2 3 2 3 2" xfId="127" xr:uid="{00000000-0005-0000-0000-000080000000}"/>
    <cellStyle name="20% - Accent2 3 2 3 2 2" xfId="5696" xr:uid="{00000000-0005-0000-0000-000006160000}"/>
    <cellStyle name="20% - Accent2 3 2 3 2 2 2" xfId="39642" xr:uid="{4041B5B3-CE17-4E7F-BA09-1F83B3F27C9B}"/>
    <cellStyle name="20% - Accent2 3 2 3 2 3" xfId="13740" xr:uid="{2D559994-4172-42E2-9657-336591CABE13}"/>
    <cellStyle name="20% - Accent2 3 2 3 3" xfId="5695" xr:uid="{00000000-0005-0000-0000-000005160000}"/>
    <cellStyle name="20% - Accent2 3 2 3 3 2" xfId="39641" xr:uid="{7B440EB3-447F-4DEC-8936-8FFA62CB36A3}"/>
    <cellStyle name="20% - Accent2 3 2 3 4" xfId="13739" xr:uid="{CE9443A7-78A4-464F-81EB-252C143C95AB}"/>
    <cellStyle name="20% - Accent2 3 2 4" xfId="128" xr:uid="{00000000-0005-0000-0000-000081000000}"/>
    <cellStyle name="20% - Accent2 3 2 4 2" xfId="5697" xr:uid="{00000000-0005-0000-0000-000007160000}"/>
    <cellStyle name="20% - Accent2 3 2 4 2 2" xfId="39643" xr:uid="{4D16495E-6535-4DAA-9BE6-998873013C2E}"/>
    <cellStyle name="20% - Accent2 3 2 4 3" xfId="13741" xr:uid="{D8B13405-0B3A-4C79-84B6-39F695F99D04}"/>
    <cellStyle name="20% - Accent2 3 2 5" xfId="5690" xr:uid="{00000000-0005-0000-0000-000000160000}"/>
    <cellStyle name="20% - Accent2 3 2 5 2" xfId="39636" xr:uid="{FD468C2A-3001-445A-89C6-94CFF2CA4CB1}"/>
    <cellStyle name="20% - Accent2 3 2 6" xfId="13734" xr:uid="{689BB1C8-965E-4B1E-B822-768C1C5C5EA2}"/>
    <cellStyle name="20% - Accent2 3 3" xfId="129" xr:uid="{00000000-0005-0000-0000-000082000000}"/>
    <cellStyle name="20% - Accent2 3 3 2" xfId="130" xr:uid="{00000000-0005-0000-0000-000083000000}"/>
    <cellStyle name="20% - Accent2 3 3 2 2" xfId="131" xr:uid="{00000000-0005-0000-0000-000084000000}"/>
    <cellStyle name="20% - Accent2 3 3 2 2 2" xfId="132" xr:uid="{00000000-0005-0000-0000-000085000000}"/>
    <cellStyle name="20% - Accent2 3 3 2 2 2 2" xfId="5701" xr:uid="{00000000-0005-0000-0000-00000B160000}"/>
    <cellStyle name="20% - Accent2 3 3 2 2 2 2 2" xfId="39647" xr:uid="{06E61392-9677-4766-964E-146B1E1CEA32}"/>
    <cellStyle name="20% - Accent2 3 3 2 2 2 3" xfId="13745" xr:uid="{73793F38-F6D1-4717-8FA0-F8C79AF5D579}"/>
    <cellStyle name="20% - Accent2 3 3 2 2 3" xfId="5700" xr:uid="{00000000-0005-0000-0000-00000A160000}"/>
    <cellStyle name="20% - Accent2 3 3 2 2 3 2" xfId="39646" xr:uid="{409A54E3-ED1A-4E07-8498-055EFB46F96E}"/>
    <cellStyle name="20% - Accent2 3 3 2 2 4" xfId="13744" xr:uid="{4DBDAE0A-BEB4-4C74-963F-2FB57FF313F5}"/>
    <cellStyle name="20% - Accent2 3 3 2 3" xfId="133" xr:uid="{00000000-0005-0000-0000-000086000000}"/>
    <cellStyle name="20% - Accent2 3 3 2 3 2" xfId="5702" xr:uid="{00000000-0005-0000-0000-00000C160000}"/>
    <cellStyle name="20% - Accent2 3 3 2 3 2 2" xfId="39648" xr:uid="{E14E82CD-A120-4250-A6DA-645B5032F16A}"/>
    <cellStyle name="20% - Accent2 3 3 2 3 3" xfId="13746" xr:uid="{08F8FB41-E58B-4DED-9CB1-C0C57D885BCF}"/>
    <cellStyle name="20% - Accent2 3 3 2 4" xfId="5699" xr:uid="{00000000-0005-0000-0000-000009160000}"/>
    <cellStyle name="20% - Accent2 3 3 2 4 2" xfId="39645" xr:uid="{7FD4A819-944C-4571-AB6B-AF3AC09BF569}"/>
    <cellStyle name="20% - Accent2 3 3 2 5" xfId="13743" xr:uid="{04622ACD-AFCE-4229-B507-A1A850B66EFE}"/>
    <cellStyle name="20% - Accent2 3 3 3" xfId="134" xr:uid="{00000000-0005-0000-0000-000087000000}"/>
    <cellStyle name="20% - Accent2 3 3 3 2" xfId="135" xr:uid="{00000000-0005-0000-0000-000088000000}"/>
    <cellStyle name="20% - Accent2 3 3 3 2 2" xfId="5704" xr:uid="{00000000-0005-0000-0000-00000E160000}"/>
    <cellStyle name="20% - Accent2 3 3 3 2 2 2" xfId="39650" xr:uid="{F471B110-213C-4D37-99DB-0B859BB12A2C}"/>
    <cellStyle name="20% - Accent2 3 3 3 2 3" xfId="13748" xr:uid="{03E54889-3C39-415B-9A8B-B8F8D983ADB0}"/>
    <cellStyle name="20% - Accent2 3 3 3 3" xfId="5703" xr:uid="{00000000-0005-0000-0000-00000D160000}"/>
    <cellStyle name="20% - Accent2 3 3 3 3 2" xfId="39649" xr:uid="{4D9C46AC-FDB7-487B-BAA8-6FEDA7C3F7AE}"/>
    <cellStyle name="20% - Accent2 3 3 3 4" xfId="13747" xr:uid="{2EB281C2-7CD7-4A4B-A655-E2A81B1DF2FF}"/>
    <cellStyle name="20% - Accent2 3 3 4" xfId="136" xr:uid="{00000000-0005-0000-0000-000089000000}"/>
    <cellStyle name="20% - Accent2 3 3 4 2" xfId="5705" xr:uid="{00000000-0005-0000-0000-00000F160000}"/>
    <cellStyle name="20% - Accent2 3 3 4 2 2" xfId="39651" xr:uid="{86CF1D68-3F6F-4417-AED8-2FD60DC903FB}"/>
    <cellStyle name="20% - Accent2 3 3 4 3" xfId="13749" xr:uid="{9C2D270F-1AB3-497C-B37F-7815C02F4461}"/>
    <cellStyle name="20% - Accent2 3 3 5" xfId="5698" xr:uid="{00000000-0005-0000-0000-000008160000}"/>
    <cellStyle name="20% - Accent2 3 3 5 2" xfId="39644" xr:uid="{41402519-25E9-41E9-AE5F-6C9C3B6F6C07}"/>
    <cellStyle name="20% - Accent2 3 3 6" xfId="13742" xr:uid="{C60DA3FF-44BF-4A6A-BD38-E6932C4C3983}"/>
    <cellStyle name="20% - Accent2 3 4" xfId="137" xr:uid="{00000000-0005-0000-0000-00008A000000}"/>
    <cellStyle name="20% - Accent2 3 4 2" xfId="138" xr:uid="{00000000-0005-0000-0000-00008B000000}"/>
    <cellStyle name="20% - Accent2 3 4 2 2" xfId="139" xr:uid="{00000000-0005-0000-0000-00008C000000}"/>
    <cellStyle name="20% - Accent2 3 4 2 2 2" xfId="5708" xr:uid="{00000000-0005-0000-0000-000012160000}"/>
    <cellStyle name="20% - Accent2 3 4 2 2 2 2" xfId="39654" xr:uid="{B249041D-5981-477B-B2D4-72B7936C529D}"/>
    <cellStyle name="20% - Accent2 3 4 2 2 3" xfId="13752" xr:uid="{AF63A8C2-975A-4263-AF11-75C81C725FB7}"/>
    <cellStyle name="20% - Accent2 3 4 2 3" xfId="5707" xr:uid="{00000000-0005-0000-0000-000011160000}"/>
    <cellStyle name="20% - Accent2 3 4 2 3 2" xfId="39653" xr:uid="{05372B05-8A57-428F-A784-FBA1C9D9BE92}"/>
    <cellStyle name="20% - Accent2 3 4 2 4" xfId="13751" xr:uid="{5B27C105-D5A5-4791-8704-07F9A75BD479}"/>
    <cellStyle name="20% - Accent2 3 4 3" xfId="140" xr:uid="{00000000-0005-0000-0000-00008D000000}"/>
    <cellStyle name="20% - Accent2 3 4 3 2" xfId="5709" xr:uid="{00000000-0005-0000-0000-000013160000}"/>
    <cellStyle name="20% - Accent2 3 4 3 2 2" xfId="39655" xr:uid="{E219AE08-DBE8-4D02-9148-EC621C1A546A}"/>
    <cellStyle name="20% - Accent2 3 4 3 3" xfId="13753" xr:uid="{F050492B-BCFF-49AC-A650-CEF9AF8D69F2}"/>
    <cellStyle name="20% - Accent2 3 4 4" xfId="5706" xr:uid="{00000000-0005-0000-0000-000010160000}"/>
    <cellStyle name="20% - Accent2 3 4 4 2" xfId="39652" xr:uid="{BF4DBA98-AA78-4824-ACE0-6C5816A0AAC4}"/>
    <cellStyle name="20% - Accent2 3 4 5" xfId="13750" xr:uid="{EECC1E76-3F79-4B4F-A061-350CBC1869F0}"/>
    <cellStyle name="20% - Accent2 3 5" xfId="141" xr:uid="{00000000-0005-0000-0000-00008E000000}"/>
    <cellStyle name="20% - Accent2 3 5 2" xfId="142" xr:uid="{00000000-0005-0000-0000-00008F000000}"/>
    <cellStyle name="20% - Accent2 3 5 2 2" xfId="5711" xr:uid="{00000000-0005-0000-0000-000015160000}"/>
    <cellStyle name="20% - Accent2 3 5 2 2 2" xfId="39657" xr:uid="{D67E3DB5-CFA7-4F96-9CBE-043743E67390}"/>
    <cellStyle name="20% - Accent2 3 5 2 3" xfId="13755" xr:uid="{C8CFF9C6-0BED-4840-B0A9-8E164A1B3F1A}"/>
    <cellStyle name="20% - Accent2 3 5 3" xfId="5710" xr:uid="{00000000-0005-0000-0000-000014160000}"/>
    <cellStyle name="20% - Accent2 3 5 3 2" xfId="39656" xr:uid="{20512338-5777-4CDF-BBE5-5F9D86F0C250}"/>
    <cellStyle name="20% - Accent2 3 5 4" xfId="13754" xr:uid="{6949F4EF-6D6A-4B7E-BD46-AB6C1748F2E4}"/>
    <cellStyle name="20% - Accent2 3 6" xfId="143" xr:uid="{00000000-0005-0000-0000-000090000000}"/>
    <cellStyle name="20% - Accent2 3 6 2" xfId="5712" xr:uid="{00000000-0005-0000-0000-000016160000}"/>
    <cellStyle name="20% - Accent2 3 6 2 2" xfId="39658" xr:uid="{0E4FA09D-2450-4C75-B401-31AB763D61D6}"/>
    <cellStyle name="20% - Accent2 3 6 3" xfId="13756" xr:uid="{2EEA2A88-3228-4C8F-BC02-2068B4EB6F90}"/>
    <cellStyle name="20% - Accent2 3 7" xfId="5689" xr:uid="{00000000-0005-0000-0000-0000FF150000}"/>
    <cellStyle name="20% - Accent2 3 7 2" xfId="39635" xr:uid="{EC789B58-A752-4E88-BC29-40ED02AAD902}"/>
    <cellStyle name="20% - Accent2 3 8" xfId="13733" xr:uid="{2CBDABF8-47CC-4851-A170-4DE46527A7EA}"/>
    <cellStyle name="20% - Accent2 4" xfId="144" xr:uid="{00000000-0005-0000-0000-000091000000}"/>
    <cellStyle name="20% - Accent2 4 2" xfId="5713" xr:uid="{00000000-0005-0000-0000-000017160000}"/>
    <cellStyle name="20% - Accent2 4 2 2" xfId="39659" xr:uid="{FF48C1CF-31FF-41CE-A396-5ADA822EE0E8}"/>
    <cellStyle name="20% - Accent2 4 3" xfId="13757" xr:uid="{860A7FBF-D14E-4146-A039-EA28912FBFDF}"/>
    <cellStyle name="20% - Accent2 5" xfId="145" xr:uid="{00000000-0005-0000-0000-000092000000}"/>
    <cellStyle name="20% - Accent2 5 2" xfId="5714" xr:uid="{00000000-0005-0000-0000-000018160000}"/>
    <cellStyle name="20% - Accent2 5 2 2" xfId="39660" xr:uid="{FFD11E1E-D16A-45DB-AD4F-56F357EF04B5}"/>
    <cellStyle name="20% - Accent2 5 3" xfId="13758" xr:uid="{CF026468-A82B-4583-90E5-1DDD69FCCF35}"/>
    <cellStyle name="20% - Accent2 6" xfId="146" xr:uid="{00000000-0005-0000-0000-000093000000}"/>
    <cellStyle name="20% - Accent2 6 2" xfId="5715" xr:uid="{00000000-0005-0000-0000-000019160000}"/>
    <cellStyle name="20% - Accent2 6 2 2" xfId="39661" xr:uid="{D373BEB7-AA2B-417D-97C6-3B086D09B2E7}"/>
    <cellStyle name="20% - Accent2 6 3" xfId="13759" xr:uid="{B6A77CD3-F428-42DC-95DD-61A4E662C95D}"/>
    <cellStyle name="20% - Accent2 7" xfId="147" xr:uid="{00000000-0005-0000-0000-000094000000}"/>
    <cellStyle name="20% - Accent2 7 2" xfId="5716" xr:uid="{00000000-0005-0000-0000-00001A160000}"/>
    <cellStyle name="20% - Accent2 7 2 2" xfId="39662" xr:uid="{4E413CEC-AF46-4A64-93F7-5302ACC5626D}"/>
    <cellStyle name="20% - Accent2 7 3" xfId="13760" xr:uid="{3EC232E9-B9D9-442E-B9B9-2AFED73BAE57}"/>
    <cellStyle name="20% - Accent2 8" xfId="148" xr:uid="{00000000-0005-0000-0000-000095000000}"/>
    <cellStyle name="20% - Accent2 8 2" xfId="5717" xr:uid="{00000000-0005-0000-0000-00001B160000}"/>
    <cellStyle name="20% - Accent2 8 2 2" xfId="39663" xr:uid="{60C6F713-47E0-419D-8714-CF8C4962E3E0}"/>
    <cellStyle name="20% - Accent2 8 3" xfId="13761" xr:uid="{5F2CC820-1AAE-44A1-AC6D-A3A7C7FED84C}"/>
    <cellStyle name="20% - Accent2 9" xfId="149" xr:uid="{00000000-0005-0000-0000-000096000000}"/>
    <cellStyle name="20% - Accent2 9 2" xfId="5718" xr:uid="{00000000-0005-0000-0000-00001C160000}"/>
    <cellStyle name="20% - Accent2 9 2 2" xfId="39664" xr:uid="{037C1B20-6B43-4226-A6C8-3261ADBAF5F1}"/>
    <cellStyle name="20% - Accent2 9 3" xfId="16591" xr:uid="{BC11BAC5-9FA9-4125-95F1-ECAFFA625EA1}"/>
    <cellStyle name="20% - Accent3" xfId="5550" builtinId="38" customBuiltin="1"/>
    <cellStyle name="20% - Accent3 2" xfId="150" xr:uid="{00000000-0005-0000-0000-000098000000}"/>
    <cellStyle name="20% - Accent3 2 10" xfId="151" xr:uid="{00000000-0005-0000-0000-000099000000}"/>
    <cellStyle name="20% - Accent3 2 10 2" xfId="5720" xr:uid="{00000000-0005-0000-0000-00001D160000}"/>
    <cellStyle name="20% - Accent3 2 10 2 2" xfId="39665" xr:uid="{5A039244-315B-473B-A557-01E37E91A899}"/>
    <cellStyle name="20% - Accent3 2 10 3" xfId="13762" xr:uid="{BCC91828-A71F-4A82-8D3C-D8B54B7D76E1}"/>
    <cellStyle name="20% - Accent3 2 2" xfId="152" xr:uid="{00000000-0005-0000-0000-00009A000000}"/>
    <cellStyle name="20% - Accent3 2 2 2" xfId="153" xr:uid="{00000000-0005-0000-0000-00009B000000}"/>
    <cellStyle name="20% - Accent3 2 2 2 2" xfId="5722" xr:uid="{00000000-0005-0000-0000-00001E160000}"/>
    <cellStyle name="20% - Accent3 2 2 2 2 2" xfId="39666" xr:uid="{2584BD05-B641-4F40-AFE9-FD6018AE8557}"/>
    <cellStyle name="20% - Accent3 2 2 2 3" xfId="13763" xr:uid="{BCCD8AFD-6E88-4C51-8D6B-F459DA113CA7}"/>
    <cellStyle name="20% - Accent3 2 2 3" xfId="154" xr:uid="{00000000-0005-0000-0000-00009C000000}"/>
    <cellStyle name="20% - Accent3 2 2 3 2" xfId="5723" xr:uid="{00000000-0005-0000-0000-00001F160000}"/>
    <cellStyle name="20% - Accent3 2 2 3 2 2" xfId="39667" xr:uid="{1D129072-4353-4D53-BC0F-1B5C2A468A72}"/>
    <cellStyle name="20% - Accent3 2 2 3 3" xfId="13764" xr:uid="{1ABDC64C-F951-4D24-86BD-F05FA7C3133B}"/>
    <cellStyle name="20% - Accent3 2 3" xfId="155" xr:uid="{00000000-0005-0000-0000-00009D000000}"/>
    <cellStyle name="20% - Accent3 2 3 2" xfId="156" xr:uid="{00000000-0005-0000-0000-00009E000000}"/>
    <cellStyle name="20% - Accent3 2 3 2 2" xfId="5725" xr:uid="{00000000-0005-0000-0000-000020160000}"/>
    <cellStyle name="20% - Accent3 2 3 2 2 2" xfId="39668" xr:uid="{45DAEB59-BCB6-4445-A7EA-AE6929BF66F9}"/>
    <cellStyle name="20% - Accent3 2 3 2 3" xfId="13765" xr:uid="{A6E60D1D-7AA3-4FD0-A301-5A3282533426}"/>
    <cellStyle name="20% - Accent3 2 4" xfId="157" xr:uid="{00000000-0005-0000-0000-00009F000000}"/>
    <cellStyle name="20% - Accent3 2 5" xfId="158" xr:uid="{00000000-0005-0000-0000-0000A0000000}"/>
    <cellStyle name="20% - Accent3 2 6" xfId="159" xr:uid="{00000000-0005-0000-0000-0000A1000000}"/>
    <cellStyle name="20% - Accent3 2 7" xfId="160" xr:uid="{00000000-0005-0000-0000-0000A2000000}"/>
    <cellStyle name="20% - Accent3 2 8" xfId="161" xr:uid="{00000000-0005-0000-0000-0000A3000000}"/>
    <cellStyle name="20% - Accent3 2 9" xfId="162" xr:uid="{00000000-0005-0000-0000-0000A4000000}"/>
    <cellStyle name="20% - Accent3 3" xfId="163" xr:uid="{00000000-0005-0000-0000-0000A5000000}"/>
    <cellStyle name="20% - Accent3 3 2" xfId="164" xr:uid="{00000000-0005-0000-0000-0000A6000000}"/>
    <cellStyle name="20% - Accent3 3 2 2" xfId="165" xr:uid="{00000000-0005-0000-0000-0000A7000000}"/>
    <cellStyle name="20% - Accent3 3 2 2 2" xfId="166" xr:uid="{00000000-0005-0000-0000-0000A8000000}"/>
    <cellStyle name="20% - Accent3 3 2 2 2 2" xfId="167" xr:uid="{00000000-0005-0000-0000-0000A9000000}"/>
    <cellStyle name="20% - Accent3 3 2 2 2 2 2" xfId="5736" xr:uid="{00000000-0005-0000-0000-000025160000}"/>
    <cellStyle name="20% - Accent3 3 2 2 2 2 2 2" xfId="39675" xr:uid="{8EA615A9-39C8-4F37-A3B8-1DF1BDDEFFB7}"/>
    <cellStyle name="20% - Accent3 3 2 2 2 2 3" xfId="13772" xr:uid="{0EA4B0C1-8822-4885-A05B-C2FB1E20E082}"/>
    <cellStyle name="20% - Accent3 3 2 2 2 3" xfId="5735" xr:uid="{00000000-0005-0000-0000-000024160000}"/>
    <cellStyle name="20% - Accent3 3 2 2 2 3 2" xfId="39674" xr:uid="{11B2AD1A-DFBF-49D4-BB91-F8168BE1D48D}"/>
    <cellStyle name="20% - Accent3 3 2 2 2 4" xfId="13771" xr:uid="{088BB53B-50D3-4C13-9D4B-D33E42F14B7F}"/>
    <cellStyle name="20% - Accent3 3 2 2 3" xfId="168" xr:uid="{00000000-0005-0000-0000-0000AA000000}"/>
    <cellStyle name="20% - Accent3 3 2 2 3 2" xfId="5737" xr:uid="{00000000-0005-0000-0000-000026160000}"/>
    <cellStyle name="20% - Accent3 3 2 2 3 2 2" xfId="39676" xr:uid="{D441CB65-DDFC-4686-8E55-486CF0C32534}"/>
    <cellStyle name="20% - Accent3 3 2 2 3 3" xfId="13773" xr:uid="{86A7A403-2572-4967-A18D-962FAAB2C093}"/>
    <cellStyle name="20% - Accent3 3 2 2 4" xfId="5734" xr:uid="{00000000-0005-0000-0000-000023160000}"/>
    <cellStyle name="20% - Accent3 3 2 2 4 2" xfId="39673" xr:uid="{D620B6DD-7A8B-4594-AF05-234340386B45}"/>
    <cellStyle name="20% - Accent3 3 2 2 5" xfId="13770" xr:uid="{A09FA9ED-518B-467C-9B17-C7201E49E77E}"/>
    <cellStyle name="20% - Accent3 3 2 3" xfId="169" xr:uid="{00000000-0005-0000-0000-0000AB000000}"/>
    <cellStyle name="20% - Accent3 3 2 3 2" xfId="170" xr:uid="{00000000-0005-0000-0000-0000AC000000}"/>
    <cellStyle name="20% - Accent3 3 2 3 2 2" xfId="5739" xr:uid="{00000000-0005-0000-0000-000028160000}"/>
    <cellStyle name="20% - Accent3 3 2 3 2 2 2" xfId="39678" xr:uid="{4C5B6AFA-AEE8-4908-9351-AE71F4C1255A}"/>
    <cellStyle name="20% - Accent3 3 2 3 2 3" xfId="13775" xr:uid="{924CF622-517A-4F56-8BF8-129856057EE4}"/>
    <cellStyle name="20% - Accent3 3 2 3 3" xfId="5738" xr:uid="{00000000-0005-0000-0000-000027160000}"/>
    <cellStyle name="20% - Accent3 3 2 3 3 2" xfId="39677" xr:uid="{8F6120AC-17BC-4361-BA69-638421922C9C}"/>
    <cellStyle name="20% - Accent3 3 2 3 4" xfId="13774" xr:uid="{67709D2D-409E-4121-BD41-7E99E5C4B3A1}"/>
    <cellStyle name="20% - Accent3 3 2 4" xfId="171" xr:uid="{00000000-0005-0000-0000-0000AD000000}"/>
    <cellStyle name="20% - Accent3 3 2 4 2" xfId="5740" xr:uid="{00000000-0005-0000-0000-000029160000}"/>
    <cellStyle name="20% - Accent3 3 2 4 2 2" xfId="39679" xr:uid="{A8E38866-616D-4A7A-BC62-46A57836FA20}"/>
    <cellStyle name="20% - Accent3 3 2 4 3" xfId="13776" xr:uid="{E8718B3A-66B3-43F3-877E-C7C9EBA7F939}"/>
    <cellStyle name="20% - Accent3 3 2 5" xfId="5733" xr:uid="{00000000-0005-0000-0000-000022160000}"/>
    <cellStyle name="20% - Accent3 3 2 5 2" xfId="39672" xr:uid="{1246ECD7-9B9D-4B27-BBDE-B371173CF02D}"/>
    <cellStyle name="20% - Accent3 3 2 6" xfId="13769" xr:uid="{1C242494-480F-4C65-833D-113DE8994C5A}"/>
    <cellStyle name="20% - Accent3 3 3" xfId="172" xr:uid="{00000000-0005-0000-0000-0000AE000000}"/>
    <cellStyle name="20% - Accent3 3 3 2" xfId="173" xr:uid="{00000000-0005-0000-0000-0000AF000000}"/>
    <cellStyle name="20% - Accent3 3 3 2 2" xfId="174" xr:uid="{00000000-0005-0000-0000-0000B0000000}"/>
    <cellStyle name="20% - Accent3 3 3 2 2 2" xfId="175" xr:uid="{00000000-0005-0000-0000-0000B1000000}"/>
    <cellStyle name="20% - Accent3 3 3 2 2 2 2" xfId="5744" xr:uid="{00000000-0005-0000-0000-00002D160000}"/>
    <cellStyle name="20% - Accent3 3 3 2 2 2 2 2" xfId="39683" xr:uid="{EC6AC274-8105-41F6-B07A-E845574675FE}"/>
    <cellStyle name="20% - Accent3 3 3 2 2 2 3" xfId="13780" xr:uid="{B6A7EF64-0F30-471C-A40E-FC23F9C08DC4}"/>
    <cellStyle name="20% - Accent3 3 3 2 2 3" xfId="5743" xr:uid="{00000000-0005-0000-0000-00002C160000}"/>
    <cellStyle name="20% - Accent3 3 3 2 2 3 2" xfId="39682" xr:uid="{DEC6DE9A-2196-4633-8D87-391ED564A45E}"/>
    <cellStyle name="20% - Accent3 3 3 2 2 4" xfId="13779" xr:uid="{3C9F051B-2C1A-4F74-B263-E936665C199A}"/>
    <cellStyle name="20% - Accent3 3 3 2 3" xfId="176" xr:uid="{00000000-0005-0000-0000-0000B2000000}"/>
    <cellStyle name="20% - Accent3 3 3 2 3 2" xfId="5745" xr:uid="{00000000-0005-0000-0000-00002E160000}"/>
    <cellStyle name="20% - Accent3 3 3 2 3 2 2" xfId="39684" xr:uid="{451D41A0-EFA9-4BAE-AA5C-5798772E6C81}"/>
    <cellStyle name="20% - Accent3 3 3 2 3 3" xfId="13781" xr:uid="{591B4E80-403F-4231-B11E-0DDCB2D4384C}"/>
    <cellStyle name="20% - Accent3 3 3 2 4" xfId="5742" xr:uid="{00000000-0005-0000-0000-00002B160000}"/>
    <cellStyle name="20% - Accent3 3 3 2 4 2" xfId="39681" xr:uid="{7451364A-798A-498B-89B4-8BF6BF2DCAED}"/>
    <cellStyle name="20% - Accent3 3 3 2 5" xfId="13778" xr:uid="{A0D4E3B1-8739-4D91-AB15-9E2ABF814230}"/>
    <cellStyle name="20% - Accent3 3 3 3" xfId="177" xr:uid="{00000000-0005-0000-0000-0000B3000000}"/>
    <cellStyle name="20% - Accent3 3 3 3 2" xfId="178" xr:uid="{00000000-0005-0000-0000-0000B4000000}"/>
    <cellStyle name="20% - Accent3 3 3 3 2 2" xfId="5747" xr:uid="{00000000-0005-0000-0000-000030160000}"/>
    <cellStyle name="20% - Accent3 3 3 3 2 2 2" xfId="39686" xr:uid="{1B8CD686-83F8-4050-BE82-46EA8AF99A69}"/>
    <cellStyle name="20% - Accent3 3 3 3 2 3" xfId="13783" xr:uid="{445AB78B-537A-4242-8918-5C4D96E89FC6}"/>
    <cellStyle name="20% - Accent3 3 3 3 3" xfId="5746" xr:uid="{00000000-0005-0000-0000-00002F160000}"/>
    <cellStyle name="20% - Accent3 3 3 3 3 2" xfId="39685" xr:uid="{779EB247-DD8A-4AC8-8EA4-6CCC566C4E07}"/>
    <cellStyle name="20% - Accent3 3 3 3 4" xfId="13782" xr:uid="{7C3D01AE-EDF1-4FA6-ACE6-52D0BBDA3AC8}"/>
    <cellStyle name="20% - Accent3 3 3 4" xfId="179" xr:uid="{00000000-0005-0000-0000-0000B5000000}"/>
    <cellStyle name="20% - Accent3 3 3 4 2" xfId="5748" xr:uid="{00000000-0005-0000-0000-000031160000}"/>
    <cellStyle name="20% - Accent3 3 3 4 2 2" xfId="39687" xr:uid="{25D1BD55-BBA9-430E-98F3-40A4B113EE20}"/>
    <cellStyle name="20% - Accent3 3 3 4 3" xfId="13784" xr:uid="{11B12729-51C1-4BFD-9262-0D0416CF1352}"/>
    <cellStyle name="20% - Accent3 3 3 5" xfId="5741" xr:uid="{00000000-0005-0000-0000-00002A160000}"/>
    <cellStyle name="20% - Accent3 3 3 5 2" xfId="39680" xr:uid="{83CA3909-D134-4DBD-AB12-281F73A34E08}"/>
    <cellStyle name="20% - Accent3 3 3 6" xfId="13777" xr:uid="{6208E228-DDEA-4462-B526-E686AD8931A1}"/>
    <cellStyle name="20% - Accent3 3 4" xfId="180" xr:uid="{00000000-0005-0000-0000-0000B6000000}"/>
    <cellStyle name="20% - Accent3 3 4 2" xfId="181" xr:uid="{00000000-0005-0000-0000-0000B7000000}"/>
    <cellStyle name="20% - Accent3 3 4 2 2" xfId="182" xr:uid="{00000000-0005-0000-0000-0000B8000000}"/>
    <cellStyle name="20% - Accent3 3 4 2 2 2" xfId="5751" xr:uid="{00000000-0005-0000-0000-000034160000}"/>
    <cellStyle name="20% - Accent3 3 4 2 2 2 2" xfId="39690" xr:uid="{AE39C894-F59B-4885-B195-2A0796F9BB35}"/>
    <cellStyle name="20% - Accent3 3 4 2 2 3" xfId="13787" xr:uid="{3EF737ED-6630-4FC1-A50B-229128E72689}"/>
    <cellStyle name="20% - Accent3 3 4 2 3" xfId="5750" xr:uid="{00000000-0005-0000-0000-000033160000}"/>
    <cellStyle name="20% - Accent3 3 4 2 3 2" xfId="39689" xr:uid="{34244CEB-E4B1-402B-BD3B-1C95AF7D2E88}"/>
    <cellStyle name="20% - Accent3 3 4 2 4" xfId="13786" xr:uid="{4670FF3D-77DC-446A-B05A-59066B1F439C}"/>
    <cellStyle name="20% - Accent3 3 4 3" xfId="183" xr:uid="{00000000-0005-0000-0000-0000B9000000}"/>
    <cellStyle name="20% - Accent3 3 4 3 2" xfId="5752" xr:uid="{00000000-0005-0000-0000-000035160000}"/>
    <cellStyle name="20% - Accent3 3 4 3 2 2" xfId="39691" xr:uid="{88B4A8A0-9061-4D5E-956A-5CBCCA4791FA}"/>
    <cellStyle name="20% - Accent3 3 4 3 3" xfId="13788" xr:uid="{F884FC50-3CE3-448C-BB3B-6795DF1C1B83}"/>
    <cellStyle name="20% - Accent3 3 4 4" xfId="5749" xr:uid="{00000000-0005-0000-0000-000032160000}"/>
    <cellStyle name="20% - Accent3 3 4 4 2" xfId="39688" xr:uid="{77DC5800-C71F-4CD8-AB22-FA555490D461}"/>
    <cellStyle name="20% - Accent3 3 4 5" xfId="13785" xr:uid="{C396E108-6CAE-45FA-AF57-F99CF70610F4}"/>
    <cellStyle name="20% - Accent3 3 5" xfId="184" xr:uid="{00000000-0005-0000-0000-0000BA000000}"/>
    <cellStyle name="20% - Accent3 3 5 2" xfId="185" xr:uid="{00000000-0005-0000-0000-0000BB000000}"/>
    <cellStyle name="20% - Accent3 3 5 2 2" xfId="5754" xr:uid="{00000000-0005-0000-0000-000037160000}"/>
    <cellStyle name="20% - Accent3 3 5 2 2 2" xfId="39693" xr:uid="{712E8458-5164-4848-87A6-E8EFA2223F95}"/>
    <cellStyle name="20% - Accent3 3 5 2 3" xfId="13790" xr:uid="{091426D9-55AF-4A79-ACB2-5F75221FB084}"/>
    <cellStyle name="20% - Accent3 3 5 3" xfId="5753" xr:uid="{00000000-0005-0000-0000-000036160000}"/>
    <cellStyle name="20% - Accent3 3 5 3 2" xfId="39692" xr:uid="{31C0F254-F882-4643-A1E3-21C18F9A8254}"/>
    <cellStyle name="20% - Accent3 3 5 4" xfId="13789" xr:uid="{6F1E35D0-C00C-4A0E-9CC0-B9EBBF9F8C29}"/>
    <cellStyle name="20% - Accent3 3 6" xfId="186" xr:uid="{00000000-0005-0000-0000-0000BC000000}"/>
    <cellStyle name="20% - Accent3 3 6 2" xfId="5755" xr:uid="{00000000-0005-0000-0000-000038160000}"/>
    <cellStyle name="20% - Accent3 3 6 2 2" xfId="39694" xr:uid="{CFAA66E1-242C-4037-B9E0-256E75FC69CE}"/>
    <cellStyle name="20% - Accent3 3 6 3" xfId="13791" xr:uid="{C9D94224-1302-45DF-81F8-1DFA0CD28DA6}"/>
    <cellStyle name="20% - Accent3 3 7" xfId="5732" xr:uid="{00000000-0005-0000-0000-000021160000}"/>
    <cellStyle name="20% - Accent3 3 7 2" xfId="39671" xr:uid="{E63FA002-8E19-4F5B-8317-61981E3B4F30}"/>
    <cellStyle name="20% - Accent3 3 8" xfId="13768" xr:uid="{54F0F2FB-DB79-44D3-9B08-CB36EA5E7614}"/>
    <cellStyle name="20% - Accent3 4" xfId="187" xr:uid="{00000000-0005-0000-0000-0000BD000000}"/>
    <cellStyle name="20% - Accent3 4 2" xfId="5756" xr:uid="{00000000-0005-0000-0000-000039160000}"/>
    <cellStyle name="20% - Accent3 4 2 2" xfId="39695" xr:uid="{F23D007A-1306-4550-BED6-BFF88C4C5635}"/>
    <cellStyle name="20% - Accent3 4 3" xfId="13792" xr:uid="{FAD59525-4F51-4849-BA02-9153EE00ABBD}"/>
    <cellStyle name="20% - Accent3 5" xfId="188" xr:uid="{00000000-0005-0000-0000-0000BE000000}"/>
    <cellStyle name="20% - Accent3 5 2" xfId="5757" xr:uid="{00000000-0005-0000-0000-00003A160000}"/>
    <cellStyle name="20% - Accent3 5 2 2" xfId="39696" xr:uid="{BDE82C2F-4B82-4133-9780-276917724DBB}"/>
    <cellStyle name="20% - Accent3 5 3" xfId="13793" xr:uid="{542E185F-0B6B-4F5E-9E08-44A4BECCAD35}"/>
    <cellStyle name="20% - Accent3 6" xfId="189" xr:uid="{00000000-0005-0000-0000-0000BF000000}"/>
    <cellStyle name="20% - Accent3 6 2" xfId="5758" xr:uid="{00000000-0005-0000-0000-00003B160000}"/>
    <cellStyle name="20% - Accent3 6 2 2" xfId="39697" xr:uid="{39716BB0-3C45-4287-A8B0-32FB03101B35}"/>
    <cellStyle name="20% - Accent3 6 3" xfId="13794" xr:uid="{55C8F4B5-62AC-4AB3-B124-E4744761FE31}"/>
    <cellStyle name="20% - Accent3 7" xfId="190" xr:uid="{00000000-0005-0000-0000-0000C0000000}"/>
    <cellStyle name="20% - Accent3 7 2" xfId="5759" xr:uid="{00000000-0005-0000-0000-00003C160000}"/>
    <cellStyle name="20% - Accent3 7 2 2" xfId="39698" xr:uid="{4BAC35C0-153B-4C80-B0C9-7CB22104F40F}"/>
    <cellStyle name="20% - Accent3 7 3" xfId="13795" xr:uid="{C5ED35DA-F079-4809-88D0-A5FAD775D7CB}"/>
    <cellStyle name="20% - Accent3 8" xfId="191" xr:uid="{00000000-0005-0000-0000-0000C1000000}"/>
    <cellStyle name="20% - Accent3 8 2" xfId="5760" xr:uid="{00000000-0005-0000-0000-00003D160000}"/>
    <cellStyle name="20% - Accent3 8 2 2" xfId="39699" xr:uid="{02769F0C-5C41-4BC4-9F2C-AA5FDA6FB99B}"/>
    <cellStyle name="20% - Accent3 8 3" xfId="13796" xr:uid="{A47774C8-8248-45D0-96C2-DA1FB65B6F7B}"/>
    <cellStyle name="20% - Accent3 9" xfId="192" xr:uid="{00000000-0005-0000-0000-0000C2000000}"/>
    <cellStyle name="20% - Accent3 9 2" xfId="5761" xr:uid="{00000000-0005-0000-0000-00003E160000}"/>
    <cellStyle name="20% - Accent3 9 2 2" xfId="39700" xr:uid="{4C53A739-5A69-468E-AE8E-9F8727B3A7DE}"/>
    <cellStyle name="20% - Accent3 9 3" xfId="16592" xr:uid="{2B5FE031-2A8C-4548-BCD2-46FDA635837B}"/>
    <cellStyle name="20% - Accent4" xfId="5553" builtinId="42" customBuiltin="1"/>
    <cellStyle name="20% - Accent4 2" xfId="193" xr:uid="{00000000-0005-0000-0000-0000C4000000}"/>
    <cellStyle name="20% - Accent4 2 10" xfId="194" xr:uid="{00000000-0005-0000-0000-0000C5000000}"/>
    <cellStyle name="20% - Accent4 2 10 2" xfId="5763" xr:uid="{00000000-0005-0000-0000-00003F160000}"/>
    <cellStyle name="20% - Accent4 2 10 2 2" xfId="39701" xr:uid="{0BE0E37D-3C5E-4BF4-A74B-347BDC96ED8A}"/>
    <cellStyle name="20% - Accent4 2 10 3" xfId="13797" xr:uid="{B80D8E0E-B734-4FBD-BAAF-9B34983C3989}"/>
    <cellStyle name="20% - Accent4 2 2" xfId="195" xr:uid="{00000000-0005-0000-0000-0000C6000000}"/>
    <cellStyle name="20% - Accent4 2 2 2" xfId="196" xr:uid="{00000000-0005-0000-0000-0000C7000000}"/>
    <cellStyle name="20% - Accent4 2 2 2 2" xfId="5765" xr:uid="{00000000-0005-0000-0000-000040160000}"/>
    <cellStyle name="20% - Accent4 2 2 2 2 2" xfId="39702" xr:uid="{918D8826-09DC-45FB-8B3E-25214558C030}"/>
    <cellStyle name="20% - Accent4 2 2 2 3" xfId="13799" xr:uid="{1F8ED978-8159-4D1B-9CF5-078D0209DA5C}"/>
    <cellStyle name="20% - Accent4 2 2 3" xfId="197" xr:uid="{00000000-0005-0000-0000-0000C8000000}"/>
    <cellStyle name="20% - Accent4 2 2 3 2" xfId="5766" xr:uid="{00000000-0005-0000-0000-000041160000}"/>
    <cellStyle name="20% - Accent4 2 2 3 2 2" xfId="39703" xr:uid="{BFDB1421-4193-47EF-8534-58029DA787B1}"/>
    <cellStyle name="20% - Accent4 2 2 3 3" xfId="13800" xr:uid="{AB371BE2-6DFF-48F2-9818-4C3609062709}"/>
    <cellStyle name="20% - Accent4 2 3" xfId="198" xr:uid="{00000000-0005-0000-0000-0000C9000000}"/>
    <cellStyle name="20% - Accent4 2 3 2" xfId="199" xr:uid="{00000000-0005-0000-0000-0000CA000000}"/>
    <cellStyle name="20% - Accent4 2 3 2 2" xfId="5768" xr:uid="{00000000-0005-0000-0000-000042160000}"/>
    <cellStyle name="20% - Accent4 2 3 2 2 2" xfId="39704" xr:uid="{8A71DD4D-9DDD-46D9-9D65-3D4EB69E0B80}"/>
    <cellStyle name="20% - Accent4 2 3 2 3" xfId="13801" xr:uid="{CBE5DB88-0440-41EB-AB14-001F2E119F0D}"/>
    <cellStyle name="20% - Accent4 2 4" xfId="200" xr:uid="{00000000-0005-0000-0000-0000CB000000}"/>
    <cellStyle name="20% - Accent4 2 5" xfId="201" xr:uid="{00000000-0005-0000-0000-0000CC000000}"/>
    <cellStyle name="20% - Accent4 2 6" xfId="202" xr:uid="{00000000-0005-0000-0000-0000CD000000}"/>
    <cellStyle name="20% - Accent4 2 7" xfId="203" xr:uid="{00000000-0005-0000-0000-0000CE000000}"/>
    <cellStyle name="20% - Accent4 2 8" xfId="204" xr:uid="{00000000-0005-0000-0000-0000CF000000}"/>
    <cellStyle name="20% - Accent4 2 9" xfId="205" xr:uid="{00000000-0005-0000-0000-0000D0000000}"/>
    <cellStyle name="20% - Accent4 3" xfId="206" xr:uid="{00000000-0005-0000-0000-0000D1000000}"/>
    <cellStyle name="20% - Accent4 3 2" xfId="207" xr:uid="{00000000-0005-0000-0000-0000D2000000}"/>
    <cellStyle name="20% - Accent4 3 2 2" xfId="208" xr:uid="{00000000-0005-0000-0000-0000D3000000}"/>
    <cellStyle name="20% - Accent4 3 2 2 2" xfId="209" xr:uid="{00000000-0005-0000-0000-0000D4000000}"/>
    <cellStyle name="20% - Accent4 3 2 2 2 2" xfId="210" xr:uid="{00000000-0005-0000-0000-0000D5000000}"/>
    <cellStyle name="20% - Accent4 3 2 2 2 2 2" xfId="5779" xr:uid="{00000000-0005-0000-0000-000047160000}"/>
    <cellStyle name="20% - Accent4 3 2 2 2 2 2 2" xfId="39713" xr:uid="{5013D6EE-3EE9-439D-99AA-F390B3EF2AB8}"/>
    <cellStyle name="20% - Accent4 3 2 2 2 2 3" xfId="13809" xr:uid="{E8B58564-32DA-49A1-A64E-4FB03F029A92}"/>
    <cellStyle name="20% - Accent4 3 2 2 2 3" xfId="5778" xr:uid="{00000000-0005-0000-0000-000046160000}"/>
    <cellStyle name="20% - Accent4 3 2 2 2 3 2" xfId="39712" xr:uid="{88CAC2ED-E599-434D-9262-12F6EDFFDECC}"/>
    <cellStyle name="20% - Accent4 3 2 2 2 4" xfId="13808" xr:uid="{F25843C8-FA9A-4018-9528-F97AAC9AF0DB}"/>
    <cellStyle name="20% - Accent4 3 2 2 3" xfId="211" xr:uid="{00000000-0005-0000-0000-0000D6000000}"/>
    <cellStyle name="20% - Accent4 3 2 2 3 2" xfId="5780" xr:uid="{00000000-0005-0000-0000-000048160000}"/>
    <cellStyle name="20% - Accent4 3 2 2 3 2 2" xfId="39714" xr:uid="{F2FF6CDD-B1ED-4A4B-8535-8ACF6C48EC07}"/>
    <cellStyle name="20% - Accent4 3 2 2 3 3" xfId="13810" xr:uid="{65965AF5-A190-4ED2-A790-3BE76632EE6B}"/>
    <cellStyle name="20% - Accent4 3 2 2 4" xfId="5777" xr:uid="{00000000-0005-0000-0000-000045160000}"/>
    <cellStyle name="20% - Accent4 3 2 2 4 2" xfId="39711" xr:uid="{9BEB6869-D977-42B1-940D-C5F8695169A1}"/>
    <cellStyle name="20% - Accent4 3 2 2 5" xfId="13807" xr:uid="{1344AC6F-5D03-4C2D-92BA-1B27399DAC2E}"/>
    <cellStyle name="20% - Accent4 3 2 3" xfId="212" xr:uid="{00000000-0005-0000-0000-0000D7000000}"/>
    <cellStyle name="20% - Accent4 3 2 3 2" xfId="213" xr:uid="{00000000-0005-0000-0000-0000D8000000}"/>
    <cellStyle name="20% - Accent4 3 2 3 2 2" xfId="5782" xr:uid="{00000000-0005-0000-0000-00004A160000}"/>
    <cellStyle name="20% - Accent4 3 2 3 2 2 2" xfId="39716" xr:uid="{E7F6E3A9-0E9B-453A-B379-7B74807BBEC7}"/>
    <cellStyle name="20% - Accent4 3 2 3 2 3" xfId="13812" xr:uid="{30E72FB3-30D2-49DE-913D-43DF8BDAEFE9}"/>
    <cellStyle name="20% - Accent4 3 2 3 3" xfId="5781" xr:uid="{00000000-0005-0000-0000-000049160000}"/>
    <cellStyle name="20% - Accent4 3 2 3 3 2" xfId="39715" xr:uid="{A01AB075-3C29-4A60-A6E9-169F07EB2C47}"/>
    <cellStyle name="20% - Accent4 3 2 3 4" xfId="13811" xr:uid="{D0559DF2-14F4-4372-94F5-AB3577AA071A}"/>
    <cellStyle name="20% - Accent4 3 2 4" xfId="214" xr:uid="{00000000-0005-0000-0000-0000D9000000}"/>
    <cellStyle name="20% - Accent4 3 2 4 2" xfId="5783" xr:uid="{00000000-0005-0000-0000-00004B160000}"/>
    <cellStyle name="20% - Accent4 3 2 4 2 2" xfId="39717" xr:uid="{87188779-3EC5-4B1A-BC6E-0933C28BDB92}"/>
    <cellStyle name="20% - Accent4 3 2 4 3" xfId="13813" xr:uid="{E0225116-435A-430E-8C75-D2F479D2B92E}"/>
    <cellStyle name="20% - Accent4 3 2 5" xfId="5776" xr:uid="{00000000-0005-0000-0000-000044160000}"/>
    <cellStyle name="20% - Accent4 3 2 5 2" xfId="39710" xr:uid="{C15AED0F-EA81-4ED2-8015-8177F6C6FDAF}"/>
    <cellStyle name="20% - Accent4 3 2 6" xfId="13806" xr:uid="{FAD56CDF-32B4-4ED0-82AB-71D4D4B52F91}"/>
    <cellStyle name="20% - Accent4 3 3" xfId="215" xr:uid="{00000000-0005-0000-0000-0000DA000000}"/>
    <cellStyle name="20% - Accent4 3 3 2" xfId="216" xr:uid="{00000000-0005-0000-0000-0000DB000000}"/>
    <cellStyle name="20% - Accent4 3 3 2 2" xfId="217" xr:uid="{00000000-0005-0000-0000-0000DC000000}"/>
    <cellStyle name="20% - Accent4 3 3 2 2 2" xfId="218" xr:uid="{00000000-0005-0000-0000-0000DD000000}"/>
    <cellStyle name="20% - Accent4 3 3 2 2 2 2" xfId="5787" xr:uid="{00000000-0005-0000-0000-00004F160000}"/>
    <cellStyle name="20% - Accent4 3 3 2 2 2 2 2" xfId="39721" xr:uid="{4CD1A8B4-57B1-473B-BC28-74C408F6DB84}"/>
    <cellStyle name="20% - Accent4 3 3 2 2 2 3" xfId="13817" xr:uid="{96E898C6-86DE-4CAB-866C-DC98E2437C6B}"/>
    <cellStyle name="20% - Accent4 3 3 2 2 3" xfId="5786" xr:uid="{00000000-0005-0000-0000-00004E160000}"/>
    <cellStyle name="20% - Accent4 3 3 2 2 3 2" xfId="39720" xr:uid="{8AC06B96-49B5-4097-90F5-338EFDA40471}"/>
    <cellStyle name="20% - Accent4 3 3 2 2 4" xfId="13816" xr:uid="{C62FE7F8-412E-42E5-88EC-1AAC4F176CFD}"/>
    <cellStyle name="20% - Accent4 3 3 2 3" xfId="219" xr:uid="{00000000-0005-0000-0000-0000DE000000}"/>
    <cellStyle name="20% - Accent4 3 3 2 3 2" xfId="5788" xr:uid="{00000000-0005-0000-0000-000050160000}"/>
    <cellStyle name="20% - Accent4 3 3 2 3 2 2" xfId="39722" xr:uid="{1C60EA33-8C54-418D-A22B-3C8C4173D371}"/>
    <cellStyle name="20% - Accent4 3 3 2 3 3" xfId="13818" xr:uid="{48E1A346-7EE0-4EF1-8224-4449C9A321B6}"/>
    <cellStyle name="20% - Accent4 3 3 2 4" xfId="5785" xr:uid="{00000000-0005-0000-0000-00004D160000}"/>
    <cellStyle name="20% - Accent4 3 3 2 4 2" xfId="39719" xr:uid="{C74BF53A-761C-4A31-9CE4-AD6E82149A99}"/>
    <cellStyle name="20% - Accent4 3 3 2 5" xfId="13815" xr:uid="{D775408D-2248-4678-8E25-4BAA541DEE0C}"/>
    <cellStyle name="20% - Accent4 3 3 3" xfId="220" xr:uid="{00000000-0005-0000-0000-0000DF000000}"/>
    <cellStyle name="20% - Accent4 3 3 3 2" xfId="221" xr:uid="{00000000-0005-0000-0000-0000E0000000}"/>
    <cellStyle name="20% - Accent4 3 3 3 2 2" xfId="5790" xr:uid="{00000000-0005-0000-0000-000052160000}"/>
    <cellStyle name="20% - Accent4 3 3 3 2 2 2" xfId="39724" xr:uid="{4F3C7A29-6CEF-4197-9320-07B85FA1E610}"/>
    <cellStyle name="20% - Accent4 3 3 3 2 3" xfId="13820" xr:uid="{319F095F-EC95-44D4-92FC-E7220B267B28}"/>
    <cellStyle name="20% - Accent4 3 3 3 3" xfId="5789" xr:uid="{00000000-0005-0000-0000-000051160000}"/>
    <cellStyle name="20% - Accent4 3 3 3 3 2" xfId="39723" xr:uid="{A1BA75A4-2A50-464C-B07A-B4A54E8BDC36}"/>
    <cellStyle name="20% - Accent4 3 3 3 4" xfId="13819" xr:uid="{57457280-ACE6-49F8-80D3-D7B6F462161F}"/>
    <cellStyle name="20% - Accent4 3 3 4" xfId="222" xr:uid="{00000000-0005-0000-0000-0000E1000000}"/>
    <cellStyle name="20% - Accent4 3 3 4 2" xfId="5791" xr:uid="{00000000-0005-0000-0000-000053160000}"/>
    <cellStyle name="20% - Accent4 3 3 4 2 2" xfId="39725" xr:uid="{F066BB02-831E-4511-8675-8DC3B8D03505}"/>
    <cellStyle name="20% - Accent4 3 3 4 3" xfId="13821" xr:uid="{A9527004-DD3C-453A-A2FD-4D833DCEEE5E}"/>
    <cellStyle name="20% - Accent4 3 3 5" xfId="5784" xr:uid="{00000000-0005-0000-0000-00004C160000}"/>
    <cellStyle name="20% - Accent4 3 3 5 2" xfId="39718" xr:uid="{D6C6F74B-A468-4B90-9F75-7DCF31DFE489}"/>
    <cellStyle name="20% - Accent4 3 3 6" xfId="13814" xr:uid="{8746A700-20C6-4584-BF3C-732EC958ADAA}"/>
    <cellStyle name="20% - Accent4 3 4" xfId="223" xr:uid="{00000000-0005-0000-0000-0000E2000000}"/>
    <cellStyle name="20% - Accent4 3 4 2" xfId="224" xr:uid="{00000000-0005-0000-0000-0000E3000000}"/>
    <cellStyle name="20% - Accent4 3 4 2 2" xfId="225" xr:uid="{00000000-0005-0000-0000-0000E4000000}"/>
    <cellStyle name="20% - Accent4 3 4 2 2 2" xfId="5794" xr:uid="{00000000-0005-0000-0000-000056160000}"/>
    <cellStyle name="20% - Accent4 3 4 2 2 2 2" xfId="39728" xr:uid="{66A4A24B-6903-43B5-BA60-490E7D34D003}"/>
    <cellStyle name="20% - Accent4 3 4 2 2 3" xfId="13824" xr:uid="{54CC8886-3532-4222-80BB-59FDA78328F2}"/>
    <cellStyle name="20% - Accent4 3 4 2 3" xfId="5793" xr:uid="{00000000-0005-0000-0000-000055160000}"/>
    <cellStyle name="20% - Accent4 3 4 2 3 2" xfId="39727" xr:uid="{46C58A7E-5435-4146-84B5-AFCF76D279FA}"/>
    <cellStyle name="20% - Accent4 3 4 2 4" xfId="13823" xr:uid="{58DC6B7B-6603-4A0A-8D1F-6680B92832B0}"/>
    <cellStyle name="20% - Accent4 3 4 3" xfId="226" xr:uid="{00000000-0005-0000-0000-0000E5000000}"/>
    <cellStyle name="20% - Accent4 3 4 3 2" xfId="5795" xr:uid="{00000000-0005-0000-0000-000057160000}"/>
    <cellStyle name="20% - Accent4 3 4 3 2 2" xfId="39729" xr:uid="{60DF8352-180D-4FC2-AEE0-DCB83A200428}"/>
    <cellStyle name="20% - Accent4 3 4 3 3" xfId="13825" xr:uid="{9EF22568-207E-41E2-B10E-7CF06E096E7D}"/>
    <cellStyle name="20% - Accent4 3 4 4" xfId="5792" xr:uid="{00000000-0005-0000-0000-000054160000}"/>
    <cellStyle name="20% - Accent4 3 4 4 2" xfId="39726" xr:uid="{EC3529CE-CAB6-4E7D-A96F-20133207DC37}"/>
    <cellStyle name="20% - Accent4 3 4 5" xfId="13822" xr:uid="{BCA3D96A-BBD4-4F3D-850F-8C0A572EE8F6}"/>
    <cellStyle name="20% - Accent4 3 5" xfId="227" xr:uid="{00000000-0005-0000-0000-0000E6000000}"/>
    <cellStyle name="20% - Accent4 3 5 2" xfId="228" xr:uid="{00000000-0005-0000-0000-0000E7000000}"/>
    <cellStyle name="20% - Accent4 3 5 2 2" xfId="5797" xr:uid="{00000000-0005-0000-0000-000059160000}"/>
    <cellStyle name="20% - Accent4 3 5 2 2 2" xfId="39731" xr:uid="{E39B3BAB-09C4-4B12-97D2-5A40628762BA}"/>
    <cellStyle name="20% - Accent4 3 5 2 3" xfId="13827" xr:uid="{37C87836-A121-48BB-A3CF-F01B609FFBED}"/>
    <cellStyle name="20% - Accent4 3 5 3" xfId="5796" xr:uid="{00000000-0005-0000-0000-000058160000}"/>
    <cellStyle name="20% - Accent4 3 5 3 2" xfId="39730" xr:uid="{F4A50BA1-038C-4C4C-80F0-FCD1CD5E7575}"/>
    <cellStyle name="20% - Accent4 3 5 4" xfId="13826" xr:uid="{28B982C6-7C3A-4984-B3A3-FF36DC448D55}"/>
    <cellStyle name="20% - Accent4 3 6" xfId="229" xr:uid="{00000000-0005-0000-0000-0000E8000000}"/>
    <cellStyle name="20% - Accent4 3 6 2" xfId="5798" xr:uid="{00000000-0005-0000-0000-00005A160000}"/>
    <cellStyle name="20% - Accent4 3 6 2 2" xfId="39732" xr:uid="{FF3AFF9D-1D2A-4F47-A73B-C00F6FD5A211}"/>
    <cellStyle name="20% - Accent4 3 6 3" xfId="13828" xr:uid="{C8A7F37D-5CE2-435C-BFFB-739CD1886E91}"/>
    <cellStyle name="20% - Accent4 3 7" xfId="5775" xr:uid="{00000000-0005-0000-0000-000043160000}"/>
    <cellStyle name="20% - Accent4 3 7 2" xfId="39709" xr:uid="{2A0BF413-60F1-4026-A06B-90B920F3E376}"/>
    <cellStyle name="20% - Accent4 3 8" xfId="13805" xr:uid="{434B0293-E711-4A58-9F65-ACCAE4320493}"/>
    <cellStyle name="20% - Accent4 4" xfId="230" xr:uid="{00000000-0005-0000-0000-0000E9000000}"/>
    <cellStyle name="20% - Accent4 4 2" xfId="5799" xr:uid="{00000000-0005-0000-0000-00005B160000}"/>
    <cellStyle name="20% - Accent4 4 2 2" xfId="39733" xr:uid="{F5D5B078-47A3-478A-917E-6213AD35DF4E}"/>
    <cellStyle name="20% - Accent4 4 3" xfId="13829" xr:uid="{8BA71EFC-8B78-4E51-9B99-0C38DEDE8504}"/>
    <cellStyle name="20% - Accent4 5" xfId="231" xr:uid="{00000000-0005-0000-0000-0000EA000000}"/>
    <cellStyle name="20% - Accent4 5 2" xfId="5800" xr:uid="{00000000-0005-0000-0000-00005C160000}"/>
    <cellStyle name="20% - Accent4 5 2 2" xfId="39734" xr:uid="{39B7133C-6F1C-4FC3-84FF-E2180DB7B705}"/>
    <cellStyle name="20% - Accent4 5 3" xfId="13830" xr:uid="{9365B8F9-E685-4917-BCDC-15ACE6CAE5F8}"/>
    <cellStyle name="20% - Accent4 6" xfId="232" xr:uid="{00000000-0005-0000-0000-0000EB000000}"/>
    <cellStyle name="20% - Accent4 6 2" xfId="5801" xr:uid="{00000000-0005-0000-0000-00005D160000}"/>
    <cellStyle name="20% - Accent4 6 2 2" xfId="39735" xr:uid="{90B160BA-9BAE-44CD-A63A-291D45AE81A3}"/>
    <cellStyle name="20% - Accent4 6 3" xfId="13831" xr:uid="{F3612DA5-C684-4F38-837B-53C77271086D}"/>
    <cellStyle name="20% - Accent4 7" xfId="233" xr:uid="{00000000-0005-0000-0000-0000EC000000}"/>
    <cellStyle name="20% - Accent4 7 2" xfId="5802" xr:uid="{00000000-0005-0000-0000-00005E160000}"/>
    <cellStyle name="20% - Accent4 7 2 2" xfId="39736" xr:uid="{F2492EFF-3531-460A-99DC-14EBBE309D02}"/>
    <cellStyle name="20% - Accent4 7 3" xfId="13832" xr:uid="{C8AB7273-AE45-4989-98A4-8AD223EE0D67}"/>
    <cellStyle name="20% - Accent4 8" xfId="234" xr:uid="{00000000-0005-0000-0000-0000ED000000}"/>
    <cellStyle name="20% - Accent4 8 2" xfId="5803" xr:uid="{00000000-0005-0000-0000-00005F160000}"/>
    <cellStyle name="20% - Accent4 8 2 2" xfId="39737" xr:uid="{89853674-44C1-4137-BE05-E901E188CE22}"/>
    <cellStyle name="20% - Accent4 8 3" xfId="13833" xr:uid="{B1B50A75-C011-48FB-91A5-21E750119BA0}"/>
    <cellStyle name="20% - Accent4 9" xfId="235" xr:uid="{00000000-0005-0000-0000-0000EE000000}"/>
    <cellStyle name="20% - Accent4 9 2" xfId="5804" xr:uid="{00000000-0005-0000-0000-000060160000}"/>
    <cellStyle name="20% - Accent4 9 2 2" xfId="39738" xr:uid="{A6942D16-2869-4F2B-977A-04DF06DE7296}"/>
    <cellStyle name="20% - Accent4 9 3" xfId="16593" xr:uid="{DC96A9FA-FEA8-4380-8DDF-36D1DBE6D8CE}"/>
    <cellStyle name="20% - Accent5" xfId="5556" builtinId="46" customBuiltin="1"/>
    <cellStyle name="20% - Accent5 2" xfId="236" xr:uid="{00000000-0005-0000-0000-0000F0000000}"/>
    <cellStyle name="20% - Accent5 2 10" xfId="237" xr:uid="{00000000-0005-0000-0000-0000F1000000}"/>
    <cellStyle name="20% - Accent5 2 10 2" xfId="5806" xr:uid="{00000000-0005-0000-0000-000061160000}"/>
    <cellStyle name="20% - Accent5 2 10 2 2" xfId="39740" xr:uid="{04326173-F1AA-4FD6-9209-FD6269A558DF}"/>
    <cellStyle name="20% - Accent5 2 10 3" xfId="13834" xr:uid="{BBC1702C-ED3E-4CCE-8DE3-1B39AAA6C32B}"/>
    <cellStyle name="20% - Accent5 2 2" xfId="238" xr:uid="{00000000-0005-0000-0000-0000F2000000}"/>
    <cellStyle name="20% - Accent5 2 2 2" xfId="239" xr:uid="{00000000-0005-0000-0000-0000F3000000}"/>
    <cellStyle name="20% - Accent5 2 2 2 2" xfId="5808" xr:uid="{00000000-0005-0000-0000-000062160000}"/>
    <cellStyle name="20% - Accent5 2 2 2 2 2" xfId="39741" xr:uid="{93D6807D-710E-4FBD-8E8C-767E0BE63CD9}"/>
    <cellStyle name="20% - Accent5 2 2 2 3" xfId="13836" xr:uid="{313CA2C0-03DE-4549-A2ED-634AD81F8984}"/>
    <cellStyle name="20% - Accent5 2 2 3" xfId="240" xr:uid="{00000000-0005-0000-0000-0000F4000000}"/>
    <cellStyle name="20% - Accent5 2 2 3 2" xfId="5809" xr:uid="{00000000-0005-0000-0000-000063160000}"/>
    <cellStyle name="20% - Accent5 2 2 3 2 2" xfId="39742" xr:uid="{30643E70-7637-4E52-A2EE-5834B4ABF715}"/>
    <cellStyle name="20% - Accent5 2 2 3 3" xfId="13837" xr:uid="{3E8AC460-5223-4637-BED1-7729745FF58A}"/>
    <cellStyle name="20% - Accent5 2 3" xfId="241" xr:uid="{00000000-0005-0000-0000-0000F5000000}"/>
    <cellStyle name="20% - Accent5 2 3 2" xfId="242" xr:uid="{00000000-0005-0000-0000-0000F6000000}"/>
    <cellStyle name="20% - Accent5 2 3 2 2" xfId="5811" xr:uid="{00000000-0005-0000-0000-000064160000}"/>
    <cellStyle name="20% - Accent5 2 3 2 2 2" xfId="39743" xr:uid="{3163B9FB-560D-490F-AF70-7CBD381B60D4}"/>
    <cellStyle name="20% - Accent5 2 3 2 3" xfId="13838" xr:uid="{8D3813EE-9C86-431E-B90A-C36AF75EE9E8}"/>
    <cellStyle name="20% - Accent5 2 4" xfId="243" xr:uid="{00000000-0005-0000-0000-0000F7000000}"/>
    <cellStyle name="20% - Accent5 2 5" xfId="244" xr:uid="{00000000-0005-0000-0000-0000F8000000}"/>
    <cellStyle name="20% - Accent5 2 6" xfId="245" xr:uid="{00000000-0005-0000-0000-0000F9000000}"/>
    <cellStyle name="20% - Accent5 2 7" xfId="246" xr:uid="{00000000-0005-0000-0000-0000FA000000}"/>
    <cellStyle name="20% - Accent5 2 8" xfId="247" xr:uid="{00000000-0005-0000-0000-0000FB000000}"/>
    <cellStyle name="20% - Accent5 2 9" xfId="248" xr:uid="{00000000-0005-0000-0000-0000FC000000}"/>
    <cellStyle name="20% - Accent5 3" xfId="249" xr:uid="{00000000-0005-0000-0000-0000FD000000}"/>
    <cellStyle name="20% - Accent5 3 2" xfId="250" xr:uid="{00000000-0005-0000-0000-0000FE000000}"/>
    <cellStyle name="20% - Accent5 3 2 2" xfId="251" xr:uid="{00000000-0005-0000-0000-0000FF000000}"/>
    <cellStyle name="20% - Accent5 3 2 2 2" xfId="252" xr:uid="{00000000-0005-0000-0000-000000010000}"/>
    <cellStyle name="20% - Accent5 3 2 2 2 2" xfId="253" xr:uid="{00000000-0005-0000-0000-000001010000}"/>
    <cellStyle name="20% - Accent5 3 2 2 2 2 2" xfId="5822" xr:uid="{00000000-0005-0000-0000-000069160000}"/>
    <cellStyle name="20% - Accent5 3 2 2 2 2 2 2" xfId="39752" xr:uid="{75662AE8-0354-4EBA-B26A-50E1A54CC1C8}"/>
    <cellStyle name="20% - Accent5 3 2 2 2 2 3" xfId="13843" xr:uid="{979B107E-6BAD-445C-A0EF-CBC69AE57C19}"/>
    <cellStyle name="20% - Accent5 3 2 2 2 3" xfId="5821" xr:uid="{00000000-0005-0000-0000-000068160000}"/>
    <cellStyle name="20% - Accent5 3 2 2 2 3 2" xfId="39751" xr:uid="{546517F1-85B9-414D-A0A3-A6949C0E2E47}"/>
    <cellStyle name="20% - Accent5 3 2 2 2 4" xfId="13842" xr:uid="{9696DC1D-79B7-4D7F-A6AB-ECE5396FF871}"/>
    <cellStyle name="20% - Accent5 3 2 2 3" xfId="254" xr:uid="{00000000-0005-0000-0000-000002010000}"/>
    <cellStyle name="20% - Accent5 3 2 2 3 2" xfId="5823" xr:uid="{00000000-0005-0000-0000-00006A160000}"/>
    <cellStyle name="20% - Accent5 3 2 2 3 2 2" xfId="39753" xr:uid="{6A93E5E6-521E-4910-A5D2-B8C1B6D5C8D8}"/>
    <cellStyle name="20% - Accent5 3 2 2 3 3" xfId="13844" xr:uid="{44A165F7-7FBB-4EEB-B82F-FE7E1E8EF1C2}"/>
    <cellStyle name="20% - Accent5 3 2 2 4" xfId="5820" xr:uid="{00000000-0005-0000-0000-000067160000}"/>
    <cellStyle name="20% - Accent5 3 2 2 4 2" xfId="39750" xr:uid="{BBA4C965-5C98-4FFE-BEE0-57DBC681F3EB}"/>
    <cellStyle name="20% - Accent5 3 2 2 5" xfId="13841" xr:uid="{A50AF957-5480-48F3-BB27-F3DDBB453397}"/>
    <cellStyle name="20% - Accent5 3 2 3" xfId="255" xr:uid="{00000000-0005-0000-0000-000003010000}"/>
    <cellStyle name="20% - Accent5 3 2 3 2" xfId="256" xr:uid="{00000000-0005-0000-0000-000004010000}"/>
    <cellStyle name="20% - Accent5 3 2 3 2 2" xfId="5825" xr:uid="{00000000-0005-0000-0000-00006C160000}"/>
    <cellStyle name="20% - Accent5 3 2 3 2 2 2" xfId="39755" xr:uid="{C07C9A8F-F121-4789-84BB-AEF6E1538068}"/>
    <cellStyle name="20% - Accent5 3 2 3 2 3" xfId="13846" xr:uid="{A78DF207-0F11-41AA-98D9-B161B710E7A8}"/>
    <cellStyle name="20% - Accent5 3 2 3 3" xfId="5824" xr:uid="{00000000-0005-0000-0000-00006B160000}"/>
    <cellStyle name="20% - Accent5 3 2 3 3 2" xfId="39754" xr:uid="{FFD8CC3C-2162-463F-B812-98C8D58124C8}"/>
    <cellStyle name="20% - Accent5 3 2 3 4" xfId="13845" xr:uid="{4C9696A5-C7AF-48A0-8B21-6492AB037FD4}"/>
    <cellStyle name="20% - Accent5 3 2 4" xfId="257" xr:uid="{00000000-0005-0000-0000-000005010000}"/>
    <cellStyle name="20% - Accent5 3 2 4 2" xfId="5826" xr:uid="{00000000-0005-0000-0000-00006D160000}"/>
    <cellStyle name="20% - Accent5 3 2 4 2 2" xfId="39756" xr:uid="{38299BE8-AF07-49C2-9A39-5D4D747AA32D}"/>
    <cellStyle name="20% - Accent5 3 2 4 3" xfId="13847" xr:uid="{D367599D-19E1-400A-9650-6F76C97B1418}"/>
    <cellStyle name="20% - Accent5 3 2 5" xfId="5819" xr:uid="{00000000-0005-0000-0000-000066160000}"/>
    <cellStyle name="20% - Accent5 3 2 5 2" xfId="39749" xr:uid="{C4DD8AF1-6BB1-4F25-9CA7-124891192A80}"/>
    <cellStyle name="20% - Accent5 3 2 6" xfId="13840" xr:uid="{EA38F3FE-DAF0-4318-8ADC-3ECD7ADBDEF8}"/>
    <cellStyle name="20% - Accent5 3 3" xfId="258" xr:uid="{00000000-0005-0000-0000-000006010000}"/>
    <cellStyle name="20% - Accent5 3 3 2" xfId="259" xr:uid="{00000000-0005-0000-0000-000007010000}"/>
    <cellStyle name="20% - Accent5 3 3 2 2" xfId="260" xr:uid="{00000000-0005-0000-0000-000008010000}"/>
    <cellStyle name="20% - Accent5 3 3 2 2 2" xfId="261" xr:uid="{00000000-0005-0000-0000-000009010000}"/>
    <cellStyle name="20% - Accent5 3 3 2 2 2 2" xfId="5830" xr:uid="{00000000-0005-0000-0000-000071160000}"/>
    <cellStyle name="20% - Accent5 3 3 2 2 2 2 2" xfId="39760" xr:uid="{99C9F4F6-FB99-43A4-ADCD-9F0D23819788}"/>
    <cellStyle name="20% - Accent5 3 3 2 2 2 3" xfId="13851" xr:uid="{555C4BFD-5362-4035-BB47-AF2DC4724E62}"/>
    <cellStyle name="20% - Accent5 3 3 2 2 3" xfId="5829" xr:uid="{00000000-0005-0000-0000-000070160000}"/>
    <cellStyle name="20% - Accent5 3 3 2 2 3 2" xfId="39759" xr:uid="{307DBAF9-A20B-4B4F-B25F-F94C95136AD9}"/>
    <cellStyle name="20% - Accent5 3 3 2 2 4" xfId="13850" xr:uid="{CD1506E5-32AD-40DD-9844-F48F20B00371}"/>
    <cellStyle name="20% - Accent5 3 3 2 3" xfId="262" xr:uid="{00000000-0005-0000-0000-00000A010000}"/>
    <cellStyle name="20% - Accent5 3 3 2 3 2" xfId="5831" xr:uid="{00000000-0005-0000-0000-000072160000}"/>
    <cellStyle name="20% - Accent5 3 3 2 3 2 2" xfId="39761" xr:uid="{DA04E186-8862-4D07-8DFC-8C83D0518F9F}"/>
    <cellStyle name="20% - Accent5 3 3 2 3 3" xfId="13852" xr:uid="{B7A764E3-0CBC-46AE-9584-9A481511D9AB}"/>
    <cellStyle name="20% - Accent5 3 3 2 4" xfId="5828" xr:uid="{00000000-0005-0000-0000-00006F160000}"/>
    <cellStyle name="20% - Accent5 3 3 2 4 2" xfId="39758" xr:uid="{631FDC05-7DB5-4778-B970-CF0BE2CB5B16}"/>
    <cellStyle name="20% - Accent5 3 3 2 5" xfId="13849" xr:uid="{5494387C-E7C4-456A-B7EA-DF7828DE891A}"/>
    <cellStyle name="20% - Accent5 3 3 3" xfId="263" xr:uid="{00000000-0005-0000-0000-00000B010000}"/>
    <cellStyle name="20% - Accent5 3 3 3 2" xfId="264" xr:uid="{00000000-0005-0000-0000-00000C010000}"/>
    <cellStyle name="20% - Accent5 3 3 3 2 2" xfId="5833" xr:uid="{00000000-0005-0000-0000-000074160000}"/>
    <cellStyle name="20% - Accent5 3 3 3 2 2 2" xfId="39763" xr:uid="{21329E55-58F2-4FB5-9FC0-28B602F497E9}"/>
    <cellStyle name="20% - Accent5 3 3 3 2 3" xfId="13854" xr:uid="{53CD4B90-5D3F-439F-A138-48AAD8A438F7}"/>
    <cellStyle name="20% - Accent5 3 3 3 3" xfId="5832" xr:uid="{00000000-0005-0000-0000-000073160000}"/>
    <cellStyle name="20% - Accent5 3 3 3 3 2" xfId="39762" xr:uid="{1AC726A8-62B1-429E-A131-DEB1EF46AD1E}"/>
    <cellStyle name="20% - Accent5 3 3 3 4" xfId="13853" xr:uid="{8F3791DB-672A-4964-8B25-B6440F9E0614}"/>
    <cellStyle name="20% - Accent5 3 3 4" xfId="265" xr:uid="{00000000-0005-0000-0000-00000D010000}"/>
    <cellStyle name="20% - Accent5 3 3 4 2" xfId="5834" xr:uid="{00000000-0005-0000-0000-000075160000}"/>
    <cellStyle name="20% - Accent5 3 3 4 2 2" xfId="39764" xr:uid="{E9DCD962-62F5-4389-885D-11B5B95F83DB}"/>
    <cellStyle name="20% - Accent5 3 3 4 3" xfId="13855" xr:uid="{76EA9A78-4047-4C37-9B8C-33E12C153BB3}"/>
    <cellStyle name="20% - Accent5 3 3 5" xfId="5827" xr:uid="{00000000-0005-0000-0000-00006E160000}"/>
    <cellStyle name="20% - Accent5 3 3 5 2" xfId="39757" xr:uid="{79F12E67-9BD5-4004-8BFD-8D547ECD2DC1}"/>
    <cellStyle name="20% - Accent5 3 3 6" xfId="13848" xr:uid="{746173AA-7463-49D8-AAC8-B8F0DBE9C99F}"/>
    <cellStyle name="20% - Accent5 3 4" xfId="266" xr:uid="{00000000-0005-0000-0000-00000E010000}"/>
    <cellStyle name="20% - Accent5 3 4 2" xfId="267" xr:uid="{00000000-0005-0000-0000-00000F010000}"/>
    <cellStyle name="20% - Accent5 3 4 2 2" xfId="268" xr:uid="{00000000-0005-0000-0000-000010010000}"/>
    <cellStyle name="20% - Accent5 3 4 2 2 2" xfId="5837" xr:uid="{00000000-0005-0000-0000-000078160000}"/>
    <cellStyle name="20% - Accent5 3 4 2 2 2 2" xfId="39767" xr:uid="{FFBD7606-DAB8-4817-8F40-FAD23644A842}"/>
    <cellStyle name="20% - Accent5 3 4 2 2 3" xfId="13858" xr:uid="{F96E61D0-98B3-4C56-9D7A-281ABDA18166}"/>
    <cellStyle name="20% - Accent5 3 4 2 3" xfId="5836" xr:uid="{00000000-0005-0000-0000-000077160000}"/>
    <cellStyle name="20% - Accent5 3 4 2 3 2" xfId="39766" xr:uid="{BF645DDA-7052-4391-8925-6879F11D2227}"/>
    <cellStyle name="20% - Accent5 3 4 2 4" xfId="13857" xr:uid="{8127DC7E-7089-47F5-AE35-B646CF223983}"/>
    <cellStyle name="20% - Accent5 3 4 3" xfId="269" xr:uid="{00000000-0005-0000-0000-000011010000}"/>
    <cellStyle name="20% - Accent5 3 4 3 2" xfId="5838" xr:uid="{00000000-0005-0000-0000-000079160000}"/>
    <cellStyle name="20% - Accent5 3 4 3 2 2" xfId="39768" xr:uid="{2A1A633C-B4C5-4C03-8C83-EA46DD8C48A6}"/>
    <cellStyle name="20% - Accent5 3 4 3 3" xfId="13859" xr:uid="{DCD4CCA7-2931-476E-9009-B0896FDAC430}"/>
    <cellStyle name="20% - Accent5 3 4 4" xfId="5835" xr:uid="{00000000-0005-0000-0000-000076160000}"/>
    <cellStyle name="20% - Accent5 3 4 4 2" xfId="39765" xr:uid="{88CA1A2B-B357-4FF3-B8F7-19B477E05CED}"/>
    <cellStyle name="20% - Accent5 3 4 5" xfId="13856" xr:uid="{43A3D4FC-B310-4013-AD25-C65EC2D1766B}"/>
    <cellStyle name="20% - Accent5 3 5" xfId="270" xr:uid="{00000000-0005-0000-0000-000012010000}"/>
    <cellStyle name="20% - Accent5 3 5 2" xfId="271" xr:uid="{00000000-0005-0000-0000-000013010000}"/>
    <cellStyle name="20% - Accent5 3 5 2 2" xfId="5840" xr:uid="{00000000-0005-0000-0000-00007B160000}"/>
    <cellStyle name="20% - Accent5 3 5 2 2 2" xfId="39770" xr:uid="{9C03C301-BE2C-4215-B137-831267251FDE}"/>
    <cellStyle name="20% - Accent5 3 5 2 3" xfId="13861" xr:uid="{5E1EA3E0-4D0C-42D5-8412-1BE1788C8F3D}"/>
    <cellStyle name="20% - Accent5 3 5 3" xfId="5839" xr:uid="{00000000-0005-0000-0000-00007A160000}"/>
    <cellStyle name="20% - Accent5 3 5 3 2" xfId="39769" xr:uid="{93736ACD-152E-4732-A64A-A6316A9C5A79}"/>
    <cellStyle name="20% - Accent5 3 5 4" xfId="13860" xr:uid="{630894DD-267C-4B62-A47B-D2EFDF3A2575}"/>
    <cellStyle name="20% - Accent5 3 6" xfId="272" xr:uid="{00000000-0005-0000-0000-000014010000}"/>
    <cellStyle name="20% - Accent5 3 6 2" xfId="5841" xr:uid="{00000000-0005-0000-0000-00007C160000}"/>
    <cellStyle name="20% - Accent5 3 6 2 2" xfId="39771" xr:uid="{CB5CE929-9404-46D1-81F2-A390834D04E0}"/>
    <cellStyle name="20% - Accent5 3 6 3" xfId="13862" xr:uid="{70CEEB04-BC66-4E2F-AB9E-CCA73D621804}"/>
    <cellStyle name="20% - Accent5 3 7" xfId="5818" xr:uid="{00000000-0005-0000-0000-000065160000}"/>
    <cellStyle name="20% - Accent5 3 7 2" xfId="39748" xr:uid="{4DCCB171-7C5D-418C-BF47-793A78CFF0DA}"/>
    <cellStyle name="20% - Accent5 3 8" xfId="13839" xr:uid="{4EB29A9C-FFE2-461D-AC97-ACBFFDE92D9E}"/>
    <cellStyle name="20% - Accent5 4" xfId="273" xr:uid="{00000000-0005-0000-0000-000015010000}"/>
    <cellStyle name="20% - Accent5 4 2" xfId="5842" xr:uid="{00000000-0005-0000-0000-00007D160000}"/>
    <cellStyle name="20% - Accent5 4 2 2" xfId="39772" xr:uid="{E3069AC2-0F1C-44A5-AB40-7DDD3B9E7A2F}"/>
    <cellStyle name="20% - Accent5 4 3" xfId="13863" xr:uid="{AE434963-40AA-4B04-B138-F044831E5713}"/>
    <cellStyle name="20% - Accent5 5" xfId="274" xr:uid="{00000000-0005-0000-0000-000016010000}"/>
    <cellStyle name="20% - Accent5 5 2" xfId="5843" xr:uid="{00000000-0005-0000-0000-00007E160000}"/>
    <cellStyle name="20% - Accent5 5 2 2" xfId="39773" xr:uid="{55BFE748-D851-4A4F-B349-A7938A8F78F7}"/>
    <cellStyle name="20% - Accent5 5 3" xfId="13864" xr:uid="{37B05CD4-E746-4346-8DA2-0B258C4123B1}"/>
    <cellStyle name="20% - Accent5 6" xfId="275" xr:uid="{00000000-0005-0000-0000-000017010000}"/>
    <cellStyle name="20% - Accent5 6 2" xfId="5844" xr:uid="{00000000-0005-0000-0000-00007F160000}"/>
    <cellStyle name="20% - Accent5 6 2 2" xfId="39774" xr:uid="{D1F712A6-63D9-4A81-BCEF-B2F9A2B8F9F9}"/>
    <cellStyle name="20% - Accent5 6 3" xfId="13865" xr:uid="{F6AEBBB6-1911-43D7-A85D-38532BDF7344}"/>
    <cellStyle name="20% - Accent5 7" xfId="276" xr:uid="{00000000-0005-0000-0000-000018010000}"/>
    <cellStyle name="20% - Accent5 7 2" xfId="5845" xr:uid="{00000000-0005-0000-0000-000080160000}"/>
    <cellStyle name="20% - Accent5 7 2 2" xfId="39775" xr:uid="{EEC45E44-1051-4C8A-8C9A-4923073A85D2}"/>
    <cellStyle name="20% - Accent5 7 3" xfId="13866" xr:uid="{77F276C7-58A0-419A-B4D2-CB1B728A17E3}"/>
    <cellStyle name="20% - Accent5 8" xfId="277" xr:uid="{00000000-0005-0000-0000-000019010000}"/>
    <cellStyle name="20% - Accent5 8 2" xfId="5846" xr:uid="{00000000-0005-0000-0000-000081160000}"/>
    <cellStyle name="20% - Accent5 8 2 2" xfId="39776" xr:uid="{50C454FD-9123-449F-B0CF-3920180F8FAE}"/>
    <cellStyle name="20% - Accent5 8 3" xfId="13867" xr:uid="{44866CC2-B7C2-47B0-BE2A-7518F03C1C63}"/>
    <cellStyle name="20% - Accent5 9" xfId="278" xr:uid="{00000000-0005-0000-0000-00001A010000}"/>
    <cellStyle name="20% - Accent5 9 2" xfId="5847" xr:uid="{00000000-0005-0000-0000-000082160000}"/>
    <cellStyle name="20% - Accent5 9 2 2" xfId="39777" xr:uid="{95DE69F1-56D9-4767-AB72-BE130318D10E}"/>
    <cellStyle name="20% - Accent5 9 3" xfId="16594" xr:uid="{4A01D824-1EED-4525-AB4A-D98D16D3FC9A}"/>
    <cellStyle name="20% - Accent6" xfId="5559" builtinId="50" customBuiltin="1"/>
    <cellStyle name="20% - Accent6 2" xfId="279" xr:uid="{00000000-0005-0000-0000-00001C010000}"/>
    <cellStyle name="20% - Accent6 2 10" xfId="280" xr:uid="{00000000-0005-0000-0000-00001D010000}"/>
    <cellStyle name="20% - Accent6 2 10 2" xfId="5849" xr:uid="{00000000-0005-0000-0000-000083160000}"/>
    <cellStyle name="20% - Accent6 2 10 2 2" xfId="39779" xr:uid="{93E9C32F-DA69-4343-B183-6F6D8CDBB155}"/>
    <cellStyle name="20% - Accent6 2 10 3" xfId="13868" xr:uid="{71844E43-1D8D-4A00-ABC4-EFE15762E92C}"/>
    <cellStyle name="20% - Accent6 2 2" xfId="281" xr:uid="{00000000-0005-0000-0000-00001E010000}"/>
    <cellStyle name="20% - Accent6 2 2 2" xfId="282" xr:uid="{00000000-0005-0000-0000-00001F010000}"/>
    <cellStyle name="20% - Accent6 2 2 2 2" xfId="5851" xr:uid="{00000000-0005-0000-0000-000084160000}"/>
    <cellStyle name="20% - Accent6 2 2 2 2 2" xfId="39781" xr:uid="{5E2538A2-3E4D-457C-A134-6F2E8471A27A}"/>
    <cellStyle name="20% - Accent6 2 2 2 3" xfId="13870" xr:uid="{2FA0F4E3-B883-46DE-8091-6FFC01945AC5}"/>
    <cellStyle name="20% - Accent6 2 2 3" xfId="283" xr:uid="{00000000-0005-0000-0000-000020010000}"/>
    <cellStyle name="20% - Accent6 2 2 3 2" xfId="5852" xr:uid="{00000000-0005-0000-0000-000085160000}"/>
    <cellStyle name="20% - Accent6 2 2 3 2 2" xfId="39782" xr:uid="{E358F2AE-0CB2-4BC4-9812-E591A82F7F8A}"/>
    <cellStyle name="20% - Accent6 2 2 3 3" xfId="13871" xr:uid="{C538126B-0B02-4392-B1D6-FC426D32304E}"/>
    <cellStyle name="20% - Accent6 2 3" xfId="284" xr:uid="{00000000-0005-0000-0000-000021010000}"/>
    <cellStyle name="20% - Accent6 2 3 2" xfId="285" xr:uid="{00000000-0005-0000-0000-000022010000}"/>
    <cellStyle name="20% - Accent6 2 3 2 2" xfId="5854" xr:uid="{00000000-0005-0000-0000-000086160000}"/>
    <cellStyle name="20% - Accent6 2 3 2 2 2" xfId="39784" xr:uid="{FFC812AD-C363-47AB-ADA9-6FC318023032}"/>
    <cellStyle name="20% - Accent6 2 3 2 3" xfId="13872" xr:uid="{4A66344D-E432-4376-8C0B-2150117ADB53}"/>
    <cellStyle name="20% - Accent6 2 4" xfId="286" xr:uid="{00000000-0005-0000-0000-000023010000}"/>
    <cellStyle name="20% - Accent6 2 5" xfId="287" xr:uid="{00000000-0005-0000-0000-000024010000}"/>
    <cellStyle name="20% - Accent6 2 6" xfId="288" xr:uid="{00000000-0005-0000-0000-000025010000}"/>
    <cellStyle name="20% - Accent6 2 7" xfId="289" xr:uid="{00000000-0005-0000-0000-000026010000}"/>
    <cellStyle name="20% - Accent6 2 8" xfId="290" xr:uid="{00000000-0005-0000-0000-000027010000}"/>
    <cellStyle name="20% - Accent6 2 9" xfId="291" xr:uid="{00000000-0005-0000-0000-000028010000}"/>
    <cellStyle name="20% - Accent6 3" xfId="292" xr:uid="{00000000-0005-0000-0000-000029010000}"/>
    <cellStyle name="20% - Accent6 3 2" xfId="293" xr:uid="{00000000-0005-0000-0000-00002A010000}"/>
    <cellStyle name="20% - Accent6 3 2 2" xfId="294" xr:uid="{00000000-0005-0000-0000-00002B010000}"/>
    <cellStyle name="20% - Accent6 3 2 2 2" xfId="295" xr:uid="{00000000-0005-0000-0000-00002C010000}"/>
    <cellStyle name="20% - Accent6 3 2 2 2 2" xfId="296" xr:uid="{00000000-0005-0000-0000-00002D010000}"/>
    <cellStyle name="20% - Accent6 3 2 2 2 2 2" xfId="5865" xr:uid="{00000000-0005-0000-0000-00008B160000}"/>
    <cellStyle name="20% - Accent6 3 2 2 2 2 2 2" xfId="39790" xr:uid="{B8AD491E-FEE8-48F2-BAD1-C022E1521F11}"/>
    <cellStyle name="20% - Accent6 3 2 2 2 2 3" xfId="13880" xr:uid="{55404623-830B-4794-BD82-FB3A1C5404F6}"/>
    <cellStyle name="20% - Accent6 3 2 2 2 3" xfId="5864" xr:uid="{00000000-0005-0000-0000-00008A160000}"/>
    <cellStyle name="20% - Accent6 3 2 2 2 3 2" xfId="39789" xr:uid="{E2BB023F-FE43-41A4-AB2E-891A18DE0079}"/>
    <cellStyle name="20% - Accent6 3 2 2 2 4" xfId="13879" xr:uid="{3B924296-1A7A-457F-89A4-4FF7E3FB1873}"/>
    <cellStyle name="20% - Accent6 3 2 2 3" xfId="297" xr:uid="{00000000-0005-0000-0000-00002E010000}"/>
    <cellStyle name="20% - Accent6 3 2 2 3 2" xfId="5866" xr:uid="{00000000-0005-0000-0000-00008C160000}"/>
    <cellStyle name="20% - Accent6 3 2 2 3 2 2" xfId="39791" xr:uid="{FE6CDDD3-C860-407D-AF54-C20D77C8FF7D}"/>
    <cellStyle name="20% - Accent6 3 2 2 3 3" xfId="13881" xr:uid="{1F62638A-B531-42C1-A201-F573E57C2D8F}"/>
    <cellStyle name="20% - Accent6 3 2 2 4" xfId="5863" xr:uid="{00000000-0005-0000-0000-000089160000}"/>
    <cellStyle name="20% - Accent6 3 2 2 4 2" xfId="39788" xr:uid="{33BD72FB-58DF-4FD3-8559-4FFB27DF4CE4}"/>
    <cellStyle name="20% - Accent6 3 2 2 5" xfId="13878" xr:uid="{EC9880F3-AA3C-41F7-9FDD-353DC89988A7}"/>
    <cellStyle name="20% - Accent6 3 2 3" xfId="298" xr:uid="{00000000-0005-0000-0000-00002F010000}"/>
    <cellStyle name="20% - Accent6 3 2 3 2" xfId="299" xr:uid="{00000000-0005-0000-0000-000030010000}"/>
    <cellStyle name="20% - Accent6 3 2 3 2 2" xfId="5868" xr:uid="{00000000-0005-0000-0000-00008E160000}"/>
    <cellStyle name="20% - Accent6 3 2 3 2 2 2" xfId="39793" xr:uid="{AAB957AB-5D6B-48C6-BC3C-BE9F59AB2183}"/>
    <cellStyle name="20% - Accent6 3 2 3 2 3" xfId="13883" xr:uid="{9C33572E-3E25-4CEC-BCCB-2778C9D229CC}"/>
    <cellStyle name="20% - Accent6 3 2 3 3" xfId="5867" xr:uid="{00000000-0005-0000-0000-00008D160000}"/>
    <cellStyle name="20% - Accent6 3 2 3 3 2" xfId="39792" xr:uid="{B1F5666A-5C65-4474-9ABA-67D0D7A38691}"/>
    <cellStyle name="20% - Accent6 3 2 3 4" xfId="13882" xr:uid="{1AEF15C5-D344-43A6-A895-00A745398B24}"/>
    <cellStyle name="20% - Accent6 3 2 4" xfId="300" xr:uid="{00000000-0005-0000-0000-000031010000}"/>
    <cellStyle name="20% - Accent6 3 2 4 2" xfId="5869" xr:uid="{00000000-0005-0000-0000-00008F160000}"/>
    <cellStyle name="20% - Accent6 3 2 4 2 2" xfId="39794" xr:uid="{974280AA-E6A6-4BDB-BBFA-85E168A62B67}"/>
    <cellStyle name="20% - Accent6 3 2 4 3" xfId="13884" xr:uid="{7D17AC42-0901-48BE-82FA-952A10E09491}"/>
    <cellStyle name="20% - Accent6 3 2 5" xfId="5862" xr:uid="{00000000-0005-0000-0000-000088160000}"/>
    <cellStyle name="20% - Accent6 3 2 5 2" xfId="39787" xr:uid="{A2A37A79-B4CE-49AA-B40F-FC32146391DF}"/>
    <cellStyle name="20% - Accent6 3 2 6" xfId="13877" xr:uid="{AE946BFB-0BD6-4AF4-BAA8-3B4BBC88A468}"/>
    <cellStyle name="20% - Accent6 3 3" xfId="301" xr:uid="{00000000-0005-0000-0000-000032010000}"/>
    <cellStyle name="20% - Accent6 3 3 2" xfId="302" xr:uid="{00000000-0005-0000-0000-000033010000}"/>
    <cellStyle name="20% - Accent6 3 3 2 2" xfId="303" xr:uid="{00000000-0005-0000-0000-000034010000}"/>
    <cellStyle name="20% - Accent6 3 3 2 2 2" xfId="304" xr:uid="{00000000-0005-0000-0000-000035010000}"/>
    <cellStyle name="20% - Accent6 3 3 2 2 2 2" xfId="5873" xr:uid="{00000000-0005-0000-0000-000093160000}"/>
    <cellStyle name="20% - Accent6 3 3 2 2 2 2 2" xfId="39798" xr:uid="{6C3A13CD-BB4F-49E1-804C-5411E9FAE023}"/>
    <cellStyle name="20% - Accent6 3 3 2 2 2 3" xfId="13888" xr:uid="{ECC99F41-0DA2-4CA6-AADB-DA963C2F3C2B}"/>
    <cellStyle name="20% - Accent6 3 3 2 2 3" xfId="5872" xr:uid="{00000000-0005-0000-0000-000092160000}"/>
    <cellStyle name="20% - Accent6 3 3 2 2 3 2" xfId="39797" xr:uid="{9B6FEB55-FCC2-4E57-AAFB-07C7D99A79DC}"/>
    <cellStyle name="20% - Accent6 3 3 2 2 4" xfId="13887" xr:uid="{0CA1D480-9B3B-4BED-9C0E-C37EEDBFDF59}"/>
    <cellStyle name="20% - Accent6 3 3 2 3" xfId="305" xr:uid="{00000000-0005-0000-0000-000036010000}"/>
    <cellStyle name="20% - Accent6 3 3 2 3 2" xfId="5874" xr:uid="{00000000-0005-0000-0000-000094160000}"/>
    <cellStyle name="20% - Accent6 3 3 2 3 2 2" xfId="39799" xr:uid="{69F87C9F-6376-426D-8EAB-4E80950766D1}"/>
    <cellStyle name="20% - Accent6 3 3 2 3 3" xfId="13889" xr:uid="{ECB1BADA-EAC6-43BD-B6D1-9C9D422F2962}"/>
    <cellStyle name="20% - Accent6 3 3 2 4" xfId="5871" xr:uid="{00000000-0005-0000-0000-000091160000}"/>
    <cellStyle name="20% - Accent6 3 3 2 4 2" xfId="39796" xr:uid="{97290E9A-9429-4906-846B-76AE1F5E3E4C}"/>
    <cellStyle name="20% - Accent6 3 3 2 5" xfId="13886" xr:uid="{C12BC4C6-39BA-44B0-AF84-297230BE4935}"/>
    <cellStyle name="20% - Accent6 3 3 3" xfId="306" xr:uid="{00000000-0005-0000-0000-000037010000}"/>
    <cellStyle name="20% - Accent6 3 3 3 2" xfId="307" xr:uid="{00000000-0005-0000-0000-000038010000}"/>
    <cellStyle name="20% - Accent6 3 3 3 2 2" xfId="5876" xr:uid="{00000000-0005-0000-0000-000096160000}"/>
    <cellStyle name="20% - Accent6 3 3 3 2 2 2" xfId="39801" xr:uid="{D434C1AB-A1B5-4E97-A44B-CC79B70894BA}"/>
    <cellStyle name="20% - Accent6 3 3 3 2 3" xfId="13891" xr:uid="{D7E7CF3E-02C8-4D30-8540-FAC8B7E9C2C3}"/>
    <cellStyle name="20% - Accent6 3 3 3 3" xfId="5875" xr:uid="{00000000-0005-0000-0000-000095160000}"/>
    <cellStyle name="20% - Accent6 3 3 3 3 2" xfId="39800" xr:uid="{76CFE4D1-E78E-4628-9FA8-1216A5061148}"/>
    <cellStyle name="20% - Accent6 3 3 3 4" xfId="13890" xr:uid="{BEB75BA3-48F4-4B9B-86B7-7E816BD90FC9}"/>
    <cellStyle name="20% - Accent6 3 3 4" xfId="308" xr:uid="{00000000-0005-0000-0000-000039010000}"/>
    <cellStyle name="20% - Accent6 3 3 4 2" xfId="5877" xr:uid="{00000000-0005-0000-0000-000097160000}"/>
    <cellStyle name="20% - Accent6 3 3 4 2 2" xfId="39802" xr:uid="{C51CFB13-05BE-446B-A00C-0E854127D3E6}"/>
    <cellStyle name="20% - Accent6 3 3 4 3" xfId="13892" xr:uid="{9DC18106-89AC-4D43-9DCE-5DD54A19374F}"/>
    <cellStyle name="20% - Accent6 3 3 5" xfId="5870" xr:uid="{00000000-0005-0000-0000-000090160000}"/>
    <cellStyle name="20% - Accent6 3 3 5 2" xfId="39795" xr:uid="{2EEF0FEE-5411-4094-8560-71AA22E69D73}"/>
    <cellStyle name="20% - Accent6 3 3 6" xfId="13885" xr:uid="{3B20D3B3-590C-476B-93A3-5BF807A989D8}"/>
    <cellStyle name="20% - Accent6 3 4" xfId="309" xr:uid="{00000000-0005-0000-0000-00003A010000}"/>
    <cellStyle name="20% - Accent6 3 4 2" xfId="310" xr:uid="{00000000-0005-0000-0000-00003B010000}"/>
    <cellStyle name="20% - Accent6 3 4 2 2" xfId="311" xr:uid="{00000000-0005-0000-0000-00003C010000}"/>
    <cellStyle name="20% - Accent6 3 4 2 2 2" xfId="5880" xr:uid="{00000000-0005-0000-0000-00009A160000}"/>
    <cellStyle name="20% - Accent6 3 4 2 2 2 2" xfId="39805" xr:uid="{4903D5AF-8BD9-4DF1-92B0-A76B16FC2744}"/>
    <cellStyle name="20% - Accent6 3 4 2 2 3" xfId="13895" xr:uid="{84CB5CCC-1E63-434B-8232-BC08414D0AC8}"/>
    <cellStyle name="20% - Accent6 3 4 2 3" xfId="5879" xr:uid="{00000000-0005-0000-0000-000099160000}"/>
    <cellStyle name="20% - Accent6 3 4 2 3 2" xfId="39804" xr:uid="{121FDF98-BA1C-40E7-A13A-EE1E2385C45D}"/>
    <cellStyle name="20% - Accent6 3 4 2 4" xfId="13894" xr:uid="{010283F9-5404-43A3-82AC-F946D2475AA3}"/>
    <cellStyle name="20% - Accent6 3 4 3" xfId="312" xr:uid="{00000000-0005-0000-0000-00003D010000}"/>
    <cellStyle name="20% - Accent6 3 4 3 2" xfId="5881" xr:uid="{00000000-0005-0000-0000-00009B160000}"/>
    <cellStyle name="20% - Accent6 3 4 3 2 2" xfId="39806" xr:uid="{73E6DE08-3C44-481F-B826-0D9B604CB79F}"/>
    <cellStyle name="20% - Accent6 3 4 3 3" xfId="13896" xr:uid="{E6A86115-E4FD-4BBA-89A4-072918B4A46A}"/>
    <cellStyle name="20% - Accent6 3 4 4" xfId="5878" xr:uid="{00000000-0005-0000-0000-000098160000}"/>
    <cellStyle name="20% - Accent6 3 4 4 2" xfId="39803" xr:uid="{157A0435-B70A-42B0-B418-A7C423333F06}"/>
    <cellStyle name="20% - Accent6 3 4 5" xfId="13893" xr:uid="{BDB13B26-7194-42AC-99C5-073A3F7B7ED0}"/>
    <cellStyle name="20% - Accent6 3 5" xfId="313" xr:uid="{00000000-0005-0000-0000-00003E010000}"/>
    <cellStyle name="20% - Accent6 3 5 2" xfId="314" xr:uid="{00000000-0005-0000-0000-00003F010000}"/>
    <cellStyle name="20% - Accent6 3 5 2 2" xfId="5883" xr:uid="{00000000-0005-0000-0000-00009D160000}"/>
    <cellStyle name="20% - Accent6 3 5 2 2 2" xfId="39808" xr:uid="{CFA30107-81D2-4CDD-A7A2-55D9F235F021}"/>
    <cellStyle name="20% - Accent6 3 5 2 3" xfId="13898" xr:uid="{FE8B147B-E5F0-4690-848A-BCF48988BEDA}"/>
    <cellStyle name="20% - Accent6 3 5 3" xfId="5882" xr:uid="{00000000-0005-0000-0000-00009C160000}"/>
    <cellStyle name="20% - Accent6 3 5 3 2" xfId="39807" xr:uid="{4FD8D55D-10C2-4896-9302-0E6200526D7B}"/>
    <cellStyle name="20% - Accent6 3 5 4" xfId="13897" xr:uid="{D46C29ED-F587-42C5-9310-11A5050C26C0}"/>
    <cellStyle name="20% - Accent6 3 6" xfId="315" xr:uid="{00000000-0005-0000-0000-000040010000}"/>
    <cellStyle name="20% - Accent6 3 6 2" xfId="5884" xr:uid="{00000000-0005-0000-0000-00009E160000}"/>
    <cellStyle name="20% - Accent6 3 6 2 2" xfId="39809" xr:uid="{8398CAEB-C6B9-48B8-A242-060BF2B5D748}"/>
    <cellStyle name="20% - Accent6 3 6 3" xfId="13899" xr:uid="{D6FE7975-1CBC-4577-A005-F120C98BB22F}"/>
    <cellStyle name="20% - Accent6 3 7" xfId="5861" xr:uid="{00000000-0005-0000-0000-000087160000}"/>
    <cellStyle name="20% - Accent6 3 7 2" xfId="39786" xr:uid="{2A01D996-266E-4C9A-89B9-53523F334EE2}"/>
    <cellStyle name="20% - Accent6 3 8" xfId="13876" xr:uid="{918616B6-635A-4434-A2DD-EAF6FB3BF57C}"/>
    <cellStyle name="20% - Accent6 4" xfId="316" xr:uid="{00000000-0005-0000-0000-000041010000}"/>
    <cellStyle name="20% - Accent6 4 2" xfId="5885" xr:uid="{00000000-0005-0000-0000-00009F160000}"/>
    <cellStyle name="20% - Accent6 4 2 2" xfId="39810" xr:uid="{DC007417-31CB-4EB1-AEE0-71DFEBA8F2AC}"/>
    <cellStyle name="20% - Accent6 4 3" xfId="13900" xr:uid="{5A638485-6A78-4C0B-9E9C-F693B17D469F}"/>
    <cellStyle name="20% - Accent6 5" xfId="317" xr:uid="{00000000-0005-0000-0000-000042010000}"/>
    <cellStyle name="20% - Accent6 5 2" xfId="5886" xr:uid="{00000000-0005-0000-0000-0000A0160000}"/>
    <cellStyle name="20% - Accent6 5 2 2" xfId="39811" xr:uid="{ABCCD6E7-B2EB-4AA5-A1A8-1CA0691FE668}"/>
    <cellStyle name="20% - Accent6 5 3" xfId="13901" xr:uid="{F8250DEF-F1A8-417B-93E5-E9E98A166157}"/>
    <cellStyle name="20% - Accent6 6" xfId="318" xr:uid="{00000000-0005-0000-0000-000043010000}"/>
    <cellStyle name="20% - Accent6 6 2" xfId="5887" xr:uid="{00000000-0005-0000-0000-0000A1160000}"/>
    <cellStyle name="20% - Accent6 6 2 2" xfId="39812" xr:uid="{4F450ECB-8158-45D3-9554-3FB7E49B8AF5}"/>
    <cellStyle name="20% - Accent6 6 3" xfId="13902" xr:uid="{74774BDC-97D9-4315-86F1-3E1864F4C105}"/>
    <cellStyle name="20% - Accent6 7" xfId="319" xr:uid="{00000000-0005-0000-0000-000044010000}"/>
    <cellStyle name="20% - Accent6 7 2" xfId="5888" xr:uid="{00000000-0005-0000-0000-0000A2160000}"/>
    <cellStyle name="20% - Accent6 7 2 2" xfId="39813" xr:uid="{5319747C-993E-4124-9644-E40F257B7489}"/>
    <cellStyle name="20% - Accent6 7 3" xfId="13903" xr:uid="{5ECE7676-E0E7-4472-98B3-7A6DFF3B9BF4}"/>
    <cellStyle name="20% - Accent6 8" xfId="320" xr:uid="{00000000-0005-0000-0000-000045010000}"/>
    <cellStyle name="20% - Accent6 8 2" xfId="5889" xr:uid="{00000000-0005-0000-0000-0000A3160000}"/>
    <cellStyle name="20% - Accent6 8 2 2" xfId="39814" xr:uid="{E12F6876-04B7-418B-9C5F-1B1630DD0483}"/>
    <cellStyle name="20% - Accent6 8 3" xfId="13904" xr:uid="{D89BD334-D1BA-46C2-BC31-84E572FA2E70}"/>
    <cellStyle name="20% - Accent6 9" xfId="321" xr:uid="{00000000-0005-0000-0000-000046010000}"/>
    <cellStyle name="20% - Accent6 9 2" xfId="5890" xr:uid="{00000000-0005-0000-0000-0000A4160000}"/>
    <cellStyle name="20% - Accent6 9 2 2" xfId="39815" xr:uid="{D38EBA8F-163E-4C04-9DD1-0468B0EAFDDC}"/>
    <cellStyle name="20% - Accent6 9 3" xfId="16595" xr:uid="{FBC598C2-55D9-45C1-A216-C47D39A00149}"/>
    <cellStyle name="40 % - Accent1" xfId="322" xr:uid="{00000000-0005-0000-0000-000047010000}"/>
    <cellStyle name="40 % - Accent2" xfId="323" xr:uid="{00000000-0005-0000-0000-000048010000}"/>
    <cellStyle name="40 % - Accent3" xfId="324" xr:uid="{00000000-0005-0000-0000-000049010000}"/>
    <cellStyle name="40 % - Accent4" xfId="325" xr:uid="{00000000-0005-0000-0000-00004A010000}"/>
    <cellStyle name="40 % - Accent5" xfId="326" xr:uid="{00000000-0005-0000-0000-00004B010000}"/>
    <cellStyle name="40 % - Accent6" xfId="327" xr:uid="{00000000-0005-0000-0000-00004C010000}"/>
    <cellStyle name="40% - Accent1" xfId="5545" builtinId="31" customBuiltin="1"/>
    <cellStyle name="40% - Accent1 2" xfId="328" xr:uid="{00000000-0005-0000-0000-00004E010000}"/>
    <cellStyle name="40% - Accent1 2 10" xfId="329" xr:uid="{00000000-0005-0000-0000-00004F010000}"/>
    <cellStyle name="40% - Accent1 2 10 2" xfId="5898" xr:uid="{00000000-0005-0000-0000-0000A5160000}"/>
    <cellStyle name="40% - Accent1 2 10 2 2" xfId="39819" xr:uid="{9CD2688D-C38F-4442-97A7-90AFEC61B3CE}"/>
    <cellStyle name="40% - Accent1 2 10 3" xfId="13905" xr:uid="{10161C54-3C6A-4610-9034-D54766496F1A}"/>
    <cellStyle name="40% - Accent1 2 2" xfId="330" xr:uid="{00000000-0005-0000-0000-000050010000}"/>
    <cellStyle name="40% - Accent1 2 2 2" xfId="331" xr:uid="{00000000-0005-0000-0000-000051010000}"/>
    <cellStyle name="40% - Accent1 2 2 2 2" xfId="5900" xr:uid="{00000000-0005-0000-0000-0000A6160000}"/>
    <cellStyle name="40% - Accent1 2 2 2 2 2" xfId="39820" xr:uid="{9183BC18-D4ED-422C-9C27-DCC3AD10F89D}"/>
    <cellStyle name="40% - Accent1 2 2 2 3" xfId="13907" xr:uid="{18D10B0B-3E46-4BA9-942B-FC6908F4FB69}"/>
    <cellStyle name="40% - Accent1 2 2 3" xfId="332" xr:uid="{00000000-0005-0000-0000-000052010000}"/>
    <cellStyle name="40% - Accent1 2 2 3 2" xfId="5901" xr:uid="{00000000-0005-0000-0000-0000A7160000}"/>
    <cellStyle name="40% - Accent1 2 2 3 2 2" xfId="39821" xr:uid="{F6A48A78-14D6-4410-8363-B126B5C07138}"/>
    <cellStyle name="40% - Accent1 2 2 3 3" xfId="13908" xr:uid="{71F0693E-78C1-4EAD-87CF-36F8B7A09853}"/>
    <cellStyle name="40% - Accent1 2 3" xfId="333" xr:uid="{00000000-0005-0000-0000-000053010000}"/>
    <cellStyle name="40% - Accent1 2 3 2" xfId="334" xr:uid="{00000000-0005-0000-0000-000054010000}"/>
    <cellStyle name="40% - Accent1 2 3 2 2" xfId="5903" xr:uid="{00000000-0005-0000-0000-0000A8160000}"/>
    <cellStyle name="40% - Accent1 2 3 2 2 2" xfId="39823" xr:uid="{10B594B6-4AF1-411B-AA66-FC7F4FFC4461}"/>
    <cellStyle name="40% - Accent1 2 3 2 3" xfId="13909" xr:uid="{43326BED-9CF6-49C1-891C-D2505742354E}"/>
    <cellStyle name="40% - Accent1 2 4" xfId="335" xr:uid="{00000000-0005-0000-0000-000055010000}"/>
    <cellStyle name="40% - Accent1 2 5" xfId="336" xr:uid="{00000000-0005-0000-0000-000056010000}"/>
    <cellStyle name="40% - Accent1 2 6" xfId="337" xr:uid="{00000000-0005-0000-0000-000057010000}"/>
    <cellStyle name="40% - Accent1 2 7" xfId="338" xr:uid="{00000000-0005-0000-0000-000058010000}"/>
    <cellStyle name="40% - Accent1 2 8" xfId="339" xr:uid="{00000000-0005-0000-0000-000059010000}"/>
    <cellStyle name="40% - Accent1 2 9" xfId="340" xr:uid="{00000000-0005-0000-0000-00005A010000}"/>
    <cellStyle name="40% - Accent1 3" xfId="341" xr:uid="{00000000-0005-0000-0000-00005B010000}"/>
    <cellStyle name="40% - Accent1 3 2" xfId="342" xr:uid="{00000000-0005-0000-0000-00005C010000}"/>
    <cellStyle name="40% - Accent1 3 2 2" xfId="343" xr:uid="{00000000-0005-0000-0000-00005D010000}"/>
    <cellStyle name="40% - Accent1 3 2 2 2" xfId="344" xr:uid="{00000000-0005-0000-0000-00005E010000}"/>
    <cellStyle name="40% - Accent1 3 2 2 2 2" xfId="345" xr:uid="{00000000-0005-0000-0000-00005F010000}"/>
    <cellStyle name="40% - Accent1 3 2 2 2 2 2" xfId="5914" xr:uid="{00000000-0005-0000-0000-0000AD160000}"/>
    <cellStyle name="40% - Accent1 3 2 2 2 2 2 2" xfId="39829" xr:uid="{B260B88E-E2E8-4F7C-B6AF-F3EAC231B349}"/>
    <cellStyle name="40% - Accent1 3 2 2 2 2 3" xfId="13915" xr:uid="{5D83A814-BAF8-4298-93D3-7B467330F1A2}"/>
    <cellStyle name="40% - Accent1 3 2 2 2 3" xfId="5913" xr:uid="{00000000-0005-0000-0000-0000AC160000}"/>
    <cellStyle name="40% - Accent1 3 2 2 2 3 2" xfId="39828" xr:uid="{10FFAA6A-5403-4B33-92B3-71CB5B0DA146}"/>
    <cellStyle name="40% - Accent1 3 2 2 2 4" xfId="13914" xr:uid="{06062838-DF73-49FA-A77B-B77AD1BB9C6F}"/>
    <cellStyle name="40% - Accent1 3 2 2 3" xfId="346" xr:uid="{00000000-0005-0000-0000-000060010000}"/>
    <cellStyle name="40% - Accent1 3 2 2 3 2" xfId="5915" xr:uid="{00000000-0005-0000-0000-0000AE160000}"/>
    <cellStyle name="40% - Accent1 3 2 2 3 2 2" xfId="39830" xr:uid="{5CFDFCC6-FBFD-49AD-BCCD-E8B86EB018C7}"/>
    <cellStyle name="40% - Accent1 3 2 2 3 3" xfId="13916" xr:uid="{0CA7E635-EB8C-4353-9C5E-3711ED1C8148}"/>
    <cellStyle name="40% - Accent1 3 2 2 4" xfId="5912" xr:uid="{00000000-0005-0000-0000-0000AB160000}"/>
    <cellStyle name="40% - Accent1 3 2 2 4 2" xfId="39827" xr:uid="{846FA811-F1EE-4FAE-BB66-513ABB8307FA}"/>
    <cellStyle name="40% - Accent1 3 2 2 5" xfId="13913" xr:uid="{08ABD650-171B-42AD-8144-A9981655B1F5}"/>
    <cellStyle name="40% - Accent1 3 2 3" xfId="347" xr:uid="{00000000-0005-0000-0000-000061010000}"/>
    <cellStyle name="40% - Accent1 3 2 3 2" xfId="348" xr:uid="{00000000-0005-0000-0000-000062010000}"/>
    <cellStyle name="40% - Accent1 3 2 3 2 2" xfId="5917" xr:uid="{00000000-0005-0000-0000-0000B0160000}"/>
    <cellStyle name="40% - Accent1 3 2 3 2 2 2" xfId="39832" xr:uid="{0C86FA81-BC71-4791-AFD6-8EC0FDEA9452}"/>
    <cellStyle name="40% - Accent1 3 2 3 2 3" xfId="13918" xr:uid="{0C41A338-F15F-4B7E-B121-B101C8133A5C}"/>
    <cellStyle name="40% - Accent1 3 2 3 3" xfId="5916" xr:uid="{00000000-0005-0000-0000-0000AF160000}"/>
    <cellStyle name="40% - Accent1 3 2 3 3 2" xfId="39831" xr:uid="{9B3D505D-9885-4573-B0C6-96E7F8D9D8E4}"/>
    <cellStyle name="40% - Accent1 3 2 3 4" xfId="13917" xr:uid="{B3BC423C-BEA8-4E91-A4FA-FE7DCB0A96D5}"/>
    <cellStyle name="40% - Accent1 3 2 4" xfId="349" xr:uid="{00000000-0005-0000-0000-000063010000}"/>
    <cellStyle name="40% - Accent1 3 2 4 2" xfId="5918" xr:uid="{00000000-0005-0000-0000-0000B1160000}"/>
    <cellStyle name="40% - Accent1 3 2 4 2 2" xfId="39833" xr:uid="{547EBC77-1BA5-4E6B-BB23-65C4A08D143C}"/>
    <cellStyle name="40% - Accent1 3 2 4 3" xfId="13919" xr:uid="{0189B474-3F1F-40FC-8957-107488E11D17}"/>
    <cellStyle name="40% - Accent1 3 2 5" xfId="5911" xr:uid="{00000000-0005-0000-0000-0000AA160000}"/>
    <cellStyle name="40% - Accent1 3 2 5 2" xfId="39826" xr:uid="{FB020CE7-BB50-486B-9356-94AA24DC715D}"/>
    <cellStyle name="40% - Accent1 3 2 6" xfId="13912" xr:uid="{D07E8D3E-436C-413D-8F96-2D61AA0DB3F6}"/>
    <cellStyle name="40% - Accent1 3 3" xfId="350" xr:uid="{00000000-0005-0000-0000-000064010000}"/>
    <cellStyle name="40% - Accent1 3 3 2" xfId="351" xr:uid="{00000000-0005-0000-0000-000065010000}"/>
    <cellStyle name="40% - Accent1 3 3 2 2" xfId="352" xr:uid="{00000000-0005-0000-0000-000066010000}"/>
    <cellStyle name="40% - Accent1 3 3 2 2 2" xfId="353" xr:uid="{00000000-0005-0000-0000-000067010000}"/>
    <cellStyle name="40% - Accent1 3 3 2 2 2 2" xfId="5922" xr:uid="{00000000-0005-0000-0000-0000B5160000}"/>
    <cellStyle name="40% - Accent1 3 3 2 2 2 2 2" xfId="39837" xr:uid="{9D759268-6FB7-4FB6-9D3E-2BDF0869F360}"/>
    <cellStyle name="40% - Accent1 3 3 2 2 2 3" xfId="13923" xr:uid="{793D7043-716F-4908-A92D-A5DAC4480BE8}"/>
    <cellStyle name="40% - Accent1 3 3 2 2 3" xfId="5921" xr:uid="{00000000-0005-0000-0000-0000B4160000}"/>
    <cellStyle name="40% - Accent1 3 3 2 2 3 2" xfId="39836" xr:uid="{A36EA76F-6466-4A2E-B6A0-FD223BF946B3}"/>
    <cellStyle name="40% - Accent1 3 3 2 2 4" xfId="13922" xr:uid="{5A369CA1-2AB6-40D7-B56B-D73CDEF5BC96}"/>
    <cellStyle name="40% - Accent1 3 3 2 3" xfId="354" xr:uid="{00000000-0005-0000-0000-000068010000}"/>
    <cellStyle name="40% - Accent1 3 3 2 3 2" xfId="5923" xr:uid="{00000000-0005-0000-0000-0000B6160000}"/>
    <cellStyle name="40% - Accent1 3 3 2 3 2 2" xfId="39838" xr:uid="{18189C95-8C40-42B0-AEE4-A9FD5A1A8FC0}"/>
    <cellStyle name="40% - Accent1 3 3 2 3 3" xfId="13924" xr:uid="{A079C9E4-58D2-47BB-B46F-A5AEEAF35462}"/>
    <cellStyle name="40% - Accent1 3 3 2 4" xfId="5920" xr:uid="{00000000-0005-0000-0000-0000B3160000}"/>
    <cellStyle name="40% - Accent1 3 3 2 4 2" xfId="39835" xr:uid="{60739908-24A0-42EA-B7A2-3F35A8F27C7D}"/>
    <cellStyle name="40% - Accent1 3 3 2 5" xfId="13921" xr:uid="{6578ECEF-4355-467B-A583-EC4F8FEB9C2D}"/>
    <cellStyle name="40% - Accent1 3 3 3" xfId="355" xr:uid="{00000000-0005-0000-0000-000069010000}"/>
    <cellStyle name="40% - Accent1 3 3 3 2" xfId="356" xr:uid="{00000000-0005-0000-0000-00006A010000}"/>
    <cellStyle name="40% - Accent1 3 3 3 2 2" xfId="5925" xr:uid="{00000000-0005-0000-0000-0000B8160000}"/>
    <cellStyle name="40% - Accent1 3 3 3 2 2 2" xfId="39840" xr:uid="{EB8B908A-0C07-46DC-8FC2-1E599A48D7C2}"/>
    <cellStyle name="40% - Accent1 3 3 3 2 3" xfId="13926" xr:uid="{263F354E-D102-41E8-9274-526D1A310608}"/>
    <cellStyle name="40% - Accent1 3 3 3 3" xfId="5924" xr:uid="{00000000-0005-0000-0000-0000B7160000}"/>
    <cellStyle name="40% - Accent1 3 3 3 3 2" xfId="39839" xr:uid="{10CA3EDF-F876-4E47-A660-65D8C54B8725}"/>
    <cellStyle name="40% - Accent1 3 3 3 4" xfId="13925" xr:uid="{763A3396-67A5-4C8A-ABEF-A3869EBF45A0}"/>
    <cellStyle name="40% - Accent1 3 3 4" xfId="357" xr:uid="{00000000-0005-0000-0000-00006B010000}"/>
    <cellStyle name="40% - Accent1 3 3 4 2" xfId="5926" xr:uid="{00000000-0005-0000-0000-0000B9160000}"/>
    <cellStyle name="40% - Accent1 3 3 4 2 2" xfId="39841" xr:uid="{B14BD858-275D-4435-9C50-DC073384B6E8}"/>
    <cellStyle name="40% - Accent1 3 3 4 3" xfId="13927" xr:uid="{76BA5E4F-C5F1-46C2-A1F5-CCAEAB9C9432}"/>
    <cellStyle name="40% - Accent1 3 3 5" xfId="5919" xr:uid="{00000000-0005-0000-0000-0000B2160000}"/>
    <cellStyle name="40% - Accent1 3 3 5 2" xfId="39834" xr:uid="{8E0D57B1-6078-420F-9758-9D31DB121228}"/>
    <cellStyle name="40% - Accent1 3 3 6" xfId="13920" xr:uid="{B37A8C6F-D57F-46B1-849F-0AFF4D9B5999}"/>
    <cellStyle name="40% - Accent1 3 4" xfId="358" xr:uid="{00000000-0005-0000-0000-00006C010000}"/>
    <cellStyle name="40% - Accent1 3 4 2" xfId="359" xr:uid="{00000000-0005-0000-0000-00006D010000}"/>
    <cellStyle name="40% - Accent1 3 4 2 2" xfId="360" xr:uid="{00000000-0005-0000-0000-00006E010000}"/>
    <cellStyle name="40% - Accent1 3 4 2 2 2" xfId="5929" xr:uid="{00000000-0005-0000-0000-0000BC160000}"/>
    <cellStyle name="40% - Accent1 3 4 2 2 2 2" xfId="39844" xr:uid="{B51C9E40-FAA9-49E5-AFE3-553D577FA946}"/>
    <cellStyle name="40% - Accent1 3 4 2 2 3" xfId="13930" xr:uid="{2A9FE069-B52B-4A16-8B81-9E0A63974E9B}"/>
    <cellStyle name="40% - Accent1 3 4 2 3" xfId="5928" xr:uid="{00000000-0005-0000-0000-0000BB160000}"/>
    <cellStyle name="40% - Accent1 3 4 2 3 2" xfId="39843" xr:uid="{EE11A308-C15B-4408-A16A-E753980BAC38}"/>
    <cellStyle name="40% - Accent1 3 4 2 4" xfId="13929" xr:uid="{6DBC2BCF-572F-4819-852C-9137F748797A}"/>
    <cellStyle name="40% - Accent1 3 4 3" xfId="361" xr:uid="{00000000-0005-0000-0000-00006F010000}"/>
    <cellStyle name="40% - Accent1 3 4 3 2" xfId="5930" xr:uid="{00000000-0005-0000-0000-0000BD160000}"/>
    <cellStyle name="40% - Accent1 3 4 3 2 2" xfId="39845" xr:uid="{53DD80BC-91B1-4078-9DD2-B86C3701E854}"/>
    <cellStyle name="40% - Accent1 3 4 3 3" xfId="13931" xr:uid="{F11C324B-6EFA-4DB2-94A7-98F443163E7F}"/>
    <cellStyle name="40% - Accent1 3 4 4" xfId="5927" xr:uid="{00000000-0005-0000-0000-0000BA160000}"/>
    <cellStyle name="40% - Accent1 3 4 4 2" xfId="39842" xr:uid="{BA354711-519D-47EB-AD38-4AC004081DB5}"/>
    <cellStyle name="40% - Accent1 3 4 5" xfId="13928" xr:uid="{E2A6E88F-6A4D-436D-8366-03F047AAAEE1}"/>
    <cellStyle name="40% - Accent1 3 5" xfId="362" xr:uid="{00000000-0005-0000-0000-000070010000}"/>
    <cellStyle name="40% - Accent1 3 5 2" xfId="363" xr:uid="{00000000-0005-0000-0000-000071010000}"/>
    <cellStyle name="40% - Accent1 3 5 2 2" xfId="5932" xr:uid="{00000000-0005-0000-0000-0000BF160000}"/>
    <cellStyle name="40% - Accent1 3 5 2 2 2" xfId="39847" xr:uid="{C7A85315-D8AF-4FF6-BD0E-543D7A0032B0}"/>
    <cellStyle name="40% - Accent1 3 5 2 3" xfId="13933" xr:uid="{96C68506-A493-45D9-A7F3-0AB2B99ACD0E}"/>
    <cellStyle name="40% - Accent1 3 5 3" xfId="5931" xr:uid="{00000000-0005-0000-0000-0000BE160000}"/>
    <cellStyle name="40% - Accent1 3 5 3 2" xfId="39846" xr:uid="{D6D9BA5E-F833-478B-8631-8DE6FC567B7C}"/>
    <cellStyle name="40% - Accent1 3 5 4" xfId="13932" xr:uid="{5CE7E031-8F2C-4882-BBAA-516E8AD08DB7}"/>
    <cellStyle name="40% - Accent1 3 6" xfId="364" xr:uid="{00000000-0005-0000-0000-000072010000}"/>
    <cellStyle name="40% - Accent1 3 6 2" xfId="5933" xr:uid="{00000000-0005-0000-0000-0000C0160000}"/>
    <cellStyle name="40% - Accent1 3 6 2 2" xfId="39848" xr:uid="{E43152A6-042D-4B39-A925-C826D5A19B5D}"/>
    <cellStyle name="40% - Accent1 3 6 3" xfId="13934" xr:uid="{78717842-5687-4D67-BF5F-D82546A564B2}"/>
    <cellStyle name="40% - Accent1 3 7" xfId="5910" xr:uid="{00000000-0005-0000-0000-0000A9160000}"/>
    <cellStyle name="40% - Accent1 3 7 2" xfId="39825" xr:uid="{2A115658-1822-4FF2-BD53-59B35701917B}"/>
    <cellStyle name="40% - Accent1 3 8" xfId="13911" xr:uid="{48F195A2-FA79-4BA3-8345-D9B598DF868B}"/>
    <cellStyle name="40% - Accent1 4" xfId="365" xr:uid="{00000000-0005-0000-0000-000073010000}"/>
    <cellStyle name="40% - Accent1 4 2" xfId="5934" xr:uid="{00000000-0005-0000-0000-0000C1160000}"/>
    <cellStyle name="40% - Accent1 4 2 2" xfId="39849" xr:uid="{5186CD6A-9A92-4433-BF88-8BA97DEF2DAB}"/>
    <cellStyle name="40% - Accent1 4 3" xfId="13935" xr:uid="{7E07AAED-635E-44F4-B5D4-6F9926D9C743}"/>
    <cellStyle name="40% - Accent1 5" xfId="366" xr:uid="{00000000-0005-0000-0000-000074010000}"/>
    <cellStyle name="40% - Accent1 5 2" xfId="5935" xr:uid="{00000000-0005-0000-0000-0000C2160000}"/>
    <cellStyle name="40% - Accent1 5 2 2" xfId="39850" xr:uid="{5E78CC7F-6A34-41A7-B2C2-F3A1A92717E1}"/>
    <cellStyle name="40% - Accent1 5 3" xfId="13936" xr:uid="{19C979BF-1566-4E8A-8163-E44F8D1786EB}"/>
    <cellStyle name="40% - Accent1 6" xfId="367" xr:uid="{00000000-0005-0000-0000-000075010000}"/>
    <cellStyle name="40% - Accent1 6 2" xfId="5936" xr:uid="{00000000-0005-0000-0000-0000C3160000}"/>
    <cellStyle name="40% - Accent1 6 2 2" xfId="39851" xr:uid="{D04758CD-B7A3-4F72-A7C7-F2F645A9497B}"/>
    <cellStyle name="40% - Accent1 6 3" xfId="13937" xr:uid="{AD8604E6-7718-4D97-9385-200B073C8C44}"/>
    <cellStyle name="40% - Accent1 7" xfId="368" xr:uid="{00000000-0005-0000-0000-000076010000}"/>
    <cellStyle name="40% - Accent1 7 2" xfId="5937" xr:uid="{00000000-0005-0000-0000-0000C4160000}"/>
    <cellStyle name="40% - Accent1 7 2 2" xfId="39852" xr:uid="{A614C332-915F-4BBF-BF77-4B663120838B}"/>
    <cellStyle name="40% - Accent1 7 3" xfId="13938" xr:uid="{0696BEEE-2D19-4067-A038-4BA800C4B84B}"/>
    <cellStyle name="40% - Accent1 8" xfId="369" xr:uid="{00000000-0005-0000-0000-000077010000}"/>
    <cellStyle name="40% - Accent1 8 2" xfId="5938" xr:uid="{00000000-0005-0000-0000-0000C5160000}"/>
    <cellStyle name="40% - Accent1 8 2 2" xfId="39853" xr:uid="{F8F26E58-2AFF-43CF-9985-80EA2CCBC7F7}"/>
    <cellStyle name="40% - Accent1 8 3" xfId="13939" xr:uid="{5B327ED8-D54D-4DA7-AF11-C52EEA015E95}"/>
    <cellStyle name="40% - Accent1 9" xfId="370" xr:uid="{00000000-0005-0000-0000-000078010000}"/>
    <cellStyle name="40% - Accent1 9 2" xfId="5939" xr:uid="{00000000-0005-0000-0000-0000C6160000}"/>
    <cellStyle name="40% - Accent1 9 2 2" xfId="39854" xr:uid="{ACEECCFA-19C7-4AD5-8FA7-53DE6BA30261}"/>
    <cellStyle name="40% - Accent1 9 3" xfId="16598" xr:uid="{72672F38-3895-4FAC-852D-8C95C926B194}"/>
    <cellStyle name="40% - Accent2" xfId="5548" builtinId="35" customBuiltin="1"/>
    <cellStyle name="40% - Accent2 2" xfId="371" xr:uid="{00000000-0005-0000-0000-00007A010000}"/>
    <cellStyle name="40% - Accent2 2 10" xfId="372" xr:uid="{00000000-0005-0000-0000-00007B010000}"/>
    <cellStyle name="40% - Accent2 2 10 2" xfId="5941" xr:uid="{00000000-0005-0000-0000-0000C7160000}"/>
    <cellStyle name="40% - Accent2 2 10 2 2" xfId="39855" xr:uid="{DF62146D-78CA-4E56-9DD3-514AC4BB19F5}"/>
    <cellStyle name="40% - Accent2 2 10 3" xfId="13940" xr:uid="{07055C16-A394-44A7-AC0B-6F25215E4502}"/>
    <cellStyle name="40% - Accent2 2 2" xfId="373" xr:uid="{00000000-0005-0000-0000-00007C010000}"/>
    <cellStyle name="40% - Accent2 2 2 2" xfId="374" xr:uid="{00000000-0005-0000-0000-00007D010000}"/>
    <cellStyle name="40% - Accent2 2 2 2 2" xfId="5943" xr:uid="{00000000-0005-0000-0000-0000C8160000}"/>
    <cellStyle name="40% - Accent2 2 2 2 2 2" xfId="39856" xr:uid="{6E9B9AB2-0E50-4244-A98C-251085EEB560}"/>
    <cellStyle name="40% - Accent2 2 2 2 3" xfId="13941" xr:uid="{307E6681-B3C1-480A-A6F0-95F2A7DEBACA}"/>
    <cellStyle name="40% - Accent2 2 2 3" xfId="375" xr:uid="{00000000-0005-0000-0000-00007E010000}"/>
    <cellStyle name="40% - Accent2 2 2 3 2" xfId="5944" xr:uid="{00000000-0005-0000-0000-0000C9160000}"/>
    <cellStyle name="40% - Accent2 2 2 3 2 2" xfId="39857" xr:uid="{D45501A7-2C83-4613-A867-9A3EAB74E6C3}"/>
    <cellStyle name="40% - Accent2 2 2 3 3" xfId="13942" xr:uid="{22B8F3E1-67BC-4014-B0B2-2E6E9449FB56}"/>
    <cellStyle name="40% - Accent2 2 3" xfId="376" xr:uid="{00000000-0005-0000-0000-00007F010000}"/>
    <cellStyle name="40% - Accent2 2 3 2" xfId="377" xr:uid="{00000000-0005-0000-0000-000080010000}"/>
    <cellStyle name="40% - Accent2 2 3 2 2" xfId="5946" xr:uid="{00000000-0005-0000-0000-0000CA160000}"/>
    <cellStyle name="40% - Accent2 2 3 2 2 2" xfId="39859" xr:uid="{EB17DFED-F585-4744-ADD8-8B25CFA71487}"/>
    <cellStyle name="40% - Accent2 2 3 2 3" xfId="13944" xr:uid="{126743CA-0E78-4FA4-8462-F2AB81E0431D}"/>
    <cellStyle name="40% - Accent2 2 4" xfId="378" xr:uid="{00000000-0005-0000-0000-000081010000}"/>
    <cellStyle name="40% - Accent2 2 5" xfId="379" xr:uid="{00000000-0005-0000-0000-000082010000}"/>
    <cellStyle name="40% - Accent2 2 6" xfId="380" xr:uid="{00000000-0005-0000-0000-000083010000}"/>
    <cellStyle name="40% - Accent2 2 7" xfId="381" xr:uid="{00000000-0005-0000-0000-000084010000}"/>
    <cellStyle name="40% - Accent2 2 8" xfId="382" xr:uid="{00000000-0005-0000-0000-000085010000}"/>
    <cellStyle name="40% - Accent2 2 9" xfId="383" xr:uid="{00000000-0005-0000-0000-000086010000}"/>
    <cellStyle name="40% - Accent2 3" xfId="384" xr:uid="{00000000-0005-0000-0000-000087010000}"/>
    <cellStyle name="40% - Accent2 3 2" xfId="385" xr:uid="{00000000-0005-0000-0000-000088010000}"/>
    <cellStyle name="40% - Accent2 3 2 2" xfId="386" xr:uid="{00000000-0005-0000-0000-000089010000}"/>
    <cellStyle name="40% - Accent2 3 2 2 2" xfId="387" xr:uid="{00000000-0005-0000-0000-00008A010000}"/>
    <cellStyle name="40% - Accent2 3 2 2 2 2" xfId="388" xr:uid="{00000000-0005-0000-0000-00008B010000}"/>
    <cellStyle name="40% - Accent2 3 2 2 2 2 2" xfId="5957" xr:uid="{00000000-0005-0000-0000-0000CF160000}"/>
    <cellStyle name="40% - Accent2 3 2 2 2 2 2 2" xfId="39868" xr:uid="{5C7792BC-055C-4BA6-99E1-B631EB5DB8C2}"/>
    <cellStyle name="40% - Accent2 3 2 2 2 2 3" xfId="13951" xr:uid="{EEEB7C8D-6724-4AE6-BC44-DB1BE6CEBE9A}"/>
    <cellStyle name="40% - Accent2 3 2 2 2 3" xfId="5956" xr:uid="{00000000-0005-0000-0000-0000CE160000}"/>
    <cellStyle name="40% - Accent2 3 2 2 2 3 2" xfId="39867" xr:uid="{2D5893E4-379D-42E7-89CB-4E8B3A54F0D7}"/>
    <cellStyle name="40% - Accent2 3 2 2 2 4" xfId="13950" xr:uid="{7C904C68-BA4D-45BE-9CDF-078C31B41381}"/>
    <cellStyle name="40% - Accent2 3 2 2 3" xfId="389" xr:uid="{00000000-0005-0000-0000-00008C010000}"/>
    <cellStyle name="40% - Accent2 3 2 2 3 2" xfId="5958" xr:uid="{00000000-0005-0000-0000-0000D0160000}"/>
    <cellStyle name="40% - Accent2 3 2 2 3 2 2" xfId="39869" xr:uid="{269BFE07-880C-466E-A857-A131CB43A347}"/>
    <cellStyle name="40% - Accent2 3 2 2 3 3" xfId="13952" xr:uid="{838D9CC5-BD71-47CB-BBA0-50C49B301274}"/>
    <cellStyle name="40% - Accent2 3 2 2 4" xfId="5955" xr:uid="{00000000-0005-0000-0000-0000CD160000}"/>
    <cellStyle name="40% - Accent2 3 2 2 4 2" xfId="39866" xr:uid="{5645C869-AB67-4C56-946B-2435EBBDE8E0}"/>
    <cellStyle name="40% - Accent2 3 2 2 5" xfId="13949" xr:uid="{6E5FF745-3A58-4C5E-97F9-A69BCA415FC6}"/>
    <cellStyle name="40% - Accent2 3 2 3" xfId="390" xr:uid="{00000000-0005-0000-0000-00008D010000}"/>
    <cellStyle name="40% - Accent2 3 2 3 2" xfId="391" xr:uid="{00000000-0005-0000-0000-00008E010000}"/>
    <cellStyle name="40% - Accent2 3 2 3 2 2" xfId="5960" xr:uid="{00000000-0005-0000-0000-0000D2160000}"/>
    <cellStyle name="40% - Accent2 3 2 3 2 2 2" xfId="39871" xr:uid="{03559806-0580-484D-985D-B9970C8AE0E9}"/>
    <cellStyle name="40% - Accent2 3 2 3 2 3" xfId="13954" xr:uid="{79D5D2A7-0B86-4DD5-92F6-E238F41A806E}"/>
    <cellStyle name="40% - Accent2 3 2 3 3" xfId="5959" xr:uid="{00000000-0005-0000-0000-0000D1160000}"/>
    <cellStyle name="40% - Accent2 3 2 3 3 2" xfId="39870" xr:uid="{3FFA2D68-D8FA-47E3-8BBD-3EB1E112BB9B}"/>
    <cellStyle name="40% - Accent2 3 2 3 4" xfId="13953" xr:uid="{D3FFB29D-0184-4CE0-8CC6-DFB2D04F2A3C}"/>
    <cellStyle name="40% - Accent2 3 2 4" xfId="392" xr:uid="{00000000-0005-0000-0000-00008F010000}"/>
    <cellStyle name="40% - Accent2 3 2 4 2" xfId="5961" xr:uid="{00000000-0005-0000-0000-0000D3160000}"/>
    <cellStyle name="40% - Accent2 3 2 4 2 2" xfId="39872" xr:uid="{E0067B57-B6DF-4F80-A890-6A7571935D5F}"/>
    <cellStyle name="40% - Accent2 3 2 4 3" xfId="13955" xr:uid="{0F33E31D-982E-46D1-A8F5-A5E64E00FB13}"/>
    <cellStyle name="40% - Accent2 3 2 5" xfId="5954" xr:uid="{00000000-0005-0000-0000-0000CC160000}"/>
    <cellStyle name="40% - Accent2 3 2 5 2" xfId="39865" xr:uid="{AE65B7C1-6865-4C5E-88C1-539426F7AECA}"/>
    <cellStyle name="40% - Accent2 3 2 6" xfId="13948" xr:uid="{FE4D1874-DC3B-4324-A8F8-C41178C37A5C}"/>
    <cellStyle name="40% - Accent2 3 3" xfId="393" xr:uid="{00000000-0005-0000-0000-000090010000}"/>
    <cellStyle name="40% - Accent2 3 3 2" xfId="394" xr:uid="{00000000-0005-0000-0000-000091010000}"/>
    <cellStyle name="40% - Accent2 3 3 2 2" xfId="395" xr:uid="{00000000-0005-0000-0000-000092010000}"/>
    <cellStyle name="40% - Accent2 3 3 2 2 2" xfId="396" xr:uid="{00000000-0005-0000-0000-000093010000}"/>
    <cellStyle name="40% - Accent2 3 3 2 2 2 2" xfId="5965" xr:uid="{00000000-0005-0000-0000-0000D7160000}"/>
    <cellStyle name="40% - Accent2 3 3 2 2 2 2 2" xfId="39876" xr:uid="{EA0B54B7-4E41-4A6F-873E-FA9B763A1CD3}"/>
    <cellStyle name="40% - Accent2 3 3 2 2 2 3" xfId="13959" xr:uid="{1A99BD6E-D9B6-4E0C-861F-5200976FE28A}"/>
    <cellStyle name="40% - Accent2 3 3 2 2 3" xfId="5964" xr:uid="{00000000-0005-0000-0000-0000D6160000}"/>
    <cellStyle name="40% - Accent2 3 3 2 2 3 2" xfId="39875" xr:uid="{8F60FFAC-6E5A-4F5B-848C-21B58165BEC4}"/>
    <cellStyle name="40% - Accent2 3 3 2 2 4" xfId="13958" xr:uid="{7FAB9D8C-C571-4154-A3C8-E96D3E40657B}"/>
    <cellStyle name="40% - Accent2 3 3 2 3" xfId="397" xr:uid="{00000000-0005-0000-0000-000094010000}"/>
    <cellStyle name="40% - Accent2 3 3 2 3 2" xfId="5966" xr:uid="{00000000-0005-0000-0000-0000D8160000}"/>
    <cellStyle name="40% - Accent2 3 3 2 3 2 2" xfId="39877" xr:uid="{F9D738EC-DDB8-4025-B65F-5081450E7C17}"/>
    <cellStyle name="40% - Accent2 3 3 2 3 3" xfId="13960" xr:uid="{4385B371-80A3-47F7-84E3-4C2AD40D0B34}"/>
    <cellStyle name="40% - Accent2 3 3 2 4" xfId="5963" xr:uid="{00000000-0005-0000-0000-0000D5160000}"/>
    <cellStyle name="40% - Accent2 3 3 2 4 2" xfId="39874" xr:uid="{3511D918-D53A-4069-A855-CDF682A81D9F}"/>
    <cellStyle name="40% - Accent2 3 3 2 5" xfId="13957" xr:uid="{967670DA-C1CE-44C9-89FE-664D7396413D}"/>
    <cellStyle name="40% - Accent2 3 3 3" xfId="398" xr:uid="{00000000-0005-0000-0000-000095010000}"/>
    <cellStyle name="40% - Accent2 3 3 3 2" xfId="399" xr:uid="{00000000-0005-0000-0000-000096010000}"/>
    <cellStyle name="40% - Accent2 3 3 3 2 2" xfId="5968" xr:uid="{00000000-0005-0000-0000-0000DA160000}"/>
    <cellStyle name="40% - Accent2 3 3 3 2 2 2" xfId="39879" xr:uid="{13EFC792-B57A-4E06-AABF-F57D13408C0D}"/>
    <cellStyle name="40% - Accent2 3 3 3 2 3" xfId="13962" xr:uid="{4800E5F2-EFC1-46B4-B11D-C3B9EC164311}"/>
    <cellStyle name="40% - Accent2 3 3 3 3" xfId="5967" xr:uid="{00000000-0005-0000-0000-0000D9160000}"/>
    <cellStyle name="40% - Accent2 3 3 3 3 2" xfId="39878" xr:uid="{7B002DDF-2129-48BA-91A0-59B9B42803EE}"/>
    <cellStyle name="40% - Accent2 3 3 3 4" xfId="13961" xr:uid="{F1C2C9C3-7441-4A9B-AB9D-7084F6782185}"/>
    <cellStyle name="40% - Accent2 3 3 4" xfId="400" xr:uid="{00000000-0005-0000-0000-000097010000}"/>
    <cellStyle name="40% - Accent2 3 3 4 2" xfId="5969" xr:uid="{00000000-0005-0000-0000-0000DB160000}"/>
    <cellStyle name="40% - Accent2 3 3 4 2 2" xfId="39880" xr:uid="{A28E4386-FDE7-410D-864B-16E6127DDA9F}"/>
    <cellStyle name="40% - Accent2 3 3 4 3" xfId="13963" xr:uid="{EF2F08E2-9B04-454A-9FB8-DF1732E78358}"/>
    <cellStyle name="40% - Accent2 3 3 5" xfId="5962" xr:uid="{00000000-0005-0000-0000-0000D4160000}"/>
    <cellStyle name="40% - Accent2 3 3 5 2" xfId="39873" xr:uid="{83159861-8CC6-4B73-ADCB-101531AB56A4}"/>
    <cellStyle name="40% - Accent2 3 3 6" xfId="13956" xr:uid="{32CC2B2F-4DF3-4CCB-98B0-2519C4AFC32F}"/>
    <cellStyle name="40% - Accent2 3 4" xfId="401" xr:uid="{00000000-0005-0000-0000-000098010000}"/>
    <cellStyle name="40% - Accent2 3 4 2" xfId="402" xr:uid="{00000000-0005-0000-0000-000099010000}"/>
    <cellStyle name="40% - Accent2 3 4 2 2" xfId="403" xr:uid="{00000000-0005-0000-0000-00009A010000}"/>
    <cellStyle name="40% - Accent2 3 4 2 2 2" xfId="5972" xr:uid="{00000000-0005-0000-0000-0000DE160000}"/>
    <cellStyle name="40% - Accent2 3 4 2 2 2 2" xfId="39883" xr:uid="{D5D7E4B6-C268-49DA-BEEE-4DC2340902E7}"/>
    <cellStyle name="40% - Accent2 3 4 2 2 3" xfId="13966" xr:uid="{E94DE985-C644-4500-976F-EB30B540AB7F}"/>
    <cellStyle name="40% - Accent2 3 4 2 3" xfId="5971" xr:uid="{00000000-0005-0000-0000-0000DD160000}"/>
    <cellStyle name="40% - Accent2 3 4 2 3 2" xfId="39882" xr:uid="{F4A55B6D-6CB5-4539-AF53-E0C7C7B249C6}"/>
    <cellStyle name="40% - Accent2 3 4 2 4" xfId="13965" xr:uid="{67AB6CE7-EA95-4E67-A7A9-DE49DBE6F2D3}"/>
    <cellStyle name="40% - Accent2 3 4 3" xfId="404" xr:uid="{00000000-0005-0000-0000-00009B010000}"/>
    <cellStyle name="40% - Accent2 3 4 3 2" xfId="5973" xr:uid="{00000000-0005-0000-0000-0000DF160000}"/>
    <cellStyle name="40% - Accent2 3 4 3 2 2" xfId="39884" xr:uid="{117E4565-35F8-401A-9495-4E87038A06DE}"/>
    <cellStyle name="40% - Accent2 3 4 3 3" xfId="13967" xr:uid="{8693FD27-1631-4058-BAB9-0A8D1014067C}"/>
    <cellStyle name="40% - Accent2 3 4 4" xfId="5970" xr:uid="{00000000-0005-0000-0000-0000DC160000}"/>
    <cellStyle name="40% - Accent2 3 4 4 2" xfId="39881" xr:uid="{FE9BB565-2268-485C-883A-83D4977C3C88}"/>
    <cellStyle name="40% - Accent2 3 4 5" xfId="13964" xr:uid="{D1D3AE5F-70BE-4014-9476-D1B2A1E96F6B}"/>
    <cellStyle name="40% - Accent2 3 5" xfId="405" xr:uid="{00000000-0005-0000-0000-00009C010000}"/>
    <cellStyle name="40% - Accent2 3 5 2" xfId="406" xr:uid="{00000000-0005-0000-0000-00009D010000}"/>
    <cellStyle name="40% - Accent2 3 5 2 2" xfId="5975" xr:uid="{00000000-0005-0000-0000-0000E1160000}"/>
    <cellStyle name="40% - Accent2 3 5 2 2 2" xfId="39886" xr:uid="{83427449-7944-4B9D-A439-FD955A29352C}"/>
    <cellStyle name="40% - Accent2 3 5 2 3" xfId="13969" xr:uid="{A96A8772-CB11-468C-B479-B4CAB5233C65}"/>
    <cellStyle name="40% - Accent2 3 5 3" xfId="5974" xr:uid="{00000000-0005-0000-0000-0000E0160000}"/>
    <cellStyle name="40% - Accent2 3 5 3 2" xfId="39885" xr:uid="{2675C91D-56C4-44B8-85C2-F4BCD53492C0}"/>
    <cellStyle name="40% - Accent2 3 5 4" xfId="13968" xr:uid="{D0E335A3-3757-4742-B1B3-CC5EE9ED85AB}"/>
    <cellStyle name="40% - Accent2 3 6" xfId="407" xr:uid="{00000000-0005-0000-0000-00009E010000}"/>
    <cellStyle name="40% - Accent2 3 6 2" xfId="5976" xr:uid="{00000000-0005-0000-0000-0000E2160000}"/>
    <cellStyle name="40% - Accent2 3 6 2 2" xfId="39887" xr:uid="{D9F6FB6D-0E8C-48FA-A81B-81DBF3F44437}"/>
    <cellStyle name="40% - Accent2 3 6 3" xfId="13970" xr:uid="{71DAEA97-2CC1-4EC5-9F55-D638018AD0A2}"/>
    <cellStyle name="40% - Accent2 3 7" xfId="5953" xr:uid="{00000000-0005-0000-0000-0000CB160000}"/>
    <cellStyle name="40% - Accent2 3 7 2" xfId="39864" xr:uid="{49204DE5-682D-45D9-A0E7-F6DA0937CAAC}"/>
    <cellStyle name="40% - Accent2 3 8" xfId="13947" xr:uid="{8A1BB30D-77DF-4D7C-825F-421486BBEF0F}"/>
    <cellStyle name="40% - Accent2 4" xfId="408" xr:uid="{00000000-0005-0000-0000-00009F010000}"/>
    <cellStyle name="40% - Accent2 4 2" xfId="5977" xr:uid="{00000000-0005-0000-0000-0000E3160000}"/>
    <cellStyle name="40% - Accent2 4 2 2" xfId="39888" xr:uid="{CA37DA15-4442-4526-96A2-3499B87F4870}"/>
    <cellStyle name="40% - Accent2 4 3" xfId="13971" xr:uid="{3901452B-AA98-4AC3-A788-E782CFA8AF18}"/>
    <cellStyle name="40% - Accent2 5" xfId="409" xr:uid="{00000000-0005-0000-0000-0000A0010000}"/>
    <cellStyle name="40% - Accent2 5 2" xfId="5978" xr:uid="{00000000-0005-0000-0000-0000E4160000}"/>
    <cellStyle name="40% - Accent2 5 2 2" xfId="39889" xr:uid="{0C9C739D-CBE0-4D92-A511-41B477726065}"/>
    <cellStyle name="40% - Accent2 5 3" xfId="13972" xr:uid="{7053935E-18B0-455C-9E27-19D7BB9DA2FE}"/>
    <cellStyle name="40% - Accent2 6" xfId="410" xr:uid="{00000000-0005-0000-0000-0000A1010000}"/>
    <cellStyle name="40% - Accent2 6 2" xfId="5979" xr:uid="{00000000-0005-0000-0000-0000E5160000}"/>
    <cellStyle name="40% - Accent2 6 2 2" xfId="39890" xr:uid="{F90CEAF9-1599-44E3-B792-A0B6B75FFA90}"/>
    <cellStyle name="40% - Accent2 6 3" xfId="13973" xr:uid="{BF0CFB58-F821-4AB0-B9F5-7490B761BD9E}"/>
    <cellStyle name="40% - Accent2 7" xfId="411" xr:uid="{00000000-0005-0000-0000-0000A2010000}"/>
    <cellStyle name="40% - Accent2 7 2" xfId="5980" xr:uid="{00000000-0005-0000-0000-0000E6160000}"/>
    <cellStyle name="40% - Accent2 7 2 2" xfId="39891" xr:uid="{88F974E8-7DF4-488F-B113-A144BBFBB9D2}"/>
    <cellStyle name="40% - Accent2 7 3" xfId="13974" xr:uid="{77E2E60A-35D7-4574-AE8E-7A71737C38F9}"/>
    <cellStyle name="40% - Accent2 8" xfId="412" xr:uid="{00000000-0005-0000-0000-0000A3010000}"/>
    <cellStyle name="40% - Accent2 8 2" xfId="5981" xr:uid="{00000000-0005-0000-0000-0000E7160000}"/>
    <cellStyle name="40% - Accent2 8 2 2" xfId="39892" xr:uid="{B4F531FB-B8CA-41C9-BE52-CB0461AEDFD7}"/>
    <cellStyle name="40% - Accent2 8 3" xfId="13975" xr:uid="{69249174-FAD6-423F-A12C-3CD5D0C1CCA1}"/>
    <cellStyle name="40% - Accent2 9" xfId="413" xr:uid="{00000000-0005-0000-0000-0000A4010000}"/>
    <cellStyle name="40% - Accent2 9 2" xfId="5982" xr:uid="{00000000-0005-0000-0000-0000E8160000}"/>
    <cellStyle name="40% - Accent2 9 2 2" xfId="39893" xr:uid="{2DBBD5A9-21EA-4B63-B49F-CA5786D48F00}"/>
    <cellStyle name="40% - Accent2 9 3" xfId="16599" xr:uid="{72C5366D-FE8E-456E-8958-ED9A800C999A}"/>
    <cellStyle name="40% - Accent3" xfId="5551" builtinId="39" customBuiltin="1"/>
    <cellStyle name="40% - Accent3 2" xfId="414" xr:uid="{00000000-0005-0000-0000-0000A6010000}"/>
    <cellStyle name="40% - Accent3 2 10" xfId="415" xr:uid="{00000000-0005-0000-0000-0000A7010000}"/>
    <cellStyle name="40% - Accent3 2 10 2" xfId="5984" xr:uid="{00000000-0005-0000-0000-0000E9160000}"/>
    <cellStyle name="40% - Accent3 2 10 2 2" xfId="39894" xr:uid="{2D2A088C-4A93-4B0E-B544-09E94DAB408F}"/>
    <cellStyle name="40% - Accent3 2 10 3" xfId="13976" xr:uid="{680556C8-4DE0-4FFB-96C6-D59B08E50477}"/>
    <cellStyle name="40% - Accent3 2 2" xfId="416" xr:uid="{00000000-0005-0000-0000-0000A8010000}"/>
    <cellStyle name="40% - Accent3 2 2 2" xfId="417" xr:uid="{00000000-0005-0000-0000-0000A9010000}"/>
    <cellStyle name="40% - Accent3 2 2 2 2" xfId="5986" xr:uid="{00000000-0005-0000-0000-0000EA160000}"/>
    <cellStyle name="40% - Accent3 2 2 2 2 2" xfId="39896" xr:uid="{EAFF01CB-DB0D-4435-BDF3-B7B90599F1F8}"/>
    <cellStyle name="40% - Accent3 2 2 2 3" xfId="13978" xr:uid="{74E2A549-1D35-4411-8812-236B5DCFE27B}"/>
    <cellStyle name="40% - Accent3 2 2 3" xfId="418" xr:uid="{00000000-0005-0000-0000-0000AA010000}"/>
    <cellStyle name="40% - Accent3 2 2 3 2" xfId="5987" xr:uid="{00000000-0005-0000-0000-0000EB160000}"/>
    <cellStyle name="40% - Accent3 2 2 3 2 2" xfId="39897" xr:uid="{EB0DD3CC-0D42-4299-9504-EB53EE0B54E2}"/>
    <cellStyle name="40% - Accent3 2 2 3 3" xfId="13979" xr:uid="{74F2B75E-B9A3-4646-9E79-F9E2AAE1D4EB}"/>
    <cellStyle name="40% - Accent3 2 3" xfId="419" xr:uid="{00000000-0005-0000-0000-0000AB010000}"/>
    <cellStyle name="40% - Accent3 2 3 2" xfId="420" xr:uid="{00000000-0005-0000-0000-0000AC010000}"/>
    <cellStyle name="40% - Accent3 2 3 2 2" xfId="5989" xr:uid="{00000000-0005-0000-0000-0000EC160000}"/>
    <cellStyle name="40% - Accent3 2 3 2 2 2" xfId="39899" xr:uid="{DBCD8269-4AE0-40CE-96A2-46E708EDC7D1}"/>
    <cellStyle name="40% - Accent3 2 3 2 3" xfId="13981" xr:uid="{487ED138-0B76-41CD-8533-DFCFB5497236}"/>
    <cellStyle name="40% - Accent3 2 4" xfId="421" xr:uid="{00000000-0005-0000-0000-0000AD010000}"/>
    <cellStyle name="40% - Accent3 2 5" xfId="422" xr:uid="{00000000-0005-0000-0000-0000AE010000}"/>
    <cellStyle name="40% - Accent3 2 6" xfId="423" xr:uid="{00000000-0005-0000-0000-0000AF010000}"/>
    <cellStyle name="40% - Accent3 2 7" xfId="424" xr:uid="{00000000-0005-0000-0000-0000B0010000}"/>
    <cellStyle name="40% - Accent3 2 8" xfId="425" xr:uid="{00000000-0005-0000-0000-0000B1010000}"/>
    <cellStyle name="40% - Accent3 2 9" xfId="426" xr:uid="{00000000-0005-0000-0000-0000B2010000}"/>
    <cellStyle name="40% - Accent3 3" xfId="427" xr:uid="{00000000-0005-0000-0000-0000B3010000}"/>
    <cellStyle name="40% - Accent3 3 2" xfId="428" xr:uid="{00000000-0005-0000-0000-0000B4010000}"/>
    <cellStyle name="40% - Accent3 3 2 2" xfId="429" xr:uid="{00000000-0005-0000-0000-0000B5010000}"/>
    <cellStyle name="40% - Accent3 3 2 2 2" xfId="430" xr:uid="{00000000-0005-0000-0000-0000B6010000}"/>
    <cellStyle name="40% - Accent3 3 2 2 2 2" xfId="431" xr:uid="{00000000-0005-0000-0000-0000B7010000}"/>
    <cellStyle name="40% - Accent3 3 2 2 2 2 2" xfId="6000" xr:uid="{00000000-0005-0000-0000-0000F1160000}"/>
    <cellStyle name="40% - Accent3 3 2 2 2 2 2 2" xfId="39906" xr:uid="{A8B16DE0-A7EB-4BA3-8EB3-210147F4B04B}"/>
    <cellStyle name="40% - Accent3 3 2 2 2 2 3" xfId="13989" xr:uid="{B6DC0542-2D53-40FF-910C-9B34AA7038E2}"/>
    <cellStyle name="40% - Accent3 3 2 2 2 3" xfId="5999" xr:uid="{00000000-0005-0000-0000-0000F0160000}"/>
    <cellStyle name="40% - Accent3 3 2 2 2 3 2" xfId="39905" xr:uid="{669905FC-3F11-4EC7-A19E-09E508375C51}"/>
    <cellStyle name="40% - Accent3 3 2 2 2 4" xfId="13988" xr:uid="{FCE37DCE-6388-4851-8AC6-187D036C1956}"/>
    <cellStyle name="40% - Accent3 3 2 2 3" xfId="432" xr:uid="{00000000-0005-0000-0000-0000B8010000}"/>
    <cellStyle name="40% - Accent3 3 2 2 3 2" xfId="6001" xr:uid="{00000000-0005-0000-0000-0000F2160000}"/>
    <cellStyle name="40% - Accent3 3 2 2 3 2 2" xfId="39907" xr:uid="{FE03E41D-FBD4-445B-B3D5-271CC1FCD843}"/>
    <cellStyle name="40% - Accent3 3 2 2 3 3" xfId="13990" xr:uid="{8FFCDB10-0FC9-4C6D-A3BC-B41F8F5426B9}"/>
    <cellStyle name="40% - Accent3 3 2 2 4" xfId="5998" xr:uid="{00000000-0005-0000-0000-0000EF160000}"/>
    <cellStyle name="40% - Accent3 3 2 2 4 2" xfId="39904" xr:uid="{60AE8133-0F09-4408-9DD9-CA478FD25A5A}"/>
    <cellStyle name="40% - Accent3 3 2 2 5" xfId="13987" xr:uid="{C0BCC7B6-3951-4A9F-928C-DAEA2E49DB4C}"/>
    <cellStyle name="40% - Accent3 3 2 3" xfId="433" xr:uid="{00000000-0005-0000-0000-0000B9010000}"/>
    <cellStyle name="40% - Accent3 3 2 3 2" xfId="434" xr:uid="{00000000-0005-0000-0000-0000BA010000}"/>
    <cellStyle name="40% - Accent3 3 2 3 2 2" xfId="6003" xr:uid="{00000000-0005-0000-0000-0000F4160000}"/>
    <cellStyle name="40% - Accent3 3 2 3 2 2 2" xfId="39909" xr:uid="{02995FDE-34F8-479F-B6AC-85B175565A7E}"/>
    <cellStyle name="40% - Accent3 3 2 3 2 3" xfId="13992" xr:uid="{3308D8ED-E92B-49E1-BD51-A71ECE10696C}"/>
    <cellStyle name="40% - Accent3 3 2 3 3" xfId="6002" xr:uid="{00000000-0005-0000-0000-0000F3160000}"/>
    <cellStyle name="40% - Accent3 3 2 3 3 2" xfId="39908" xr:uid="{C8FDFC38-B786-45E9-AF08-F1B4C1991544}"/>
    <cellStyle name="40% - Accent3 3 2 3 4" xfId="13991" xr:uid="{C5A4BED8-5BBA-409F-AF21-28061BE7B4F4}"/>
    <cellStyle name="40% - Accent3 3 2 4" xfId="435" xr:uid="{00000000-0005-0000-0000-0000BB010000}"/>
    <cellStyle name="40% - Accent3 3 2 4 2" xfId="6004" xr:uid="{00000000-0005-0000-0000-0000F5160000}"/>
    <cellStyle name="40% - Accent3 3 2 4 2 2" xfId="39910" xr:uid="{53281C7F-635C-4130-AA7D-85C9CD07447A}"/>
    <cellStyle name="40% - Accent3 3 2 4 3" xfId="13993" xr:uid="{0790CD29-609D-447A-A644-38F27462C838}"/>
    <cellStyle name="40% - Accent3 3 2 5" xfId="5997" xr:uid="{00000000-0005-0000-0000-0000EE160000}"/>
    <cellStyle name="40% - Accent3 3 2 5 2" xfId="39903" xr:uid="{691384DE-77D9-434C-BA14-E7D928C8647A}"/>
    <cellStyle name="40% - Accent3 3 2 6" xfId="13986" xr:uid="{2B6EB276-4E87-477C-93FD-4914449BD1CD}"/>
    <cellStyle name="40% - Accent3 3 3" xfId="436" xr:uid="{00000000-0005-0000-0000-0000BC010000}"/>
    <cellStyle name="40% - Accent3 3 3 2" xfId="437" xr:uid="{00000000-0005-0000-0000-0000BD010000}"/>
    <cellStyle name="40% - Accent3 3 3 2 2" xfId="438" xr:uid="{00000000-0005-0000-0000-0000BE010000}"/>
    <cellStyle name="40% - Accent3 3 3 2 2 2" xfId="439" xr:uid="{00000000-0005-0000-0000-0000BF010000}"/>
    <cellStyle name="40% - Accent3 3 3 2 2 2 2" xfId="6008" xr:uid="{00000000-0005-0000-0000-0000F9160000}"/>
    <cellStyle name="40% - Accent3 3 3 2 2 2 2 2" xfId="39914" xr:uid="{CF7A38A2-3323-4058-A5A2-381C35056072}"/>
    <cellStyle name="40% - Accent3 3 3 2 2 2 3" xfId="13997" xr:uid="{823F019D-67B7-4F6E-B564-D93815251CA0}"/>
    <cellStyle name="40% - Accent3 3 3 2 2 3" xfId="6007" xr:uid="{00000000-0005-0000-0000-0000F8160000}"/>
    <cellStyle name="40% - Accent3 3 3 2 2 3 2" xfId="39913" xr:uid="{681FD295-2899-4574-9AC9-FE51F743C6D5}"/>
    <cellStyle name="40% - Accent3 3 3 2 2 4" xfId="13996" xr:uid="{13860230-F701-4C81-A9E6-AFDF24DE9A69}"/>
    <cellStyle name="40% - Accent3 3 3 2 3" xfId="440" xr:uid="{00000000-0005-0000-0000-0000C0010000}"/>
    <cellStyle name="40% - Accent3 3 3 2 3 2" xfId="6009" xr:uid="{00000000-0005-0000-0000-0000FA160000}"/>
    <cellStyle name="40% - Accent3 3 3 2 3 2 2" xfId="39915" xr:uid="{01DD79C9-5ECE-453A-820D-C5E6FF91D8FB}"/>
    <cellStyle name="40% - Accent3 3 3 2 3 3" xfId="13998" xr:uid="{F2860BBA-BA23-4558-B91B-8D070D12CC19}"/>
    <cellStyle name="40% - Accent3 3 3 2 4" xfId="6006" xr:uid="{00000000-0005-0000-0000-0000F7160000}"/>
    <cellStyle name="40% - Accent3 3 3 2 4 2" xfId="39912" xr:uid="{A88A74DE-9D34-490A-8262-87F4A9A41965}"/>
    <cellStyle name="40% - Accent3 3 3 2 5" xfId="13995" xr:uid="{D08619B6-EE7A-4ABB-BF95-D6EB098CEF21}"/>
    <cellStyle name="40% - Accent3 3 3 3" xfId="441" xr:uid="{00000000-0005-0000-0000-0000C1010000}"/>
    <cellStyle name="40% - Accent3 3 3 3 2" xfId="442" xr:uid="{00000000-0005-0000-0000-0000C2010000}"/>
    <cellStyle name="40% - Accent3 3 3 3 2 2" xfId="6011" xr:uid="{00000000-0005-0000-0000-0000FC160000}"/>
    <cellStyle name="40% - Accent3 3 3 3 2 2 2" xfId="39917" xr:uid="{EBC3812D-DF9F-435F-A4A4-D0AF89BAA421}"/>
    <cellStyle name="40% - Accent3 3 3 3 2 3" xfId="14000" xr:uid="{9200BEFF-C784-456C-A2AA-71D99669D898}"/>
    <cellStyle name="40% - Accent3 3 3 3 3" xfId="6010" xr:uid="{00000000-0005-0000-0000-0000FB160000}"/>
    <cellStyle name="40% - Accent3 3 3 3 3 2" xfId="39916" xr:uid="{645620EB-65DC-4703-9701-143E27263B1B}"/>
    <cellStyle name="40% - Accent3 3 3 3 4" xfId="13999" xr:uid="{CDE30356-AF10-499B-BB1F-0D254EABA08F}"/>
    <cellStyle name="40% - Accent3 3 3 4" xfId="443" xr:uid="{00000000-0005-0000-0000-0000C3010000}"/>
    <cellStyle name="40% - Accent3 3 3 4 2" xfId="6012" xr:uid="{00000000-0005-0000-0000-0000FD160000}"/>
    <cellStyle name="40% - Accent3 3 3 4 2 2" xfId="39918" xr:uid="{C2B24EF7-76BB-4D67-AC5B-C7DBAF370B26}"/>
    <cellStyle name="40% - Accent3 3 3 4 3" xfId="14001" xr:uid="{86342937-CFCD-4D1E-B77B-2E957221F303}"/>
    <cellStyle name="40% - Accent3 3 3 5" xfId="6005" xr:uid="{00000000-0005-0000-0000-0000F6160000}"/>
    <cellStyle name="40% - Accent3 3 3 5 2" xfId="39911" xr:uid="{7DF1366D-0F9F-4FFE-885D-EEB8BF920EF5}"/>
    <cellStyle name="40% - Accent3 3 3 6" xfId="13994" xr:uid="{0689A4C5-E70B-4D81-B111-A79631028758}"/>
    <cellStyle name="40% - Accent3 3 4" xfId="444" xr:uid="{00000000-0005-0000-0000-0000C4010000}"/>
    <cellStyle name="40% - Accent3 3 4 2" xfId="445" xr:uid="{00000000-0005-0000-0000-0000C5010000}"/>
    <cellStyle name="40% - Accent3 3 4 2 2" xfId="446" xr:uid="{00000000-0005-0000-0000-0000C6010000}"/>
    <cellStyle name="40% - Accent3 3 4 2 2 2" xfId="6015" xr:uid="{00000000-0005-0000-0000-000000170000}"/>
    <cellStyle name="40% - Accent3 3 4 2 2 2 2" xfId="39921" xr:uid="{157A25A0-C49E-40B8-A816-97A3C5E61655}"/>
    <cellStyle name="40% - Accent3 3 4 2 2 3" xfId="14004" xr:uid="{920E636B-8D40-4A3E-8803-27D9FA8649F2}"/>
    <cellStyle name="40% - Accent3 3 4 2 3" xfId="6014" xr:uid="{00000000-0005-0000-0000-0000FF160000}"/>
    <cellStyle name="40% - Accent3 3 4 2 3 2" xfId="39920" xr:uid="{44136522-F1B6-4CD7-8621-F7ADB297A962}"/>
    <cellStyle name="40% - Accent3 3 4 2 4" xfId="14003" xr:uid="{24EEAC83-8053-4209-BC9D-E26CD8EC9E3C}"/>
    <cellStyle name="40% - Accent3 3 4 3" xfId="447" xr:uid="{00000000-0005-0000-0000-0000C7010000}"/>
    <cellStyle name="40% - Accent3 3 4 3 2" xfId="6016" xr:uid="{00000000-0005-0000-0000-000001170000}"/>
    <cellStyle name="40% - Accent3 3 4 3 2 2" xfId="39922" xr:uid="{15053E7C-8984-47C8-B7DF-713AB1BCDCC2}"/>
    <cellStyle name="40% - Accent3 3 4 3 3" xfId="14005" xr:uid="{C2795A46-F4C5-44FB-9FA7-3528ABA0FBCB}"/>
    <cellStyle name="40% - Accent3 3 4 4" xfId="6013" xr:uid="{00000000-0005-0000-0000-0000FE160000}"/>
    <cellStyle name="40% - Accent3 3 4 4 2" xfId="39919" xr:uid="{D028A4F2-A932-4FB0-9E86-1875A88261EE}"/>
    <cellStyle name="40% - Accent3 3 4 5" xfId="14002" xr:uid="{175097C6-8259-48BB-9AD6-C1974E6C3918}"/>
    <cellStyle name="40% - Accent3 3 5" xfId="448" xr:uid="{00000000-0005-0000-0000-0000C8010000}"/>
    <cellStyle name="40% - Accent3 3 5 2" xfId="449" xr:uid="{00000000-0005-0000-0000-0000C9010000}"/>
    <cellStyle name="40% - Accent3 3 5 2 2" xfId="6018" xr:uid="{00000000-0005-0000-0000-000003170000}"/>
    <cellStyle name="40% - Accent3 3 5 2 2 2" xfId="39924" xr:uid="{27ADB3A8-1213-4584-91DF-0BD33717D6CD}"/>
    <cellStyle name="40% - Accent3 3 5 2 3" xfId="14007" xr:uid="{D1D6D0C5-A8FD-4BC6-B330-427A1DC0E7C7}"/>
    <cellStyle name="40% - Accent3 3 5 3" xfId="6017" xr:uid="{00000000-0005-0000-0000-000002170000}"/>
    <cellStyle name="40% - Accent3 3 5 3 2" xfId="39923" xr:uid="{3A087992-9FC6-41BE-AA0B-9B868949816A}"/>
    <cellStyle name="40% - Accent3 3 5 4" xfId="14006" xr:uid="{87FC01FC-3CD8-42E5-BF13-E27EAEA9171A}"/>
    <cellStyle name="40% - Accent3 3 6" xfId="450" xr:uid="{00000000-0005-0000-0000-0000CA010000}"/>
    <cellStyle name="40% - Accent3 3 6 2" xfId="6019" xr:uid="{00000000-0005-0000-0000-000004170000}"/>
    <cellStyle name="40% - Accent3 3 6 2 2" xfId="39925" xr:uid="{D3507531-DCAE-4BA8-BB48-6FEC028160C6}"/>
    <cellStyle name="40% - Accent3 3 6 3" xfId="14008" xr:uid="{04EBDACA-7311-4CC4-9F95-8616CCA59BA6}"/>
    <cellStyle name="40% - Accent3 3 7" xfId="5996" xr:uid="{00000000-0005-0000-0000-0000ED160000}"/>
    <cellStyle name="40% - Accent3 3 7 2" xfId="39902" xr:uid="{25122A6D-A0A8-4F0A-9CD5-E581BE54FA4A}"/>
    <cellStyle name="40% - Accent3 3 8" xfId="13985" xr:uid="{BAF611CD-B399-420E-AAAB-B989C763466E}"/>
    <cellStyle name="40% - Accent3 4" xfId="451" xr:uid="{00000000-0005-0000-0000-0000CB010000}"/>
    <cellStyle name="40% - Accent3 4 2" xfId="6020" xr:uid="{00000000-0005-0000-0000-000005170000}"/>
    <cellStyle name="40% - Accent3 4 2 2" xfId="39926" xr:uid="{3FF66A8A-B914-4D1C-8D92-FBCA21D6998D}"/>
    <cellStyle name="40% - Accent3 4 3" xfId="14009" xr:uid="{CB8B8BD7-E3E6-410C-8CFA-9455825D543D}"/>
    <cellStyle name="40% - Accent3 5" xfId="452" xr:uid="{00000000-0005-0000-0000-0000CC010000}"/>
    <cellStyle name="40% - Accent3 5 2" xfId="6021" xr:uid="{00000000-0005-0000-0000-000006170000}"/>
    <cellStyle name="40% - Accent3 5 2 2" xfId="39927" xr:uid="{269D0120-B2B8-4510-A1A7-736B3EF49A9C}"/>
    <cellStyle name="40% - Accent3 5 3" xfId="14010" xr:uid="{ED58EE48-F855-4F8D-AA67-24DC723080FE}"/>
    <cellStyle name="40% - Accent3 6" xfId="453" xr:uid="{00000000-0005-0000-0000-0000CD010000}"/>
    <cellStyle name="40% - Accent3 6 2" xfId="6022" xr:uid="{00000000-0005-0000-0000-000007170000}"/>
    <cellStyle name="40% - Accent3 6 2 2" xfId="39928" xr:uid="{6F80BA17-EDE7-4D79-8A8A-0EA1C3C7C2A4}"/>
    <cellStyle name="40% - Accent3 6 3" xfId="14011" xr:uid="{3DA9422D-7330-485A-8442-18AFD062EBF1}"/>
    <cellStyle name="40% - Accent3 7" xfId="454" xr:uid="{00000000-0005-0000-0000-0000CE010000}"/>
    <cellStyle name="40% - Accent3 7 2" xfId="6023" xr:uid="{00000000-0005-0000-0000-000008170000}"/>
    <cellStyle name="40% - Accent3 7 2 2" xfId="39929" xr:uid="{D56767E3-E6AF-42AA-AB8F-F8CA57077CC8}"/>
    <cellStyle name="40% - Accent3 7 3" xfId="14012" xr:uid="{2A9956AC-274E-495A-A452-664A7BFCBD39}"/>
    <cellStyle name="40% - Accent3 8" xfId="455" xr:uid="{00000000-0005-0000-0000-0000CF010000}"/>
    <cellStyle name="40% - Accent3 8 2" xfId="6024" xr:uid="{00000000-0005-0000-0000-000009170000}"/>
    <cellStyle name="40% - Accent3 8 2 2" xfId="39930" xr:uid="{C9A223FE-4C10-464F-BCF5-454FD40FB096}"/>
    <cellStyle name="40% - Accent3 8 3" xfId="14013" xr:uid="{00183EE7-8991-4558-B2B4-9B2C7EBF9629}"/>
    <cellStyle name="40% - Accent3 9" xfId="456" xr:uid="{00000000-0005-0000-0000-0000D0010000}"/>
    <cellStyle name="40% - Accent3 9 2" xfId="6025" xr:uid="{00000000-0005-0000-0000-00000A170000}"/>
    <cellStyle name="40% - Accent3 9 2 2" xfId="39931" xr:uid="{97AA8B04-4FD4-4321-ACCC-2A9465E90C2D}"/>
    <cellStyle name="40% - Accent3 9 3" xfId="16600" xr:uid="{247B9F24-26A1-4219-9DB3-269B12AF682F}"/>
    <cellStyle name="40% - Accent4" xfId="5554" builtinId="43" customBuiltin="1"/>
    <cellStyle name="40% - Accent4 2" xfId="457" xr:uid="{00000000-0005-0000-0000-0000D2010000}"/>
    <cellStyle name="40% - Accent4 2 10" xfId="458" xr:uid="{00000000-0005-0000-0000-0000D3010000}"/>
    <cellStyle name="40% - Accent4 2 10 2" xfId="6027" xr:uid="{00000000-0005-0000-0000-00000B170000}"/>
    <cellStyle name="40% - Accent4 2 10 2 2" xfId="39932" xr:uid="{BE3D4B78-7490-48DB-962B-B3EBFD047240}"/>
    <cellStyle name="40% - Accent4 2 10 3" xfId="14014" xr:uid="{DF788F27-1781-4AAD-82C4-E07FB9355FE1}"/>
    <cellStyle name="40% - Accent4 2 2" xfId="459" xr:uid="{00000000-0005-0000-0000-0000D4010000}"/>
    <cellStyle name="40% - Accent4 2 2 2" xfId="460" xr:uid="{00000000-0005-0000-0000-0000D5010000}"/>
    <cellStyle name="40% - Accent4 2 2 2 2" xfId="6029" xr:uid="{00000000-0005-0000-0000-00000C170000}"/>
    <cellStyle name="40% - Accent4 2 2 2 2 2" xfId="39934" xr:uid="{8121AE11-9E15-4AD8-95E4-937E06F870AF}"/>
    <cellStyle name="40% - Accent4 2 2 2 3" xfId="14015" xr:uid="{7BC7ECC9-14B5-45CD-AFA2-A4612513D912}"/>
    <cellStyle name="40% - Accent4 2 2 3" xfId="461" xr:uid="{00000000-0005-0000-0000-0000D6010000}"/>
    <cellStyle name="40% - Accent4 2 2 3 2" xfId="6030" xr:uid="{00000000-0005-0000-0000-00000D170000}"/>
    <cellStyle name="40% - Accent4 2 2 3 2 2" xfId="39935" xr:uid="{F3B7A056-AA9D-4002-A94A-D69C505CC47C}"/>
    <cellStyle name="40% - Accent4 2 2 3 3" xfId="14016" xr:uid="{B8660B25-DB9C-4DF8-B390-F5E30957119E}"/>
    <cellStyle name="40% - Accent4 2 3" xfId="462" xr:uid="{00000000-0005-0000-0000-0000D7010000}"/>
    <cellStyle name="40% - Accent4 2 3 2" xfId="463" xr:uid="{00000000-0005-0000-0000-0000D8010000}"/>
    <cellStyle name="40% - Accent4 2 3 2 2" xfId="6032" xr:uid="{00000000-0005-0000-0000-00000E170000}"/>
    <cellStyle name="40% - Accent4 2 3 2 2 2" xfId="39937" xr:uid="{2593F660-558F-4FC4-9CF5-51BC54441727}"/>
    <cellStyle name="40% - Accent4 2 3 2 3" xfId="14017" xr:uid="{8DCA7A1A-9337-44A4-BF95-B7FC843970CE}"/>
    <cellStyle name="40% - Accent4 2 4" xfId="464" xr:uid="{00000000-0005-0000-0000-0000D9010000}"/>
    <cellStyle name="40% - Accent4 2 5" xfId="465" xr:uid="{00000000-0005-0000-0000-0000DA010000}"/>
    <cellStyle name="40% - Accent4 2 6" xfId="466" xr:uid="{00000000-0005-0000-0000-0000DB010000}"/>
    <cellStyle name="40% - Accent4 2 7" xfId="467" xr:uid="{00000000-0005-0000-0000-0000DC010000}"/>
    <cellStyle name="40% - Accent4 2 8" xfId="468" xr:uid="{00000000-0005-0000-0000-0000DD010000}"/>
    <cellStyle name="40% - Accent4 2 9" xfId="469" xr:uid="{00000000-0005-0000-0000-0000DE010000}"/>
    <cellStyle name="40% - Accent4 3" xfId="470" xr:uid="{00000000-0005-0000-0000-0000DF010000}"/>
    <cellStyle name="40% - Accent4 3 2" xfId="471" xr:uid="{00000000-0005-0000-0000-0000E0010000}"/>
    <cellStyle name="40% - Accent4 3 2 2" xfId="472" xr:uid="{00000000-0005-0000-0000-0000E1010000}"/>
    <cellStyle name="40% - Accent4 3 2 2 2" xfId="473" xr:uid="{00000000-0005-0000-0000-0000E2010000}"/>
    <cellStyle name="40% - Accent4 3 2 2 2 2" xfId="474" xr:uid="{00000000-0005-0000-0000-0000E3010000}"/>
    <cellStyle name="40% - Accent4 3 2 2 2 2 2" xfId="6043" xr:uid="{00000000-0005-0000-0000-000013170000}"/>
    <cellStyle name="40% - Accent4 3 2 2 2 2 2 2" xfId="39943" xr:uid="{51D4A677-CF3A-4B8C-8075-48802BAA5C58}"/>
    <cellStyle name="40% - Accent4 3 2 2 2 2 3" xfId="14024" xr:uid="{B0926782-4BCC-4F8D-86E0-5EDF03A1F0F3}"/>
    <cellStyle name="40% - Accent4 3 2 2 2 3" xfId="6042" xr:uid="{00000000-0005-0000-0000-000012170000}"/>
    <cellStyle name="40% - Accent4 3 2 2 2 3 2" xfId="39942" xr:uid="{A36DB14C-A26F-487E-9845-E911232B190D}"/>
    <cellStyle name="40% - Accent4 3 2 2 2 4" xfId="14023" xr:uid="{8246E38A-0AF1-43F9-B974-18C38165E35F}"/>
    <cellStyle name="40% - Accent4 3 2 2 3" xfId="475" xr:uid="{00000000-0005-0000-0000-0000E4010000}"/>
    <cellStyle name="40% - Accent4 3 2 2 3 2" xfId="6044" xr:uid="{00000000-0005-0000-0000-000014170000}"/>
    <cellStyle name="40% - Accent4 3 2 2 3 2 2" xfId="39944" xr:uid="{111A9022-6D34-4DD2-B1E2-5AB8EBEA330F}"/>
    <cellStyle name="40% - Accent4 3 2 2 3 3" xfId="14025" xr:uid="{80044D1A-F431-48D1-89C9-D9534AC6749F}"/>
    <cellStyle name="40% - Accent4 3 2 2 4" xfId="6041" xr:uid="{00000000-0005-0000-0000-000011170000}"/>
    <cellStyle name="40% - Accent4 3 2 2 4 2" xfId="39941" xr:uid="{BB2A05E3-BCCA-41EA-9C52-F189952503A1}"/>
    <cellStyle name="40% - Accent4 3 2 2 5" xfId="14022" xr:uid="{8C23F36E-FF6D-44AB-AE1B-E9ED4D8082CD}"/>
    <cellStyle name="40% - Accent4 3 2 3" xfId="476" xr:uid="{00000000-0005-0000-0000-0000E5010000}"/>
    <cellStyle name="40% - Accent4 3 2 3 2" xfId="477" xr:uid="{00000000-0005-0000-0000-0000E6010000}"/>
    <cellStyle name="40% - Accent4 3 2 3 2 2" xfId="6046" xr:uid="{00000000-0005-0000-0000-000016170000}"/>
    <cellStyle name="40% - Accent4 3 2 3 2 2 2" xfId="39946" xr:uid="{F939F8FD-9269-4EB6-B477-1B1D26C2BFFA}"/>
    <cellStyle name="40% - Accent4 3 2 3 2 3" xfId="14027" xr:uid="{4E731D2C-7DE1-43F0-929F-768DAAD11461}"/>
    <cellStyle name="40% - Accent4 3 2 3 3" xfId="6045" xr:uid="{00000000-0005-0000-0000-000015170000}"/>
    <cellStyle name="40% - Accent4 3 2 3 3 2" xfId="39945" xr:uid="{FECB2C71-B548-4BA0-9FB8-55066EB0F04C}"/>
    <cellStyle name="40% - Accent4 3 2 3 4" xfId="14026" xr:uid="{EEC7C227-523A-4FE9-A673-D3C449AF78ED}"/>
    <cellStyle name="40% - Accent4 3 2 4" xfId="478" xr:uid="{00000000-0005-0000-0000-0000E7010000}"/>
    <cellStyle name="40% - Accent4 3 2 4 2" xfId="6047" xr:uid="{00000000-0005-0000-0000-000017170000}"/>
    <cellStyle name="40% - Accent4 3 2 4 2 2" xfId="39947" xr:uid="{8F207AB3-4242-448F-A823-E060CE505CC9}"/>
    <cellStyle name="40% - Accent4 3 2 4 3" xfId="14028" xr:uid="{58CC1F6C-71B7-40DB-9EB0-CC9C0E8CD9D2}"/>
    <cellStyle name="40% - Accent4 3 2 5" xfId="6040" xr:uid="{00000000-0005-0000-0000-000010170000}"/>
    <cellStyle name="40% - Accent4 3 2 5 2" xfId="39940" xr:uid="{9D94B1BA-9043-464A-A740-C976AB0D1006}"/>
    <cellStyle name="40% - Accent4 3 2 6" xfId="14021" xr:uid="{029EA776-F095-461A-8EA8-2ADC7B9B1F52}"/>
    <cellStyle name="40% - Accent4 3 3" xfId="479" xr:uid="{00000000-0005-0000-0000-0000E8010000}"/>
    <cellStyle name="40% - Accent4 3 3 2" xfId="480" xr:uid="{00000000-0005-0000-0000-0000E9010000}"/>
    <cellStyle name="40% - Accent4 3 3 2 2" xfId="481" xr:uid="{00000000-0005-0000-0000-0000EA010000}"/>
    <cellStyle name="40% - Accent4 3 3 2 2 2" xfId="482" xr:uid="{00000000-0005-0000-0000-0000EB010000}"/>
    <cellStyle name="40% - Accent4 3 3 2 2 2 2" xfId="6051" xr:uid="{00000000-0005-0000-0000-00001B170000}"/>
    <cellStyle name="40% - Accent4 3 3 2 2 2 2 2" xfId="39951" xr:uid="{B4DFE87D-D9D9-4C89-8553-D40F31687BE5}"/>
    <cellStyle name="40% - Accent4 3 3 2 2 2 3" xfId="14032" xr:uid="{0888DCD9-7D90-45D5-9ECF-63CCB7CFABD4}"/>
    <cellStyle name="40% - Accent4 3 3 2 2 3" xfId="6050" xr:uid="{00000000-0005-0000-0000-00001A170000}"/>
    <cellStyle name="40% - Accent4 3 3 2 2 3 2" xfId="39950" xr:uid="{F20F3F64-3556-442B-B7F2-66442A5935C5}"/>
    <cellStyle name="40% - Accent4 3 3 2 2 4" xfId="14031" xr:uid="{651A444E-8AF1-40DC-BA25-045EE98BCC6A}"/>
    <cellStyle name="40% - Accent4 3 3 2 3" xfId="483" xr:uid="{00000000-0005-0000-0000-0000EC010000}"/>
    <cellStyle name="40% - Accent4 3 3 2 3 2" xfId="6052" xr:uid="{00000000-0005-0000-0000-00001C170000}"/>
    <cellStyle name="40% - Accent4 3 3 2 3 2 2" xfId="39952" xr:uid="{0031EB58-4954-4DEB-8EBF-CA277DFA1312}"/>
    <cellStyle name="40% - Accent4 3 3 2 3 3" xfId="14033" xr:uid="{5C54D2AE-F2B6-4CD2-B37D-6E04A7627C22}"/>
    <cellStyle name="40% - Accent4 3 3 2 4" xfId="6049" xr:uid="{00000000-0005-0000-0000-000019170000}"/>
    <cellStyle name="40% - Accent4 3 3 2 4 2" xfId="39949" xr:uid="{F0653B1D-CA23-4785-9FBA-62BAE8193309}"/>
    <cellStyle name="40% - Accent4 3 3 2 5" xfId="14030" xr:uid="{0B0DCB80-349A-4BD7-81AA-2600AAFAF22C}"/>
    <cellStyle name="40% - Accent4 3 3 3" xfId="484" xr:uid="{00000000-0005-0000-0000-0000ED010000}"/>
    <cellStyle name="40% - Accent4 3 3 3 2" xfId="485" xr:uid="{00000000-0005-0000-0000-0000EE010000}"/>
    <cellStyle name="40% - Accent4 3 3 3 2 2" xfId="6054" xr:uid="{00000000-0005-0000-0000-00001E170000}"/>
    <cellStyle name="40% - Accent4 3 3 3 2 2 2" xfId="39954" xr:uid="{4A289BB8-BEAB-4A4D-AD5A-3F6917EBEE6C}"/>
    <cellStyle name="40% - Accent4 3 3 3 2 3" xfId="14035" xr:uid="{3421CFD0-0DBA-4A99-8D70-C4748938FC5A}"/>
    <cellStyle name="40% - Accent4 3 3 3 3" xfId="6053" xr:uid="{00000000-0005-0000-0000-00001D170000}"/>
    <cellStyle name="40% - Accent4 3 3 3 3 2" xfId="39953" xr:uid="{198C6836-E531-4CED-BD76-DC0FB5B33CB3}"/>
    <cellStyle name="40% - Accent4 3 3 3 4" xfId="14034" xr:uid="{B6736B4F-00CF-4EEA-A1C9-05D5A3CE8F56}"/>
    <cellStyle name="40% - Accent4 3 3 4" xfId="486" xr:uid="{00000000-0005-0000-0000-0000EF010000}"/>
    <cellStyle name="40% - Accent4 3 3 4 2" xfId="6055" xr:uid="{00000000-0005-0000-0000-00001F170000}"/>
    <cellStyle name="40% - Accent4 3 3 4 2 2" xfId="39955" xr:uid="{36D99B7B-FD95-45AA-BC2E-6E0D5EF08F26}"/>
    <cellStyle name="40% - Accent4 3 3 4 3" xfId="14036" xr:uid="{6B77276A-C615-46F5-8B09-51A60CC2AF19}"/>
    <cellStyle name="40% - Accent4 3 3 5" xfId="6048" xr:uid="{00000000-0005-0000-0000-000018170000}"/>
    <cellStyle name="40% - Accent4 3 3 5 2" xfId="39948" xr:uid="{C6968C84-AC60-4BFC-8354-0BDDA52AE1CA}"/>
    <cellStyle name="40% - Accent4 3 3 6" xfId="14029" xr:uid="{47455E7A-0583-415B-A896-D25ED3F3C436}"/>
    <cellStyle name="40% - Accent4 3 4" xfId="487" xr:uid="{00000000-0005-0000-0000-0000F0010000}"/>
    <cellStyle name="40% - Accent4 3 4 2" xfId="488" xr:uid="{00000000-0005-0000-0000-0000F1010000}"/>
    <cellStyle name="40% - Accent4 3 4 2 2" xfId="489" xr:uid="{00000000-0005-0000-0000-0000F2010000}"/>
    <cellStyle name="40% - Accent4 3 4 2 2 2" xfId="6058" xr:uid="{00000000-0005-0000-0000-000022170000}"/>
    <cellStyle name="40% - Accent4 3 4 2 2 2 2" xfId="39958" xr:uid="{3159633E-2AB5-4255-AD59-BC7F3ECA4455}"/>
    <cellStyle name="40% - Accent4 3 4 2 2 3" xfId="14039" xr:uid="{6E55F444-E4D0-4450-BAEA-6B621BE22F26}"/>
    <cellStyle name="40% - Accent4 3 4 2 3" xfId="6057" xr:uid="{00000000-0005-0000-0000-000021170000}"/>
    <cellStyle name="40% - Accent4 3 4 2 3 2" xfId="39957" xr:uid="{EA4BC27C-BA27-47F3-B828-B959437B27CD}"/>
    <cellStyle name="40% - Accent4 3 4 2 4" xfId="14038" xr:uid="{0326AFB0-DE45-4790-8167-1B2E9F1CC772}"/>
    <cellStyle name="40% - Accent4 3 4 3" xfId="490" xr:uid="{00000000-0005-0000-0000-0000F3010000}"/>
    <cellStyle name="40% - Accent4 3 4 3 2" xfId="6059" xr:uid="{00000000-0005-0000-0000-000023170000}"/>
    <cellStyle name="40% - Accent4 3 4 3 2 2" xfId="39959" xr:uid="{68FCA2A7-6783-4A99-A6A9-6D7E6F327591}"/>
    <cellStyle name="40% - Accent4 3 4 3 3" xfId="14040" xr:uid="{10A01D08-09C6-419D-92E4-3C2A375D1EC4}"/>
    <cellStyle name="40% - Accent4 3 4 4" xfId="6056" xr:uid="{00000000-0005-0000-0000-000020170000}"/>
    <cellStyle name="40% - Accent4 3 4 4 2" xfId="39956" xr:uid="{A481D8C6-C528-426F-9C04-FE554664AC85}"/>
    <cellStyle name="40% - Accent4 3 4 5" xfId="14037" xr:uid="{33ADDBDD-FFBD-4004-BBE6-9549D41AE218}"/>
    <cellStyle name="40% - Accent4 3 5" xfId="491" xr:uid="{00000000-0005-0000-0000-0000F4010000}"/>
    <cellStyle name="40% - Accent4 3 5 2" xfId="492" xr:uid="{00000000-0005-0000-0000-0000F5010000}"/>
    <cellStyle name="40% - Accent4 3 5 2 2" xfId="6061" xr:uid="{00000000-0005-0000-0000-000025170000}"/>
    <cellStyle name="40% - Accent4 3 5 2 2 2" xfId="39961" xr:uid="{DE69CAA9-AF1E-4625-B653-1C70889A34C3}"/>
    <cellStyle name="40% - Accent4 3 5 2 3" xfId="14042" xr:uid="{681D40A5-A19D-4E37-8D78-FD1720CD6CE8}"/>
    <cellStyle name="40% - Accent4 3 5 3" xfId="6060" xr:uid="{00000000-0005-0000-0000-000024170000}"/>
    <cellStyle name="40% - Accent4 3 5 3 2" xfId="39960" xr:uid="{FD5ABD34-518C-492F-A99F-98B1A9CFAA07}"/>
    <cellStyle name="40% - Accent4 3 5 4" xfId="14041" xr:uid="{56F5FA71-2940-420B-806A-F281AA8A1231}"/>
    <cellStyle name="40% - Accent4 3 6" xfId="493" xr:uid="{00000000-0005-0000-0000-0000F6010000}"/>
    <cellStyle name="40% - Accent4 3 6 2" xfId="6062" xr:uid="{00000000-0005-0000-0000-000026170000}"/>
    <cellStyle name="40% - Accent4 3 6 2 2" xfId="39962" xr:uid="{C87105DB-8AFD-415F-85FE-D3BA1B3DD2F8}"/>
    <cellStyle name="40% - Accent4 3 6 3" xfId="14043" xr:uid="{131D6A5B-E4D7-4400-B7C5-A0EF85F078B5}"/>
    <cellStyle name="40% - Accent4 3 7" xfId="6039" xr:uid="{00000000-0005-0000-0000-00000F170000}"/>
    <cellStyle name="40% - Accent4 3 7 2" xfId="39939" xr:uid="{80D25412-3EA9-46C9-8BC5-33D1FF28CF44}"/>
    <cellStyle name="40% - Accent4 3 8" xfId="14020" xr:uid="{D8A8C789-69AC-4DED-B1D7-11386DD6EBAC}"/>
    <cellStyle name="40% - Accent4 4" xfId="494" xr:uid="{00000000-0005-0000-0000-0000F7010000}"/>
    <cellStyle name="40% - Accent4 4 2" xfId="6063" xr:uid="{00000000-0005-0000-0000-000027170000}"/>
    <cellStyle name="40% - Accent4 4 2 2" xfId="39963" xr:uid="{C06134DC-D9FB-4257-86E6-BD434F33B808}"/>
    <cellStyle name="40% - Accent4 4 3" xfId="14044" xr:uid="{D3702034-0255-40FD-8A82-FEF869BD09C3}"/>
    <cellStyle name="40% - Accent4 5" xfId="495" xr:uid="{00000000-0005-0000-0000-0000F8010000}"/>
    <cellStyle name="40% - Accent4 5 2" xfId="6064" xr:uid="{00000000-0005-0000-0000-000028170000}"/>
    <cellStyle name="40% - Accent4 5 2 2" xfId="39964" xr:uid="{D8A4EE99-9BA1-4D11-91E1-5EC69E0DFA0B}"/>
    <cellStyle name="40% - Accent4 5 3" xfId="14045" xr:uid="{C4C34D48-9F1D-40C6-BA07-F9C3CE988B41}"/>
    <cellStyle name="40% - Accent4 6" xfId="496" xr:uid="{00000000-0005-0000-0000-0000F9010000}"/>
    <cellStyle name="40% - Accent4 6 2" xfId="6065" xr:uid="{00000000-0005-0000-0000-000029170000}"/>
    <cellStyle name="40% - Accent4 6 2 2" xfId="39965" xr:uid="{572C7123-450E-4472-931F-BEC0045FE83F}"/>
    <cellStyle name="40% - Accent4 6 3" xfId="14046" xr:uid="{E0DC028B-9E76-4D6B-A789-CD2825CBE288}"/>
    <cellStyle name="40% - Accent4 7" xfId="497" xr:uid="{00000000-0005-0000-0000-0000FA010000}"/>
    <cellStyle name="40% - Accent4 7 2" xfId="6066" xr:uid="{00000000-0005-0000-0000-00002A170000}"/>
    <cellStyle name="40% - Accent4 7 2 2" xfId="39966" xr:uid="{A7782D17-5FD9-4D7D-A654-934FC2AC7167}"/>
    <cellStyle name="40% - Accent4 7 3" xfId="14047" xr:uid="{4BA8C9A8-92CF-43F2-B5E5-4160BD4CFA0F}"/>
    <cellStyle name="40% - Accent4 8" xfId="498" xr:uid="{00000000-0005-0000-0000-0000FB010000}"/>
    <cellStyle name="40% - Accent4 8 2" xfId="6067" xr:uid="{00000000-0005-0000-0000-00002B170000}"/>
    <cellStyle name="40% - Accent4 8 2 2" xfId="39967" xr:uid="{776BAD14-D1AA-44EA-BF06-742AE860B2C8}"/>
    <cellStyle name="40% - Accent4 8 3" xfId="14048" xr:uid="{B9EC73D1-50B8-4C00-AE40-BF7E7A0F8631}"/>
    <cellStyle name="40% - Accent4 9" xfId="499" xr:uid="{00000000-0005-0000-0000-0000FC010000}"/>
    <cellStyle name="40% - Accent4 9 2" xfId="6068" xr:uid="{00000000-0005-0000-0000-00002C170000}"/>
    <cellStyle name="40% - Accent4 9 2 2" xfId="39968" xr:uid="{60FF8182-D572-469C-864F-BFD12F6BF5CD}"/>
    <cellStyle name="40% - Accent4 9 3" xfId="16601" xr:uid="{6B161DCA-50B7-40F0-987D-8AE05AC0554F}"/>
    <cellStyle name="40% - Accent5" xfId="5557" builtinId="47" customBuiltin="1"/>
    <cellStyle name="40% - Accent5 2" xfId="500" xr:uid="{00000000-0005-0000-0000-0000FE010000}"/>
    <cellStyle name="40% - Accent5 2 10" xfId="501" xr:uid="{00000000-0005-0000-0000-0000FF010000}"/>
    <cellStyle name="40% - Accent5 2 10 2" xfId="6070" xr:uid="{00000000-0005-0000-0000-00002D170000}"/>
    <cellStyle name="40% - Accent5 2 10 2 2" xfId="39970" xr:uid="{DC914696-13ED-450D-ABFB-126287F76574}"/>
    <cellStyle name="40% - Accent5 2 10 3" xfId="14049" xr:uid="{1D76B8DE-15DD-40B8-9D19-B4A223774728}"/>
    <cellStyle name="40% - Accent5 2 2" xfId="502" xr:uid="{00000000-0005-0000-0000-000000020000}"/>
    <cellStyle name="40% - Accent5 2 2 2" xfId="503" xr:uid="{00000000-0005-0000-0000-000001020000}"/>
    <cellStyle name="40% - Accent5 2 2 2 2" xfId="6072" xr:uid="{00000000-0005-0000-0000-00002E170000}"/>
    <cellStyle name="40% - Accent5 2 2 2 2 2" xfId="39972" xr:uid="{A692F772-9360-4229-809F-16AE509795A1}"/>
    <cellStyle name="40% - Accent5 2 2 2 3" xfId="14051" xr:uid="{25EDA003-67A0-4464-B594-176DD2F5D838}"/>
    <cellStyle name="40% - Accent5 2 2 3" xfId="504" xr:uid="{00000000-0005-0000-0000-000002020000}"/>
    <cellStyle name="40% - Accent5 2 2 3 2" xfId="6073" xr:uid="{00000000-0005-0000-0000-00002F170000}"/>
    <cellStyle name="40% - Accent5 2 2 3 2 2" xfId="39973" xr:uid="{A7E87D57-38F1-4314-B8E3-B74D4CC85C19}"/>
    <cellStyle name="40% - Accent5 2 2 3 3" xfId="14052" xr:uid="{6C347ACB-8807-4A10-B488-B88AF440C0B4}"/>
    <cellStyle name="40% - Accent5 2 3" xfId="505" xr:uid="{00000000-0005-0000-0000-000003020000}"/>
    <cellStyle name="40% - Accent5 2 3 2" xfId="506" xr:uid="{00000000-0005-0000-0000-000004020000}"/>
    <cellStyle name="40% - Accent5 2 3 2 2" xfId="6075" xr:uid="{00000000-0005-0000-0000-000030170000}"/>
    <cellStyle name="40% - Accent5 2 3 2 2 2" xfId="39975" xr:uid="{719314BA-92CE-4250-BBF8-3384CFBED749}"/>
    <cellStyle name="40% - Accent5 2 3 2 3" xfId="14053" xr:uid="{4091AF91-9806-42D3-BAEC-5DE2F0B0C6D4}"/>
    <cellStyle name="40% - Accent5 2 4" xfId="507" xr:uid="{00000000-0005-0000-0000-000005020000}"/>
    <cellStyle name="40% - Accent5 2 5" xfId="508" xr:uid="{00000000-0005-0000-0000-000006020000}"/>
    <cellStyle name="40% - Accent5 2 6" xfId="509" xr:uid="{00000000-0005-0000-0000-000007020000}"/>
    <cellStyle name="40% - Accent5 2 7" xfId="510" xr:uid="{00000000-0005-0000-0000-000008020000}"/>
    <cellStyle name="40% - Accent5 2 8" xfId="511" xr:uid="{00000000-0005-0000-0000-000009020000}"/>
    <cellStyle name="40% - Accent5 2 9" xfId="512" xr:uid="{00000000-0005-0000-0000-00000A020000}"/>
    <cellStyle name="40% - Accent5 3" xfId="513" xr:uid="{00000000-0005-0000-0000-00000B020000}"/>
    <cellStyle name="40% - Accent5 3 2" xfId="514" xr:uid="{00000000-0005-0000-0000-00000C020000}"/>
    <cellStyle name="40% - Accent5 3 2 2" xfId="515" xr:uid="{00000000-0005-0000-0000-00000D020000}"/>
    <cellStyle name="40% - Accent5 3 2 2 2" xfId="516" xr:uid="{00000000-0005-0000-0000-00000E020000}"/>
    <cellStyle name="40% - Accent5 3 2 2 2 2" xfId="517" xr:uid="{00000000-0005-0000-0000-00000F020000}"/>
    <cellStyle name="40% - Accent5 3 2 2 2 2 2" xfId="6086" xr:uid="{00000000-0005-0000-0000-000035170000}"/>
    <cellStyle name="40% - Accent5 3 2 2 2 2 2 2" xfId="39986" xr:uid="{05DC3698-7D7C-4A63-8170-902C5CDCB508}"/>
    <cellStyle name="40% - Accent5 3 2 2 2 2 3" xfId="14061" xr:uid="{E9E6BD2E-9461-4F7A-A1C3-18EFE6D94C79}"/>
    <cellStyle name="40% - Accent5 3 2 2 2 3" xfId="6085" xr:uid="{00000000-0005-0000-0000-000034170000}"/>
    <cellStyle name="40% - Accent5 3 2 2 2 3 2" xfId="39985" xr:uid="{F56B72CF-C17C-45AC-8C35-8852DDDA5599}"/>
    <cellStyle name="40% - Accent5 3 2 2 2 4" xfId="14060" xr:uid="{446CEA05-9F2A-4E8F-9954-887413B4518B}"/>
    <cellStyle name="40% - Accent5 3 2 2 3" xfId="518" xr:uid="{00000000-0005-0000-0000-000010020000}"/>
    <cellStyle name="40% - Accent5 3 2 2 3 2" xfId="6087" xr:uid="{00000000-0005-0000-0000-000036170000}"/>
    <cellStyle name="40% - Accent5 3 2 2 3 2 2" xfId="39987" xr:uid="{37E78E2B-DA12-4F12-B84F-1F738D696F63}"/>
    <cellStyle name="40% - Accent5 3 2 2 3 3" xfId="14062" xr:uid="{23777E67-D428-410B-9714-33BE72CE51AA}"/>
    <cellStyle name="40% - Accent5 3 2 2 4" xfId="6084" xr:uid="{00000000-0005-0000-0000-000033170000}"/>
    <cellStyle name="40% - Accent5 3 2 2 4 2" xfId="39984" xr:uid="{A6B7807D-9215-4196-B376-759FEB6A9FDB}"/>
    <cellStyle name="40% - Accent5 3 2 2 5" xfId="14059" xr:uid="{E7BAE360-FC11-4ED6-8E8A-0F4ECCE010F4}"/>
    <cellStyle name="40% - Accent5 3 2 3" xfId="519" xr:uid="{00000000-0005-0000-0000-000011020000}"/>
    <cellStyle name="40% - Accent5 3 2 3 2" xfId="520" xr:uid="{00000000-0005-0000-0000-000012020000}"/>
    <cellStyle name="40% - Accent5 3 2 3 2 2" xfId="6089" xr:uid="{00000000-0005-0000-0000-000038170000}"/>
    <cellStyle name="40% - Accent5 3 2 3 2 2 2" xfId="39989" xr:uid="{D8657EF1-AC39-4711-A9ED-BA1FCC2A331F}"/>
    <cellStyle name="40% - Accent5 3 2 3 2 3" xfId="14064" xr:uid="{173AA294-A082-400B-8675-B24FA6C0C37A}"/>
    <cellStyle name="40% - Accent5 3 2 3 3" xfId="6088" xr:uid="{00000000-0005-0000-0000-000037170000}"/>
    <cellStyle name="40% - Accent5 3 2 3 3 2" xfId="39988" xr:uid="{EEF5F55B-7CBD-4CA2-A083-6F3C592EB609}"/>
    <cellStyle name="40% - Accent5 3 2 3 4" xfId="14063" xr:uid="{6837F938-EBF3-4BC0-B2EE-35FF5FECCA6E}"/>
    <cellStyle name="40% - Accent5 3 2 4" xfId="521" xr:uid="{00000000-0005-0000-0000-000013020000}"/>
    <cellStyle name="40% - Accent5 3 2 4 2" xfId="6090" xr:uid="{00000000-0005-0000-0000-000039170000}"/>
    <cellStyle name="40% - Accent5 3 2 4 2 2" xfId="39990" xr:uid="{05ADB603-31F5-4B93-917C-040C5137BCD9}"/>
    <cellStyle name="40% - Accent5 3 2 4 3" xfId="14065" xr:uid="{F39277D0-4DB5-4207-95A9-20B21A8B4DFF}"/>
    <cellStyle name="40% - Accent5 3 2 5" xfId="6083" xr:uid="{00000000-0005-0000-0000-000032170000}"/>
    <cellStyle name="40% - Accent5 3 2 5 2" xfId="39983" xr:uid="{FC822C24-CAE8-4181-81AA-824769E3A66D}"/>
    <cellStyle name="40% - Accent5 3 2 6" xfId="14058" xr:uid="{4ADFFA7C-997A-42E7-B528-2AB240DBFAAD}"/>
    <cellStyle name="40% - Accent5 3 3" xfId="522" xr:uid="{00000000-0005-0000-0000-000014020000}"/>
    <cellStyle name="40% - Accent5 3 3 2" xfId="523" xr:uid="{00000000-0005-0000-0000-000015020000}"/>
    <cellStyle name="40% - Accent5 3 3 2 2" xfId="524" xr:uid="{00000000-0005-0000-0000-000016020000}"/>
    <cellStyle name="40% - Accent5 3 3 2 2 2" xfId="525" xr:uid="{00000000-0005-0000-0000-000017020000}"/>
    <cellStyle name="40% - Accent5 3 3 2 2 2 2" xfId="6094" xr:uid="{00000000-0005-0000-0000-00003D170000}"/>
    <cellStyle name="40% - Accent5 3 3 2 2 2 2 2" xfId="39994" xr:uid="{CC94722F-4EDE-4ABD-A101-EEE4F52592DE}"/>
    <cellStyle name="40% - Accent5 3 3 2 2 2 3" xfId="14069" xr:uid="{9D79923A-D312-4A56-B06B-BC4E609460A2}"/>
    <cellStyle name="40% - Accent5 3 3 2 2 3" xfId="6093" xr:uid="{00000000-0005-0000-0000-00003C170000}"/>
    <cellStyle name="40% - Accent5 3 3 2 2 3 2" xfId="39993" xr:uid="{10D07BA9-BBB0-4A2D-A216-74CD7FC3F994}"/>
    <cellStyle name="40% - Accent5 3 3 2 2 4" xfId="14068" xr:uid="{03E0584C-06BA-458D-A27F-B9634D4BF727}"/>
    <cellStyle name="40% - Accent5 3 3 2 3" xfId="526" xr:uid="{00000000-0005-0000-0000-000018020000}"/>
    <cellStyle name="40% - Accent5 3 3 2 3 2" xfId="6095" xr:uid="{00000000-0005-0000-0000-00003E170000}"/>
    <cellStyle name="40% - Accent5 3 3 2 3 2 2" xfId="39995" xr:uid="{A8F85AD2-5946-4493-B2C2-426A97815E9D}"/>
    <cellStyle name="40% - Accent5 3 3 2 3 3" xfId="14070" xr:uid="{042C4204-84F9-416E-90EE-63216983C356}"/>
    <cellStyle name="40% - Accent5 3 3 2 4" xfId="6092" xr:uid="{00000000-0005-0000-0000-00003B170000}"/>
    <cellStyle name="40% - Accent5 3 3 2 4 2" xfId="39992" xr:uid="{B4D79B74-B0B5-4D0B-BFE3-7371864B237C}"/>
    <cellStyle name="40% - Accent5 3 3 2 5" xfId="14067" xr:uid="{CE316820-5240-4B6E-B872-E66CDCF2FEBC}"/>
    <cellStyle name="40% - Accent5 3 3 3" xfId="527" xr:uid="{00000000-0005-0000-0000-000019020000}"/>
    <cellStyle name="40% - Accent5 3 3 3 2" xfId="528" xr:uid="{00000000-0005-0000-0000-00001A020000}"/>
    <cellStyle name="40% - Accent5 3 3 3 2 2" xfId="6097" xr:uid="{00000000-0005-0000-0000-000040170000}"/>
    <cellStyle name="40% - Accent5 3 3 3 2 2 2" xfId="39997" xr:uid="{90621149-1152-4D9B-A098-CCA5962E5060}"/>
    <cellStyle name="40% - Accent5 3 3 3 2 3" xfId="14072" xr:uid="{397568D2-1EAF-478A-B253-005B8328B16B}"/>
    <cellStyle name="40% - Accent5 3 3 3 3" xfId="6096" xr:uid="{00000000-0005-0000-0000-00003F170000}"/>
    <cellStyle name="40% - Accent5 3 3 3 3 2" xfId="39996" xr:uid="{6DCD9483-510B-4EF3-9D52-AB11795AFE2E}"/>
    <cellStyle name="40% - Accent5 3 3 3 4" xfId="14071" xr:uid="{EE8CA82C-0EF7-4E8A-A263-761F578B1D1D}"/>
    <cellStyle name="40% - Accent5 3 3 4" xfId="529" xr:uid="{00000000-0005-0000-0000-00001B020000}"/>
    <cellStyle name="40% - Accent5 3 3 4 2" xfId="6098" xr:uid="{00000000-0005-0000-0000-000041170000}"/>
    <cellStyle name="40% - Accent5 3 3 4 2 2" xfId="39998" xr:uid="{5DCDF034-9CDA-48CB-8516-98363D58A12F}"/>
    <cellStyle name="40% - Accent5 3 3 4 3" xfId="14073" xr:uid="{EABFE689-174D-4BA8-88FC-9B99EE19E444}"/>
    <cellStyle name="40% - Accent5 3 3 5" xfId="6091" xr:uid="{00000000-0005-0000-0000-00003A170000}"/>
    <cellStyle name="40% - Accent5 3 3 5 2" xfId="39991" xr:uid="{E55AA1F8-9FA9-43C3-B1F1-76457DC4492F}"/>
    <cellStyle name="40% - Accent5 3 3 6" xfId="14066" xr:uid="{CD4BDDBF-3C42-494A-BFAA-7A12CDFA025F}"/>
    <cellStyle name="40% - Accent5 3 4" xfId="530" xr:uid="{00000000-0005-0000-0000-00001C020000}"/>
    <cellStyle name="40% - Accent5 3 4 2" xfId="531" xr:uid="{00000000-0005-0000-0000-00001D020000}"/>
    <cellStyle name="40% - Accent5 3 4 2 2" xfId="532" xr:uid="{00000000-0005-0000-0000-00001E020000}"/>
    <cellStyle name="40% - Accent5 3 4 2 2 2" xfId="6101" xr:uid="{00000000-0005-0000-0000-000044170000}"/>
    <cellStyle name="40% - Accent5 3 4 2 2 2 2" xfId="40001" xr:uid="{83918549-DD4D-4BF5-AABB-29CB7CDDC10F}"/>
    <cellStyle name="40% - Accent5 3 4 2 2 3" xfId="14076" xr:uid="{77D1E3D4-76BB-45D0-8A61-CB9C428FB79C}"/>
    <cellStyle name="40% - Accent5 3 4 2 3" xfId="6100" xr:uid="{00000000-0005-0000-0000-000043170000}"/>
    <cellStyle name="40% - Accent5 3 4 2 3 2" xfId="40000" xr:uid="{077D9927-288F-46AD-ABA6-B4C54862716A}"/>
    <cellStyle name="40% - Accent5 3 4 2 4" xfId="14075" xr:uid="{F8B69202-03C1-4444-8A01-B23BF56A9A7E}"/>
    <cellStyle name="40% - Accent5 3 4 3" xfId="533" xr:uid="{00000000-0005-0000-0000-00001F020000}"/>
    <cellStyle name="40% - Accent5 3 4 3 2" xfId="6102" xr:uid="{00000000-0005-0000-0000-000045170000}"/>
    <cellStyle name="40% - Accent5 3 4 3 2 2" xfId="40002" xr:uid="{593AC796-6FB1-4406-AAF5-45402BAACC1C}"/>
    <cellStyle name="40% - Accent5 3 4 3 3" xfId="14077" xr:uid="{62078F70-E1E3-4ED5-83E5-503BFBBFD426}"/>
    <cellStyle name="40% - Accent5 3 4 4" xfId="6099" xr:uid="{00000000-0005-0000-0000-000042170000}"/>
    <cellStyle name="40% - Accent5 3 4 4 2" xfId="39999" xr:uid="{857C70F8-C2E9-4515-9ABE-1979200845E2}"/>
    <cellStyle name="40% - Accent5 3 4 5" xfId="14074" xr:uid="{E90FC140-E866-4233-BC96-73ECA9637E12}"/>
    <cellStyle name="40% - Accent5 3 5" xfId="534" xr:uid="{00000000-0005-0000-0000-000020020000}"/>
    <cellStyle name="40% - Accent5 3 5 2" xfId="535" xr:uid="{00000000-0005-0000-0000-000021020000}"/>
    <cellStyle name="40% - Accent5 3 5 2 2" xfId="6104" xr:uid="{00000000-0005-0000-0000-000047170000}"/>
    <cellStyle name="40% - Accent5 3 5 2 2 2" xfId="40004" xr:uid="{90390A0C-3F84-4C7F-9254-2E55005A0D00}"/>
    <cellStyle name="40% - Accent5 3 5 2 3" xfId="14079" xr:uid="{0D8D8DDA-8084-4BD8-985C-D81C9A16FCDB}"/>
    <cellStyle name="40% - Accent5 3 5 3" xfId="6103" xr:uid="{00000000-0005-0000-0000-000046170000}"/>
    <cellStyle name="40% - Accent5 3 5 3 2" xfId="40003" xr:uid="{32A76EC6-4E04-4333-90AE-9A2861DB0991}"/>
    <cellStyle name="40% - Accent5 3 5 4" xfId="14078" xr:uid="{4AF87512-B8A1-4D7E-8A86-A4312881A052}"/>
    <cellStyle name="40% - Accent5 3 6" xfId="536" xr:uid="{00000000-0005-0000-0000-000022020000}"/>
    <cellStyle name="40% - Accent5 3 6 2" xfId="6105" xr:uid="{00000000-0005-0000-0000-000048170000}"/>
    <cellStyle name="40% - Accent5 3 6 2 2" xfId="40005" xr:uid="{8E472497-E3F3-4D20-B409-C418BB5FE14F}"/>
    <cellStyle name="40% - Accent5 3 6 3" xfId="14080" xr:uid="{0F7C9D20-FE33-4410-9F3E-23169636E5A0}"/>
    <cellStyle name="40% - Accent5 3 7" xfId="6082" xr:uid="{00000000-0005-0000-0000-000031170000}"/>
    <cellStyle name="40% - Accent5 3 7 2" xfId="39982" xr:uid="{DE1B621A-0461-424C-B42B-003E98017118}"/>
    <cellStyle name="40% - Accent5 3 8" xfId="14057" xr:uid="{4D5C87DD-078D-4C90-9949-9212E5C669E2}"/>
    <cellStyle name="40% - Accent5 4" xfId="537" xr:uid="{00000000-0005-0000-0000-000023020000}"/>
    <cellStyle name="40% - Accent5 4 2" xfId="6106" xr:uid="{00000000-0005-0000-0000-000049170000}"/>
    <cellStyle name="40% - Accent5 4 2 2" xfId="40006" xr:uid="{30C475B6-9F3A-4635-93DD-8ECCB8766376}"/>
    <cellStyle name="40% - Accent5 4 3" xfId="14081" xr:uid="{0AE4EE73-6307-4E13-864F-AEFE9E474788}"/>
    <cellStyle name="40% - Accent5 5" xfId="538" xr:uid="{00000000-0005-0000-0000-000024020000}"/>
    <cellStyle name="40% - Accent5 5 2" xfId="6107" xr:uid="{00000000-0005-0000-0000-00004A170000}"/>
    <cellStyle name="40% - Accent5 5 2 2" xfId="40007" xr:uid="{78FEAA85-2843-4EF7-A05B-1618546417F6}"/>
    <cellStyle name="40% - Accent5 5 3" xfId="14082" xr:uid="{85DE75AC-F4E5-411B-AEF6-AD28337039FE}"/>
    <cellStyle name="40% - Accent5 6" xfId="539" xr:uid="{00000000-0005-0000-0000-000025020000}"/>
    <cellStyle name="40% - Accent5 6 2" xfId="6108" xr:uid="{00000000-0005-0000-0000-00004B170000}"/>
    <cellStyle name="40% - Accent5 6 2 2" xfId="40008" xr:uid="{2964136D-6200-4141-93E8-78E35287B538}"/>
    <cellStyle name="40% - Accent5 6 3" xfId="14083" xr:uid="{5FAFB8C9-CDDF-4345-97B0-BE4AB38D5609}"/>
    <cellStyle name="40% - Accent5 7" xfId="540" xr:uid="{00000000-0005-0000-0000-000026020000}"/>
    <cellStyle name="40% - Accent5 7 2" xfId="6109" xr:uid="{00000000-0005-0000-0000-00004C170000}"/>
    <cellStyle name="40% - Accent5 7 2 2" xfId="40009" xr:uid="{EA8F0773-6C35-471F-8429-75BCBE8D221B}"/>
    <cellStyle name="40% - Accent5 7 3" xfId="14084" xr:uid="{FC070D00-C706-43FA-94EB-B62D65E71045}"/>
    <cellStyle name="40% - Accent5 8" xfId="541" xr:uid="{00000000-0005-0000-0000-000027020000}"/>
    <cellStyle name="40% - Accent5 8 2" xfId="6110" xr:uid="{00000000-0005-0000-0000-00004D170000}"/>
    <cellStyle name="40% - Accent5 8 2 2" xfId="40010" xr:uid="{0F6ADDB9-4B10-4F6C-888B-228BE2CD3AC4}"/>
    <cellStyle name="40% - Accent5 8 3" xfId="14085" xr:uid="{952CE1ED-02B3-482A-92E6-C8313DA9ECBC}"/>
    <cellStyle name="40% - Accent5 9" xfId="542" xr:uid="{00000000-0005-0000-0000-000028020000}"/>
    <cellStyle name="40% - Accent5 9 2" xfId="6111" xr:uid="{00000000-0005-0000-0000-00004E170000}"/>
    <cellStyle name="40% - Accent5 9 2 2" xfId="40011" xr:uid="{C6EFFA21-AD4B-4202-93F4-3A519A3E693F}"/>
    <cellStyle name="40% - Accent5 9 3" xfId="16602" xr:uid="{63006B0C-6D34-4608-9A7A-35894D2AE17A}"/>
    <cellStyle name="40% - Accent6" xfId="5560" builtinId="51" customBuiltin="1"/>
    <cellStyle name="40% - Accent6 2" xfId="543" xr:uid="{00000000-0005-0000-0000-00002A020000}"/>
    <cellStyle name="40% - Accent6 2 10" xfId="544" xr:uid="{00000000-0005-0000-0000-00002B020000}"/>
    <cellStyle name="40% - Accent6 2 10 2" xfId="6113" xr:uid="{00000000-0005-0000-0000-00004F170000}"/>
    <cellStyle name="40% - Accent6 2 10 2 2" xfId="40013" xr:uid="{51E8A0C8-2F8F-4166-998A-3AEB721D541B}"/>
    <cellStyle name="40% - Accent6 2 10 3" xfId="14086" xr:uid="{58C91532-379B-41B7-89F1-6AE3A7E8EBE3}"/>
    <cellStyle name="40% - Accent6 2 2" xfId="545" xr:uid="{00000000-0005-0000-0000-00002C020000}"/>
    <cellStyle name="40% - Accent6 2 2 2" xfId="546" xr:uid="{00000000-0005-0000-0000-00002D020000}"/>
    <cellStyle name="40% - Accent6 2 2 2 2" xfId="6115" xr:uid="{00000000-0005-0000-0000-000050170000}"/>
    <cellStyle name="40% - Accent6 2 2 2 2 2" xfId="40015" xr:uid="{DCBDB3B3-F741-4952-836B-8B7885C4D15A}"/>
    <cellStyle name="40% - Accent6 2 2 2 3" xfId="14088" xr:uid="{9C0442EA-A079-4458-9FE4-386CB30BBD28}"/>
    <cellStyle name="40% - Accent6 2 2 3" xfId="547" xr:uid="{00000000-0005-0000-0000-00002E020000}"/>
    <cellStyle name="40% - Accent6 2 2 3 2" xfId="6116" xr:uid="{00000000-0005-0000-0000-000051170000}"/>
    <cellStyle name="40% - Accent6 2 2 3 2 2" xfId="40016" xr:uid="{33E59B9A-9874-4F6F-9E16-F5E1DBB4F877}"/>
    <cellStyle name="40% - Accent6 2 2 3 3" xfId="14089" xr:uid="{1F1C4626-C411-434B-A6BD-7B3D35B9CF47}"/>
    <cellStyle name="40% - Accent6 2 3" xfId="548" xr:uid="{00000000-0005-0000-0000-00002F020000}"/>
    <cellStyle name="40% - Accent6 2 3 2" xfId="549" xr:uid="{00000000-0005-0000-0000-000030020000}"/>
    <cellStyle name="40% - Accent6 2 3 2 2" xfId="6118" xr:uid="{00000000-0005-0000-0000-000052170000}"/>
    <cellStyle name="40% - Accent6 2 3 2 2 2" xfId="40018" xr:uid="{7C04A603-7A4B-41DC-942E-E85B2C539494}"/>
    <cellStyle name="40% - Accent6 2 3 2 3" xfId="14090" xr:uid="{6521EB2E-4D30-47BE-9A4E-0B1E8997163D}"/>
    <cellStyle name="40% - Accent6 2 4" xfId="550" xr:uid="{00000000-0005-0000-0000-000031020000}"/>
    <cellStyle name="40% - Accent6 2 5" xfId="551" xr:uid="{00000000-0005-0000-0000-000032020000}"/>
    <cellStyle name="40% - Accent6 2 6" xfId="552" xr:uid="{00000000-0005-0000-0000-000033020000}"/>
    <cellStyle name="40% - Accent6 2 7" xfId="553" xr:uid="{00000000-0005-0000-0000-000034020000}"/>
    <cellStyle name="40% - Accent6 2 8" xfId="554" xr:uid="{00000000-0005-0000-0000-000035020000}"/>
    <cellStyle name="40% - Accent6 2 9" xfId="555" xr:uid="{00000000-0005-0000-0000-000036020000}"/>
    <cellStyle name="40% - Accent6 3" xfId="556" xr:uid="{00000000-0005-0000-0000-000037020000}"/>
    <cellStyle name="40% - Accent6 3 2" xfId="557" xr:uid="{00000000-0005-0000-0000-000038020000}"/>
    <cellStyle name="40% - Accent6 3 2 2" xfId="558" xr:uid="{00000000-0005-0000-0000-000039020000}"/>
    <cellStyle name="40% - Accent6 3 2 2 2" xfId="559" xr:uid="{00000000-0005-0000-0000-00003A020000}"/>
    <cellStyle name="40% - Accent6 3 2 2 2 2" xfId="560" xr:uid="{00000000-0005-0000-0000-00003B020000}"/>
    <cellStyle name="40% - Accent6 3 2 2 2 2 2" xfId="6129" xr:uid="{00000000-0005-0000-0000-000057170000}"/>
    <cellStyle name="40% - Accent6 3 2 2 2 2 2 2" xfId="40029" xr:uid="{430138F9-B5E8-4053-98DE-58EAF609ECC6}"/>
    <cellStyle name="40% - Accent6 3 2 2 2 2 3" xfId="14099" xr:uid="{D6F36856-7079-46E0-A2BC-23E5236F79B6}"/>
    <cellStyle name="40% - Accent6 3 2 2 2 3" xfId="6128" xr:uid="{00000000-0005-0000-0000-000056170000}"/>
    <cellStyle name="40% - Accent6 3 2 2 2 3 2" xfId="40028" xr:uid="{4681D742-23B5-45F8-9C0C-B879646D7E7B}"/>
    <cellStyle name="40% - Accent6 3 2 2 2 4" xfId="14098" xr:uid="{304B1294-C56F-4DF3-96C2-41BFDB3F69DB}"/>
    <cellStyle name="40% - Accent6 3 2 2 3" xfId="561" xr:uid="{00000000-0005-0000-0000-00003C020000}"/>
    <cellStyle name="40% - Accent6 3 2 2 3 2" xfId="6130" xr:uid="{00000000-0005-0000-0000-000058170000}"/>
    <cellStyle name="40% - Accent6 3 2 2 3 2 2" xfId="40030" xr:uid="{C510F676-18D8-4EE6-9367-A0F5A5F44C7C}"/>
    <cellStyle name="40% - Accent6 3 2 2 3 3" xfId="14100" xr:uid="{ACD632FF-A31D-41B6-9E60-CD55E08EB771}"/>
    <cellStyle name="40% - Accent6 3 2 2 4" xfId="6127" xr:uid="{00000000-0005-0000-0000-000055170000}"/>
    <cellStyle name="40% - Accent6 3 2 2 4 2" xfId="40027" xr:uid="{B4380530-5EF3-49E1-86E3-F1DCA6347FDE}"/>
    <cellStyle name="40% - Accent6 3 2 2 5" xfId="14097" xr:uid="{B3BD096A-3EF3-4BA3-823D-F4243BB92437}"/>
    <cellStyle name="40% - Accent6 3 2 3" xfId="562" xr:uid="{00000000-0005-0000-0000-00003D020000}"/>
    <cellStyle name="40% - Accent6 3 2 3 2" xfId="563" xr:uid="{00000000-0005-0000-0000-00003E020000}"/>
    <cellStyle name="40% - Accent6 3 2 3 2 2" xfId="6132" xr:uid="{00000000-0005-0000-0000-00005A170000}"/>
    <cellStyle name="40% - Accent6 3 2 3 2 2 2" xfId="40032" xr:uid="{C6704701-6250-4DFA-983D-CED0DBBA9857}"/>
    <cellStyle name="40% - Accent6 3 2 3 2 3" xfId="14102" xr:uid="{718D39FD-ACB3-4AC5-AE00-5879BEED07E2}"/>
    <cellStyle name="40% - Accent6 3 2 3 3" xfId="6131" xr:uid="{00000000-0005-0000-0000-000059170000}"/>
    <cellStyle name="40% - Accent6 3 2 3 3 2" xfId="40031" xr:uid="{EAF2EAA2-95B2-4423-BA55-F6ADF8314948}"/>
    <cellStyle name="40% - Accent6 3 2 3 4" xfId="14101" xr:uid="{1AC481ED-981B-4676-BBCD-7DDE9D92CCED}"/>
    <cellStyle name="40% - Accent6 3 2 4" xfId="564" xr:uid="{00000000-0005-0000-0000-00003F020000}"/>
    <cellStyle name="40% - Accent6 3 2 4 2" xfId="6133" xr:uid="{00000000-0005-0000-0000-00005B170000}"/>
    <cellStyle name="40% - Accent6 3 2 4 2 2" xfId="40033" xr:uid="{495348D2-522A-4F70-A1E2-F61C7CB09A33}"/>
    <cellStyle name="40% - Accent6 3 2 4 3" xfId="14103" xr:uid="{2D8AC0C7-6F7A-4524-87AB-9388CBF0A42A}"/>
    <cellStyle name="40% - Accent6 3 2 5" xfId="6126" xr:uid="{00000000-0005-0000-0000-000054170000}"/>
    <cellStyle name="40% - Accent6 3 2 5 2" xfId="40026" xr:uid="{C762ABE8-E3A7-4AE3-A635-BD46F51619CE}"/>
    <cellStyle name="40% - Accent6 3 2 6" xfId="14096" xr:uid="{A44D9B1B-8CC0-42D2-A981-239EF582615F}"/>
    <cellStyle name="40% - Accent6 3 3" xfId="565" xr:uid="{00000000-0005-0000-0000-000040020000}"/>
    <cellStyle name="40% - Accent6 3 3 2" xfId="566" xr:uid="{00000000-0005-0000-0000-000041020000}"/>
    <cellStyle name="40% - Accent6 3 3 2 2" xfId="567" xr:uid="{00000000-0005-0000-0000-000042020000}"/>
    <cellStyle name="40% - Accent6 3 3 2 2 2" xfId="568" xr:uid="{00000000-0005-0000-0000-000043020000}"/>
    <cellStyle name="40% - Accent6 3 3 2 2 2 2" xfId="6137" xr:uid="{00000000-0005-0000-0000-00005F170000}"/>
    <cellStyle name="40% - Accent6 3 3 2 2 2 2 2" xfId="40037" xr:uid="{A13C0E99-0306-4589-886A-B75800404871}"/>
    <cellStyle name="40% - Accent6 3 3 2 2 2 3" xfId="14107" xr:uid="{92477767-65E3-4D78-8734-B9DED51CB051}"/>
    <cellStyle name="40% - Accent6 3 3 2 2 3" xfId="6136" xr:uid="{00000000-0005-0000-0000-00005E170000}"/>
    <cellStyle name="40% - Accent6 3 3 2 2 3 2" xfId="40036" xr:uid="{412880C9-CFD5-4A29-8CC2-AB7A8FADD3D7}"/>
    <cellStyle name="40% - Accent6 3 3 2 2 4" xfId="14106" xr:uid="{8F928637-70AA-4B74-8B6E-7568486948CC}"/>
    <cellStyle name="40% - Accent6 3 3 2 3" xfId="569" xr:uid="{00000000-0005-0000-0000-000044020000}"/>
    <cellStyle name="40% - Accent6 3 3 2 3 2" xfId="6138" xr:uid="{00000000-0005-0000-0000-000060170000}"/>
    <cellStyle name="40% - Accent6 3 3 2 3 2 2" xfId="40038" xr:uid="{32D3C25C-96EB-410B-AD7D-33027FC80881}"/>
    <cellStyle name="40% - Accent6 3 3 2 3 3" xfId="14108" xr:uid="{15ED5B9F-9091-4A78-8718-5312E274D76B}"/>
    <cellStyle name="40% - Accent6 3 3 2 4" xfId="6135" xr:uid="{00000000-0005-0000-0000-00005D170000}"/>
    <cellStyle name="40% - Accent6 3 3 2 4 2" xfId="40035" xr:uid="{2CF296AD-CC39-4F2A-988B-F3F73BC12673}"/>
    <cellStyle name="40% - Accent6 3 3 2 5" xfId="14105" xr:uid="{3047B1B8-D177-4189-9749-EAB437760A22}"/>
    <cellStyle name="40% - Accent6 3 3 3" xfId="570" xr:uid="{00000000-0005-0000-0000-000045020000}"/>
    <cellStyle name="40% - Accent6 3 3 3 2" xfId="571" xr:uid="{00000000-0005-0000-0000-000046020000}"/>
    <cellStyle name="40% - Accent6 3 3 3 2 2" xfId="6140" xr:uid="{00000000-0005-0000-0000-000062170000}"/>
    <cellStyle name="40% - Accent6 3 3 3 2 2 2" xfId="40040" xr:uid="{86583BC3-4C9C-4A57-A913-56D95546A25F}"/>
    <cellStyle name="40% - Accent6 3 3 3 2 3" xfId="14110" xr:uid="{D969BA8C-9374-4179-B1DC-EFF3FC5CD7A2}"/>
    <cellStyle name="40% - Accent6 3 3 3 3" xfId="6139" xr:uid="{00000000-0005-0000-0000-000061170000}"/>
    <cellStyle name="40% - Accent6 3 3 3 3 2" xfId="40039" xr:uid="{83F294AC-7B57-4FDA-8604-80C97D1AC0F4}"/>
    <cellStyle name="40% - Accent6 3 3 3 4" xfId="14109" xr:uid="{04EFB11F-3BC5-41D0-9D99-A2C3D238F49D}"/>
    <cellStyle name="40% - Accent6 3 3 4" xfId="572" xr:uid="{00000000-0005-0000-0000-000047020000}"/>
    <cellStyle name="40% - Accent6 3 3 4 2" xfId="6141" xr:uid="{00000000-0005-0000-0000-000063170000}"/>
    <cellStyle name="40% - Accent6 3 3 4 2 2" xfId="40041" xr:uid="{98A71C9A-9F0C-468E-A1DC-9A9D7786417D}"/>
    <cellStyle name="40% - Accent6 3 3 4 3" xfId="14111" xr:uid="{94FF24A4-6F2D-4AD7-B163-F25938F2485D}"/>
    <cellStyle name="40% - Accent6 3 3 5" xfId="6134" xr:uid="{00000000-0005-0000-0000-00005C170000}"/>
    <cellStyle name="40% - Accent6 3 3 5 2" xfId="40034" xr:uid="{32F42402-A064-4D6E-B6D7-33B37E8A4445}"/>
    <cellStyle name="40% - Accent6 3 3 6" xfId="14104" xr:uid="{4DCB59CF-9689-4949-840A-533F1CD7F1CC}"/>
    <cellStyle name="40% - Accent6 3 4" xfId="573" xr:uid="{00000000-0005-0000-0000-000048020000}"/>
    <cellStyle name="40% - Accent6 3 4 2" xfId="574" xr:uid="{00000000-0005-0000-0000-000049020000}"/>
    <cellStyle name="40% - Accent6 3 4 2 2" xfId="575" xr:uid="{00000000-0005-0000-0000-00004A020000}"/>
    <cellStyle name="40% - Accent6 3 4 2 2 2" xfId="6144" xr:uid="{00000000-0005-0000-0000-000066170000}"/>
    <cellStyle name="40% - Accent6 3 4 2 2 2 2" xfId="40044" xr:uid="{A699F9A0-0E78-48C2-ADD9-BF9E63D40B30}"/>
    <cellStyle name="40% - Accent6 3 4 2 2 3" xfId="14114" xr:uid="{4926205B-66FE-4E8E-9EC2-79F84594C7A6}"/>
    <cellStyle name="40% - Accent6 3 4 2 3" xfId="6143" xr:uid="{00000000-0005-0000-0000-000065170000}"/>
    <cellStyle name="40% - Accent6 3 4 2 3 2" xfId="40043" xr:uid="{A4E4FEFC-5C18-4969-BF0A-AAFE955CA18E}"/>
    <cellStyle name="40% - Accent6 3 4 2 4" xfId="14113" xr:uid="{681E168F-F7DB-44A2-9779-61E8EDA21646}"/>
    <cellStyle name="40% - Accent6 3 4 3" xfId="576" xr:uid="{00000000-0005-0000-0000-00004B020000}"/>
    <cellStyle name="40% - Accent6 3 4 3 2" xfId="6145" xr:uid="{00000000-0005-0000-0000-000067170000}"/>
    <cellStyle name="40% - Accent6 3 4 3 2 2" xfId="40045" xr:uid="{B1AC2455-60A7-438A-B218-CAEA7EDF7EE3}"/>
    <cellStyle name="40% - Accent6 3 4 3 3" xfId="14115" xr:uid="{2E3269CD-9197-463D-9091-EA80D918087E}"/>
    <cellStyle name="40% - Accent6 3 4 4" xfId="6142" xr:uid="{00000000-0005-0000-0000-000064170000}"/>
    <cellStyle name="40% - Accent6 3 4 4 2" xfId="40042" xr:uid="{0C5AD41E-10C9-4709-9DB8-79E15A9DB338}"/>
    <cellStyle name="40% - Accent6 3 4 5" xfId="14112" xr:uid="{75AF8986-E31B-4CC0-8DD8-D30D1CA9E8FB}"/>
    <cellStyle name="40% - Accent6 3 5" xfId="577" xr:uid="{00000000-0005-0000-0000-00004C020000}"/>
    <cellStyle name="40% - Accent6 3 5 2" xfId="578" xr:uid="{00000000-0005-0000-0000-00004D020000}"/>
    <cellStyle name="40% - Accent6 3 5 2 2" xfId="6147" xr:uid="{00000000-0005-0000-0000-000069170000}"/>
    <cellStyle name="40% - Accent6 3 5 2 2 2" xfId="40047" xr:uid="{4FD334A6-4F93-4704-8FCC-2D260069EECD}"/>
    <cellStyle name="40% - Accent6 3 5 2 3" xfId="14117" xr:uid="{4EE02352-BED7-494E-B04F-EAA0C625AF7B}"/>
    <cellStyle name="40% - Accent6 3 5 3" xfId="6146" xr:uid="{00000000-0005-0000-0000-000068170000}"/>
    <cellStyle name="40% - Accent6 3 5 3 2" xfId="40046" xr:uid="{1814EEC9-C114-498C-8A95-82ADDD751B8F}"/>
    <cellStyle name="40% - Accent6 3 5 4" xfId="14116" xr:uid="{1D77C702-2E36-4FDC-9B99-B67BDA380F25}"/>
    <cellStyle name="40% - Accent6 3 6" xfId="579" xr:uid="{00000000-0005-0000-0000-00004E020000}"/>
    <cellStyle name="40% - Accent6 3 6 2" xfId="6148" xr:uid="{00000000-0005-0000-0000-00006A170000}"/>
    <cellStyle name="40% - Accent6 3 6 2 2" xfId="40048" xr:uid="{3F85DEC6-8978-4162-9067-52C5664E7D8F}"/>
    <cellStyle name="40% - Accent6 3 6 3" xfId="14118" xr:uid="{32FE658E-5B5B-4635-BBCF-229D4032954F}"/>
    <cellStyle name="40% - Accent6 3 7" xfId="6125" xr:uid="{00000000-0005-0000-0000-000053170000}"/>
    <cellStyle name="40% - Accent6 3 7 2" xfId="40025" xr:uid="{6A2F12CD-77EA-46B1-ADB3-F9A113BC20CC}"/>
    <cellStyle name="40% - Accent6 3 8" xfId="14095" xr:uid="{5EE30F81-6CCB-45AC-AC30-B7346E419A70}"/>
    <cellStyle name="40% - Accent6 4" xfId="580" xr:uid="{00000000-0005-0000-0000-00004F020000}"/>
    <cellStyle name="40% - Accent6 4 2" xfId="6149" xr:uid="{00000000-0005-0000-0000-00006B170000}"/>
    <cellStyle name="40% - Accent6 4 2 2" xfId="40049" xr:uid="{F9297064-2927-41EB-9E73-1428C07F2DE2}"/>
    <cellStyle name="40% - Accent6 4 3" xfId="14119" xr:uid="{F453BE11-A5BD-4526-B81F-7698A206449A}"/>
    <cellStyle name="40% - Accent6 5" xfId="581" xr:uid="{00000000-0005-0000-0000-000050020000}"/>
    <cellStyle name="40% - Accent6 5 2" xfId="6150" xr:uid="{00000000-0005-0000-0000-00006C170000}"/>
    <cellStyle name="40% - Accent6 5 2 2" xfId="40050" xr:uid="{4D57D4F2-E120-495B-AF9F-2F8A53A096E0}"/>
    <cellStyle name="40% - Accent6 5 3" xfId="14120" xr:uid="{0BF2D176-F36D-445B-802A-27ED0920D43C}"/>
    <cellStyle name="40% - Accent6 6" xfId="582" xr:uid="{00000000-0005-0000-0000-000051020000}"/>
    <cellStyle name="40% - Accent6 6 2" xfId="6151" xr:uid="{00000000-0005-0000-0000-00006D170000}"/>
    <cellStyle name="40% - Accent6 6 2 2" xfId="40051" xr:uid="{0625D15B-220B-41BB-95A2-4B542643BF4F}"/>
    <cellStyle name="40% - Accent6 6 3" xfId="14121" xr:uid="{068C1C6E-8733-490A-9322-425E1644B51C}"/>
    <cellStyle name="40% - Accent6 7" xfId="583" xr:uid="{00000000-0005-0000-0000-000052020000}"/>
    <cellStyle name="40% - Accent6 7 2" xfId="6152" xr:uid="{00000000-0005-0000-0000-00006E170000}"/>
    <cellStyle name="40% - Accent6 7 2 2" xfId="40052" xr:uid="{6AC46AE4-113A-4B95-9917-3D5B88F8CEAB}"/>
    <cellStyle name="40% - Accent6 7 3" xfId="14122" xr:uid="{F45CB238-9E45-461B-9AF0-803ED068FEAD}"/>
    <cellStyle name="40% - Accent6 8" xfId="584" xr:uid="{00000000-0005-0000-0000-000053020000}"/>
    <cellStyle name="40% - Accent6 8 2" xfId="6153" xr:uid="{00000000-0005-0000-0000-00006F170000}"/>
    <cellStyle name="40% - Accent6 8 2 2" xfId="40053" xr:uid="{EF0475F8-C976-4A9C-B1BA-50E6560C0AD7}"/>
    <cellStyle name="40% - Accent6 8 3" xfId="14123" xr:uid="{07E3C502-B44F-4BE1-A4BE-698B725F2EB2}"/>
    <cellStyle name="40% - Accent6 9" xfId="585" xr:uid="{00000000-0005-0000-0000-000054020000}"/>
    <cellStyle name="40% - Accent6 9 2" xfId="6154" xr:uid="{00000000-0005-0000-0000-000070170000}"/>
    <cellStyle name="40% - Accent6 9 2 2" xfId="40054" xr:uid="{B2E8B817-D093-4BFA-9C59-16F2A621EC3E}"/>
    <cellStyle name="40% - Accent6 9 3" xfId="16603" xr:uid="{E380AE0B-B4D8-4EC5-919E-2557397A7347}"/>
    <cellStyle name="60 % - Accent1" xfId="586" xr:uid="{00000000-0005-0000-0000-000055020000}"/>
    <cellStyle name="60 % - Accent2" xfId="587" xr:uid="{00000000-0005-0000-0000-000056020000}"/>
    <cellStyle name="60 % - Accent3" xfId="588" xr:uid="{00000000-0005-0000-0000-000057020000}"/>
    <cellStyle name="60 % - Accent4" xfId="589" xr:uid="{00000000-0005-0000-0000-000058020000}"/>
    <cellStyle name="60 % - Accent5" xfId="590" xr:uid="{00000000-0005-0000-0000-000059020000}"/>
    <cellStyle name="60 % - Accent6" xfId="591" xr:uid="{00000000-0005-0000-0000-00005A020000}"/>
    <cellStyle name="60% - Accent1 2" xfId="592" xr:uid="{00000000-0005-0000-0000-00005B020000}"/>
    <cellStyle name="60% - Accent1 2 2" xfId="593" xr:uid="{00000000-0005-0000-0000-00005C020000}"/>
    <cellStyle name="60% - Accent1 2 3" xfId="594" xr:uid="{00000000-0005-0000-0000-00005D020000}"/>
    <cellStyle name="60% - Accent1 2 4" xfId="595" xr:uid="{00000000-0005-0000-0000-00005E020000}"/>
    <cellStyle name="60% - Accent1 2 5" xfId="596" xr:uid="{00000000-0005-0000-0000-00005F020000}"/>
    <cellStyle name="60% - Accent1 2 6" xfId="597" xr:uid="{00000000-0005-0000-0000-000060020000}"/>
    <cellStyle name="60% - Accent1 2 7" xfId="598" xr:uid="{00000000-0005-0000-0000-000061020000}"/>
    <cellStyle name="60% - Accent1 2 8" xfId="599" xr:uid="{00000000-0005-0000-0000-000062020000}"/>
    <cellStyle name="60% - Accent1 2 9" xfId="600" xr:uid="{00000000-0005-0000-0000-000063020000}"/>
    <cellStyle name="60% - Accent1 3" xfId="601" xr:uid="{00000000-0005-0000-0000-000064020000}"/>
    <cellStyle name="60% - Accent2 2" xfId="602" xr:uid="{00000000-0005-0000-0000-000065020000}"/>
    <cellStyle name="60% - Accent2 2 2" xfId="603" xr:uid="{00000000-0005-0000-0000-000066020000}"/>
    <cellStyle name="60% - Accent2 2 3" xfId="604" xr:uid="{00000000-0005-0000-0000-000067020000}"/>
    <cellStyle name="60% - Accent2 2 4" xfId="605" xr:uid="{00000000-0005-0000-0000-000068020000}"/>
    <cellStyle name="60% - Accent2 2 5" xfId="606" xr:uid="{00000000-0005-0000-0000-000069020000}"/>
    <cellStyle name="60% - Accent2 2 6" xfId="607" xr:uid="{00000000-0005-0000-0000-00006A020000}"/>
    <cellStyle name="60% - Accent2 2 7" xfId="608" xr:uid="{00000000-0005-0000-0000-00006B020000}"/>
    <cellStyle name="60% - Accent2 2 8" xfId="609" xr:uid="{00000000-0005-0000-0000-00006C020000}"/>
    <cellStyle name="60% - Accent2 2 9" xfId="610" xr:uid="{00000000-0005-0000-0000-00006D020000}"/>
    <cellStyle name="60% - Accent2 3" xfId="611" xr:uid="{00000000-0005-0000-0000-00006E020000}"/>
    <cellStyle name="60% - Accent3 2" xfId="612" xr:uid="{00000000-0005-0000-0000-00006F020000}"/>
    <cellStyle name="60% - Accent3 2 2" xfId="613" xr:uid="{00000000-0005-0000-0000-000070020000}"/>
    <cellStyle name="60% - Accent3 2 3" xfId="614" xr:uid="{00000000-0005-0000-0000-000071020000}"/>
    <cellStyle name="60% - Accent3 2 4" xfId="615" xr:uid="{00000000-0005-0000-0000-000072020000}"/>
    <cellStyle name="60% - Accent3 2 5" xfId="616" xr:uid="{00000000-0005-0000-0000-000073020000}"/>
    <cellStyle name="60% - Accent3 2 6" xfId="617" xr:uid="{00000000-0005-0000-0000-000074020000}"/>
    <cellStyle name="60% - Accent3 2 7" xfId="618" xr:uid="{00000000-0005-0000-0000-000075020000}"/>
    <cellStyle name="60% - Accent3 2 8" xfId="619" xr:uid="{00000000-0005-0000-0000-000076020000}"/>
    <cellStyle name="60% - Accent3 2 9" xfId="620" xr:uid="{00000000-0005-0000-0000-000077020000}"/>
    <cellStyle name="60% - Accent3 3" xfId="621" xr:uid="{00000000-0005-0000-0000-000078020000}"/>
    <cellStyle name="60% - Accent4 2" xfId="622" xr:uid="{00000000-0005-0000-0000-000079020000}"/>
    <cellStyle name="60% - Accent4 2 2" xfId="623" xr:uid="{00000000-0005-0000-0000-00007A020000}"/>
    <cellStyle name="60% - Accent4 2 3" xfId="624" xr:uid="{00000000-0005-0000-0000-00007B020000}"/>
    <cellStyle name="60% - Accent4 2 4" xfId="625" xr:uid="{00000000-0005-0000-0000-00007C020000}"/>
    <cellStyle name="60% - Accent4 2 5" xfId="626" xr:uid="{00000000-0005-0000-0000-00007D020000}"/>
    <cellStyle name="60% - Accent4 2 6" xfId="627" xr:uid="{00000000-0005-0000-0000-00007E020000}"/>
    <cellStyle name="60% - Accent4 2 7" xfId="628" xr:uid="{00000000-0005-0000-0000-00007F020000}"/>
    <cellStyle name="60% - Accent4 2 8" xfId="629" xr:uid="{00000000-0005-0000-0000-000080020000}"/>
    <cellStyle name="60% - Accent4 2 9" xfId="630" xr:uid="{00000000-0005-0000-0000-000081020000}"/>
    <cellStyle name="60% - Accent4 3" xfId="631" xr:uid="{00000000-0005-0000-0000-000082020000}"/>
    <cellStyle name="60% - Accent5 2" xfId="632" xr:uid="{00000000-0005-0000-0000-000083020000}"/>
    <cellStyle name="60% - Accent5 2 2" xfId="633" xr:uid="{00000000-0005-0000-0000-000084020000}"/>
    <cellStyle name="60% - Accent5 2 3" xfId="634" xr:uid="{00000000-0005-0000-0000-000085020000}"/>
    <cellStyle name="60% - Accent5 2 4" xfId="635" xr:uid="{00000000-0005-0000-0000-000086020000}"/>
    <cellStyle name="60% - Accent5 2 5" xfId="636" xr:uid="{00000000-0005-0000-0000-000087020000}"/>
    <cellStyle name="60% - Accent5 2 6" xfId="637" xr:uid="{00000000-0005-0000-0000-000088020000}"/>
    <cellStyle name="60% - Accent5 2 7" xfId="638" xr:uid="{00000000-0005-0000-0000-000089020000}"/>
    <cellStyle name="60% - Accent5 2 8" xfId="639" xr:uid="{00000000-0005-0000-0000-00008A020000}"/>
    <cellStyle name="60% - Accent5 2 9" xfId="640" xr:uid="{00000000-0005-0000-0000-00008B020000}"/>
    <cellStyle name="60% - Accent5 3" xfId="641" xr:uid="{00000000-0005-0000-0000-00008C020000}"/>
    <cellStyle name="60% - Accent6 2" xfId="642" xr:uid="{00000000-0005-0000-0000-00008D020000}"/>
    <cellStyle name="60% - Accent6 2 2" xfId="643" xr:uid="{00000000-0005-0000-0000-00008E020000}"/>
    <cellStyle name="60% - Accent6 2 3" xfId="644" xr:uid="{00000000-0005-0000-0000-00008F020000}"/>
    <cellStyle name="60% - Accent6 2 4" xfId="645" xr:uid="{00000000-0005-0000-0000-000090020000}"/>
    <cellStyle name="60% - Accent6 2 5" xfId="646" xr:uid="{00000000-0005-0000-0000-000091020000}"/>
    <cellStyle name="60% - Accent6 2 6" xfId="647" xr:uid="{00000000-0005-0000-0000-000092020000}"/>
    <cellStyle name="60% - Accent6 2 7" xfId="648" xr:uid="{00000000-0005-0000-0000-000093020000}"/>
    <cellStyle name="60% - Accent6 2 8" xfId="649" xr:uid="{00000000-0005-0000-0000-000094020000}"/>
    <cellStyle name="60% - Accent6 2 9" xfId="650" xr:uid="{00000000-0005-0000-0000-000095020000}"/>
    <cellStyle name="60% - Accent6 3" xfId="651" xr:uid="{00000000-0005-0000-0000-000096020000}"/>
    <cellStyle name="A%" xfId="652" xr:uid="{00000000-0005-0000-0000-000097020000}"/>
    <cellStyle name="A% 2" xfId="653" xr:uid="{00000000-0005-0000-0000-000098020000}"/>
    <cellStyle name="A% 2 2" xfId="9401" xr:uid="{00000000-0005-0000-0000-000085020000}"/>
    <cellStyle name="A% 2 3" xfId="15692" xr:uid="{156A77BC-EAE3-4A6F-9F04-C962581CD227}"/>
    <cellStyle name="A% 3" xfId="23033" xr:uid="{F72CF2F4-E559-499F-B39D-3ADB8BC4EDFE}"/>
    <cellStyle name="Accent1" xfId="5543" builtinId="29" customBuiltin="1"/>
    <cellStyle name="Accent1 2" xfId="654" xr:uid="{00000000-0005-0000-0000-00009A020000}"/>
    <cellStyle name="Accent1 2 2" xfId="655" xr:uid="{00000000-0005-0000-0000-00009B020000}"/>
    <cellStyle name="Accent1 2 3" xfId="656" xr:uid="{00000000-0005-0000-0000-00009C020000}"/>
    <cellStyle name="Accent1 2 4" xfId="657" xr:uid="{00000000-0005-0000-0000-00009D020000}"/>
    <cellStyle name="Accent1 2 5" xfId="658" xr:uid="{00000000-0005-0000-0000-00009E020000}"/>
    <cellStyle name="Accent1 2 6" xfId="659" xr:uid="{00000000-0005-0000-0000-00009F020000}"/>
    <cellStyle name="Accent1 2 7" xfId="660" xr:uid="{00000000-0005-0000-0000-0000A0020000}"/>
    <cellStyle name="Accent1 2 8" xfId="661" xr:uid="{00000000-0005-0000-0000-0000A1020000}"/>
    <cellStyle name="Accent1 2 9" xfId="662" xr:uid="{00000000-0005-0000-0000-0000A2020000}"/>
    <cellStyle name="Accent1 3" xfId="663" xr:uid="{00000000-0005-0000-0000-0000A3020000}"/>
    <cellStyle name="Accent2" xfId="5546" builtinId="33" customBuiltin="1"/>
    <cellStyle name="Accent2 2" xfId="664" xr:uid="{00000000-0005-0000-0000-0000A5020000}"/>
    <cellStyle name="Accent2 2 2" xfId="665" xr:uid="{00000000-0005-0000-0000-0000A6020000}"/>
    <cellStyle name="Accent2 2 3" xfId="666" xr:uid="{00000000-0005-0000-0000-0000A7020000}"/>
    <cellStyle name="Accent2 2 4" xfId="667" xr:uid="{00000000-0005-0000-0000-0000A8020000}"/>
    <cellStyle name="Accent2 2 5" xfId="668" xr:uid="{00000000-0005-0000-0000-0000A9020000}"/>
    <cellStyle name="Accent2 2 6" xfId="669" xr:uid="{00000000-0005-0000-0000-0000AA020000}"/>
    <cellStyle name="Accent2 2 7" xfId="670" xr:uid="{00000000-0005-0000-0000-0000AB020000}"/>
    <cellStyle name="Accent2 2 8" xfId="671" xr:uid="{00000000-0005-0000-0000-0000AC020000}"/>
    <cellStyle name="Accent2 2 9" xfId="672" xr:uid="{00000000-0005-0000-0000-0000AD020000}"/>
    <cellStyle name="Accent2 3" xfId="673" xr:uid="{00000000-0005-0000-0000-0000AE020000}"/>
    <cellStyle name="Accent3" xfId="5549" builtinId="37" customBuiltin="1"/>
    <cellStyle name="Accent3 2" xfId="674" xr:uid="{00000000-0005-0000-0000-0000B0020000}"/>
    <cellStyle name="Accent3 2 2" xfId="675" xr:uid="{00000000-0005-0000-0000-0000B1020000}"/>
    <cellStyle name="Accent3 2 3" xfId="676" xr:uid="{00000000-0005-0000-0000-0000B2020000}"/>
    <cellStyle name="Accent3 2 4" xfId="677" xr:uid="{00000000-0005-0000-0000-0000B3020000}"/>
    <cellStyle name="Accent3 2 5" xfId="678" xr:uid="{00000000-0005-0000-0000-0000B4020000}"/>
    <cellStyle name="Accent3 2 6" xfId="679" xr:uid="{00000000-0005-0000-0000-0000B5020000}"/>
    <cellStyle name="Accent3 2 7" xfId="680" xr:uid="{00000000-0005-0000-0000-0000B6020000}"/>
    <cellStyle name="Accent3 2 8" xfId="681" xr:uid="{00000000-0005-0000-0000-0000B7020000}"/>
    <cellStyle name="Accent3 2 9" xfId="682" xr:uid="{00000000-0005-0000-0000-0000B8020000}"/>
    <cellStyle name="Accent3 3" xfId="683" xr:uid="{00000000-0005-0000-0000-0000B9020000}"/>
    <cellStyle name="Accent4" xfId="5552" builtinId="41" customBuiltin="1"/>
    <cellStyle name="Accent4 2" xfId="684" xr:uid="{00000000-0005-0000-0000-0000BB020000}"/>
    <cellStyle name="Accent4 2 2" xfId="685" xr:uid="{00000000-0005-0000-0000-0000BC020000}"/>
    <cellStyle name="Accent4 2 3" xfId="686" xr:uid="{00000000-0005-0000-0000-0000BD020000}"/>
    <cellStyle name="Accent4 2 4" xfId="687" xr:uid="{00000000-0005-0000-0000-0000BE020000}"/>
    <cellStyle name="Accent4 2 5" xfId="688" xr:uid="{00000000-0005-0000-0000-0000BF020000}"/>
    <cellStyle name="Accent4 2 6" xfId="689" xr:uid="{00000000-0005-0000-0000-0000C0020000}"/>
    <cellStyle name="Accent4 2 7" xfId="690" xr:uid="{00000000-0005-0000-0000-0000C1020000}"/>
    <cellStyle name="Accent4 2 8" xfId="691" xr:uid="{00000000-0005-0000-0000-0000C2020000}"/>
    <cellStyle name="Accent4 2 9" xfId="692" xr:uid="{00000000-0005-0000-0000-0000C3020000}"/>
    <cellStyle name="Accent4 3" xfId="693" xr:uid="{00000000-0005-0000-0000-0000C4020000}"/>
    <cellStyle name="Accent5" xfId="5555" builtinId="45" customBuiltin="1"/>
    <cellStyle name="Accent5 2" xfId="694" xr:uid="{00000000-0005-0000-0000-0000C6020000}"/>
    <cellStyle name="Accent5 2 2" xfId="695" xr:uid="{00000000-0005-0000-0000-0000C7020000}"/>
    <cellStyle name="Accent5 2 3" xfId="696" xr:uid="{00000000-0005-0000-0000-0000C8020000}"/>
    <cellStyle name="Accent5 2 4" xfId="697" xr:uid="{00000000-0005-0000-0000-0000C9020000}"/>
    <cellStyle name="Accent5 2 5" xfId="698" xr:uid="{00000000-0005-0000-0000-0000CA020000}"/>
    <cellStyle name="Accent5 2 6" xfId="699" xr:uid="{00000000-0005-0000-0000-0000CB020000}"/>
    <cellStyle name="Accent5 2 7" xfId="700" xr:uid="{00000000-0005-0000-0000-0000CC020000}"/>
    <cellStyle name="Accent5 2 8" xfId="701" xr:uid="{00000000-0005-0000-0000-0000CD020000}"/>
    <cellStyle name="Accent5 2 9" xfId="702" xr:uid="{00000000-0005-0000-0000-0000CE020000}"/>
    <cellStyle name="Accent5 3" xfId="703" xr:uid="{00000000-0005-0000-0000-0000CF020000}"/>
    <cellStyle name="Accent6" xfId="5558" builtinId="49" customBuiltin="1"/>
    <cellStyle name="Accent6 2" xfId="704" xr:uid="{00000000-0005-0000-0000-0000D1020000}"/>
    <cellStyle name="Accent6 2 2" xfId="705" xr:uid="{00000000-0005-0000-0000-0000D2020000}"/>
    <cellStyle name="Accent6 2 3" xfId="706" xr:uid="{00000000-0005-0000-0000-0000D3020000}"/>
    <cellStyle name="Accent6 2 4" xfId="707" xr:uid="{00000000-0005-0000-0000-0000D4020000}"/>
    <cellStyle name="Accent6 2 5" xfId="708" xr:uid="{00000000-0005-0000-0000-0000D5020000}"/>
    <cellStyle name="Accent6 2 6" xfId="709" xr:uid="{00000000-0005-0000-0000-0000D6020000}"/>
    <cellStyle name="Accent6 2 7" xfId="710" xr:uid="{00000000-0005-0000-0000-0000D7020000}"/>
    <cellStyle name="Accent6 2 8" xfId="711" xr:uid="{00000000-0005-0000-0000-0000D8020000}"/>
    <cellStyle name="Accent6 2 9" xfId="712" xr:uid="{00000000-0005-0000-0000-0000D9020000}"/>
    <cellStyle name="Accent6 3" xfId="713" xr:uid="{00000000-0005-0000-0000-0000DA020000}"/>
    <cellStyle name="Accounting w/$" xfId="714" xr:uid="{00000000-0005-0000-0000-0000DB020000}"/>
    <cellStyle name="Accounting w/$ 2" xfId="715" xr:uid="{00000000-0005-0000-0000-0000DC020000}"/>
    <cellStyle name="Accounting w/$ Total" xfId="716" xr:uid="{00000000-0005-0000-0000-0000DD020000}"/>
    <cellStyle name="Accounting w/$ Total 2" xfId="717" xr:uid="{00000000-0005-0000-0000-0000DE020000}"/>
    <cellStyle name="Accounting w/$ Total 2 2" xfId="18812" xr:uid="{51DCA64F-4E02-4CA0-9FD6-19DEA4E44BE0}"/>
    <cellStyle name="Accounting w/$ Total 3" xfId="18342" xr:uid="{37EA9194-0056-4139-BE68-7BCEB7BA8C14}"/>
    <cellStyle name="Accounting w/o $" xfId="718" xr:uid="{00000000-0005-0000-0000-0000DF020000}"/>
    <cellStyle name="Accounting w/o $ 2" xfId="719" xr:uid="{00000000-0005-0000-0000-0000E0020000}"/>
    <cellStyle name="Acinput" xfId="720" xr:uid="{00000000-0005-0000-0000-0000E1020000}"/>
    <cellStyle name="Acinput 2" xfId="721" xr:uid="{00000000-0005-0000-0000-0000E2020000}"/>
    <cellStyle name="Acinput 2 2" xfId="9402" xr:uid="{00000000-0005-0000-0000-0000C6020000}"/>
    <cellStyle name="Acinput 2 3" xfId="15655" xr:uid="{3C35DD99-31BE-474F-980A-85C146CCA36A}"/>
    <cellStyle name="Acinput 3" xfId="23032" xr:uid="{8AD67FED-290F-4664-9AB1-127A847370F8}"/>
    <cellStyle name="Acinput,," xfId="722" xr:uid="{00000000-0005-0000-0000-0000E3020000}"/>
    <cellStyle name="Acinput,, 2" xfId="723" xr:uid="{00000000-0005-0000-0000-0000E4020000}"/>
    <cellStyle name="Acinput,, 2 2" xfId="9403" xr:uid="{00000000-0005-0000-0000-0000C8020000}"/>
    <cellStyle name="Acinput,, 2 3" xfId="15652" xr:uid="{14902198-7FC3-4D57-9E51-90D7402A39AA}"/>
    <cellStyle name="Acinput,, 3" xfId="23031" xr:uid="{4F677BDD-497C-4B84-9617-C0BE98DE5C35}"/>
    <cellStyle name="Acinput_Merger Model_KN&amp;Fzio_v2.30 - Street" xfId="724" xr:uid="{00000000-0005-0000-0000-0000E5020000}"/>
    <cellStyle name="Acoutput" xfId="725" xr:uid="{00000000-0005-0000-0000-0000E6020000}"/>
    <cellStyle name="Acoutput 2" xfId="726" xr:uid="{00000000-0005-0000-0000-0000E7020000}"/>
    <cellStyle name="Acoutput 2 2" xfId="9404" xr:uid="{00000000-0005-0000-0000-0000CA020000}"/>
    <cellStyle name="Acoutput 2 3" xfId="15651" xr:uid="{6D4303B7-7589-4A28-84CB-8BC5A8B30787}"/>
    <cellStyle name="Acoutput 3" xfId="23030" xr:uid="{E0D84C14-4DD7-4E4E-82EC-F2FC05674CA7}"/>
    <cellStyle name="Acoutput,," xfId="727" xr:uid="{00000000-0005-0000-0000-0000E8020000}"/>
    <cellStyle name="Acoutput,, 2" xfId="728" xr:uid="{00000000-0005-0000-0000-0000E9020000}"/>
    <cellStyle name="Acoutput,, 2 2" xfId="9405" xr:uid="{00000000-0005-0000-0000-0000CC020000}"/>
    <cellStyle name="Acoutput,, 2 3" xfId="15650" xr:uid="{C8017476-0698-43E1-9D3C-10DC90DF23B3}"/>
    <cellStyle name="Acoutput,, 3" xfId="23029" xr:uid="{8BFE120B-3877-40BF-BC6E-A4F520D05EA9}"/>
    <cellStyle name="Acoutput_CAScomps02" xfId="729" xr:uid="{00000000-0005-0000-0000-0000EA020000}"/>
    <cellStyle name="Actual Date" xfId="730" xr:uid="{00000000-0005-0000-0000-0000EB020000}"/>
    <cellStyle name="AFE" xfId="731" xr:uid="{00000000-0005-0000-0000-0000EC020000}"/>
    <cellStyle name="al" xfId="732" xr:uid="{00000000-0005-0000-0000-0000ED020000}"/>
    <cellStyle name="Amount_EQU_RIGH.XLS_Equity market_Preferred Securities " xfId="733" xr:uid="{00000000-0005-0000-0000-0000EE020000}"/>
    <cellStyle name="Apershare" xfId="734" xr:uid="{00000000-0005-0000-0000-0000EF020000}"/>
    <cellStyle name="Apershare 2" xfId="735" xr:uid="{00000000-0005-0000-0000-0000F0020000}"/>
    <cellStyle name="Apershare 2 2" xfId="9406" xr:uid="{00000000-0005-0000-0000-0000D2020000}"/>
    <cellStyle name="Apershare 2 3" xfId="15647" xr:uid="{C3F625E3-F8DA-4262-AC6A-B29BDD3882A9}"/>
    <cellStyle name="Apershare 3" xfId="23028" xr:uid="{D3740932-2E55-4DC8-A157-9557F4E92433}"/>
    <cellStyle name="Aprice" xfId="736" xr:uid="{00000000-0005-0000-0000-0000F1020000}"/>
    <cellStyle name="Aprice 2" xfId="737" xr:uid="{00000000-0005-0000-0000-0000F2020000}"/>
    <cellStyle name="Aprice 2 2" xfId="9409" xr:uid="{00000000-0005-0000-0000-0000D4020000}"/>
    <cellStyle name="Aprice 2 3" xfId="15645" xr:uid="{E7341B23-93DE-4DF1-A72E-B271CBA6DDA5}"/>
    <cellStyle name="Aprice 3" xfId="11390" xr:uid="{00000000-0005-0000-0000-000088300000}"/>
    <cellStyle name="Aprice 4" xfId="23027" xr:uid="{1548B13A-480E-43BE-9CA5-A5CB11938EBB}"/>
    <cellStyle name="Aprice 5" xfId="15646" xr:uid="{A2DD2369-F663-41E6-BD63-D2AFC4BB956E}"/>
    <cellStyle name="ar" xfId="738" xr:uid="{00000000-0005-0000-0000-0000F3020000}"/>
    <cellStyle name="ar 10" xfId="21063" xr:uid="{462E26F0-45A6-4434-962E-FBCC236563FF}"/>
    <cellStyle name="ar 11" xfId="21398" xr:uid="{E0074AAD-0694-43E8-99DA-F0DBD4976FC3}"/>
    <cellStyle name="ar 12" xfId="21215" xr:uid="{13709E17-CEDA-40E7-9B39-66F65D0581F8}"/>
    <cellStyle name="ar 13" xfId="21659" xr:uid="{9C17F89A-10D3-4CC9-B4F3-02B75CB6564B}"/>
    <cellStyle name="ar 14" xfId="20320" xr:uid="{1CBA0A7F-7EEF-4D60-8CD3-E492BA1DEC23}"/>
    <cellStyle name="ar 15" xfId="20188" xr:uid="{4E2D02CD-CF8D-45A4-8A82-65D3B82C8D60}"/>
    <cellStyle name="ar 16" xfId="20561" xr:uid="{8FFFA77D-5A3B-4C24-9842-666842151711}"/>
    <cellStyle name="ar 17" xfId="20771" xr:uid="{D71DFE37-DE77-4366-B80D-7B8398FC299F}"/>
    <cellStyle name="ar 18" xfId="22072" xr:uid="{3F9BBDEE-D094-4BF0-B601-38521FAB9A36}"/>
    <cellStyle name="ar 19" xfId="17898" xr:uid="{BB473B30-7B27-46B5-84CD-DC26DF26A3D9}"/>
    <cellStyle name="ar 2" xfId="739" xr:uid="{00000000-0005-0000-0000-0000F4020000}"/>
    <cellStyle name="ar 2 10" xfId="18936" xr:uid="{61D4FDD6-0F02-41F9-B55D-836E5A960A10}"/>
    <cellStyle name="ar 2 11" xfId="21323" xr:uid="{5D6313A8-4F91-43B8-AEE1-A56ED920F2A2}"/>
    <cellStyle name="ar 2 12" xfId="20362" xr:uid="{B037AC9E-0279-4F43-8048-0875C3C00066}"/>
    <cellStyle name="ar 2 13" xfId="20866" xr:uid="{79BA71A1-570D-4CF7-915E-6B02B2FC55F5}"/>
    <cellStyle name="ar 2 14" xfId="20283" xr:uid="{E006C13C-116D-4AAA-B972-FE30C7D4C757}"/>
    <cellStyle name="ar 2 15" xfId="22858" xr:uid="{35D31F1B-CA31-49B5-A1EC-7150123C468B}"/>
    <cellStyle name="ar 2 16" xfId="19054" xr:uid="{5EE7FE0E-FC3C-459A-AFE6-0CA072C62F76}"/>
    <cellStyle name="ar 2 17" xfId="17899" xr:uid="{3827CC93-6228-44DD-AF66-48F75D29E7AD}"/>
    <cellStyle name="ar 2 18" xfId="33160" xr:uid="{956B793A-111B-4C2F-A856-E40523D3754C}"/>
    <cellStyle name="ar 2 19" xfId="14167" xr:uid="{2291BB05-D157-4AF3-8B5D-C380A59A3ABC}"/>
    <cellStyle name="ar 2 2" xfId="9427" xr:uid="{00000000-0005-0000-0000-0000D6020000}"/>
    <cellStyle name="ar 2 2 10" xfId="19398" xr:uid="{CF98FB65-70A4-49AF-9501-F63C7E480325}"/>
    <cellStyle name="ar 2 2 11" xfId="18970" xr:uid="{B880A38F-3068-4ECA-AB17-830171B8FE28}"/>
    <cellStyle name="ar 2 2 12" xfId="22510" xr:uid="{E65D17B5-B9D8-4AC0-990C-2A5ACBF51D66}"/>
    <cellStyle name="ar 2 2 13" xfId="21160" xr:uid="{BD032FF5-EFDB-4908-9406-2A88FCCD4AB6}"/>
    <cellStyle name="ar 2 2 14" xfId="19696" xr:uid="{CC32C574-84C1-49C8-ACCE-E8DBB87536E7}"/>
    <cellStyle name="ar 2 2 15" xfId="22725" xr:uid="{50CFCA77-4478-4B49-929A-2ADF47CA732F}"/>
    <cellStyle name="ar 2 2 16" xfId="18344" xr:uid="{3D608A9B-2ACA-46A3-8DEC-04A460A01A11}"/>
    <cellStyle name="ar 2 2 17" xfId="41917" xr:uid="{FD7EF7F1-602A-44F6-9790-F414CB2CC7E3}"/>
    <cellStyle name="ar 2 2 18" xfId="37736" xr:uid="{EEB60BD2-BA00-4FA2-B807-AEB20638A82A}"/>
    <cellStyle name="ar 2 2 19" xfId="41624" xr:uid="{05EC59C7-E880-4818-9B76-643C78F60AD3}"/>
    <cellStyle name="ar 2 2 2" xfId="20012" xr:uid="{5A0EE48A-5327-494A-BAA8-CFD249834551}"/>
    <cellStyle name="ar 2 2 20" xfId="47861" xr:uid="{161C1BC8-A437-4F1A-A4F7-80CBB242359C}"/>
    <cellStyle name="ar 2 2 21" xfId="47034" xr:uid="{B64787FD-9D5B-4FF5-AB1C-3AB76AD0601A}"/>
    <cellStyle name="ar 2 2 3" xfId="21753" xr:uid="{14B542B0-44EE-4925-9192-D0589F5D9BF3}"/>
    <cellStyle name="ar 2 2 4" xfId="18876" xr:uid="{9775C392-552D-47EF-8758-E3906D6AAC96}"/>
    <cellStyle name="ar 2 2 5" xfId="20379" xr:uid="{A1606E7F-F7BE-48E0-8A7F-E930C84A9F59}"/>
    <cellStyle name="ar 2 2 6" xfId="21549" xr:uid="{BFFC28EC-1D0C-4150-ADC0-D32D349FAF6B}"/>
    <cellStyle name="ar 2 2 7" xfId="18864" xr:uid="{FE6D2AD9-7D06-49F2-AA9F-4B585B4010B7}"/>
    <cellStyle name="ar 2 2 8" xfId="20570" xr:uid="{74B6CEF7-EC34-4673-9BE7-D5E7646C2139}"/>
    <cellStyle name="ar 2 2 9" xfId="20767" xr:uid="{84F6EAE3-0D47-4F63-BBF2-B4B84B457FF5}"/>
    <cellStyle name="ar 2 20" xfId="15643" xr:uid="{92F36D5B-FE30-46BF-93CE-A76040E0FFFA}"/>
    <cellStyle name="ar 2 21" xfId="47749" xr:uid="{3A5A035C-A533-48CC-A46D-931CC5479726}"/>
    <cellStyle name="ar 2 22" xfId="15407" xr:uid="{CE5BA470-AAD7-458F-B5E2-6CBA6E2764D2}"/>
    <cellStyle name="ar 2 23" xfId="15217" xr:uid="{7001579D-225A-48FE-BA9E-799D72584B9C}"/>
    <cellStyle name="ar 2 24" xfId="49572" xr:uid="{FA03FE40-38B2-4EE9-AF52-65E11D0A12BB}"/>
    <cellStyle name="ar 2 3" xfId="19104" xr:uid="{DA1BE963-A7BD-4E89-A954-F53139F81521}"/>
    <cellStyle name="ar 2 4" xfId="19875" xr:uid="{1BCBD080-7B00-4EF7-A229-9EB2CC54BCAF}"/>
    <cellStyle name="ar 2 5" xfId="18977" xr:uid="{F56BC15B-89BE-40C6-8375-35C4279B24ED}"/>
    <cellStyle name="ar 2 6" xfId="21769" xr:uid="{14A140A8-5870-4E96-99D2-FFE0DFF4C115}"/>
    <cellStyle name="ar 2 7" xfId="18867" xr:uid="{7C1DF49F-A342-4856-AB17-071C7FB4C8E3}"/>
    <cellStyle name="ar 2 8" xfId="20804" xr:uid="{CA365CA0-325E-440D-875F-34AAFC9E8714}"/>
    <cellStyle name="ar 2 9" xfId="18984" xr:uid="{8859ED18-DC79-4DC4-B60D-9E8CB051B6A5}"/>
    <cellStyle name="ar 20" xfId="23026" xr:uid="{3875123B-18BD-460E-88CD-048275000C05}"/>
    <cellStyle name="ar 21" xfId="14166" xr:uid="{D5E4D664-D396-49F5-8BA3-1FA4E80BB180}"/>
    <cellStyle name="ar 22" xfId="15644" xr:uid="{DE6BCC77-98C9-4D50-8923-A41A06E907C9}"/>
    <cellStyle name="ar 23" xfId="47010" xr:uid="{10F9786E-8EC9-40D2-83D9-A221E9A50E7E}"/>
    <cellStyle name="ar 24" xfId="39588" xr:uid="{BFF32019-8960-4D1F-BC8D-727F7AC281E6}"/>
    <cellStyle name="ar 25" xfId="47472" xr:uid="{EC1CBA68-982F-40ED-A2D0-83F9DCC338E2}"/>
    <cellStyle name="ar 26" xfId="48433" xr:uid="{7DE88895-521E-428B-862E-61073E49E49A}"/>
    <cellStyle name="ar 3" xfId="740" xr:uid="{00000000-0005-0000-0000-0000F5020000}"/>
    <cellStyle name="ar 3 10" xfId="22193" xr:uid="{6B483ECC-4BC7-476C-9508-E48BC4F49DE8}"/>
    <cellStyle name="ar 3 11" xfId="21741" xr:uid="{9502C87C-7287-444A-A7EC-9637AD38C905}"/>
    <cellStyle name="ar 3 12" xfId="22170" xr:uid="{8C6E23BB-9408-46F4-9E56-74539665C118}"/>
    <cellStyle name="ar 3 13" xfId="22718" xr:uid="{4F15BAEC-66AA-48D5-8314-458C72D7CB0A}"/>
    <cellStyle name="ar 3 14" xfId="22342" xr:uid="{E9FCE301-7589-4956-941F-08B5D8965B44}"/>
    <cellStyle name="ar 3 15" xfId="19403" xr:uid="{C2E3D28D-6A6A-4447-9B3E-9D56C0E00C01}"/>
    <cellStyle name="ar 3 16" xfId="22847" xr:uid="{906FAB06-0F4B-4F02-BE2E-505D5A744FF4}"/>
    <cellStyle name="ar 3 17" xfId="17900" xr:uid="{510F6EFF-863D-43DF-8CF6-2BE645363236}"/>
    <cellStyle name="ar 3 18" xfId="26044" xr:uid="{442BD9D0-504D-4410-9DFE-3744B7F4354B}"/>
    <cellStyle name="ar 3 19" xfId="32873" xr:uid="{765943EA-9FDD-4400-9DF9-B02B533E8B48}"/>
    <cellStyle name="ar 3 2" xfId="18345" xr:uid="{F3174B1E-314D-47B4-A1AF-03403ED17293}"/>
    <cellStyle name="ar 3 2 10" xfId="20279" xr:uid="{38C8041B-34D0-45FC-9E22-600EB4AA707E}"/>
    <cellStyle name="ar 3 2 11" xfId="19879" xr:uid="{99E31C86-40E9-48E3-9D54-F1977EC81975}"/>
    <cellStyle name="ar 3 2 12" xfId="20678" xr:uid="{28CC54B3-BB63-48AB-B373-19A8E6C594DF}"/>
    <cellStyle name="ar 3 2 13" xfId="22662" xr:uid="{AA801FE0-00FB-4A10-B27D-FFF5C2C33F83}"/>
    <cellStyle name="ar 3 2 14" xfId="20339" xr:uid="{45E5F9DD-CA1A-4BE6-879B-8DC15245A2E8}"/>
    <cellStyle name="ar 3 2 15" xfId="20783" xr:uid="{B9F36961-1C26-4C43-828F-A727D3DDC595}"/>
    <cellStyle name="ar 3 2 2" xfId="20011" xr:uid="{AD672DD3-802C-4B7C-A81C-311B0416691B}"/>
    <cellStyle name="ar 3 2 3" xfId="21683" xr:uid="{A76B0D16-B9A2-471F-BC85-99229DC99C56}"/>
    <cellStyle name="ar 3 2 4" xfId="19423" xr:uid="{57A31252-5ED4-4DFC-914B-E72914ADE0A7}"/>
    <cellStyle name="ar 3 2 5" xfId="20347" xr:uid="{B0C091E1-6DB3-41D2-B168-FF873DCE8026}"/>
    <cellStyle name="ar 3 2 6" xfId="20296" xr:uid="{535EC482-025D-4AF4-BD20-106412986E02}"/>
    <cellStyle name="ar 3 2 7" xfId="20092" xr:uid="{12DB021E-DA79-4DA5-BB37-B3E17745935E}"/>
    <cellStyle name="ar 3 2 8" xfId="22300" xr:uid="{3FFF67B4-1D33-4216-BDF2-5A310F1E7554}"/>
    <cellStyle name="ar 3 2 9" xfId="20936" xr:uid="{85663D05-894E-477A-BEDB-E0A4B14B0F90}"/>
    <cellStyle name="ar 3 20" xfId="14168" xr:uid="{1DA30E9C-C13F-43A3-A1A7-1E8131046D77}"/>
    <cellStyle name="ar 3 21" xfId="15642" xr:uid="{8C411A33-D3A2-4349-A6B0-0CE0009E7DD3}"/>
    <cellStyle name="ar 3 22" xfId="15474" xr:uid="{B7CBEA5D-CFE5-45FA-BEE5-15846EF53F33}"/>
    <cellStyle name="ar 3 23" xfId="46880" xr:uid="{2D6C884A-B4E4-4C3F-A4F8-5512A7B88BA0}"/>
    <cellStyle name="ar 3 24" xfId="14930" xr:uid="{CF622C46-4BC1-46FE-8F61-7E6CFD3DC198}"/>
    <cellStyle name="ar 3 25" xfId="16138" xr:uid="{1D59FCC3-A2B7-40C4-B8FD-3D60CD926489}"/>
    <cellStyle name="ar 3 3" xfId="19103" xr:uid="{77626C36-0B7D-4C09-9BD5-E3F6436D45D1}"/>
    <cellStyle name="ar 3 4" xfId="21414" xr:uid="{5E62A96E-52C4-49C3-A6D4-CC478EDAD860}"/>
    <cellStyle name="ar 3 5" xfId="20053" xr:uid="{161651E4-2BFB-4B9F-AE41-F90CFEECD364}"/>
    <cellStyle name="ar 3 6" xfId="22002" xr:uid="{41850624-F5DB-4B3A-8040-C4D6D92D42CC}"/>
    <cellStyle name="ar 3 7" xfId="20161" xr:uid="{256498FD-C0DA-4990-9C27-F9AABB56DD74}"/>
    <cellStyle name="ar 3 8" xfId="19632" xr:uid="{875EBC56-5FCD-4514-AB18-E26FB41CC825}"/>
    <cellStyle name="ar 3 9" xfId="19080" xr:uid="{7D3707F4-1E63-4A38-82BF-E032EF5698AE}"/>
    <cellStyle name="ar 4" xfId="18343" xr:uid="{5558BB6B-4CD0-414A-9ACB-95B6DF098A01}"/>
    <cellStyle name="ar 4 10" xfId="22377" xr:uid="{DB9F0DA7-F5B8-4E03-A8BB-7B2EB20AA7BA}"/>
    <cellStyle name="ar 4 11" xfId="21944" xr:uid="{D7FD2D57-96A4-4BE3-AEE8-6F3B483772D4}"/>
    <cellStyle name="ar 4 12" xfId="18858" xr:uid="{8F7425A7-9788-4EC6-9D96-E499A1A4E6B0}"/>
    <cellStyle name="ar 4 13" xfId="22128" xr:uid="{ABED8E4A-FDB8-4941-8891-A91C9F612CE5}"/>
    <cellStyle name="ar 4 14" xfId="21317" xr:uid="{202FAEA6-9EF9-4035-A059-92F261351AF6}"/>
    <cellStyle name="ar 4 15" xfId="19094" xr:uid="{154E6104-1F4E-401B-8AC9-258F4FE7A5EB}"/>
    <cellStyle name="ar 4 2" xfId="20013" xr:uid="{9F2BE1E9-68FF-4953-9944-F31C7C328BF2}"/>
    <cellStyle name="ar 4 3" xfId="19651" xr:uid="{5AC376E1-8F7B-48EC-A2E2-E489021A0671}"/>
    <cellStyle name="ar 4 4" xfId="18902" xr:uid="{B4314EE6-10B2-4E57-B5CA-2B68AC263833}"/>
    <cellStyle name="ar 4 5" xfId="19728" xr:uid="{D447C00D-5C1B-4E7E-A475-0CC771AA83C2}"/>
    <cellStyle name="ar 4 6" xfId="22067" xr:uid="{3E98772D-87DF-4A96-BBE4-ABE2DB012429}"/>
    <cellStyle name="ar 4 7" xfId="20813" xr:uid="{449087F7-A38D-4CBB-9974-05A0DCD28B16}"/>
    <cellStyle name="ar 4 8" xfId="21970" xr:uid="{BEC93181-A63F-49E2-B232-896576D00123}"/>
    <cellStyle name="ar 4 9" xfId="21198" xr:uid="{A18025FE-299D-4D5A-B767-364A1F4778BA}"/>
    <cellStyle name="ar 5" xfId="19105" xr:uid="{4CFFB3C4-3DCC-4ADB-B3A8-51F04CA70166}"/>
    <cellStyle name="ar 6" xfId="19336" xr:uid="{85142D49-5ADE-4EDE-9871-B88FA9CF499A}"/>
    <cellStyle name="ar 7" xfId="20896" xr:uid="{1AD1AEBD-E037-4FC5-9D50-875EE3A6CEC0}"/>
    <cellStyle name="ar 8" xfId="18834" xr:uid="{C7FD2FE0-30F0-40A1-8983-3573BDBCF782}"/>
    <cellStyle name="ar 9" xfId="21430" xr:uid="{61F9095E-7357-41F4-8C78-622B6705D84D}"/>
    <cellStyle name="Arial 10" xfId="741" xr:uid="{00000000-0005-0000-0000-0000F6020000}"/>
    <cellStyle name="Arial 12" xfId="742" xr:uid="{00000000-0005-0000-0000-0000F7020000}"/>
    <cellStyle name="Availability" xfId="743" xr:uid="{00000000-0005-0000-0000-0000F8020000}"/>
    <cellStyle name="Avertissement" xfId="744" xr:uid="{00000000-0005-0000-0000-0000F9020000}"/>
    <cellStyle name="Bad" xfId="5534" builtinId="27" customBuiltin="1"/>
    <cellStyle name="Bad 2" xfId="745" xr:uid="{00000000-0005-0000-0000-0000FB020000}"/>
    <cellStyle name="Bad 2 2" xfId="746" xr:uid="{00000000-0005-0000-0000-0000FC020000}"/>
    <cellStyle name="Bad 2 3" xfId="747" xr:uid="{00000000-0005-0000-0000-0000FD020000}"/>
    <cellStyle name="Bad 2 4" xfId="748" xr:uid="{00000000-0005-0000-0000-0000FE020000}"/>
    <cellStyle name="Bad 2 5" xfId="749" xr:uid="{00000000-0005-0000-0000-0000FF020000}"/>
    <cellStyle name="Bad 2 6" xfId="750" xr:uid="{00000000-0005-0000-0000-000000030000}"/>
    <cellStyle name="Bad 2 7" xfId="751" xr:uid="{00000000-0005-0000-0000-000001030000}"/>
    <cellStyle name="Bad 2 8" xfId="752" xr:uid="{00000000-0005-0000-0000-000002030000}"/>
    <cellStyle name="Bad 2 9" xfId="753" xr:uid="{00000000-0005-0000-0000-000003030000}"/>
    <cellStyle name="Bad 3" xfId="754" xr:uid="{00000000-0005-0000-0000-000004030000}"/>
    <cellStyle name="Band 2" xfId="755" xr:uid="{00000000-0005-0000-0000-000005030000}"/>
    <cellStyle name="Band 2 2" xfId="9410" xr:uid="{00000000-0005-0000-0000-0000E6020000}"/>
    <cellStyle name="Band 2 3" xfId="23025" xr:uid="{3BE740D2-160F-4A72-81F3-7B87FABAB891}"/>
    <cellStyle name="Blank" xfId="756" xr:uid="{00000000-0005-0000-0000-000006030000}"/>
    <cellStyle name="Blue" xfId="757" xr:uid="{00000000-0005-0000-0000-000007030000}"/>
    <cellStyle name="Bold/Border" xfId="758" xr:uid="{00000000-0005-0000-0000-000008030000}"/>
    <cellStyle name="Bold/Border 2" xfId="759" xr:uid="{00000000-0005-0000-0000-000009030000}"/>
    <cellStyle name="Bold/Border 3" xfId="9294" xr:uid="{00000000-0005-0000-0000-0000E9020000}"/>
    <cellStyle name="Border Heavy" xfId="760" xr:uid="{00000000-0005-0000-0000-00000A030000}"/>
    <cellStyle name="Border Heavy 2" xfId="9264" xr:uid="{00000000-0005-0000-0000-0000E3020000}"/>
    <cellStyle name="Border Thin" xfId="761" xr:uid="{00000000-0005-0000-0000-00000B030000}"/>
    <cellStyle name="Border Thin 2" xfId="9265" xr:uid="{00000000-0005-0000-0000-0000E4020000}"/>
    <cellStyle name="Border Thin 3" xfId="9293" xr:uid="{00000000-0005-0000-0000-0000EC020000}"/>
    <cellStyle name="Border, Bottom" xfId="762" xr:uid="{00000000-0005-0000-0000-00000C030000}"/>
    <cellStyle name="Border, Bottom 2" xfId="763" xr:uid="{00000000-0005-0000-0000-00000D030000}"/>
    <cellStyle name="Border, Bottom 3" xfId="23456" xr:uid="{941A216C-69B8-4411-9C0F-EC35731693CB}"/>
    <cellStyle name="Border, Bottom 4" xfId="23024" xr:uid="{963D445C-64AA-4697-953C-4A64CAB38E10}"/>
    <cellStyle name="Border, Left" xfId="764" xr:uid="{00000000-0005-0000-0000-00000E030000}"/>
    <cellStyle name="Border, Left 2" xfId="9411" xr:uid="{00000000-0005-0000-0000-0000F0020000}"/>
    <cellStyle name="Border, Left 3" xfId="23457" xr:uid="{795D9653-62C7-454C-A617-9DFEFF7A97D2}"/>
    <cellStyle name="Border, Left 4" xfId="23023" xr:uid="{07F78AC5-773B-4A09-9302-4A6ABC477E3B}"/>
    <cellStyle name="Border, Left 5" xfId="15629" xr:uid="{13E496E8-B33D-4EC8-9A4E-26E0CC141939}"/>
    <cellStyle name="Border, Right" xfId="765" xr:uid="{00000000-0005-0000-0000-00000F030000}"/>
    <cellStyle name="Border, Right 2" xfId="23458" xr:uid="{A4D57F43-8973-43C3-BF8D-C3F1A95CC156}"/>
    <cellStyle name="Border, Top" xfId="766" xr:uid="{00000000-0005-0000-0000-000010030000}"/>
    <cellStyle name="Border, Top 10" xfId="15405" xr:uid="{974ECA0C-6880-471A-A097-D6FBE93B1AE3}"/>
    <cellStyle name="Border, Top 11" xfId="46594" xr:uid="{25E87DD8-4180-4E63-8177-1E706D07943E}"/>
    <cellStyle name="Border, Top 12" xfId="37732" xr:uid="{52F7ED33-7FDF-4D1D-BBFD-9F816BA21C82}"/>
    <cellStyle name="Border, Top 2" xfId="767" xr:uid="{00000000-0005-0000-0000-000011030000}"/>
    <cellStyle name="Border, Top 2 10" xfId="48459" xr:uid="{6B1185DB-2E55-4C2E-A482-E63FEFEB212C}"/>
    <cellStyle name="Border, Top 2 2" xfId="768" xr:uid="{00000000-0005-0000-0000-000012030000}"/>
    <cellStyle name="Border, Top 2 2 10" xfId="21865" xr:uid="{53647EBD-77AC-4FD8-9B5D-67B0A51ADCF5}"/>
    <cellStyle name="Border, Top 2 2 11" xfId="22640" xr:uid="{68DEB1F1-DA3B-473B-BEDB-5CBCA583B4F9}"/>
    <cellStyle name="Border, Top 2 2 12" xfId="22666" xr:uid="{0CE78EA7-B5B6-4E5C-A41B-472AE6A65821}"/>
    <cellStyle name="Border, Top 2 2 13" xfId="21313" xr:uid="{9AA5C692-FDDE-4C11-B1C2-215BC6D635F8}"/>
    <cellStyle name="Border, Top 2 2 14" xfId="21899" xr:uid="{04196723-A2DD-44A4-8EE4-4F4F7FD43BF1}"/>
    <cellStyle name="Border, Top 2 2 15" xfId="21573" xr:uid="{73925354-8963-4934-A0C5-D61BD31635BD}"/>
    <cellStyle name="Border, Top 2 2 16" xfId="18348" xr:uid="{F9C6A3E4-E88A-4F44-AC82-8F77891B7C17}"/>
    <cellStyle name="Border, Top 2 2 17" xfId="17362" xr:uid="{06ADD4AA-E54E-49AE-85F1-0D01108920D1}"/>
    <cellStyle name="Border, Top 2 2 18" xfId="15625" xr:uid="{B5A182B0-CA82-49AA-AC36-09C8598198E1}"/>
    <cellStyle name="Border, Top 2 2 19" xfId="46997" xr:uid="{28A61201-81C4-458B-879D-5775B2A11554}"/>
    <cellStyle name="Border, Top 2 2 2" xfId="20008" xr:uid="{43BD5BF0-792E-499A-9DCC-34BFEAA9FC56}"/>
    <cellStyle name="Border, Top 2 2 20" xfId="48819" xr:uid="{B03BBBF2-5940-4813-9E18-66612715DBBC}"/>
    <cellStyle name="Border, Top 2 2 21" xfId="37670" xr:uid="{7F4D04E2-2D16-4AB2-8A6D-4FAD387E9A5B}"/>
    <cellStyle name="Border, Top 2 2 22" xfId="47720" xr:uid="{F7EB0190-E874-4DB1-924D-2DC7349C276D}"/>
    <cellStyle name="Border, Top 2 2 3" xfId="19478" xr:uid="{722A05D8-C92F-47FE-94DB-2F19C7E56295}"/>
    <cellStyle name="Border, Top 2 2 4" xfId="18892" xr:uid="{45ADBC48-BE87-403E-A803-E18648A2F663}"/>
    <cellStyle name="Border, Top 2 2 5" xfId="21854" xr:uid="{DF0AD01C-2DE3-4F73-BEE9-3418F88820AC}"/>
    <cellStyle name="Border, Top 2 2 6" xfId="21815" xr:uid="{414ED5FA-CEEF-42C9-9DE1-63CE62717342}"/>
    <cellStyle name="Border, Top 2 2 7" xfId="21171" xr:uid="{63DA6BC7-187D-4A95-878F-4B3AFAD9FB6A}"/>
    <cellStyle name="Border, Top 2 2 8" xfId="18888" xr:uid="{4700F5A8-FE96-4FD6-BA97-E345810BE43A}"/>
    <cellStyle name="Border, Top 2 2 9" xfId="20497" xr:uid="{3A332E09-7910-49A2-9424-35596FBD5403}"/>
    <cellStyle name="Border, Top 2 3" xfId="26332" xr:uid="{4B786446-EEE3-423D-8AE9-36338D844665}"/>
    <cellStyle name="Border, Top 2 4" xfId="33161" xr:uid="{B0DF1495-F07E-4A09-BB3B-56F95F3576D6}"/>
    <cellStyle name="Border, Top 2 5" xfId="14176" xr:uid="{81182357-867B-4145-BE3A-CF2C98B2CF38}"/>
    <cellStyle name="Border, Top 2 6" xfId="15626" xr:uid="{C617AAE9-7953-4FB2-8C09-1B02EF72B694}"/>
    <cellStyle name="Border, Top 2 7" xfId="40265" xr:uid="{CA64FB70-DA95-4A9E-86C8-944A09ECC6C8}"/>
    <cellStyle name="Border, Top 2 8" xfId="46879" xr:uid="{BCBE2F28-4CBE-4275-98BE-A85B51DE306C}"/>
    <cellStyle name="Border, Top 2 9" xfId="46738" xr:uid="{0D439E0C-E9C8-47C5-94B2-D56BF16BDEEC}"/>
    <cellStyle name="Border, Top 3" xfId="769" xr:uid="{00000000-0005-0000-0000-000013030000}"/>
    <cellStyle name="Border, Top 3 10" xfId="46920" xr:uid="{D82D5FA5-68E0-47A8-83FC-58E2D5BC36D1}"/>
    <cellStyle name="Border, Top 3 2" xfId="770" xr:uid="{00000000-0005-0000-0000-000014030000}"/>
    <cellStyle name="Border, Top 3 2 10" xfId="21374" xr:uid="{7C955E44-13ED-4A28-A5C2-616DA30687C2}"/>
    <cellStyle name="Border, Top 3 2 11" xfId="20464" xr:uid="{32A789AD-F424-430F-8627-9F83B638B9E3}"/>
    <cellStyle name="Border, Top 3 2 12" xfId="22438" xr:uid="{4658BAB3-70E0-4918-9A69-49758CDB840F}"/>
    <cellStyle name="Border, Top 3 2 13" xfId="22076" xr:uid="{FA8BB078-F805-4B67-9DF2-05EB794CD3B1}"/>
    <cellStyle name="Border, Top 3 2 14" xfId="22854" xr:uid="{0D542985-7C3C-497F-AF4E-A8B15C15F4CF}"/>
    <cellStyle name="Border, Top 3 2 15" xfId="22621" xr:uid="{242BD9B9-BE67-45E8-8A3E-B88C6BAE0792}"/>
    <cellStyle name="Border, Top 3 2 16" xfId="18349" xr:uid="{EFAC77B7-2824-494A-8B14-C3FE36502087}"/>
    <cellStyle name="Border, Top 3 2 17" xfId="17363" xr:uid="{80F7046E-5283-4688-A636-2CD208CF85F0}"/>
    <cellStyle name="Border, Top 3 2 18" xfId="15623" xr:uid="{1055C2DE-183B-4B98-8BB8-AAD93DAC51E3}"/>
    <cellStyle name="Border, Top 3 2 19" xfId="40264" xr:uid="{839A4331-418C-4250-A886-F5CD6E895DE7}"/>
    <cellStyle name="Border, Top 3 2 2" xfId="20007" xr:uid="{3A167A0C-E3BB-4634-9760-CA5FCA8B7C28}"/>
    <cellStyle name="Border, Top 3 2 20" xfId="15106" xr:uid="{9BB8C166-181C-419E-B53F-10E3BCEF304D}"/>
    <cellStyle name="Border, Top 3 2 21" xfId="16447" xr:uid="{EABCD0DC-8675-441D-965C-220EEB36B99B}"/>
    <cellStyle name="Border, Top 3 2 22" xfId="47573" xr:uid="{75ADE1E7-8552-4ED3-934F-87DAB1D1D729}"/>
    <cellStyle name="Border, Top 3 2 3" xfId="19477" xr:uid="{14A632F4-22F0-406B-86F0-B16B8D18570C}"/>
    <cellStyle name="Border, Top 3 2 4" xfId="21633" xr:uid="{31A184B1-1789-46C7-BB77-DF034358D931}"/>
    <cellStyle name="Border, Top 3 2 5" xfId="21977" xr:uid="{4A3BCA82-1AB9-408B-B37F-321966152B56}"/>
    <cellStyle name="Border, Top 3 2 6" xfId="22071" xr:uid="{3D319DD4-B0CD-4989-8C85-19B9149A06F7}"/>
    <cellStyle name="Border, Top 3 2 7" xfId="20440" xr:uid="{03AA54F2-34BA-4B78-8E9A-6FE546352644}"/>
    <cellStyle name="Border, Top 3 2 8" xfId="22229" xr:uid="{9A591589-A7A6-47B3-AC14-3E12E09B5721}"/>
    <cellStyle name="Border, Top 3 2 9" xfId="21729" xr:uid="{45B1E78D-1D7C-4A82-9894-9A26BEB682E4}"/>
    <cellStyle name="Border, Top 3 3" xfId="26043" xr:uid="{238124A3-D2D5-46F5-BD8D-112763A796ED}"/>
    <cellStyle name="Border, Top 3 4" xfId="32872" xr:uid="{9D12F857-3535-40F2-A6BC-3F3BC2D740EA}"/>
    <cellStyle name="Border, Top 3 5" xfId="14177" xr:uid="{47F0D3EC-87F4-496B-A9EC-2246081FA0E3}"/>
    <cellStyle name="Border, Top 3 6" xfId="15624" xr:uid="{5BA63A70-5944-465A-9A83-6E8E3F8581BA}"/>
    <cellStyle name="Border, Top 3 7" xfId="47743" xr:uid="{782B10A6-E202-4490-B98A-3946B8D50008}"/>
    <cellStyle name="Border, Top 3 8" xfId="46744" xr:uid="{9A2DC4BE-9B54-4103-AB8D-A9142FD0EF09}"/>
    <cellStyle name="Border, Top 3 9" xfId="47960" xr:uid="{C7BEECC3-7C49-4E27-B3B1-59B7060CE184}"/>
    <cellStyle name="Border, Top 4" xfId="771" xr:uid="{00000000-0005-0000-0000-000015030000}"/>
    <cellStyle name="Border, Top 4 10" xfId="21165" xr:uid="{2ED205BD-656E-4234-917F-0FA5708DFEC3}"/>
    <cellStyle name="Border, Top 4 11" xfId="21709" xr:uid="{3F0DDE30-3E6B-45D3-8117-E53A7C55A1BE}"/>
    <cellStyle name="Border, Top 4 12" xfId="22607" xr:uid="{931E7977-217B-4677-936F-16DA696B8366}"/>
    <cellStyle name="Border, Top 4 13" xfId="22040" xr:uid="{A7ACE7C1-8D29-4B10-91DB-ACEB5F11C265}"/>
    <cellStyle name="Border, Top 4 14" xfId="21938" xr:uid="{3BF54F78-3FEC-4283-9128-A7F500D8D841}"/>
    <cellStyle name="Border, Top 4 15" xfId="21955" xr:uid="{AD2D7035-DEB9-4B76-B231-6D0ABB74C1EE}"/>
    <cellStyle name="Border, Top 4 16" xfId="18347" xr:uid="{43DB5129-CDBD-4346-BEA6-57989C91E05B}"/>
    <cellStyle name="Border, Top 4 17" xfId="17361" xr:uid="{2B030C5F-7041-4F45-8DC4-5C48091FDEA7}"/>
    <cellStyle name="Border, Top 4 18" xfId="15622" xr:uid="{9121ECF1-7803-4EA3-9560-43FA2A70D02E}"/>
    <cellStyle name="Border, Top 4 19" xfId="46996" xr:uid="{01EEDB2D-F3C2-4556-BBDC-E9A390273944}"/>
    <cellStyle name="Border, Top 4 2" xfId="20009" xr:uid="{169259D6-5660-4411-8BB8-897385099AC1}"/>
    <cellStyle name="Border, Top 4 20" xfId="48340" xr:uid="{802C91F6-B028-469A-81DF-501C84765737}"/>
    <cellStyle name="Border, Top 4 21" xfId="49282" xr:uid="{0C1ADFF8-A42D-4CBD-8A35-28A168CB268A}"/>
    <cellStyle name="Border, Top 4 22" xfId="48440" xr:uid="{EF16E8B5-6CC4-4166-A3A2-5BE5504E5322}"/>
    <cellStyle name="Border, Top 4 3" xfId="19515" xr:uid="{2B5BCECF-3ED3-4E32-BC9E-354488DE9ABD}"/>
    <cellStyle name="Border, Top 4 4" xfId="21247" xr:uid="{4C618189-1F37-428F-B09C-AA20C0BF59F2}"/>
    <cellStyle name="Border, Top 4 5" xfId="21013" xr:uid="{2005757F-FBB4-40C1-84CB-A4750B4AFFE3}"/>
    <cellStyle name="Border, Top 4 6" xfId="19898" xr:uid="{0DC6EE3F-F6D5-4314-880C-8BC1F4F9550A}"/>
    <cellStyle name="Border, Top 4 7" xfId="22178" xr:uid="{FA180421-AE95-4E81-AA6D-823876A9D7D4}"/>
    <cellStyle name="Border, Top 4 8" xfId="20983" xr:uid="{BE9C941C-A793-4811-B042-07144AC8DC9F}"/>
    <cellStyle name="Border, Top 4 9" xfId="18928" xr:uid="{2C42D47A-8C85-459F-92D2-A2751780902A}"/>
    <cellStyle name="Border, Top 5" xfId="23459" xr:uid="{C1477336-816D-40CA-B6B1-3B45FBA542EA}"/>
    <cellStyle name="Border, Top 6" xfId="23022" xr:uid="{FCE42C89-12C2-4148-92CA-D312167117A7}"/>
    <cellStyle name="Border, Top 7" xfId="14175" xr:uid="{E67ABF24-64B8-4965-8BFB-FB4FFB4791E1}"/>
    <cellStyle name="Border, Top 8" xfId="15627" xr:uid="{A1E92E52-0AF3-4C0C-87F0-BA36FF0BEFE7}"/>
    <cellStyle name="Border, Top 9" xfId="47744" xr:uid="{6EF77722-683D-4954-B28F-4CBD3E3B78FC}"/>
    <cellStyle name="British Pound" xfId="772" xr:uid="{00000000-0005-0000-0000-000016030000}"/>
    <cellStyle name="BritPound" xfId="773" xr:uid="{00000000-0005-0000-0000-000017030000}"/>
    <cellStyle name="BritPound 2" xfId="6342" xr:uid="{00000000-0005-0000-0000-000071170000}"/>
    <cellStyle name="Bullet" xfId="774" xr:uid="{00000000-0005-0000-0000-000018030000}"/>
    <cellStyle name="Calc Currency (0)" xfId="775" xr:uid="{00000000-0005-0000-0000-000019030000}"/>
    <cellStyle name="Calc Currency (0) 2" xfId="6344" xr:uid="{00000000-0005-0000-0000-000072170000}"/>
    <cellStyle name="Calc Currency (2)" xfId="776" xr:uid="{00000000-0005-0000-0000-00001A030000}"/>
    <cellStyle name="Calc Currency (2) 2" xfId="6345" xr:uid="{00000000-0005-0000-0000-000073170000}"/>
    <cellStyle name="Calc Percent (0)" xfId="777" xr:uid="{00000000-0005-0000-0000-00001B030000}"/>
    <cellStyle name="Calc Percent (0) 2" xfId="6346" xr:uid="{00000000-0005-0000-0000-000074170000}"/>
    <cellStyle name="Calc Percent (1)" xfId="778" xr:uid="{00000000-0005-0000-0000-00001C030000}"/>
    <cellStyle name="Calc Percent (1) 2" xfId="6347" xr:uid="{00000000-0005-0000-0000-000075170000}"/>
    <cellStyle name="Calc Percent (2)" xfId="779" xr:uid="{00000000-0005-0000-0000-00001D030000}"/>
    <cellStyle name="Calc Units (0)" xfId="780" xr:uid="{00000000-0005-0000-0000-00001E030000}"/>
    <cellStyle name="Calc Units (0) 2" xfId="6349" xr:uid="{00000000-0005-0000-0000-000076170000}"/>
    <cellStyle name="Calc Units (1)" xfId="781" xr:uid="{00000000-0005-0000-0000-00001F030000}"/>
    <cellStyle name="Calc Units (2)" xfId="782" xr:uid="{00000000-0005-0000-0000-000020030000}"/>
    <cellStyle name="Calc Units (2) 2" xfId="6351" xr:uid="{00000000-0005-0000-0000-000077170000}"/>
    <cellStyle name="Calcul" xfId="783" xr:uid="{00000000-0005-0000-0000-000021030000}"/>
    <cellStyle name="Calcul 10" xfId="24098" xr:uid="{FA7C82C5-66CF-4888-B5C7-DEEE8F5F2B38}"/>
    <cellStyle name="Calcul 10 2" xfId="26711" xr:uid="{1A11D988-0D10-4F33-BBFF-8EB900B90E8A}"/>
    <cellStyle name="Calcul 10 2 2" xfId="33551" xr:uid="{FC883B73-6472-438D-BD42-95B503E44DA8}"/>
    <cellStyle name="Calcul 10 3" xfId="28787" xr:uid="{7548E36F-18E2-4F9C-9D36-CDD257157D4D}"/>
    <cellStyle name="Calcul 10 3 2" xfId="35632" xr:uid="{6BD124EE-E816-4DCE-B2A1-AEFEFEB7CD29}"/>
    <cellStyle name="Calcul 10 4" xfId="30869" xr:uid="{E8571B10-B5AD-4CDE-AB4D-B1552998CD3B}"/>
    <cellStyle name="Calcul 11" xfId="24054" xr:uid="{A7C163CE-CC20-4694-A017-725645FC9211}"/>
    <cellStyle name="Calcul 11 2" xfId="26667" xr:uid="{5D933EAD-61F2-4CF6-A7C3-69E1965E9FDF}"/>
    <cellStyle name="Calcul 11 2 2" xfId="33507" xr:uid="{0DA01468-E0AA-474F-83DE-CDADE0836224}"/>
    <cellStyle name="Calcul 11 3" xfId="28743" xr:uid="{E5B1E31B-6EB7-4D42-822A-808592C339E9}"/>
    <cellStyle name="Calcul 11 3 2" xfId="35588" xr:uid="{D24E0AFD-8C1A-4DB3-A086-E30F2E49E7D8}"/>
    <cellStyle name="Calcul 11 4" xfId="30825" xr:uid="{86611BE9-DE32-463D-AF75-6E797A2A08F5}"/>
    <cellStyle name="Calcul 12" xfId="25409" xr:uid="{B8E3501E-4ECF-4FE1-AB34-84470FBCAD9B}"/>
    <cellStyle name="Calcul 12 2" xfId="28076" xr:uid="{33B9A3F1-1802-4A94-B76A-10BBA8FA1938}"/>
    <cellStyle name="Calcul 12 2 2" xfId="34921" xr:uid="{B1CD9BC5-3073-45CC-9A23-82BD19275E94}"/>
    <cellStyle name="Calcul 12 3" xfId="30157" xr:uid="{9C1A908D-48FC-4F18-8BF5-2D0B30E8C7F3}"/>
    <cellStyle name="Calcul 12 3 2" xfId="37002" xr:uid="{946725E4-13E8-4691-A003-2067627B2099}"/>
    <cellStyle name="Calcul 12 4" xfId="32239" xr:uid="{F3BB9125-A5B8-4B2B-859F-C3B45B315BB5}"/>
    <cellStyle name="Calcul 13" xfId="24050" xr:uid="{ECBD6FC2-7673-457B-9438-B2F3CA5288C3}"/>
    <cellStyle name="Calcul 13 2" xfId="26663" xr:uid="{E6EA4977-635B-4C13-90DB-90C9282F694F}"/>
    <cellStyle name="Calcul 13 2 2" xfId="33503" xr:uid="{35C61967-066B-4F21-AA4F-271DB698C9F4}"/>
    <cellStyle name="Calcul 13 3" xfId="28739" xr:uid="{3ED3FE63-9E61-49B8-BABA-1E2761D1B52C}"/>
    <cellStyle name="Calcul 13 3 2" xfId="35584" xr:uid="{A60B4921-F76B-46A3-8E91-CD27C0560996}"/>
    <cellStyle name="Calcul 13 4" xfId="30821" xr:uid="{F0137106-C65B-4198-BB66-21C930179B58}"/>
    <cellStyle name="Calcul 14" xfId="24866" xr:uid="{7141AE53-BCBC-488F-8710-42BB3B77F393}"/>
    <cellStyle name="Calcul 14 2" xfId="27530" xr:uid="{5F3F5D14-204E-48F2-A42E-9B6E1542798D}"/>
    <cellStyle name="Calcul 14 2 2" xfId="34374" xr:uid="{F829F826-28DC-46BC-BD5A-7A643176F8BB}"/>
    <cellStyle name="Calcul 14 3" xfId="29610" xr:uid="{03E61B33-2D6F-4E74-980B-39705EB44AA8}"/>
    <cellStyle name="Calcul 14 3 2" xfId="36455" xr:uid="{493E8C4D-05AC-4D60-8319-F584731775D8}"/>
    <cellStyle name="Calcul 14 4" xfId="31692" xr:uid="{34D6C7F8-C588-4EA9-BFD1-B92189875C8A}"/>
    <cellStyle name="Calcul 15" xfId="24789" xr:uid="{632D156E-3908-442D-B128-87C56FB58B0E}"/>
    <cellStyle name="Calcul 15 2" xfId="27442" xr:uid="{220A7B73-32C6-42EE-8BE7-7F0C5B626C61}"/>
    <cellStyle name="Calcul 15 2 2" xfId="34286" xr:uid="{BA94AC25-89E2-4607-BB37-C726BBBC55F1}"/>
    <cellStyle name="Calcul 15 3" xfId="29522" xr:uid="{10A0132E-DFA6-4B1E-BB30-703F9A58568E}"/>
    <cellStyle name="Calcul 15 3 2" xfId="36367" xr:uid="{FEB8CC93-BB86-403E-87AB-9D506DE17FBD}"/>
    <cellStyle name="Calcul 15 4" xfId="31604" xr:uid="{4A4CB80D-56DC-4B32-9104-96DD43DB5FD0}"/>
    <cellStyle name="Calcul 16" xfId="25032" xr:uid="{3C4E307E-1A1A-4FFD-B3CC-A306E9761118}"/>
    <cellStyle name="Calcul 16 2" xfId="27705" xr:uid="{D72A3447-B662-4C50-874B-80A7611ADCBF}"/>
    <cellStyle name="Calcul 16 2 2" xfId="34550" xr:uid="{2B5ACC41-26AF-46B8-973F-A3237A00EFEE}"/>
    <cellStyle name="Calcul 16 3" xfId="29786" xr:uid="{B60972B3-81DF-4BE4-8748-49F9323C34FC}"/>
    <cellStyle name="Calcul 16 3 2" xfId="36631" xr:uid="{4E68F8BA-A101-4977-BB04-5CB79C397DF1}"/>
    <cellStyle name="Calcul 16 4" xfId="31868" xr:uid="{BAC9AEC7-B81F-4628-893B-D68C064523B4}"/>
    <cellStyle name="Calcul 17" xfId="24017" xr:uid="{1894194C-67C4-4ADA-953A-1BFB320C9AEE}"/>
    <cellStyle name="Calcul 17 2" xfId="26633" xr:uid="{A13344CE-C17F-4338-943E-5A17A50C454B}"/>
    <cellStyle name="Calcul 17 2 2" xfId="33473" xr:uid="{6180E7A0-E083-4213-A4C7-F64C2A353B97}"/>
    <cellStyle name="Calcul 17 3" xfId="28709" xr:uid="{47561082-7A40-46D1-B290-8F0E1BD05178}"/>
    <cellStyle name="Calcul 17 3 2" xfId="35554" xr:uid="{067E9B92-EB24-4CC7-AC2C-A97243D7AC9A}"/>
    <cellStyle name="Calcul 17 4" xfId="30791" xr:uid="{362574E5-9D72-402F-87CB-65A8543C164D}"/>
    <cellStyle name="Calcul 18" xfId="24642" xr:uid="{6075C05B-C44D-405B-97B7-27D2075BADBF}"/>
    <cellStyle name="Calcul 19" xfId="16613" xr:uid="{B6EDBF6A-2F60-4F11-97B9-6C7439CD388A}"/>
    <cellStyle name="Calcul 2" xfId="9266" xr:uid="{00000000-0005-0000-0000-0000F4020000}"/>
    <cellStyle name="Calcul 2 10" xfId="24073" xr:uid="{7D06F815-A9E2-486A-BE2D-0506DE72F51C}"/>
    <cellStyle name="Calcul 2 10 2" xfId="26686" xr:uid="{2A0DA7E2-E857-4085-98DE-0C4A47FBB425}"/>
    <cellStyle name="Calcul 2 10 2 2" xfId="33526" xr:uid="{38E96846-31CA-4BEA-8878-FBFC1EABCBE9}"/>
    <cellStyle name="Calcul 2 10 3" xfId="28762" xr:uid="{1C17175C-14E4-471B-A76F-15D08F0AFE2D}"/>
    <cellStyle name="Calcul 2 10 3 2" xfId="35607" xr:uid="{3C8221B6-184B-4B2A-A273-7F26B0A3C922}"/>
    <cellStyle name="Calcul 2 10 4" xfId="30844" xr:uid="{1CC2E2E1-F800-43E6-99D8-6F6778747A1B}"/>
    <cellStyle name="Calcul 2 11" xfId="25493" xr:uid="{5F4388ED-56CE-4CAB-84D5-F91DC115588D}"/>
    <cellStyle name="Calcul 2 11 2" xfId="28160" xr:uid="{C7486097-AC6B-41EC-8C14-962E47182885}"/>
    <cellStyle name="Calcul 2 11 2 2" xfId="35005" xr:uid="{D5322C12-ADAF-46FB-A6C8-D22C9CCE2E7E}"/>
    <cellStyle name="Calcul 2 11 3" xfId="30241" xr:uid="{733E9125-DDC0-46AE-9A8F-FAE4441A5E8A}"/>
    <cellStyle name="Calcul 2 11 3 2" xfId="37086" xr:uid="{34CF4D37-0444-4F31-AEB4-710E9F2A433C}"/>
    <cellStyle name="Calcul 2 11 4" xfId="32323" xr:uid="{73853FD4-77B6-47B5-9D3D-E8A83D6B785B}"/>
    <cellStyle name="Calcul 2 12" xfId="24837" xr:uid="{242258F0-97C6-4EEA-B883-B7ADC043B849}"/>
    <cellStyle name="Calcul 2 12 2" xfId="27497" xr:uid="{328821B3-8119-44C1-8D38-F777E352927D}"/>
    <cellStyle name="Calcul 2 12 2 2" xfId="34341" xr:uid="{0C3DF464-513F-49CE-BB4A-04787139C439}"/>
    <cellStyle name="Calcul 2 12 3" xfId="29577" xr:uid="{0173B8D9-857C-48C0-8734-5B15CF610F0C}"/>
    <cellStyle name="Calcul 2 12 3 2" xfId="36422" xr:uid="{3DEFA370-B180-4C9C-A1F8-52629CE5AC91}"/>
    <cellStyle name="Calcul 2 12 4" xfId="31659" xr:uid="{E775768A-FAB2-4E5D-9C4D-F493497143C2}"/>
    <cellStyle name="Calcul 2 13" xfId="24583" xr:uid="{9941AB70-165E-49FA-B41E-30E4A1338B34}"/>
    <cellStyle name="Calcul 2 13 2" xfId="27174" xr:uid="{62B49BF4-E0BF-4A1A-8294-A49040D9909C}"/>
    <cellStyle name="Calcul 2 13 2 2" xfId="34015" xr:uid="{0DA509FC-C02E-40E1-B63B-7184365B71AB}"/>
    <cellStyle name="Calcul 2 13 3" xfId="29251" xr:uid="{0A031A04-3F77-44DB-A97C-9C5292362E3B}"/>
    <cellStyle name="Calcul 2 13 3 2" xfId="36096" xr:uid="{A6CADE88-4D5E-4817-9CFD-3A12F2E11022}"/>
    <cellStyle name="Calcul 2 13 4" xfId="31333" xr:uid="{EA6A711F-2227-4862-84D0-5838B24B0992}"/>
    <cellStyle name="Calcul 2 14" xfId="25537" xr:uid="{E3FD1C12-25B7-457F-86EC-E0799FFFE589}"/>
    <cellStyle name="Calcul 2 14 2" xfId="28204" xr:uid="{C60276A0-DCE5-4576-808E-BDBCFFCED7A4}"/>
    <cellStyle name="Calcul 2 14 2 2" xfId="35049" xr:uid="{4CBD966A-8E48-4889-ABF3-9CDA8C1E5FBF}"/>
    <cellStyle name="Calcul 2 14 3" xfId="30285" xr:uid="{33B82062-D535-48FC-A1D6-CD2C6784EFF5}"/>
    <cellStyle name="Calcul 2 14 3 2" xfId="37130" xr:uid="{057D380D-DEEE-46E0-BF54-5E768D5E0DC6}"/>
    <cellStyle name="Calcul 2 14 4" xfId="32367" xr:uid="{3ACE0827-F7D5-4F0A-BB86-AF0D0B928415}"/>
    <cellStyle name="Calcul 2 15" xfId="25699" xr:uid="{FF2A39E5-CF5E-4C4F-A510-C8F4B5334AA8}"/>
    <cellStyle name="Calcul 2 15 2" xfId="28366" xr:uid="{8BC30C27-4F5E-46F7-8EFD-EAC37B67BC5A}"/>
    <cellStyle name="Calcul 2 15 2 2" xfId="35211" xr:uid="{8F0E113B-A677-4620-AF34-E4E44C60E4E9}"/>
    <cellStyle name="Calcul 2 15 3" xfId="30447" xr:uid="{5512A427-74E7-46AD-8E3A-362BEE1EBEB4}"/>
    <cellStyle name="Calcul 2 15 3 2" xfId="37292" xr:uid="{99B1BEE3-8FA2-468E-B860-72058971C4A1}"/>
    <cellStyle name="Calcul 2 15 4" xfId="32529" xr:uid="{D9F0829F-47F8-45E1-B0A5-20D73200EB33}"/>
    <cellStyle name="Calcul 2 16" xfId="24037" xr:uid="{5EDC8123-6898-4F31-BC85-17B2D77967C6}"/>
    <cellStyle name="Calcul 2 16 2" xfId="26651" xr:uid="{CA0FD84B-F4D3-47C6-BC69-1AFE0422EBBB}"/>
    <cellStyle name="Calcul 2 16 2 2" xfId="33491" xr:uid="{2A1EA2F2-DC36-4CFE-AF3B-D8D8DE210897}"/>
    <cellStyle name="Calcul 2 16 3" xfId="28727" xr:uid="{99D46A69-061A-4FDC-AD7D-9430E495F246}"/>
    <cellStyle name="Calcul 2 16 3 2" xfId="35572" xr:uid="{CAC2C432-076F-4414-863B-D75E347B7ACB}"/>
    <cellStyle name="Calcul 2 16 4" xfId="30809" xr:uid="{88B063F0-4085-490F-8D11-DCA9046432B3}"/>
    <cellStyle name="Calcul 2 17" xfId="23143" xr:uid="{9FD39EE1-CAD7-4AB4-8FF7-68407B8B01FD}"/>
    <cellStyle name="Calcul 2 18" xfId="17418" xr:uid="{C0BDD532-163F-48CE-852B-9046EEC8DCCF}"/>
    <cellStyle name="Calcul 2 19" xfId="41802" xr:uid="{510A7001-0FA3-415B-B932-88E7B43C5136}"/>
    <cellStyle name="Calcul 2 2" xfId="17671" xr:uid="{B71EE870-F9BE-41AA-B8E3-EF1DABA84F7F}"/>
    <cellStyle name="Calcul 2 2 10" xfId="25169" xr:uid="{D2F143B2-92F7-4695-ACC0-317A732C43C0}"/>
    <cellStyle name="Calcul 2 2 10 2" xfId="27841" xr:uid="{B4684500-652E-4FA6-883A-75CBA16AF937}"/>
    <cellStyle name="Calcul 2 2 10 2 2" xfId="34686" xr:uid="{6F4E4C86-C666-4B9E-87F0-E039C0167ACA}"/>
    <cellStyle name="Calcul 2 2 10 3" xfId="29922" xr:uid="{0D815B31-10A1-4471-9BFF-ECE7EA80A884}"/>
    <cellStyle name="Calcul 2 2 10 3 2" xfId="36767" xr:uid="{FAB86E0F-3586-41B6-BFCA-736BA860DE88}"/>
    <cellStyle name="Calcul 2 2 10 4" xfId="32004" xr:uid="{77E02DB3-A210-415B-93F7-54E4D20BCF06}"/>
    <cellStyle name="Calcul 2 2 11" xfId="25472" xr:uid="{8018A483-B4CD-47BF-9E7D-3CB2B73481AE}"/>
    <cellStyle name="Calcul 2 2 11 2" xfId="28139" xr:uid="{2CE1CD9B-904E-4DDE-8328-E67D428F7BBE}"/>
    <cellStyle name="Calcul 2 2 11 2 2" xfId="34984" xr:uid="{1C851F33-E598-492E-8FFD-40F0395CF37B}"/>
    <cellStyle name="Calcul 2 2 11 3" xfId="30220" xr:uid="{1AFC6BCF-5CB9-48E8-9E28-29471DA8BD42}"/>
    <cellStyle name="Calcul 2 2 11 3 2" xfId="37065" xr:uid="{7FFD5329-C8A4-4F34-8061-00D859D7C40E}"/>
    <cellStyle name="Calcul 2 2 11 4" xfId="32302" xr:uid="{C92ECAAE-4DA2-4F79-8C42-DF765141886C}"/>
    <cellStyle name="Calcul 2 2 12" xfId="24895" xr:uid="{5E1A1F03-E88E-44E5-88CB-0F1F1092E6A6}"/>
    <cellStyle name="Calcul 2 2 12 2" xfId="27563" xr:uid="{381DF814-6086-4850-B957-BF76FD9F9379}"/>
    <cellStyle name="Calcul 2 2 12 2 2" xfId="34407" xr:uid="{A5777ADB-6083-451F-9D8E-9CB10A8B58FB}"/>
    <cellStyle name="Calcul 2 2 12 3" xfId="29643" xr:uid="{AAA69DE5-8EAF-4AE9-9D91-1AA25DB99AFD}"/>
    <cellStyle name="Calcul 2 2 12 3 2" xfId="36488" xr:uid="{CDDBF787-FB0C-47E2-BD6D-C8BE83A4498C}"/>
    <cellStyle name="Calcul 2 2 12 4" xfId="31725" xr:uid="{00D9C196-219A-46B5-9826-EF1777EF7F77}"/>
    <cellStyle name="Calcul 2 2 13" xfId="25079" xr:uid="{4A7F6180-06C4-4046-8339-637DBF31B36C}"/>
    <cellStyle name="Calcul 2 2 13 2" xfId="27751" xr:uid="{D3267236-E587-44D4-9FED-439E036F30CF}"/>
    <cellStyle name="Calcul 2 2 13 2 2" xfId="34596" xr:uid="{EA9E0916-1F50-4189-9302-381B0222F852}"/>
    <cellStyle name="Calcul 2 2 13 3" xfId="29832" xr:uid="{1065BAA8-BC8F-4EE8-811A-BCD705578751}"/>
    <cellStyle name="Calcul 2 2 13 3 2" xfId="36677" xr:uid="{7BEC8495-9EC4-4536-B022-DE3F7776CF00}"/>
    <cellStyle name="Calcul 2 2 13 4" xfId="31914" xr:uid="{8DC7435C-80AB-4608-836D-BD679F5B1FF9}"/>
    <cellStyle name="Calcul 2 2 14" xfId="25897" xr:uid="{89414AB4-5E6E-42B2-83E6-225BE6228972}"/>
    <cellStyle name="Calcul 2 2 14 2" xfId="28563" xr:uid="{02B4B894-C87A-48D8-9EF2-3B2EDA82CD99}"/>
    <cellStyle name="Calcul 2 2 14 2 2" xfId="35408" xr:uid="{5057476D-2EE1-41C4-B3F6-92D667BE2924}"/>
    <cellStyle name="Calcul 2 2 14 3" xfId="30644" xr:uid="{70928746-40A0-4B97-A60E-B6B6A3929B79}"/>
    <cellStyle name="Calcul 2 2 14 3 2" xfId="37489" xr:uid="{048970C2-AF50-4EF0-8874-8D808D1749E2}"/>
    <cellStyle name="Calcul 2 2 14 4" xfId="32726" xr:uid="{ED6A9ECC-A59C-43DC-B1CD-70601E2BCC56}"/>
    <cellStyle name="Calcul 2 2 15" xfId="24113" xr:uid="{C8FD5C57-E9EE-4F9F-A0A1-EC317C7F7854}"/>
    <cellStyle name="Calcul 2 2 15 2" xfId="26725" xr:uid="{8665741A-5459-4E66-9BB7-A129AAF1F220}"/>
    <cellStyle name="Calcul 2 2 15 2 2" xfId="33565" xr:uid="{10CA2E94-F9AA-4246-BDFD-872E27EE2FB4}"/>
    <cellStyle name="Calcul 2 2 15 3" xfId="28801" xr:uid="{DCC96CFA-8BD8-4A95-894F-B71F53BFBC05}"/>
    <cellStyle name="Calcul 2 2 15 3 2" xfId="35646" xr:uid="{CD53F159-971C-480E-A022-72145E3A4D5F}"/>
    <cellStyle name="Calcul 2 2 15 4" xfId="30883" xr:uid="{A85CF46A-D8FA-4BCA-9D32-0CE979B82CC1}"/>
    <cellStyle name="Calcul 2 2 16" xfId="23079" xr:uid="{21BDA200-A8E8-457E-BED4-56E9F9E1126F}"/>
    <cellStyle name="Calcul 2 2 2" xfId="18544" xr:uid="{6625B804-8791-4602-A7ED-B94D17B89D88}"/>
    <cellStyle name="Calcul 2 2 2 10" xfId="21330" xr:uid="{96919914-7DC6-45D1-A302-EF8F0E42A9C2}"/>
    <cellStyle name="Calcul 2 2 2 11" xfId="22428" xr:uid="{49219744-7FC5-4559-BB75-F471D48BF522}"/>
    <cellStyle name="Calcul 2 2 2 12" xfId="22698" xr:uid="{DEEF1FCE-5A10-49E6-90F4-9F74723841A3}"/>
    <cellStyle name="Calcul 2 2 2 13" xfId="22702" xr:uid="{12249A8A-20D5-4940-B6E2-377D3F4878A5}"/>
    <cellStyle name="Calcul 2 2 2 14" xfId="18951" xr:uid="{F65802C6-2990-424D-A4E3-9C4223FB538A}"/>
    <cellStyle name="Calcul 2 2 2 15" xfId="20308" xr:uid="{0676C2FD-1E9B-4BB2-BC06-D73870D954E7}"/>
    <cellStyle name="Calcul 2 2 2 16" xfId="31187" xr:uid="{A2240EE2-76A5-4332-A83F-F149D0EAAC91}"/>
    <cellStyle name="Calcul 2 2 2 2" xfId="19880" xr:uid="{85D71EDD-7430-4F84-8228-6560BFCF8218}"/>
    <cellStyle name="Calcul 2 2 2 2 2" xfId="27029" xr:uid="{53EE7744-99F0-4C7B-AC0E-E8132DE75033}"/>
    <cellStyle name="Calcul 2 2 2 2 3" xfId="33869" xr:uid="{CA39765D-4941-49D1-8021-F37B97AF7358}"/>
    <cellStyle name="Calcul 2 2 2 3" xfId="21047" xr:uid="{9F6D97C2-1F13-4C99-B1A3-7BE210B21169}"/>
    <cellStyle name="Calcul 2 2 2 3 2" xfId="29105" xr:uid="{A36B29C0-B02C-4FF4-BA2E-78249E6CDC49}"/>
    <cellStyle name="Calcul 2 2 2 3 3" xfId="35950" xr:uid="{74EF9EBF-A467-456C-BCB1-FB08569D492C}"/>
    <cellStyle name="Calcul 2 2 2 4" xfId="21481" xr:uid="{64727739-EA17-4233-B953-B8911847B179}"/>
    <cellStyle name="Calcul 2 2 2 5" xfId="22111" xr:uid="{814F8D9F-5A2F-4E63-872C-E55F1EB72485}"/>
    <cellStyle name="Calcul 2 2 2 6" xfId="20390" xr:uid="{9EE13A6B-31F7-4CB7-9E3E-A57EC37DAEBB}"/>
    <cellStyle name="Calcul 2 2 2 7" xfId="19123" xr:uid="{525CCB83-8522-4C12-8A6D-41AA19E360C6}"/>
    <cellStyle name="Calcul 2 2 2 8" xfId="21204" xr:uid="{1077101C-0FD9-4910-A9EA-4664E57192C6}"/>
    <cellStyle name="Calcul 2 2 2 9" xfId="21054" xr:uid="{F7DA67D2-510A-425A-A6C1-D54FF79ED879}"/>
    <cellStyle name="Calcul 2 2 3" xfId="24682" xr:uid="{69C595F0-149A-4624-BC84-D96B080A9279}"/>
    <cellStyle name="Calcul 2 2 3 2" xfId="27297" xr:uid="{0BDE8100-64FC-4DE1-BC0D-343A73BA8C8A}"/>
    <cellStyle name="Calcul 2 2 3 2 2" xfId="34141" xr:uid="{63711BB7-A8A0-404E-95D8-EE0105AC11D4}"/>
    <cellStyle name="Calcul 2 2 3 3" xfId="29377" xr:uid="{77C0C967-C1BB-4008-81EB-2B79C0A755A0}"/>
    <cellStyle name="Calcul 2 2 3 3 2" xfId="36222" xr:uid="{2C4CA396-561B-42CA-90DD-FBAD62C9DC3C}"/>
    <cellStyle name="Calcul 2 2 3 4" xfId="31459" xr:uid="{22AFA867-7662-4E79-B63A-3909D6FFC676}"/>
    <cellStyle name="Calcul 2 2 4" xfId="24819" xr:uid="{0E9B12CF-C7A2-4875-A27A-18B471B17405}"/>
    <cellStyle name="Calcul 2 2 4 2" xfId="27478" xr:uid="{20D6860B-79BD-44B5-906E-893F85D9D8C3}"/>
    <cellStyle name="Calcul 2 2 4 2 2" xfId="34322" xr:uid="{1F0EBE9A-584D-4ABF-ABD7-B66EF98B9A16}"/>
    <cellStyle name="Calcul 2 2 4 3" xfId="29558" xr:uid="{E8A55E9F-EEB8-4F9A-AFD5-A5CCE7390A9D}"/>
    <cellStyle name="Calcul 2 2 4 3 2" xfId="36403" xr:uid="{89F3CBAF-918A-46D2-A58B-DF47BA5EA214}"/>
    <cellStyle name="Calcul 2 2 4 4" xfId="31640" xr:uid="{DFB574D2-193C-4087-8624-73D1547C5377}"/>
    <cellStyle name="Calcul 2 2 5" xfId="23856" xr:uid="{E963E773-E584-42ED-82CA-97073989B3FD}"/>
    <cellStyle name="Calcul 2 2 5 2" xfId="26475" xr:uid="{5A684A23-F456-4E02-8544-EB4EA48D969A}"/>
    <cellStyle name="Calcul 2 2 5 2 2" xfId="33315" xr:uid="{0A082DCC-8E6A-429E-B03E-9F9085ACD47F}"/>
    <cellStyle name="Calcul 2 2 5 3" xfId="26208" xr:uid="{00E009CE-AC5F-4557-87C6-B834B3A26D41}"/>
    <cellStyle name="Calcul 2 2 5 3 2" xfId="33036" xr:uid="{653E228B-B329-456A-91BC-B6E23EFF7D2B}"/>
    <cellStyle name="Calcul 2 2 5 4" xfId="23330" xr:uid="{5A503675-8A27-4B36-818B-654299078BA4}"/>
    <cellStyle name="Calcul 2 2 6" xfId="24348" xr:uid="{3664B9F7-BD23-4A13-926A-5942D0B1425F}"/>
    <cellStyle name="Calcul 2 2 6 2" xfId="26954" xr:uid="{F1B9E59F-B9ED-477D-80F1-E2D1144A51B0}"/>
    <cellStyle name="Calcul 2 2 6 2 2" xfId="33794" xr:uid="{EB7D7110-7D5C-49D4-9D96-C9C42E43F273}"/>
    <cellStyle name="Calcul 2 2 6 3" xfId="29030" xr:uid="{76701969-F366-49EF-B29C-BAA3545FC23E}"/>
    <cellStyle name="Calcul 2 2 6 3 2" xfId="35875" xr:uid="{A66D791B-1353-45B2-80BF-18B1C5AA904D}"/>
    <cellStyle name="Calcul 2 2 6 4" xfId="31112" xr:uid="{6CAF95BF-9A56-4497-AB8F-F824D47BDA57}"/>
    <cellStyle name="Calcul 2 2 7" xfId="25012" xr:uid="{BB839C6B-86F3-48CA-9C58-298FC808F58B}"/>
    <cellStyle name="Calcul 2 2 7 2" xfId="27684" xr:uid="{E356EEE8-D664-48ED-85C0-97A9F9F377EB}"/>
    <cellStyle name="Calcul 2 2 7 2 2" xfId="34529" xr:uid="{977AC73E-60C7-47C9-8A08-AE9EC9DA89FC}"/>
    <cellStyle name="Calcul 2 2 7 3" xfId="29765" xr:uid="{BAB0E58F-A1C3-441F-B205-4CE87A4789F0}"/>
    <cellStyle name="Calcul 2 2 7 3 2" xfId="36610" xr:uid="{ACBE8C0D-5B3B-47BE-9426-CDBC379AFEA6}"/>
    <cellStyle name="Calcul 2 2 7 4" xfId="31847" xr:uid="{0A0A3032-29A9-4E3D-955C-C83553A7F7D1}"/>
    <cellStyle name="Calcul 2 2 8" xfId="23893" xr:uid="{55DCC1C2-02D4-4A1F-BD61-A2E271B9E240}"/>
    <cellStyle name="Calcul 2 2 8 2" xfId="26511" xr:uid="{D851C66D-8F61-4785-BA83-A402A51C2DDB}"/>
    <cellStyle name="Calcul 2 2 8 2 2" xfId="33351" xr:uid="{8DB3BD1F-D988-4BE0-9CDF-1F5623E48C33}"/>
    <cellStyle name="Calcul 2 2 8 3" xfId="26173" xr:uid="{99C59E36-DC99-4546-A650-C9004941022F}"/>
    <cellStyle name="Calcul 2 2 8 3 2" xfId="33001" xr:uid="{D21F111F-AACB-414A-8D1E-273E2693D4B1}"/>
    <cellStyle name="Calcul 2 2 8 4" xfId="23295" xr:uid="{DFCA2C86-B167-457D-9C01-7D52AE978B7A}"/>
    <cellStyle name="Calcul 2 2 9" xfId="25538" xr:uid="{C01466A9-D2DE-4C45-B148-8B2417F9C355}"/>
    <cellStyle name="Calcul 2 2 9 2" xfId="28205" xr:uid="{AFBBB160-421B-4F8D-8DAD-8C27737F7798}"/>
    <cellStyle name="Calcul 2 2 9 2 2" xfId="35050" xr:uid="{2CC3E68F-DBB5-45AF-BD44-503BF626F88C}"/>
    <cellStyle name="Calcul 2 2 9 3" xfId="30286" xr:uid="{BCDAB723-1281-4FBE-BBCF-24A066596EF4}"/>
    <cellStyle name="Calcul 2 2 9 3 2" xfId="37131" xr:uid="{FCF2CFC8-92BA-4A77-9E3E-8127A49F6FDA}"/>
    <cellStyle name="Calcul 2 2 9 4" xfId="32368" xr:uid="{DA6769F3-5B05-41B0-B8DA-E639A5E3D471}"/>
    <cellStyle name="Calcul 2 20" xfId="37698" xr:uid="{0FFD4F89-3476-4F54-848F-7DB5C774D269}"/>
    <cellStyle name="Calcul 2 21" xfId="15234" xr:uid="{775477D4-EEB0-4FD6-B9F1-FF337C53AF8C}"/>
    <cellStyle name="Calcul 2 22" xfId="48750" xr:uid="{C86A51E7-5F3E-45B8-91C8-C2AC57F36790}"/>
    <cellStyle name="Calcul 2 23" xfId="47331" xr:uid="{A70AFC37-624D-4170-8FFA-6A7C430C8D74}"/>
    <cellStyle name="Calcul 2 3" xfId="18808" xr:uid="{40E9F758-CF92-4C5E-AF0E-16A6523B2778}"/>
    <cellStyle name="Calcul 2 3 10" xfId="22048" xr:uid="{44F0763C-67DB-46B6-8081-C51B0E620B45}"/>
    <cellStyle name="Calcul 2 3 11" xfId="21952" xr:uid="{52E416AB-77CA-4ED1-ADB3-1632F013D588}"/>
    <cellStyle name="Calcul 2 3 12" xfId="22842" xr:uid="{E0F54CC7-BEE2-4B58-B8AA-72E8365C166E}"/>
    <cellStyle name="Calcul 2 3 13" xfId="19047" xr:uid="{F4DA5EDA-D2CC-4EC2-A42A-EC9291FDCDF8}"/>
    <cellStyle name="Calcul 2 3 14" xfId="22976" xr:uid="{D9534A77-A1E8-4F40-89EF-D42B6EB60E11}"/>
    <cellStyle name="Calcul 2 3 15" xfId="20962" xr:uid="{25CAA043-66B2-441C-8058-F5B0CCD008DA}"/>
    <cellStyle name="Calcul 2 3 16" xfId="31138" xr:uid="{6C861B89-D843-423E-A77D-FB2D4493022D}"/>
    <cellStyle name="Calcul 2 3 2" xfId="21612" xr:uid="{B98780A2-4DE9-4AEA-A6EA-1328DFEE2EBB}"/>
    <cellStyle name="Calcul 2 3 2 2" xfId="26980" xr:uid="{1E16872F-5F81-4F6D-9042-2172EA735760}"/>
    <cellStyle name="Calcul 2 3 2 3" xfId="33820" xr:uid="{50A356FE-5680-4532-9A9B-ED1C3501FA98}"/>
    <cellStyle name="Calcul 2 3 3" xfId="20505" xr:uid="{516A7804-7B49-4AB7-9699-FEC8F15694C5}"/>
    <cellStyle name="Calcul 2 3 3 2" xfId="29056" xr:uid="{B5F226D7-8C0B-425B-9D62-6865BB42D0B0}"/>
    <cellStyle name="Calcul 2 3 3 3" xfId="35901" xr:uid="{6733DBD4-E761-44BF-B077-EBBDADB84B18}"/>
    <cellStyle name="Calcul 2 3 4" xfId="21002" xr:uid="{81AC1495-FDCF-4068-93F3-4CAAE77D3670}"/>
    <cellStyle name="Calcul 2 3 5" xfId="20072" xr:uid="{0D4620FF-14F6-4BF8-8CAD-D53EA4E2ADEB}"/>
    <cellStyle name="Calcul 2 3 6" xfId="20753" xr:uid="{FC6C850B-58EB-4A3D-B9FF-61797010905E}"/>
    <cellStyle name="Calcul 2 3 7" xfId="19383" xr:uid="{4F6BD13C-6B75-464D-8153-63A3CDEAB957}"/>
    <cellStyle name="Calcul 2 3 8" xfId="19021" xr:uid="{35153231-D0B2-4AE0-9E7B-EC14A1C577CE}"/>
    <cellStyle name="Calcul 2 3 9" xfId="22598" xr:uid="{9B89AABD-5F56-44FD-972B-552085F43BC9}"/>
    <cellStyle name="Calcul 2 4" xfId="24468" xr:uid="{B85188F7-D1B3-4A2D-83B5-7445A205EA71}"/>
    <cellStyle name="Calcul 2 4 2" xfId="27084" xr:uid="{78B6EFFA-1EA4-4B22-B834-E8A082CA9B55}"/>
    <cellStyle name="Calcul 2 4 2 2" xfId="33924" xr:uid="{FB6F787D-166F-48DB-8CAF-9D1CF9157E2F}"/>
    <cellStyle name="Calcul 2 4 3" xfId="29160" xr:uid="{CB35FE76-9EA6-40B7-BF94-B06FC23B2D76}"/>
    <cellStyle name="Calcul 2 4 3 2" xfId="36005" xr:uid="{06056E91-84EC-4A4D-8EA7-7650227F3BEB}"/>
    <cellStyle name="Calcul 2 4 4" xfId="31242" xr:uid="{9B4D11A5-0AEF-45BC-B5FC-21A4408411DD}"/>
    <cellStyle name="Calcul 2 5" xfId="24710" xr:uid="{A97F8E37-3055-4A37-A739-D20F9B06C75E}"/>
    <cellStyle name="Calcul 2 5 2" xfId="27358" xr:uid="{C2E26DDC-0E9C-4E63-A722-04FB05549113}"/>
    <cellStyle name="Calcul 2 5 2 2" xfId="34202" xr:uid="{AFC4D4A7-9EBE-4196-B802-E3E4212715FB}"/>
    <cellStyle name="Calcul 2 5 3" xfId="29438" xr:uid="{91FDBA98-C2D4-43B1-A6F3-42F656523741}"/>
    <cellStyle name="Calcul 2 5 3 2" xfId="36283" xr:uid="{434D9832-AD19-47C3-99D8-E19AB89A11CC}"/>
    <cellStyle name="Calcul 2 5 4" xfId="31520" xr:uid="{8EC738EA-AA7F-4D8C-97AA-CB8C0E1FF42E}"/>
    <cellStyle name="Calcul 2 6" xfId="24216" xr:uid="{E1A6E1E1-D411-46BA-962E-219329ACA614}"/>
    <cellStyle name="Calcul 2 6 2" xfId="26826" xr:uid="{5A14835C-1CB7-4436-ADCF-74682B3254E4}"/>
    <cellStyle name="Calcul 2 6 2 2" xfId="33666" xr:uid="{56669D6F-3F93-45E5-80DE-C5A3E2825AAB}"/>
    <cellStyle name="Calcul 2 6 3" xfId="28902" xr:uid="{663CC7BD-E798-4BC7-9FB5-3D045841AC9D}"/>
    <cellStyle name="Calcul 2 6 3 2" xfId="35747" xr:uid="{40BC4214-FE20-4300-BBE8-2BDE2A2733FA}"/>
    <cellStyle name="Calcul 2 6 4" xfId="30984" xr:uid="{DEF08CFC-7E9E-4079-80E8-361ECC4E8CFC}"/>
    <cellStyle name="Calcul 2 7" xfId="23855" xr:uid="{47261599-C2AF-4844-A2B0-41252309EDA6}"/>
    <cellStyle name="Calcul 2 7 2" xfId="26474" xr:uid="{1EDCBB71-8DFF-48A8-839E-5B237FDB6CAD}"/>
    <cellStyle name="Calcul 2 7 2 2" xfId="33314" xr:uid="{20A94B3F-B52C-441B-A9EA-D106F8AB5897}"/>
    <cellStyle name="Calcul 2 7 3" xfId="26209" xr:uid="{6D465024-A730-4AE7-8A17-DC70A243ACB2}"/>
    <cellStyle name="Calcul 2 7 3 2" xfId="33037" xr:uid="{1573D4A4-0093-42EB-9480-976C3EA8C236}"/>
    <cellStyle name="Calcul 2 7 4" xfId="23331" xr:uid="{50C00C95-9B0E-442D-A6DD-29F9FA388FBF}"/>
    <cellStyle name="Calcul 2 8" xfId="24840" xr:uid="{5101B07D-2BE7-4400-A35E-46698FCFB205}"/>
    <cellStyle name="Calcul 2 8 2" xfId="27500" xr:uid="{48450091-25C4-46AD-9A97-1213126CB75B}"/>
    <cellStyle name="Calcul 2 8 2 2" xfId="34344" xr:uid="{B8FD8031-403F-488C-AF46-7A17B57F4605}"/>
    <cellStyle name="Calcul 2 8 3" xfId="29580" xr:uid="{A31FD74B-9D7E-44FD-97B8-698A2C49A391}"/>
    <cellStyle name="Calcul 2 8 3 2" xfId="36425" xr:uid="{9D45FD35-FBDD-4BFC-99A0-F9D7B94CCE53}"/>
    <cellStyle name="Calcul 2 8 4" xfId="31662" xr:uid="{6786BEB2-9E4D-4361-9179-A60BD190E7A4}"/>
    <cellStyle name="Calcul 2 9" xfId="25070" xr:uid="{BC38C4CC-9BF6-4AE0-AE75-87E1AB10F9B7}"/>
    <cellStyle name="Calcul 2 9 2" xfId="27742" xr:uid="{C4D96E28-860D-4FCA-AE62-B2E3DA3E94D3}"/>
    <cellStyle name="Calcul 2 9 2 2" xfId="34587" xr:uid="{0C7FF7AE-48A6-485C-9EEA-177704E8F4C6}"/>
    <cellStyle name="Calcul 2 9 3" xfId="29823" xr:uid="{8FF956CD-6302-4031-9840-C20AF75CDC6A}"/>
    <cellStyle name="Calcul 2 9 3 2" xfId="36668" xr:uid="{47D29E7E-73A9-4D04-B4F9-DF5655437A15}"/>
    <cellStyle name="Calcul 2 9 4" xfId="31905" xr:uid="{B05154F1-8688-4C16-A2DF-34538EBB9A3D}"/>
    <cellStyle name="Calcul 20" xfId="15616" xr:uid="{703341FB-A4C1-4CC4-B60C-1D07CA5FA1B5}"/>
    <cellStyle name="Calcul 21" xfId="46993" xr:uid="{0DC3F0AD-D31C-4DB3-9888-10FF1158649C}"/>
    <cellStyle name="Calcul 22" xfId="40819" xr:uid="{9DDD85DE-3BDD-4B72-9462-F4B1A0800461}"/>
    <cellStyle name="Calcul 23" xfId="49286" xr:uid="{02D9A772-8F28-4B68-9F8F-E7B9FFEF8709}"/>
    <cellStyle name="Calcul 24" xfId="49573" xr:uid="{2ED12D96-299C-4762-89A3-F44E8539D467}"/>
    <cellStyle name="Calcul 3" xfId="17526" xr:uid="{668B22B2-D82E-4198-B1B9-D15BE88C3AC3}"/>
    <cellStyle name="Calcul 3 10" xfId="24130" xr:uid="{E4B98608-F142-4BB7-AFAC-0039E0A80227}"/>
    <cellStyle name="Calcul 3 10 2" xfId="26742" xr:uid="{AFD12A6E-B3E0-4DAD-82E9-698E31267489}"/>
    <cellStyle name="Calcul 3 10 2 2" xfId="33582" xr:uid="{53C2E4E2-3A96-4C64-9F03-5F06E0DADA9A}"/>
    <cellStyle name="Calcul 3 10 3" xfId="28818" xr:uid="{8441545D-7471-41FC-81D4-7B3357CBF399}"/>
    <cellStyle name="Calcul 3 10 3 2" xfId="35663" xr:uid="{5F6CB74F-F5FF-48B3-A598-61E9629B8266}"/>
    <cellStyle name="Calcul 3 10 4" xfId="30900" xr:uid="{A636D6C0-628D-4850-9289-A1EE7A08A3DA}"/>
    <cellStyle name="Calcul 3 11" xfId="25147" xr:uid="{D51F584E-5424-4C08-A717-50ADA56E3104}"/>
    <cellStyle name="Calcul 3 11 2" xfId="27819" xr:uid="{0EB6A5EC-7197-4818-9DDA-5923207B7755}"/>
    <cellStyle name="Calcul 3 11 2 2" xfId="34664" xr:uid="{FE9995B1-530B-4D9E-9C2F-F3F719371A78}"/>
    <cellStyle name="Calcul 3 11 3" xfId="29900" xr:uid="{17FDF398-F89C-4D02-BC25-E05DF5191A11}"/>
    <cellStyle name="Calcul 3 11 3 2" xfId="36745" xr:uid="{F8F138EE-C297-4C3A-8AFF-3EDDED3DD449}"/>
    <cellStyle name="Calcul 3 11 4" xfId="31982" xr:uid="{5DDAF2DB-1DC7-4EDE-967A-6C0FF9C866C3}"/>
    <cellStyle name="Calcul 3 12" xfId="25506" xr:uid="{251197E6-D981-4998-BD8D-E55540E2387D}"/>
    <cellStyle name="Calcul 3 12 2" xfId="28173" xr:uid="{808ADDBA-1BF3-4BDF-9302-2B366620156E}"/>
    <cellStyle name="Calcul 3 12 2 2" xfId="35018" xr:uid="{A3ABDEDE-7657-44CB-9707-C05592735BDA}"/>
    <cellStyle name="Calcul 3 12 3" xfId="30254" xr:uid="{2AB73AFC-506E-404D-991F-540AFF310283}"/>
    <cellStyle name="Calcul 3 12 3 2" xfId="37099" xr:uid="{4C2F43C7-EEA2-480F-B9A7-D2F80A69C32B}"/>
    <cellStyle name="Calcul 3 12 4" xfId="32336" xr:uid="{847D7BCB-C03A-4A0B-9FF6-AA746C4727C2}"/>
    <cellStyle name="Calcul 3 13" xfId="24689" xr:uid="{87052BF1-0DA1-4D46-9DF3-AF447747518F}"/>
    <cellStyle name="Calcul 3 13 2" xfId="27303" xr:uid="{A0CDCF79-69A5-4937-BF1B-B0B9CC9A6035}"/>
    <cellStyle name="Calcul 3 13 2 2" xfId="34147" xr:uid="{ABE36162-2F4B-4010-B898-44AE9CF679DC}"/>
    <cellStyle name="Calcul 3 13 3" xfId="29383" xr:uid="{9F10036E-8F89-451A-9129-232CF56BBE60}"/>
    <cellStyle name="Calcul 3 13 3 2" xfId="36228" xr:uid="{0B8BB0A5-C7AC-4B45-B155-48DBF68DAE8E}"/>
    <cellStyle name="Calcul 3 13 4" xfId="31465" xr:uid="{FA4093B4-15C0-4B09-BDC7-ECF9494CB11F}"/>
    <cellStyle name="Calcul 3 14" xfId="25557" xr:uid="{222F51CC-3F85-4407-99AF-A2A344878AEA}"/>
    <cellStyle name="Calcul 3 14 2" xfId="28224" xr:uid="{9E19D061-01D5-4CC9-BC2A-E4F20445A27B}"/>
    <cellStyle name="Calcul 3 14 2 2" xfId="35069" xr:uid="{3C738B1E-73DA-4C49-B19A-CE9F3A318DB0}"/>
    <cellStyle name="Calcul 3 14 3" xfId="30305" xr:uid="{3E00BC62-861F-4AA5-96B7-A4EDB65E8C77}"/>
    <cellStyle name="Calcul 3 14 3 2" xfId="37150" xr:uid="{D5549931-EEB9-44F8-AC6A-16AB4020D618}"/>
    <cellStyle name="Calcul 3 14 4" xfId="32387" xr:uid="{38E67100-76FD-4010-A4A0-89162B81549E}"/>
    <cellStyle name="Calcul 3 15" xfId="25543" xr:uid="{7979E2F4-683E-44EF-A857-66FD7E93585E}"/>
    <cellStyle name="Calcul 3 15 2" xfId="28210" xr:uid="{185A7C9D-F12B-4FC7-B99B-F269A8C1D885}"/>
    <cellStyle name="Calcul 3 15 2 2" xfId="35055" xr:uid="{2A70F38C-3099-4643-8A13-9F7C8DB5C0B1}"/>
    <cellStyle name="Calcul 3 15 3" xfId="30291" xr:uid="{FD6BEC3E-1833-4E6E-B886-586295930E61}"/>
    <cellStyle name="Calcul 3 15 3 2" xfId="37136" xr:uid="{09278124-C552-43BF-82E1-2473751975DE}"/>
    <cellStyle name="Calcul 3 15 4" xfId="32373" xr:uid="{62662E33-2B29-4B83-A94A-B4B0855F1857}"/>
    <cellStyle name="Calcul 3 16" xfId="25714" xr:uid="{48120950-FD10-4290-9E4B-F517EFD9C68F}"/>
    <cellStyle name="Calcul 3 16 2" xfId="28381" xr:uid="{6BE8133A-2B72-428A-B859-CCE8DEB47AB8}"/>
    <cellStyle name="Calcul 3 16 2 2" xfId="35226" xr:uid="{2A2E5BB7-3FFE-48F8-BD3B-295B78EDABE6}"/>
    <cellStyle name="Calcul 3 16 3" xfId="30462" xr:uid="{A383EBC2-BF97-411C-81CF-A0190FD7FF39}"/>
    <cellStyle name="Calcul 3 16 3 2" xfId="37307" xr:uid="{4814374C-5BB6-47AA-BB7A-250297E3C8B6}"/>
    <cellStyle name="Calcul 3 16 4" xfId="32544" xr:uid="{2851F77F-EF44-4309-8CCC-A98151E5F815}"/>
    <cellStyle name="Calcul 3 17" xfId="25933" xr:uid="{DC72A2F3-8B06-4368-A913-5777EC8D0F37}"/>
    <cellStyle name="Calcul 3 17 2" xfId="28599" xr:uid="{75475043-D409-441E-B3F4-A5C94DFDBDE7}"/>
    <cellStyle name="Calcul 3 17 2 2" xfId="35444" xr:uid="{AB9769A2-401B-4C26-9AAA-C39C8AD1DA04}"/>
    <cellStyle name="Calcul 3 17 3" xfId="30680" xr:uid="{E000D4D6-275F-499D-8E09-15F343F52C09}"/>
    <cellStyle name="Calcul 3 17 3 2" xfId="37525" xr:uid="{25E3B5FA-813F-4506-96C1-E6D788070995}"/>
    <cellStyle name="Calcul 3 17 4" xfId="32762" xr:uid="{77C76A0B-9A4A-40EB-A1C2-58B6F8107B19}"/>
    <cellStyle name="Calcul 3 18" xfId="23099" xr:uid="{85D5E019-40CF-423F-87BF-88A4F47A80C3}"/>
    <cellStyle name="Calcul 3 2" xfId="17564" xr:uid="{9F658C46-F6F7-45DA-8355-765AEEC52F6C}"/>
    <cellStyle name="Calcul 3 2 10" xfId="25541" xr:uid="{DBD6B24F-7FF8-43EA-88A1-6F05EB9E827A}"/>
    <cellStyle name="Calcul 3 2 10 2" xfId="28208" xr:uid="{24F60FD4-3944-4CCF-A0A3-7E5EA1AF97D6}"/>
    <cellStyle name="Calcul 3 2 10 2 2" xfId="35053" xr:uid="{59AF8E33-1703-4316-8733-9AA995EAC386}"/>
    <cellStyle name="Calcul 3 2 10 3" xfId="30289" xr:uid="{1B52E29A-A223-4BB4-9A24-F72744B373E6}"/>
    <cellStyle name="Calcul 3 2 10 3 2" xfId="37134" xr:uid="{841A2A99-D435-4DAC-8B0C-7F70AA0A16FA}"/>
    <cellStyle name="Calcul 3 2 10 4" xfId="32371" xr:uid="{0708D659-D59E-468B-B055-C9B147F1A79B}"/>
    <cellStyle name="Calcul 3 2 11" xfId="24977" xr:uid="{7707BF2D-FE6A-468C-B0D3-DA3BB7FC9CC1}"/>
    <cellStyle name="Calcul 3 2 11 2" xfId="27646" xr:uid="{E6ECD33E-C72B-49F9-A50A-724CB370B158}"/>
    <cellStyle name="Calcul 3 2 11 2 2" xfId="34491" xr:uid="{34259EEB-941A-45B9-8EB7-0BD32C083CB9}"/>
    <cellStyle name="Calcul 3 2 11 3" xfId="29727" xr:uid="{1F78EAAF-1E38-4D78-A2E9-34F366428067}"/>
    <cellStyle name="Calcul 3 2 11 3 2" xfId="36572" xr:uid="{EABF5CFD-29CF-4815-AA71-03D4DCB98428}"/>
    <cellStyle name="Calcul 3 2 11 4" xfId="31809" xr:uid="{BBECA078-F039-4EBF-A6C0-E5F84723BD75}"/>
    <cellStyle name="Calcul 3 2 12" xfId="25446" xr:uid="{06D38929-6F8B-4C5F-A886-D316AF669A86}"/>
    <cellStyle name="Calcul 3 2 12 2" xfId="28113" xr:uid="{E34ACC8F-9186-4E7D-B020-5DE7314E6DC9}"/>
    <cellStyle name="Calcul 3 2 12 2 2" xfId="34958" xr:uid="{6DEE35E8-BAEA-4695-AC5A-6803C1BCB02C}"/>
    <cellStyle name="Calcul 3 2 12 3" xfId="30194" xr:uid="{8C510FDB-7569-4A3C-9F22-2C0F176918A6}"/>
    <cellStyle name="Calcul 3 2 12 3 2" xfId="37039" xr:uid="{8449ED4B-0F9F-4AE2-8147-FC44075969F0}"/>
    <cellStyle name="Calcul 3 2 12 4" xfId="32276" xr:uid="{FDE023FB-C67F-48E4-8EB0-5F539D4D2E31}"/>
    <cellStyle name="Calcul 3 2 13" xfId="25713" xr:uid="{818A83CD-D44B-416F-98E3-2DE6BAF68C8C}"/>
    <cellStyle name="Calcul 3 2 13 2" xfId="28380" xr:uid="{0B508608-7C84-402C-886B-AE4A0D0572C8}"/>
    <cellStyle name="Calcul 3 2 13 2 2" xfId="35225" xr:uid="{5A6C0084-4981-4B9A-ADC6-664505D57180}"/>
    <cellStyle name="Calcul 3 2 13 3" xfId="30461" xr:uid="{2D35CBEA-6BAE-44A5-9175-7E201DEA7017}"/>
    <cellStyle name="Calcul 3 2 13 3 2" xfId="37306" xr:uid="{7B5EE91C-D24D-4EA5-A33E-A443B95DFF2C}"/>
    <cellStyle name="Calcul 3 2 13 4" xfId="32543" xr:uid="{12E3232C-8FBB-410A-B2EA-A9CD7169BDAF}"/>
    <cellStyle name="Calcul 3 2 14" xfId="25562" xr:uid="{9D1240C2-BB4C-4653-875B-CADD9C8E5923}"/>
    <cellStyle name="Calcul 3 2 14 2" xfId="28229" xr:uid="{8045F53A-113F-44C8-866C-70FDFD63745A}"/>
    <cellStyle name="Calcul 3 2 14 2 2" xfId="35074" xr:uid="{3D119449-9169-43CA-98A0-CD13F71746B1}"/>
    <cellStyle name="Calcul 3 2 14 3" xfId="30310" xr:uid="{2AF9C8B8-D44C-4759-ABA3-6A2472CBCEE7}"/>
    <cellStyle name="Calcul 3 2 14 3 2" xfId="37155" xr:uid="{E0BE2FAE-C530-4866-8920-30063AF819B6}"/>
    <cellStyle name="Calcul 3 2 14 4" xfId="32392" xr:uid="{2C8E01F2-A94E-4B98-B875-0AF8F59B9F5C}"/>
    <cellStyle name="Calcul 3 2 15" xfId="25865" xr:uid="{B389687B-FC72-458F-B744-A9FD69A3B9E8}"/>
    <cellStyle name="Calcul 3 2 15 2" xfId="28531" xr:uid="{9DEE8213-FFD4-418A-AA61-BD41E3671162}"/>
    <cellStyle name="Calcul 3 2 15 2 2" xfId="35376" xr:uid="{5C3786DA-2471-4419-85CB-977A5589490F}"/>
    <cellStyle name="Calcul 3 2 15 3" xfId="30612" xr:uid="{DBC4795D-5212-4FCD-8D58-B7CA4A16634E}"/>
    <cellStyle name="Calcul 3 2 15 3 2" xfId="37457" xr:uid="{FE275038-63BB-4E12-B0E5-5E51024B544A}"/>
    <cellStyle name="Calcul 3 2 15 4" xfId="32694" xr:uid="{8EC00F91-730A-4179-AB6A-C619DEC74303}"/>
    <cellStyle name="Calcul 3 2 16" xfId="24702" xr:uid="{64B0AADC-8E7E-4A63-BE3A-4246C0A3C70F}"/>
    <cellStyle name="Calcul 3 2 16 2" xfId="27345" xr:uid="{630B797A-6CAB-4758-80AC-BD87769E4237}"/>
    <cellStyle name="Calcul 3 2 16 2 2" xfId="34189" xr:uid="{0E0E9B3A-70CA-4AC8-804D-C9F9660523B6}"/>
    <cellStyle name="Calcul 3 2 16 3" xfId="29425" xr:uid="{E9D8079A-9BA7-4736-B559-312B522E97B6}"/>
    <cellStyle name="Calcul 3 2 16 3 2" xfId="36270" xr:uid="{683856E0-37BF-449A-BF37-7073BE4C9A89}"/>
    <cellStyle name="Calcul 3 2 16 4" xfId="31507" xr:uid="{3DCA6D58-978C-48AE-9F8C-22A59E7240BB}"/>
    <cellStyle name="Calcul 3 2 17" xfId="23638" xr:uid="{FB6F3F98-4DBC-4CC4-A4CB-5E95EE384ED1}"/>
    <cellStyle name="Calcul 3 2 2" xfId="17835" xr:uid="{115AFF31-BCB5-455F-8974-1118F84CA12E}"/>
    <cellStyle name="Calcul 3 2 2 10" xfId="25659" xr:uid="{795833E8-8B95-403C-BFDA-1D456E7904B0}"/>
    <cellStyle name="Calcul 3 2 2 10 2" xfId="28326" xr:uid="{DAFDFBEB-448F-4FD7-B466-53CF1908F193}"/>
    <cellStyle name="Calcul 3 2 2 10 2 2" xfId="35171" xr:uid="{2844E335-540D-46DB-8A0E-FC7E105024FE}"/>
    <cellStyle name="Calcul 3 2 2 10 3" xfId="30407" xr:uid="{BA9D956A-E603-47A9-90CA-EB8BB6AC316E}"/>
    <cellStyle name="Calcul 3 2 2 10 3 2" xfId="37252" xr:uid="{0AFE61CE-7DBF-4069-B5A1-60C230052457}"/>
    <cellStyle name="Calcul 3 2 2 10 4" xfId="32489" xr:uid="{E392B3D6-C39D-413E-B96C-41384355C977}"/>
    <cellStyle name="Calcul 3 2 2 11" xfId="25764" xr:uid="{8A2C22EE-12AD-4B63-85CC-EA9D745A59BF}"/>
    <cellStyle name="Calcul 3 2 2 11 2" xfId="28430" xr:uid="{4A4B815B-8940-4BC9-8FD7-D4E922D167F9}"/>
    <cellStyle name="Calcul 3 2 2 11 2 2" xfId="35275" xr:uid="{045A3C89-AAD1-4125-B4F0-4D8C28122913}"/>
    <cellStyle name="Calcul 3 2 2 11 3" xfId="30511" xr:uid="{487E90FC-7F74-42E4-8676-53A0FFB32915}"/>
    <cellStyle name="Calcul 3 2 2 11 3 2" xfId="37356" xr:uid="{D5D0252E-CC00-4106-94FA-D64876B2768A}"/>
    <cellStyle name="Calcul 3 2 2 11 4" xfId="32593" xr:uid="{8685B58C-2F20-424E-8B0A-08805EEE29B8}"/>
    <cellStyle name="Calcul 3 2 2 12" xfId="25841" xr:uid="{80EE683E-4DE1-46E2-9AD0-7C4C7D02263C}"/>
    <cellStyle name="Calcul 3 2 2 12 2" xfId="28507" xr:uid="{F1211F93-9380-4B41-8365-0B7429E251C7}"/>
    <cellStyle name="Calcul 3 2 2 12 2 2" xfId="35352" xr:uid="{FE7B6E53-072F-4A38-A68E-ED0944C5720B}"/>
    <cellStyle name="Calcul 3 2 2 12 3" xfId="30588" xr:uid="{AAFD6636-28C5-424D-B22A-6DE34A0C50E0}"/>
    <cellStyle name="Calcul 3 2 2 12 3 2" xfId="37433" xr:uid="{61F862C8-5B7B-42A0-9BE2-602557115601}"/>
    <cellStyle name="Calcul 3 2 2 12 4" xfId="32670" xr:uid="{02C5BD75-87E7-4B96-8B8D-3450D824668A}"/>
    <cellStyle name="Calcul 3 2 2 13" xfId="25613" xr:uid="{61CBE0F7-F433-4682-8215-9E95009D38F0}"/>
    <cellStyle name="Calcul 3 2 2 13 2" xfId="28280" xr:uid="{4B05AE51-A6DF-4578-92B9-36AA98DE08E8}"/>
    <cellStyle name="Calcul 3 2 2 13 2 2" xfId="35125" xr:uid="{082278FD-B4E7-4BFA-A891-6833FA98FF6B}"/>
    <cellStyle name="Calcul 3 2 2 13 3" xfId="30361" xr:uid="{3650F5DF-FC90-48A0-A47C-90F322153F42}"/>
    <cellStyle name="Calcul 3 2 2 13 3 2" xfId="37206" xr:uid="{5BF2E32B-29C6-4539-9887-0248A389A2A6}"/>
    <cellStyle name="Calcul 3 2 2 13 4" xfId="32443" xr:uid="{74057EB9-17F6-406F-8427-C3E9461B16BF}"/>
    <cellStyle name="Calcul 3 2 2 14" xfId="25969" xr:uid="{16EE2876-A127-4FF5-A4FB-7CF02DAF9A66}"/>
    <cellStyle name="Calcul 3 2 2 14 2" xfId="28635" xr:uid="{4E718184-272D-4A17-AEAA-D2262BD7AFE6}"/>
    <cellStyle name="Calcul 3 2 2 14 2 2" xfId="35480" xr:uid="{CC797618-3BFC-4B36-9701-F0B26DE323D2}"/>
    <cellStyle name="Calcul 3 2 2 14 3" xfId="30716" xr:uid="{D539B494-C3F5-47DF-8E73-7C7D9EBE6F7B}"/>
    <cellStyle name="Calcul 3 2 2 14 3 2" xfId="37561" xr:uid="{086E825F-0842-474C-A726-A7CBB3072F9E}"/>
    <cellStyle name="Calcul 3 2 2 14 4" xfId="32798" xr:uid="{25D3B5B6-9BD5-4947-A8F5-A30C141820A0}"/>
    <cellStyle name="Calcul 3 2 2 15" xfId="26023" xr:uid="{F7611431-3DB9-4866-A666-F5C6F71084E1}"/>
    <cellStyle name="Calcul 3 2 2 15 2" xfId="28689" xr:uid="{C74D162A-6ED4-43BB-882B-4809E75C6CA5}"/>
    <cellStyle name="Calcul 3 2 2 15 2 2" xfId="35534" xr:uid="{590198A8-5770-49BA-9F72-BF70FFA91210}"/>
    <cellStyle name="Calcul 3 2 2 15 3" xfId="30770" xr:uid="{0B265E30-77D8-4E9B-83D2-A99A58143251}"/>
    <cellStyle name="Calcul 3 2 2 15 3 2" xfId="37615" xr:uid="{481F82BB-DAB1-46F3-86F8-620F749C8F74}"/>
    <cellStyle name="Calcul 3 2 2 15 4" xfId="32852" xr:uid="{7D0E4150-77CB-41CD-BF28-2588C29D3B49}"/>
    <cellStyle name="Calcul 3 2 2 16" xfId="23548" xr:uid="{F42F46B9-882D-474D-85FE-39BEF085FC2F}"/>
    <cellStyle name="Calcul 3 2 2 2" xfId="18438" xr:uid="{3055AA05-7CC0-4754-A016-FA39F7586558}"/>
    <cellStyle name="Calcul 3 2 2 2 10" xfId="21754" xr:uid="{C54672A8-E78D-4FD2-A740-EE12B6E9DB42}"/>
    <cellStyle name="Calcul 3 2 2 2 11" xfId="19063" xr:uid="{3201992E-9FA7-49A8-829D-7D572F812F64}"/>
    <cellStyle name="Calcul 3 2 2 2 12" xfId="22694" xr:uid="{2AD9DB86-AE80-4370-88D4-24116451E9A4}"/>
    <cellStyle name="Calcul 3 2 2 2 13" xfId="21658" xr:uid="{5A3B5539-EA3A-415A-908D-37B689D7F38A}"/>
    <cellStyle name="Calcul 3 2 2 2 14" xfId="20142" xr:uid="{ABDBADF6-93AF-44AB-8E1F-836878C64CE4}"/>
    <cellStyle name="Calcul 3 2 2 2 15" xfId="23004" xr:uid="{7347D380-F79A-45BC-A400-7F51D1867352}"/>
    <cellStyle name="Calcul 3 2 2 2 16" xfId="31539" xr:uid="{1D91CDF8-763E-4850-8176-6440E91C7829}"/>
    <cellStyle name="Calcul 3 2 2 2 2" xfId="19935" xr:uid="{A2665FDF-48B7-4F3F-82D0-B84051FC11F5}"/>
    <cellStyle name="Calcul 3 2 2 2 2 2" xfId="27377" xr:uid="{C423C70A-A5CF-427A-ADBF-8E5EA63FF779}"/>
    <cellStyle name="Calcul 3 2 2 2 2 3" xfId="34221" xr:uid="{7525E708-231B-4697-BB01-AA8748842B58}"/>
    <cellStyle name="Calcul 3 2 2 2 3" xfId="21083" xr:uid="{ABE34510-7F83-469E-A5CE-18CA15F0A8F3}"/>
    <cellStyle name="Calcul 3 2 2 2 3 2" xfId="29457" xr:uid="{1C5B2E15-8DA3-4D4E-9993-FC40B6C7B1F8}"/>
    <cellStyle name="Calcul 3 2 2 2 3 3" xfId="36302" xr:uid="{33D3F8D7-5372-4165-AD32-287497FB9E12}"/>
    <cellStyle name="Calcul 3 2 2 2 4" xfId="18894" xr:uid="{C496A9A4-6F70-49BA-85DD-89D494286697}"/>
    <cellStyle name="Calcul 3 2 2 2 5" xfId="21342" xr:uid="{9129AEE7-340D-4EB7-BC97-75AAA97524BF}"/>
    <cellStyle name="Calcul 3 2 2 2 6" xfId="20055" xr:uid="{868E5A26-FE14-49CF-A9B4-B67FA3ABDC45}"/>
    <cellStyle name="Calcul 3 2 2 2 7" xfId="20574" xr:uid="{635C1665-19EF-481E-AA84-2667CE19C10D}"/>
    <cellStyle name="Calcul 3 2 2 2 8" xfId="19474" xr:uid="{ED4B996B-8877-4D7C-9782-C75E926E0C5E}"/>
    <cellStyle name="Calcul 3 2 2 2 9" xfId="22181" xr:uid="{024B5300-03E8-4231-B1C3-D3709FC443E4}"/>
    <cellStyle name="Calcul 3 2 2 3" xfId="24841" xr:uid="{A8B50278-614E-4326-AD0B-9DFCBC407E52}"/>
    <cellStyle name="Calcul 3 2 2 3 2" xfId="27501" xr:uid="{770CDD56-83D6-4EC8-98B8-7E2D25081168}"/>
    <cellStyle name="Calcul 3 2 2 3 2 2" xfId="34345" xr:uid="{D867EABA-D9AC-46A4-BC1D-6991B2910694}"/>
    <cellStyle name="Calcul 3 2 2 3 3" xfId="29581" xr:uid="{ED84BA90-7EC9-4968-BC61-8E6B33F602B6}"/>
    <cellStyle name="Calcul 3 2 2 3 3 2" xfId="36426" xr:uid="{E304F562-36BE-4300-9EC2-7F294C7A0F49}"/>
    <cellStyle name="Calcul 3 2 2 3 4" xfId="31663" xr:uid="{0C7219E2-EA0B-4FCC-92CB-8E5DEF468EE9}"/>
    <cellStyle name="Calcul 3 2 2 4" xfId="25115" xr:uid="{1DEF06B4-BA49-4B83-893F-11F28DC5B185}"/>
    <cellStyle name="Calcul 3 2 2 4 2" xfId="27787" xr:uid="{1FD6E51B-6880-41A0-ABF8-12A4B973309C}"/>
    <cellStyle name="Calcul 3 2 2 4 2 2" xfId="34632" xr:uid="{5808699D-F716-4DEB-8D5E-06ABCAF151E2}"/>
    <cellStyle name="Calcul 3 2 2 4 3" xfId="29868" xr:uid="{9645AB6D-125D-42B1-B808-B513784D990B}"/>
    <cellStyle name="Calcul 3 2 2 4 3 2" xfId="36713" xr:uid="{2570111A-8833-4E3E-910A-E01713D5BCE8}"/>
    <cellStyle name="Calcul 3 2 2 4 4" xfId="31950" xr:uid="{F29D90CB-DCDA-4881-9A46-A42208FD7010}"/>
    <cellStyle name="Calcul 3 2 2 5" xfId="23857" xr:uid="{A8D93672-7D15-4F39-8EFC-5939CA599125}"/>
    <cellStyle name="Calcul 3 2 2 5 2" xfId="26476" xr:uid="{360FC1E9-6D1B-4953-878B-8AF6110799EC}"/>
    <cellStyle name="Calcul 3 2 2 5 2 2" xfId="33316" xr:uid="{277942EC-3C5B-4D2F-92FF-6023EABC273A}"/>
    <cellStyle name="Calcul 3 2 2 5 3" xfId="26207" xr:uid="{0F92B85B-B3BA-473B-857C-DD433E533051}"/>
    <cellStyle name="Calcul 3 2 2 5 3 2" xfId="33035" xr:uid="{CBD18595-13E0-4F4F-AA59-F3BFE042183A}"/>
    <cellStyle name="Calcul 3 2 2 5 4" xfId="23329" xr:uid="{4D8B7A0D-1596-4C51-AF8D-6407FD6044DC}"/>
    <cellStyle name="Calcul 3 2 2 6" xfId="25080" xr:uid="{AB654BF9-0F69-4B62-86BA-DBBD14FB2AA1}"/>
    <cellStyle name="Calcul 3 2 2 6 2" xfId="27752" xr:uid="{1AA9FC6F-B79A-4DD3-93E5-31F5BC033220}"/>
    <cellStyle name="Calcul 3 2 2 6 2 2" xfId="34597" xr:uid="{DA6F529B-2D30-427A-A97B-B2557160872A}"/>
    <cellStyle name="Calcul 3 2 2 6 3" xfId="29833" xr:uid="{917DE756-433E-4521-BA04-17A7017B9AAB}"/>
    <cellStyle name="Calcul 3 2 2 6 3 2" xfId="36678" xr:uid="{B74E0B71-A1FC-4988-8010-4BFF1C65BA0E}"/>
    <cellStyle name="Calcul 3 2 2 6 4" xfId="31915" xr:uid="{33A6E029-82DA-4200-A1D9-C92AF43C8DF4}"/>
    <cellStyle name="Calcul 3 2 2 7" xfId="25154" xr:uid="{589C5E58-72C7-433D-AB2D-428F022E6E79}"/>
    <cellStyle name="Calcul 3 2 2 7 2" xfId="27826" xr:uid="{C464BF90-1ECF-4F17-AC6B-F8165D8898A4}"/>
    <cellStyle name="Calcul 3 2 2 7 2 2" xfId="34671" xr:uid="{313E5B8C-54CB-48D0-A4C0-28C7CA7D8048}"/>
    <cellStyle name="Calcul 3 2 2 7 3" xfId="29907" xr:uid="{5F48A7CC-5134-4041-B044-13FCABCA5B6C}"/>
    <cellStyle name="Calcul 3 2 2 7 3 2" xfId="36752" xr:uid="{D42E4ED9-247C-4BB8-A0FB-6A0852E4399C}"/>
    <cellStyle name="Calcul 3 2 2 7 4" xfId="31989" xr:uid="{E1434A60-9AC5-420A-81E0-8E5D21A50409}"/>
    <cellStyle name="Calcul 3 2 2 8" xfId="24186" xr:uid="{CF712A4C-1463-496B-8E31-65988CE1CF25}"/>
    <cellStyle name="Calcul 3 2 2 8 2" xfId="26796" xr:uid="{D027019A-0318-4577-B31B-0087B6F4EAEF}"/>
    <cellStyle name="Calcul 3 2 2 8 2 2" xfId="33636" xr:uid="{D76E45DC-4DD7-437A-B2C2-3D3C2C2DD33C}"/>
    <cellStyle name="Calcul 3 2 2 8 3" xfId="28872" xr:uid="{83F62633-7B65-4E18-AC5D-6D4DFA37CFA9}"/>
    <cellStyle name="Calcul 3 2 2 8 3 2" xfId="35717" xr:uid="{2EAF17B3-2AE2-45EC-9A81-7B20F05DEAC0}"/>
    <cellStyle name="Calcul 3 2 2 8 4" xfId="30954" xr:uid="{19D93050-A6EC-4879-AB4B-C4DC48688AB1}"/>
    <cellStyle name="Calcul 3 2 2 9" xfId="25320" xr:uid="{E5446852-0840-4F18-AEF3-3498F6820FEA}"/>
    <cellStyle name="Calcul 3 2 2 9 2" xfId="27989" xr:uid="{5837E636-B220-4FFC-917F-62DDB680700C}"/>
    <cellStyle name="Calcul 3 2 2 9 2 2" xfId="34834" xr:uid="{D4351CF1-D404-46C9-9E24-6FE8A8F2D280}"/>
    <cellStyle name="Calcul 3 2 2 9 3" xfId="30070" xr:uid="{241C075B-BC2A-4FAF-8F47-00ED71DDC9CE}"/>
    <cellStyle name="Calcul 3 2 2 9 3 2" xfId="36915" xr:uid="{1ADD6D55-8660-47D8-AE17-6F1057946112}"/>
    <cellStyle name="Calcul 3 2 2 9 4" xfId="32152" xr:uid="{83F677E5-D5AE-4D39-9DC7-29ACD918493B}"/>
    <cellStyle name="Calcul 3 2 3" xfId="18614" xr:uid="{EDC0A020-1014-4CC3-9941-A90699C7F4DA}"/>
    <cellStyle name="Calcul 3 2 3 10" xfId="20289" xr:uid="{C7FC4402-D766-4C93-B20C-49E0937FC31B}"/>
    <cellStyle name="Calcul 3 2 3 11" xfId="22597" xr:uid="{186DD9B2-C491-45EE-8D57-1EAC2A7AF122}"/>
    <cellStyle name="Calcul 3 2 3 12" xfId="22750" xr:uid="{15AFAEC9-3AC8-48EE-ADDD-2B7B6A825E60}"/>
    <cellStyle name="Calcul 3 2 3 13" xfId="19542" xr:uid="{857B5992-8871-459E-8E30-8628C3D18D9F}"/>
    <cellStyle name="Calcul 3 2 3 14" xfId="22886" xr:uid="{5D800F7D-F2F6-46B9-807C-8A4A981D941D}"/>
    <cellStyle name="Calcul 3 2 3 15" xfId="21973" xr:uid="{9D657997-9244-4CDF-A090-9BCE616FACD2}"/>
    <cellStyle name="Calcul 3 2 3 16" xfId="23419" xr:uid="{C515D9D0-C1B3-4D52-BF7E-3FB7052A3C7B}"/>
    <cellStyle name="Calcul 3 2 3 2" xfId="19853" xr:uid="{B9E929A2-11B1-4208-93AF-1AA56EB9DD62}"/>
    <cellStyle name="Calcul 3 2 3 2 2" xfId="26385" xr:uid="{444BED4B-3217-4D05-9E7E-39EB6950EEDE}"/>
    <cellStyle name="Calcul 3 2 3 2 3" xfId="33224" xr:uid="{839C5B17-A75D-475A-8A0D-231DCEEB5428}"/>
    <cellStyle name="Calcul 3 2 3 3" xfId="19573" xr:uid="{92CB6962-8447-4FA1-8698-DFAC4BD91726}"/>
    <cellStyle name="Calcul 3 2 3 3 2" xfId="26297" xr:uid="{290B15E5-7A06-4341-88AF-9255DB4D657D}"/>
    <cellStyle name="Calcul 3 2 3 3 3" xfId="33125" xr:uid="{60BF8597-D8FF-401B-9AE3-3C2222614853}"/>
    <cellStyle name="Calcul 3 2 3 4" xfId="22017" xr:uid="{55A750CE-0C48-436C-84C5-947B28C9C125}"/>
    <cellStyle name="Calcul 3 2 3 5" xfId="22110" xr:uid="{9DBE306B-B9A1-4060-B110-836265E7945B}"/>
    <cellStyle name="Calcul 3 2 3 6" xfId="20132" xr:uid="{EF03CBDB-E28A-4601-9776-C84B5242733D}"/>
    <cellStyle name="Calcul 3 2 3 7" xfId="19245" xr:uid="{45E47274-D551-4E43-B68C-063E6EB2C95C}"/>
    <cellStyle name="Calcul 3 2 3 8" xfId="19348" xr:uid="{8700B57C-A8C4-4C4E-B8A2-D01B69689057}"/>
    <cellStyle name="Calcul 3 2 3 9" xfId="22487" xr:uid="{53FCEB78-0E16-4FC6-A175-C8E2DA1AD4F6}"/>
    <cellStyle name="Calcul 3 2 4" xfId="24229" xr:uid="{FF48E01E-19E3-4E92-80F7-D7A66DCDF0B4}"/>
    <cellStyle name="Calcul 3 2 4 2" xfId="26839" xr:uid="{AF6C67AB-D581-4298-AE56-89B15BCFEB7F}"/>
    <cellStyle name="Calcul 3 2 4 2 2" xfId="33679" xr:uid="{B301A78A-1813-40B2-8F00-48A01C6194AD}"/>
    <cellStyle name="Calcul 3 2 4 3" xfId="28915" xr:uid="{CCE19CD6-DFB2-4875-BC30-4E28F98F9DDC}"/>
    <cellStyle name="Calcul 3 2 4 3 2" xfId="35760" xr:uid="{425CE772-945B-4C60-9A92-AA410AE4E91D}"/>
    <cellStyle name="Calcul 3 2 4 4" xfId="30997" xr:uid="{E5DA4811-9093-4422-A07E-73658A48AE74}"/>
    <cellStyle name="Calcul 3 2 5" xfId="24201" xr:uid="{D91AFBFC-0FA1-4955-A449-067E9E430F02}"/>
    <cellStyle name="Calcul 3 2 5 2" xfId="26811" xr:uid="{A5A9A28C-C245-44BF-A851-6872943CAF15}"/>
    <cellStyle name="Calcul 3 2 5 2 2" xfId="33651" xr:uid="{E9EEEDA2-950F-4386-9C1A-AFDC1FBBF285}"/>
    <cellStyle name="Calcul 3 2 5 3" xfId="28887" xr:uid="{39CB25F0-DF0E-4126-8794-92A6905833B6}"/>
    <cellStyle name="Calcul 3 2 5 3 2" xfId="35732" xr:uid="{DDAA6431-870F-4450-A230-77A813413E7E}"/>
    <cellStyle name="Calcul 3 2 5 4" xfId="30969" xr:uid="{0C27251E-0E9A-4580-A576-2836542CFB68}"/>
    <cellStyle name="Calcul 3 2 6" xfId="24308" xr:uid="{C4285C4B-BD5E-4CF3-857C-22D220528423}"/>
    <cellStyle name="Calcul 3 2 6 2" xfId="26914" xr:uid="{53A850F0-165B-4EC9-BBF4-49DE885E4EF1}"/>
    <cellStyle name="Calcul 3 2 6 2 2" xfId="33754" xr:uid="{7E7B572D-0E67-4007-B003-AFCCE4D26190}"/>
    <cellStyle name="Calcul 3 2 6 3" xfId="28990" xr:uid="{80A4E42D-7A03-4370-B2C1-79C5BE34119A}"/>
    <cellStyle name="Calcul 3 2 6 3 2" xfId="35835" xr:uid="{1F169CA8-6FF9-43D7-ADD6-2A0D0D0EB065}"/>
    <cellStyle name="Calcul 3 2 6 4" xfId="31072" xr:uid="{6DDFE6B3-F51B-4450-9FC6-1B3D808E623C}"/>
    <cellStyle name="Calcul 3 2 7" xfId="25138" xr:uid="{27FCE3E8-C261-4BCF-B6F4-0DF772DF3E44}"/>
    <cellStyle name="Calcul 3 2 7 2" xfId="27810" xr:uid="{8C8E957B-F56D-417A-A551-1C54F87BAE65}"/>
    <cellStyle name="Calcul 3 2 7 2 2" xfId="34655" xr:uid="{12F3DEF7-A367-41BF-8E24-B7925BCD9794}"/>
    <cellStyle name="Calcul 3 2 7 3" xfId="29891" xr:uid="{3E0A5121-2AA1-4E98-86CE-1431DF8C9C9A}"/>
    <cellStyle name="Calcul 3 2 7 3 2" xfId="36736" xr:uid="{EBC39557-5CA8-43E8-972F-9ED493868DE1}"/>
    <cellStyle name="Calcul 3 2 7 4" xfId="31973" xr:uid="{F7170528-1FAD-4E5C-AAC7-E80C447A2F82}"/>
    <cellStyle name="Calcul 3 2 8" xfId="24120" xr:uid="{6F70258B-73B0-4EF5-8BED-DB89F10D5CA6}"/>
    <cellStyle name="Calcul 3 2 8 2" xfId="26732" xr:uid="{4C7B5FD0-3187-4FF8-931D-53AF8DB276B3}"/>
    <cellStyle name="Calcul 3 2 8 2 2" xfId="33572" xr:uid="{DCCBD3ED-AAB9-4C70-9831-C3715FB2FFA1}"/>
    <cellStyle name="Calcul 3 2 8 3" xfId="28808" xr:uid="{2AC6ED4D-3D09-41CF-A6B0-06256BB58447}"/>
    <cellStyle name="Calcul 3 2 8 3 2" xfId="35653" xr:uid="{81A4A2F7-D127-4397-8486-46480F6E5C50}"/>
    <cellStyle name="Calcul 3 2 8 4" xfId="30890" xr:uid="{0EF5D2A7-7064-4E16-8605-D743ABD5AC32}"/>
    <cellStyle name="Calcul 3 2 9" xfId="24326" xr:uid="{AAB026E1-7DCB-4C0C-BE3D-F30F58FEB195}"/>
    <cellStyle name="Calcul 3 2 9 2" xfId="26932" xr:uid="{757A0A14-0485-4CE5-9596-19B986E415F7}"/>
    <cellStyle name="Calcul 3 2 9 2 2" xfId="33772" xr:uid="{6B98FE48-9CFD-4643-AA90-F20D8A068667}"/>
    <cellStyle name="Calcul 3 2 9 3" xfId="29008" xr:uid="{217145B5-979B-457D-8C9F-DE542A6FB46B}"/>
    <cellStyle name="Calcul 3 2 9 3 2" xfId="35853" xr:uid="{7DF5A474-A07B-4790-A30C-902D9224060F}"/>
    <cellStyle name="Calcul 3 2 9 4" xfId="31090" xr:uid="{DF791A10-ADB7-4138-8944-8C86CB6B1510}"/>
    <cellStyle name="Calcul 3 3" xfId="17797" xr:uid="{EF0A491D-C7AA-41C2-AB5A-FBA4784A3BD6}"/>
    <cellStyle name="Calcul 3 3 10" xfId="25628" xr:uid="{1D136A34-853B-449E-A4BB-7B94BF9230CA}"/>
    <cellStyle name="Calcul 3 3 10 2" xfId="28295" xr:uid="{CD77E38C-F80D-4C83-B8F1-916B46B774D6}"/>
    <cellStyle name="Calcul 3 3 10 2 2" xfId="35140" xr:uid="{55263CE1-E5DD-4314-9181-D0E6A86DBE38}"/>
    <cellStyle name="Calcul 3 3 10 3" xfId="30376" xr:uid="{A5776F13-BDDF-43E5-8178-35D688DDBAE9}"/>
    <cellStyle name="Calcul 3 3 10 3 2" xfId="37221" xr:uid="{88ED056D-3237-4271-B420-39B37BEA77AF}"/>
    <cellStyle name="Calcul 3 3 10 4" xfId="32458" xr:uid="{AFC8E32D-2C9E-4789-9E2E-3BEA59A36E78}"/>
    <cellStyle name="Calcul 3 3 11" xfId="25733" xr:uid="{56C8007A-0C99-4AC6-953D-1DB2D9546565}"/>
    <cellStyle name="Calcul 3 3 11 2" xfId="28400" xr:uid="{2E59911C-1305-4709-829F-3B1582202C18}"/>
    <cellStyle name="Calcul 3 3 11 2 2" xfId="35245" xr:uid="{9F506E04-0C88-425E-A3BD-67D00A13E7F4}"/>
    <cellStyle name="Calcul 3 3 11 3" xfId="30481" xr:uid="{49E60EDC-00F1-4AC8-AF4A-97D4661B3937}"/>
    <cellStyle name="Calcul 3 3 11 3 2" xfId="37326" xr:uid="{F2044CD3-7B51-4943-8954-D6C66090981C}"/>
    <cellStyle name="Calcul 3 3 11 4" xfId="32563" xr:uid="{2C675DB8-F283-45A1-9007-200448BBF834}"/>
    <cellStyle name="Calcul 3 3 12" xfId="25807" xr:uid="{6A135A82-B1D9-4FDC-A58F-60D444A8885B}"/>
    <cellStyle name="Calcul 3 3 12 2" xfId="28473" xr:uid="{024E7D73-21E9-4A9A-8344-DB9619C2B70C}"/>
    <cellStyle name="Calcul 3 3 12 2 2" xfId="35318" xr:uid="{5CF61198-A88E-4DD4-A0C4-28659711F7ED}"/>
    <cellStyle name="Calcul 3 3 12 3" xfId="30554" xr:uid="{ED6768A0-3958-460D-AF35-39142C4658DB}"/>
    <cellStyle name="Calcul 3 3 12 3 2" xfId="37399" xr:uid="{4FFAA88C-7FE1-4FE0-98DE-93325C0BC117}"/>
    <cellStyle name="Calcul 3 3 12 4" xfId="32636" xr:uid="{575E8693-883E-42E9-A53E-C589950B7426}"/>
    <cellStyle name="Calcul 3 3 13" xfId="25860" xr:uid="{CC33A1E1-104C-4376-92B4-75C8DB0AD621}"/>
    <cellStyle name="Calcul 3 3 13 2" xfId="28526" xr:uid="{3F8DAA60-2A57-481A-8009-E9746AB862DF}"/>
    <cellStyle name="Calcul 3 3 13 2 2" xfId="35371" xr:uid="{343988B1-C174-4518-AA8A-7A40CB7DCA55}"/>
    <cellStyle name="Calcul 3 3 13 3" xfId="30607" xr:uid="{F643A57F-0C70-4F5F-9251-55ADAEEEE38A}"/>
    <cellStyle name="Calcul 3 3 13 3 2" xfId="37452" xr:uid="{F5DBFED0-5106-498A-B650-B7AFECFBE661}"/>
    <cellStyle name="Calcul 3 3 13 4" xfId="32689" xr:uid="{FC887810-8F76-4EC2-962F-20E8F63A4282}"/>
    <cellStyle name="Calcul 3 3 14" xfId="25939" xr:uid="{AB1BA36A-ABEA-4373-BD2F-27B09866F16B}"/>
    <cellStyle name="Calcul 3 3 14 2" xfId="28605" xr:uid="{D7E0FECA-79C8-4F68-B46C-B39F00122910}"/>
    <cellStyle name="Calcul 3 3 14 2 2" xfId="35450" xr:uid="{74079949-E795-41B4-9288-8DAAB092DF0E}"/>
    <cellStyle name="Calcul 3 3 14 3" xfId="30686" xr:uid="{9722D3C0-687B-44B8-A294-C54FB4EB2C24}"/>
    <cellStyle name="Calcul 3 3 14 3 2" xfId="37531" xr:uid="{3B5AD164-124F-403C-9998-41E7DE690A6A}"/>
    <cellStyle name="Calcul 3 3 14 4" xfId="32768" xr:uid="{E0573206-F012-410E-894A-BD223B07B4C6}"/>
    <cellStyle name="Calcul 3 3 15" xfId="25993" xr:uid="{1EA5C1D8-53A6-46AD-A9D3-26BE36D2CA9C}"/>
    <cellStyle name="Calcul 3 3 15 2" xfId="28659" xr:uid="{F2B98452-06A1-4104-A2CF-F1154FC03CD5}"/>
    <cellStyle name="Calcul 3 3 15 2 2" xfId="35504" xr:uid="{1E9E790F-4219-4202-B1A1-51AEA6124933}"/>
    <cellStyle name="Calcul 3 3 15 3" xfId="30740" xr:uid="{76D21359-03EC-4BFE-A4A4-C94696C4DE33}"/>
    <cellStyle name="Calcul 3 3 15 3 2" xfId="37585" xr:uid="{7A4C2248-BD8B-4AF8-A34D-BDC6873BB199}"/>
    <cellStyle name="Calcul 3 3 15 4" xfId="32822" xr:uid="{528E1A3A-65F7-4290-BFA3-2CC0E456527C}"/>
    <cellStyle name="Calcul 3 3 16" xfId="23171" xr:uid="{C4D32E9E-1B4D-4899-A85F-D023748A8966}"/>
    <cellStyle name="Calcul 3 3 2" xfId="18462" xr:uid="{6BAB8F1A-C3C8-4CD2-B88B-6299C8F74D50}"/>
    <cellStyle name="Calcul 3 3 2 10" xfId="20230" xr:uid="{3FA6AB37-600B-455C-8471-DEE3C47427FB}"/>
    <cellStyle name="Calcul 3 3 2 11" xfId="20218" xr:uid="{D7B3547E-A993-4D2E-BAEB-E8FD96EE3A0E}"/>
    <cellStyle name="Calcul 3 3 2 12" xfId="20651" xr:uid="{6F1E472F-FE4F-4CC4-A487-BE000D371F87}"/>
    <cellStyle name="Calcul 3 3 2 13" xfId="19304" xr:uid="{61A74F7C-1FA4-4EC4-8C72-B401F1D71C17}"/>
    <cellStyle name="Calcul 3 3 2 14" xfId="22126" xr:uid="{19DACA2B-626B-48D6-B197-4E5B044EDE8A}"/>
    <cellStyle name="Calcul 3 3 2 15" xfId="21505" xr:uid="{F3D42FC5-BA4C-486E-B220-7B3838589666}"/>
    <cellStyle name="Calcul 3 3 2 16" xfId="31590" xr:uid="{6A5ADAF9-A364-44AD-8267-F16A3C6DE3A3}"/>
    <cellStyle name="Calcul 3 3 2 2" xfId="19914" xr:uid="{497916EC-789F-46BD-836F-5CB551A30572}"/>
    <cellStyle name="Calcul 3 3 2 2 2" xfId="27428" xr:uid="{8F0C3EA3-DA6A-43C4-AD5D-C0A9D6347551}"/>
    <cellStyle name="Calcul 3 3 2 2 3" xfId="34272" xr:uid="{DC5C97D8-756F-4C5F-B867-9F44A933F1AE}"/>
    <cellStyle name="Calcul 3 3 2 3" xfId="19668" xr:uid="{3F0B2B0E-5E0A-42C9-83C8-45C5CEB25D18}"/>
    <cellStyle name="Calcul 3 3 2 3 2" xfId="29508" xr:uid="{3DB496C2-D1A3-458E-B17D-B4E59BC41A6D}"/>
    <cellStyle name="Calcul 3 3 2 3 3" xfId="36353" xr:uid="{AC25FB0B-ECF0-46B5-9CD0-73A3EDFC63BE}"/>
    <cellStyle name="Calcul 3 3 2 4" xfId="21670" xr:uid="{AC20DDCF-063A-46A3-96ED-31EF88226B92}"/>
    <cellStyle name="Calcul 3 3 2 5" xfId="20827" xr:uid="{34F79EC9-E035-4463-8203-C0746DBC54F3}"/>
    <cellStyle name="Calcul 3 3 2 6" xfId="19893" xr:uid="{9A12A0F7-5730-4322-9A4B-5E598869A248}"/>
    <cellStyle name="Calcul 3 3 2 7" xfId="19709" xr:uid="{2F85EFAB-0E13-43BE-9E90-067FD5AB2B5D}"/>
    <cellStyle name="Calcul 3 3 2 8" xfId="21529" xr:uid="{3C581E58-428F-470D-BDEC-0E92015DE4CE}"/>
    <cellStyle name="Calcul 3 3 2 9" xfId="22097" xr:uid="{52FAA003-50C1-4B1D-B052-F2DBCFEF8B63}"/>
    <cellStyle name="Calcul 3 3 3" xfId="24238" xr:uid="{94EE3FF0-21D3-4C41-8DA1-1AB3D0A2F982}"/>
    <cellStyle name="Calcul 3 3 3 2" xfId="26846" xr:uid="{949C9AAA-2244-4F4F-A49B-AE4E5913AE8A}"/>
    <cellStyle name="Calcul 3 3 3 2 2" xfId="33686" xr:uid="{0539A28B-872A-4161-AFE6-1DCB4BAAB936}"/>
    <cellStyle name="Calcul 3 3 3 3" xfId="28922" xr:uid="{7BDA5CF2-4525-4777-9904-95C9537D6915}"/>
    <cellStyle name="Calcul 3 3 3 3 2" xfId="35767" xr:uid="{FB13ABA5-CBC7-4FC1-AD69-8FD111186769}"/>
    <cellStyle name="Calcul 3 3 3 4" xfId="31004" xr:uid="{538450F3-EEE1-4A49-A952-DF354E422F68}"/>
    <cellStyle name="Calcul 3 3 4" xfId="25081" xr:uid="{E4787B20-D73A-45D1-8B47-3F1CF7847DD1}"/>
    <cellStyle name="Calcul 3 3 4 2" xfId="27753" xr:uid="{0DCDE8A6-9F98-46B1-91AE-63CB98526E8E}"/>
    <cellStyle name="Calcul 3 3 4 2 2" xfId="34598" xr:uid="{2B999F8F-7627-442C-A5AD-559A776B60FB}"/>
    <cellStyle name="Calcul 3 3 4 3" xfId="29834" xr:uid="{66BF3237-9DFB-473A-8171-798C76885738}"/>
    <cellStyle name="Calcul 3 3 4 3 2" xfId="36679" xr:uid="{23223F41-D387-4284-91D6-AA98C61D17DF}"/>
    <cellStyle name="Calcul 3 3 4 4" xfId="31916" xr:uid="{877BAE37-B113-434B-AEE5-54CC06438508}"/>
    <cellStyle name="Calcul 3 3 5" xfId="25184" xr:uid="{08438C2B-BE20-46F6-87ED-E9F14EAC7CB1}"/>
    <cellStyle name="Calcul 3 3 5 2" xfId="27856" xr:uid="{32A2A639-015A-42B7-B044-5C81555A217F}"/>
    <cellStyle name="Calcul 3 3 5 2 2" xfId="34701" xr:uid="{F687FF05-B6D0-469C-8F24-6B630D7F91F7}"/>
    <cellStyle name="Calcul 3 3 5 3" xfId="29937" xr:uid="{14388881-45B0-42F9-89E8-CB5E859D649A}"/>
    <cellStyle name="Calcul 3 3 5 3 2" xfId="36782" xr:uid="{2C97096A-3286-4F3A-B2DD-9173E22FC0EC}"/>
    <cellStyle name="Calcul 3 3 5 4" xfId="32019" xr:uid="{93C5FE76-7459-45B6-BB1A-396E95E9B74F}"/>
    <cellStyle name="Calcul 3 3 6" xfId="24873" xr:uid="{651A3F11-73B1-41E5-9D16-29C98D28A642}"/>
    <cellStyle name="Calcul 3 3 6 2" xfId="27539" xr:uid="{56E20A66-4D56-4DAC-8CCE-5D3799A21681}"/>
    <cellStyle name="Calcul 3 3 6 2 2" xfId="34383" xr:uid="{F0BD3ECA-082B-49FB-A308-84B0A4623295}"/>
    <cellStyle name="Calcul 3 3 6 3" xfId="29619" xr:uid="{D6963EC1-9EB5-4627-8EC8-DE8BB019E93C}"/>
    <cellStyle name="Calcul 3 3 6 3 2" xfId="36464" xr:uid="{669312D5-DCC4-474A-AFFB-171BAA805ADE}"/>
    <cellStyle name="Calcul 3 3 6 4" xfId="31701" xr:uid="{4DBC2CF0-24A8-42D5-A40C-CAB65E477A65}"/>
    <cellStyle name="Calcul 3 3 7" xfId="23979" xr:uid="{BB41AAE8-4FDB-4923-99FC-3534946DAFB1}"/>
    <cellStyle name="Calcul 3 3 7 2" xfId="26596" xr:uid="{1878678D-4795-45D2-B5A2-711B77F5B134}"/>
    <cellStyle name="Calcul 3 3 7 2 2" xfId="33436" xr:uid="{AB6C63BA-D25F-410B-856C-6C644078A7A3}"/>
    <cellStyle name="Calcul 3 3 7 3" xfId="26097" xr:uid="{C98697D8-17D0-4375-BED0-CA46329F1051}"/>
    <cellStyle name="Calcul 3 3 7 3 2" xfId="32925" xr:uid="{2E6777B4-971E-4E08-AFEF-F1CFFD09E761}"/>
    <cellStyle name="Calcul 3 3 7 4" xfId="23219" xr:uid="{783431DF-8AB4-493D-9A29-1B6BA694A83A}"/>
    <cellStyle name="Calcul 3 3 8" xfId="25224" xr:uid="{78BF1971-B8D1-445B-A92C-41AFAFA9B4D5}"/>
    <cellStyle name="Calcul 3 3 8 2" xfId="27896" xr:uid="{8DB117FC-0A1D-4891-ADE8-7DD00FC255E8}"/>
    <cellStyle name="Calcul 3 3 8 2 2" xfId="34741" xr:uid="{CEF4CE41-A4BF-49AB-9F2A-DBCF75D40B6F}"/>
    <cellStyle name="Calcul 3 3 8 3" xfId="29977" xr:uid="{D4DB9785-EA90-4F1F-9C82-5E1A46DF94DA}"/>
    <cellStyle name="Calcul 3 3 8 3 2" xfId="36822" xr:uid="{2C3106F9-E540-4F7C-A720-8AA3029B8A17}"/>
    <cellStyle name="Calcul 3 3 8 4" xfId="32059" xr:uid="{71E02BD5-F9F2-4A11-8847-EAD41FBB6A21}"/>
    <cellStyle name="Calcul 3 3 9" xfId="25352" xr:uid="{D92D1627-EF9C-4DE9-A8F4-00B52FED92C1}"/>
    <cellStyle name="Calcul 3 3 9 2" xfId="28019" xr:uid="{A89009D5-0F0F-47A5-AAB9-239D24659975}"/>
    <cellStyle name="Calcul 3 3 9 2 2" xfId="34864" xr:uid="{DCFC62B7-98E4-44A4-A7C0-C80168C54A57}"/>
    <cellStyle name="Calcul 3 3 9 3" xfId="30100" xr:uid="{C0AA3055-965B-41EB-9889-6100091F2E36}"/>
    <cellStyle name="Calcul 3 3 9 3 2" xfId="36945" xr:uid="{E930BBBB-680D-4D6D-8282-2A4E1F89C509}"/>
    <cellStyle name="Calcul 3 3 9 4" xfId="32182" xr:uid="{7FD046C8-0CBE-4C60-BBE7-AF423803A7F0}"/>
    <cellStyle name="Calcul 3 4" xfId="18634" xr:uid="{CBA9EC18-EE7A-4BF3-9106-D91E74F4FE5C}"/>
    <cellStyle name="Calcul 3 4 10" xfId="20094" xr:uid="{9BBC8B5E-1484-45D2-9BD3-858FF0E11493}"/>
    <cellStyle name="Calcul 3 4 11" xfId="20075" xr:uid="{F9310AB6-AAAB-45D2-8FBA-43B76027A50F}"/>
    <cellStyle name="Calcul 3 4 12" xfId="22768" xr:uid="{0AAC5154-2D94-4258-AA7A-5DF499B77139}"/>
    <cellStyle name="Calcul 3 4 13" xfId="21942" xr:uid="{DFE4EC4E-682E-4503-8E5D-C79BB18F6A9A}"/>
    <cellStyle name="Calcul 3 4 14" xfId="22904" xr:uid="{9071AB33-FAA6-48C7-B1EF-AD506136C8D6}"/>
    <cellStyle name="Calcul 3 4 15" xfId="22123" xr:uid="{5A6EDCCC-EC06-4FE9-8553-9DA7A2256407}"/>
    <cellStyle name="Calcul 3 4 16" xfId="31522" xr:uid="{5221C1D3-AC6F-4968-816F-8A067766BEA4}"/>
    <cellStyle name="Calcul 3 4 2" xfId="19836" xr:uid="{A0DD3B94-C298-4112-A3EB-AE6DFCBEBABC}"/>
    <cellStyle name="Calcul 3 4 2 2" xfId="27360" xr:uid="{48059D4D-30F6-4FE0-86A2-D6743DB494B6}"/>
    <cellStyle name="Calcul 3 4 2 3" xfId="34204" xr:uid="{4D5D71B1-0FCB-49C0-A248-190DC9ABDE57}"/>
    <cellStyle name="Calcul 3 4 3" xfId="21031" xr:uid="{ADCDA102-A969-4FA0-B7F6-B928DF2C3389}"/>
    <cellStyle name="Calcul 3 4 3 2" xfId="29440" xr:uid="{2B2E5A45-7278-4330-9855-6119A0255518}"/>
    <cellStyle name="Calcul 3 4 3 3" xfId="36285" xr:uid="{11A82D3F-FF18-4D37-AF2D-06B43D4B696E}"/>
    <cellStyle name="Calcul 3 4 4" xfId="20035" xr:uid="{7187BE71-68EA-43FC-B4D3-90EC52458C7D}"/>
    <cellStyle name="Calcul 3 4 5" xfId="22083" xr:uid="{34E500A2-37CE-4FBE-A967-FE08F5726257}"/>
    <cellStyle name="Calcul 3 4 6" xfId="20554" xr:uid="{9066D96E-1581-4CFC-80C0-9FB8CA92C3E7}"/>
    <cellStyle name="Calcul 3 4 7" xfId="19483" xr:uid="{36920557-2442-4B37-8CB4-6A47FA915223}"/>
    <cellStyle name="Calcul 3 4 8" xfId="22253" xr:uid="{C54D0361-8815-4FD7-BBFF-6475F67501BF}"/>
    <cellStyle name="Calcul 3 4 9" xfId="22505" xr:uid="{3C2A72AC-D467-4E23-9E78-BB44EB8BAA98}"/>
    <cellStyle name="Calcul 3 5" xfId="24690" xr:uid="{FDA0C30B-983D-4319-96DE-5D085CD6E2DA}"/>
    <cellStyle name="Calcul 3 5 2" xfId="27304" xr:uid="{78641957-BAEA-4B9F-A9E8-1D8CF7BDFCB9}"/>
    <cellStyle name="Calcul 3 5 2 2" xfId="34148" xr:uid="{5DB08983-C6C4-4C68-88B8-C18A4E1862C6}"/>
    <cellStyle name="Calcul 3 5 3" xfId="29384" xr:uid="{B72A98DE-DE8C-4E00-B995-A7DAE56A92A6}"/>
    <cellStyle name="Calcul 3 5 3 2" xfId="36229" xr:uid="{9BE692A2-6857-4889-8D97-6F915FF3B5FE}"/>
    <cellStyle name="Calcul 3 5 4" xfId="31466" xr:uid="{78B1DBDA-35D5-4ABC-91D1-90EB656C377A}"/>
    <cellStyle name="Calcul 3 6" xfId="24342" xr:uid="{EF9E289A-53D4-4145-B412-65F53FC5BB6B}"/>
    <cellStyle name="Calcul 3 6 2" xfId="26948" xr:uid="{379F997C-0405-41FE-9941-BAB4687FA2D2}"/>
    <cellStyle name="Calcul 3 6 2 2" xfId="33788" xr:uid="{011617C0-A75B-4C51-A4DC-6D2B8C5C3573}"/>
    <cellStyle name="Calcul 3 6 3" xfId="29024" xr:uid="{17C94125-D784-45B3-8D04-DB716E454C7F}"/>
    <cellStyle name="Calcul 3 6 3 2" xfId="35869" xr:uid="{010DB7A5-72DE-4CCA-87E5-76D0BDCF4117}"/>
    <cellStyle name="Calcul 3 6 4" xfId="31106" xr:uid="{B1528377-A482-44C5-AA98-623B71835266}"/>
    <cellStyle name="Calcul 3 7" xfId="24735" xr:uid="{5D8723AE-B046-4333-9C7F-4EE173D1056D}"/>
    <cellStyle name="Calcul 3 7 2" xfId="27384" xr:uid="{7EF57D02-DFA8-43CB-9C21-1FF356FB8CC8}"/>
    <cellStyle name="Calcul 3 7 2 2" xfId="34228" xr:uid="{CBD864CC-4663-44CD-A34E-57F0A16E7212}"/>
    <cellStyle name="Calcul 3 7 3" xfId="29464" xr:uid="{DA8D1434-8F1F-4FEF-A7E8-26976CE7AF03}"/>
    <cellStyle name="Calcul 3 7 3 2" xfId="36309" xr:uid="{C831F6AA-A001-4DA6-8C80-7B251A755893}"/>
    <cellStyle name="Calcul 3 7 4" xfId="31546" xr:uid="{7CB208B5-319C-4119-AE65-14F17E1F192D}"/>
    <cellStyle name="Calcul 3 8" xfId="24435" xr:uid="{EB8B4FD4-4633-42FD-9FC5-A315E9E75552}"/>
    <cellStyle name="Calcul 3 8 2" xfId="27055" xr:uid="{A2DB95AE-0DBA-442F-962D-94A77E4BE321}"/>
    <cellStyle name="Calcul 3 8 2 2" xfId="33895" xr:uid="{12CC6216-908F-4BFD-9347-0FC521B0B6D4}"/>
    <cellStyle name="Calcul 3 8 3" xfId="29131" xr:uid="{4B0796B6-4881-4932-8A1D-4C507AD8A239}"/>
    <cellStyle name="Calcul 3 8 3 2" xfId="35976" xr:uid="{39D16557-133C-4D60-800B-E07994E3F10C}"/>
    <cellStyle name="Calcul 3 8 4" xfId="31213" xr:uid="{6943F636-E786-4F51-95C5-CD84292C6877}"/>
    <cellStyle name="Calcul 3 9" xfId="25061" xr:uid="{2E01A9B0-DF83-4C1D-80B9-2A92026819FD}"/>
    <cellStyle name="Calcul 3 9 2" xfId="27733" xr:uid="{309E26DF-419D-4326-962C-2C0928981579}"/>
    <cellStyle name="Calcul 3 9 2 2" xfId="34578" xr:uid="{D7A5C390-6603-4C35-B0CB-60626D23C233}"/>
    <cellStyle name="Calcul 3 9 3" xfId="29814" xr:uid="{6F571B3E-AF77-4C71-8BDB-C73105C12C63}"/>
    <cellStyle name="Calcul 3 9 3 2" xfId="36659" xr:uid="{22C2FDBC-27F1-4ED8-8FB6-115C675FD56F}"/>
    <cellStyle name="Calcul 3 9 4" xfId="31896" xr:uid="{0643AADB-D7EE-49D5-907B-CEEA5CB4E1A0}"/>
    <cellStyle name="Calcul 4" xfId="17585" xr:uid="{E40A6EB0-A66F-4ACB-8A7F-1666369C3E42}"/>
    <cellStyle name="Calcul 4 10" xfId="25547" xr:uid="{394500B9-F9EE-40D4-BF51-469E5532BD13}"/>
    <cellStyle name="Calcul 4 10 2" xfId="28214" xr:uid="{DDD21916-3552-4ECA-A45C-1D62019FC766}"/>
    <cellStyle name="Calcul 4 10 2 2" xfId="35059" xr:uid="{CA799EA5-A9C8-4462-9717-BD3276167614}"/>
    <cellStyle name="Calcul 4 10 3" xfId="30295" xr:uid="{46AB0EA8-67F9-4840-80FE-D5EE927E542C}"/>
    <cellStyle name="Calcul 4 10 3 2" xfId="37140" xr:uid="{445E6CF4-E383-491E-B154-93A25D2E0729}"/>
    <cellStyle name="Calcul 4 10 4" xfId="32377" xr:uid="{DA9ABC23-4137-47E6-ABC4-ADADC93B5EA6}"/>
    <cellStyle name="Calcul 4 11" xfId="24127" xr:uid="{A4E676AF-3876-4CFF-95D1-DA00A36F14CA}"/>
    <cellStyle name="Calcul 4 11 2" xfId="26739" xr:uid="{9F6DA052-BF32-43AF-9C15-733C0835E631}"/>
    <cellStyle name="Calcul 4 11 2 2" xfId="33579" xr:uid="{4464E53C-F482-42E2-B08D-9FDF537CED51}"/>
    <cellStyle name="Calcul 4 11 3" xfId="28815" xr:uid="{ACC6AECB-A1DD-4748-A427-4B0AAEB9DF1E}"/>
    <cellStyle name="Calcul 4 11 3 2" xfId="35660" xr:uid="{CB076F64-2B47-4068-B656-1101424D2DDE}"/>
    <cellStyle name="Calcul 4 11 4" xfId="30897" xr:uid="{B6A24F17-6F42-43C8-995C-53870F4C7C29}"/>
    <cellStyle name="Calcul 4 12" xfId="25711" xr:uid="{F3E232BB-1162-423A-B052-29D48C198537}"/>
    <cellStyle name="Calcul 4 12 2" xfId="28378" xr:uid="{C19C4A34-171A-4941-8A1A-4C377667EAB1}"/>
    <cellStyle name="Calcul 4 12 2 2" xfId="35223" xr:uid="{8ACE40D4-58C8-41FB-B904-D3F8491D4CC8}"/>
    <cellStyle name="Calcul 4 12 3" xfId="30459" xr:uid="{F72D29FD-BFBB-42F7-BFBC-7A28A46317C1}"/>
    <cellStyle name="Calcul 4 12 3 2" xfId="37304" xr:uid="{26768927-D6D6-4C1A-AED3-58006C66F65F}"/>
    <cellStyle name="Calcul 4 12 4" xfId="32541" xr:uid="{33BEF36E-15C3-454A-844D-CAA11642C329}"/>
    <cellStyle name="Calcul 4 13" xfId="24051" xr:uid="{C74AA6BC-AEAB-4D8F-95C6-C66C7388F7AD}"/>
    <cellStyle name="Calcul 4 13 2" xfId="26664" xr:uid="{AAEEE997-BC3E-49F2-BD21-926E7357B9F5}"/>
    <cellStyle name="Calcul 4 13 2 2" xfId="33504" xr:uid="{3AABCD9D-25C6-4706-BF61-519790ECC7F9}"/>
    <cellStyle name="Calcul 4 13 3" xfId="28740" xr:uid="{292A084C-7A7E-4AE3-B27E-8300A1B4631C}"/>
    <cellStyle name="Calcul 4 13 3 2" xfId="35585" xr:uid="{CEEF2BB8-8E3C-480F-BC92-D54AEA822CE1}"/>
    <cellStyle name="Calcul 4 13 4" xfId="30822" xr:uid="{23008F45-F28D-48D2-AC71-CEEE4728417E}"/>
    <cellStyle name="Calcul 4 14" xfId="25900" xr:uid="{4AA28ED8-9DE4-4959-AE65-2E902166FB2A}"/>
    <cellStyle name="Calcul 4 14 2" xfId="28566" xr:uid="{38A9321D-5DB1-4126-8640-24CD1F78107B}"/>
    <cellStyle name="Calcul 4 14 2 2" xfId="35411" xr:uid="{C70CBA5F-5D6E-47CB-AF34-6D8E8E690060}"/>
    <cellStyle name="Calcul 4 14 3" xfId="30647" xr:uid="{31AD98E8-26B6-4AC1-AD48-A4689AD1AA97}"/>
    <cellStyle name="Calcul 4 14 3 2" xfId="37492" xr:uid="{30D2CF4B-62BD-42D2-AEE1-769BF9781B84}"/>
    <cellStyle name="Calcul 4 14 4" xfId="32729" xr:uid="{9986DC46-FD17-46B2-A187-16B2063A2436}"/>
    <cellStyle name="Calcul 4 15" xfId="25578" xr:uid="{7B526025-7DEB-4745-9125-27E21410D81B}"/>
    <cellStyle name="Calcul 4 15 2" xfId="28245" xr:uid="{EBBFCCF3-5DF7-42F3-9390-A6FF3325FA55}"/>
    <cellStyle name="Calcul 4 15 2 2" xfId="35090" xr:uid="{CDAA05E1-4A62-41A9-8AE3-95D045EA5EF5}"/>
    <cellStyle name="Calcul 4 15 3" xfId="30326" xr:uid="{BADDF49B-D7CB-4F39-9D73-2C1B6883B689}"/>
    <cellStyle name="Calcul 4 15 3 2" xfId="37171" xr:uid="{BEFDB20E-3BB8-4C79-B4B2-F08DF27C7967}"/>
    <cellStyle name="Calcul 4 15 4" xfId="32408" xr:uid="{F75D5C48-9490-4CA5-ABC4-DB7A876D99C3}"/>
    <cellStyle name="Calcul 4 16" xfId="23623" xr:uid="{B9C73134-3C55-45A5-95C6-6FCC59C37AC2}"/>
    <cellStyle name="Calcul 4 2" xfId="18597" xr:uid="{7033E616-DC3E-44D1-B488-7398C80FBD90}"/>
    <cellStyle name="Calcul 4 2 10" xfId="19026" xr:uid="{5A6EF2CE-DC8F-42E5-BE83-FA53DEDFB819}"/>
    <cellStyle name="Calcul 4 2 11" xfId="20965" xr:uid="{06820CBA-6786-41CC-A06B-E2E12BBB2CFE}"/>
    <cellStyle name="Calcul 4 2 12" xfId="22740" xr:uid="{7B8E63DC-874C-4B4E-A780-620775DF4708}"/>
    <cellStyle name="Calcul 4 2 13" xfId="21589" xr:uid="{0DC9D218-49DA-464E-8367-44365B71EF9D}"/>
    <cellStyle name="Calcul 4 2 14" xfId="22876" xr:uid="{C5628661-EACA-4DFF-A77E-73B0DE1C586D}"/>
    <cellStyle name="Calcul 4 2 15" xfId="21555" xr:uid="{2EE1C1BE-786C-4E21-826E-9D7AD3EDE890}"/>
    <cellStyle name="Calcul 4 2 16" xfId="23416" xr:uid="{86EFD628-1882-4170-AC9F-4D03F77EBA4B}"/>
    <cellStyle name="Calcul 4 2 2" xfId="19864" xr:uid="{634E22A8-CA4E-4AD7-B2C3-067B6B53BF79}"/>
    <cellStyle name="Calcul 4 2 2 2" xfId="26388" xr:uid="{26FF4214-4EB6-42BE-8B9B-84EDD8C250B2}"/>
    <cellStyle name="Calcul 4 2 2 3" xfId="33227" xr:uid="{208C2C7F-4FF4-462E-8C54-CC632C363824}"/>
    <cellStyle name="Calcul 4 2 3" xfId="19513" xr:uid="{E1EAB13C-082F-4CB6-A7CB-9299802D547B}"/>
    <cellStyle name="Calcul 4 2 3 2" xfId="26294" xr:uid="{6E4AD6DE-2F47-462B-902C-18A51DDD22BD}"/>
    <cellStyle name="Calcul 4 2 3 3" xfId="33122" xr:uid="{8E56510B-66F3-4780-A420-2B87B28D7E64}"/>
    <cellStyle name="Calcul 4 2 4" xfId="20689" xr:uid="{EDC41BF2-07DB-4B74-9064-4F96B845B210}"/>
    <cellStyle name="Calcul 4 2 5" xfId="19011" xr:uid="{2EA767EF-89F8-474D-BF13-624EBAAF8B61}"/>
    <cellStyle name="Calcul 4 2 6" xfId="20708" xr:uid="{DF119684-882D-4245-9FBF-F4EB690A6596}"/>
    <cellStyle name="Calcul 4 2 7" xfId="20130" xr:uid="{DF29C165-B7C7-4190-8C40-0C25F4235003}"/>
    <cellStyle name="Calcul 4 2 8" xfId="22358" xr:uid="{C2670ADC-F896-4FD2-B398-7CF00E58A229}"/>
    <cellStyle name="Calcul 4 2 9" xfId="22476" xr:uid="{39AB9D8A-EFE2-4ACF-9094-63EA44CADDA8}"/>
    <cellStyle name="Calcul 4 3" xfId="24226" xr:uid="{562AEB33-250A-4EE8-8FBE-46AF5B7C6ED1}"/>
    <cellStyle name="Calcul 4 3 2" xfId="26836" xr:uid="{A76607CA-AE41-4581-A19B-89C04EA79F7D}"/>
    <cellStyle name="Calcul 4 3 2 2" xfId="33676" xr:uid="{FA9B142C-48A2-4F24-AD80-8A54638D6159}"/>
    <cellStyle name="Calcul 4 3 3" xfId="28912" xr:uid="{6D0BD687-2032-4C58-8E3D-F5E9D66EC45E}"/>
    <cellStyle name="Calcul 4 3 3 2" xfId="35757" xr:uid="{0BDD9842-72E3-46DA-9275-60CA25099979}"/>
    <cellStyle name="Calcul 4 3 4" xfId="30994" xr:uid="{5F5BBD36-E935-4AB4-A09C-937AFED4D3A7}"/>
    <cellStyle name="Calcul 4 4" xfId="24991" xr:uid="{059FAFCF-566F-4D8C-A871-AA17910C35CD}"/>
    <cellStyle name="Calcul 4 4 2" xfId="27661" xr:uid="{0014113C-EF9E-43CF-8495-544187D0607C}"/>
    <cellStyle name="Calcul 4 4 2 2" xfId="34506" xr:uid="{86AC065F-8A83-4734-97B9-8EF0DF3A08DC}"/>
    <cellStyle name="Calcul 4 4 3" xfId="29742" xr:uid="{04407063-F2D1-43EA-9410-50DA770E3348}"/>
    <cellStyle name="Calcul 4 4 3 2" xfId="36587" xr:uid="{A6C41FF0-B1C7-4B04-A3E1-DAF09FEFC2E7}"/>
    <cellStyle name="Calcul 4 4 4" xfId="31824" xr:uid="{D3E30C09-AAFE-4A19-8C7C-A8ECA8DDA7FC}"/>
    <cellStyle name="Calcul 4 5" xfId="24346" xr:uid="{A4A3E93F-0346-46B2-8811-62EA5EAC504C}"/>
    <cellStyle name="Calcul 4 5 2" xfId="26952" xr:uid="{81871C3E-728C-4E65-A289-C377D762D343}"/>
    <cellStyle name="Calcul 4 5 2 2" xfId="33792" xr:uid="{DEDE49E6-A8C5-48F1-9DFA-0E50AA51E94B}"/>
    <cellStyle name="Calcul 4 5 3" xfId="29028" xr:uid="{A09A662B-50BF-4764-98C8-6378D76DA04E}"/>
    <cellStyle name="Calcul 4 5 3 2" xfId="35873" xr:uid="{C773B375-A9C2-41F4-8305-A4F81DE1E4A4}"/>
    <cellStyle name="Calcul 4 5 4" xfId="31110" xr:uid="{DEB2D52F-E43C-42DC-8A8C-77FF90BC6BAB}"/>
    <cellStyle name="Calcul 4 6" xfId="25325" xr:uid="{CDF0349A-84D2-4CFB-9E33-19E087758CC4}"/>
    <cellStyle name="Calcul 4 6 2" xfId="27994" xr:uid="{E3594DE8-54C7-4FBE-8E2A-AE12E2D89A87}"/>
    <cellStyle name="Calcul 4 6 2 2" xfId="34839" xr:uid="{C7C657CB-AA3D-4EEA-8BD3-4A0B567F1260}"/>
    <cellStyle name="Calcul 4 6 3" xfId="30075" xr:uid="{1C3CFCBF-5BEA-4289-9668-3ABBEE6A2D92}"/>
    <cellStyle name="Calcul 4 6 3 2" xfId="36920" xr:uid="{B92B696D-2493-4F0C-8FAB-70C2D69C898A}"/>
    <cellStyle name="Calcul 4 6 4" xfId="32157" xr:uid="{AEB37166-167C-429A-A1C6-E38B42AD326C}"/>
    <cellStyle name="Calcul 4 7" xfId="24647" xr:uid="{D6439205-74B3-4750-AF97-7DDA160CDE3D}"/>
    <cellStyle name="Calcul 4 7 2" xfId="27253" xr:uid="{14FB15D4-5CAE-4C55-B1A1-DCAD6B33B4F8}"/>
    <cellStyle name="Calcul 4 7 2 2" xfId="34097" xr:uid="{02A6AD93-A012-4D05-A6BC-34D330EFEA4A}"/>
    <cellStyle name="Calcul 4 7 3" xfId="29333" xr:uid="{1C579A6C-7D60-43A9-AED6-6ED28C260982}"/>
    <cellStyle name="Calcul 4 7 3 2" xfId="36178" xr:uid="{B377EF71-7CAD-4139-B523-DC08B3755369}"/>
    <cellStyle name="Calcul 4 7 4" xfId="31415" xr:uid="{CCD86606-E1F8-475C-9AEF-4A7E2F74A6A1}"/>
    <cellStyle name="Calcul 4 8" xfId="24889" xr:uid="{083436D0-0D87-456C-9A4E-FD87F6AA7D68}"/>
    <cellStyle name="Calcul 4 8 2" xfId="27557" xr:uid="{9FB84FAE-7BF0-419D-B608-A521C013BF77}"/>
    <cellStyle name="Calcul 4 8 2 2" xfId="34401" xr:uid="{CA8DCCCD-12C4-4F5B-B6B2-071FD2A3BA26}"/>
    <cellStyle name="Calcul 4 8 3" xfId="29637" xr:uid="{1267168B-D05B-4CE2-A1BB-52FE67B32B0F}"/>
    <cellStyle name="Calcul 4 8 3 2" xfId="36482" xr:uid="{BCE90887-99A7-4CC0-B5CD-9CAA61B4A045}"/>
    <cellStyle name="Calcul 4 8 4" xfId="31719" xr:uid="{83ED39C2-7DB1-4DD8-8594-DD6CA7288744}"/>
    <cellStyle name="Calcul 4 9" xfId="25395" xr:uid="{9A435E74-AD68-4A12-8864-CB575A4595A1}"/>
    <cellStyle name="Calcul 4 9 2" xfId="28062" xr:uid="{D9AFC24C-4397-4D58-BA38-6AFC2F6FADD7}"/>
    <cellStyle name="Calcul 4 9 2 2" xfId="34907" xr:uid="{46CAA64C-F493-40DD-BAAE-62D97E7BDFB2}"/>
    <cellStyle name="Calcul 4 9 3" xfId="30143" xr:uid="{F31621C9-2D34-45D4-AD3A-DFBA50071C32}"/>
    <cellStyle name="Calcul 4 9 3 2" xfId="36988" xr:uid="{A015AF87-3E69-40C6-8A4C-70F20FA7438F}"/>
    <cellStyle name="Calcul 4 9 4" xfId="32225" xr:uid="{DA81AF18-BFEA-4D83-981B-223BE895988B}"/>
    <cellStyle name="Calcul 5" xfId="17377" xr:uid="{92264CD6-E581-45FC-BBF5-D6802B58E845}"/>
    <cellStyle name="Calcul 5 2" xfId="26333" xr:uid="{38DC932B-0F13-4028-9608-EEE37B60BE50}"/>
    <cellStyle name="Calcul 5 2 2" xfId="33162" xr:uid="{F79A9860-8FBB-4791-809B-A85EB6ABA530}"/>
    <cellStyle name="Calcul 5 3" xfId="26042" xr:uid="{CB883FD0-6E3C-4850-89D4-197AEE9BB173}"/>
    <cellStyle name="Calcul 5 3 2" xfId="32871" xr:uid="{0135B39A-13AE-4ADF-9E4F-21D7D9CE69FF}"/>
    <cellStyle name="Calcul 5 4" xfId="23461" xr:uid="{FE944536-9493-494B-B851-34A26C729EE3}"/>
    <cellStyle name="Calcul 5 5" xfId="23021" xr:uid="{2541493B-E5D2-4512-AAA4-9DF1DC092480}"/>
    <cellStyle name="Calcul 6" xfId="24657" xr:uid="{7E9EB841-4520-432C-88B2-2C87E8082E1E}"/>
    <cellStyle name="Calcul 6 2" xfId="27266" xr:uid="{27491F4A-F8A4-4803-B71B-6F336BA8B4D9}"/>
    <cellStyle name="Calcul 6 2 2" xfId="34110" xr:uid="{A8C81064-CB03-4A7D-83DB-965B1FE5D06E}"/>
    <cellStyle name="Calcul 6 3" xfId="29346" xr:uid="{DFDA9446-98C9-4038-8023-652DDCACA1A1}"/>
    <cellStyle name="Calcul 6 3 2" xfId="36191" xr:uid="{77EEFD69-57B9-4777-AF3E-A128A3617FB7}"/>
    <cellStyle name="Calcul 6 4" xfId="31428" xr:uid="{0D26E94A-AD73-4E96-9DF5-E2D1289F8649}"/>
    <cellStyle name="Calcul 7" xfId="24902" xr:uid="{C8E654B8-9F4C-4EFA-8DA6-0515816FEC34}"/>
    <cellStyle name="Calcul 7 2" xfId="27570" xr:uid="{5F97B641-A645-490D-90F1-1516B82CEFF5}"/>
    <cellStyle name="Calcul 7 2 2" xfId="34414" xr:uid="{648834C8-5EE6-4D3A-A0C2-E5191287BD84}"/>
    <cellStyle name="Calcul 7 3" xfId="29650" xr:uid="{37DD94BC-BA81-40F8-A582-4EEF7C1AE683}"/>
    <cellStyle name="Calcul 7 3 2" xfId="36495" xr:uid="{39CF5C82-2DE0-4DF0-AF84-7A6B48F5C63F}"/>
    <cellStyle name="Calcul 7 4" xfId="31732" xr:uid="{4580B1E2-81C5-4F0F-AFFB-40FF828CCEE5}"/>
    <cellStyle name="Calcul 8" xfId="24860" xr:uid="{E148FCC5-C9D8-46AE-9B8B-4892FA770BB5}"/>
    <cellStyle name="Calcul 8 2" xfId="27523" xr:uid="{B1A4D609-731D-4F1E-9935-5240E09D9E13}"/>
    <cellStyle name="Calcul 8 2 2" xfId="34367" xr:uid="{3E32C18A-E7EA-43CF-92F3-021936362CC3}"/>
    <cellStyle name="Calcul 8 3" xfId="29603" xr:uid="{5E7FE879-2C99-47E2-9A8B-CC78E19F4D62}"/>
    <cellStyle name="Calcul 8 3 2" xfId="36448" xr:uid="{A24F40DD-0E28-441E-BF8B-EDFA2A20CA49}"/>
    <cellStyle name="Calcul 8 4" xfId="31685" xr:uid="{B289E8A6-6DA1-4C3A-BF37-3002D8B0429E}"/>
    <cellStyle name="Calcul 9" xfId="23794" xr:uid="{3FDE92BE-DCAF-438D-9BD3-358DAFB56DE4}"/>
    <cellStyle name="Calcul 9 2" xfId="26407" xr:uid="{91D6A75F-D46E-4F19-83DA-433BA1F42B23}"/>
    <cellStyle name="Calcul 9 2 2" xfId="33247" xr:uid="{018F70B1-C206-458B-B88F-90E26439A038}"/>
    <cellStyle name="Calcul 9 3" xfId="26275" xr:uid="{A1B7E479-0CB2-472B-B142-D3E851DC86E0}"/>
    <cellStyle name="Calcul 9 3 2" xfId="33103" xr:uid="{D9986170-D45A-4B6C-8B79-64D479F46FA7}"/>
    <cellStyle name="Calcul 9 4" xfId="23397" xr:uid="{93FC2A1F-78A2-475E-9430-853F73DF2124}"/>
    <cellStyle name="Calculation" xfId="5537" builtinId="22" customBuiltin="1"/>
    <cellStyle name="Calculation 2" xfId="784" xr:uid="{00000000-0005-0000-0000-000023030000}"/>
    <cellStyle name="Calculation 2 10" xfId="785" xr:uid="{00000000-0005-0000-0000-000024030000}"/>
    <cellStyle name="Calculation 2 10 10" xfId="40100" xr:uid="{1AD50961-83A3-4431-9110-74A66741137D}"/>
    <cellStyle name="Calculation 2 10 2" xfId="9461" xr:uid="{00000000-0005-0000-0000-000000030000}"/>
    <cellStyle name="Calculation 2 10 2 10" xfId="19001" xr:uid="{33F5DA6E-4A80-4514-9F26-E96352F9A012}"/>
    <cellStyle name="Calculation 2 10 2 11" xfId="19495" xr:uid="{71FEDC04-27B9-4C8E-A801-7D360A0FA16E}"/>
    <cellStyle name="Calculation 2 10 2 12" xfId="20990" xr:uid="{432DA0A9-B043-4F84-A08B-DD4720F3B470}"/>
    <cellStyle name="Calculation 2 10 2 13" xfId="18889" xr:uid="{5B2EA43D-2CE0-4534-BE4F-7930B2397CC5}"/>
    <cellStyle name="Calculation 2 10 2 14" xfId="22851" xr:uid="{2F38ACD8-5121-4BC5-9923-E782480C0D02}"/>
    <cellStyle name="Calculation 2 10 2 15" xfId="21563" xr:uid="{7A7BC4C1-E08F-4605-B8F1-1C42D053FE89}"/>
    <cellStyle name="Calculation 2 10 2 16" xfId="33163" xr:uid="{3004474B-5AEF-4BBC-955C-5787D06F8C37}"/>
    <cellStyle name="Calculation 2 10 2 17" xfId="18351" xr:uid="{31018C00-60C0-47EE-A267-0623136ABDA1}"/>
    <cellStyle name="Calculation 2 10 2 18" xfId="41951" xr:uid="{D947C545-DD62-4D36-99CC-E4A599F3B510}"/>
    <cellStyle name="Calculation 2 10 2 19" xfId="37738" xr:uid="{DCDF32B1-80EF-44E3-B52E-B57B8971B37B}"/>
    <cellStyle name="Calculation 2 10 2 2" xfId="20005" xr:uid="{89789837-8052-47D1-BD3B-B331F4BF43E3}"/>
    <cellStyle name="Calculation 2 10 2 20" xfId="48942" xr:uid="{BE8D5B75-45A8-4CCA-A911-63489B78EE2C}"/>
    <cellStyle name="Calculation 2 10 2 21" xfId="40286" xr:uid="{E629BA09-D4E7-48EA-A202-F4D52BC578D9}"/>
    <cellStyle name="Calculation 2 10 2 22" xfId="47268" xr:uid="{E58FAD7E-3679-4349-8246-4C9AE143E986}"/>
    <cellStyle name="Calculation 2 10 2 3" xfId="21127" xr:uid="{465EE09C-9E20-430E-88FF-4C50051244CE}"/>
    <cellStyle name="Calculation 2 10 2 4" xfId="21501" xr:uid="{D8AD29B8-CA60-4A73-BAF1-2DF889BEC7AE}"/>
    <cellStyle name="Calculation 2 10 2 5" xfId="21941" xr:uid="{D5883517-4827-4BFA-98D3-EF91561925D8}"/>
    <cellStyle name="Calculation 2 10 2 6" xfId="21643" xr:uid="{B7329691-DAF5-4CFE-A623-1235F6A091B1}"/>
    <cellStyle name="Calculation 2 10 2 7" xfId="21684" xr:uid="{EC085AB0-6402-494B-B46A-4F54816DD614}"/>
    <cellStyle name="Calculation 2 10 2 8" xfId="22180" xr:uid="{A4B5E88D-F908-4D0A-8B09-50C41607000D}"/>
    <cellStyle name="Calculation 2 10 2 9" xfId="19870" xr:uid="{C6A2CF18-DA3C-475D-AEE0-C21D9F621413}"/>
    <cellStyle name="Calculation 2 10 3" xfId="17901" xr:uid="{7ADBF65B-6C04-4A1D-98CF-82E0C92C4810}"/>
    <cellStyle name="Calculation 2 10 3 2" xfId="26041" xr:uid="{B35C23C6-4BFB-4221-8125-4387C2AFAAFB}"/>
    <cellStyle name="Calculation 2 10 3 3" xfId="32870" xr:uid="{665F8551-B253-48DE-B691-5AC25FB4902F}"/>
    <cellStyle name="Calculation 2 10 4" xfId="23020" xr:uid="{28C13D8E-846F-45C3-952B-31C92D676657}"/>
    <cellStyle name="Calculation 2 10 5" xfId="14184" xr:uid="{398B416B-1895-47F9-8F35-E6592CD64853}"/>
    <cellStyle name="Calculation 2 10 6" xfId="15611" xr:uid="{73CDCE75-32A3-422F-A02E-A9E53D168F56}"/>
    <cellStyle name="Calculation 2 10 7" xfId="15472" xr:uid="{73207DDE-748B-4D49-81DE-24EAB90113A2}"/>
    <cellStyle name="Calculation 2 10 8" xfId="47701" xr:uid="{4349E034-CEB2-4A6A-93BD-EF83635DE272}"/>
    <cellStyle name="Calculation 2 10 9" xfId="14949" xr:uid="{F5AE1153-7263-443B-8DB4-3421FCBF630A}"/>
    <cellStyle name="Calculation 2 11" xfId="786" xr:uid="{00000000-0005-0000-0000-000025030000}"/>
    <cellStyle name="Calculation 2 11 10" xfId="47635" xr:uid="{07519538-E542-4CDE-A5F9-F949A27F5574}"/>
    <cellStyle name="Calculation 2 11 2" xfId="18352" xr:uid="{2CF20098-FFC1-41F6-8198-657F22EDFA0B}"/>
    <cellStyle name="Calculation 2 11 2 10" xfId="19330" xr:uid="{3D291000-212F-468C-9A2D-24567AEFDEEB}"/>
    <cellStyle name="Calculation 2 11 2 11" xfId="19521" xr:uid="{836EDD67-938A-40CF-B60A-A9C7FAB257F2}"/>
    <cellStyle name="Calculation 2 11 2 12" xfId="20612" xr:uid="{202128CE-0D5D-4877-93AD-FB97B6CAC211}"/>
    <cellStyle name="Calculation 2 11 2 13" xfId="22107" xr:uid="{CBE129F9-33D2-445C-A17B-48F5255B0DE0}"/>
    <cellStyle name="Calculation 2 11 2 14" xfId="22147" xr:uid="{20D932D6-C1C9-44B8-98A4-4B2DD70D4C6A}"/>
    <cellStyle name="Calculation 2 11 2 15" xfId="22993" xr:uid="{BB1C7D10-4208-4517-81E4-9DB4D509F072}"/>
    <cellStyle name="Calculation 2 11 2 16" xfId="34187" xr:uid="{2EAE135C-E248-423C-8C03-E89E8268C29A}"/>
    <cellStyle name="Calculation 2 11 2 2" xfId="20004" xr:uid="{37BD0FAA-53F6-4A39-8351-D4A0CED74415}"/>
    <cellStyle name="Calculation 2 11 2 3" xfId="21126" xr:uid="{167DB758-80C4-402B-A211-E116DE4D34EC}"/>
    <cellStyle name="Calculation 2 11 2 4" xfId="21248" xr:uid="{C8F796C9-7E6D-4F69-8609-5FFADA18E38F}"/>
    <cellStyle name="Calculation 2 11 2 5" xfId="20647" xr:uid="{31669FB0-BAEF-409B-A8D2-906FD356D63E}"/>
    <cellStyle name="Calculation 2 11 2 6" xfId="20058" xr:uid="{638D1667-5730-4A96-ACB1-059CACA4A465}"/>
    <cellStyle name="Calculation 2 11 2 7" xfId="21859" xr:uid="{B55F0C8B-7E8C-40E5-81FC-FB9D58688CF8}"/>
    <cellStyle name="Calculation 2 11 2 8" xfId="21520" xr:uid="{CC6537C8-BFBF-4A93-BF23-ADC86366EC5E}"/>
    <cellStyle name="Calculation 2 11 2 9" xfId="20452" xr:uid="{7E6E3109-6162-4260-A486-62A01E4B9377}"/>
    <cellStyle name="Calculation 2 11 3" xfId="17902" xr:uid="{DA0FAD46-103D-4BDA-AC7E-A2650200EDFE}"/>
    <cellStyle name="Calculation 2 11 3 2" xfId="29423" xr:uid="{1E067B68-461F-48AC-AD53-E65A23AC91D3}"/>
    <cellStyle name="Calculation 2 11 3 3" xfId="36268" xr:uid="{6478BBB5-EE5A-40B3-9A6A-50BAD33F6891}"/>
    <cellStyle name="Calculation 2 11 4" xfId="31505" xr:uid="{FC4C3E3E-8E86-4830-BACF-7DD060F1523B}"/>
    <cellStyle name="Calculation 2 11 5" xfId="14185" xr:uid="{4F7EA53B-9EE8-46D8-A70F-E8D842CD0EA3}"/>
    <cellStyle name="Calculation 2 11 6" xfId="15610" xr:uid="{3A6A58F0-BA04-45B2-B0A3-37F248C9D91A}"/>
    <cellStyle name="Calculation 2 11 7" xfId="46992" xr:uid="{FDD7E4F4-8679-456D-8264-794C56EE2B0C}"/>
    <cellStyle name="Calculation 2 11 8" xfId="14151" xr:uid="{9E42009F-346A-4B32-BE84-11EE46E8B326}"/>
    <cellStyle name="Calculation 2 11 9" xfId="46495" xr:uid="{E12D961D-8360-401C-8DFB-4C027A202660}"/>
    <cellStyle name="Calculation 2 12" xfId="18350" xr:uid="{F9223992-9499-4386-85F2-7F1174C3FCDF}"/>
    <cellStyle name="Calculation 2 12 10" xfId="20535" xr:uid="{DBAAD6D2-C88E-46CB-8253-0F86192FE25D}"/>
    <cellStyle name="Calculation 2 12 11" xfId="22079" xr:uid="{498C9825-18E4-429B-916A-3DD3A273DA11}"/>
    <cellStyle name="Calculation 2 12 12" xfId="22038" xr:uid="{3C5DBA0B-C5C3-4718-8AE7-3A03F9967086}"/>
    <cellStyle name="Calculation 2 12 13" xfId="21929" xr:uid="{C0DFE54F-C3C6-48B7-B623-1E1B2524B6D4}"/>
    <cellStyle name="Calculation 2 12 14" xfId="22722" xr:uid="{0D375406-D576-4143-919D-47EC904C1FC9}"/>
    <cellStyle name="Calculation 2 12 15" xfId="19363" xr:uid="{8F8AA2F5-F4F0-443A-BA62-D1512D50F9D4}"/>
    <cellStyle name="Calculation 2 12 16" xfId="31673" xr:uid="{5EFAE8C5-0AB8-4066-8817-8325373DF3EF}"/>
    <cellStyle name="Calculation 2 12 2" xfId="20006" xr:uid="{69D6B0EA-1C47-4C8D-B99D-84F89B2A5024}"/>
    <cellStyle name="Calculation 2 12 2 2" xfId="27511" xr:uid="{D7140C92-DF21-4543-9E1D-B2F04515537E}"/>
    <cellStyle name="Calculation 2 12 2 3" xfId="34355" xr:uid="{D1E266BF-05D2-41DB-8FD1-D2AA7041C58E}"/>
    <cellStyle name="Calculation 2 12 3" xfId="19476" xr:uid="{08500EB9-3F24-45C9-AD27-F040694BFFC9}"/>
    <cellStyle name="Calculation 2 12 3 2" xfId="29591" xr:uid="{0AC06838-EDB3-4572-BC53-0AAE3D079DD9}"/>
    <cellStyle name="Calculation 2 12 3 3" xfId="36436" xr:uid="{2105BE80-CA0F-49B7-922B-C1B7E89B3AD8}"/>
    <cellStyle name="Calculation 2 12 4" xfId="19597" xr:uid="{A9FC3230-E7CC-4145-A2CF-D1EFA50F2684}"/>
    <cellStyle name="Calculation 2 12 5" xfId="19666" xr:uid="{C61E4BCF-A039-42F0-9FB8-9A0528D9DA3D}"/>
    <cellStyle name="Calculation 2 12 6" xfId="22186" xr:uid="{5A79A6C1-8D0E-4651-AA35-637CAF35C803}"/>
    <cellStyle name="Calculation 2 12 7" xfId="19678" xr:uid="{51928C7F-60D0-40B4-9669-A6818AF97883}"/>
    <cellStyle name="Calculation 2 12 8" xfId="20606" xr:uid="{A1870FC3-BAF0-4469-B4E5-B69C24FFD205}"/>
    <cellStyle name="Calculation 2 12 9" xfId="22258" xr:uid="{34EF9EEB-44CD-4B1A-9868-1D0A87228BDE}"/>
    <cellStyle name="Calculation 2 13" xfId="17378" xr:uid="{850F410C-61DA-4060-BCC1-8FF9EB9B8821}"/>
    <cellStyle name="Calculation 2 13 2" xfId="27455" xr:uid="{DCA6E858-743B-4EB1-855B-4F8995899FB7}"/>
    <cellStyle name="Calculation 2 13 2 2" xfId="34299" xr:uid="{0D8A4633-0AE7-4001-942A-8696B6A6C2CE}"/>
    <cellStyle name="Calculation 2 13 3" xfId="29535" xr:uid="{8BE4A968-F624-46CF-A671-4C32D2890193}"/>
    <cellStyle name="Calculation 2 13 3 2" xfId="36380" xr:uid="{673FB149-CD60-49C1-B39C-295D9B817B49}"/>
    <cellStyle name="Calculation 2 13 4" xfId="24802" xr:uid="{B428BEB1-5431-4415-A575-DA1F34A7B091}"/>
    <cellStyle name="Calculation 2 13 5" xfId="31617" xr:uid="{D9B0312B-CE77-4576-ADDB-2A27FD6EA628}"/>
    <cellStyle name="Calculation 2 14" xfId="24908" xr:uid="{2325756C-933D-4074-8B15-DFAD6C041836}"/>
    <cellStyle name="Calculation 2 14 2" xfId="27577" xr:uid="{77218A88-6D8A-41F4-96A0-2119ED030482}"/>
    <cellStyle name="Calculation 2 14 2 2" xfId="34421" xr:uid="{C397E866-02B9-482A-B363-6A4D935FE6B5}"/>
    <cellStyle name="Calculation 2 14 3" xfId="29657" xr:uid="{F4F5DCFE-EEEF-4621-BE37-E08D31B8B1B0}"/>
    <cellStyle name="Calculation 2 14 3 2" xfId="36502" xr:uid="{5FC73864-767D-4F62-B6F7-E98468640B28}"/>
    <cellStyle name="Calculation 2 14 4" xfId="31739" xr:uid="{1F3A0145-D80B-4131-A947-C7642347BBE9}"/>
    <cellStyle name="Calculation 2 15" xfId="24099" xr:uid="{89803579-28E4-422E-BC07-84977804CB64}"/>
    <cellStyle name="Calculation 2 15 2" xfId="26712" xr:uid="{A906F996-47C7-4C2B-8C3B-A9430FD9B738}"/>
    <cellStyle name="Calculation 2 15 2 2" xfId="33552" xr:uid="{B8DECA02-7774-44FC-8738-16C181D18DE8}"/>
    <cellStyle name="Calculation 2 15 3" xfId="28788" xr:uid="{DC9FA8ED-A973-4B89-A78B-E3753091AB00}"/>
    <cellStyle name="Calculation 2 15 3 2" xfId="35633" xr:uid="{AB98EE72-7230-4626-BAA8-BA492B22F8D5}"/>
    <cellStyle name="Calculation 2 15 4" xfId="30870" xr:uid="{6EE9B309-EA6D-4C1D-8D5B-399E116850DB}"/>
    <cellStyle name="Calculation 2 16" xfId="24055" xr:uid="{4ADA470B-79F7-4789-A001-44CE5E950055}"/>
    <cellStyle name="Calculation 2 16 2" xfId="26668" xr:uid="{DDA5C065-6BD7-44F8-A8BA-6E5989EE5295}"/>
    <cellStyle name="Calculation 2 16 2 2" xfId="33508" xr:uid="{25A88FC5-6D85-41B7-8DE8-BBD74BB14779}"/>
    <cellStyle name="Calculation 2 16 3" xfId="28744" xr:uid="{FF6706C9-8117-4352-9672-B6FAE23E46B8}"/>
    <cellStyle name="Calculation 2 16 3 2" xfId="35589" xr:uid="{F6DD8B39-DD9D-4CCC-9F9C-314EADD4E2BB}"/>
    <cellStyle name="Calculation 2 16 4" xfId="30826" xr:uid="{6C13B609-6967-429E-BE11-BFF08AAE0493}"/>
    <cellStyle name="Calculation 2 17" xfId="23841" xr:uid="{573B269E-B773-4F77-BE04-726892F69652}"/>
    <cellStyle name="Calculation 2 17 2" xfId="26461" xr:uid="{F76BCCD2-AE1C-4222-82E7-F66067C85F30}"/>
    <cellStyle name="Calculation 2 17 2 2" xfId="33301" xr:uid="{E55AF05E-5762-4423-B889-64CE7BCE5FCC}"/>
    <cellStyle name="Calculation 2 17 3" xfId="26222" xr:uid="{AD965EEF-49AB-42ED-9A63-D429B7D4A0E5}"/>
    <cellStyle name="Calculation 2 17 3 2" xfId="33050" xr:uid="{D7C5DA17-7071-46AF-B652-A8B50A8EF593}"/>
    <cellStyle name="Calculation 2 17 4" xfId="23344" xr:uid="{E87C2069-F69D-428E-AEF6-92AF5126D283}"/>
    <cellStyle name="Calculation 2 18" xfId="25444" xr:uid="{677D63CA-A70D-4749-BC86-EEEE6C468AD9}"/>
    <cellStyle name="Calculation 2 18 2" xfId="28111" xr:uid="{A3DEEBC8-FC51-4B3E-9A94-B854128BB368}"/>
    <cellStyle name="Calculation 2 18 2 2" xfId="34956" xr:uid="{D6FC8305-415B-4684-823D-AA772F8B66B7}"/>
    <cellStyle name="Calculation 2 18 3" xfId="30192" xr:uid="{07A48E6B-88D4-435A-8B84-596ABDFAAA86}"/>
    <cellStyle name="Calculation 2 18 3 2" xfId="37037" xr:uid="{308F5859-898E-4492-97FF-24BD6ACB6A8B}"/>
    <cellStyle name="Calculation 2 18 4" xfId="32274" xr:uid="{132EEE13-5A4C-4C1D-A505-CB57C0055663}"/>
    <cellStyle name="Calculation 2 19" xfId="25249" xr:uid="{664A17A1-B52D-4321-A69E-6782E718177B}"/>
    <cellStyle name="Calculation 2 19 2" xfId="27920" xr:uid="{6C3AF821-384F-4F1A-B160-6499049114F3}"/>
    <cellStyle name="Calculation 2 19 2 2" xfId="34765" xr:uid="{68972E84-33B0-4674-8E0D-AE42807FC706}"/>
    <cellStyle name="Calculation 2 19 3" xfId="30001" xr:uid="{25B3322C-25BF-459A-AF7B-4F1545D7839F}"/>
    <cellStyle name="Calculation 2 19 3 2" xfId="36846" xr:uid="{0F70CC05-BC0D-4F21-837E-9FC9A6209BE3}"/>
    <cellStyle name="Calculation 2 19 4" xfId="32083" xr:uid="{A3DABC80-946C-43F5-AD03-A43EC011662C}"/>
    <cellStyle name="Calculation 2 2" xfId="787" xr:uid="{00000000-0005-0000-0000-000026030000}"/>
    <cellStyle name="Calculation 2 2 10" xfId="24100" xr:uid="{0452D780-A511-4150-AB08-31E0D0A72A8D}"/>
    <cellStyle name="Calculation 2 2 10 2" xfId="26713" xr:uid="{EF8F81A6-9517-4E2E-9823-7EDE0A5D7077}"/>
    <cellStyle name="Calculation 2 2 10 2 2" xfId="33553" xr:uid="{2FFD9F87-7622-4EE2-89B6-1D399DBAC2C7}"/>
    <cellStyle name="Calculation 2 2 10 3" xfId="28789" xr:uid="{A8187CBB-6FBC-4069-8856-FA6D18CD94D8}"/>
    <cellStyle name="Calculation 2 2 10 3 2" xfId="35634" xr:uid="{65093782-D577-45C8-B344-C9D85E73574C}"/>
    <cellStyle name="Calculation 2 2 10 4" xfId="30871" xr:uid="{76EF1722-1CE4-464C-BAFE-84645ED977DB}"/>
    <cellStyle name="Calculation 2 2 11" xfId="24056" xr:uid="{5EAD82DE-9F61-4B78-841D-39E887E3B4F5}"/>
    <cellStyle name="Calculation 2 2 11 2" xfId="26669" xr:uid="{333F9152-1B11-46AB-B922-3CC4F3BE08FA}"/>
    <cellStyle name="Calculation 2 2 11 2 2" xfId="33509" xr:uid="{E28D9A3A-8E3F-4D1C-B245-51837593BF39}"/>
    <cellStyle name="Calculation 2 2 11 3" xfId="28745" xr:uid="{CE33CD0A-E780-459C-B26D-850283E59B80}"/>
    <cellStyle name="Calculation 2 2 11 3 2" xfId="35590" xr:uid="{D9526F19-7DED-470F-916A-B9E3C1D6B8B6}"/>
    <cellStyle name="Calculation 2 2 11 4" xfId="30827" xr:uid="{A8BB93AC-6C56-414D-BB7C-F4CDE1F3B7AE}"/>
    <cellStyle name="Calculation 2 2 12" xfId="23958" xr:uid="{D5FCB4F6-4226-4557-9DEC-4C4263ECB9BE}"/>
    <cellStyle name="Calculation 2 2 12 2" xfId="26576" xr:uid="{12C3CF1A-D349-4C10-B7C4-1EB3BC238DF8}"/>
    <cellStyle name="Calculation 2 2 12 2 2" xfId="33416" xr:uid="{4D59E076-53B8-4C8D-80A1-10919CBFCEE9}"/>
    <cellStyle name="Calculation 2 2 12 3" xfId="26052" xr:uid="{FBFC31C2-A149-4498-8C99-D14E3228ABF0}"/>
    <cellStyle name="Calculation 2 2 12 3 2" xfId="32881" xr:uid="{542C34BA-E130-4BE1-B6A6-45BEBD6941E6}"/>
    <cellStyle name="Calculation 2 2 12 4" xfId="23151" xr:uid="{600BDF35-EB31-4499-8E79-867095F02BC3}"/>
    <cellStyle name="Calculation 2 2 13" xfId="25514" xr:uid="{E5D65507-36CC-451F-8037-5AE2D0C7EDA9}"/>
    <cellStyle name="Calculation 2 2 13 2" xfId="28181" xr:uid="{73223E56-6883-4782-AA04-C57AE4041166}"/>
    <cellStyle name="Calculation 2 2 13 2 2" xfId="35026" xr:uid="{060E9DD3-09A5-42C9-9B4E-754E4BD0D9C4}"/>
    <cellStyle name="Calculation 2 2 13 3" xfId="30262" xr:uid="{5E17988A-AF50-401D-B990-B4745E9C2FA9}"/>
    <cellStyle name="Calculation 2 2 13 3 2" xfId="37107" xr:uid="{57D05492-D4E3-4A3C-925D-35EBBC40FF60}"/>
    <cellStyle name="Calculation 2 2 13 4" xfId="32344" xr:uid="{F1071595-9EA0-48E3-8A19-5E58EE07D59C}"/>
    <cellStyle name="Calculation 2 2 14" xfId="24243" xr:uid="{AE0B102C-88D0-499B-8799-46795C8ECF46}"/>
    <cellStyle name="Calculation 2 2 14 2" xfId="26850" xr:uid="{4F4D33E8-BC47-477F-A463-ADE5E57E3F5D}"/>
    <cellStyle name="Calculation 2 2 14 2 2" xfId="33690" xr:uid="{E98FC39D-D5B6-429F-A3F5-396F8CFA2E05}"/>
    <cellStyle name="Calculation 2 2 14 3" xfId="28926" xr:uid="{53BFE2EE-417B-418C-A195-5F2705264EC4}"/>
    <cellStyle name="Calculation 2 2 14 3 2" xfId="35771" xr:uid="{6EE74E24-710E-48FF-8943-4BD067F578A3}"/>
    <cellStyle name="Calculation 2 2 14 4" xfId="31008" xr:uid="{11F48A79-7AF7-4C21-B9C8-CC848564245E}"/>
    <cellStyle name="Calculation 2 2 15" xfId="25616" xr:uid="{C5DCFE54-7B05-4C7F-9F67-799D094E12B1}"/>
    <cellStyle name="Calculation 2 2 15 2" xfId="28283" xr:uid="{D61BBF67-5F93-4B51-B3FC-AF347C211472}"/>
    <cellStyle name="Calculation 2 2 15 2 2" xfId="35128" xr:uid="{43A90973-7867-4F81-9FD7-A6B3140DCB8D}"/>
    <cellStyle name="Calculation 2 2 15 3" xfId="30364" xr:uid="{00FBBB01-FDFB-44DA-9FE5-36EBB7FFA38E}"/>
    <cellStyle name="Calculation 2 2 15 3 2" xfId="37209" xr:uid="{A32239CE-FADD-4356-8C04-19C277323DCE}"/>
    <cellStyle name="Calculation 2 2 15 4" xfId="32446" xr:uid="{640E8F86-36E4-4C24-9D4E-DAAED61CAFA5}"/>
    <cellStyle name="Calculation 2 2 16" xfId="25131" xr:uid="{E5224295-269D-41D4-96B3-8BB500AE63A4}"/>
    <cellStyle name="Calculation 2 2 16 2" xfId="27803" xr:uid="{F5D97208-9715-46AC-B490-D3E4148B1A51}"/>
    <cellStyle name="Calculation 2 2 16 2 2" xfId="34648" xr:uid="{7A365801-4EF5-47A0-A0B5-510BFA61A69B}"/>
    <cellStyle name="Calculation 2 2 16 3" xfId="29884" xr:uid="{D7912AF7-9B82-4303-B1BE-40E45A7CD76F}"/>
    <cellStyle name="Calculation 2 2 16 3 2" xfId="36729" xr:uid="{29246BEB-8170-46B0-93BD-8E885E0D4F4C}"/>
    <cellStyle name="Calculation 2 2 16 4" xfId="31966" xr:uid="{83DF8389-8811-463E-895C-ACCED24AEC90}"/>
    <cellStyle name="Calculation 2 2 17" xfId="24019" xr:uid="{C7C4B31B-91E9-482B-81B5-7A9DA7D57FDA}"/>
    <cellStyle name="Calculation 2 2 17 2" xfId="26635" xr:uid="{B85B425A-45D9-4F5F-AEEB-D49A04A0E413}"/>
    <cellStyle name="Calculation 2 2 17 2 2" xfId="33475" xr:uid="{915BEAD6-B367-4446-9EA0-EA746B526A14}"/>
    <cellStyle name="Calculation 2 2 17 3" xfId="28711" xr:uid="{4484F018-DDEB-4DA6-B2FA-121D518D7AA5}"/>
    <cellStyle name="Calculation 2 2 17 3 2" xfId="35556" xr:uid="{800101CF-56D7-40BB-AA9E-D2A4C7059C06}"/>
    <cellStyle name="Calculation 2 2 17 4" xfId="30793" xr:uid="{32A14F53-EDD0-4945-AEF3-DE445589BCA9}"/>
    <cellStyle name="Calculation 2 2 18" xfId="24627" xr:uid="{3D288E40-684A-4A6A-895C-AB1CA7E30EFD}"/>
    <cellStyle name="Calculation 2 2 19" xfId="13631" xr:uid="{07E0DA94-5221-4524-A59C-50D0AEBD88B4}"/>
    <cellStyle name="Calculation 2 2 2" xfId="788" xr:uid="{00000000-0005-0000-0000-000027030000}"/>
    <cellStyle name="Calculation 2 2 2 10" xfId="25206" xr:uid="{CBB97861-4FB9-46FF-93F6-17400DB611F6}"/>
    <cellStyle name="Calculation 2 2 2 10 2" xfId="27878" xr:uid="{6B16EE2D-9DD9-4A08-9C71-1459677D571F}"/>
    <cellStyle name="Calculation 2 2 2 10 2 2" xfId="34723" xr:uid="{C3B7152D-9D41-4E8C-9B28-C3E65E7187BA}"/>
    <cellStyle name="Calculation 2 2 2 10 3" xfId="29959" xr:uid="{E7FF1B9D-DEF1-4F5C-B8F6-561ED846F9DC}"/>
    <cellStyle name="Calculation 2 2 2 10 3 2" xfId="36804" xr:uid="{3C5C2898-2965-4E52-B793-9FFDA0D9E96C}"/>
    <cellStyle name="Calculation 2 2 2 10 4" xfId="32041" xr:uid="{68D9ECAB-276C-4636-A3D5-26AFB72BA58F}"/>
    <cellStyle name="Calculation 2 2 2 11" xfId="25406" xr:uid="{D27C4AA5-A806-4590-B17A-41913844C9AC}"/>
    <cellStyle name="Calculation 2 2 2 11 2" xfId="28073" xr:uid="{C2C07501-15E6-4954-B010-22771BC5CBEC}"/>
    <cellStyle name="Calculation 2 2 2 11 2 2" xfId="34918" xr:uid="{5DFE1C90-72ED-4D1E-94DB-D094EAA4A783}"/>
    <cellStyle name="Calculation 2 2 2 11 3" xfId="30154" xr:uid="{F9FC2982-C072-45AC-81FA-84BAE76EC45C}"/>
    <cellStyle name="Calculation 2 2 2 11 3 2" xfId="36999" xr:uid="{01D0040B-6FAF-4482-B78D-0F253A4A3181}"/>
    <cellStyle name="Calculation 2 2 2 11 4" xfId="32236" xr:uid="{B69D58C8-43C8-49BC-B57A-C294A01D4FB3}"/>
    <cellStyle name="Calculation 2 2 2 12" xfId="25429" xr:uid="{07BB5CB4-78CA-4C22-8701-60D1DD15DDF0}"/>
    <cellStyle name="Calculation 2 2 2 12 2" xfId="28096" xr:uid="{318CEB42-2235-45B4-B44B-0AD11140CDDD}"/>
    <cellStyle name="Calculation 2 2 2 12 2 2" xfId="34941" xr:uid="{AF644183-2EE6-4F9B-B222-70C8AC261BC4}"/>
    <cellStyle name="Calculation 2 2 2 12 3" xfId="30177" xr:uid="{6141563D-F658-4EF9-A8F9-A2F69731C6DA}"/>
    <cellStyle name="Calculation 2 2 2 12 3 2" xfId="37022" xr:uid="{3A1AB820-D3BA-4F69-AE35-D2A7B90E9B3A}"/>
    <cellStyle name="Calculation 2 2 2 12 4" xfId="32259" xr:uid="{28070F8D-548E-4459-8FB6-BAEF31CE210E}"/>
    <cellStyle name="Calculation 2 2 2 13" xfId="23926" xr:uid="{677D30EC-01B3-4FDB-BEAB-646226ADE9E3}"/>
    <cellStyle name="Calculation 2 2 2 13 2" xfId="26544" xr:uid="{DB2DE076-EC58-456D-904E-4FF376BBC1CF}"/>
    <cellStyle name="Calculation 2 2 2 13 2 2" xfId="33384" xr:uid="{57516AF2-6978-4F13-A734-35A6B310DB83}"/>
    <cellStyle name="Calculation 2 2 2 13 3" xfId="26141" xr:uid="{4D3B84B2-17AA-49F0-9785-282D6ECADC35}"/>
    <cellStyle name="Calculation 2 2 2 13 3 2" xfId="32969" xr:uid="{C22FBB38-2710-4CD4-AD36-817E6D158B27}"/>
    <cellStyle name="Calculation 2 2 2 13 4" xfId="23263" xr:uid="{61B29452-0B2C-417A-8B02-4D89AE48B3FC}"/>
    <cellStyle name="Calculation 2 2 2 14" xfId="24044" xr:uid="{AF91EABD-1951-4BA9-A929-A70D5E2821DE}"/>
    <cellStyle name="Calculation 2 2 2 14 2" xfId="26658" xr:uid="{ADCE320F-CA47-4165-8B82-7B83AD3CC262}"/>
    <cellStyle name="Calculation 2 2 2 14 2 2" xfId="33498" xr:uid="{D6E1C343-392C-466F-B68C-27AB1C4B4325}"/>
    <cellStyle name="Calculation 2 2 2 14 3" xfId="28734" xr:uid="{E1AC79CA-3B64-468B-993F-8392877DD47C}"/>
    <cellStyle name="Calculation 2 2 2 14 3 2" xfId="35579" xr:uid="{91991D2D-1F13-43AE-9698-FF1FAD1CE55B}"/>
    <cellStyle name="Calculation 2 2 2 14 4" xfId="30816" xr:uid="{DDC66918-53E9-4BFB-8820-0DD168B7A458}"/>
    <cellStyle name="Calculation 2 2 2 15" xfId="24922" xr:uid="{019D95B1-1690-454F-8D27-54ACD65BD7DE}"/>
    <cellStyle name="Calculation 2 2 2 15 2" xfId="27591" xr:uid="{BFD63FC2-3F95-47E4-97DE-F0FE5E0D6E8E}"/>
    <cellStyle name="Calculation 2 2 2 15 2 2" xfId="34435" xr:uid="{E474CDB8-E42A-44A6-B168-D1A7DE3DB4E1}"/>
    <cellStyle name="Calculation 2 2 2 15 3" xfId="29671" xr:uid="{F2B9BE39-AEB6-4613-8129-9FF6C8D200E2}"/>
    <cellStyle name="Calculation 2 2 2 15 3 2" xfId="36516" xr:uid="{CAF4614D-F2C5-4F23-B506-3DDDD1F2FE6B}"/>
    <cellStyle name="Calculation 2 2 2 15 4" xfId="31753" xr:uid="{A71C4CCE-7C58-4ED0-BF8A-862B6AD8AFCE}"/>
    <cellStyle name="Calculation 2 2 2 16" xfId="25876" xr:uid="{FB30A2FC-FAEC-4A6A-BE67-16C9AE058580}"/>
    <cellStyle name="Calculation 2 2 2 16 2" xfId="28542" xr:uid="{68433891-EBF3-4E0D-AF45-1F4DF43EC83B}"/>
    <cellStyle name="Calculation 2 2 2 16 2 2" xfId="35387" xr:uid="{A02F9CE6-3CA8-4AC6-B7EA-4F226018091D}"/>
    <cellStyle name="Calculation 2 2 2 16 3" xfId="30623" xr:uid="{F72B9363-19B8-473B-9FD0-E2EAFDB7B1E0}"/>
    <cellStyle name="Calculation 2 2 2 16 3 2" xfId="37468" xr:uid="{EDB9F23B-7359-42FD-A704-8CFD79489936}"/>
    <cellStyle name="Calculation 2 2 2 16 4" xfId="32705" xr:uid="{7DC010B9-8220-4CFE-A4FB-02E091BFE448}"/>
    <cellStyle name="Calculation 2 2 2 17" xfId="25914" xr:uid="{712F2A93-380F-4CFB-8809-6FE9B82FF82C}"/>
    <cellStyle name="Calculation 2 2 2 17 2" xfId="28580" xr:uid="{2DFEBB6C-EF54-4ECE-9311-219C4994A9F0}"/>
    <cellStyle name="Calculation 2 2 2 17 2 2" xfId="35425" xr:uid="{67AE1ED5-EA09-4C05-90AF-C0A9139148A2}"/>
    <cellStyle name="Calculation 2 2 2 17 3" xfId="30661" xr:uid="{18F09A61-5CBD-49C9-BDE4-33A8A90F4B16}"/>
    <cellStyle name="Calculation 2 2 2 17 3 2" xfId="37506" xr:uid="{8A6F136B-6084-4F07-BA65-FC03E1C958BA}"/>
    <cellStyle name="Calculation 2 2 2 17 4" xfId="32743" xr:uid="{8089AE7A-E223-45C4-AFFD-4B929DCA33BB}"/>
    <cellStyle name="Calculation 2 2 2 18" xfId="23141" xr:uid="{CC68B016-378C-4F3B-BDDC-24E4351CEA17}"/>
    <cellStyle name="Calculation 2 2 2 19" xfId="13632" xr:uid="{92A7BEDA-764E-408C-9BAF-AC6DF3A6D61F}"/>
    <cellStyle name="Calculation 2 2 2 2" xfId="789" xr:uid="{00000000-0005-0000-0000-000028030000}"/>
    <cellStyle name="Calculation 2 2 2 2 10" xfId="24079" xr:uid="{0DF7B819-D321-4376-9BF0-BD069635EE6E}"/>
    <cellStyle name="Calculation 2 2 2 2 10 2" xfId="26692" xr:uid="{5C163BB2-4512-408F-AA72-FC88EC69C85A}"/>
    <cellStyle name="Calculation 2 2 2 2 10 2 2" xfId="33532" xr:uid="{0FC532C1-7BA3-4138-8712-B818F25548D6}"/>
    <cellStyle name="Calculation 2 2 2 2 10 3" xfId="28768" xr:uid="{7A82D873-B490-4BCB-BC34-0A66B0D8FDD7}"/>
    <cellStyle name="Calculation 2 2 2 2 10 3 2" xfId="35613" xr:uid="{DC7FDAA3-E7BA-4639-9BBA-8653BE3334FD}"/>
    <cellStyle name="Calculation 2 2 2 2 10 4" xfId="30850" xr:uid="{03110A91-555A-49AC-A612-E06E995701A3}"/>
    <cellStyle name="Calculation 2 2 2 2 11" xfId="24204" xr:uid="{DDFB8446-0653-40FC-B790-50A5967463BE}"/>
    <cellStyle name="Calculation 2 2 2 2 11 2" xfId="26814" xr:uid="{362FED95-8DB1-4F1F-8965-4A6D388018C5}"/>
    <cellStyle name="Calculation 2 2 2 2 11 2 2" xfId="33654" xr:uid="{780D642B-3718-4642-B817-2AE14328C0AF}"/>
    <cellStyle name="Calculation 2 2 2 2 11 3" xfId="28890" xr:uid="{A407BAE4-EEE5-495D-8B44-89F48F0DE096}"/>
    <cellStyle name="Calculation 2 2 2 2 11 3 2" xfId="35735" xr:uid="{E5A7F00C-AE81-4EE2-A061-E4E755264BAD}"/>
    <cellStyle name="Calculation 2 2 2 2 11 4" xfId="30972" xr:uid="{9E983825-6902-4DE3-9A42-810B64730079}"/>
    <cellStyle name="Calculation 2 2 2 2 12" xfId="25245" xr:uid="{9C2054E6-98E9-452D-9467-09B930F3555D}"/>
    <cellStyle name="Calculation 2 2 2 2 12 2" xfId="27916" xr:uid="{D9CB46A9-FE3E-49E2-935C-520303CB70CA}"/>
    <cellStyle name="Calculation 2 2 2 2 12 2 2" xfId="34761" xr:uid="{826130A0-6AFB-44FD-8F18-9FBAC45750F7}"/>
    <cellStyle name="Calculation 2 2 2 2 12 3" xfId="29997" xr:uid="{E12167CD-9D0F-4074-A350-F97C40662109}"/>
    <cellStyle name="Calculation 2 2 2 2 12 3 2" xfId="36842" xr:uid="{AB59C251-620C-4D29-B4AE-71766DDEECB3}"/>
    <cellStyle name="Calculation 2 2 2 2 12 4" xfId="32079" xr:uid="{930E0291-D117-4F68-B119-B61C21900130}"/>
    <cellStyle name="Calculation 2 2 2 2 13" xfId="25692" xr:uid="{75DB2F1C-8333-456A-AAED-8B9193B9B058}"/>
    <cellStyle name="Calculation 2 2 2 2 13 2" xfId="28359" xr:uid="{E0342F24-EC70-4D14-ADD9-5FC3178F93ED}"/>
    <cellStyle name="Calculation 2 2 2 2 13 2 2" xfId="35204" xr:uid="{A9F3636A-76E1-463E-8403-5BE8D6136D64}"/>
    <cellStyle name="Calculation 2 2 2 2 13 3" xfId="30440" xr:uid="{C5CEA139-F662-439D-ABF1-D7DFFDFC5912}"/>
    <cellStyle name="Calculation 2 2 2 2 13 3 2" xfId="37285" xr:uid="{B075C044-4F20-49D7-B98C-C52A841F5D53}"/>
    <cellStyle name="Calculation 2 2 2 2 13 4" xfId="32522" xr:uid="{14C7728A-0C14-49EA-8780-9BC94EFABAD8}"/>
    <cellStyle name="Calculation 2 2 2 2 14" xfId="25341" xr:uid="{4FC11DA6-D54D-4222-8BF9-FA41C8090271}"/>
    <cellStyle name="Calculation 2 2 2 2 14 2" xfId="28009" xr:uid="{0A8D535C-B4DE-45B7-BE87-9A8554455DBE}"/>
    <cellStyle name="Calculation 2 2 2 2 14 2 2" xfId="34854" xr:uid="{D24FF3C7-19DD-473C-9E2C-3D6112736661}"/>
    <cellStyle name="Calculation 2 2 2 2 14 3" xfId="30090" xr:uid="{01BCEDCC-3BE2-413F-AA85-14DC9A0118B8}"/>
    <cellStyle name="Calculation 2 2 2 2 14 3 2" xfId="36935" xr:uid="{656BED1E-C3E3-46D6-88DA-E589137B2E41}"/>
    <cellStyle name="Calculation 2 2 2 2 14 4" xfId="32172" xr:uid="{9425D7E7-88E7-4614-BF02-0EE04A5E1EA9}"/>
    <cellStyle name="Calculation 2 2 2 2 15" xfId="25861" xr:uid="{DA171644-F1C1-478F-81B0-640C91625E4D}"/>
    <cellStyle name="Calculation 2 2 2 2 15 2" xfId="28527" xr:uid="{5F7FA98C-1C58-4B3C-B35C-245F5FADC8E0}"/>
    <cellStyle name="Calculation 2 2 2 2 15 2 2" xfId="35372" xr:uid="{A5C9FAC3-D5AB-46DC-9D55-D7014EF86E0A}"/>
    <cellStyle name="Calculation 2 2 2 2 15 3" xfId="30608" xr:uid="{B82FC903-C7AA-40E0-935D-EE5D9FF2F7A8}"/>
    <cellStyle name="Calculation 2 2 2 2 15 3 2" xfId="37453" xr:uid="{F700135B-97CD-45DE-BAAB-FC5BA1406B3D}"/>
    <cellStyle name="Calculation 2 2 2 2 15 4" xfId="32690" xr:uid="{380EA824-0E1A-4835-BD56-B29DF8D30CC9}"/>
    <cellStyle name="Calculation 2 2 2 2 16" xfId="23077" xr:uid="{2A465EB7-8EFE-4D19-B104-EE36CA246E27}"/>
    <cellStyle name="Calculation 2 2 2 2 17" xfId="14186" xr:uid="{F5C2F3EB-EDE3-4BDE-8A66-EB50309AEAEA}"/>
    <cellStyle name="Calculation 2 2 2 2 18" xfId="15604" xr:uid="{CF194D6C-E464-4B26-8C09-878680D97BD7}"/>
    <cellStyle name="Calculation 2 2 2 2 19" xfId="46990" xr:uid="{53C5881D-5163-4485-81EB-A04EE3AAB893}"/>
    <cellStyle name="Calculation 2 2 2 2 2" xfId="18355" xr:uid="{38C0F93B-C937-4D22-A28D-211C12C02E6D}"/>
    <cellStyle name="Calculation 2 2 2 2 2 10" xfId="19187" xr:uid="{23A5687E-B57D-44D5-BFB8-37F36EFBB737}"/>
    <cellStyle name="Calculation 2 2 2 2 2 11" xfId="21783" xr:uid="{60A0D1D8-7660-4133-A671-E6B3F61A4658}"/>
    <cellStyle name="Calculation 2 2 2 2 2 12" xfId="21989" xr:uid="{B9AF142E-5F07-4484-892C-3616DCF5BF9C}"/>
    <cellStyle name="Calculation 2 2 2 2 2 13" xfId="20043" xr:uid="{89CABDC9-4998-4AF9-866D-E3CE4C3D4D10}"/>
    <cellStyle name="Calculation 2 2 2 2 2 14" xfId="20169" xr:uid="{FA05375D-A296-4585-A5FE-3BCD4911283A}"/>
    <cellStyle name="Calculation 2 2 2 2 2 15" xfId="22984" xr:uid="{EF4C8DAF-F4E7-4580-9FC7-A4930047E316}"/>
    <cellStyle name="Calculation 2 2 2 2 2 16" xfId="23410" xr:uid="{3468494D-FC6F-4FCF-A116-FFC9B405875F}"/>
    <cellStyle name="Calculation 2 2 2 2 2 2" xfId="20001" xr:uid="{B0EA927B-035E-4E5D-8444-580CA42EC001}"/>
    <cellStyle name="Calculation 2 2 2 2 2 2 2" xfId="26393" xr:uid="{51113808-D079-4ADE-88D2-136F65A23120}"/>
    <cellStyle name="Calculation 2 2 2 2 2 2 3" xfId="33233" xr:uid="{F61FD600-0F68-4C57-8370-EFE912092A66}"/>
    <cellStyle name="Calculation 2 2 2 2 2 3" xfId="19629" xr:uid="{53969601-4986-448A-A8DF-2025F8698977}"/>
    <cellStyle name="Calculation 2 2 2 2 2 3 2" xfId="26288" xr:uid="{05D976D1-F8BD-4370-8297-8BF7EC091C83}"/>
    <cellStyle name="Calculation 2 2 2 2 2 3 3" xfId="33116" xr:uid="{91F15428-4549-4A4A-AB71-F37CFA9E7B5C}"/>
    <cellStyle name="Calculation 2 2 2 2 2 4" xfId="18904" xr:uid="{BAC7BAA5-1C96-4E6D-B0ED-B4487B12086A}"/>
    <cellStyle name="Calculation 2 2 2 2 2 5" xfId="18916" xr:uid="{6242097E-BC19-49A0-9FA7-BA67E5E080EC}"/>
    <cellStyle name="Calculation 2 2 2 2 2 6" xfId="21704" xr:uid="{13E9D4ED-6761-447C-9965-9C0AABACB388}"/>
    <cellStyle name="Calculation 2 2 2 2 2 7" xfId="19813" xr:uid="{A2CAC7B2-102A-4ED6-9E94-EA13A4BBAEDC}"/>
    <cellStyle name="Calculation 2 2 2 2 2 8" xfId="22373" xr:uid="{3F623305-EE13-4D00-A3BA-24EEE38B2C6F}"/>
    <cellStyle name="Calculation 2 2 2 2 2 9" xfId="20148" xr:uid="{0C3F48AF-ECF1-4EEE-84E4-0FDE315C81CC}"/>
    <cellStyle name="Calculation 2 2 2 2 20" xfId="40820" xr:uid="{5BA81D6D-0D67-4632-887E-714F481EC727}"/>
    <cellStyle name="Calculation 2 2 2 2 21" xfId="49289" xr:uid="{F879D631-FC67-4B77-8E67-9B7D74593583}"/>
    <cellStyle name="Calculation 2 2 2 2 22" xfId="49575" xr:uid="{65F8001C-6D32-4A40-AF89-8D992CD7C162}"/>
    <cellStyle name="Calculation 2 2 2 2 3" xfId="17673" xr:uid="{D6725E42-19F7-43BA-A328-AD511E5BE754}"/>
    <cellStyle name="Calculation 2 2 2 2 3 2" xfId="26831" xr:uid="{F4747E41-2262-4F11-ABB5-79B0F4BE0C17}"/>
    <cellStyle name="Calculation 2 2 2 2 3 2 2" xfId="33671" xr:uid="{DD713F3D-B4F1-4011-B7B3-93F3A4D566F8}"/>
    <cellStyle name="Calculation 2 2 2 2 3 3" xfId="28907" xr:uid="{EE52588C-9047-49E5-8218-B37F461389B4}"/>
    <cellStyle name="Calculation 2 2 2 2 3 3 2" xfId="35752" xr:uid="{E48F3305-FF76-4242-8E4F-F804B2A1F300}"/>
    <cellStyle name="Calculation 2 2 2 2 3 4" xfId="24222" xr:uid="{AEB043AD-3875-4440-83DB-3C60B2E9F560}"/>
    <cellStyle name="Calculation 2 2 2 2 3 5" xfId="30989" xr:uid="{8A8EF5E8-733B-4C44-8371-E87221075325}"/>
    <cellStyle name="Calculation 2 2 2 2 4" xfId="24948" xr:uid="{7107B57D-C08D-439E-833F-375199EBD053}"/>
    <cellStyle name="Calculation 2 2 2 2 4 2" xfId="27618" xr:uid="{4B7E8118-9FF4-4B21-AB5B-41F1F5404368}"/>
    <cellStyle name="Calculation 2 2 2 2 4 2 2" xfId="34463" xr:uid="{CC05F3E7-2845-4770-982D-7CFF2F787C02}"/>
    <cellStyle name="Calculation 2 2 2 2 4 3" xfId="29699" xr:uid="{AE1EAC5E-6B45-493B-831A-E072A852F6E8}"/>
    <cellStyle name="Calculation 2 2 2 2 4 3 2" xfId="36544" xr:uid="{4CD6ECCD-5323-4835-A817-853A78C7CA21}"/>
    <cellStyle name="Calculation 2 2 2 2 4 4" xfId="31781" xr:uid="{7567BC47-5109-457B-91C4-6900101E3324}"/>
    <cellStyle name="Calculation 2 2 2 2 5" xfId="24160" xr:uid="{C7E6AC46-D93D-4653-A152-6442021130A4}"/>
    <cellStyle name="Calculation 2 2 2 2 5 2" xfId="26772" xr:uid="{3471964B-62F8-4C41-B80C-7B29D987761E}"/>
    <cellStyle name="Calculation 2 2 2 2 5 2 2" xfId="33612" xr:uid="{406D8603-42C2-4D67-B11F-82D8B91E5AE0}"/>
    <cellStyle name="Calculation 2 2 2 2 5 3" xfId="28848" xr:uid="{08B53C58-0C49-42DF-A422-E429919605C2}"/>
    <cellStyle name="Calculation 2 2 2 2 5 3 2" xfId="35693" xr:uid="{2D9B3AB8-FE35-45FD-9347-750A386C7E92}"/>
    <cellStyle name="Calculation 2 2 2 2 5 4" xfId="30930" xr:uid="{5D9DF11D-2530-414A-A56E-64F03E35ABC4}"/>
    <cellStyle name="Calculation 2 2 2 2 6" xfId="24248" xr:uid="{5BE6CD4B-A6F3-4A48-A373-B064D5E6CEC6}"/>
    <cellStyle name="Calculation 2 2 2 2 6 2" xfId="26855" xr:uid="{8DF972D1-B0A9-422C-B1B3-A6D3ABD43D08}"/>
    <cellStyle name="Calculation 2 2 2 2 6 2 2" xfId="33695" xr:uid="{2FF59F62-E699-430C-830B-33F9A9CA9ED9}"/>
    <cellStyle name="Calculation 2 2 2 2 6 3" xfId="28931" xr:uid="{8F690762-EB9D-487E-B355-E8FF497198DC}"/>
    <cellStyle name="Calculation 2 2 2 2 6 3 2" xfId="35776" xr:uid="{536DF1BC-F2FB-406E-9C9E-9C6958625EC3}"/>
    <cellStyle name="Calculation 2 2 2 2 6 4" xfId="31013" xr:uid="{D35E96E4-E839-4F9B-A9CC-FCDF0742032E}"/>
    <cellStyle name="Calculation 2 2 2 2 7" xfId="24135" xr:uid="{32CBE27E-7558-4A88-A568-79A4DF38DFA4}"/>
    <cellStyle name="Calculation 2 2 2 2 7 2" xfId="26747" xr:uid="{DE73BBC6-39D3-4D88-B36F-B67BA8036E4A}"/>
    <cellStyle name="Calculation 2 2 2 2 7 2 2" xfId="33587" xr:uid="{C48ADD9F-CE34-4B57-BF8D-6495FFBA9E64}"/>
    <cellStyle name="Calculation 2 2 2 2 7 3" xfId="28823" xr:uid="{F0D5096B-2CF6-40A0-A8F7-4B03714D57BB}"/>
    <cellStyle name="Calculation 2 2 2 2 7 3 2" xfId="35668" xr:uid="{39A1BABE-DC67-452C-9597-F416F50A91CA}"/>
    <cellStyle name="Calculation 2 2 2 2 7 4" xfId="30905" xr:uid="{1F415D47-0682-46E9-A1B2-B3041A8842B6}"/>
    <cellStyle name="Calculation 2 2 2 2 8" xfId="24644" xr:uid="{C42185DF-EFAE-4DC4-AC2A-C84EC8201898}"/>
    <cellStyle name="Calculation 2 2 2 2 8 2" xfId="27251" xr:uid="{3966E04B-05BC-4682-9ABC-EB84BF010450}"/>
    <cellStyle name="Calculation 2 2 2 2 8 2 2" xfId="34095" xr:uid="{D64C9933-AAE4-4008-BF83-E3980489B610}"/>
    <cellStyle name="Calculation 2 2 2 2 8 3" xfId="29331" xr:uid="{203E4D44-CAD3-49C7-AC9D-6C0B96732FA3}"/>
    <cellStyle name="Calculation 2 2 2 2 8 3 2" xfId="36176" xr:uid="{03723295-808E-4DC4-ACEC-119D109CF3BC}"/>
    <cellStyle name="Calculation 2 2 2 2 8 4" xfId="31413" xr:uid="{797B0739-41FB-472B-8AB8-6D32C7FD0491}"/>
    <cellStyle name="Calculation 2 2 2 2 9" xfId="24930" xr:uid="{EB796D1E-EEAB-4A37-88EF-2D349FEE8014}"/>
    <cellStyle name="Calculation 2 2 2 2 9 2" xfId="27600" xr:uid="{C7461C57-A6C5-4DF1-8B7D-74784FBCDE8F}"/>
    <cellStyle name="Calculation 2 2 2 2 9 2 2" xfId="34444" xr:uid="{B9D1D544-C28B-4C0E-B1E5-195F1289DD32}"/>
    <cellStyle name="Calculation 2 2 2 2 9 3" xfId="29680" xr:uid="{567077FA-920D-4C93-BEF6-C2966F1ACE88}"/>
    <cellStyle name="Calculation 2 2 2 2 9 3 2" xfId="36525" xr:uid="{C84B836A-5E7F-446B-8D2F-81898E6EE0A6}"/>
    <cellStyle name="Calculation 2 2 2 2 9 4" xfId="31762" xr:uid="{0D99FDFD-5084-4C3E-8ABF-26EA4ACA954D}"/>
    <cellStyle name="Calculation 2 2 2 20" xfId="15605" xr:uid="{72C43647-47EF-4386-A075-0786D7132982}"/>
    <cellStyle name="Calculation 2 2 2 21" xfId="15471" xr:uid="{FAD15671-C1C7-479F-B982-4CF5121851B8}"/>
    <cellStyle name="Calculation 2 2 2 22" xfId="15449" xr:uid="{C6D6402A-872F-4BA2-A34D-E3519A33D1B1}"/>
    <cellStyle name="Calculation 2 2 2 23" xfId="40718" xr:uid="{7C37B629-D42A-498D-BE67-E9E7F81FD302}"/>
    <cellStyle name="Calculation 2 2 2 24" xfId="46897" xr:uid="{3865C5A5-CAF0-4986-A118-EA91F2C2F980}"/>
    <cellStyle name="Calculation 2 2 2 3" xfId="790" xr:uid="{00000000-0005-0000-0000-000029030000}"/>
    <cellStyle name="Calculation 2 2 2 3 2" xfId="9334" xr:uid="{00000000-0005-0000-0000-000002030000}"/>
    <cellStyle name="Calculation 2 2 2 3 2 2" xfId="41855" xr:uid="{BEA6F2AE-77EC-4C5B-B9E3-DC93B98D0FC0}"/>
    <cellStyle name="Calculation 2 2 2 3 2 3" xfId="48131" xr:uid="{9FADDC50-D05B-4712-84B7-FECBE6C4F1F6}"/>
    <cellStyle name="Calculation 2 2 2 3 2 4" xfId="46314" xr:uid="{82C05659-5FEF-4D26-80A5-1AA0E7EEC25D}"/>
    <cellStyle name="Calculation 2 2 2 3 2 5" xfId="48749" xr:uid="{436314E6-DCC1-4088-9CC1-0B49448E56CF}"/>
    <cellStyle name="Calculation 2 2 2 3 2 6" xfId="46456" xr:uid="{323DC718-A78C-4AE6-BC2F-A0F1E93D8EF1}"/>
    <cellStyle name="Calculation 2 2 2 4" xfId="18354" xr:uid="{A4A3A60E-20F4-4EF0-8BCC-A3F4727D848C}"/>
    <cellStyle name="Calculation 2 2 2 4 10" xfId="18853" xr:uid="{7F37A1FA-8C40-45EA-801D-720970FD0148}"/>
    <cellStyle name="Calculation 2 2 2 4 11" xfId="20412" xr:uid="{05A98698-A49F-4DEF-84EE-7E0F9069744A}"/>
    <cellStyle name="Calculation 2 2 2 4 12" xfId="22288" xr:uid="{FC7A14E1-3000-4968-9257-4F52FD657719}"/>
    <cellStyle name="Calculation 2 2 2 4 13" xfId="22145" xr:uid="{9511EC2A-D820-47D0-BE61-B0F072D15E5C}"/>
    <cellStyle name="Calculation 2 2 2 4 14" xfId="21915" xr:uid="{01F112BA-AF40-4D2F-8472-6A129ED3D81C}"/>
    <cellStyle name="Calculation 2 2 2 4 15" xfId="21383" xr:uid="{A02E180C-A168-4B9B-A702-0FD63C106E61}"/>
    <cellStyle name="Calculation 2 2 2 4 16" xfId="31140" xr:uid="{F83262A4-BB67-4B4A-8EF8-489AA45F97FA}"/>
    <cellStyle name="Calculation 2 2 2 4 2" xfId="20002" xr:uid="{F7D6120A-3E1F-46AA-B2D2-CFD27D3BD881}"/>
    <cellStyle name="Calculation 2 2 2 4 2 2" xfId="26982" xr:uid="{718E58BB-50DD-4567-AFB5-374D68CF366F}"/>
    <cellStyle name="Calculation 2 2 2 4 2 3" xfId="33822" xr:uid="{8559BCA1-55B9-4A5C-979D-EC9AD1BC7F41}"/>
    <cellStyle name="Calculation 2 2 2 4 3" xfId="21713" xr:uid="{231F75CD-4B6C-4E40-8B20-C8F4877ACF3C}"/>
    <cellStyle name="Calculation 2 2 2 4 3 2" xfId="29058" xr:uid="{1AFE5ED0-440A-4F30-8301-22005C6EC0D1}"/>
    <cellStyle name="Calculation 2 2 2 4 3 3" xfId="35903" xr:uid="{8D39FB99-D4C6-4A6B-A215-2A1AF790EB1B}"/>
    <cellStyle name="Calculation 2 2 2 4 4" xfId="20085" xr:uid="{D5946770-5BA5-424D-AB31-27209A123FE4}"/>
    <cellStyle name="Calculation 2 2 2 4 5" xfId="20182" xr:uid="{2210AFF2-FD8F-459A-94FB-0D1390DC5D5C}"/>
    <cellStyle name="Calculation 2 2 2 4 6" xfId="20303" xr:uid="{3909CD5E-B819-4DAB-9AF3-42271FA54811}"/>
    <cellStyle name="Calculation 2 2 2 4 7" xfId="20551" xr:uid="{FD295CCF-142A-4133-9756-EEEE7D5DB32E}"/>
    <cellStyle name="Calculation 2 2 2 4 8" xfId="22203" xr:uid="{F7AA6BE0-15AA-4DF6-8D37-A229578E7B5D}"/>
    <cellStyle name="Calculation 2 2 2 4 9" xfId="22310" xr:uid="{E590A432-B1D7-4C0E-9F98-0FD4201BBE8C}"/>
    <cellStyle name="Calculation 2 2 2 5" xfId="17420" xr:uid="{D86EACEC-7E8C-4ED9-B326-7238034215E1}"/>
    <cellStyle name="Calculation 2 2 2 5 2" xfId="26923" xr:uid="{8E94440A-F039-4C27-8174-560D852FBE0B}"/>
    <cellStyle name="Calculation 2 2 2 5 2 2" xfId="33763" xr:uid="{8F72C5CD-7079-43DA-BB1A-0D6BC4DCD593}"/>
    <cellStyle name="Calculation 2 2 2 5 3" xfId="28999" xr:uid="{6ECE0867-0B99-499C-A809-DEECD726CF53}"/>
    <cellStyle name="Calculation 2 2 2 5 3 2" xfId="35844" xr:uid="{E5A89568-5AEE-439C-81F7-7580D09DED3C}"/>
    <cellStyle name="Calculation 2 2 2 5 4" xfId="24317" xr:uid="{B31D0E5E-B944-43A6-B64A-C61880243371}"/>
    <cellStyle name="Calculation 2 2 2 5 5" xfId="31081" xr:uid="{F9568076-0596-46B1-960A-DFC2C5416571}"/>
    <cellStyle name="Calculation 2 2 2 6" xfId="23790" xr:uid="{6B9BC91E-828D-47C4-8C02-31FD35850EAD}"/>
    <cellStyle name="Calculation 2 2 2 6 2" xfId="26403" xr:uid="{3401FDD2-C40A-4775-B4E5-BCC806A60C8D}"/>
    <cellStyle name="Calculation 2 2 2 6 2 2" xfId="33243" xr:uid="{B5DB3C88-6D86-493A-B7DE-72BB4727E8FB}"/>
    <cellStyle name="Calculation 2 2 2 6 3" xfId="26059" xr:uid="{A299B90E-ADB7-4180-9B6F-E9BA83C67BE3}"/>
    <cellStyle name="Calculation 2 2 2 6 3 2" xfId="32888" xr:uid="{2D96670D-6FF7-45EC-97FA-54E8B1B0DA55}"/>
    <cellStyle name="Calculation 2 2 2 6 4" xfId="23401" xr:uid="{6F0DEB14-8069-4068-8CD8-D97FDFEC2EAF}"/>
    <cellStyle name="Calculation 2 2 2 7" xfId="23751" xr:uid="{7AAED949-34AB-4BC5-9D60-1622CB083597}"/>
    <cellStyle name="Calculation 2 2 2 7 2" xfId="26362" xr:uid="{846BF0BC-A302-411C-B37F-C5ACF92A8E18}"/>
    <cellStyle name="Calculation 2 2 2 7 2 2" xfId="33201" xr:uid="{9B6861AA-1766-448E-837B-C40E157B593B}"/>
    <cellStyle name="Calculation 2 2 2 7 3" xfId="26060" xr:uid="{7254AEE3-E055-4371-84F3-9620CD0D6F00}"/>
    <cellStyle name="Calculation 2 2 2 7 3 2" xfId="32889" xr:uid="{AF7C5326-88A1-4F8F-B9FB-98282B1204E4}"/>
    <cellStyle name="Calculation 2 2 2 7 4" xfId="23442" xr:uid="{B9EBEEEF-FA89-4F18-B80F-3DF1C2D8A8D5}"/>
    <cellStyle name="Calculation 2 2 2 8" xfId="24763" xr:uid="{0C67FDFE-35A9-4B88-A1F7-F38CE20EF781}"/>
    <cellStyle name="Calculation 2 2 2 8 2" xfId="27415" xr:uid="{82F7E6E1-76E6-497B-83B6-7BE920B18906}"/>
    <cellStyle name="Calculation 2 2 2 8 2 2" xfId="34259" xr:uid="{4BF37404-CE93-4C5F-A6AE-0E1A3D0CE73A}"/>
    <cellStyle name="Calculation 2 2 2 8 3" xfId="29495" xr:uid="{A054A5E0-19A4-444D-A527-CF9332BB5767}"/>
    <cellStyle name="Calculation 2 2 2 8 3 2" xfId="36340" xr:uid="{32BC16B7-A6D5-47C0-849C-DC98B83EFD30}"/>
    <cellStyle name="Calculation 2 2 2 8 4" xfId="31577" xr:uid="{EF16CEC2-7418-4337-BCC8-FA6E4AE4C355}"/>
    <cellStyle name="Calculation 2 2 2 9" xfId="24680" xr:uid="{243F24DA-2212-4381-AB99-86BA1AE8313C}"/>
    <cellStyle name="Calculation 2 2 2 9 2" xfId="27295" xr:uid="{01C924AE-C187-4E85-BEF1-F1DEDA8F35AE}"/>
    <cellStyle name="Calculation 2 2 2 9 2 2" xfId="34139" xr:uid="{8EA04D91-D1A5-4787-8E78-675D1F0DD575}"/>
    <cellStyle name="Calculation 2 2 2 9 3" xfId="29375" xr:uid="{37D70A9E-584B-43CD-99CF-A7F647AED816}"/>
    <cellStyle name="Calculation 2 2 2 9 3 2" xfId="36220" xr:uid="{5C0AF655-E5F4-417C-99C1-873290DBDDEC}"/>
    <cellStyle name="Calculation 2 2 2 9 4" xfId="31457" xr:uid="{02545543-DABD-488F-B12F-10379E9B7993}"/>
    <cellStyle name="Calculation 2 2 20" xfId="15609" xr:uid="{D4F69617-A076-47E7-8D99-7E566F72D42F}"/>
    <cellStyle name="Calculation 2 2 21" xfId="47740" xr:uid="{995812A9-5180-465C-B143-C4ABFC1AA6F8}"/>
    <cellStyle name="Calculation 2 2 22" xfId="14951" xr:uid="{D2E32C62-4606-4EA0-897B-6523A8D698BC}"/>
    <cellStyle name="Calculation 2 2 23" xfId="37639" xr:uid="{BD41EADC-A042-43A1-9037-4B7EFB5F1788}"/>
    <cellStyle name="Calculation 2 2 24" xfId="16642" xr:uid="{06704CD3-3FA8-4218-89B5-D36A35F41667}"/>
    <cellStyle name="Calculation 2 2 3" xfId="791" xr:uid="{00000000-0005-0000-0000-00002A030000}"/>
    <cellStyle name="Calculation 2 2 3 10" xfId="25202" xr:uid="{47056F87-75E2-4B7B-860F-C323D82BB02C}"/>
    <cellStyle name="Calculation 2 2 3 10 2" xfId="27874" xr:uid="{682E36E8-1660-4F4E-86D9-C3135C162AFF}"/>
    <cellStyle name="Calculation 2 2 3 10 2 2" xfId="34719" xr:uid="{DC421760-822A-4097-A3F3-A19498D85D3E}"/>
    <cellStyle name="Calculation 2 2 3 10 3" xfId="29955" xr:uid="{7A5D5DDA-798C-4B0E-8137-5259FFDE9C13}"/>
    <cellStyle name="Calculation 2 2 3 10 3 2" xfId="36800" xr:uid="{DDA167F3-8EAA-48C8-9C13-62DA45E57EB6}"/>
    <cellStyle name="Calculation 2 2 3 10 4" xfId="32037" xr:uid="{0A27782F-1B02-48DA-B1BB-1A14580F834B}"/>
    <cellStyle name="Calculation 2 2 3 11" xfId="24981" xr:uid="{B54F6DBE-2086-46D2-97BE-9249EA0B5D9B}"/>
    <cellStyle name="Calculation 2 2 3 11 2" xfId="27650" xr:uid="{1C77BAC8-A6B1-4C42-A0B9-4876C3294A91}"/>
    <cellStyle name="Calculation 2 2 3 11 2 2" xfId="34495" xr:uid="{80B84F1C-BB6C-4DA6-AEBC-B19D1B2EB438}"/>
    <cellStyle name="Calculation 2 2 3 11 3" xfId="29731" xr:uid="{434CB52B-A47F-455B-ADD0-52B2DCE0A941}"/>
    <cellStyle name="Calculation 2 2 3 11 3 2" xfId="36576" xr:uid="{98179096-E2A4-4DE9-B9D8-EA61882ED470}"/>
    <cellStyle name="Calculation 2 2 3 11 4" xfId="31813" xr:uid="{FF0571AA-851D-4A53-8759-5F229846C13B}"/>
    <cellStyle name="Calculation 2 2 3 12" xfId="23854" xr:uid="{44F7000D-0D49-402C-B144-8485BF817669}"/>
    <cellStyle name="Calculation 2 2 3 12 2" xfId="26473" xr:uid="{82DDC0B3-F9D4-409F-93F6-DB0F9D95C4A3}"/>
    <cellStyle name="Calculation 2 2 3 12 2 2" xfId="33313" xr:uid="{485BB860-5983-46CC-898B-399F872B0739}"/>
    <cellStyle name="Calculation 2 2 3 12 3" xfId="26210" xr:uid="{B398F2F8-A516-46DE-9F0D-81339CA9DBD0}"/>
    <cellStyle name="Calculation 2 2 3 12 3 2" xfId="33038" xr:uid="{D03FA4EF-502F-4AF7-8AD1-2F0C1CE091EB}"/>
    <cellStyle name="Calculation 2 2 3 12 4" xfId="23332" xr:uid="{637D766F-C208-4633-B262-B66213CF529B}"/>
    <cellStyle name="Calculation 2 2 3 13" xfId="25022" xr:uid="{159F71D1-82BE-4762-BD4E-423B0A882749}"/>
    <cellStyle name="Calculation 2 2 3 13 2" xfId="27695" xr:uid="{56CEB5FC-CD44-42F3-983A-CE1721EE252C}"/>
    <cellStyle name="Calculation 2 2 3 13 2 2" xfId="34540" xr:uid="{2D65207F-B9E9-4C28-9CDD-7728E9FAF295}"/>
    <cellStyle name="Calculation 2 2 3 13 3" xfId="29776" xr:uid="{637AD0D5-B432-4303-BFE8-FADD62F6C0A5}"/>
    <cellStyle name="Calculation 2 2 3 13 3 2" xfId="36621" xr:uid="{E0B4E1CF-212E-49B7-8E35-C1F251B4D49A}"/>
    <cellStyle name="Calculation 2 2 3 13 4" xfId="31858" xr:uid="{F3B9C672-D7BA-4AF4-A297-061C543E35F9}"/>
    <cellStyle name="Calculation 2 2 3 14" xfId="24060" xr:uid="{F578B477-2530-408D-8E9C-1974F519AEA5}"/>
    <cellStyle name="Calculation 2 2 3 14 2" xfId="26673" xr:uid="{7CC7726D-6151-4BAF-9DD4-F33AB7B5DFBC}"/>
    <cellStyle name="Calculation 2 2 3 14 2 2" xfId="33513" xr:uid="{0081C9D3-8B5E-457C-807D-E014BC2473D1}"/>
    <cellStyle name="Calculation 2 2 3 14 3" xfId="28749" xr:uid="{455255DD-F250-44E9-9C5A-94B0B617D4B6}"/>
    <cellStyle name="Calculation 2 2 3 14 3 2" xfId="35594" xr:uid="{2DFD9D71-59F7-4E7C-A7BC-9FE6D425A838}"/>
    <cellStyle name="Calculation 2 2 3 14 4" xfId="30831" xr:uid="{B6E092EA-6FB6-4E27-BF5F-00A10CDF88D7}"/>
    <cellStyle name="Calculation 2 2 3 15" xfId="24878" xr:uid="{68A82CE9-7F9B-4D7A-99C5-1059B9ECC556}"/>
    <cellStyle name="Calculation 2 2 3 15 2" xfId="27545" xr:uid="{1E27B36B-7440-4434-A539-0F39BDE58A2B}"/>
    <cellStyle name="Calculation 2 2 3 15 2 2" xfId="34389" xr:uid="{604E3A88-D86B-47B6-A31D-F40427E14E2D}"/>
    <cellStyle name="Calculation 2 2 3 15 3" xfId="29625" xr:uid="{7B59681D-2CD2-4207-B6C8-91458F392FA5}"/>
    <cellStyle name="Calculation 2 2 3 15 3 2" xfId="36470" xr:uid="{DB10D1D9-D506-4A7D-B904-D9707D6CD76C}"/>
    <cellStyle name="Calculation 2 2 3 15 4" xfId="31707" xr:uid="{86F7FE7D-2E64-4424-B943-9B9A3D3F3577}"/>
    <cellStyle name="Calculation 2 2 3 16" xfId="25265" xr:uid="{B6C59C17-54CD-49D8-B81D-AA1972C49A46}"/>
    <cellStyle name="Calculation 2 2 3 16 2" xfId="27936" xr:uid="{C62FE4F0-88D2-47B1-B478-6817D73378CE}"/>
    <cellStyle name="Calculation 2 2 3 16 2 2" xfId="34781" xr:uid="{27C0262E-9BD8-40AF-A5C8-6A472EEB21A5}"/>
    <cellStyle name="Calculation 2 2 3 16 3" xfId="30017" xr:uid="{3A78DF9B-353F-4804-AFE7-A13D52DCF6B6}"/>
    <cellStyle name="Calculation 2 2 3 16 3 2" xfId="36862" xr:uid="{AD6DAF18-77ED-4567-A8DC-4A02944F2E47}"/>
    <cellStyle name="Calculation 2 2 3 16 4" xfId="32099" xr:uid="{CF7AAD04-A780-430D-BEE0-535343C1EE5C}"/>
    <cellStyle name="Calculation 2 2 3 17" xfId="25887" xr:uid="{5C531056-7EA1-4D16-8C1B-99AA7760BC39}"/>
    <cellStyle name="Calculation 2 2 3 17 2" xfId="28553" xr:uid="{B49A4037-79AC-4B9B-959D-F2EF161EB7AF}"/>
    <cellStyle name="Calculation 2 2 3 17 2 2" xfId="35398" xr:uid="{411F2804-2850-42C3-972D-2ABB4B54D6C7}"/>
    <cellStyle name="Calculation 2 2 3 17 3" xfId="30634" xr:uid="{2FBC6C63-AEFE-4551-A7C8-723D089EB85F}"/>
    <cellStyle name="Calculation 2 2 3 17 3 2" xfId="37479" xr:uid="{1A2B5245-DEFE-4D4A-BDD0-F482603B8B1D}"/>
    <cellStyle name="Calculation 2 2 3 17 4" xfId="32716" xr:uid="{BBABFF53-9951-4692-8231-3D9390737A63}"/>
    <cellStyle name="Calculation 2 2 3 18" xfId="23097" xr:uid="{3B573C6D-3BC7-4A6B-8B6C-FFDB31F26D89}"/>
    <cellStyle name="Calculation 2 2 3 2" xfId="9494" xr:uid="{00000000-0005-0000-0000-000004030000}"/>
    <cellStyle name="Calculation 2 2 3 2 10" xfId="25397" xr:uid="{C9322DD2-8989-4549-8F57-8B5A2CDB821C}"/>
    <cellStyle name="Calculation 2 2 3 2 10 2" xfId="28064" xr:uid="{13BACB7C-608E-4581-BFA2-DC483B32AC51}"/>
    <cellStyle name="Calculation 2 2 3 2 10 2 2" xfId="34909" xr:uid="{7CFBEB2F-3664-4CE0-84C6-C9AC225CAE63}"/>
    <cellStyle name="Calculation 2 2 3 2 10 3" xfId="30145" xr:uid="{52262EBB-9A57-4194-8271-39E9129AFC7C}"/>
    <cellStyle name="Calculation 2 2 3 2 10 3 2" xfId="36990" xr:uid="{42976148-2897-4B96-9D7E-41BC3AEEA453}"/>
    <cellStyle name="Calculation 2 2 3 2 10 4" xfId="32227" xr:uid="{170E60E6-004E-4D3F-9F13-6EA26B0D0447}"/>
    <cellStyle name="Calculation 2 2 3 2 11" xfId="24344" xr:uid="{82C10E6C-7792-4576-B23D-80C4E90E4449}"/>
    <cellStyle name="Calculation 2 2 3 2 11 2" xfId="26950" xr:uid="{37D571C0-6B04-4364-97B3-78234A7EBC56}"/>
    <cellStyle name="Calculation 2 2 3 2 11 2 2" xfId="33790" xr:uid="{3627011C-642F-46F7-A089-B9C8634CBC08}"/>
    <cellStyle name="Calculation 2 2 3 2 11 3" xfId="29026" xr:uid="{28DEE2FA-4FC0-4247-B053-1C06FD9D7E37}"/>
    <cellStyle name="Calculation 2 2 3 2 11 3 2" xfId="35871" xr:uid="{B5E2C074-7F5B-4ACB-BFC3-1AAAD19932D8}"/>
    <cellStyle name="Calculation 2 2 3 2 11 4" xfId="31108" xr:uid="{E21AB9A7-6D20-4F66-96BE-80DD26BDDD70}"/>
    <cellStyle name="Calculation 2 2 3 2 12" xfId="24062" xr:uid="{7AE40CBA-75A6-43AF-B4FB-A5121A6724A9}"/>
    <cellStyle name="Calculation 2 2 3 2 12 2" xfId="26675" xr:uid="{74E22B79-6E42-4673-A35F-6E539D4C3A50}"/>
    <cellStyle name="Calculation 2 2 3 2 12 2 2" xfId="33515" xr:uid="{2F1BCA63-7851-4B0C-B3E0-C6C3E49E7A21}"/>
    <cellStyle name="Calculation 2 2 3 2 12 3" xfId="28751" xr:uid="{629A48C1-B182-4242-80A1-2F3F6193EA2F}"/>
    <cellStyle name="Calculation 2 2 3 2 12 3 2" xfId="35596" xr:uid="{2EDA0316-F693-492D-A7EB-AEFB197A707E}"/>
    <cellStyle name="Calculation 2 2 3 2 12 4" xfId="30833" xr:uid="{CAF49EE5-2434-4669-892C-2D7C9ECCAC8E}"/>
    <cellStyle name="Calculation 2 2 3 2 13" xfId="24728" xr:uid="{166329C7-58AB-4B7A-BC75-F4167C3365E7}"/>
    <cellStyle name="Calculation 2 2 3 2 13 2" xfId="27374" xr:uid="{C9E2269B-4559-4F21-B915-1FEC361C9CC7}"/>
    <cellStyle name="Calculation 2 2 3 2 13 2 2" xfId="34218" xr:uid="{D87450EF-3178-4B18-AB07-7390647CE37F}"/>
    <cellStyle name="Calculation 2 2 3 2 13 3" xfId="29454" xr:uid="{B38ECB1B-DBEA-404F-97FE-4823AB361F3B}"/>
    <cellStyle name="Calculation 2 2 3 2 13 3 2" xfId="36299" xr:uid="{E1CB0193-8DF7-4302-8334-E98A24EDD117}"/>
    <cellStyle name="Calculation 2 2 3 2 13 4" xfId="31536" xr:uid="{062F2B13-02F4-4D82-9488-1876027A2B1C}"/>
    <cellStyle name="Calculation 2 2 3 2 14" xfId="25909" xr:uid="{DA5E395D-ECEE-43E3-8459-6DCEB4F0D14C}"/>
    <cellStyle name="Calculation 2 2 3 2 14 2" xfId="28575" xr:uid="{6CE677BE-FD3D-4AB9-A428-78B53AC4A5DF}"/>
    <cellStyle name="Calculation 2 2 3 2 14 2 2" xfId="35420" xr:uid="{82C9823E-A6EB-494D-936E-80D54BF36479}"/>
    <cellStyle name="Calculation 2 2 3 2 14 3" xfId="30656" xr:uid="{7ADCF5EC-045B-4B6D-9B03-2580EDFCAC67}"/>
    <cellStyle name="Calculation 2 2 3 2 14 3 2" xfId="37501" xr:uid="{FEF82730-3201-4EF5-BD2D-6BF7A0B95AB8}"/>
    <cellStyle name="Calculation 2 2 3 2 14 4" xfId="32738" xr:uid="{BD816345-F002-4717-86B9-2AB9D7CE789A}"/>
    <cellStyle name="Calculation 2 2 3 2 15" xfId="25376" xr:uid="{80A2085D-04D7-4618-8441-A78F56850CEE}"/>
    <cellStyle name="Calculation 2 2 3 2 15 2" xfId="28043" xr:uid="{2FC9589A-2AF7-4964-BADD-501BC646C020}"/>
    <cellStyle name="Calculation 2 2 3 2 15 2 2" xfId="34888" xr:uid="{0D4E12EF-EF52-4B37-B6FE-ACABE4DFC274}"/>
    <cellStyle name="Calculation 2 2 3 2 15 3" xfId="30124" xr:uid="{679FF5C9-FC00-4077-A576-F566D67334D2}"/>
    <cellStyle name="Calculation 2 2 3 2 15 3 2" xfId="36969" xr:uid="{F440C5EB-FF06-4BCE-93FF-E591161A7C7A}"/>
    <cellStyle name="Calculation 2 2 3 2 15 4" xfId="32206" xr:uid="{881285FE-6378-4252-8EA2-82CFC5BAFE70}"/>
    <cellStyle name="Calculation 2 2 3 2 16" xfId="25456" xr:uid="{C3B4D399-3466-4005-A0DD-BAEE54273D2B}"/>
    <cellStyle name="Calculation 2 2 3 2 16 2" xfId="28123" xr:uid="{0A601C08-DE48-45F2-A085-3AD5897D382F}"/>
    <cellStyle name="Calculation 2 2 3 2 16 2 2" xfId="34968" xr:uid="{64BF18CB-B9BE-43E7-BD98-CE36E3ECE9CD}"/>
    <cellStyle name="Calculation 2 2 3 2 16 3" xfId="30204" xr:uid="{11FA4A51-C4C9-4108-93BD-3EAE02496F7F}"/>
    <cellStyle name="Calculation 2 2 3 2 16 3 2" xfId="37049" xr:uid="{1B86A2E5-7058-41B9-8797-C0C5B8986584}"/>
    <cellStyle name="Calculation 2 2 3 2 16 4" xfId="32286" xr:uid="{A34EC843-8C79-42E5-BB16-391FFB7AB034}"/>
    <cellStyle name="Calculation 2 2 3 2 17" xfId="23636" xr:uid="{B8259028-1F79-4558-8F2F-8D5B6A3482D1}"/>
    <cellStyle name="Calculation 2 2 3 2 18" xfId="17566" xr:uid="{2A0C74A3-4468-4711-AF62-F7533444A7A3}"/>
    <cellStyle name="Calculation 2 2 3 2 19" xfId="41983" xr:uid="{0E7001F2-FFBE-44A2-AB7D-466E03182F98}"/>
    <cellStyle name="Calculation 2 2 3 2 2" xfId="17837" xr:uid="{0841A888-D65C-4B98-A414-72D0DE68E908}"/>
    <cellStyle name="Calculation 2 2 3 2 2 10" xfId="25661" xr:uid="{41E40792-483C-429E-8241-535EC2BECBC7}"/>
    <cellStyle name="Calculation 2 2 3 2 2 10 2" xfId="28328" xr:uid="{BE799F23-1C1C-42EE-A1F8-E018B3488413}"/>
    <cellStyle name="Calculation 2 2 3 2 2 10 2 2" xfId="35173" xr:uid="{0C76524C-710F-4A44-A555-22B16820594A}"/>
    <cellStyle name="Calculation 2 2 3 2 2 10 3" xfId="30409" xr:uid="{8A8C14C4-F4DD-4D0A-9C3D-66CA5F623306}"/>
    <cellStyle name="Calculation 2 2 3 2 2 10 3 2" xfId="37254" xr:uid="{0AACA8CB-B3B9-4D3D-ABD6-4D1C868BAD34}"/>
    <cellStyle name="Calculation 2 2 3 2 2 10 4" xfId="32491" xr:uid="{7BE5627F-7AA6-46BD-81E3-30DCDFB98164}"/>
    <cellStyle name="Calculation 2 2 3 2 2 11" xfId="25766" xr:uid="{0E149BA2-966F-4451-BDB2-23527D4351EE}"/>
    <cellStyle name="Calculation 2 2 3 2 2 11 2" xfId="28432" xr:uid="{77DBAF96-22BC-4BBF-8AB2-6090531F3089}"/>
    <cellStyle name="Calculation 2 2 3 2 2 11 2 2" xfId="35277" xr:uid="{02EF5A2A-7D90-492C-A333-A49CE9F41267}"/>
    <cellStyle name="Calculation 2 2 3 2 2 11 3" xfId="30513" xr:uid="{6963AD32-D6E8-4FEF-BAC7-BACAF9666FD0}"/>
    <cellStyle name="Calculation 2 2 3 2 2 11 3 2" xfId="37358" xr:uid="{1B24091A-CBAD-4C67-8F0A-65DD8CE2299D}"/>
    <cellStyle name="Calculation 2 2 3 2 2 11 4" xfId="32595" xr:uid="{18FA55D4-7B2F-44D2-B044-549DA211A423}"/>
    <cellStyle name="Calculation 2 2 3 2 2 12" xfId="25843" xr:uid="{B186890C-8AA1-4E1A-935F-3390760B330C}"/>
    <cellStyle name="Calculation 2 2 3 2 2 12 2" xfId="28509" xr:uid="{4BD3D6A4-3406-4D29-9116-0B179B5AAA13}"/>
    <cellStyle name="Calculation 2 2 3 2 2 12 2 2" xfId="35354" xr:uid="{1BF1F0B7-2DC9-4751-A6EF-73390807EC99}"/>
    <cellStyle name="Calculation 2 2 3 2 2 12 3" xfId="30590" xr:uid="{674794F6-25F0-4EA9-A012-4B09C3687D25}"/>
    <cellStyle name="Calculation 2 2 3 2 2 12 3 2" xfId="37435" xr:uid="{E9DC8484-8414-42D4-A455-56084B47921D}"/>
    <cellStyle name="Calculation 2 2 3 2 2 12 4" xfId="32672" xr:uid="{A2DEC36C-858B-4069-A488-490B87C168DB}"/>
    <cellStyle name="Calculation 2 2 3 2 2 13" xfId="25253" xr:uid="{36018DF7-E107-42BC-912A-162773BBE3D1}"/>
    <cellStyle name="Calculation 2 2 3 2 2 13 2" xfId="27924" xr:uid="{E49EDAF8-6CC1-40A6-80D2-6157C168ADC3}"/>
    <cellStyle name="Calculation 2 2 3 2 2 13 2 2" xfId="34769" xr:uid="{BB2A8F2F-A848-420E-BB0E-DB482BECA1D6}"/>
    <cellStyle name="Calculation 2 2 3 2 2 13 3" xfId="30005" xr:uid="{509CA47F-8568-4B9C-B1BC-78A2768855D9}"/>
    <cellStyle name="Calculation 2 2 3 2 2 13 3 2" xfId="36850" xr:uid="{A7534299-766B-4A19-8496-2B76565755DE}"/>
    <cellStyle name="Calculation 2 2 3 2 2 13 4" xfId="32087" xr:uid="{082D532E-09BF-4E85-A481-CBEF24298E80}"/>
    <cellStyle name="Calculation 2 2 3 2 2 14" xfId="25971" xr:uid="{74F2CEA4-2BE0-4ADA-8C43-54EF785F1564}"/>
    <cellStyle name="Calculation 2 2 3 2 2 14 2" xfId="28637" xr:uid="{A4D04662-C9C8-4B07-BDFA-3759CF010732}"/>
    <cellStyle name="Calculation 2 2 3 2 2 14 2 2" xfId="35482" xr:uid="{D6486CE0-C06E-4EFF-AD0C-940F3797D88A}"/>
    <cellStyle name="Calculation 2 2 3 2 2 14 3" xfId="30718" xr:uid="{18C4D811-19B9-4BF9-83D9-7738FA08F132}"/>
    <cellStyle name="Calculation 2 2 3 2 2 14 3 2" xfId="37563" xr:uid="{4A3B1DA0-D080-493C-8F95-BB8FE5EF4938}"/>
    <cellStyle name="Calculation 2 2 3 2 2 14 4" xfId="32800" xr:uid="{128C965C-0679-4073-B610-B6062A65DADE}"/>
    <cellStyle name="Calculation 2 2 3 2 2 15" xfId="26025" xr:uid="{CFE14FD3-2EF1-44F6-BD32-DB994D67487A}"/>
    <cellStyle name="Calculation 2 2 3 2 2 15 2" xfId="28691" xr:uid="{46C59597-0BCB-4A20-9A85-87958F359473}"/>
    <cellStyle name="Calculation 2 2 3 2 2 15 2 2" xfId="35536" xr:uid="{CF89CA75-C05B-43F3-A8A8-0721831E95C8}"/>
    <cellStyle name="Calculation 2 2 3 2 2 15 3" xfId="30772" xr:uid="{650A5D9D-B95E-4C50-97A8-8C00FDE88CDB}"/>
    <cellStyle name="Calculation 2 2 3 2 2 15 3 2" xfId="37617" xr:uid="{CA9DF529-898C-418A-AB64-675DC16610F5}"/>
    <cellStyle name="Calculation 2 2 3 2 2 15 4" xfId="32854" xr:uid="{01C88B72-85AD-4ED0-99A4-2C7DBD863CEB}"/>
    <cellStyle name="Calculation 2 2 3 2 2 16" xfId="23547" xr:uid="{31AECF09-BAD9-48AC-95C7-012CD5793ECC}"/>
    <cellStyle name="Calculation 2 2 3 2 2 2" xfId="18819" xr:uid="{DE68A331-AA4A-42FE-9157-06EFDC4865EC}"/>
    <cellStyle name="Calculation 2 2 3 2 2 2 10" xfId="22668" xr:uid="{4BDD8BB1-75AD-40A9-8B10-B3F5AECC6400}"/>
    <cellStyle name="Calculation 2 2 3 2 2 2 11" xfId="22727" xr:uid="{C176B3FC-C328-4C39-B099-757FF863465F}"/>
    <cellStyle name="Calculation 2 2 3 2 2 2 12" xfId="22848" xr:uid="{BB1AA1E2-D20A-48E3-97B6-32004608697A}"/>
    <cellStyle name="Calculation 2 2 3 2 2 2 13" xfId="22868" xr:uid="{EF630436-43E5-4A81-A835-63EA9CEF5669}"/>
    <cellStyle name="Calculation 2 2 3 2 2 2 14" xfId="22981" xr:uid="{2ACF126E-AF94-4FB3-9148-49369755BAC3}"/>
    <cellStyle name="Calculation 2 2 3 2 2 2 15" xfId="22988" xr:uid="{34F0E03E-7DE1-4D48-B450-B9309A271736}"/>
    <cellStyle name="Calculation 2 2 3 2 2 2 16" xfId="31620" xr:uid="{B3CC2959-3E0A-412D-8F9F-4242859548E4}"/>
    <cellStyle name="Calculation 2 2 3 2 2 2 2" xfId="21844" xr:uid="{B5F58F3C-1EA2-42A6-BBB5-42F7FC1BBF82}"/>
    <cellStyle name="Calculation 2 2 3 2 2 2 2 2" xfId="27458" xr:uid="{01269275-0322-4052-BC37-32F6E3F38733}"/>
    <cellStyle name="Calculation 2 2 3 2 2 2 2 3" xfId="34302" xr:uid="{FDE4FCBD-8A8E-44BB-9A98-1EE36FCCD3B3}"/>
    <cellStyle name="Calculation 2 2 3 2 2 2 3" xfId="21963" xr:uid="{F8F9377C-C95C-4588-A52C-23266A59F8F5}"/>
    <cellStyle name="Calculation 2 2 3 2 2 2 3 2" xfId="29538" xr:uid="{92D09634-B5E9-43EB-A4FB-03EE3143218B}"/>
    <cellStyle name="Calculation 2 2 3 2 2 2 3 3" xfId="36383" xr:uid="{E29A8040-32B9-4071-8290-40017D571392}"/>
    <cellStyle name="Calculation 2 2 3 2 2 2 4" xfId="20930" xr:uid="{8ACF7CB6-43CE-4977-A17E-405DA2E68B4E}"/>
    <cellStyle name="Calculation 2 2 3 2 2 2 5" xfId="22211" xr:uid="{E03E23E4-223F-4E17-B221-8BBC86F59F43}"/>
    <cellStyle name="Calculation 2 2 3 2 2 2 6" xfId="21130" xr:uid="{13DF9DC7-717E-4B6A-B5D8-D7911BE56DAE}"/>
    <cellStyle name="Calculation 2 2 3 2 2 2 7" xfId="22392" xr:uid="{0B8B0752-D975-459F-B303-942146CBB6A2}"/>
    <cellStyle name="Calculation 2 2 3 2 2 2 8" xfId="20892" xr:uid="{2CEB86A9-50B9-463E-924D-164DE480C98C}"/>
    <cellStyle name="Calculation 2 2 3 2 2 2 9" xfId="22603" xr:uid="{5E0BBFBA-602E-48D2-B34C-DA8100B161CE}"/>
    <cellStyle name="Calculation 2 2 3 2 2 3" xfId="24924" xr:uid="{CE76F1B1-263E-4927-80FE-DEE2C86AA9AD}"/>
    <cellStyle name="Calculation 2 2 3 2 2 3 2" xfId="27593" xr:uid="{B6333D2A-F85D-4E9A-84CD-40D3CEA34888}"/>
    <cellStyle name="Calculation 2 2 3 2 2 3 2 2" xfId="34437" xr:uid="{1767B686-9BB6-48A5-B58A-F5935F918063}"/>
    <cellStyle name="Calculation 2 2 3 2 2 3 3" xfId="29673" xr:uid="{C2215BA9-9426-4723-9771-C78004526042}"/>
    <cellStyle name="Calculation 2 2 3 2 2 3 3 2" xfId="36518" xr:uid="{F9906942-A4BD-49AA-ABD4-10087ADFC752}"/>
    <cellStyle name="Calculation 2 2 3 2 2 3 4" xfId="31755" xr:uid="{1DACE346-BA0A-4AD4-9385-C6E9C7FD63A7}"/>
    <cellStyle name="Calculation 2 2 3 2 2 4" xfId="25117" xr:uid="{6C93ED6F-1880-4CF2-8892-85B6F79341B2}"/>
    <cellStyle name="Calculation 2 2 3 2 2 4 2" xfId="27789" xr:uid="{6A44EEA5-B45A-47AD-8F5D-228396EE5F49}"/>
    <cellStyle name="Calculation 2 2 3 2 2 4 2 2" xfId="34634" xr:uid="{698D9EC5-8519-4B85-B260-A79E5A76DCB4}"/>
    <cellStyle name="Calculation 2 2 3 2 2 4 3" xfId="29870" xr:uid="{A42325CC-8ECA-4FB6-857F-A8F1AD2B5CE1}"/>
    <cellStyle name="Calculation 2 2 3 2 2 4 3 2" xfId="36715" xr:uid="{51B40E75-8502-4890-9996-75B9DA349A25}"/>
    <cellStyle name="Calculation 2 2 3 2 2 4 4" xfId="31952" xr:uid="{FC9ADFE9-8A4A-4202-8C2E-B8B2CFF803E0}"/>
    <cellStyle name="Calculation 2 2 3 2 2 5" xfId="23873" xr:uid="{8AFEF192-9AFF-4B45-AF99-A83B58165EDD}"/>
    <cellStyle name="Calculation 2 2 3 2 2 5 2" xfId="26492" xr:uid="{B890A3EE-385F-4874-8BF4-F42823F735DF}"/>
    <cellStyle name="Calculation 2 2 3 2 2 5 2 2" xfId="33332" xr:uid="{4BEB5364-E39C-4371-81AF-F9F6C1F37E3F}"/>
    <cellStyle name="Calculation 2 2 3 2 2 5 3" xfId="26192" xr:uid="{7A2B2D84-FBA9-46B8-B1EF-DB263736DA87}"/>
    <cellStyle name="Calculation 2 2 3 2 2 5 3 2" xfId="33020" xr:uid="{715C20BD-EAA2-46E4-8B50-5B5FCC4FFA72}"/>
    <cellStyle name="Calculation 2 2 3 2 2 5 4" xfId="23314" xr:uid="{91B19027-463E-42F0-980E-5B16B40447D4}"/>
    <cellStyle name="Calculation 2 2 3 2 2 6" xfId="24161" xr:uid="{94F785F2-CC55-453B-B50B-F78FFC2E0802}"/>
    <cellStyle name="Calculation 2 2 3 2 2 6 2" xfId="26773" xr:uid="{B383A6C7-89C1-4312-B478-2C2B3C8E16A3}"/>
    <cellStyle name="Calculation 2 2 3 2 2 6 2 2" xfId="33613" xr:uid="{46314A58-5BEE-45FD-BAAF-826BEAABFF3D}"/>
    <cellStyle name="Calculation 2 2 3 2 2 6 3" xfId="28849" xr:uid="{A962DC9E-6BC4-4771-AFD0-1FF42351CCDA}"/>
    <cellStyle name="Calculation 2 2 3 2 2 6 3 2" xfId="35694" xr:uid="{05873366-2C64-4AB1-9B62-1BCA48062EE0}"/>
    <cellStyle name="Calculation 2 2 3 2 2 6 4" xfId="30931" xr:uid="{C30941B7-484E-4444-AF13-1BA6B3883575}"/>
    <cellStyle name="Calculation 2 2 3 2 2 7" xfId="25280" xr:uid="{D285E7FF-752D-4B32-9138-6A89733A43C1}"/>
    <cellStyle name="Calculation 2 2 3 2 2 7 2" xfId="27951" xr:uid="{4AF60645-748A-483F-BAE9-690A10F176BD}"/>
    <cellStyle name="Calculation 2 2 3 2 2 7 2 2" xfId="34796" xr:uid="{B9B22EF2-CD6F-4D93-8117-71E12282C542}"/>
    <cellStyle name="Calculation 2 2 3 2 2 7 3" xfId="30032" xr:uid="{4705829D-98B6-404F-B657-65C64C9CBA10}"/>
    <cellStyle name="Calculation 2 2 3 2 2 7 3 2" xfId="36877" xr:uid="{F4838CF0-5CFA-4614-BCDC-70AF159336CA}"/>
    <cellStyle name="Calculation 2 2 3 2 2 7 4" xfId="32114" xr:uid="{6A73D2E6-8796-4235-A576-FAE9EA8D0927}"/>
    <cellStyle name="Calculation 2 2 3 2 2 8" xfId="23927" xr:uid="{C59E2D8F-327D-4371-A111-669290AFC290}"/>
    <cellStyle name="Calculation 2 2 3 2 2 8 2" xfId="26545" xr:uid="{E16F842D-A9E5-45C8-AAAB-6E66A1187F73}"/>
    <cellStyle name="Calculation 2 2 3 2 2 8 2 2" xfId="33385" xr:uid="{B3D9B8A4-6849-4795-A1F5-0A5CD6C66181}"/>
    <cellStyle name="Calculation 2 2 3 2 2 8 3" xfId="26140" xr:uid="{4ECCFF75-D8BF-4653-81E3-BCF86FA8DC7C}"/>
    <cellStyle name="Calculation 2 2 3 2 2 8 3 2" xfId="32968" xr:uid="{298FF5F9-7C59-4557-BBA5-5D4C79DED2C0}"/>
    <cellStyle name="Calculation 2 2 3 2 2 8 4" xfId="23262" xr:uid="{188A8565-1C72-4875-8738-1642783A106A}"/>
    <cellStyle name="Calculation 2 2 3 2 2 9" xfId="24323" xr:uid="{B9F03B44-F92C-45EB-BB5E-0D6D65875D8C}"/>
    <cellStyle name="Calculation 2 2 3 2 2 9 2" xfId="26929" xr:uid="{5C934F44-C663-492D-8D53-05F12E50AFE5}"/>
    <cellStyle name="Calculation 2 2 3 2 2 9 2 2" xfId="33769" xr:uid="{BC8C8F3A-70E0-475B-8A0F-3FE076045194}"/>
    <cellStyle name="Calculation 2 2 3 2 2 9 3" xfId="29005" xr:uid="{69CE8552-023E-4981-9E1A-B08FD9787BB7}"/>
    <cellStyle name="Calculation 2 2 3 2 2 9 3 2" xfId="35850" xr:uid="{15C7FCB0-5790-48F0-A73E-A9E791E50F4C}"/>
    <cellStyle name="Calculation 2 2 3 2 2 9 4" xfId="31087" xr:uid="{59CF3625-6B5B-43BB-91EB-AA370D66A9DC}"/>
    <cellStyle name="Calculation 2 2 3 2 20" xfId="48150" xr:uid="{BD7C70FF-967C-449C-8D87-D7889569FD5A}"/>
    <cellStyle name="Calculation 2 2 3 2 21" xfId="46694" xr:uid="{1EF70D69-5AD0-4DE4-8918-207651881138}"/>
    <cellStyle name="Calculation 2 2 3 2 22" xfId="40284" xr:uid="{CD94B3D9-B651-4FFB-AB19-EC95F2F8CA39}"/>
    <cellStyle name="Calculation 2 2 3 2 23" xfId="18311" xr:uid="{A765354F-4D04-4C5A-BE06-5F8A79746E06}"/>
    <cellStyle name="Calculation 2 2 3 2 3" xfId="18612" xr:uid="{0CCB744B-C5D8-4CD8-B403-785EF5C4F01C}"/>
    <cellStyle name="Calculation 2 2 3 2 3 10" xfId="21168" xr:uid="{3706A2C1-07D3-4C67-8C16-B35CA0971201}"/>
    <cellStyle name="Calculation 2 2 3 2 3 11" xfId="22643" xr:uid="{A590E38D-EA28-4E16-A055-937BF4738E7F}"/>
    <cellStyle name="Calculation 2 2 3 2 3 12" xfId="22748" xr:uid="{6D84B33F-E650-4646-9AB1-13B049824797}"/>
    <cellStyle name="Calculation 2 2 3 2 3 13" xfId="20822" xr:uid="{410ECCD7-0C74-4325-B357-286F227476C0}"/>
    <cellStyle name="Calculation 2 2 3 2 3 14" xfId="22884" xr:uid="{E5EBA57F-40E8-4344-AF18-D071B4B2760A}"/>
    <cellStyle name="Calculation 2 2 3 2 3 15" xfId="20851" xr:uid="{C84A20AC-9AAF-485A-934B-570375EE9BB3}"/>
    <cellStyle name="Calculation 2 2 3 2 3 16" xfId="31407" xr:uid="{D496A53E-805A-4485-9291-CABCF116AEA7}"/>
    <cellStyle name="Calculation 2 2 3 2 3 2" xfId="19855" xr:uid="{89F859BB-06D3-4153-8533-AE56206E7CB8}"/>
    <cellStyle name="Calculation 2 2 3 2 3 2 2" xfId="27246" xr:uid="{954B3397-9E0F-488D-804E-E4129C746488}"/>
    <cellStyle name="Calculation 2 2 3 2 3 2 3" xfId="34089" xr:uid="{C76EA6E2-8952-481B-8A03-95F9F48A4AC7}"/>
    <cellStyle name="Calculation 2 2 3 2 3 3" xfId="19723" xr:uid="{6979EB76-7C57-4C25-951A-48622FB956E5}"/>
    <cellStyle name="Calculation 2 2 3 2 3 3 2" xfId="29325" xr:uid="{8AE733E9-B11C-470C-BF9C-7891B80EACFA}"/>
    <cellStyle name="Calculation 2 2 3 2 3 3 3" xfId="36170" xr:uid="{616F3390-9CC3-4C05-A9CE-5F3CEDA7598E}"/>
    <cellStyle name="Calculation 2 2 3 2 3 4" xfId="20469" xr:uid="{0A6F0C34-B0E7-4ADD-8C3E-92042CE1B678}"/>
    <cellStyle name="Calculation 2 2 3 2 3 5" xfId="22045" xr:uid="{BE9FAE55-6C20-4236-BA8E-A523E965692F}"/>
    <cellStyle name="Calculation 2 2 3 2 3 6" xfId="22044" xr:uid="{F143968F-42C4-4C21-A70E-08B0699B6AB1}"/>
    <cellStyle name="Calculation 2 2 3 2 3 7" xfId="21324" xr:uid="{7893E569-9661-40C5-85DE-77A7F1E5EB59}"/>
    <cellStyle name="Calculation 2 2 3 2 3 8" xfId="22197" xr:uid="{7B616243-0A91-475F-A41E-CBCE02DDFE12}"/>
    <cellStyle name="Calculation 2 2 3 2 3 9" xfId="22485" xr:uid="{66784883-6ACB-416C-B176-45EFD1D4B80B}"/>
    <cellStyle name="Calculation 2 2 3 2 4" xfId="24900" xr:uid="{196B7D6E-ED17-4F44-A703-B71B1A232C18}"/>
    <cellStyle name="Calculation 2 2 3 2 4 2" xfId="27568" xr:uid="{5DFD114C-90E0-4355-9B84-F171A4E883BC}"/>
    <cellStyle name="Calculation 2 2 3 2 4 2 2" xfId="34412" xr:uid="{FCD4F0D7-73EF-4C41-B49A-1379B44FC7C4}"/>
    <cellStyle name="Calculation 2 2 3 2 4 3" xfId="29648" xr:uid="{F97137C3-303F-462A-8AD1-7D61630C0DB4}"/>
    <cellStyle name="Calculation 2 2 3 2 4 3 2" xfId="36493" xr:uid="{199A6BBC-B150-4381-A20C-7D4FE1CDC07D}"/>
    <cellStyle name="Calculation 2 2 3 2 4 4" xfId="31730" xr:uid="{B8D69201-FB11-4842-9C22-CBBB7C29249D}"/>
    <cellStyle name="Calculation 2 2 3 2 5" xfId="24730" xr:uid="{B0C65902-DC9C-401F-B5AC-B14BDD79D6EF}"/>
    <cellStyle name="Calculation 2 2 3 2 5 2" xfId="27376" xr:uid="{230E3F2D-D88C-491F-886A-AE61263E4D14}"/>
    <cellStyle name="Calculation 2 2 3 2 5 2 2" xfId="34220" xr:uid="{C020C5C4-D9D7-4E07-8416-7C3858A9B57B}"/>
    <cellStyle name="Calculation 2 2 3 2 5 3" xfId="29456" xr:uid="{C1F5255A-EFA4-41ED-9661-ED6DC5808F9F}"/>
    <cellStyle name="Calculation 2 2 3 2 5 3 2" xfId="36301" xr:uid="{26EB2E78-1818-4B30-AF7F-CC5D658AB800}"/>
    <cellStyle name="Calculation 2 2 3 2 5 4" xfId="31538" xr:uid="{AD9739CE-24D7-4924-9872-AC8491E22305}"/>
    <cellStyle name="Calculation 2 2 3 2 6" xfId="24347" xr:uid="{B2778A0A-EFCB-4A6A-B8B0-06B79C6EBF0B}"/>
    <cellStyle name="Calculation 2 2 3 2 6 2" xfId="26953" xr:uid="{61142AFB-B1F7-4FFB-B2F7-DB447CDBF9A2}"/>
    <cellStyle name="Calculation 2 2 3 2 6 2 2" xfId="33793" xr:uid="{AB6A5835-0E33-46CB-9527-7A471091929C}"/>
    <cellStyle name="Calculation 2 2 3 2 6 3" xfId="29029" xr:uid="{46637535-416C-4F67-A275-8923580AE093}"/>
    <cellStyle name="Calculation 2 2 3 2 6 3 2" xfId="35874" xr:uid="{CE3227F9-D7DE-436D-A0FE-4E5CE1419981}"/>
    <cellStyle name="Calculation 2 2 3 2 6 4" xfId="31111" xr:uid="{11264074-16BF-4FF6-9C50-474C1301CA15}"/>
    <cellStyle name="Calculation 2 2 3 2 7" xfId="25228" xr:uid="{C2AA711D-66BC-47F8-B41F-57B3774BD615}"/>
    <cellStyle name="Calculation 2 2 3 2 7 2" xfId="27899" xr:uid="{FF68F467-CC99-47F3-BC68-2D47C95516B2}"/>
    <cellStyle name="Calculation 2 2 3 2 7 2 2" xfId="34744" xr:uid="{5D4501B7-2644-42B3-89EA-1A15C7E4DA88}"/>
    <cellStyle name="Calculation 2 2 3 2 7 3" xfId="29980" xr:uid="{475D508C-2DF1-42AD-B92B-ACD20A2EE80F}"/>
    <cellStyle name="Calculation 2 2 3 2 7 3 2" xfId="36825" xr:uid="{CD796CE0-4E80-4982-9661-C3FA9E305032}"/>
    <cellStyle name="Calculation 2 2 3 2 7 4" xfId="32062" xr:uid="{327DCB3C-7E2F-457B-BBDF-4DA65D0F6C7C}"/>
    <cellStyle name="Calculation 2 2 3 2 8" xfId="24490" xr:uid="{9F0B74A6-6C9B-4D6F-A55A-765A5C19BC28}"/>
    <cellStyle name="Calculation 2 2 3 2 8 2" xfId="27101" xr:uid="{52E78854-9216-4794-9180-5280C77C231A}"/>
    <cellStyle name="Calculation 2 2 3 2 8 2 2" xfId="33941" xr:uid="{5581DD7D-E4F8-4A8B-8D21-9A1A627E3812}"/>
    <cellStyle name="Calculation 2 2 3 2 8 3" xfId="29177" xr:uid="{709A5530-E711-4EF2-A3BC-8940C64B7B79}"/>
    <cellStyle name="Calculation 2 2 3 2 8 3 2" xfId="36022" xr:uid="{03C1E6E2-C737-4990-8A3E-2441A45BDDFA}"/>
    <cellStyle name="Calculation 2 2 3 2 8 4" xfId="31259" xr:uid="{4B976780-8EE4-4F40-94EC-CF7B3186155E}"/>
    <cellStyle name="Calculation 2 2 3 2 9" xfId="25378" xr:uid="{84C42694-FAE4-4A81-87BE-CF75FEF4E195}"/>
    <cellStyle name="Calculation 2 2 3 2 9 2" xfId="28045" xr:uid="{59EAD8CE-39A3-4272-AA93-DAEFA63707D4}"/>
    <cellStyle name="Calculation 2 2 3 2 9 2 2" xfId="34890" xr:uid="{3F258939-3841-461C-9D46-EE7E15EEFFC6}"/>
    <cellStyle name="Calculation 2 2 3 2 9 3" xfId="30126" xr:uid="{7F1E5EE8-EA00-4F44-9F90-27AFDC981481}"/>
    <cellStyle name="Calculation 2 2 3 2 9 3 2" xfId="36971" xr:uid="{20E7E6A9-61CC-48BF-9AF3-4D7055E0079F}"/>
    <cellStyle name="Calculation 2 2 3 2 9 4" xfId="32208" xr:uid="{666875EF-2F32-461C-BC80-AAD4CAF7698F}"/>
    <cellStyle name="Calculation 2 2 3 3" xfId="9267" xr:uid="{00000000-0005-0000-0000-0000F6020000}"/>
    <cellStyle name="Calculation 2 2 3 3 10" xfId="25630" xr:uid="{A9387B9E-7283-4EE0-A833-7E6564473B5E}"/>
    <cellStyle name="Calculation 2 2 3 3 10 2" xfId="28297" xr:uid="{A73B078F-7AD2-4C13-8047-299ABF9DA88F}"/>
    <cellStyle name="Calculation 2 2 3 3 10 2 2" xfId="35142" xr:uid="{F8EE0E1D-5964-4944-AA19-10F789B7FFB8}"/>
    <cellStyle name="Calculation 2 2 3 3 10 3" xfId="30378" xr:uid="{102B7192-4CDD-42B0-9E28-1164E9B01468}"/>
    <cellStyle name="Calculation 2 2 3 3 10 3 2" xfId="37223" xr:uid="{80905650-64CB-49F1-9338-30E3348A6286}"/>
    <cellStyle name="Calculation 2 2 3 3 10 4" xfId="32460" xr:uid="{C14793D9-EC7D-47FA-99B6-4F2496C39D4E}"/>
    <cellStyle name="Calculation 2 2 3 3 11" xfId="25735" xr:uid="{3A0C1B58-CA2B-4E6B-87F3-9A2B4A8D2C63}"/>
    <cellStyle name="Calculation 2 2 3 3 11 2" xfId="28402" xr:uid="{E10B5405-BB4E-4053-948A-4856E62FD13D}"/>
    <cellStyle name="Calculation 2 2 3 3 11 2 2" xfId="35247" xr:uid="{ED98568D-A766-4F20-9CDB-109F54ADDAB1}"/>
    <cellStyle name="Calculation 2 2 3 3 11 3" xfId="30483" xr:uid="{50177114-D699-4C43-B724-79F879B2BBCA}"/>
    <cellStyle name="Calculation 2 2 3 3 11 3 2" xfId="37328" xr:uid="{9E36436E-D721-44C1-8499-C4B97404B0AA}"/>
    <cellStyle name="Calculation 2 2 3 3 11 4" xfId="32565" xr:uid="{C9124EDB-4DAD-4747-87EC-A8095876389C}"/>
    <cellStyle name="Calculation 2 2 3 3 12" xfId="25809" xr:uid="{FF720F6F-F0C1-49FA-A65D-F272FB9E2E63}"/>
    <cellStyle name="Calculation 2 2 3 3 12 2" xfId="28475" xr:uid="{7DFD801B-9A8F-4446-A3E7-8AB7303EE1FA}"/>
    <cellStyle name="Calculation 2 2 3 3 12 2 2" xfId="35320" xr:uid="{66E03AD6-3F40-40BA-9283-8141C49AF153}"/>
    <cellStyle name="Calculation 2 2 3 3 12 3" xfId="30556" xr:uid="{7C6A8B60-44BC-4713-AB4F-DE7DB156DC08}"/>
    <cellStyle name="Calculation 2 2 3 3 12 3 2" xfId="37401" xr:uid="{17247505-958F-48B1-A415-258E58EF4F00}"/>
    <cellStyle name="Calculation 2 2 3 3 12 4" xfId="32638" xr:uid="{4FD1FDBF-47DD-46B5-9306-9ABC0ECD09AF}"/>
    <cellStyle name="Calculation 2 2 3 3 13" xfId="25361" xr:uid="{04722508-012F-4EDC-AEE0-DDD87C8C5479}"/>
    <cellStyle name="Calculation 2 2 3 3 13 2" xfId="28028" xr:uid="{5D616610-DA86-4E5B-95FD-B14EFA745CB5}"/>
    <cellStyle name="Calculation 2 2 3 3 13 2 2" xfId="34873" xr:uid="{CBCC4EC5-D7BF-4E2A-8D0D-6E9361A27D73}"/>
    <cellStyle name="Calculation 2 2 3 3 13 3" xfId="30109" xr:uid="{53881E5B-8949-46E1-AA28-5BCACDEE5FF1}"/>
    <cellStyle name="Calculation 2 2 3 3 13 3 2" xfId="36954" xr:uid="{E291AAE1-F4DC-4A18-B33A-05644DADA065}"/>
    <cellStyle name="Calculation 2 2 3 3 13 4" xfId="32191" xr:uid="{FEA30E69-3F21-4962-9F84-A0CDC98AA1C8}"/>
    <cellStyle name="Calculation 2 2 3 3 14" xfId="25941" xr:uid="{5C0FD3F5-C14B-43A0-98D8-E249509953EF}"/>
    <cellStyle name="Calculation 2 2 3 3 14 2" xfId="28607" xr:uid="{69AC112B-496D-497A-B924-804D9A2DCF93}"/>
    <cellStyle name="Calculation 2 2 3 3 14 2 2" xfId="35452" xr:uid="{0A76049F-4A97-4900-866D-2FE57180384C}"/>
    <cellStyle name="Calculation 2 2 3 3 14 3" xfId="30688" xr:uid="{BBC6734D-BE82-4F35-A27E-ABCE55B8E765}"/>
    <cellStyle name="Calculation 2 2 3 3 14 3 2" xfId="37533" xr:uid="{5106901A-25E3-4880-959D-CCECF53D01EF}"/>
    <cellStyle name="Calculation 2 2 3 3 14 4" xfId="32770" xr:uid="{412F1C2D-75C4-4FC4-90B0-EA9397B77A40}"/>
    <cellStyle name="Calculation 2 2 3 3 15" xfId="25995" xr:uid="{8A1B5FAE-51EE-4AA6-A468-2477EEE7C10C}"/>
    <cellStyle name="Calculation 2 2 3 3 15 2" xfId="28661" xr:uid="{FBDB53BB-B4F8-4D35-B410-15AE60122404}"/>
    <cellStyle name="Calculation 2 2 3 3 15 2 2" xfId="35506" xr:uid="{B400DE44-21AB-4195-BF62-C8B265F9EF1C}"/>
    <cellStyle name="Calculation 2 2 3 3 15 3" xfId="30742" xr:uid="{E0974CB8-8FD5-4270-81E6-C3F30A892C9D}"/>
    <cellStyle name="Calculation 2 2 3 3 15 3 2" xfId="37587" xr:uid="{51B8C85E-9821-4654-BB48-38EA91D63F25}"/>
    <cellStyle name="Calculation 2 2 3 3 15 4" xfId="32824" xr:uid="{729C7120-DB63-4C44-8298-C949C496DC64}"/>
    <cellStyle name="Calculation 2 2 3 3 16" xfId="24646" xr:uid="{59764E1B-B627-449E-807C-AD4AC030963B}"/>
    <cellStyle name="Calculation 2 2 3 3 17" xfId="17799" xr:uid="{4985F163-317E-425B-8103-B9733328538D}"/>
    <cellStyle name="Calculation 2 2 3 3 18" xfId="41803" xr:uid="{6F3C0F48-5720-4012-8707-5246C9BF3A03}"/>
    <cellStyle name="Calculation 2 2 3 3 19" xfId="48116" xr:uid="{8C3F9F55-334B-4069-A182-F33CD5ACF3F7}"/>
    <cellStyle name="Calculation 2 2 3 3 2" xfId="18461" xr:uid="{9A6F81FE-841B-4244-A87F-96040A0F7642}"/>
    <cellStyle name="Calculation 2 2 3 3 2 10" xfId="20178" xr:uid="{E19E1BFC-FB40-4249-9419-315C1BF088EE}"/>
    <cellStyle name="Calculation 2 2 3 3 2 11" xfId="20430" xr:uid="{24067029-5481-484A-8A96-C8F36FC42046}"/>
    <cellStyle name="Calculation 2 2 3 3 2 12" xfId="19605" xr:uid="{268A8C3B-A823-41C4-AC6C-F4BC3934B030}"/>
    <cellStyle name="Calculation 2 2 3 3 2 13" xfId="19106" xr:uid="{EA935254-A663-48E1-BE41-83052BC194BE}"/>
    <cellStyle name="Calculation 2 2 3 3 2 14" xfId="20160" xr:uid="{7FAA6139-8A96-4BB7-8AF6-F1B651977EF8}"/>
    <cellStyle name="Calculation 2 2 3 3 2 15" xfId="19102" xr:uid="{3D2EE571-E017-4332-8FCC-C451F989860B}"/>
    <cellStyle name="Calculation 2 2 3 3 2 16" xfId="31558" xr:uid="{F6B91B6F-F696-49F2-8168-F257CF7B35F9}"/>
    <cellStyle name="Calculation 2 2 3 3 2 2" xfId="19915" xr:uid="{F31B5178-2BED-43CB-98CF-F56A6903BFE3}"/>
    <cellStyle name="Calculation 2 2 3 3 2 2 2" xfId="27396" xr:uid="{608EEDA0-A887-49A5-8A1C-53DE9244365E}"/>
    <cellStyle name="Calculation 2 2 3 3 2 2 3" xfId="34240" xr:uid="{6124B7FC-69C9-4810-AA0C-CE20EB9638E6}"/>
    <cellStyle name="Calculation 2 2 3 3 2 3" xfId="21695" xr:uid="{A7D9DB01-301C-4420-B213-F56FDCB8938E}"/>
    <cellStyle name="Calculation 2 2 3 3 2 3 2" xfId="29476" xr:uid="{7FD10F16-E63D-4B5B-B0A5-F5EB699EDCDB}"/>
    <cellStyle name="Calculation 2 2 3 3 2 3 3" xfId="36321" xr:uid="{28AF4A63-B6A1-4EE6-AAE7-2FC9C19CCD16}"/>
    <cellStyle name="Calculation 2 2 3 3 2 4" xfId="18910" xr:uid="{693F395D-531C-4B9C-BA3A-CA4AC1027D02}"/>
    <cellStyle name="Calculation 2 2 3 3 2 5" xfId="20080" xr:uid="{79C36388-56DB-4F57-8BBA-FD77355AD97D}"/>
    <cellStyle name="Calculation 2 2 3 3 2 6" xfId="19345" xr:uid="{2390B044-8878-4F08-B3AD-179B6CB7B4C6}"/>
    <cellStyle name="Calculation 2 2 3 3 2 7" xfId="20286" xr:uid="{44F3B10B-C03E-440C-89E9-A34CA19E6E7D}"/>
    <cellStyle name="Calculation 2 2 3 3 2 8" xfId="20136" xr:uid="{01AC87C2-8EE6-459E-A735-1FA1975DB305}"/>
    <cellStyle name="Calculation 2 2 3 3 2 9" xfId="22000" xr:uid="{83FE8AA4-95E4-40D8-B138-3CF5C5715B44}"/>
    <cellStyle name="Calculation 2 2 3 3 20" xfId="46079" xr:uid="{10C84065-BC85-4B6E-A250-2BA3C0A7F3EC}"/>
    <cellStyle name="Calculation 2 2 3 3 21" xfId="48186" xr:uid="{FACC2744-A08D-4012-A38D-12A929C07B71}"/>
    <cellStyle name="Calculation 2 2 3 3 22" xfId="46709" xr:uid="{673D3B7A-CC73-4284-A290-E4468DC512FD}"/>
    <cellStyle name="Calculation 2 2 3 3 3" xfId="24694" xr:uid="{099C4E0F-A4C8-4F95-A614-E77527673B06}"/>
    <cellStyle name="Calculation 2 2 3 3 3 2" xfId="27313" xr:uid="{B0FD1190-28DF-4301-ABAB-122B6C76F594}"/>
    <cellStyle name="Calculation 2 2 3 3 3 2 2" xfId="34157" xr:uid="{15504C95-A4ED-4EFE-8563-D7F9DB67494A}"/>
    <cellStyle name="Calculation 2 2 3 3 3 3" xfId="29393" xr:uid="{311F1BDE-DDB5-46D9-9977-EF6F933B64C4}"/>
    <cellStyle name="Calculation 2 2 3 3 3 3 2" xfId="36238" xr:uid="{F86F0873-3F43-4C7D-98EC-FBD82F510B1B}"/>
    <cellStyle name="Calculation 2 2 3 3 3 4" xfId="31475" xr:uid="{B5853E83-4FE8-4DC2-9052-AC271FD686B6}"/>
    <cellStyle name="Calculation 2 2 3 3 4" xfId="25083" xr:uid="{2FC9318E-AABA-4E5E-BA9C-82B6F03EA5E7}"/>
    <cellStyle name="Calculation 2 2 3 3 4 2" xfId="27755" xr:uid="{4F2E44A2-B3BE-46B8-93B4-D82E5F900F82}"/>
    <cellStyle name="Calculation 2 2 3 3 4 2 2" xfId="34600" xr:uid="{B21E487A-40C1-42F3-A599-AB47CB5F280B}"/>
    <cellStyle name="Calculation 2 2 3 3 4 3" xfId="29836" xr:uid="{76A4874A-6BBE-4367-AE14-F96622930282}"/>
    <cellStyle name="Calculation 2 2 3 3 4 3 2" xfId="36681" xr:uid="{0FC6D5C8-A250-4E7F-B3AF-7463EA9DC3B5}"/>
    <cellStyle name="Calculation 2 2 3 3 4 4" xfId="31918" xr:uid="{BADAAFF5-3513-4003-B4EF-C5328883252B}"/>
    <cellStyle name="Calculation 2 2 3 3 5" xfId="24177" xr:uid="{EEF0FA3D-8788-43EB-887F-F5B7D6925ACE}"/>
    <cellStyle name="Calculation 2 2 3 3 5 2" xfId="26788" xr:uid="{03DA4AE3-7BAD-4C6F-9DB3-3F7694585F7A}"/>
    <cellStyle name="Calculation 2 2 3 3 5 2 2" xfId="33628" xr:uid="{A679C6D9-9BF7-4CE9-8C41-DEEE40FB4FF3}"/>
    <cellStyle name="Calculation 2 2 3 3 5 3" xfId="28864" xr:uid="{B9BEE913-6E62-4856-B52D-63F54DBFD6CA}"/>
    <cellStyle name="Calculation 2 2 3 3 5 3 2" xfId="35709" xr:uid="{191FBCBA-D0ED-490E-9946-AA9282F13644}"/>
    <cellStyle name="Calculation 2 2 3 3 5 4" xfId="30946" xr:uid="{37886E92-5234-4942-B36D-ADF5E736769D}"/>
    <cellStyle name="Calculation 2 2 3 3 6" xfId="24554" xr:uid="{859A481D-3055-40B5-BCA4-DA0235D97924}"/>
    <cellStyle name="Calculation 2 2 3 3 6 2" xfId="27154" xr:uid="{89361FEF-6334-40A9-9AD0-C665B3446320}"/>
    <cellStyle name="Calculation 2 2 3 3 6 2 2" xfId="33995" xr:uid="{32AFDE46-56F2-4192-B615-C8BF1FA71D3A}"/>
    <cellStyle name="Calculation 2 2 3 3 6 3" xfId="29231" xr:uid="{272C282A-5B8B-4E63-8268-5D5A0929F53B}"/>
    <cellStyle name="Calculation 2 2 3 3 6 3 2" xfId="36076" xr:uid="{2CB822FE-6168-4B0E-84BD-1329931A557A}"/>
    <cellStyle name="Calculation 2 2 3 3 6 4" xfId="31313" xr:uid="{877186E0-0B9A-4B3D-BB83-77EF96C82F9B}"/>
    <cellStyle name="Calculation 2 2 3 3 7" xfId="23773" xr:uid="{75B2989D-2803-4A4A-8088-0E578AD4B52A}"/>
    <cellStyle name="Calculation 2 2 3 3 7 2" xfId="26384" xr:uid="{52D5703D-C82B-4FBE-8FBB-37FC321009FC}"/>
    <cellStyle name="Calculation 2 2 3 3 7 2 2" xfId="33223" xr:uid="{D577F5A3-BEE0-46FA-A6D1-F73AA2317583}"/>
    <cellStyle name="Calculation 2 2 3 3 7 3" xfId="26298" xr:uid="{7CA68B37-8A6D-4F02-8769-F62D865DB876}"/>
    <cellStyle name="Calculation 2 2 3 3 7 3 2" xfId="33126" xr:uid="{6108A2F2-1506-4649-9883-7FF4B0A80ECB}"/>
    <cellStyle name="Calculation 2 2 3 3 7 4" xfId="23420" xr:uid="{DD672382-75B6-470E-8FAB-EC3E62B1D38E}"/>
    <cellStyle name="Calculation 2 2 3 3 8" xfId="25024" xr:uid="{0A8C32B3-DFD6-4BAF-A0AC-37F92302D710}"/>
    <cellStyle name="Calculation 2 2 3 3 8 2" xfId="27697" xr:uid="{BF8568F0-9B0D-475C-87A9-A7B643A6D631}"/>
    <cellStyle name="Calculation 2 2 3 3 8 2 2" xfId="34542" xr:uid="{0AB715DD-5ECA-4F76-8C7F-604E6B854AB3}"/>
    <cellStyle name="Calculation 2 2 3 3 8 3" xfId="29778" xr:uid="{01C7679B-DD86-4268-B5B9-4BAE09651003}"/>
    <cellStyle name="Calculation 2 2 3 3 8 3 2" xfId="36623" xr:uid="{95EDF46D-4AB8-4613-95CD-ED4BCFB33780}"/>
    <cellStyle name="Calculation 2 2 3 3 8 4" xfId="31860" xr:uid="{2F633F75-FEA3-4DDE-8CB6-5979544A0E78}"/>
    <cellStyle name="Calculation 2 2 3 3 9" xfId="25487" xr:uid="{8C8E5EE2-A22B-4836-A183-314131D15523}"/>
    <cellStyle name="Calculation 2 2 3 3 9 2" xfId="28154" xr:uid="{684D2E67-4C90-4E13-A4A2-6500ADEABF38}"/>
    <cellStyle name="Calculation 2 2 3 3 9 2 2" xfId="34999" xr:uid="{3E278EEE-88AB-4781-B056-C5D7FEB00123}"/>
    <cellStyle name="Calculation 2 2 3 3 9 3" xfId="30235" xr:uid="{AF8BA72F-0EC8-45E1-BDDA-F75BDEED5EE9}"/>
    <cellStyle name="Calculation 2 2 3 3 9 3 2" xfId="37080" xr:uid="{E2DACD29-F382-4FB7-B2CF-C66A94113F25}"/>
    <cellStyle name="Calculation 2 2 3 3 9 4" xfId="32317" xr:uid="{D1CEDA6C-B693-426C-BB52-B40558ACAE6E}"/>
    <cellStyle name="Calculation 2 2 3 4" xfId="18633" xr:uid="{0DDC9188-328E-4264-AB2B-82659328ACAB}"/>
    <cellStyle name="Calculation 2 2 3 4 10" xfId="20599" xr:uid="{B6017EEF-30FA-4D88-94E2-B67BFCC506CF}"/>
    <cellStyle name="Calculation 2 2 3 4 11" xfId="20456" xr:uid="{451F80E8-4086-4647-9284-FB0562C7201D}"/>
    <cellStyle name="Calculation 2 2 3 4 12" xfId="22767" xr:uid="{420BB5D8-A063-4465-8DED-CC718510305F}"/>
    <cellStyle name="Calculation 2 2 3 4 13" xfId="20201" xr:uid="{22AF2505-F2C0-4F41-AC3B-19879CC48DB5}"/>
    <cellStyle name="Calculation 2 2 3 4 14" xfId="22903" xr:uid="{6A850C6B-0AB6-4921-9FCE-B1690E08E67B}"/>
    <cellStyle name="Calculation 2 2 3 4 15" xfId="21579" xr:uid="{BB9E0BAC-2F47-4862-962D-7743F8BFA9AB}"/>
    <cellStyle name="Calculation 2 2 3 4 16" xfId="31286" xr:uid="{6D66BA32-F433-4C94-A5E9-AE0F4CDBEFB0}"/>
    <cellStyle name="Calculation 2 2 3 4 2" xfId="19837" xr:uid="{C8309E0B-7FCC-41FE-8288-AE4B7EC7420C}"/>
    <cellStyle name="Calculation 2 2 3 4 2 2" xfId="27128" xr:uid="{40DB1521-370C-463D-B501-AB168B451867}"/>
    <cellStyle name="Calculation 2 2 3 4 2 3" xfId="33968" xr:uid="{99697BDF-2279-425D-AA67-878E45062B94}"/>
    <cellStyle name="Calculation 2 2 3 4 3" xfId="21032" xr:uid="{AF1DBCD2-C149-45F9-99C8-FD0C1AC6E829}"/>
    <cellStyle name="Calculation 2 2 3 4 3 2" xfId="29204" xr:uid="{355943C5-3556-417A-81A5-1F78F6EA0543}"/>
    <cellStyle name="Calculation 2 2 3 4 3 3" xfId="36049" xr:uid="{A09BF0BF-16EB-472A-9D70-62F314E08894}"/>
    <cellStyle name="Calculation 2 2 3 4 4" xfId="21601" xr:uid="{9332CD24-3DA8-49DF-8487-8B75C9EFA66E}"/>
    <cellStyle name="Calculation 2 2 3 4 5" xfId="22084" xr:uid="{AD9FB282-F3D6-49AD-84B4-C59B10355D68}"/>
    <cellStyle name="Calculation 2 2 3 4 6" xfId="20536" xr:uid="{9F5813F1-45C1-4562-A9FB-ECE04B2A9B90}"/>
    <cellStyle name="Calculation 2 2 3 4 7" xfId="19630" xr:uid="{775815E7-C47A-4B70-A32C-69F3D06502A5}"/>
    <cellStyle name="Calculation 2 2 3 4 8" xfId="21860" xr:uid="{6DA1E919-8E13-4617-BA75-B98EBE5D5019}"/>
    <cellStyle name="Calculation 2 2 3 4 9" xfId="22504" xr:uid="{76869DB5-8323-4C77-8926-0FF0B9D811C9}"/>
    <cellStyle name="Calculation 2 2 3 5" xfId="17903" xr:uid="{DB7B87FE-A39B-4369-A0FD-8107B8FA04D1}"/>
    <cellStyle name="Calculation 2 2 3 5 2" xfId="26860" xr:uid="{701F5874-1D07-4760-8B1B-769C35B7FEA1}"/>
    <cellStyle name="Calculation 2 2 3 5 2 2" xfId="33700" xr:uid="{39C3D3A2-31AA-495A-B22A-6DDA9CD8C2F3}"/>
    <cellStyle name="Calculation 2 2 3 5 3" xfId="28936" xr:uid="{4E473CC8-F170-46C4-8304-03D0304E7A17}"/>
    <cellStyle name="Calculation 2 2 3 5 3 2" xfId="35781" xr:uid="{6F0D4D50-0D25-4949-9020-5A332B932A3C}"/>
    <cellStyle name="Calculation 2 2 3 5 4" xfId="24253" xr:uid="{C13F5B58-26DE-487C-A996-BB6FFE427371}"/>
    <cellStyle name="Calculation 2 2 3 5 5" xfId="31018" xr:uid="{28CE32DC-5505-4280-8839-0BA757AD64E1}"/>
    <cellStyle name="Calculation 2 2 3 6" xfId="17528" xr:uid="{66DC0F9F-9277-4F91-A607-44DE055CC8E3}"/>
    <cellStyle name="Calculation 2 2 3 6 2" xfId="26858" xr:uid="{C9185BAE-E3D3-4CEA-9C32-731BD95E7B4D}"/>
    <cellStyle name="Calculation 2 2 3 6 2 2" xfId="33698" xr:uid="{CB69EC39-69A6-4983-9606-E200FADA4F1C}"/>
    <cellStyle name="Calculation 2 2 3 6 3" xfId="28934" xr:uid="{5673134A-D275-4E8A-8787-5A6D25107868}"/>
    <cellStyle name="Calculation 2 2 3 6 3 2" xfId="35779" xr:uid="{A3161E01-387C-41CB-A0E7-76785DA579A3}"/>
    <cellStyle name="Calculation 2 2 3 6 4" xfId="24251" xr:uid="{E844D4FD-E63B-4A78-9FB7-2A074B57250C}"/>
    <cellStyle name="Calculation 2 2 3 6 5" xfId="31016" xr:uid="{D2E73900-0A6A-417D-B41A-74E7CFB75E11}"/>
    <cellStyle name="Calculation 2 2 3 7" xfId="25171" xr:uid="{E39608E4-77B4-4E85-9D1F-DAAC2CFB5BFC}"/>
    <cellStyle name="Calculation 2 2 3 7 2" xfId="27843" xr:uid="{A521F1BA-28D8-43C2-A0D0-542714B37B7D}"/>
    <cellStyle name="Calculation 2 2 3 7 2 2" xfId="34688" xr:uid="{ED573CFE-BD09-43D7-89D7-732130C10157}"/>
    <cellStyle name="Calculation 2 2 3 7 3" xfId="29924" xr:uid="{5A79E7AF-1874-4832-83A6-A4E7ADD21E89}"/>
    <cellStyle name="Calculation 2 2 3 7 3 2" xfId="36769" xr:uid="{CD899796-B67E-4D1F-A261-3AA796D4C8DA}"/>
    <cellStyle name="Calculation 2 2 3 7 4" xfId="32006" xr:uid="{0B7AF42A-B64E-4609-B76B-3FFBEE66AB15}"/>
    <cellStyle name="Calculation 2 2 3 8" xfId="25287" xr:uid="{FDA8FF64-832D-4E0E-8018-E384A8E9AFE7}"/>
    <cellStyle name="Calculation 2 2 3 8 2" xfId="27958" xr:uid="{0C8A841C-FFF6-4297-A4A4-13AE1650919D}"/>
    <cellStyle name="Calculation 2 2 3 8 2 2" xfId="34803" xr:uid="{B2EB7358-AF0A-40A0-90B4-4FD4F14F2536}"/>
    <cellStyle name="Calculation 2 2 3 8 3" xfId="30039" xr:uid="{1941D3C5-303E-4EBB-87EF-19A3B7D04E7B}"/>
    <cellStyle name="Calculation 2 2 3 8 3 2" xfId="36884" xr:uid="{E638C416-B6AB-4140-8B1E-573B04ED0A12}"/>
    <cellStyle name="Calculation 2 2 3 8 4" xfId="32121" xr:uid="{0ED102C2-B721-4C00-8AEA-ADCE51B56879}"/>
    <cellStyle name="Calculation 2 2 3 9" xfId="25068" xr:uid="{ECE3EC72-D87C-42C0-9DD0-FBCCD05F2232}"/>
    <cellStyle name="Calculation 2 2 3 9 2" xfId="27740" xr:uid="{731D0286-6C57-4B66-A8DA-26D1710D089E}"/>
    <cellStyle name="Calculation 2 2 3 9 2 2" xfId="34585" xr:uid="{D423D42F-D37E-4663-9001-6F74341F7A19}"/>
    <cellStyle name="Calculation 2 2 3 9 3" xfId="29821" xr:uid="{399CAAED-6538-4B0D-800F-B01966C2D1EA}"/>
    <cellStyle name="Calculation 2 2 3 9 3 2" xfId="36666" xr:uid="{CC479787-E6B9-44DD-9E5A-E1ADF4EA6690}"/>
    <cellStyle name="Calculation 2 2 3 9 4" xfId="31903" xr:uid="{A2D0F4C6-23DF-4AEE-8C3B-D5E57E5C4EAB}"/>
    <cellStyle name="Calculation 2 2 4" xfId="792" xr:uid="{00000000-0005-0000-0000-00002B030000}"/>
    <cellStyle name="Calculation 2 2 4 10" xfId="25001" xr:uid="{067DAFB9-BA29-46DC-996B-BD39F0DC2352}"/>
    <cellStyle name="Calculation 2 2 4 10 2" xfId="27671" xr:uid="{6BA048CB-512D-4900-AA0E-5104F8B911AD}"/>
    <cellStyle name="Calculation 2 2 4 10 2 2" xfId="34516" xr:uid="{E7836864-A160-440C-967D-A0564D5AE3E5}"/>
    <cellStyle name="Calculation 2 2 4 10 3" xfId="29752" xr:uid="{BFBFFA77-2910-44F3-A679-D3A991061666}"/>
    <cellStyle name="Calculation 2 2 4 10 3 2" xfId="36597" xr:uid="{14C1C6D5-56FD-4763-AA54-435159A65898}"/>
    <cellStyle name="Calculation 2 2 4 10 4" xfId="31834" xr:uid="{C68DB82A-3668-4809-8901-2ECA39AF0C11}"/>
    <cellStyle name="Calculation 2 2 4 11" xfId="25436" xr:uid="{9C395164-30C5-4411-AC70-1119E747C554}"/>
    <cellStyle name="Calculation 2 2 4 11 2" xfId="28103" xr:uid="{0D2B6B9E-2116-4A71-BA45-C41CB88C9035}"/>
    <cellStyle name="Calculation 2 2 4 11 2 2" xfId="34948" xr:uid="{8AC2C1C3-3FE5-4932-B0A9-EF7CE9759BA3}"/>
    <cellStyle name="Calculation 2 2 4 11 3" xfId="30184" xr:uid="{AE225B73-0C77-44F2-98CB-4492E068E3DF}"/>
    <cellStyle name="Calculation 2 2 4 11 3 2" xfId="37029" xr:uid="{751FB833-2B7E-43A5-8EB4-10A249DB9EBA}"/>
    <cellStyle name="Calculation 2 2 4 11 4" xfId="32266" xr:uid="{E7EB3930-5BD3-42E8-AC04-EA14FADA7997}"/>
    <cellStyle name="Calculation 2 2 4 12" xfId="23954" xr:uid="{D8DCDBC8-50D3-463F-A628-A89E8750B99B}"/>
    <cellStyle name="Calculation 2 2 4 12 2" xfId="26572" xr:uid="{FFBD84BC-2D81-48CA-B0D9-1683F3DE903F}"/>
    <cellStyle name="Calculation 2 2 4 12 2 2" xfId="33412" xr:uid="{A722F9C8-FE4C-41CD-BADC-E68103245A1C}"/>
    <cellStyle name="Calculation 2 2 4 12 3" xfId="26113" xr:uid="{056A73A1-F07E-45F5-AF43-F22BEAECD1C5}"/>
    <cellStyle name="Calculation 2 2 4 12 3 2" xfId="32941" xr:uid="{70B4C598-19B2-4716-AA9B-61CB8515D6A3}"/>
    <cellStyle name="Calculation 2 2 4 12 4" xfId="23155" xr:uid="{6106618F-BD63-4638-A827-406D4DF14A46}"/>
    <cellStyle name="Calculation 2 2 4 13" xfId="25345" xr:uid="{B89BE91C-4870-426B-9C72-0B54854011DA}"/>
    <cellStyle name="Calculation 2 2 4 13 2" xfId="28012" xr:uid="{3BAEA6EA-7809-4F77-B7C7-A9ABDD84F15E}"/>
    <cellStyle name="Calculation 2 2 4 13 2 2" xfId="34857" xr:uid="{5FAC0EF5-C09F-43BC-9C3D-C8404CF2A302}"/>
    <cellStyle name="Calculation 2 2 4 13 3" xfId="30093" xr:uid="{2108077B-EAFF-421E-8E7D-2CA63C1B8DA7}"/>
    <cellStyle name="Calculation 2 2 4 13 3 2" xfId="36938" xr:uid="{6EC14422-8DBE-46CC-BEC4-1FB8448F0FC2}"/>
    <cellStyle name="Calculation 2 2 4 13 4" xfId="32175" xr:uid="{B1940BC2-FC33-4762-B260-F697AF9B1826}"/>
    <cellStyle name="Calculation 2 2 4 14" xfId="24168" xr:uid="{0504AC81-3F50-4A02-ADA0-6EFF0958F046}"/>
    <cellStyle name="Calculation 2 2 4 14 2" xfId="26779" xr:uid="{11396E47-33F5-4B5F-ADC4-10B30F609715}"/>
    <cellStyle name="Calculation 2 2 4 14 2 2" xfId="33619" xr:uid="{12D39770-194A-416F-A181-6902D993EE60}"/>
    <cellStyle name="Calculation 2 2 4 14 3" xfId="28855" xr:uid="{6C3EF6C6-D3D5-466D-B027-EC2A640DD9FC}"/>
    <cellStyle name="Calculation 2 2 4 14 3 2" xfId="35700" xr:uid="{B3AA4DD9-A50B-4A4E-A92B-2ED6543B5C23}"/>
    <cellStyle name="Calculation 2 2 4 14 4" xfId="30937" xr:uid="{AA0B40D3-D2EF-41CE-AC4B-1BE921F4D06A}"/>
    <cellStyle name="Calculation 2 2 4 15" xfId="25984" xr:uid="{E86CB1D4-666C-4DE4-BC3E-6A9C53399162}"/>
    <cellStyle name="Calculation 2 2 4 15 2" xfId="28650" xr:uid="{E84EE058-B9DD-4584-9487-7127257FB254}"/>
    <cellStyle name="Calculation 2 2 4 15 2 2" xfId="35495" xr:uid="{DFCD91ED-A932-4165-BB6C-29B63633A0B5}"/>
    <cellStyle name="Calculation 2 2 4 15 3" xfId="30731" xr:uid="{3CB05B7E-86BB-4E9D-B2C6-595FA522F51C}"/>
    <cellStyle name="Calculation 2 2 4 15 3 2" xfId="37576" xr:uid="{324F2D79-C3DB-4A15-8156-C8C1AEA0B1C5}"/>
    <cellStyle name="Calculation 2 2 4 15 4" xfId="32813" xr:uid="{36FF12BF-B503-4EAE-8E4E-E97251BE4435}"/>
    <cellStyle name="Calculation 2 2 4 16" xfId="23621" xr:uid="{DC3CD1A5-33A9-4637-9656-C7523A03BC98}"/>
    <cellStyle name="Calculation 2 2 4 17" xfId="14188" xr:uid="{3D5CD0E9-FC81-4CDE-ACE6-581E23F33384}"/>
    <cellStyle name="Calculation 2 2 4 18" xfId="15589" xr:uid="{A95D6041-6D87-4BB7-B976-375E12B3BE21}"/>
    <cellStyle name="Calculation 2 2 4 19" xfId="46987" xr:uid="{4A10426C-48B7-40BA-864B-1A00BB730D31}"/>
    <cellStyle name="Calculation 2 2 4 2" xfId="18356" xr:uid="{171169D9-640C-4338-BDA0-33051F134A88}"/>
    <cellStyle name="Calculation 2 2 4 2 10" xfId="19246" xr:uid="{8F3C19E4-6430-427D-B192-3685102D2291}"/>
    <cellStyle name="Calculation 2 2 4 2 11" xfId="19109" xr:uid="{27537B65-536F-450C-90EF-306801845169}"/>
    <cellStyle name="Calculation 2 2 4 2 12" xfId="19227" xr:uid="{780E15C4-F381-4F57-9C88-666FCDB9FE96}"/>
    <cellStyle name="Calculation 2 2 4 2 13" xfId="22448" xr:uid="{8ED1DCFD-5A93-47E0-9C2C-31DD3060EC71}"/>
    <cellStyle name="Calculation 2 2 4 2 14" xfId="22276" xr:uid="{126C7E4D-F3FA-4521-9933-EE0293977774}"/>
    <cellStyle name="Calculation 2 2 4 2 15" xfId="21949" xr:uid="{18EE98FA-A3F2-4B8B-A231-CDAE916A73C4}"/>
    <cellStyle name="Calculation 2 2 4 2 16" xfId="31492" xr:uid="{D126243D-13F5-4693-A367-CD3759D3228B}"/>
    <cellStyle name="Calculation 2 2 4 2 2" xfId="20000" xr:uid="{B911009E-083A-4801-8701-1D468B411B89}"/>
    <cellStyle name="Calculation 2 2 4 2 2 2" xfId="27330" xr:uid="{1BFEB9DA-3DC9-4862-AABF-7C6A021B247F}"/>
    <cellStyle name="Calculation 2 2 4 2 2 3" xfId="34174" xr:uid="{94FDBEDB-A7C0-437B-895C-D419D30B25D6}"/>
    <cellStyle name="Calculation 2 2 4 2 3" xfId="21125" xr:uid="{D5096E5E-6F92-4EDD-B557-245888392CA6}"/>
    <cellStyle name="Calculation 2 2 4 2 3 2" xfId="29410" xr:uid="{E27FBB2A-E4FA-4645-99AA-9F40A58412FD}"/>
    <cellStyle name="Calculation 2 2 4 2 3 3" xfId="36255" xr:uid="{69A3F50D-D121-469C-9733-CC90FFAD0292}"/>
    <cellStyle name="Calculation 2 2 4 2 4" xfId="18914" xr:uid="{82BA8DF0-65FE-4D52-8C4C-056C285E75EE}"/>
    <cellStyle name="Calculation 2 2 4 2 5" xfId="20110" xr:uid="{F535792F-0049-4C25-B334-8765F34B0D61}"/>
    <cellStyle name="Calculation 2 2 4 2 6" xfId="21992" xr:uid="{01B6CB83-6B65-4272-B298-7FFF3006CD5C}"/>
    <cellStyle name="Calculation 2 2 4 2 7" xfId="20217" xr:uid="{437E7ADC-A595-4801-9E6B-069DEE81C965}"/>
    <cellStyle name="Calculation 2 2 4 2 8" xfId="21578" xr:uid="{955A5724-BE40-439A-83DE-0C066B0868F7}"/>
    <cellStyle name="Calculation 2 2 4 2 9" xfId="22423" xr:uid="{02146990-9A0C-4D86-8C0C-0765FB041961}"/>
    <cellStyle name="Calculation 2 2 4 20" xfId="40984" xr:uid="{F0E59B60-DB09-41CB-8957-5B85325B27DA}"/>
    <cellStyle name="Calculation 2 2 4 21" xfId="13687" xr:uid="{F5F9F801-EDDE-467D-9940-E1C1490B1FF5}"/>
    <cellStyle name="Calculation 2 2 4 22" xfId="41763" xr:uid="{3A4BA4C1-8B31-467A-9856-6DB444203C69}"/>
    <cellStyle name="Calculation 2 2 4 3" xfId="17587" xr:uid="{FAAABB81-2141-4C1A-93AE-851F4E237EAF}"/>
    <cellStyle name="Calculation 2 2 4 3 2" xfId="27430" xr:uid="{18E53B4D-E63F-4103-9B9A-302E17D4BF8D}"/>
    <cellStyle name="Calculation 2 2 4 3 2 2" xfId="34274" xr:uid="{12A6F088-BFBA-4EB0-871C-50D371ACADDC}"/>
    <cellStyle name="Calculation 2 2 4 3 3" xfId="29510" xr:uid="{588A41E0-ED73-4578-AD85-5DCB86227F65}"/>
    <cellStyle name="Calculation 2 2 4 3 3 2" xfId="36355" xr:uid="{837F43FD-2E7E-4257-A414-504D0EA60F6B}"/>
    <cellStyle name="Calculation 2 2 4 3 4" xfId="24777" xr:uid="{B51D2EEE-C380-40C9-8982-99CDD03807F5}"/>
    <cellStyle name="Calculation 2 2 4 3 5" xfId="31592" xr:uid="{FF5A8423-D187-4339-B006-26A515E4A26F}"/>
    <cellStyle name="Calculation 2 2 4 4" xfId="24185" xr:uid="{F3A110D0-3392-4F6C-A2B5-84C9040ABE6F}"/>
    <cellStyle name="Calculation 2 2 4 4 2" xfId="26795" xr:uid="{61138FB1-9F69-4A40-9128-A35643896671}"/>
    <cellStyle name="Calculation 2 2 4 4 2 2" xfId="33635" xr:uid="{B300301A-8333-453E-AFCB-D8B20D931399}"/>
    <cellStyle name="Calculation 2 2 4 4 3" xfId="28871" xr:uid="{FAB83E73-F035-4340-8B65-4775B198D6F0}"/>
    <cellStyle name="Calculation 2 2 4 4 3 2" xfId="35716" xr:uid="{92885808-F4D9-446B-A889-B86DBCCDD5DB}"/>
    <cellStyle name="Calculation 2 2 4 4 4" xfId="30953" xr:uid="{E4669836-F5ED-4BC9-8596-7EFA06633C8C}"/>
    <cellStyle name="Calculation 2 2 4 5" xfId="23749" xr:uid="{F944EA9D-A4D1-4A7C-9933-D016B286B966}"/>
    <cellStyle name="Calculation 2 2 4 5 2" xfId="26360" xr:uid="{35F9A0C0-2A8F-4B0C-B854-A367A910A834}"/>
    <cellStyle name="Calculation 2 2 4 5 2 2" xfId="33199" xr:uid="{932A2718-6C53-46F8-9A34-08C264931951}"/>
    <cellStyle name="Calculation 2 2 4 5 3" xfId="26321" xr:uid="{64305793-C14C-4AA5-9996-BD9EAA1786D2}"/>
    <cellStyle name="Calculation 2 2 4 5 3 2" xfId="33149" xr:uid="{CF5A9901-F35C-4181-99D0-9B1753ABD0AF}"/>
    <cellStyle name="Calculation 2 2 4 5 4" xfId="23444" xr:uid="{9ABA04E6-922D-4411-AD9B-FFFE27DB2CCF}"/>
    <cellStyle name="Calculation 2 2 4 6" xfId="24123" xr:uid="{07BA6359-518C-44BF-9158-3DE900FBB12B}"/>
    <cellStyle name="Calculation 2 2 4 6 2" xfId="26735" xr:uid="{E937A340-B696-4B37-B825-375F9B4B297C}"/>
    <cellStyle name="Calculation 2 2 4 6 2 2" xfId="33575" xr:uid="{0E7AE375-C870-4261-B431-22FA7D8D0514}"/>
    <cellStyle name="Calculation 2 2 4 6 3" xfId="28811" xr:uid="{26B24345-EAD0-4E5A-93DE-3376CEB845BA}"/>
    <cellStyle name="Calculation 2 2 4 6 3 2" xfId="35656" xr:uid="{CD6CC116-CAF9-4D5E-BE78-A1D5EB16A032}"/>
    <cellStyle name="Calculation 2 2 4 6 4" xfId="30893" xr:uid="{1FB85B3F-F5F7-4385-B1C9-440BFABEB49A}"/>
    <cellStyle name="Calculation 2 2 4 7" xfId="24605" xr:uid="{5A17E454-AC3B-4FB4-8FBC-2CBB93281AD9}"/>
    <cellStyle name="Calculation 2 2 4 7 2" xfId="27193" xr:uid="{14E772A2-2E9B-48D4-9A9F-B98573699CB1}"/>
    <cellStyle name="Calculation 2 2 4 7 2 2" xfId="34034" xr:uid="{5BBAA769-C17B-4FA3-A3A4-56F7BC8B4BD0}"/>
    <cellStyle name="Calculation 2 2 4 7 3" xfId="29270" xr:uid="{FD55AE83-C879-4D30-B397-9A1CBB1BEAB8}"/>
    <cellStyle name="Calculation 2 2 4 7 3 2" xfId="36115" xr:uid="{BE2D3D83-37BE-44A8-AAC8-69E6C043938E}"/>
    <cellStyle name="Calculation 2 2 4 7 4" xfId="31352" xr:uid="{3C752F78-069B-406D-87C3-13CE76799399}"/>
    <cellStyle name="Calculation 2 2 4 8" xfId="23786" xr:uid="{84A10487-D4C4-4091-842F-36F8CA3A7EFA}"/>
    <cellStyle name="Calculation 2 2 4 8 2" xfId="26399" xr:uid="{83057A7F-E94B-4C8F-9B08-9BC02B94DAF7}"/>
    <cellStyle name="Calculation 2 2 4 8 2 2" xfId="33239" xr:uid="{C6DB9BC3-F151-4374-965F-4184CBAA1F40}"/>
    <cellStyle name="Calculation 2 2 4 8 3" xfId="26282" xr:uid="{E144C8CA-4CFE-4C79-9579-A89841C3CBDF}"/>
    <cellStyle name="Calculation 2 2 4 8 3 2" xfId="33110" xr:uid="{F66F48BE-93BE-4985-8448-4F6B07D52C28}"/>
    <cellStyle name="Calculation 2 2 4 8 4" xfId="23404" xr:uid="{31409A9C-15F2-41EB-9D7F-00A6B2E9E4B7}"/>
    <cellStyle name="Calculation 2 2 4 9" xfId="25271" xr:uid="{1BF39BD0-C717-4177-B7FD-9C7FC8CF9DAE}"/>
    <cellStyle name="Calculation 2 2 4 9 2" xfId="27942" xr:uid="{5D43FD2F-E8CF-45B2-9E70-0A47837A4A2D}"/>
    <cellStyle name="Calculation 2 2 4 9 2 2" xfId="34787" xr:uid="{0E270754-37E2-4275-92CD-209B257B5B6A}"/>
    <cellStyle name="Calculation 2 2 4 9 3" xfId="30023" xr:uid="{C34A6409-5C81-4BD4-BB73-99D33DF314A6}"/>
    <cellStyle name="Calculation 2 2 4 9 3 2" xfId="36868" xr:uid="{546C8DE3-930D-44AE-AD86-86F600F288BD}"/>
    <cellStyle name="Calculation 2 2 4 9 4" xfId="32105" xr:uid="{901C029F-368C-4EA4-AA95-696655F76A99}"/>
    <cellStyle name="Calculation 2 2 5" xfId="793" xr:uid="{00000000-0005-0000-0000-00002C030000}"/>
    <cellStyle name="Calculation 2 2 5 10" xfId="48236" xr:uid="{507E6DEC-A3FB-4EA9-B6DB-0D9E2A6B7878}"/>
    <cellStyle name="Calculation 2 2 5 2" xfId="18357" xr:uid="{F7BF8B0A-9100-4CB6-B517-4197D633F812}"/>
    <cellStyle name="Calculation 2 2 5 2 10" xfId="21526" xr:uid="{D8BDBA48-1EB5-4890-96E1-5FC7022C53CC}"/>
    <cellStyle name="Calculation 2 2 5 2 11" xfId="20078" xr:uid="{D365E8E3-69B3-4B8E-A585-7CBD49BFD2F5}"/>
    <cellStyle name="Calculation 2 2 5 2 12" xfId="20613" xr:uid="{F152FA30-5AA6-4DA0-BCB7-9F9C282A6406}"/>
    <cellStyle name="Calculation 2 2 5 2 13" xfId="20297" xr:uid="{E82CB5C8-9A7D-4FF7-8817-4093BBC15A17}"/>
    <cellStyle name="Calculation 2 2 5 2 14" xfId="19268" xr:uid="{4CA89955-9A5F-44D9-B054-A9F66FD1C3C4}"/>
    <cellStyle name="Calculation 2 2 5 2 15" xfId="19706" xr:uid="{2E02A1F0-3087-44F1-8966-68710C6755B6}"/>
    <cellStyle name="Calculation 2 2 5 2 16" xfId="33164" xr:uid="{85BB067C-BCEC-4A15-AF4D-0DBD4590BDDF}"/>
    <cellStyle name="Calculation 2 2 5 2 2" xfId="19999" xr:uid="{31D76776-DDFD-45D8-ABE6-562E717B88AE}"/>
    <cellStyle name="Calculation 2 2 5 2 3" xfId="21724" xr:uid="{8EBA4EDB-3EDC-4C71-BB94-D6B34B7C3756}"/>
    <cellStyle name="Calculation 2 2 5 2 4" xfId="21823" xr:uid="{2076DD89-09D6-44A5-95ED-18C41940DDCF}"/>
    <cellStyle name="Calculation 2 2 5 2 5" xfId="19036" xr:uid="{73F544E1-B8D4-46C3-A1FD-443A9115DA5E}"/>
    <cellStyle name="Calculation 2 2 5 2 6" xfId="21745" xr:uid="{D0F86348-1296-4C49-BB68-9F973E195BCD}"/>
    <cellStyle name="Calculation 2 2 5 2 7" xfId="21405" xr:uid="{755AD457-F1FE-4BC7-B0DC-9E4B8A1872C1}"/>
    <cellStyle name="Calculation 2 2 5 2 8" xfId="21069" xr:uid="{948EED65-FD48-4ADD-8B83-6FCDC5BF46D5}"/>
    <cellStyle name="Calculation 2 2 5 2 9" xfId="19450" xr:uid="{C885E282-B7FC-48A0-BCA9-A67BC4F7B80F}"/>
    <cellStyle name="Calculation 2 2 5 3" xfId="17904" xr:uid="{4266FE74-E4C6-4B03-96A1-34B96A04A057}"/>
    <cellStyle name="Calculation 2 2 5 3 2" xfId="26040" xr:uid="{3CCDB01F-87C8-4C31-A4D9-D1F6F2CC94D9}"/>
    <cellStyle name="Calculation 2 2 5 3 3" xfId="32869" xr:uid="{9E20933F-DB47-4367-808B-31C7B640CD6A}"/>
    <cellStyle name="Calculation 2 2 5 4" xfId="23019" xr:uid="{E3AB1724-DAD6-45E5-853A-21B9E5ECBCB6}"/>
    <cellStyle name="Calculation 2 2 5 5" xfId="14189" xr:uid="{68CCEBF2-DC20-4F30-A7E8-F7A7DFF4FB25}"/>
    <cellStyle name="Calculation 2 2 5 6" xfId="15588" xr:uid="{DEF1FF1E-EB68-4661-AF9C-CF49907607A5}"/>
    <cellStyle name="Calculation 2 2 5 7" xfId="47739" xr:uid="{E55516D5-25A6-4917-8BA8-7DC76E12B2AE}"/>
    <cellStyle name="Calculation 2 2 5 8" xfId="15404" xr:uid="{287F025E-4898-4F41-902C-17035C49382D}"/>
    <cellStyle name="Calculation 2 2 5 9" xfId="46431" xr:uid="{26F549C6-4BCE-4411-8FFB-74EFC57804DD}"/>
    <cellStyle name="Calculation 2 2 6" xfId="18353" xr:uid="{588BCFC0-6BC5-4498-ABEE-9ED337482E09}"/>
    <cellStyle name="Calculation 2 2 6 10" xfId="19610" xr:uid="{BFA05D07-410A-4DD9-9DD3-913DF415E0DD}"/>
    <cellStyle name="Calculation 2 2 6 11" xfId="22695" xr:uid="{4FCF8311-1152-4403-814C-8CFD916F997C}"/>
    <cellStyle name="Calculation 2 2 6 12" xfId="21299" xr:uid="{B475D045-9968-4523-8727-2E8A30DC2FE8}"/>
    <cellStyle name="Calculation 2 2 6 13" xfId="20788" xr:uid="{64A3AC86-22D6-48A4-9F51-82F6066608E3}"/>
    <cellStyle name="Calculation 2 2 6 14" xfId="21801" xr:uid="{32755F4A-236A-4523-A7E7-FFB9157D8B78}"/>
    <cellStyle name="Calculation 2 2 6 15" xfId="23011" xr:uid="{3B6E1EFE-C132-41D6-869E-8953D224094D}"/>
    <cellStyle name="Calculation 2 2 6 16" xfId="31696" xr:uid="{85BC48ED-1623-4EDD-A44A-1B98835B83D0}"/>
    <cellStyle name="Calculation 2 2 6 2" xfId="20003" xr:uid="{869B84B6-F050-458C-ACF3-07F74EF69F14}"/>
    <cellStyle name="Calculation 2 2 6 2 2" xfId="27534" xr:uid="{F3AD45CB-CBED-4F8C-AA3E-4204B22A84B3}"/>
    <cellStyle name="Calculation 2 2 6 2 3" xfId="34378" xr:uid="{651FEBC8-6C26-4916-AE5F-B312ED6E2770}"/>
    <cellStyle name="Calculation 2 2 6 3" xfId="21121" xr:uid="{4E6FE86B-C844-487C-AB90-44E6B651F5A7}"/>
    <cellStyle name="Calculation 2 2 6 3 2" xfId="29614" xr:uid="{5DF76541-02C4-4541-B60C-C4E059EEC0C9}"/>
    <cellStyle name="Calculation 2 2 6 3 3" xfId="36459" xr:uid="{1A146415-9DB8-4C36-89BA-CFD8D3A81282}"/>
    <cellStyle name="Calculation 2 2 6 4" xfId="19803" xr:uid="{C511EF48-8C9F-4730-984D-4E54EEB3EF5D}"/>
    <cellStyle name="Calculation 2 2 6 5" xfId="21320" xr:uid="{5D465EF7-039B-40BA-AC06-46A5C8A47E95}"/>
    <cellStyle name="Calculation 2 2 6 6" xfId="21500" xr:uid="{089602A2-2846-4507-B55B-7302278F0FF3}"/>
    <cellStyle name="Calculation 2 2 6 7" xfId="19688" xr:uid="{5A1C8C55-7ED7-40DF-953E-0F8EECF13A3A}"/>
    <cellStyle name="Calculation 2 2 6 8" xfId="21468" xr:uid="{79F6C595-2B15-4153-94B5-5878A110E333}"/>
    <cellStyle name="Calculation 2 2 6 9" xfId="21090" xr:uid="{0421EF6E-1B5C-4E2D-9A5B-85C9181F7099}"/>
    <cellStyle name="Calculation 2 2 7" xfId="17379" xr:uid="{5CD8FDB7-EB3F-495A-AED0-DC9820EB79B6}"/>
    <cellStyle name="Calculation 2 2 7 2" xfId="27144" xr:uid="{3740E653-D951-4166-81EB-C0D3405EF2B6}"/>
    <cellStyle name="Calculation 2 2 7 2 2" xfId="33985" xr:uid="{454F53A0-F569-4D1D-8A16-D74E355AFB4F}"/>
    <cellStyle name="Calculation 2 2 7 3" xfId="29221" xr:uid="{2D7E02FD-B808-4300-ACCF-FDC88453AD7F}"/>
    <cellStyle name="Calculation 2 2 7 3 2" xfId="36066" xr:uid="{6C25A351-5DAE-4B3B-AA40-BAF853526E76}"/>
    <cellStyle name="Calculation 2 2 7 4" xfId="24542" xr:uid="{0F06379D-7A6B-4A35-B00C-3983C5A5BEBA}"/>
    <cellStyle name="Calculation 2 2 7 5" xfId="31303" xr:uid="{D14F1021-23A6-46E2-8335-9CF5AF6106C3}"/>
    <cellStyle name="Calculation 2 2 8" xfId="24456" xr:uid="{8D4F460C-70E0-4D25-82BC-AB21876831AA}"/>
    <cellStyle name="Calculation 2 2 8 2" xfId="27072" xr:uid="{3EBD8204-7D29-42D6-84DF-6D1C1E7F4389}"/>
    <cellStyle name="Calculation 2 2 8 2 2" xfId="33912" xr:uid="{411CCFC3-1CC1-4B22-8986-0ABC25670759}"/>
    <cellStyle name="Calculation 2 2 8 3" xfId="29148" xr:uid="{FAD88BD9-6941-4AC6-AF5B-BCF31C9BDCDB}"/>
    <cellStyle name="Calculation 2 2 8 3 2" xfId="35993" xr:uid="{9E92E9D3-0E67-4BDD-BDED-005B6A8F7550}"/>
    <cellStyle name="Calculation 2 2 8 4" xfId="31230" xr:uid="{13866366-DD8A-4A47-90A2-5FA5B7D4A22F}"/>
    <cellStyle name="Calculation 2 2 9" xfId="24514" xr:uid="{4FBD1882-0C77-44FC-AD93-BC537F628070}"/>
    <cellStyle name="Calculation 2 2 9 2" xfId="27121" xr:uid="{5E883EC0-8B4F-4419-AA55-FFB754474C28}"/>
    <cellStyle name="Calculation 2 2 9 2 2" xfId="33961" xr:uid="{AC88892B-F163-432A-9D31-856C2D0065AE}"/>
    <cellStyle name="Calculation 2 2 9 3" xfId="29197" xr:uid="{6AF5B699-5456-4321-B5BD-3623B689C8A4}"/>
    <cellStyle name="Calculation 2 2 9 3 2" xfId="36042" xr:uid="{3488522A-256A-4F50-9773-93318150F26E}"/>
    <cellStyle name="Calculation 2 2 9 4" xfId="31279" xr:uid="{5EFA13D5-39FA-4B4B-BDE4-2BB041A878D7}"/>
    <cellStyle name="Calculation 2 20" xfId="25919" xr:uid="{AD05A236-2DBF-451E-97C3-F5F6EA062AB0}"/>
    <cellStyle name="Calculation 2 20 2" xfId="28585" xr:uid="{3FA3470B-B74C-4486-8366-8F6FBFE830AB}"/>
    <cellStyle name="Calculation 2 20 2 2" xfId="35430" xr:uid="{8416B197-1663-4F1E-88E9-B7D715EE4AC5}"/>
    <cellStyle name="Calculation 2 20 3" xfId="30666" xr:uid="{29583CB5-7F36-4F60-A44C-034429BB1C6E}"/>
    <cellStyle name="Calculation 2 20 3 2" xfId="37511" xr:uid="{F276567D-2970-466C-BBFF-DFEABB49BDC1}"/>
    <cellStyle name="Calculation 2 20 4" xfId="32748" xr:uid="{718B3B9E-4063-4240-AAA5-024E61505933}"/>
    <cellStyle name="Calculation 2 21" xfId="25705" xr:uid="{5FCC67F3-8F07-459B-B1CF-1A146385C87D}"/>
    <cellStyle name="Calculation 2 21 2" xfId="28372" xr:uid="{F9B9E18C-A81B-4919-89AD-0D94D7D988EC}"/>
    <cellStyle name="Calculation 2 21 2 2" xfId="35217" xr:uid="{6BFF43AF-E0BA-4239-9054-C031FB5D5354}"/>
    <cellStyle name="Calculation 2 21 3" xfId="30453" xr:uid="{DC2CBA41-5B8D-4019-8485-93A318FB0297}"/>
    <cellStyle name="Calculation 2 21 3 2" xfId="37298" xr:uid="{66ED0131-D57D-4399-B24E-B76C341224B4}"/>
    <cellStyle name="Calculation 2 21 4" xfId="32535" xr:uid="{4EFFF1C1-B4F0-43ED-92A6-B36C03091DCD}"/>
    <cellStyle name="Calculation 2 22" xfId="24018" xr:uid="{4BA19AD7-9B29-47F2-B4CA-118546141A48}"/>
    <cellStyle name="Calculation 2 22 2" xfId="26634" xr:uid="{365F6FCF-DE6E-4D0F-B51F-D39C6D82857D}"/>
    <cellStyle name="Calculation 2 22 2 2" xfId="33474" xr:uid="{F793BDFF-0CC6-432A-8DE8-C1032D0B34B0}"/>
    <cellStyle name="Calculation 2 22 3" xfId="28710" xr:uid="{98321A47-064C-46B4-8A4D-77CEE3E582A9}"/>
    <cellStyle name="Calculation 2 22 3 2" xfId="35555" xr:uid="{75F0A808-6610-4F91-AD4A-1E1C3072BFDB}"/>
    <cellStyle name="Calculation 2 22 4" xfId="30792" xr:uid="{9B4FC7E5-DE84-4C86-8995-7AD294C986D5}"/>
    <cellStyle name="Calculation 2 23" xfId="23184" xr:uid="{2083C6B4-36E7-49BC-B945-2EBFB8A19DDD}"/>
    <cellStyle name="Calculation 2 24" xfId="13630" xr:uid="{FC9D08D4-EDD7-4FF3-8CC1-ADF6389A9BC6}"/>
    <cellStyle name="Calculation 2 25" xfId="15612" xr:uid="{4F6E59BB-6050-4E11-BC1C-1B88C18433E3}"/>
    <cellStyle name="Calculation 2 26" xfId="47741" xr:uid="{DE169937-CB58-45F7-83BC-77EED5472684}"/>
    <cellStyle name="Calculation 2 27" xfId="40332" xr:uid="{1888255C-A57F-426B-BA7F-746D50620C5C}"/>
    <cellStyle name="Calculation 2 28" xfId="41576" xr:uid="{AD7D5AE2-859D-44D5-A29E-1549F61BAC7A}"/>
    <cellStyle name="Calculation 2 29" xfId="47704" xr:uid="{AC55A7DE-FA5A-41E9-8D95-ED0FA1015B12}"/>
    <cellStyle name="Calculation 2 3" xfId="794" xr:uid="{00000000-0005-0000-0000-00002D030000}"/>
    <cellStyle name="Calculation 2 3 10" xfId="24101" xr:uid="{1D7F4784-764D-41B8-925B-75FA5C6F921A}"/>
    <cellStyle name="Calculation 2 3 10 2" xfId="26714" xr:uid="{D17E209C-FD12-4334-8EC5-7F3DD41139B2}"/>
    <cellStyle name="Calculation 2 3 10 2 2" xfId="33554" xr:uid="{17EC9DE5-7EC3-4A06-B272-A94A02538A6F}"/>
    <cellStyle name="Calculation 2 3 10 3" xfId="28790" xr:uid="{8D77C1D5-E6DA-4097-9A26-A1DFCB674CF1}"/>
    <cellStyle name="Calculation 2 3 10 3 2" xfId="35635" xr:uid="{CBB8E6EC-53C7-4604-A57E-0C71F28A521E}"/>
    <cellStyle name="Calculation 2 3 10 4" xfId="30872" xr:uid="{36FFE11B-ED36-4CEB-B0D0-4DD3D9F13448}"/>
    <cellStyle name="Calculation 2 3 11" xfId="24057" xr:uid="{6FC37EE3-E885-45DD-9076-1D621299E5D0}"/>
    <cellStyle name="Calculation 2 3 11 2" xfId="26670" xr:uid="{D8C3E755-1F14-450B-8A36-120CE66CEFD8}"/>
    <cellStyle name="Calculation 2 3 11 2 2" xfId="33510" xr:uid="{86E39C63-675C-4CDE-983A-A4BD4201B9AE}"/>
    <cellStyle name="Calculation 2 3 11 3" xfId="28746" xr:uid="{3353D287-A653-4BAB-973E-9C5F928F0876}"/>
    <cellStyle name="Calculation 2 3 11 3 2" xfId="35591" xr:uid="{125BBA50-1E6D-4D11-ABD6-973FFD17A335}"/>
    <cellStyle name="Calculation 2 3 11 4" xfId="30828" xr:uid="{2E9C6F46-BC55-4C26-AD95-DC649FA6EA9B}"/>
    <cellStyle name="Calculation 2 3 12" xfId="24147" xr:uid="{5388E83F-0D10-40FF-AC05-C083D41A2726}"/>
    <cellStyle name="Calculation 2 3 12 2" xfId="26759" xr:uid="{53A109AD-D07D-41ED-84CC-3845355456E7}"/>
    <cellStyle name="Calculation 2 3 12 2 2" xfId="33599" xr:uid="{05EF02F2-28EF-4614-BFCE-F7045B8E38C1}"/>
    <cellStyle name="Calculation 2 3 12 3" xfId="28835" xr:uid="{4582256A-F71C-439A-B177-BCE7CEC0BA92}"/>
    <cellStyle name="Calculation 2 3 12 3 2" xfId="35680" xr:uid="{295D190F-BE62-40B0-96DA-0408348380A5}"/>
    <cellStyle name="Calculation 2 3 12 4" xfId="30917" xr:uid="{40C3F0C6-4817-4CEA-8B12-B3052A28A4E7}"/>
    <cellStyle name="Calculation 2 3 13" xfId="23820" xr:uid="{1494EE51-58AF-4909-B628-C1767ABB1DB9}"/>
    <cellStyle name="Calculation 2 3 13 2" xfId="26439" xr:uid="{BE82E597-5008-451D-920F-F9CF2E3DDC85}"/>
    <cellStyle name="Calculation 2 3 13 2 2" xfId="33279" xr:uid="{D639BC4A-EC3C-499E-A397-4DF6F5BB305F}"/>
    <cellStyle name="Calculation 2 3 13 3" xfId="26243" xr:uid="{DED9C649-C848-4E6D-B818-A091C3889CE1}"/>
    <cellStyle name="Calculation 2 3 13 3 2" xfId="33071" xr:uid="{5A8C344E-B122-46BA-8920-ECED27F85369}"/>
    <cellStyle name="Calculation 2 3 13 4" xfId="23365" xr:uid="{3AF5CD09-57D7-4F59-AE56-B9B5EE47E81A}"/>
    <cellStyle name="Calculation 2 3 14" xfId="24001" xr:uid="{67A112E3-0F63-4492-8940-C33D61FC4D7A}"/>
    <cellStyle name="Calculation 2 3 14 2" xfId="26618" xr:uid="{B53749C4-4A8B-4ECF-9001-9CA0554D5357}"/>
    <cellStyle name="Calculation 2 3 14 2 2" xfId="33458" xr:uid="{8F5D2357-787D-4F55-A51B-67D322410CCD}"/>
    <cellStyle name="Calculation 2 3 14 3" xfId="26075" xr:uid="{47A7D425-5BE4-4241-979C-FB8F2CBBAC2F}"/>
    <cellStyle name="Calculation 2 3 14 3 2" xfId="32903" xr:uid="{E2A658E0-8002-4314-ABAE-22AEBE3CE720}"/>
    <cellStyle name="Calculation 2 3 14 4" xfId="26045" xr:uid="{6A800A93-CEB2-41F3-B1D6-1EDE42B48CEE}"/>
    <cellStyle name="Calculation 2 3 15" xfId="25715" xr:uid="{EDA5D522-E959-49CC-9BFF-B623F1F44034}"/>
    <cellStyle name="Calculation 2 3 15 2" xfId="28382" xr:uid="{31B242FB-D3E3-4E2F-8C8F-F6347FDB1315}"/>
    <cellStyle name="Calculation 2 3 15 2 2" xfId="35227" xr:uid="{496C96F0-40A5-4AFA-8843-4601FB81D0BE}"/>
    <cellStyle name="Calculation 2 3 15 3" xfId="30463" xr:uid="{70EBB2D5-A5B3-410F-AF5F-1E037578BA7A}"/>
    <cellStyle name="Calculation 2 3 15 3 2" xfId="37308" xr:uid="{9C2A8609-CF0B-4C09-AA2F-F39716133DBD}"/>
    <cellStyle name="Calculation 2 3 15 4" xfId="32545" xr:uid="{CACC7403-1C6B-465F-AAF7-DB88B346F4BE}"/>
    <cellStyle name="Calculation 2 3 16" xfId="25576" xr:uid="{FA11956F-23F8-414D-B224-4F85BE79DA85}"/>
    <cellStyle name="Calculation 2 3 16 2" xfId="28243" xr:uid="{EBDA8CE8-BE2C-4E49-B1E4-71EB8C680E4E}"/>
    <cellStyle name="Calculation 2 3 16 2 2" xfId="35088" xr:uid="{0E679756-8B26-4CFC-8BEA-E6F4723EF5A7}"/>
    <cellStyle name="Calculation 2 3 16 3" xfId="30324" xr:uid="{4A3DF396-92AD-44D0-A35D-2845CCC2D5B4}"/>
    <cellStyle name="Calculation 2 3 16 3 2" xfId="37169" xr:uid="{21BCE883-2836-4E47-A378-E5F9D47F9390}"/>
    <cellStyle name="Calculation 2 3 16 4" xfId="32406" xr:uid="{28A9C813-50EC-4AFB-98C3-A728529215CB}"/>
    <cellStyle name="Calculation 2 3 17" xfId="24020" xr:uid="{F5128A34-F85D-4CA7-B941-142B27F2961C}"/>
    <cellStyle name="Calculation 2 3 17 2" xfId="26636" xr:uid="{660095C1-F047-4A2D-97AE-18C1C37171C8}"/>
    <cellStyle name="Calculation 2 3 17 2 2" xfId="33476" xr:uid="{4FFEB58C-D62F-42B1-9BAD-20FBA1773CCF}"/>
    <cellStyle name="Calculation 2 3 17 3" xfId="28712" xr:uid="{FB865786-40F1-4E9A-993D-A69F0AA984D9}"/>
    <cellStyle name="Calculation 2 3 17 3 2" xfId="35557" xr:uid="{C25DF647-24BF-41CA-9CA7-37553371F242}"/>
    <cellStyle name="Calculation 2 3 17 4" xfId="30794" xr:uid="{BA76C370-9707-4666-B872-99599312AFB9}"/>
    <cellStyle name="Calculation 2 3 18" xfId="24707" xr:uid="{6E372285-6617-4308-8040-6888DB9BE8EE}"/>
    <cellStyle name="Calculation 2 3 19" xfId="13633" xr:uid="{E9E6FBAE-4526-48BF-B99A-2DF0F332A954}"/>
    <cellStyle name="Calculation 2 3 2" xfId="795" xr:uid="{00000000-0005-0000-0000-00002E030000}"/>
    <cellStyle name="Calculation 2 3 2 10" xfId="24084" xr:uid="{1AE70935-6B6A-4FDF-AA9C-023E3E83A294}"/>
    <cellStyle name="Calculation 2 3 2 10 2" xfId="26697" xr:uid="{0266740D-EE36-458C-AF4D-F1B6E2891B67}"/>
    <cellStyle name="Calculation 2 3 2 10 2 2" xfId="33537" xr:uid="{D8FAC4B3-C590-4F17-9321-0EA94DDEFE2F}"/>
    <cellStyle name="Calculation 2 3 2 10 3" xfId="28773" xr:uid="{CC3E73A7-157A-4519-AD1E-899874D020C0}"/>
    <cellStyle name="Calculation 2 3 2 10 3 2" xfId="35618" xr:uid="{B16759B0-20DC-42EB-9760-C2FB52B9906D}"/>
    <cellStyle name="Calculation 2 3 2 10 4" xfId="30855" xr:uid="{ADE6D350-1E75-4CDE-9314-0290AF4B2612}"/>
    <cellStyle name="Calculation 2 3 2 11" xfId="25572" xr:uid="{5D1E8A80-6B33-4244-BD53-BAA6F60ACB7F}"/>
    <cellStyle name="Calculation 2 3 2 11 2" xfId="28239" xr:uid="{078958A8-D651-460C-B664-68D5D52C99E0}"/>
    <cellStyle name="Calculation 2 3 2 11 2 2" xfId="35084" xr:uid="{8BF0E940-5333-4EF5-B671-4F510BE77CF1}"/>
    <cellStyle name="Calculation 2 3 2 11 3" xfId="30320" xr:uid="{359160F5-0167-42B8-B18D-F3AD9D230F36}"/>
    <cellStyle name="Calculation 2 3 2 11 3 2" xfId="37165" xr:uid="{9E746ADC-7C5E-43F7-AFA4-81A9F669028F}"/>
    <cellStyle name="Calculation 2 3 2 11 4" xfId="32402" xr:uid="{F36BE6D4-24C6-45E9-B3BA-451E201A7E1F}"/>
    <cellStyle name="Calculation 2 3 2 12" xfId="25411" xr:uid="{7548CBD9-DD7B-433D-9165-472ED2686D35}"/>
    <cellStyle name="Calculation 2 3 2 12 2" xfId="28078" xr:uid="{570DF319-9183-4E32-BE1B-E3FA768BA22F}"/>
    <cellStyle name="Calculation 2 3 2 12 2 2" xfId="34923" xr:uid="{24CE6684-E46D-4939-B545-3B305BE3ED0E}"/>
    <cellStyle name="Calculation 2 3 2 12 3" xfId="30159" xr:uid="{3762F298-840D-4ABC-A248-573E0068FAEB}"/>
    <cellStyle name="Calculation 2 3 2 12 3 2" xfId="37004" xr:uid="{B3F4C15C-B3D0-4F0D-A47B-89B60551616A}"/>
    <cellStyle name="Calculation 2 3 2 12 4" xfId="32241" xr:uid="{ECF7DCB3-5384-45E2-95AE-244443F6C659}"/>
    <cellStyle name="Calculation 2 3 2 13" xfId="25684" xr:uid="{6A87DA98-D429-44AE-8534-05FF6A13F228}"/>
    <cellStyle name="Calculation 2 3 2 13 2" xfId="28351" xr:uid="{C74FF2E9-F244-4AC3-B697-AD1A2BC80FB4}"/>
    <cellStyle name="Calculation 2 3 2 13 2 2" xfId="35196" xr:uid="{26DD5929-0E15-406C-9A1D-BD0BB55A81E1}"/>
    <cellStyle name="Calculation 2 3 2 13 3" xfId="30432" xr:uid="{5B530EB9-1203-4B69-A0AF-16844A4A399C}"/>
    <cellStyle name="Calculation 2 3 2 13 3 2" xfId="37277" xr:uid="{F9FD1D5C-6DBA-4EFA-9FEB-29D3CD907AE3}"/>
    <cellStyle name="Calculation 2 3 2 13 4" xfId="32514" xr:uid="{12116799-C07E-431C-ACE1-FDBADDD4C317}"/>
    <cellStyle name="Calculation 2 3 2 14" xfId="25594" xr:uid="{C890543E-D545-4DDA-A5B4-E0CA4E1CBD99}"/>
    <cellStyle name="Calculation 2 3 2 14 2" xfId="28261" xr:uid="{368F5E71-6978-44ED-95B4-0E465B53429C}"/>
    <cellStyle name="Calculation 2 3 2 14 2 2" xfId="35106" xr:uid="{1C331CB9-6AC6-4FD2-91DC-366D57A30323}"/>
    <cellStyle name="Calculation 2 3 2 14 3" xfId="30342" xr:uid="{C811A3E2-3983-4884-B1CC-B62E38EE0F86}"/>
    <cellStyle name="Calculation 2 3 2 14 3 2" xfId="37187" xr:uid="{DCEEADAD-6731-428C-889D-BB508E3CA792}"/>
    <cellStyle name="Calculation 2 3 2 14 4" xfId="32424" xr:uid="{95542237-C1CD-40C0-BD9C-6B11BAD5E847}"/>
    <cellStyle name="Calculation 2 3 2 15" xfId="25372" xr:uid="{2D2E74FA-888E-4DFE-9415-D91C722EFC2A}"/>
    <cellStyle name="Calculation 2 3 2 15 2" xfId="28039" xr:uid="{EC1C5133-2E93-4EE6-BE7F-87F5070CA973}"/>
    <cellStyle name="Calculation 2 3 2 15 2 2" xfId="34884" xr:uid="{B383FD4B-992B-4691-A3BC-848B42DAF9D3}"/>
    <cellStyle name="Calculation 2 3 2 15 3" xfId="30120" xr:uid="{E200ECB9-2792-4AE1-ADC4-E9AC99782607}"/>
    <cellStyle name="Calculation 2 3 2 15 3 2" xfId="36965" xr:uid="{DD92650C-ECD9-480E-97FE-5FB5E35CB253}"/>
    <cellStyle name="Calculation 2 3 2 15 4" xfId="32202" xr:uid="{3C937258-E09A-4901-90ED-BB17D08B5D25}"/>
    <cellStyle name="Calculation 2 3 2 16" xfId="25780" xr:uid="{078E2A60-7104-4261-B123-C8287E09C95B}"/>
    <cellStyle name="Calculation 2 3 2 16 2" xfId="28446" xr:uid="{4D5A2334-803E-4B38-A0E8-02C07C0678B3}"/>
    <cellStyle name="Calculation 2 3 2 16 2 2" xfId="35291" xr:uid="{B2278804-E052-4186-AF25-7D21A23E21A5}"/>
    <cellStyle name="Calculation 2 3 2 16 3" xfId="30527" xr:uid="{373DA9F8-1614-4B21-8A30-6D0D8CE5D783}"/>
    <cellStyle name="Calculation 2 3 2 16 3 2" xfId="37372" xr:uid="{224F42E7-4370-40A1-A0C3-4411EC25D18E}"/>
    <cellStyle name="Calculation 2 3 2 16 4" xfId="32609" xr:uid="{1C12EAC6-E5E2-4541-B96E-9703D6B5C7BA}"/>
    <cellStyle name="Calculation 2 3 2 17" xfId="23140" xr:uid="{7ADA4896-3328-43D9-9743-58C309CBB87B}"/>
    <cellStyle name="Calculation 2 3 2 2" xfId="9506" xr:uid="{00000000-0005-0000-0000-000006030000}"/>
    <cellStyle name="Calculation 2 3 2 2 10" xfId="23898" xr:uid="{E949DCC1-07F0-42D9-B8AA-052002917A52}"/>
    <cellStyle name="Calculation 2 3 2 2 10 2" xfId="26516" xr:uid="{4F31532A-0D81-423D-BFC2-BDBF2D711F51}"/>
    <cellStyle name="Calculation 2 3 2 2 10 2 2" xfId="33356" xr:uid="{BF60BFD8-F97F-4949-9D2E-BC07F5AEEDF7}"/>
    <cellStyle name="Calculation 2 3 2 2 10 3" xfId="26168" xr:uid="{7D47ACF6-127A-425C-BA3C-76DE00D4FEA5}"/>
    <cellStyle name="Calculation 2 3 2 2 10 3 2" xfId="32996" xr:uid="{76A20A60-F3D2-42EE-BE1A-02A31D4FE9A8}"/>
    <cellStyle name="Calculation 2 3 2 2 10 4" xfId="23290" xr:uid="{5C74CE91-7D2C-4769-AE4B-6A4D83C54E2B}"/>
    <cellStyle name="Calculation 2 3 2 2 11" xfId="24094" xr:uid="{EF7063E3-8125-4F78-B666-3416A10F43B7}"/>
    <cellStyle name="Calculation 2 3 2 2 11 2" xfId="26707" xr:uid="{725EC651-151B-4ADD-8BB4-EC9DE5D13FDD}"/>
    <cellStyle name="Calculation 2 3 2 2 11 2 2" xfId="33547" xr:uid="{3C305A38-76EE-4EF9-ACF3-C00316B735DE}"/>
    <cellStyle name="Calculation 2 3 2 2 11 3" xfId="28783" xr:uid="{2A43174B-8ADA-4403-8DB5-1D8E65831ADB}"/>
    <cellStyle name="Calculation 2 3 2 2 11 3 2" xfId="35628" xr:uid="{A57D99E4-BC5A-4E30-87D8-441DDD6A625C}"/>
    <cellStyle name="Calculation 2 3 2 2 11 4" xfId="30865" xr:uid="{FFDA65A3-AA8F-4F1F-8F3F-B2200A2D825B}"/>
    <cellStyle name="Calculation 2 3 2 2 12" xfId="24752" xr:uid="{3B30EA67-96A2-4F7B-B858-BB855F30A579}"/>
    <cellStyle name="Calculation 2 3 2 2 12 2" xfId="27405" xr:uid="{422CA91B-BF79-4093-8D2E-A491DF72ECE3}"/>
    <cellStyle name="Calculation 2 3 2 2 12 2 2" xfId="34249" xr:uid="{F73C326F-1683-473F-9D7F-116435A55EA6}"/>
    <cellStyle name="Calculation 2 3 2 2 12 3" xfId="29485" xr:uid="{3E362743-7593-454D-A824-DF172B809589}"/>
    <cellStyle name="Calculation 2 3 2 2 12 3 2" xfId="36330" xr:uid="{0A17F351-85A1-4E08-B7A9-D755F288A9E0}"/>
    <cellStyle name="Calculation 2 3 2 2 12 4" xfId="31567" xr:uid="{1EF5551A-1761-4162-994A-26968588FA7C}"/>
    <cellStyle name="Calculation 2 3 2 2 13" xfId="25828" xr:uid="{9BA8D96A-7EC1-4DA1-A5FB-EE006B59B935}"/>
    <cellStyle name="Calculation 2 3 2 2 13 2" xfId="28494" xr:uid="{1438F5A4-36B8-46D1-B994-F4F59CCC26B2}"/>
    <cellStyle name="Calculation 2 3 2 2 13 2 2" xfId="35339" xr:uid="{8A9784E2-0097-4AA0-A62C-9005D6C462B7}"/>
    <cellStyle name="Calculation 2 3 2 2 13 3" xfId="30575" xr:uid="{1DAB3AC1-654A-4C32-BB87-A21634286299}"/>
    <cellStyle name="Calculation 2 3 2 2 13 3 2" xfId="37420" xr:uid="{CA9909C7-95B9-4F32-B463-FA2B51AF6224}"/>
    <cellStyle name="Calculation 2 3 2 2 13 4" xfId="32657" xr:uid="{31AC9B10-5171-4DF3-AA69-9E9792012EDE}"/>
    <cellStyle name="Calculation 2 3 2 2 14" xfId="25030" xr:uid="{29DC6303-7A7E-4B45-B2F3-FC7BB13896D0}"/>
    <cellStyle name="Calculation 2 3 2 2 14 2" xfId="27703" xr:uid="{40023471-CCB7-4820-AC80-E182CD05C945}"/>
    <cellStyle name="Calculation 2 3 2 2 14 2 2" xfId="34548" xr:uid="{978E544D-4F40-429C-8717-297FCA8DA542}"/>
    <cellStyle name="Calculation 2 3 2 2 14 3" xfId="29784" xr:uid="{089DEDB5-645B-44CB-BFB5-60CD5A6B3DC8}"/>
    <cellStyle name="Calculation 2 3 2 2 14 3 2" xfId="36629" xr:uid="{A22F2A72-E33A-4B9A-94F4-C6E47D262F29}"/>
    <cellStyle name="Calculation 2 3 2 2 14 4" xfId="31866" xr:uid="{15B3D5BA-5FC4-468D-AC63-619557E4A721}"/>
    <cellStyle name="Calculation 2 3 2 2 15" xfId="25044" xr:uid="{DC908D4D-9EFB-4EB6-9121-A571A4054610}"/>
    <cellStyle name="Calculation 2 3 2 2 15 2" xfId="27716" xr:uid="{5D88EC4F-0FB2-4D93-BB90-BFB6E7916307}"/>
    <cellStyle name="Calculation 2 3 2 2 15 2 2" xfId="34561" xr:uid="{C42DE98B-9299-46AC-9FD5-F0EEB20A4D50}"/>
    <cellStyle name="Calculation 2 3 2 2 15 3" xfId="29797" xr:uid="{0EBF36B9-2774-4FB3-B84A-82081FF4D2B8}"/>
    <cellStyle name="Calculation 2 3 2 2 15 3 2" xfId="36642" xr:uid="{5651821B-9008-41A0-B762-BC7DA6DA6936}"/>
    <cellStyle name="Calculation 2 3 2 2 15 4" xfId="31879" xr:uid="{2BF30D2C-6A6A-424E-BB98-32628D1CA652}"/>
    <cellStyle name="Calculation 2 3 2 2 16" xfId="23076" xr:uid="{37B9BEEB-717D-44D3-A823-8F68B845060A}"/>
    <cellStyle name="Calculation 2 3 2 2 17" xfId="17674" xr:uid="{C6423AEB-7F34-4AA7-9886-1F10B14F8755}"/>
    <cellStyle name="Calculation 2 3 2 2 18" xfId="41995" xr:uid="{45780A12-C419-4462-B738-517CF515029B}"/>
    <cellStyle name="Calculation 2 3 2 2 19" xfId="37747" xr:uid="{A2FD62FE-AA24-47C1-938B-097773D3CC3A}"/>
    <cellStyle name="Calculation 2 3 2 2 2" xfId="18542" xr:uid="{2FEACF11-012C-4ECB-B5F7-9BD0EB920919}"/>
    <cellStyle name="Calculation 2 3 2 2 2 10" xfId="20672" xr:uid="{6BC480AD-CA64-49B0-BFFA-451A3478E013}"/>
    <cellStyle name="Calculation 2 3 2 2 2 11" xfId="20246" xr:uid="{536B8B8E-0D57-4C90-A383-B3459D07BF40}"/>
    <cellStyle name="Calculation 2 3 2 2 2 12" xfId="22325" xr:uid="{DB3229CF-825A-41FD-A603-FBC3CABA7AB7}"/>
    <cellStyle name="Calculation 2 3 2 2 2 13" xfId="22101" xr:uid="{E433A499-0BF2-41EA-BA85-E7FAAFAAA943}"/>
    <cellStyle name="Calculation 2 3 2 2 2 14" xfId="22709" xr:uid="{FF5B8497-180C-4891-AD58-B243B0BF7CCA}"/>
    <cellStyle name="Calculation 2 3 2 2 2 15" xfId="19907" xr:uid="{8311EB9D-8D08-4E9D-BA35-827183DA15A7}"/>
    <cellStyle name="Calculation 2 3 2 2 2 16" xfId="31295" xr:uid="{F413FBCB-A473-43F2-AF88-242A7815EDE6}"/>
    <cellStyle name="Calculation 2 3 2 2 2 2" xfId="19882" xr:uid="{972C8580-0191-45DA-9FF4-FB60661AEBEA}"/>
    <cellStyle name="Calculation 2 3 2 2 2 2 2" xfId="27136" xr:uid="{95E9844E-7323-417A-BC30-7EFD324ACEBF}"/>
    <cellStyle name="Calculation 2 3 2 2 2 2 3" xfId="33977" xr:uid="{7FFB6EB2-DB3F-4F14-8B24-B3E4CFB0ADF6}"/>
    <cellStyle name="Calculation 2 3 2 2 2 3" xfId="21049" xr:uid="{A6BED712-48D0-47FC-80F3-C57A02B42C3F}"/>
    <cellStyle name="Calculation 2 3 2 2 2 3 2" xfId="29213" xr:uid="{5322F113-7DD0-4673-B6A6-DDE01EF77594}"/>
    <cellStyle name="Calculation 2 3 2 2 2 3 3" xfId="36058" xr:uid="{23F16D4C-F870-452B-94EB-6648BF987459}"/>
    <cellStyle name="Calculation 2 3 2 2 2 4" xfId="22018" xr:uid="{2DC8322C-0BD1-4C12-994B-50190FAB4CEF}"/>
    <cellStyle name="Calculation 2 3 2 2 2 5" xfId="19638" xr:uid="{F57BD39E-2EE0-40B3-A299-BA0AE50F4335}"/>
    <cellStyle name="Calculation 2 3 2 2 2 6" xfId="18976" xr:uid="{1BF0A29E-FEF8-4AC5-9A31-074966C8C087}"/>
    <cellStyle name="Calculation 2 3 2 2 2 7" xfId="20399" xr:uid="{B27C521E-7801-40B6-B4E2-A2AA448F7C2E}"/>
    <cellStyle name="Calculation 2 3 2 2 2 8" xfId="22254" xr:uid="{6F92D5A4-1482-4ADC-BDD5-CE5315F290EC}"/>
    <cellStyle name="Calculation 2 3 2 2 2 9" xfId="20165" xr:uid="{0D9C40ED-42CB-45AB-9001-0B66AF5C47A0}"/>
    <cellStyle name="Calculation 2 3 2 2 20" xfId="47112" xr:uid="{83D26DC0-90C6-4563-957F-BE3A175C0D90}"/>
    <cellStyle name="Calculation 2 3 2 2 21" xfId="49186" xr:uid="{91B16E76-A6DF-4E35-906B-9721A7C452A1}"/>
    <cellStyle name="Calculation 2 3 2 2 22" xfId="37853" xr:uid="{2EB928C6-CA45-4AAA-AEE0-71B564B727F6}"/>
    <cellStyle name="Calculation 2 3 2 2 3" xfId="24826" xr:uid="{52D680CC-CB10-461B-ADC2-4A6B6BB91074}"/>
    <cellStyle name="Calculation 2 3 2 2 3 2" xfId="27486" xr:uid="{5C6A0327-9997-4F46-9BC6-E5B6785202BA}"/>
    <cellStyle name="Calculation 2 3 2 2 3 2 2" xfId="34330" xr:uid="{78D69C3E-9ADF-42EC-B48A-BA1A2EBBD131}"/>
    <cellStyle name="Calculation 2 3 2 2 3 3" xfId="29566" xr:uid="{5D3C6A75-9535-4D5E-89D6-8422A19DBA5F}"/>
    <cellStyle name="Calculation 2 3 2 2 3 3 2" xfId="36411" xr:uid="{4371D8D1-17E8-405E-95B6-342BD0B9EE20}"/>
    <cellStyle name="Calculation 2 3 2 2 3 4" xfId="31648" xr:uid="{75BB125E-5428-4BDC-8219-BBF06D091E5F}"/>
    <cellStyle name="Calculation 2 3 2 2 4" xfId="24896" xr:uid="{B1EC55C2-DE6A-4085-B22F-7D0DF5F9327E}"/>
    <cellStyle name="Calculation 2 3 2 2 4 2" xfId="27564" xr:uid="{AD20D02A-CE7E-4A20-8246-7573033E6533}"/>
    <cellStyle name="Calculation 2 3 2 2 4 2 2" xfId="34408" xr:uid="{F9D83634-3342-4ECF-83D7-4520305832DF}"/>
    <cellStyle name="Calculation 2 3 2 2 4 3" xfId="29644" xr:uid="{B4C6D158-D924-46E8-BAE8-B58BE49551C5}"/>
    <cellStyle name="Calculation 2 3 2 2 4 3 2" xfId="36489" xr:uid="{463EDBE9-EB9D-432A-92FC-383DB8BA63E1}"/>
    <cellStyle name="Calculation 2 3 2 2 4 4" xfId="31726" xr:uid="{9CD686F0-46E8-474A-AF34-61F193AE8015}"/>
    <cellStyle name="Calculation 2 3 2 2 5" xfId="24420" xr:uid="{C7A168F8-9E41-4776-8E07-78BD2659C6F0}"/>
    <cellStyle name="Calculation 2 3 2 2 5 2" xfId="27039" xr:uid="{04BBFDA6-B29E-40E6-8622-9D9E89D3841C}"/>
    <cellStyle name="Calculation 2 3 2 2 5 2 2" xfId="33879" xr:uid="{6A87DCD0-DEEB-495D-A363-A1FCC9ACEC6E}"/>
    <cellStyle name="Calculation 2 3 2 2 5 3" xfId="29115" xr:uid="{ED1DE6E7-66A2-41FC-AC23-8AD7D454764C}"/>
    <cellStyle name="Calculation 2 3 2 2 5 3 2" xfId="35960" xr:uid="{E3633D5D-6F0B-47B7-815F-16C640A4A962}"/>
    <cellStyle name="Calculation 2 3 2 2 5 4" xfId="31197" xr:uid="{8455A780-9542-4F56-B167-F4F9439D8245}"/>
    <cellStyle name="Calculation 2 3 2 2 6" xfId="24656" xr:uid="{E9D656E6-4D6A-4AFF-BEB4-54E6E6B7535F}"/>
    <cellStyle name="Calculation 2 3 2 2 6 2" xfId="27265" xr:uid="{8EA60481-08C2-4F3A-8CFA-391FDCE308CC}"/>
    <cellStyle name="Calculation 2 3 2 2 6 2 2" xfId="34109" xr:uid="{5240C246-E821-492A-A8A0-3E225082D862}"/>
    <cellStyle name="Calculation 2 3 2 2 6 3" xfId="29345" xr:uid="{316C0889-8E0B-4EA2-A560-4C14B3FAF599}"/>
    <cellStyle name="Calculation 2 3 2 2 6 3 2" xfId="36190" xr:uid="{BE565B89-F9E3-4979-A097-DC1B9B508C3D}"/>
    <cellStyle name="Calculation 2 3 2 2 6 4" xfId="31427" xr:uid="{549B38B8-79B3-417A-94E2-B55EAFA1D7B5}"/>
    <cellStyle name="Calculation 2 3 2 2 7" xfId="25298" xr:uid="{225344B9-C0C7-4A12-8699-4EBE6179EA7E}"/>
    <cellStyle name="Calculation 2 3 2 2 7 2" xfId="27969" xr:uid="{A613B727-6988-4279-9CF0-ADA8D1C641BD}"/>
    <cellStyle name="Calculation 2 3 2 2 7 2 2" xfId="34814" xr:uid="{41BF9E94-5F43-4687-8F2B-11767F942E0F}"/>
    <cellStyle name="Calculation 2 3 2 2 7 3" xfId="30050" xr:uid="{D25141D7-54AC-457C-A3C9-16D87D55B9B0}"/>
    <cellStyle name="Calculation 2 3 2 2 7 3 2" xfId="36895" xr:uid="{5382DE7D-BADE-45D3-B737-21932A830B43}"/>
    <cellStyle name="Calculation 2 3 2 2 7 4" xfId="32132" xr:uid="{9A6D537E-2B12-4D6B-9C1A-79F6BF734F1A}"/>
    <cellStyle name="Calculation 2 3 2 2 8" xfId="25275" xr:uid="{4F641411-FEC4-45EA-B0E0-CE839D704595}"/>
    <cellStyle name="Calculation 2 3 2 2 8 2" xfId="27946" xr:uid="{4C5C1080-7B49-455F-8B49-9EF074C862DC}"/>
    <cellStyle name="Calculation 2 3 2 2 8 2 2" xfId="34791" xr:uid="{7967CB15-7178-462D-8006-C04093ED34EC}"/>
    <cellStyle name="Calculation 2 3 2 2 8 3" xfId="30027" xr:uid="{E7647340-E71A-4AD6-BA2B-EBEF5992B35E}"/>
    <cellStyle name="Calculation 2 3 2 2 8 3 2" xfId="36872" xr:uid="{27ED7846-CC9B-434B-BA58-E63A6CB2189E}"/>
    <cellStyle name="Calculation 2 3 2 2 8 4" xfId="32109" xr:uid="{92338155-6B25-4BBC-B814-6650DECBAFE4}"/>
    <cellStyle name="Calculation 2 3 2 2 9" xfId="23990" xr:uid="{89C557A0-DE8F-4EF4-8098-4E36AF8A70B5}"/>
    <cellStyle name="Calculation 2 3 2 2 9 2" xfId="26607" xr:uid="{AC71DD15-84C5-4475-B2A1-4DFBD5D1D316}"/>
    <cellStyle name="Calculation 2 3 2 2 9 2 2" xfId="33447" xr:uid="{456D89F7-2B4D-40F7-9925-26C350EAA8B3}"/>
    <cellStyle name="Calculation 2 3 2 2 9 3" xfId="26086" xr:uid="{2BB4EA72-779B-4E21-9F73-C8B45CA264EE}"/>
    <cellStyle name="Calculation 2 3 2 2 9 3 2" xfId="32914" xr:uid="{9DD2AAFD-2978-46D0-A96B-700B05B55126}"/>
    <cellStyle name="Calculation 2 3 2 2 9 4" xfId="23208" xr:uid="{6574ED4B-96F6-46C7-9767-106170F97054}"/>
    <cellStyle name="Calculation 2 3 2 3" xfId="9268" xr:uid="{00000000-0005-0000-0000-0000F8020000}"/>
    <cellStyle name="Calculation 2 3 2 3 10" xfId="22669" xr:uid="{53200470-0B03-43B3-B03D-405B9B3910A1}"/>
    <cellStyle name="Calculation 2 3 2 3 11" xfId="22728" xr:uid="{71AD7458-DE1E-465F-B5D6-42528BD9743B}"/>
    <cellStyle name="Calculation 2 3 2 3 12" xfId="22849" xr:uid="{FF0274C2-2A75-411D-8544-2169556A62E1}"/>
    <cellStyle name="Calculation 2 3 2 3 13" xfId="22869" xr:uid="{9BE9C35F-E234-4CDC-A1BC-654BE847A4DF}"/>
    <cellStyle name="Calculation 2 3 2 3 14" xfId="22982" xr:uid="{83B0BE33-29C9-4B87-AB4C-7D0D2A53B5FF}"/>
    <cellStyle name="Calculation 2 3 2 3 15" xfId="22614" xr:uid="{F5E9C51B-D3E5-46AB-A0BD-255F0CD0C2F9}"/>
    <cellStyle name="Calculation 2 3 2 3 16" xfId="31141" xr:uid="{3051B399-ED97-418C-A4D6-7664EBFDBE8B}"/>
    <cellStyle name="Calculation 2 3 2 3 17" xfId="18820" xr:uid="{8C532D86-E234-477E-AD15-418826600D1A}"/>
    <cellStyle name="Calculation 2 3 2 3 18" xfId="41804" xr:uid="{76214E04-4EAC-4F5E-860A-0DDA7DE1EBF7}"/>
    <cellStyle name="Calculation 2 3 2 3 19" xfId="46535" xr:uid="{82425ECD-B1DC-48D1-8BC7-B94DEE856BBB}"/>
    <cellStyle name="Calculation 2 3 2 3 2" xfId="21845" xr:uid="{117E8393-0B45-4999-B563-9D36C4A3C168}"/>
    <cellStyle name="Calculation 2 3 2 3 2 2" xfId="26983" xr:uid="{4E2F9DB2-1274-49D1-9620-4F3134E14B3A}"/>
    <cellStyle name="Calculation 2 3 2 3 2 3" xfId="33823" xr:uid="{D3CAD587-9B64-4E17-8AA1-CA9E4E88A01A}"/>
    <cellStyle name="Calculation 2 3 2 3 20" xfId="15994" xr:uid="{D685E57B-7334-46B7-B3A3-C7DCFB0D1B83}"/>
    <cellStyle name="Calculation 2 3 2 3 21" xfId="46234" xr:uid="{D69B81F2-570C-4C3D-B448-122E047A692A}"/>
    <cellStyle name="Calculation 2 3 2 3 22" xfId="14134" xr:uid="{C567DFEC-66E0-4AEE-9D7E-1E16524A3F0E}"/>
    <cellStyle name="Calculation 2 3 2 3 3" xfId="21964" xr:uid="{A88548BD-2220-4990-A044-71F7DC6DD0C7}"/>
    <cellStyle name="Calculation 2 3 2 3 3 2" xfId="29059" xr:uid="{39109232-DE18-469E-82CA-06DFBAD7EE73}"/>
    <cellStyle name="Calculation 2 3 2 3 3 3" xfId="35904" xr:uid="{20868FE3-1795-4534-88FA-C816EBB00408}"/>
    <cellStyle name="Calculation 2 3 2 3 4" xfId="19185" xr:uid="{A99D1D0C-0B64-4D7F-B0AF-C99938BEC8EF}"/>
    <cellStyle name="Calculation 2 3 2 3 5" xfId="22212" xr:uid="{584A9E25-2444-4B60-8898-6B85CF7FA4C2}"/>
    <cellStyle name="Calculation 2 3 2 3 6" xfId="20171" xr:uid="{39EB6220-90D6-4214-BB92-08218AD616A9}"/>
    <cellStyle name="Calculation 2 3 2 3 7" xfId="22393" xr:uid="{3883AF02-117A-4D93-9181-B346ABA90508}"/>
    <cellStyle name="Calculation 2 3 2 3 8" xfId="21921" xr:uid="{31412E3C-5819-4C1B-A47D-CC97D4E88A6B}"/>
    <cellStyle name="Calculation 2 3 2 3 9" xfId="22604" xr:uid="{0CBA9A1E-49E8-4F34-B92B-3932C53557C5}"/>
    <cellStyle name="Calculation 2 3 2 4" xfId="17905" xr:uid="{5AB9B702-E932-446F-B49A-8E48A5AF4CFC}"/>
    <cellStyle name="Calculation 2 3 2 4 2" xfId="27624" xr:uid="{775086EE-AFC4-4541-8F60-7C674DEFED43}"/>
    <cellStyle name="Calculation 2 3 2 4 2 2" xfId="34469" xr:uid="{1B6496FC-17BC-43A8-B9EF-37A3F23411A2}"/>
    <cellStyle name="Calculation 2 3 2 4 3" xfId="29705" xr:uid="{F65E5F2B-6CCF-4303-9E0B-11E65AF415B1}"/>
    <cellStyle name="Calculation 2 3 2 4 3 2" xfId="36550" xr:uid="{4A9314C2-0BD3-4EF9-B8A1-BA6E8A7C18F5}"/>
    <cellStyle name="Calculation 2 3 2 4 4" xfId="24954" xr:uid="{F54D665B-AF1C-465B-A8B7-EB461C8D9886}"/>
    <cellStyle name="Calculation 2 3 2 4 5" xfId="31787" xr:uid="{B1181712-DD7F-4EAC-82F9-6E3B16F30AD3}"/>
    <cellStyle name="Calculation 2 3 2 5" xfId="17421" xr:uid="{71418DED-0C55-4CEE-9851-9B6D89B07600}"/>
    <cellStyle name="Calculation 2 3 2 5 2" xfId="26849" xr:uid="{81E58C35-39CA-4B73-8855-1477B9B7E8B8}"/>
    <cellStyle name="Calculation 2 3 2 5 2 2" xfId="33689" xr:uid="{7D77EB35-21A3-4F80-99EC-FEF2E5EC5CFA}"/>
    <cellStyle name="Calculation 2 3 2 5 3" xfId="28925" xr:uid="{FBCA8624-272E-4013-A9A7-93AC7B83AC17}"/>
    <cellStyle name="Calculation 2 3 2 5 3 2" xfId="35770" xr:uid="{A3092939-41F3-41EF-83DC-E5BB3E8F6DF8}"/>
    <cellStyle name="Calculation 2 3 2 5 4" xfId="24242" xr:uid="{DC9E8844-7476-4BAB-BB91-7FC6E56EB864}"/>
    <cellStyle name="Calculation 2 3 2 5 5" xfId="31007" xr:uid="{F2A920D3-44BA-434C-9935-665332FD394F}"/>
    <cellStyle name="Calculation 2 3 2 6" xfId="25190" xr:uid="{58C1E7F8-EE02-4FF2-B027-B3F45B5F96FF}"/>
    <cellStyle name="Calculation 2 3 2 6 2" xfId="27862" xr:uid="{521DE920-2CD9-41C9-863D-144A62A1A12B}"/>
    <cellStyle name="Calculation 2 3 2 6 2 2" xfId="34707" xr:uid="{98B956D3-C6B1-43F9-A06F-1E0EA15E778D}"/>
    <cellStyle name="Calculation 2 3 2 6 3" xfId="29943" xr:uid="{D5CFBC93-BEF6-4E42-B2C6-F3691390994B}"/>
    <cellStyle name="Calculation 2 3 2 6 3 2" xfId="36788" xr:uid="{93547D55-BF7E-4A8D-8DAC-715F8318E033}"/>
    <cellStyle name="Calculation 2 3 2 6 4" xfId="32025" xr:uid="{177E0053-692D-4890-9B74-32DB7D1EE7D9}"/>
    <cellStyle name="Calculation 2 3 2 7" xfId="24753" xr:uid="{7EEF85AF-610B-4A7D-8E90-BA50A7E65419}"/>
    <cellStyle name="Calculation 2 3 2 7 2" xfId="27406" xr:uid="{83D86F07-BADA-47FF-9323-AF6596D344E8}"/>
    <cellStyle name="Calculation 2 3 2 7 2 2" xfId="34250" xr:uid="{D3DDA009-1166-42CE-81F8-9EE1A1607F1B}"/>
    <cellStyle name="Calculation 2 3 2 7 3" xfId="29486" xr:uid="{0186D094-A534-4C50-8AE4-3D45EAC21D66}"/>
    <cellStyle name="Calculation 2 3 2 7 3 2" xfId="36331" xr:uid="{4932AFFF-0D6E-4D1C-A803-B710F79A6A44}"/>
    <cellStyle name="Calculation 2 3 2 7 4" xfId="31568" xr:uid="{6AB3E148-6F1E-4EDA-9C56-CCA55F85B316}"/>
    <cellStyle name="Calculation 2 3 2 8" xfId="23983" xr:uid="{F39981D7-5A7A-40B9-A829-91757EAD71E7}"/>
    <cellStyle name="Calculation 2 3 2 8 2" xfId="26600" xr:uid="{B8A93661-8918-41E7-AB21-12EEAFC56D62}"/>
    <cellStyle name="Calculation 2 3 2 8 2 2" xfId="33440" xr:uid="{2CC2CB15-F9AF-4399-8100-9A7EEA770D56}"/>
    <cellStyle name="Calculation 2 3 2 8 3" xfId="26093" xr:uid="{F81710E0-1995-4228-98C2-80981145E2E7}"/>
    <cellStyle name="Calculation 2 3 2 8 3 2" xfId="32921" xr:uid="{F4F52BD3-1AA5-4DB9-BAE2-0A36B5A2C0A4}"/>
    <cellStyle name="Calculation 2 3 2 8 4" xfId="23215" xr:uid="{56086411-CA08-4CE3-81B7-23048B8687A1}"/>
    <cellStyle name="Calculation 2 3 2 9" xfId="24469" xr:uid="{A8D5CFDF-FBEF-4519-8BFE-D1103C68214B}"/>
    <cellStyle name="Calculation 2 3 2 9 2" xfId="27085" xr:uid="{44A9141E-CC46-4C6D-8EC0-9AFD281A6040}"/>
    <cellStyle name="Calculation 2 3 2 9 2 2" xfId="33925" xr:uid="{A748F549-BF71-4865-828C-576F0C0DD7ED}"/>
    <cellStyle name="Calculation 2 3 2 9 3" xfId="29161" xr:uid="{162F4AE2-4078-4E3B-87C5-A804FBB026E2}"/>
    <cellStyle name="Calculation 2 3 2 9 3 2" xfId="36006" xr:uid="{B55CD61E-DECE-4F4B-B123-BDEF1AD3417C}"/>
    <cellStyle name="Calculation 2 3 2 9 4" xfId="31243" xr:uid="{3EC6D4BA-3104-4D86-8BB7-B672C0FE5AB1}"/>
    <cellStyle name="Calculation 2 3 20" xfId="15580" xr:uid="{D9DE2396-CF05-4D96-9212-5F5AEB654483}"/>
    <cellStyle name="Calculation 2 3 21" xfId="15470" xr:uid="{2544FBE3-2A6E-49B3-9DBD-8DE86B5A1455}"/>
    <cellStyle name="Calculation 2 3 22" xfId="15105" xr:uid="{21541B54-346E-42EE-8DE1-141A47003FD0}"/>
    <cellStyle name="Calculation 2 3 23" xfId="40734" xr:uid="{6540A9A5-F665-444C-8DAE-E9265C005042}"/>
    <cellStyle name="Calculation 2 3 24" xfId="48571" xr:uid="{9271BDDD-74EB-4BF3-9A84-15A99A661EB9}"/>
    <cellStyle name="Calculation 2 3 3" xfId="796" xr:uid="{00000000-0005-0000-0000-00002F030000}"/>
    <cellStyle name="Calculation 2 3 3 10" xfId="24903" xr:uid="{80920182-63F4-40CE-84DC-C4550F567021}"/>
    <cellStyle name="Calculation 2 3 3 10 2" xfId="27571" xr:uid="{3DD0836A-F58C-4A4B-9585-E07D6AEE315E}"/>
    <cellStyle name="Calculation 2 3 3 10 2 2" xfId="34415" xr:uid="{38D4703F-B755-49C2-AB2C-89FEFB4464BF}"/>
    <cellStyle name="Calculation 2 3 3 10 3" xfId="29651" xr:uid="{ADF1C797-F92D-4A9A-9763-84ADD2318562}"/>
    <cellStyle name="Calculation 2 3 3 10 3 2" xfId="36496" xr:uid="{A1AD431B-DE58-4554-8584-E494CAA43F4B}"/>
    <cellStyle name="Calculation 2 3 3 10 4" xfId="31733" xr:uid="{6FEDEFD7-92A6-4673-92EC-9578844245AB}"/>
    <cellStyle name="Calculation 2 3 3 11" xfId="24049" xr:uid="{CAFF4DB3-86C2-4022-BF3C-1D02C4A2E95B}"/>
    <cellStyle name="Calculation 2 3 3 11 2" xfId="26662" xr:uid="{2FCEC194-71B4-4B9E-8D1B-3902C372E89F}"/>
    <cellStyle name="Calculation 2 3 3 11 2 2" xfId="33502" xr:uid="{5D2748AC-A123-45FB-AC43-DE2B5832FD4E}"/>
    <cellStyle name="Calculation 2 3 3 11 3" xfId="28738" xr:uid="{CA9407F1-E7E3-4F9E-A713-6BB98AEDCB67}"/>
    <cellStyle name="Calculation 2 3 3 11 3 2" xfId="35583" xr:uid="{935C9985-8AE7-4ABA-B419-0E8870DE0680}"/>
    <cellStyle name="Calculation 2 3 3 11 4" xfId="30820" xr:uid="{2CD6E8E2-4B61-43D8-9DF0-B8DE3DC86388}"/>
    <cellStyle name="Calculation 2 3 3 12" xfId="24089" xr:uid="{363CF438-398E-4125-A6C7-EE99CA725133}"/>
    <cellStyle name="Calculation 2 3 3 12 2" xfId="26702" xr:uid="{FA53466E-5128-472A-963B-AAD27D3F68C4}"/>
    <cellStyle name="Calculation 2 3 3 12 2 2" xfId="33542" xr:uid="{2F8E76E9-EBF7-4277-ACF7-A6906147C2B1}"/>
    <cellStyle name="Calculation 2 3 3 12 3" xfId="28778" xr:uid="{54FB2FB4-C13E-4D63-BFF6-74CE9A83691F}"/>
    <cellStyle name="Calculation 2 3 3 12 3 2" xfId="35623" xr:uid="{B91F57FE-46BF-4D00-8FDE-9B0C2D80B66E}"/>
    <cellStyle name="Calculation 2 3 3 12 4" xfId="30860" xr:uid="{B43B70A5-63E2-4F8F-B0CD-787AFABB1416}"/>
    <cellStyle name="Calculation 2 3 3 13" xfId="25461" xr:uid="{4C5A0D51-037F-4514-829E-D331856C9172}"/>
    <cellStyle name="Calculation 2 3 3 13 2" xfId="28128" xr:uid="{B4458D45-43E7-4D3B-BC67-BFEDDE1D1FF9}"/>
    <cellStyle name="Calculation 2 3 3 13 2 2" xfId="34973" xr:uid="{5AEF51D8-85E9-4DCD-BFB9-ED69605A8FED}"/>
    <cellStyle name="Calculation 2 3 3 13 3" xfId="30209" xr:uid="{DD73038D-FB3C-4FB1-8E6E-AC0D1218ED1C}"/>
    <cellStyle name="Calculation 2 3 3 13 3 2" xfId="37054" xr:uid="{1ACFC94C-2BD5-484E-B145-C79B769D0F5A}"/>
    <cellStyle name="Calculation 2 3 3 13 4" xfId="32291" xr:uid="{DABE641A-5C18-41D0-B949-0803BB6596FD}"/>
    <cellStyle name="Calculation 2 3 3 14" xfId="25787" xr:uid="{E428207C-175E-45B1-9D4F-A819539F977B}"/>
    <cellStyle name="Calculation 2 3 3 14 2" xfId="28453" xr:uid="{6D7F7A1A-D1C5-4A55-8953-02A8A25A5285}"/>
    <cellStyle name="Calculation 2 3 3 14 2 2" xfId="35298" xr:uid="{4F9F885A-348C-46A7-BB69-3AAD0BA9703C}"/>
    <cellStyle name="Calculation 2 3 3 14 3" xfId="30534" xr:uid="{7E3833EA-AC5D-4010-9D1B-EBEFE6C11C00}"/>
    <cellStyle name="Calculation 2 3 3 14 3 2" xfId="37379" xr:uid="{0D278AD3-E815-49AD-9670-B863E3AC78A2}"/>
    <cellStyle name="Calculation 2 3 3 14 4" xfId="32616" xr:uid="{749DC12A-6446-4CDA-9053-146F6AFD5E4F}"/>
    <cellStyle name="Calculation 2 3 3 15" xfId="25788" xr:uid="{69A55A38-5099-4876-8DD8-018BC3192AAF}"/>
    <cellStyle name="Calculation 2 3 3 15 2" xfId="28454" xr:uid="{483CC015-E77B-46A4-B849-0D4E2BDDB0AE}"/>
    <cellStyle name="Calculation 2 3 3 15 2 2" xfId="35299" xr:uid="{1626FA13-43BF-4F7F-86FF-ADA1AA4EF9AA}"/>
    <cellStyle name="Calculation 2 3 3 15 3" xfId="30535" xr:uid="{998FC67B-C8BF-4136-94B5-2762E6806E81}"/>
    <cellStyle name="Calculation 2 3 3 15 3 2" xfId="37380" xr:uid="{7C93D563-A89F-49FA-81E6-CD5730F77E97}"/>
    <cellStyle name="Calculation 2 3 3 15 4" xfId="32617" xr:uid="{F9BBB631-5AC6-4641-ADA9-E5944A1E9F4E}"/>
    <cellStyle name="Calculation 2 3 3 16" xfId="24709" xr:uid="{8CE7C130-2508-4EF8-9251-306610800A0A}"/>
    <cellStyle name="Calculation 2 3 3 16 2" xfId="27357" xr:uid="{8F8420C9-ADF0-4E19-AE6C-F1A6F9EB67CB}"/>
    <cellStyle name="Calculation 2 3 3 16 2 2" xfId="34201" xr:uid="{E4CD0910-B15C-4E4A-8151-6474D6BC3047}"/>
    <cellStyle name="Calculation 2 3 3 16 3" xfId="29437" xr:uid="{D46175CF-E6FE-46E9-827A-155BDEA14D2E}"/>
    <cellStyle name="Calculation 2 3 3 16 3 2" xfId="36282" xr:uid="{B058F401-B408-408C-A154-EB4DCC3A0C28}"/>
    <cellStyle name="Calculation 2 3 3 16 4" xfId="31519" xr:uid="{B5FC5B96-76A9-49C3-9CD8-96BBD0F9F1D3}"/>
    <cellStyle name="Calculation 2 3 3 17" xfId="25825" xr:uid="{8624A8DA-219C-47C8-8165-C16D81F4BD9E}"/>
    <cellStyle name="Calculation 2 3 3 17 2" xfId="28491" xr:uid="{039EDFD5-CB88-4561-9D1E-BFA2478C31F4}"/>
    <cellStyle name="Calculation 2 3 3 17 2 2" xfId="35336" xr:uid="{3E07473F-68BB-4475-A7BC-8603D4C65F30}"/>
    <cellStyle name="Calculation 2 3 3 17 3" xfId="30572" xr:uid="{C459378B-45C3-4C3C-B70D-1A5B69275854}"/>
    <cellStyle name="Calculation 2 3 3 17 3 2" xfId="37417" xr:uid="{2445E48C-AF8A-455E-A378-15F6F031C112}"/>
    <cellStyle name="Calculation 2 3 3 17 4" xfId="32654" xr:uid="{BBBBAEF7-2765-47C1-8C8F-599414E49B41}"/>
    <cellStyle name="Calculation 2 3 3 18" xfId="23096" xr:uid="{A6152018-5B49-4E8A-A3EE-6E4282C7A4B7}"/>
    <cellStyle name="Calculation 2 3 3 19" xfId="14191" xr:uid="{7D1D0E03-48ED-43A2-8679-70ED166E1A5B}"/>
    <cellStyle name="Calculation 2 3 3 2" xfId="17567" xr:uid="{6070FA5C-7F23-4C85-AD78-1E02679FDC3F}"/>
    <cellStyle name="Calculation 2 3 3 2 10" xfId="25519" xr:uid="{3DFE3B76-230E-4C69-A2BB-63C28C8B6CDA}"/>
    <cellStyle name="Calculation 2 3 3 2 10 2" xfId="28186" xr:uid="{4A41D099-490A-4287-AE22-5AEF65E9FEB4}"/>
    <cellStyle name="Calculation 2 3 3 2 10 2 2" xfId="35031" xr:uid="{00C50BE1-E3D6-4285-B03E-094BD0D2A1DB}"/>
    <cellStyle name="Calculation 2 3 3 2 10 3" xfId="30267" xr:uid="{4B18F551-0E94-4A84-916F-3DA802D3927C}"/>
    <cellStyle name="Calculation 2 3 3 2 10 3 2" xfId="37112" xr:uid="{908D4D4C-27AB-44CE-97F0-7671D0B8F559}"/>
    <cellStyle name="Calculation 2 3 3 2 10 4" xfId="32349" xr:uid="{34A8FBDC-EB26-43C4-AEA3-056E4A71F65A}"/>
    <cellStyle name="Calculation 2 3 3 2 11" xfId="25009" xr:uid="{A2FD3F15-4D27-4A02-BBB5-4B472DAC6DC9}"/>
    <cellStyle name="Calculation 2 3 3 2 11 2" xfId="27681" xr:uid="{2391AF97-C344-40E5-9DF0-2603C110777D}"/>
    <cellStyle name="Calculation 2 3 3 2 11 2 2" xfId="34526" xr:uid="{895CAEED-3DE7-4A98-88A9-92CB3A9B0C17}"/>
    <cellStyle name="Calculation 2 3 3 2 11 3" xfId="29762" xr:uid="{0C56D9D8-5176-44A9-8A08-1B7C87FE610C}"/>
    <cellStyle name="Calculation 2 3 3 2 11 3 2" xfId="36607" xr:uid="{DD88BA01-F82C-4A7E-970A-3D7E51B41D55}"/>
    <cellStyle name="Calculation 2 3 3 2 11 4" xfId="31844" xr:uid="{A18E02F0-DFE7-40FA-BC99-7E28541DC954}"/>
    <cellStyle name="Calculation 2 3 3 2 12" xfId="24503" xr:uid="{E6A167DA-7809-4498-A687-80C95E942F38}"/>
    <cellStyle name="Calculation 2 3 3 2 12 2" xfId="27114" xr:uid="{FADA4547-340B-45C0-BAB9-75E0E1A85DAC}"/>
    <cellStyle name="Calculation 2 3 3 2 12 2 2" xfId="33954" xr:uid="{5B89EBF2-98DF-4B5D-8A0C-770CC10CFF8F}"/>
    <cellStyle name="Calculation 2 3 3 2 12 3" xfId="29190" xr:uid="{3B664050-E066-4E13-A5F3-BA97D6E79FA4}"/>
    <cellStyle name="Calculation 2 3 3 2 12 3 2" xfId="36035" xr:uid="{E9185CB4-969B-4FC8-8B64-000D9BCA548F}"/>
    <cellStyle name="Calculation 2 3 3 2 12 4" xfId="31272" xr:uid="{90E3AABF-37EC-40D4-889B-A35B29BE4833}"/>
    <cellStyle name="Calculation 2 3 3 2 13" xfId="25586" xr:uid="{316C7327-456F-4FDB-9785-18CD21E6CED5}"/>
    <cellStyle name="Calculation 2 3 3 2 13 2" xfId="28253" xr:uid="{5BE5C5BD-A4E6-477D-807C-B678A74DA9E3}"/>
    <cellStyle name="Calculation 2 3 3 2 13 2 2" xfId="35098" xr:uid="{AF20506D-748F-45EA-9014-2DF8E9E57BF7}"/>
    <cellStyle name="Calculation 2 3 3 2 13 3" xfId="30334" xr:uid="{B0DD9043-FA7F-4882-87D6-07067428A057}"/>
    <cellStyle name="Calculation 2 3 3 2 13 3 2" xfId="37179" xr:uid="{E2E5CAE8-A772-42C5-8C9F-FA436786B1AA}"/>
    <cellStyle name="Calculation 2 3 3 2 13 4" xfId="32416" xr:uid="{8BEB9A89-C021-4850-B5BB-571F6F21B54B}"/>
    <cellStyle name="Calculation 2 3 3 2 14" xfId="25894" xr:uid="{959CA6CE-FAEE-4A20-A131-BD9FB09D58E8}"/>
    <cellStyle name="Calculation 2 3 3 2 14 2" xfId="28560" xr:uid="{2523C599-754F-4A68-94D1-22D943E7F3E8}"/>
    <cellStyle name="Calculation 2 3 3 2 14 2 2" xfId="35405" xr:uid="{F5D77663-FAC5-4EB3-B76B-D47167BE3D8E}"/>
    <cellStyle name="Calculation 2 3 3 2 14 3" xfId="30641" xr:uid="{EF3848AC-7C26-4C42-9077-C93F8B269700}"/>
    <cellStyle name="Calculation 2 3 3 2 14 3 2" xfId="37486" xr:uid="{F1C78A31-A907-401F-8719-AEB775350E62}"/>
    <cellStyle name="Calculation 2 3 3 2 14 4" xfId="32723" xr:uid="{14B63E86-90FC-4290-A24C-BDA62261F7BB}"/>
    <cellStyle name="Calculation 2 3 3 2 15" xfId="23993" xr:uid="{D45D0D81-8B6C-400E-8041-9CAD98D5E774}"/>
    <cellStyle name="Calculation 2 3 3 2 15 2" xfId="26610" xr:uid="{83E169E9-097D-48DB-9350-CF0D2CDA282B}"/>
    <cellStyle name="Calculation 2 3 3 2 15 2 2" xfId="33450" xr:uid="{91DCA3FD-F2C2-4374-90D6-46A0001CADC9}"/>
    <cellStyle name="Calculation 2 3 3 2 15 3" xfId="26083" xr:uid="{92593C8A-5852-4414-B2AD-C5EE2F71440C}"/>
    <cellStyle name="Calculation 2 3 3 2 15 3 2" xfId="32911" xr:uid="{06234D4D-FEDF-4685-A2ED-423FD6A378B2}"/>
    <cellStyle name="Calculation 2 3 3 2 15 4" xfId="23205" xr:uid="{98F17C20-387C-4C33-A931-A68AD4F94195}"/>
    <cellStyle name="Calculation 2 3 3 2 16" xfId="25931" xr:uid="{6705EEFC-FDC4-4923-B85D-10C2285EB70C}"/>
    <cellStyle name="Calculation 2 3 3 2 16 2" xfId="28597" xr:uid="{4F29613A-E970-41AB-956D-05D464607B45}"/>
    <cellStyle name="Calculation 2 3 3 2 16 2 2" xfId="35442" xr:uid="{395BD8D2-51F2-4806-8E34-BA14824AC357}"/>
    <cellStyle name="Calculation 2 3 3 2 16 3" xfId="30678" xr:uid="{291A8F4A-A95A-46A6-A4D9-76EB0E94A6C8}"/>
    <cellStyle name="Calculation 2 3 3 2 16 3 2" xfId="37523" xr:uid="{237653B9-DB2E-4120-A61D-0EF59DB1D3BC}"/>
    <cellStyle name="Calculation 2 3 3 2 16 4" xfId="32760" xr:uid="{B8E805C1-FAEB-4F7B-9BA4-EA7E62C4DDD4}"/>
    <cellStyle name="Calculation 2 3 3 2 17" xfId="23635" xr:uid="{9E363569-E86B-4470-B297-4723E5C7C408}"/>
    <cellStyle name="Calculation 2 3 3 2 2" xfId="17838" xr:uid="{6A5CBB0E-E263-4E68-B6E7-7D259A7DB54D}"/>
    <cellStyle name="Calculation 2 3 3 2 2 10" xfId="25662" xr:uid="{0EB83DCE-6CC7-4979-85B3-D7B5136AC806}"/>
    <cellStyle name="Calculation 2 3 3 2 2 10 2" xfId="28329" xr:uid="{B33CEF10-67D4-498F-BEFA-3800127DF132}"/>
    <cellStyle name="Calculation 2 3 3 2 2 10 2 2" xfId="35174" xr:uid="{0A4EF98D-3728-4ACA-BA01-99C760C08052}"/>
    <cellStyle name="Calculation 2 3 3 2 2 10 3" xfId="30410" xr:uid="{5AD56DB9-E546-41C2-98C9-BAEB74D08629}"/>
    <cellStyle name="Calculation 2 3 3 2 2 10 3 2" xfId="37255" xr:uid="{0EBCEF2B-A762-4BAF-B30A-77132780D451}"/>
    <cellStyle name="Calculation 2 3 3 2 2 10 4" xfId="32492" xr:uid="{5AF38271-C745-41B3-8458-56515277EFD9}"/>
    <cellStyle name="Calculation 2 3 3 2 2 11" xfId="25767" xr:uid="{78FC4C0A-0E44-4B41-AF19-BB0EEC6C6816}"/>
    <cellStyle name="Calculation 2 3 3 2 2 11 2" xfId="28433" xr:uid="{5B98CEB0-65F6-490A-9A64-4E3B0BD2898F}"/>
    <cellStyle name="Calculation 2 3 3 2 2 11 2 2" xfId="35278" xr:uid="{83EBE361-C3D5-4B50-BB1A-C97C7EF778EC}"/>
    <cellStyle name="Calculation 2 3 3 2 2 11 3" xfId="30514" xr:uid="{92D12160-7566-4ED9-B192-0A374C67CCD1}"/>
    <cellStyle name="Calculation 2 3 3 2 2 11 3 2" xfId="37359" xr:uid="{77260521-16FA-41C3-8B8E-713F22686CA3}"/>
    <cellStyle name="Calculation 2 3 3 2 2 11 4" xfId="32596" xr:uid="{61963145-7DFF-45E9-9F82-31D69BA638D0}"/>
    <cellStyle name="Calculation 2 3 3 2 2 12" xfId="25844" xr:uid="{A89FB4F0-082C-4809-A920-8AED25C939EA}"/>
    <cellStyle name="Calculation 2 3 3 2 2 12 2" xfId="28510" xr:uid="{2A4F0F9A-A22D-4FC1-B0AB-8311A9F0AE62}"/>
    <cellStyle name="Calculation 2 3 3 2 2 12 2 2" xfId="35355" xr:uid="{D365A2E1-9B30-4CF8-A167-CA6724FBB8F2}"/>
    <cellStyle name="Calculation 2 3 3 2 2 12 3" xfId="30591" xr:uid="{DB1E76FA-A70A-4CDD-A9FE-821E19FAA996}"/>
    <cellStyle name="Calculation 2 3 3 2 2 12 3 2" xfId="37436" xr:uid="{44C0AE8B-5519-425C-A7BB-C34FA4297524}"/>
    <cellStyle name="Calculation 2 3 3 2 2 12 4" xfId="32673" xr:uid="{389593DB-BF3A-4D62-A046-2288763F334C}"/>
    <cellStyle name="Calculation 2 3 3 2 2 13" xfId="25250" xr:uid="{6F6F3F91-F992-4E0F-BE0E-7B025B2CD067}"/>
    <cellStyle name="Calculation 2 3 3 2 2 13 2" xfId="27921" xr:uid="{C5B0EDA2-03A9-4C02-AF3C-609FDA5149E9}"/>
    <cellStyle name="Calculation 2 3 3 2 2 13 2 2" xfId="34766" xr:uid="{DB3C45C2-144B-4238-A78A-1E2AFE1D9CF2}"/>
    <cellStyle name="Calculation 2 3 3 2 2 13 3" xfId="30002" xr:uid="{87C14C92-2E6E-4AC4-9135-4971B45A776D}"/>
    <cellStyle name="Calculation 2 3 3 2 2 13 3 2" xfId="36847" xr:uid="{74F4E6CC-75AD-45C2-AD90-F0222FD5FB16}"/>
    <cellStyle name="Calculation 2 3 3 2 2 13 4" xfId="32084" xr:uid="{3BEA1D8F-B5D0-446F-B74B-B5B29B61B499}"/>
    <cellStyle name="Calculation 2 3 3 2 2 14" xfId="25972" xr:uid="{D591BAA3-B332-4A2D-84EA-ADC58A1CBED5}"/>
    <cellStyle name="Calculation 2 3 3 2 2 14 2" xfId="28638" xr:uid="{D4AAE200-F19F-4AFA-95B8-1FE96DDB380C}"/>
    <cellStyle name="Calculation 2 3 3 2 2 14 2 2" xfId="35483" xr:uid="{339AA88D-C231-4A1E-9A8F-B685491B1195}"/>
    <cellStyle name="Calculation 2 3 3 2 2 14 3" xfId="30719" xr:uid="{3429AC81-DF19-41F4-A578-9E88762C196A}"/>
    <cellStyle name="Calculation 2 3 3 2 2 14 3 2" xfId="37564" xr:uid="{C84DF9C8-5E4F-42BA-9D66-2250FE78BE8C}"/>
    <cellStyle name="Calculation 2 3 3 2 2 14 4" xfId="32801" xr:uid="{3420A62D-56AC-4BFA-8E8C-96DF4B15D426}"/>
    <cellStyle name="Calculation 2 3 3 2 2 15" xfId="26026" xr:uid="{53A8603E-00E6-4C5E-A662-25A3CC491CD8}"/>
    <cellStyle name="Calculation 2 3 3 2 2 15 2" xfId="28692" xr:uid="{A4EFDB47-9E1A-4C6C-9A29-75884E394AF4}"/>
    <cellStyle name="Calculation 2 3 3 2 2 15 2 2" xfId="35537" xr:uid="{64908296-C94E-424A-A9C3-6F0B6F3C002C}"/>
    <cellStyle name="Calculation 2 3 3 2 2 15 3" xfId="30773" xr:uid="{4DC8D271-E326-46AF-AF3D-E4C988ABAFB0}"/>
    <cellStyle name="Calculation 2 3 3 2 2 15 3 2" xfId="37618" xr:uid="{65B24E8C-1306-4481-8B47-36C72AD26D88}"/>
    <cellStyle name="Calculation 2 3 3 2 2 15 4" xfId="32855" xr:uid="{3A1182C5-4E3B-4AE8-8C4D-EC77B4D29111}"/>
    <cellStyle name="Calculation 2 3 3 2 2 16" xfId="23546" xr:uid="{48171CDB-BFCB-4FB7-937B-55130A8DD4F3}"/>
    <cellStyle name="Calculation 2 3 3 2 2 2" xfId="18436" xr:uid="{6B780F23-4F57-47D5-B763-2865233C2444}"/>
    <cellStyle name="Calculation 2 3 3 2 2 2 10" xfId="19654" xr:uid="{C8E65BD3-B5DA-4A31-879E-31C2649B6902}"/>
    <cellStyle name="Calculation 2 3 3 2 2 2 11" xfId="21034" xr:uid="{4343877D-63CD-4734-9B17-D93DD1E9157E}"/>
    <cellStyle name="Calculation 2 3 3 2 2 2 12" xfId="21159" xr:uid="{4246B28E-95C3-4CD7-9A07-A801CF6A5AD7}"/>
    <cellStyle name="Calculation 2 3 3 2 2 2 13" xfId="21166" xr:uid="{598E47B8-CD69-43B1-BC0B-6214A50E2015}"/>
    <cellStyle name="Calculation 2 3 3 2 2 2 14" xfId="21477" xr:uid="{27301D56-FF78-4071-9C3C-F8518309490F}"/>
    <cellStyle name="Calculation 2 3 3 2 2 2 15" xfId="22733" xr:uid="{84D70D28-64CB-4255-8756-135045A7E822}"/>
    <cellStyle name="Calculation 2 3 3 2 2 2 16" xfId="31473" xr:uid="{716BF9D0-072C-450D-ACF1-EE6BC905FACC}"/>
    <cellStyle name="Calculation 2 3 3 2 2 2 2" xfId="19937" xr:uid="{0274B0F3-6B59-4C9B-8300-B150B6C67CCE}"/>
    <cellStyle name="Calculation 2 3 3 2 2 2 2 2" xfId="27311" xr:uid="{8D5309D4-334B-47BF-8B9A-532D11165D6A}"/>
    <cellStyle name="Calculation 2 3 3 2 2 2 2 3" xfId="34155" xr:uid="{C6646FAE-0788-4F04-9DC1-8DB7BD569452}"/>
    <cellStyle name="Calculation 2 3 3 2 2 2 3" xfId="21085" xr:uid="{3A8424D2-DB04-4036-942A-8ACA6882CA86}"/>
    <cellStyle name="Calculation 2 3 3 2 2 2 3 2" xfId="29391" xr:uid="{B23ED14D-AB8E-4C02-94CF-76334DB6D642}"/>
    <cellStyle name="Calculation 2 3 3 2 2 2 3 3" xfId="36236" xr:uid="{7BBCBFCA-0CE4-4971-A0D6-830918C5DB9C}"/>
    <cellStyle name="Calculation 2 3 3 2 2 2 4" xfId="20124" xr:uid="{028F0CB0-D2E6-4CFE-90BF-073E3E08DB78}"/>
    <cellStyle name="Calculation 2 3 3 2 2 2 5" xfId="19354" xr:uid="{5D115A94-52EA-48E8-9046-D46BEF9DE863}"/>
    <cellStyle name="Calculation 2 3 3 2 2 2 6" xfId="19877" xr:uid="{0DC9F3EB-3931-475D-A8C1-9F89C2FE7398}"/>
    <cellStyle name="Calculation 2 3 3 2 2 2 7" xfId="20030" xr:uid="{99347ADF-48D4-4075-8838-65BDB556C862}"/>
    <cellStyle name="Calculation 2 3 3 2 2 2 8" xfId="20887" xr:uid="{A357B339-D712-400D-926D-769B4C3AF5B8}"/>
    <cellStyle name="Calculation 2 3 3 2 2 2 9" xfId="20401" xr:uid="{329E1224-455E-428B-9AA3-47A08064CE15}"/>
    <cellStyle name="Calculation 2 3 3 2 2 3" xfId="23831" xr:uid="{11FAF134-2F03-426A-AE19-0B44B5551C0E}"/>
    <cellStyle name="Calculation 2 3 3 2 2 3 2" xfId="26450" xr:uid="{020102AF-E135-4918-B66C-34C98F5D53AC}"/>
    <cellStyle name="Calculation 2 3 3 2 2 3 2 2" xfId="33290" xr:uid="{FE619B05-DDEF-4248-9609-332AE2AE7296}"/>
    <cellStyle name="Calculation 2 3 3 2 2 3 3" xfId="26233" xr:uid="{4814838E-0672-4A86-B477-9375F058E76F}"/>
    <cellStyle name="Calculation 2 3 3 2 2 3 3 2" xfId="33061" xr:uid="{38062709-0396-4282-BC2C-D2A946DE1403}"/>
    <cellStyle name="Calculation 2 3 3 2 2 3 4" xfId="23355" xr:uid="{F0808541-06AD-4293-A75D-56B146A4E64A}"/>
    <cellStyle name="Calculation 2 3 3 2 2 4" xfId="25118" xr:uid="{ABB28541-59A2-4A2E-8B46-62A41C25A786}"/>
    <cellStyle name="Calculation 2 3 3 2 2 4 2" xfId="27790" xr:uid="{0AC2542C-CF39-4569-805F-32408E02BA9F}"/>
    <cellStyle name="Calculation 2 3 3 2 2 4 2 2" xfId="34635" xr:uid="{D497137A-DDE6-4D4D-9291-3D24990E8D61}"/>
    <cellStyle name="Calculation 2 3 3 2 2 4 3" xfId="29871" xr:uid="{9668B7D6-484B-410D-BBCE-BC9E473C27C8}"/>
    <cellStyle name="Calculation 2 3 3 2 2 4 3 2" xfId="36716" xr:uid="{C034658F-BC6E-4784-A2F9-BA1E56DA6707}"/>
    <cellStyle name="Calculation 2 3 3 2 2 4 4" xfId="31953" xr:uid="{379FEBBA-BB02-4FB0-BE8B-875677B6085A}"/>
    <cellStyle name="Calculation 2 3 3 2 2 5" xfId="23791" xr:uid="{1A1FC876-2372-413A-9BC6-B025189A04E7}"/>
    <cellStyle name="Calculation 2 3 3 2 2 5 2" xfId="26404" xr:uid="{E89E6C2E-711B-475A-8702-85DABB912A9B}"/>
    <cellStyle name="Calculation 2 3 3 2 2 5 2 2" xfId="33244" xr:uid="{DA226582-2B0E-43F5-B26B-BC28C19AF617}"/>
    <cellStyle name="Calculation 2 3 3 2 2 5 3" xfId="26278" xr:uid="{35604089-736D-425B-A0A9-E7AE4B386078}"/>
    <cellStyle name="Calculation 2 3 3 2 2 5 3 2" xfId="33106" xr:uid="{E5648ECE-FAC8-40F9-A668-E6ED11EE4BAD}"/>
    <cellStyle name="Calculation 2 3 3 2 2 5 4" xfId="23400" xr:uid="{A6DC2CAE-5645-4CAE-8ED5-3E33FF8D7B0F}"/>
    <cellStyle name="Calculation 2 3 3 2 2 6" xfId="25350" xr:uid="{31419FC9-054F-4505-99C8-B6DD5FF576EF}"/>
    <cellStyle name="Calculation 2 3 3 2 2 6 2" xfId="28017" xr:uid="{DCE9E992-4C64-46F4-B53E-B99F297B0A6E}"/>
    <cellStyle name="Calculation 2 3 3 2 2 6 2 2" xfId="34862" xr:uid="{DBB35EC4-00A8-44FF-9B29-261C34321651}"/>
    <cellStyle name="Calculation 2 3 3 2 2 6 3" xfId="30098" xr:uid="{26512C83-FEBD-4583-A231-960E40B151BF}"/>
    <cellStyle name="Calculation 2 3 3 2 2 6 3 2" xfId="36943" xr:uid="{84A182DA-979A-4F2C-89A3-0AFD3E095179}"/>
    <cellStyle name="Calculation 2 3 3 2 2 6 4" xfId="32180" xr:uid="{86BD23BA-671B-4EA8-AB7A-4EB5DB281C87}"/>
    <cellStyle name="Calculation 2 3 3 2 2 7" xfId="25252" xr:uid="{49530923-3E86-4632-A116-870FF05C2BA3}"/>
    <cellStyle name="Calculation 2 3 3 2 2 7 2" xfId="27923" xr:uid="{093480FA-0BF6-4696-9ABF-9FEA5EEF4A7F}"/>
    <cellStyle name="Calculation 2 3 3 2 2 7 2 2" xfId="34768" xr:uid="{FF9BCB36-D15A-4C30-86DB-F28EE0DE0106}"/>
    <cellStyle name="Calculation 2 3 3 2 2 7 3" xfId="30004" xr:uid="{DA9DD834-492C-46D5-AC41-4F4BEBFBF862}"/>
    <cellStyle name="Calculation 2 3 3 2 2 7 3 2" xfId="36849" xr:uid="{F1EE57FE-E3BF-4F09-96A1-8CA5422893CB}"/>
    <cellStyle name="Calculation 2 3 3 2 2 7 4" xfId="32086" xr:uid="{72024D3A-4364-4838-9099-4420EDB7F446}"/>
    <cellStyle name="Calculation 2 3 3 2 2 8" xfId="24270" xr:uid="{B615C75F-547C-48D2-978C-B5C6130854D3}"/>
    <cellStyle name="Calculation 2 3 3 2 2 8 2" xfId="26877" xr:uid="{A213B0E1-BE0C-403A-BF64-243990130DBC}"/>
    <cellStyle name="Calculation 2 3 3 2 2 8 2 2" xfId="33717" xr:uid="{DEC1993B-B36C-4A89-B140-4A148931DF21}"/>
    <cellStyle name="Calculation 2 3 3 2 2 8 3" xfId="28953" xr:uid="{34FDA4F3-2A55-423D-9381-A653B0E8004E}"/>
    <cellStyle name="Calculation 2 3 3 2 2 8 3 2" xfId="35798" xr:uid="{6A5E8027-0E4F-4481-8D8E-AC6CB54BC898}"/>
    <cellStyle name="Calculation 2 3 3 2 2 8 4" xfId="31035" xr:uid="{7B7BDAF6-7ECD-4116-9883-468BB73950D4}"/>
    <cellStyle name="Calculation 2 3 3 2 2 9" xfId="25241" xr:uid="{1E833F02-FE55-46AD-A1E6-2282689651B3}"/>
    <cellStyle name="Calculation 2 3 3 2 2 9 2" xfId="27912" xr:uid="{A21C25D3-CE95-474B-A2C7-AD4E491065B6}"/>
    <cellStyle name="Calculation 2 3 3 2 2 9 2 2" xfId="34757" xr:uid="{C2B7F656-78A8-44CA-9557-9B4D88ADAC36}"/>
    <cellStyle name="Calculation 2 3 3 2 2 9 3" xfId="29993" xr:uid="{1A34B7B2-3617-43A3-A885-A329A28145DD}"/>
    <cellStyle name="Calculation 2 3 3 2 2 9 3 2" xfId="36838" xr:uid="{ACB033B3-34E8-4978-8E51-427B8FDA2BAD}"/>
    <cellStyle name="Calculation 2 3 3 2 2 9 4" xfId="32075" xr:uid="{3619D96B-1271-4AA6-B5F9-87B16233E0DE}"/>
    <cellStyle name="Calculation 2 3 3 2 3" xfId="18359" xr:uid="{C932303C-F1A8-46A6-AA56-FD30AF68896E}"/>
    <cellStyle name="Calculation 2 3 3 2 3 10" xfId="19223" xr:uid="{D914FA9C-2937-4F6A-8EB1-1C6DC75CFCED}"/>
    <cellStyle name="Calculation 2 3 3 2 3 11" xfId="20550" xr:uid="{2F38A9B1-AACD-4AA3-9263-75ED9E938476}"/>
    <cellStyle name="Calculation 2 3 3 2 3 12" xfId="22512" xr:uid="{3FCE9433-07A0-46EA-876C-7BE24E073C02}"/>
    <cellStyle name="Calculation 2 3 3 2 3 13" xfId="21174" xr:uid="{94AE0081-9246-487A-9E31-B3BE6672072B}"/>
    <cellStyle name="Calculation 2 3 3 2 3 14" xfId="21249" xr:uid="{1AEF2F83-DEF9-4322-8A90-6B8857C685B6}"/>
    <cellStyle name="Calculation 2 3 3 2 3 15" xfId="22985" xr:uid="{654E1A5B-3E90-4604-AA78-CACC4D83F26D}"/>
    <cellStyle name="Calculation 2 3 3 2 3 16" xfId="31526" xr:uid="{25819E14-98DF-434A-A461-175465DBC257}"/>
    <cellStyle name="Calculation 2 3 3 2 3 2" xfId="19997" xr:uid="{8B5172B6-FB06-448A-8345-FAC4D75F2013}"/>
    <cellStyle name="Calculation 2 3 3 2 3 2 2" xfId="27364" xr:uid="{F6940539-F335-4F9E-B900-5C5433B35C24}"/>
    <cellStyle name="Calculation 2 3 3 2 3 2 3" xfId="34208" xr:uid="{29E254DD-F01E-4E18-8371-DD3D839D2008}"/>
    <cellStyle name="Calculation 2 3 3 2 3 3" xfId="19738" xr:uid="{8D5530B5-48A0-43A3-AB21-9895A50B56C3}"/>
    <cellStyle name="Calculation 2 3 3 2 3 3 2" xfId="29444" xr:uid="{B353A169-CA76-4C16-89FB-379AF1EA047D}"/>
    <cellStyle name="Calculation 2 3 3 2 3 3 3" xfId="36289" xr:uid="{EA6B1412-3F39-42BC-AC68-214FE4C697B3}"/>
    <cellStyle name="Calculation 2 3 3 2 3 4" xfId="20710" xr:uid="{CA9495E6-E434-4CF4-BFE8-EA62FC89101B}"/>
    <cellStyle name="Calculation 2 3 3 2 3 5" xfId="18937" xr:uid="{FA8E3840-A83E-48B9-83E7-6CBA70BCE083}"/>
    <cellStyle name="Calculation 2 3 3 2 3 6" xfId="20916" xr:uid="{A8201F69-A500-47F3-B211-A5DD51EDF114}"/>
    <cellStyle name="Calculation 2 3 3 2 3 7" xfId="18991" xr:uid="{150CAFE5-075C-4C05-B68F-2E7EA3DC51F1}"/>
    <cellStyle name="Calculation 2 3 3 2 3 8" xfId="21389" xr:uid="{4DEBB302-BBA4-4749-A61B-FC89ED179C53}"/>
    <cellStyle name="Calculation 2 3 3 2 3 9" xfId="22069" xr:uid="{D27B84D8-D413-4C64-99D8-309DDC51EF47}"/>
    <cellStyle name="Calculation 2 3 3 2 4" xfId="24252" xr:uid="{BEC6C668-C95D-4906-8881-AEDEC9E95F8D}"/>
    <cellStyle name="Calculation 2 3 3 2 4 2" xfId="26859" xr:uid="{F3C4E8DF-81E7-48FB-ABE3-F14AB4523552}"/>
    <cellStyle name="Calculation 2 3 3 2 4 2 2" xfId="33699" xr:uid="{D0FB39EA-E918-4801-9EBE-0A3B2CC1E49E}"/>
    <cellStyle name="Calculation 2 3 3 2 4 3" xfId="28935" xr:uid="{4A7B01F8-52B7-4F0C-AE43-9EA02322FC8E}"/>
    <cellStyle name="Calculation 2 3 3 2 4 3 2" xfId="35780" xr:uid="{8527E513-5777-49E7-BAFE-0FEB8E9BE03B}"/>
    <cellStyle name="Calculation 2 3 3 2 4 4" xfId="31017" xr:uid="{A25078D2-D111-4CD0-8F50-86D6907516AB}"/>
    <cellStyle name="Calculation 2 3 3 2 5" xfId="24929" xr:uid="{7300E3AE-56A4-47CE-B334-63092DD1DBB0}"/>
    <cellStyle name="Calculation 2 3 3 2 5 2" xfId="27599" xr:uid="{F97E3A92-1ADD-48C0-AD88-1C33A9E6D2D9}"/>
    <cellStyle name="Calculation 2 3 3 2 5 2 2" xfId="34443" xr:uid="{E322FCA3-4BA8-4F80-8561-7973830C39BF}"/>
    <cellStyle name="Calculation 2 3 3 2 5 3" xfId="29679" xr:uid="{3E51B9F9-BA32-400B-8384-CE8141E14408}"/>
    <cellStyle name="Calculation 2 3 3 2 5 3 2" xfId="36524" xr:uid="{F48C4479-65CE-4BE9-B822-35EFFDBC33E4}"/>
    <cellStyle name="Calculation 2 3 3 2 5 4" xfId="31761" xr:uid="{643CB6DF-956D-41BB-A451-4465C3F056ED}"/>
    <cellStyle name="Calculation 2 3 3 2 6" xfId="25172" xr:uid="{86D7410B-84C1-4310-AA46-EBF0AE8A3DB8}"/>
    <cellStyle name="Calculation 2 3 3 2 6 2" xfId="27844" xr:uid="{AB687324-B8E0-4555-9ED1-9C97882F69C2}"/>
    <cellStyle name="Calculation 2 3 3 2 6 2 2" xfId="34689" xr:uid="{605E12DC-867F-4F39-A648-92AB0755375A}"/>
    <cellStyle name="Calculation 2 3 3 2 6 3" xfId="29925" xr:uid="{262324EB-D1D2-45F2-B419-F345DDDAF63B}"/>
    <cellStyle name="Calculation 2 3 3 2 6 3 2" xfId="36770" xr:uid="{83A60697-00E4-4C0D-A400-78A020C54F38}"/>
    <cellStyle name="Calculation 2 3 3 2 6 4" xfId="32007" xr:uid="{7F178AE4-E3E2-404F-9DFC-E70DD6A7DEF6}"/>
    <cellStyle name="Calculation 2 3 3 2 7" xfId="25141" xr:uid="{7744E28B-5238-483D-B680-0F89950EE341}"/>
    <cellStyle name="Calculation 2 3 3 2 7 2" xfId="27813" xr:uid="{0CC4EFDB-EFF6-4312-99C9-1AB717ED5986}"/>
    <cellStyle name="Calculation 2 3 3 2 7 2 2" xfId="34658" xr:uid="{635FCAF3-F37A-4D86-8F30-600455179533}"/>
    <cellStyle name="Calculation 2 3 3 2 7 3" xfId="29894" xr:uid="{A8172423-5DE2-4E20-AAD8-B36C89258193}"/>
    <cellStyle name="Calculation 2 3 3 2 7 3 2" xfId="36739" xr:uid="{C57D76CF-039C-4124-A5E7-FCC5A5D5D04E}"/>
    <cellStyle name="Calculation 2 3 3 2 7 4" xfId="31976" xr:uid="{60AD5105-715A-460C-B433-AB9D97A0255D}"/>
    <cellStyle name="Calculation 2 3 3 2 8" xfId="24129" xr:uid="{F4E00CA3-852D-4D08-B8A8-C897A292F6C4}"/>
    <cellStyle name="Calculation 2 3 3 2 8 2" xfId="26741" xr:uid="{09139993-17F0-475D-9A66-E5D68EE18418}"/>
    <cellStyle name="Calculation 2 3 3 2 8 2 2" xfId="33581" xr:uid="{37A37888-5F25-4A61-822F-CDF860ABFD66}"/>
    <cellStyle name="Calculation 2 3 3 2 8 3" xfId="28817" xr:uid="{93EE32D0-30FB-4C9B-A512-9B745AE3CC05}"/>
    <cellStyle name="Calculation 2 3 3 2 8 3 2" xfId="35662" xr:uid="{62DD746A-60F1-469B-B94F-0FF78B24410A}"/>
    <cellStyle name="Calculation 2 3 3 2 8 4" xfId="30899" xr:uid="{ECC2B3DB-F948-4665-A6F8-2E24A2465D78}"/>
    <cellStyle name="Calculation 2 3 3 2 9" xfId="25357" xr:uid="{8059FFA3-33BD-4EF0-8035-716DE8197BF8}"/>
    <cellStyle name="Calculation 2 3 3 2 9 2" xfId="28024" xr:uid="{91B21AA1-03D4-4CF7-B5AA-6866E253388B}"/>
    <cellStyle name="Calculation 2 3 3 2 9 2 2" xfId="34869" xr:uid="{C78A18E9-B7CA-42A2-9F2D-7881DED3ECD6}"/>
    <cellStyle name="Calculation 2 3 3 2 9 3" xfId="30105" xr:uid="{79E0921A-732D-4EF4-8DDD-35BD71604671}"/>
    <cellStyle name="Calculation 2 3 3 2 9 3 2" xfId="36950" xr:uid="{6C5F91AD-105B-4E88-96E4-CE8AB4B504CF}"/>
    <cellStyle name="Calculation 2 3 3 2 9 4" xfId="32187" xr:uid="{92AA1B58-E78B-46F9-AB6E-438BCEC193C5}"/>
    <cellStyle name="Calculation 2 3 3 20" xfId="15547" xr:uid="{1512F01D-411E-4B0B-A7AB-40A5130442F1}"/>
    <cellStyle name="Calculation 2 3 3 21" xfId="47738" xr:uid="{050D3ADD-F4B4-4DE2-8C38-68696F388FD5}"/>
    <cellStyle name="Calculation 2 3 3 22" xfId="40716" xr:uid="{CBC6A8AC-1CAC-4913-8058-14EEBB6FFF28}"/>
    <cellStyle name="Calculation 2 3 3 23" xfId="40757" xr:uid="{A8E46E37-DA90-4EE3-9EBB-7A4B7269E1EB}"/>
    <cellStyle name="Calculation 2 3 3 24" xfId="48985" xr:uid="{5995982C-7C69-4552-B582-59BD79C76B64}"/>
    <cellStyle name="Calculation 2 3 3 3" xfId="17800" xr:uid="{E59D4BFE-CE6E-4885-8B5A-B60AC3988850}"/>
    <cellStyle name="Calculation 2 3 3 3 10" xfId="25631" xr:uid="{726BE5DE-C7A5-41A9-854C-702B76C44F9C}"/>
    <cellStyle name="Calculation 2 3 3 3 10 2" xfId="28298" xr:uid="{B8FF3BE4-5540-4034-B42A-0044428AD3A5}"/>
    <cellStyle name="Calculation 2 3 3 3 10 2 2" xfId="35143" xr:uid="{0D7E897F-D76B-41B9-B1F9-B73E6244E5AC}"/>
    <cellStyle name="Calculation 2 3 3 3 10 3" xfId="30379" xr:uid="{2A466902-2582-4549-A253-62D03A39CA1C}"/>
    <cellStyle name="Calculation 2 3 3 3 10 3 2" xfId="37224" xr:uid="{FA6976BF-24B4-4A50-B440-FDACE08BEF03}"/>
    <cellStyle name="Calculation 2 3 3 3 10 4" xfId="32461" xr:uid="{8A1E347F-0BA5-4E3F-BF93-0AEBF3C995DF}"/>
    <cellStyle name="Calculation 2 3 3 3 11" xfId="25736" xr:uid="{5D925019-9C26-4D6E-B8FD-9A547390D1D9}"/>
    <cellStyle name="Calculation 2 3 3 3 11 2" xfId="28403" xr:uid="{1686A692-A6B7-48F7-A559-942F305C1250}"/>
    <cellStyle name="Calculation 2 3 3 3 11 2 2" xfId="35248" xr:uid="{588855A6-E08A-4B65-8BF4-31C4377A3FB7}"/>
    <cellStyle name="Calculation 2 3 3 3 11 3" xfId="30484" xr:uid="{D309D8BC-5A2C-471C-9C2C-342FAE0854E5}"/>
    <cellStyle name="Calculation 2 3 3 3 11 3 2" xfId="37329" xr:uid="{D1A3A878-5A15-4EDC-BC50-EF4DC50457D3}"/>
    <cellStyle name="Calculation 2 3 3 3 11 4" xfId="32566" xr:uid="{5D250693-5976-4F67-A05D-FF94EABF63F3}"/>
    <cellStyle name="Calculation 2 3 3 3 12" xfId="25810" xr:uid="{433682C9-153A-440B-9A4E-EAA1BCD3AED5}"/>
    <cellStyle name="Calculation 2 3 3 3 12 2" xfId="28476" xr:uid="{D100C4FB-65E3-4D4E-A8B5-DAE2DC592407}"/>
    <cellStyle name="Calculation 2 3 3 3 12 2 2" xfId="35321" xr:uid="{C67EBDD9-EC55-4C46-B02B-FDECC25A635A}"/>
    <cellStyle name="Calculation 2 3 3 3 12 3" xfId="30557" xr:uid="{B88BBBB0-6546-4367-8D7E-5A2E6C5B413F}"/>
    <cellStyle name="Calculation 2 3 3 3 12 3 2" xfId="37402" xr:uid="{68FB9631-CBB5-44BC-AC66-63428BAA86A2}"/>
    <cellStyle name="Calculation 2 3 3 3 12 4" xfId="32639" xr:uid="{C10E60B6-A5EF-47C5-9B3A-3B13309FA21A}"/>
    <cellStyle name="Calculation 2 3 3 3 13" xfId="25518" xr:uid="{20ED83CD-18A1-4F5F-874E-D4E91B8328CE}"/>
    <cellStyle name="Calculation 2 3 3 3 13 2" xfId="28185" xr:uid="{2AB5139E-685F-4CD4-889B-7955A1D0DFE1}"/>
    <cellStyle name="Calculation 2 3 3 3 13 2 2" xfId="35030" xr:uid="{D662313C-6643-437C-B870-B2508D9C8923}"/>
    <cellStyle name="Calculation 2 3 3 3 13 3" xfId="30266" xr:uid="{935745DF-471D-4F3E-AE77-7B5CAC4BEB94}"/>
    <cellStyle name="Calculation 2 3 3 3 13 3 2" xfId="37111" xr:uid="{83377315-1CB0-4E05-9A51-345933BE3B64}"/>
    <cellStyle name="Calculation 2 3 3 3 13 4" xfId="32348" xr:uid="{D580D3FB-E1A6-4B6B-AD13-1D26D6FF35E9}"/>
    <cellStyle name="Calculation 2 3 3 3 14" xfId="25942" xr:uid="{25BE24EC-8E1C-4EFF-ADAB-276F06189B30}"/>
    <cellStyle name="Calculation 2 3 3 3 14 2" xfId="28608" xr:uid="{DBE76807-50B2-47C0-9B15-2FFA6C47FB96}"/>
    <cellStyle name="Calculation 2 3 3 3 14 2 2" xfId="35453" xr:uid="{AE138E90-30F8-4C99-BEFD-0AD797D5046D}"/>
    <cellStyle name="Calculation 2 3 3 3 14 3" xfId="30689" xr:uid="{8A6EB7DA-46D1-400B-A76A-640307F40622}"/>
    <cellStyle name="Calculation 2 3 3 3 14 3 2" xfId="37534" xr:uid="{C172166D-CA40-4539-AA65-14C3ADDFCDC7}"/>
    <cellStyle name="Calculation 2 3 3 3 14 4" xfId="32771" xr:uid="{211577B2-8990-45E5-9A9C-F458509C497D}"/>
    <cellStyle name="Calculation 2 3 3 3 15" xfId="25996" xr:uid="{F4387C84-9EC7-43B9-A584-30DB92CB9BD6}"/>
    <cellStyle name="Calculation 2 3 3 3 15 2" xfId="28662" xr:uid="{E40637CC-F138-4A18-AF8A-07C0CACFD93E}"/>
    <cellStyle name="Calculation 2 3 3 3 15 2 2" xfId="35507" xr:uid="{1317A587-44A6-4BE7-9BFC-7807B93BEB16}"/>
    <cellStyle name="Calculation 2 3 3 3 15 3" xfId="30743" xr:uid="{A5485D61-A2E1-4539-AAEF-96B39452C90E}"/>
    <cellStyle name="Calculation 2 3 3 3 15 3 2" xfId="37588" xr:uid="{252112BE-FDCE-42E3-A2FD-9C82D0DC5822}"/>
    <cellStyle name="Calculation 2 3 3 3 15 4" xfId="32825" xr:uid="{FE826F63-530B-414F-8C72-AC9BAFDE1F9E}"/>
    <cellStyle name="Calculation 2 3 3 3 16" xfId="23185" xr:uid="{88D1D9E8-D77C-487C-AF09-F283073DB5DD}"/>
    <cellStyle name="Calculation 2 3 3 3 2" xfId="18460" xr:uid="{E6D4486E-C2B9-425B-AED3-1C750F8322DF}"/>
    <cellStyle name="Calculation 2 3 3 3 2 10" xfId="19745" xr:uid="{6C7FB41D-A815-4140-B84B-8567BC3FEAAA}"/>
    <cellStyle name="Calculation 2 3 3 3 2 11" xfId="22112" xr:uid="{14C8D395-7CD4-47D6-AA5A-8859BC9A0D39}"/>
    <cellStyle name="Calculation 2 3 3 3 2 12" xfId="22396" xr:uid="{F507C58F-0EBF-4BA5-B2E3-4FD034F74E87}"/>
    <cellStyle name="Calculation 2 3 3 3 2 13" xfId="22687" xr:uid="{D74B7338-B0D2-46D9-B364-DFF6F21A354C}"/>
    <cellStyle name="Calculation 2 3 3 3 2 14" xfId="18883" xr:uid="{4652B155-63C8-486A-8607-99108697D50D}"/>
    <cellStyle name="Calculation 2 3 3 3 2 15" xfId="19697" xr:uid="{564AE421-4F28-4DCB-BC30-071C18280E36}"/>
    <cellStyle name="Calculation 2 3 3 3 2 16" xfId="31655" xr:uid="{1EEC3EA2-F026-4840-BB8A-263F98E9FEE6}"/>
    <cellStyle name="Calculation 2 3 3 3 2 2" xfId="19916" xr:uid="{92F861F3-2775-4B6B-ABFA-DBE84FD13B21}"/>
    <cellStyle name="Calculation 2 3 3 3 2 2 2" xfId="27493" xr:uid="{53D915E1-AC60-4E67-AE05-3CD6EE9D1E2A}"/>
    <cellStyle name="Calculation 2 3 3 3 2 2 3" xfId="34337" xr:uid="{71C1B4C7-FCDB-419B-B266-43A6DF6F0DA9}"/>
    <cellStyle name="Calculation 2 3 3 3 2 3" xfId="21767" xr:uid="{4DC99F6D-0F08-4998-AA73-417692309043}"/>
    <cellStyle name="Calculation 2 3 3 3 2 3 2" xfId="29573" xr:uid="{A6AAA593-E6F9-4525-BABE-1DADB1084B74}"/>
    <cellStyle name="Calculation 2 3 3 3 2 3 3" xfId="36418" xr:uid="{81DC48F5-675F-4685-A943-C7BC624D31AD}"/>
    <cellStyle name="Calculation 2 3 3 3 2 4" xfId="18866" xr:uid="{ADF762FF-9306-4AE9-B189-8528AAF07935}"/>
    <cellStyle name="Calculation 2 3 3 3 2 5" xfId="20623" xr:uid="{9C8DF89D-69B6-4A17-B5BB-BB9DA7FC5581}"/>
    <cellStyle name="Calculation 2 3 3 3 2 6" xfId="20572" xr:uid="{EC146143-0FAA-40E6-B553-B6686766B8FA}"/>
    <cellStyle name="Calculation 2 3 3 3 2 7" xfId="21410" xr:uid="{C471AFD2-D036-4EBF-80B3-B00736B2D746}"/>
    <cellStyle name="Calculation 2 3 3 3 2 8" xfId="19724" xr:uid="{F84CC7A2-7044-43A3-8D62-1B102EF78628}"/>
    <cellStyle name="Calculation 2 3 3 3 2 9" xfId="22217" xr:uid="{F86BF0DF-6C74-4C94-A199-873E77B94998}"/>
    <cellStyle name="Calculation 2 3 3 3 3" xfId="24918" xr:uid="{2DAAFE73-C42D-407C-9E88-8BAAE6BF6A24}"/>
    <cellStyle name="Calculation 2 3 3 3 3 2" xfId="27587" xr:uid="{A48B2CA3-41FB-4D82-986F-EDE8873F5844}"/>
    <cellStyle name="Calculation 2 3 3 3 3 2 2" xfId="34431" xr:uid="{4D283A57-75B6-476F-97B6-50479B18B7E2}"/>
    <cellStyle name="Calculation 2 3 3 3 3 3" xfId="29667" xr:uid="{F93AAA3A-9624-41BA-929D-D4E7A84C1BEF}"/>
    <cellStyle name="Calculation 2 3 3 3 3 3 2" xfId="36512" xr:uid="{CFDEF89D-AE08-45B3-9735-347CC3460BF4}"/>
    <cellStyle name="Calculation 2 3 3 3 3 4" xfId="31749" xr:uid="{3387CE31-A509-47FA-BE0C-D44C2A29D5C2}"/>
    <cellStyle name="Calculation 2 3 3 3 4" xfId="25084" xr:uid="{E12AAEAB-9C2A-4151-A655-18B8EBE2E444}"/>
    <cellStyle name="Calculation 2 3 3 3 4 2" xfId="27756" xr:uid="{294DCE68-291E-4D74-AE19-233E3CC95581}"/>
    <cellStyle name="Calculation 2 3 3 3 4 2 2" xfId="34601" xr:uid="{C23EBBBF-C20D-46BF-B627-1616FDD1C831}"/>
    <cellStyle name="Calculation 2 3 3 3 4 3" xfId="29837" xr:uid="{A51F6E1F-9BAC-4C4E-8971-EEA3C48D1074}"/>
    <cellStyle name="Calculation 2 3 3 3 4 3 2" xfId="36682" xr:uid="{3FDC4C8F-1F82-44DC-9089-2A8A80D0478F}"/>
    <cellStyle name="Calculation 2 3 3 3 4 4" xfId="31919" xr:uid="{0EAF432D-6B7B-4A20-B69D-2267FCA49AC3}"/>
    <cellStyle name="Calculation 2 3 3 3 5" xfId="23747" xr:uid="{B6612B38-1606-4C89-A469-17B7A9E1E44A}"/>
    <cellStyle name="Calculation 2 3 3 3 5 2" xfId="26358" xr:uid="{7F53B555-751A-4017-A1FE-1A79A0F02B6F}"/>
    <cellStyle name="Calculation 2 3 3 3 5 2 2" xfId="33197" xr:uid="{186D5E26-2DC1-495E-9C96-FC614904820B}"/>
    <cellStyle name="Calculation 2 3 3 3 5 3" xfId="26323" xr:uid="{C10B84E9-DE69-4D33-9E25-2585FED98488}"/>
    <cellStyle name="Calculation 2 3 3 3 5 3 2" xfId="33151" xr:uid="{DEAD0892-381C-42B4-A5DB-67DDD93CAB22}"/>
    <cellStyle name="Calculation 2 3 3 3 5 4" xfId="23445" xr:uid="{5884871D-E1BE-4782-A9B6-B43B3E17B657}"/>
    <cellStyle name="Calculation 2 3 3 3 6" xfId="25263" xr:uid="{FD69718F-0CD0-4002-BFD8-348974BDD615}"/>
    <cellStyle name="Calculation 2 3 3 3 6 2" xfId="27934" xr:uid="{26353A4D-3A4B-4806-91A0-45F35696211C}"/>
    <cellStyle name="Calculation 2 3 3 3 6 2 2" xfId="34779" xr:uid="{91918842-71A1-4080-91DB-26E3EC53F62D}"/>
    <cellStyle name="Calculation 2 3 3 3 6 3" xfId="30015" xr:uid="{658CACB4-1E0A-4B51-89F9-CB2309DA8670}"/>
    <cellStyle name="Calculation 2 3 3 3 6 3 2" xfId="36860" xr:uid="{C3A9D14C-2D6C-4F45-93CB-6540CB8AFA45}"/>
    <cellStyle name="Calculation 2 3 3 3 6 4" xfId="32097" xr:uid="{639E7099-5CED-4CF4-B70E-5193E0B51E75}"/>
    <cellStyle name="Calculation 2 3 3 3 7" xfId="24846" xr:uid="{2977907C-B998-41F7-8CD8-EEA5890CB4D6}"/>
    <cellStyle name="Calculation 2 3 3 3 7 2" xfId="27506" xr:uid="{DD98323F-8043-4D7A-9749-546E1947DE4E}"/>
    <cellStyle name="Calculation 2 3 3 3 7 2 2" xfId="34350" xr:uid="{8DAAB7DB-A22B-4716-AD91-59134F4DE60E}"/>
    <cellStyle name="Calculation 2 3 3 3 7 3" xfId="29586" xr:uid="{6CBC38D0-6875-461B-83A5-419036999E32}"/>
    <cellStyle name="Calculation 2 3 3 3 7 3 2" xfId="36431" xr:uid="{40E38D53-4A60-4447-8C53-A9308C013BFC}"/>
    <cellStyle name="Calculation 2 3 3 3 7 4" xfId="31668" xr:uid="{EB2FD3D4-100B-483D-ACA6-30ED775E0720}"/>
    <cellStyle name="Calculation 2 3 3 3 8" xfId="25424" xr:uid="{74A13856-B581-43A3-9FDF-7F848C4C60F0}"/>
    <cellStyle name="Calculation 2 3 3 3 8 2" xfId="28091" xr:uid="{7D6E9CEA-607B-46FE-8D68-078FF1EFA5DD}"/>
    <cellStyle name="Calculation 2 3 3 3 8 2 2" xfId="34936" xr:uid="{A3C6E3C4-D40F-4FE6-906A-253FCB00DAFF}"/>
    <cellStyle name="Calculation 2 3 3 3 8 3" xfId="30172" xr:uid="{91E716EF-C05C-46E8-ABB2-1E1D35C42B24}"/>
    <cellStyle name="Calculation 2 3 3 3 8 3 2" xfId="37017" xr:uid="{F3BD46E8-C23A-4916-BAB8-E8164359A56E}"/>
    <cellStyle name="Calculation 2 3 3 3 8 4" xfId="32254" xr:uid="{66D6B9F3-3DC8-4D7C-9F20-FE8BDC44069B}"/>
    <cellStyle name="Calculation 2 3 3 3 9" xfId="25204" xr:uid="{F38A7CE5-8257-4B38-B4CF-5F251812AB1A}"/>
    <cellStyle name="Calculation 2 3 3 3 9 2" xfId="27876" xr:uid="{79F24D50-EDBE-407E-92C1-0AC3B20E7032}"/>
    <cellStyle name="Calculation 2 3 3 3 9 2 2" xfId="34721" xr:uid="{75326540-8468-4BCF-B08F-C1EBF29757D8}"/>
    <cellStyle name="Calculation 2 3 3 3 9 3" xfId="29957" xr:uid="{766973E4-210F-4C3E-A0AC-53C4243A5B2C}"/>
    <cellStyle name="Calculation 2 3 3 3 9 3 2" xfId="36802" xr:uid="{FE809405-62E3-4275-A87B-B6D6E4444F18}"/>
    <cellStyle name="Calculation 2 3 3 3 9 4" xfId="32039" xr:uid="{606F1397-34FE-40BE-8CF6-64188488BDD3}"/>
    <cellStyle name="Calculation 2 3 3 4" xfId="17529" xr:uid="{604965BA-3B73-4EA7-A3F7-5151041C7CF8}"/>
    <cellStyle name="Calculation 2 3 3 4 2" xfId="27158" xr:uid="{6204F872-1980-473A-83A5-DBA06219D330}"/>
    <cellStyle name="Calculation 2 3 3 4 2 2" xfId="33999" xr:uid="{02084AF4-1C2F-47BF-BE81-05AB88A13790}"/>
    <cellStyle name="Calculation 2 3 3 4 3" xfId="29235" xr:uid="{08B96544-5206-4D8F-9415-57D2AA9DFCA3}"/>
    <cellStyle name="Calculation 2 3 3 4 3 2" xfId="36080" xr:uid="{1554E417-A8FB-490E-88E7-A0D068036750}"/>
    <cellStyle name="Calculation 2 3 3 4 4" xfId="24558" xr:uid="{540772E5-EFF0-4084-BBE5-016ECAF5F85E}"/>
    <cellStyle name="Calculation 2 3 3 4 5" xfId="31317" xr:uid="{CD2A6E73-8A54-4BD4-B542-9DC72063EC66}"/>
    <cellStyle name="Calculation 2 3 3 5" xfId="24299" xr:uid="{40CDCECA-F103-4DC9-B2B5-548F74792A2A}"/>
    <cellStyle name="Calculation 2 3 3 5 2" xfId="26906" xr:uid="{A3320064-0ED0-4B0D-BBB9-A306A717AB15}"/>
    <cellStyle name="Calculation 2 3 3 5 2 2" xfId="33746" xr:uid="{BE20AAFB-58BB-4051-A51F-4289E857E6A9}"/>
    <cellStyle name="Calculation 2 3 3 5 3" xfId="28982" xr:uid="{4380D7C4-A654-4487-8F1D-96BF78F00ABD}"/>
    <cellStyle name="Calculation 2 3 3 5 3 2" xfId="35827" xr:uid="{DB95C7D2-33E5-4F87-9F36-7FE80416DE28}"/>
    <cellStyle name="Calculation 2 3 3 5 4" xfId="31064" xr:uid="{6C15E091-2BE3-4B09-9808-76E625A50E93}"/>
    <cellStyle name="Calculation 2 3 3 6" xfId="24634" xr:uid="{F01BBC61-01A4-4C41-B08C-87E7A7F301E5}"/>
    <cellStyle name="Calculation 2 3 3 6 2" xfId="27244" xr:uid="{DB9FBE3C-511B-4A6E-B358-C3F5009AA1B1}"/>
    <cellStyle name="Calculation 2 3 3 6 2 2" xfId="34087" xr:uid="{D2BA5E88-3A73-4245-97CA-00FF69928CBF}"/>
    <cellStyle name="Calculation 2 3 3 6 3" xfId="29323" xr:uid="{221C48BD-4122-4C8B-B226-1BD3610B56A6}"/>
    <cellStyle name="Calculation 2 3 3 6 3 2" xfId="36168" xr:uid="{DCB563A2-A8BD-4964-A2FA-AD088B9334A3}"/>
    <cellStyle name="Calculation 2 3 3 6 4" xfId="31405" xr:uid="{DCC6CE6F-E795-4D91-9B7F-C27E5E031E65}"/>
    <cellStyle name="Calculation 2 3 3 7" xfId="25136" xr:uid="{EDB93960-E97D-44ED-92EC-C2FF385A7214}"/>
    <cellStyle name="Calculation 2 3 3 7 2" xfId="27808" xr:uid="{18413676-74CD-4059-8C36-ABD4A5760BF9}"/>
    <cellStyle name="Calculation 2 3 3 7 2 2" xfId="34653" xr:uid="{8C316B1E-C566-47BA-B2D5-126945A7FB37}"/>
    <cellStyle name="Calculation 2 3 3 7 3" xfId="29889" xr:uid="{51242F82-84DE-4A1C-88C1-94548836ACCA}"/>
    <cellStyle name="Calculation 2 3 3 7 3 2" xfId="36734" xr:uid="{0BE43DE7-CD55-47AC-9AB2-FB2F6679AE36}"/>
    <cellStyle name="Calculation 2 3 3 7 4" xfId="31971" xr:uid="{B9364730-1C22-4DDE-A4D7-0119BCE2AF54}"/>
    <cellStyle name="Calculation 2 3 3 8" xfId="24944" xr:uid="{B3D0A35F-CA86-46E1-BCD5-ADB6C1319D1A}"/>
    <cellStyle name="Calculation 2 3 3 8 2" xfId="27614" xr:uid="{FA258363-D587-4798-A2AB-BB5D12E45B2A}"/>
    <cellStyle name="Calculation 2 3 3 8 2 2" xfId="34458" xr:uid="{55AFC99E-E5AB-4ACD-8F4A-FEC67163EA3A}"/>
    <cellStyle name="Calculation 2 3 3 8 3" xfId="29694" xr:uid="{0BC86954-D81A-48D1-B2F6-8D8D085B83C4}"/>
    <cellStyle name="Calculation 2 3 3 8 3 2" xfId="36539" xr:uid="{3512027A-F32D-4FF7-A562-F9B0B783901F}"/>
    <cellStyle name="Calculation 2 3 3 8 4" xfId="31776" xr:uid="{5866454E-BB89-43EF-83B2-09692FAE99B7}"/>
    <cellStyle name="Calculation 2 3 3 9" xfId="24851" xr:uid="{EB24CBC7-CDA1-4367-9C08-F0237DDAC10C}"/>
    <cellStyle name="Calculation 2 3 3 9 2" xfId="27513" xr:uid="{610F9785-8CDD-434C-A2CA-96A6D21AB21C}"/>
    <cellStyle name="Calculation 2 3 3 9 2 2" xfId="34357" xr:uid="{07C6F217-E577-4C26-861F-A85AA2A2DB0D}"/>
    <cellStyle name="Calculation 2 3 3 9 3" xfId="29593" xr:uid="{0B75B804-567C-4579-9AB4-4FA712F7F3A7}"/>
    <cellStyle name="Calculation 2 3 3 9 3 2" xfId="36438" xr:uid="{FE6681F3-08F8-4672-8BA3-EE6B54E39CDA}"/>
    <cellStyle name="Calculation 2 3 3 9 4" xfId="31675" xr:uid="{8B958BC5-E8D0-4BE7-ADC8-114C1CB984EE}"/>
    <cellStyle name="Calculation 2 3 4" xfId="17588" xr:uid="{10F366BB-C041-4E23-B900-5828BD1A1BE9}"/>
    <cellStyle name="Calculation 2 3 4 10" xfId="25229" xr:uid="{D08E3C51-5F62-4095-ABDD-C0AE4C3FE2E4}"/>
    <cellStyle name="Calculation 2 3 4 10 2" xfId="27900" xr:uid="{51B7D78A-1001-42EE-86C1-07554381CF9C}"/>
    <cellStyle name="Calculation 2 3 4 10 2 2" xfId="34745" xr:uid="{E9DC8C9E-8592-4A56-9C17-EBBB921236E5}"/>
    <cellStyle name="Calculation 2 3 4 10 3" xfId="29981" xr:uid="{875FEB87-B5B8-48BC-94AB-9D25442996ED}"/>
    <cellStyle name="Calculation 2 3 4 10 3 2" xfId="36826" xr:uid="{6EAA4FB6-A2E0-470C-98A9-2A6BF15646AB}"/>
    <cellStyle name="Calculation 2 3 4 10 4" xfId="32063" xr:uid="{E3EABFA9-9613-4385-A450-ABDAC5ACD25E}"/>
    <cellStyle name="Calculation 2 3 4 11" xfId="23792" xr:uid="{7EE7046D-835D-4D14-8C87-ED56AAD4DB2D}"/>
    <cellStyle name="Calculation 2 3 4 11 2" xfId="26405" xr:uid="{89FF16A0-2760-48F6-99A3-0F95CA085F6B}"/>
    <cellStyle name="Calculation 2 3 4 11 2 2" xfId="33245" xr:uid="{608AECB8-9220-40A7-B9EB-7CAFBFA0923E}"/>
    <cellStyle name="Calculation 2 3 4 11 3" xfId="26277" xr:uid="{0C7B86A8-274B-4E0F-8DD3-C2DE1059283A}"/>
    <cellStyle name="Calculation 2 3 4 11 3 2" xfId="33105" xr:uid="{24128942-7EF6-452A-B8F4-562F5F11CABD}"/>
    <cellStyle name="Calculation 2 3 4 11 4" xfId="23399" xr:uid="{BA263B5C-7C75-4CE6-B95B-1526E4AB6DBF}"/>
    <cellStyle name="Calculation 2 3 4 12" xfId="24448" xr:uid="{C45592B6-571B-4871-AF1D-E94823FEE37C}"/>
    <cellStyle name="Calculation 2 3 4 12 2" xfId="27063" xr:uid="{13B9F6B4-70F2-43BF-8861-585F301B423D}"/>
    <cellStyle name="Calculation 2 3 4 12 2 2" xfId="33903" xr:uid="{FE9037EE-7DC4-4FBD-9260-48A807FAEE2F}"/>
    <cellStyle name="Calculation 2 3 4 12 3" xfId="29139" xr:uid="{2ED283C3-5C4B-4CEA-BF6E-F7B612035A79}"/>
    <cellStyle name="Calculation 2 3 4 12 3 2" xfId="35984" xr:uid="{9D3A5FF8-820C-4B8C-B979-C4F860F21DFA}"/>
    <cellStyle name="Calculation 2 3 4 12 4" xfId="31221" xr:uid="{82B82739-50EE-46A6-839D-CEA5E6766D55}"/>
    <cellStyle name="Calculation 2 3 4 13" xfId="25243" xr:uid="{44A38A36-60B4-4447-92A6-37053455D5A8}"/>
    <cellStyle name="Calculation 2 3 4 13 2" xfId="27914" xr:uid="{FA6038D6-F7E4-4F00-86C0-FB3BF98DB809}"/>
    <cellStyle name="Calculation 2 3 4 13 2 2" xfId="34759" xr:uid="{ED44E7F0-ACAF-4913-BC64-32F4598BA636}"/>
    <cellStyle name="Calculation 2 3 4 13 3" xfId="29995" xr:uid="{AFF0D85E-9C08-4A53-865D-7379AC8A2BDE}"/>
    <cellStyle name="Calculation 2 3 4 13 3 2" xfId="36840" xr:uid="{67D027A5-60F6-4ED9-AEF2-58A1F7285C98}"/>
    <cellStyle name="Calculation 2 3 4 13 4" xfId="32077" xr:uid="{B407489B-1719-4D81-8DC3-0CCA56FA70CB}"/>
    <cellStyle name="Calculation 2 3 4 14" xfId="25893" xr:uid="{CF3960A6-E2B8-497A-9DD8-64790228E6C4}"/>
    <cellStyle name="Calculation 2 3 4 14 2" xfId="28559" xr:uid="{8E3180B0-CB94-4E0A-B762-77EBAD645BE9}"/>
    <cellStyle name="Calculation 2 3 4 14 2 2" xfId="35404" xr:uid="{EDBDD7D0-F65B-47D3-9172-8A66BB9D5410}"/>
    <cellStyle name="Calculation 2 3 4 14 3" xfId="30640" xr:uid="{7A3050BE-DAFA-468F-BD3A-F4F9DE5CD902}"/>
    <cellStyle name="Calculation 2 3 4 14 3 2" xfId="37485" xr:uid="{43CEF36A-9FB2-4E3F-B1B9-00E89D6F194C}"/>
    <cellStyle name="Calculation 2 3 4 14 4" xfId="32722" xr:uid="{44393F9D-3F1B-40C7-A69C-534AD67B3EE0}"/>
    <cellStyle name="Calculation 2 3 4 15" xfId="25346" xr:uid="{F6A7F02B-E93F-4E87-91AB-8B2CDE07651E}"/>
    <cellStyle name="Calculation 2 3 4 15 2" xfId="28013" xr:uid="{EE9932DC-406D-4A33-8A6C-C05D65F147A4}"/>
    <cellStyle name="Calculation 2 3 4 15 2 2" xfId="34858" xr:uid="{F5DEE40A-22AA-4EFC-BAA2-9132357AC616}"/>
    <cellStyle name="Calculation 2 3 4 15 3" xfId="30094" xr:uid="{4CD27C8B-7FE8-4375-8358-2B48C2AAA0DE}"/>
    <cellStyle name="Calculation 2 3 4 15 3 2" xfId="36939" xr:uid="{3BF39964-CD55-461E-8D05-DDA0163EEC4F}"/>
    <cellStyle name="Calculation 2 3 4 15 4" xfId="32176" xr:uid="{B75E16CB-9925-46D6-8126-34DEDB6A57D7}"/>
    <cellStyle name="Calculation 2 3 4 16" xfId="23620" xr:uid="{0863C1DA-94E4-4325-A4F3-6AD7BE541554}"/>
    <cellStyle name="Calculation 2 3 4 2" xfId="18358" xr:uid="{29C47388-93C1-49F3-9D50-F7D5E7FB9D93}"/>
    <cellStyle name="Calculation 2 3 4 2 10" xfId="20459" xr:uid="{279A8220-8717-49D0-8854-E85CCA9E7EA9}"/>
    <cellStyle name="Calculation 2 3 4 2 11" xfId="20241" xr:uid="{764C956C-6C4A-4FDB-8B48-366446458BE8}"/>
    <cellStyle name="Calculation 2 3 4 2 12" xfId="22445" xr:uid="{2B0426C4-1CC4-45A9-B9F4-D94BFA8B9EA5}"/>
    <cellStyle name="Calculation 2 3 4 2 13" xfId="20103" xr:uid="{6DFDFE0A-9BAA-47CA-8818-1793EE4FF42D}"/>
    <cellStyle name="Calculation 2 3 4 2 14" xfId="22219" xr:uid="{8C603312-0195-4523-A819-DA4639464C3A}"/>
    <cellStyle name="Calculation 2 3 4 2 15" xfId="22774" xr:uid="{242A8502-127B-4858-89A1-E08A4EEB1889}"/>
    <cellStyle name="Calculation 2 3 4 2 16" xfId="31340" xr:uid="{0DE7A40F-EC8A-49F8-847C-40EC61B1EE5D}"/>
    <cellStyle name="Calculation 2 3 4 2 2" xfId="19998" xr:uid="{D0E51B6B-7DC6-4449-9228-4EA162E9E75C}"/>
    <cellStyle name="Calculation 2 3 4 2 2 2" xfId="27181" xr:uid="{10F996C1-9796-4926-AC5F-027756BA4AF0}"/>
    <cellStyle name="Calculation 2 3 4 2 2 3" xfId="34022" xr:uid="{6EBF572F-37C5-470B-9338-F9EE385C5345}"/>
    <cellStyle name="Calculation 2 3 4 2 3" xfId="21651" xr:uid="{4E7EACAD-8DCB-441C-9B33-EF765191C879}"/>
    <cellStyle name="Calculation 2 3 4 2 3 2" xfId="29258" xr:uid="{1E88E1DC-1022-4D7D-8DC9-94CEC3D41F56}"/>
    <cellStyle name="Calculation 2 3 4 2 3 3" xfId="36103" xr:uid="{973A34ED-A41B-461C-8931-452857B40503}"/>
    <cellStyle name="Calculation 2 3 4 2 4" xfId="18893" xr:uid="{AC5FF4AC-3088-494D-80D8-87420D9809E4}"/>
    <cellStyle name="Calculation 2 3 4 2 5" xfId="21703" xr:uid="{F6CFDDCF-1944-4CDC-8956-A5DCFE4DE27E}"/>
    <cellStyle name="Calculation 2 3 4 2 6" xfId="20976" xr:uid="{4E3A61B4-5E1B-49A9-972E-EEA02CB407B7}"/>
    <cellStyle name="Calculation 2 3 4 2 7" xfId="19008" xr:uid="{B61CF79E-8CDB-4453-89F3-8057FC8E5C60}"/>
    <cellStyle name="Calculation 2 3 4 2 8" xfId="22127" xr:uid="{1E910144-8A42-4332-8FEE-11C7D5CFBC76}"/>
    <cellStyle name="Calculation 2 3 4 2 9" xfId="19824" xr:uid="{0AAA5F97-72BD-41E2-B611-A62CB821A90D}"/>
    <cellStyle name="Calculation 2 3 4 3" xfId="23805" xr:uid="{67F70A1B-DF99-40E9-97FE-8461CCB02728}"/>
    <cellStyle name="Calculation 2 3 4 3 2" xfId="26420" xr:uid="{B5E9C72B-747D-4A95-92BF-8602EEC1FCD6}"/>
    <cellStyle name="Calculation 2 3 4 3 2 2" xfId="33260" xr:uid="{EDCAB1A6-7B48-415A-B580-DC1996E1FFB1}"/>
    <cellStyle name="Calculation 2 3 4 3 3" xfId="26262" xr:uid="{D9B8A451-3B8A-48FD-87A7-CEC793CDEB25}"/>
    <cellStyle name="Calculation 2 3 4 3 3 2" xfId="33090" xr:uid="{B16BEBF3-694A-4E10-8A80-FD21DC6C168D}"/>
    <cellStyle name="Calculation 2 3 4 3 4" xfId="23384" xr:uid="{DC037560-3F05-498C-88A2-7F0CB4A4C07C}"/>
    <cellStyle name="Calculation 2 3 4 4" xfId="24433" xr:uid="{50ACC71F-4B48-4094-B62B-81475B21C013}"/>
    <cellStyle name="Calculation 2 3 4 4 2" xfId="27053" xr:uid="{D92F1A65-4BD8-4943-A45A-32FD91434982}"/>
    <cellStyle name="Calculation 2 3 4 4 2 2" xfId="33893" xr:uid="{3B58137B-1766-45A5-87C4-46B5309BCAC1}"/>
    <cellStyle name="Calculation 2 3 4 4 3" xfId="29129" xr:uid="{87F75E25-583C-450C-9835-017450C7880F}"/>
    <cellStyle name="Calculation 2 3 4 4 3 2" xfId="35974" xr:uid="{5AB08CCF-B719-4FF4-9905-2C8B154FAB87}"/>
    <cellStyle name="Calculation 2 3 4 4 4" xfId="31211" xr:uid="{DEA75D24-A90E-4604-BC30-64142F808E55}"/>
    <cellStyle name="Calculation 2 3 4 5" xfId="23872" xr:uid="{E9EE2691-75B5-49DE-9C16-D8895160E9FA}"/>
    <cellStyle name="Calculation 2 3 4 5 2" xfId="26491" xr:uid="{51598236-233F-427E-8C80-D30F23439585}"/>
    <cellStyle name="Calculation 2 3 4 5 2 2" xfId="33331" xr:uid="{4A30C915-F8AC-4E38-B94D-6F45567F611A}"/>
    <cellStyle name="Calculation 2 3 4 5 3" xfId="26193" xr:uid="{4774A177-DE1F-44BB-BA30-D579D0D12474}"/>
    <cellStyle name="Calculation 2 3 4 5 3 2" xfId="33021" xr:uid="{C0048347-44A5-4CF1-AF16-AF966182E7A2}"/>
    <cellStyle name="Calculation 2 3 4 5 4" xfId="23315" xr:uid="{BACF5284-E0CA-4828-B70D-A93C90C4CB1A}"/>
    <cellStyle name="Calculation 2 3 4 6" xfId="25339" xr:uid="{A1B0D7A5-6F9D-41E2-AC5C-4BD2BBECB27D}"/>
    <cellStyle name="Calculation 2 3 4 6 2" xfId="28007" xr:uid="{313A399A-DD21-42B9-996C-89316395F148}"/>
    <cellStyle name="Calculation 2 3 4 6 2 2" xfId="34852" xr:uid="{3B8D47A2-2D49-4E26-89F1-AA8D2B6A9C2C}"/>
    <cellStyle name="Calculation 2 3 4 6 3" xfId="30088" xr:uid="{2D9C5E5A-1381-47DC-9B8E-052A65AFBD05}"/>
    <cellStyle name="Calculation 2 3 4 6 3 2" xfId="36933" xr:uid="{B17C56B1-C17B-42BE-A22D-9BBFB5FE9907}"/>
    <cellStyle name="Calculation 2 3 4 6 4" xfId="32170" xr:uid="{23E16A96-4D6A-41AA-9150-FC68BFE9FD27}"/>
    <cellStyle name="Calculation 2 3 4 7" xfId="24199" xr:uid="{98F89995-48D7-4DE3-A8C3-F09EB026E2DB}"/>
    <cellStyle name="Calculation 2 3 4 7 2" xfId="26809" xr:uid="{C6220C6D-3445-4F52-BAF9-D8997DC63359}"/>
    <cellStyle name="Calculation 2 3 4 7 2 2" xfId="33649" xr:uid="{D871ECC7-1E80-46E2-9336-D8D0E2622947}"/>
    <cellStyle name="Calculation 2 3 4 7 3" xfId="28885" xr:uid="{FE18E60D-01F7-4ED5-8A5A-4355D63ED4C3}"/>
    <cellStyle name="Calculation 2 3 4 7 3 2" xfId="35730" xr:uid="{950D03B2-0F12-463A-B7FB-BEB0E2E02C99}"/>
    <cellStyle name="Calculation 2 3 4 7 4" xfId="30967" xr:uid="{66F248A8-6DCC-4AB9-A106-599C2AD9BFC1}"/>
    <cellStyle name="Calculation 2 3 4 8" xfId="23938" xr:uid="{B7D87E1B-0629-4FD0-9792-0A894067DF6C}"/>
    <cellStyle name="Calculation 2 3 4 8 2" xfId="26556" xr:uid="{25FA9C4A-89D7-41E1-AEAE-7A8DCD87580E}"/>
    <cellStyle name="Calculation 2 3 4 8 2 2" xfId="33396" xr:uid="{41FBF16D-CC10-4EB2-8589-16C88303469E}"/>
    <cellStyle name="Calculation 2 3 4 8 3" xfId="26129" xr:uid="{5C15942B-19F2-49D8-9A94-BB4D1E9072C2}"/>
    <cellStyle name="Calculation 2 3 4 8 3 2" xfId="32957" xr:uid="{B1623A97-8407-4CD3-B118-8AA79E2E92B8}"/>
    <cellStyle name="Calculation 2 3 4 8 4" xfId="23251" xr:uid="{8BDE42E1-88AE-49C3-AE42-AFBA051F982E}"/>
    <cellStyle name="Calculation 2 3 4 9" xfId="25569" xr:uid="{B6E6FA19-9D9D-4A96-BB33-4E503A139625}"/>
    <cellStyle name="Calculation 2 3 4 9 2" xfId="28236" xr:uid="{92D2986B-7B70-4CFC-972A-12D0AEC1AA00}"/>
    <cellStyle name="Calculation 2 3 4 9 2 2" xfId="35081" xr:uid="{47FE4091-4669-4045-9B97-A1C3D7A86C03}"/>
    <cellStyle name="Calculation 2 3 4 9 3" xfId="30317" xr:uid="{B50BD991-4AB9-49DD-8A86-090B9BE00183}"/>
    <cellStyle name="Calculation 2 3 4 9 3 2" xfId="37162" xr:uid="{256A8AF6-156E-42D3-8343-682E965B6BC7}"/>
    <cellStyle name="Calculation 2 3 4 9 4" xfId="32399" xr:uid="{500C91DA-1383-446B-A7ED-28A874435BA4}"/>
    <cellStyle name="Calculation 2 3 5" xfId="17380" xr:uid="{FD234F18-1656-44EA-8D4A-5DCE9AE2C4EC}"/>
    <cellStyle name="Calculation 2 3 5 2" xfId="26334" xr:uid="{9653E57E-18E9-4249-A1BB-58CBA189E063}"/>
    <cellStyle name="Calculation 2 3 5 2 2" xfId="33165" xr:uid="{6FCC1FD0-68E4-48D1-AFC0-7A2B05616DAB}"/>
    <cellStyle name="Calculation 2 3 5 3" xfId="26039" xr:uid="{0EC09D11-56E9-4B94-9052-64D10F454A3B}"/>
    <cellStyle name="Calculation 2 3 5 3 2" xfId="32868" xr:uid="{FDB55FF5-DF8C-4DD4-9780-811BFFF31345}"/>
    <cellStyle name="Calculation 2 3 5 4" xfId="23463" xr:uid="{1D26106D-8AEF-4392-A164-DC95E69E83D8}"/>
    <cellStyle name="Calculation 2 3 5 5" xfId="23018" xr:uid="{0C332A35-E322-4B51-96DF-89AD8EA31FB6}"/>
    <cellStyle name="Calculation 2 3 6" xfId="24812" xr:uid="{A48A439F-9D62-4A42-B007-7430D2932A9A}"/>
    <cellStyle name="Calculation 2 3 6 2" xfId="27470" xr:uid="{6015AF53-4AA2-47ED-8F2E-2004AD5F190A}"/>
    <cellStyle name="Calculation 2 3 6 2 2" xfId="34314" xr:uid="{4E16CB18-B3EC-46CC-8693-1B3F6630FDAA}"/>
    <cellStyle name="Calculation 2 3 6 3" xfId="29550" xr:uid="{651C46DA-CD70-4FD8-9EE5-468526C1DE47}"/>
    <cellStyle name="Calculation 2 3 6 3 2" xfId="36395" xr:uid="{621C2E74-DAF0-4D32-9EF7-53A4F9C23936}"/>
    <cellStyle name="Calculation 2 3 6 4" xfId="31632" xr:uid="{34D3F781-5FED-48B6-857B-B67F90EAAF0B}"/>
    <cellStyle name="Calculation 2 3 7" xfId="24761" xr:uid="{E45A7246-93A7-4BD5-8F1B-C6FAC9D782DC}"/>
    <cellStyle name="Calculation 2 3 7 2" xfId="27414" xr:uid="{AF3894F5-6E77-4128-A0FE-C2079C1CD7AA}"/>
    <cellStyle name="Calculation 2 3 7 2 2" xfId="34258" xr:uid="{AEE38503-980C-41A3-934D-9B74C71EF5B4}"/>
    <cellStyle name="Calculation 2 3 7 3" xfId="29494" xr:uid="{F5C24E26-DC0C-446A-A194-93505DFA2A8C}"/>
    <cellStyle name="Calculation 2 3 7 3 2" xfId="36339" xr:uid="{354BFFDC-39C6-41D8-950C-4E6C566EFD8D}"/>
    <cellStyle name="Calculation 2 3 7 4" xfId="31576" xr:uid="{ADC486EB-F7DA-43B3-85CF-67F2EBF2969B}"/>
    <cellStyle name="Calculation 2 3 8" xfId="24832" xr:uid="{7D8577D7-2192-4184-ABCD-BC664360119D}"/>
    <cellStyle name="Calculation 2 3 8 2" xfId="27491" xr:uid="{1C59E05D-CE6A-44B2-B1DF-2046FA0140CE}"/>
    <cellStyle name="Calculation 2 3 8 2 2" xfId="34335" xr:uid="{90D5A0C1-2DFB-45BA-9920-EC56427FD7F8}"/>
    <cellStyle name="Calculation 2 3 8 3" xfId="29571" xr:uid="{89D6A1F6-D905-40C4-94AF-14B40CC5629A}"/>
    <cellStyle name="Calculation 2 3 8 3 2" xfId="36416" xr:uid="{1D5FF809-FED9-41CB-ACA8-11DCBE1D8291}"/>
    <cellStyle name="Calculation 2 3 8 4" xfId="31653" xr:uid="{1FCDA668-B767-4304-B3D2-7F8A298ACF8A}"/>
    <cellStyle name="Calculation 2 3 9" xfId="24751" xr:uid="{C7C1B9F7-290E-44D5-845D-33974C8C921F}"/>
    <cellStyle name="Calculation 2 3 9 2" xfId="27403" xr:uid="{A88FFD3F-D9E2-447E-BBAE-0CBDF8B67E04}"/>
    <cellStyle name="Calculation 2 3 9 2 2" xfId="34247" xr:uid="{3AB3374E-CD44-4536-AFEE-99D66F5570BC}"/>
    <cellStyle name="Calculation 2 3 9 3" xfId="29483" xr:uid="{2597BBC4-6795-461C-8948-F50925DD29B2}"/>
    <cellStyle name="Calculation 2 3 9 3 2" xfId="36328" xr:uid="{7C16E7C2-C64D-4750-B3C1-501CDEF4FE66}"/>
    <cellStyle name="Calculation 2 3 9 4" xfId="31565" xr:uid="{3A9C5B3F-3A34-4918-9093-99002E0ED698}"/>
    <cellStyle name="Calculation 2 4" xfId="797" xr:uid="{00000000-0005-0000-0000-000030030000}"/>
    <cellStyle name="Calculation 2 4 10" xfId="23909" xr:uid="{549A3442-770E-4E67-A00D-619D3D05C3D7}"/>
    <cellStyle name="Calculation 2 4 10 2" xfId="26527" xr:uid="{9B994A85-404D-4F6D-9E6A-3BC959EAA3BD}"/>
    <cellStyle name="Calculation 2 4 10 2 2" xfId="33367" xr:uid="{AEE16B0B-6D02-41FC-9572-5880AEFC8971}"/>
    <cellStyle name="Calculation 2 4 10 3" xfId="26157" xr:uid="{E0BC2D07-CB8F-4185-B46F-BE8D70710926}"/>
    <cellStyle name="Calculation 2 4 10 3 2" xfId="32985" xr:uid="{2B70F536-26FD-41E4-B544-3E30FB96178C}"/>
    <cellStyle name="Calculation 2 4 10 4" xfId="23158" xr:uid="{D5D6C374-72CC-4BC2-82C8-8AD60CC086C3}"/>
    <cellStyle name="Calculation 2 4 11" xfId="25246" xr:uid="{9E1BA84C-0B6D-4497-88EA-CF1067C8257F}"/>
    <cellStyle name="Calculation 2 4 11 2" xfId="27917" xr:uid="{157FD850-F265-43C3-BDB0-9A8943C29893}"/>
    <cellStyle name="Calculation 2 4 11 2 2" xfId="34762" xr:uid="{6EF286FD-1457-4263-9F4A-0ECA5CE39BD5}"/>
    <cellStyle name="Calculation 2 4 11 3" xfId="29998" xr:uid="{4188010C-73A4-47FC-B798-AE7CB033EDFF}"/>
    <cellStyle name="Calculation 2 4 11 3 2" xfId="36843" xr:uid="{A08ACBA0-7A28-4006-92BE-501734618D96}"/>
    <cellStyle name="Calculation 2 4 11 4" xfId="32080" xr:uid="{05BC4FF1-3D35-4572-8991-81C7B5279168}"/>
    <cellStyle name="Calculation 2 4 12" xfId="25531" xr:uid="{54A24552-2E1A-4575-A095-8CA389BC670B}"/>
    <cellStyle name="Calculation 2 4 12 2" xfId="28198" xr:uid="{29A41F54-61FC-44A7-9262-61F6F7D7B1E4}"/>
    <cellStyle name="Calculation 2 4 12 2 2" xfId="35043" xr:uid="{1823AF9E-9937-4567-A995-DEB1F034F202}"/>
    <cellStyle name="Calculation 2 4 12 3" xfId="30279" xr:uid="{AC64D0E0-0B6F-45A1-BB2C-A52A1D3B4374}"/>
    <cellStyle name="Calculation 2 4 12 3 2" xfId="37124" xr:uid="{993CA373-7B01-4C11-939A-5D9DA17D4278}"/>
    <cellStyle name="Calculation 2 4 12 4" xfId="32361" xr:uid="{5AFA4D80-C1B1-4FD9-A89C-99197424A738}"/>
    <cellStyle name="Calculation 2 4 13" xfId="25344" xr:uid="{A4386A58-867F-4E44-9B1F-3ACD0391FC65}"/>
    <cellStyle name="Calculation 2 4 13 2" xfId="28011" xr:uid="{7CA94C7F-C847-44DB-B730-81E102F8CDB0}"/>
    <cellStyle name="Calculation 2 4 13 2 2" xfId="34856" xr:uid="{AEE7A1FB-CF42-4CC4-932A-EEB2C9D35B2A}"/>
    <cellStyle name="Calculation 2 4 13 3" xfId="30092" xr:uid="{DB48CEDD-ECAC-4C7F-AEF1-7F37B4DE5C4E}"/>
    <cellStyle name="Calculation 2 4 13 3 2" xfId="36937" xr:uid="{4ED234DC-1C64-4066-8676-018F0A78BE78}"/>
    <cellStyle name="Calculation 2 4 13 4" xfId="32174" xr:uid="{21C1DB4F-A150-4DCF-8501-2EBD08BF6C2C}"/>
    <cellStyle name="Calculation 2 4 14" xfId="25592" xr:uid="{E0031841-AC89-4CA0-8F5A-B77BB63B0E0E}"/>
    <cellStyle name="Calculation 2 4 14 2" xfId="28259" xr:uid="{1CF98EEA-7AA4-40AE-A87C-3F662D95962D}"/>
    <cellStyle name="Calculation 2 4 14 2 2" xfId="35104" xr:uid="{CD5D03A7-1EC4-4564-B7C3-8B875E2C9984}"/>
    <cellStyle name="Calculation 2 4 14 3" xfId="30340" xr:uid="{F71FB1F0-ACD4-4490-83B7-B52162CCC256}"/>
    <cellStyle name="Calculation 2 4 14 3 2" xfId="37185" xr:uid="{6C1A0CAC-70C8-4100-8453-FECE127D2826}"/>
    <cellStyle name="Calculation 2 4 14 4" xfId="32422" xr:uid="{89D7FB4F-6209-43E8-AA26-5DB65CE388BB}"/>
    <cellStyle name="Calculation 2 4 15" xfId="25879" xr:uid="{DDAC62E2-BED5-45A2-9FDB-83E1EEB6AAD5}"/>
    <cellStyle name="Calculation 2 4 15 2" xfId="28545" xr:uid="{6BFFB2C0-9E43-44BC-AF9F-04C982EF525E}"/>
    <cellStyle name="Calculation 2 4 15 2 2" xfId="35390" xr:uid="{018D253B-567B-4E9C-A0C4-465A76F59FD6}"/>
    <cellStyle name="Calculation 2 4 15 3" xfId="30626" xr:uid="{9FFF4EAF-A521-4925-8F32-9B83D2034617}"/>
    <cellStyle name="Calculation 2 4 15 3 2" xfId="37471" xr:uid="{638C350A-5195-4264-BC01-F497CBFA2C0E}"/>
    <cellStyle name="Calculation 2 4 15 4" xfId="32708" xr:uid="{83A2EF12-3CFE-46C9-B4DF-349AAFE70B55}"/>
    <cellStyle name="Calculation 2 4 16" xfId="24027" xr:uid="{BB70CEEA-B35F-4B8A-B161-D9DC439DD3C9}"/>
    <cellStyle name="Calculation 2 4 16 2" xfId="26641" xr:uid="{2FD5EB53-1583-4588-AE41-FE1AF3B9EA65}"/>
    <cellStyle name="Calculation 2 4 16 2 2" xfId="33481" xr:uid="{E66FBD67-10EB-4E6F-8926-AF8E2486C142}"/>
    <cellStyle name="Calculation 2 4 16 3" xfId="28717" xr:uid="{FEA88324-94E1-4CE0-8F75-2AC4C06E52B8}"/>
    <cellStyle name="Calculation 2 4 16 3 2" xfId="35562" xr:uid="{4F41D3CE-1077-49A1-B4CD-57CB8D18D68D}"/>
    <cellStyle name="Calculation 2 4 16 4" xfId="30799" xr:uid="{03F01050-7D30-4734-B912-FCCA0F59CB33}"/>
    <cellStyle name="Calculation 2 4 17" xfId="25485" xr:uid="{D5192515-103F-41AB-99EE-44317287800C}"/>
    <cellStyle name="Calculation 2 4 17 2" xfId="28152" xr:uid="{B1D68EF3-D910-4B41-89CA-EAE2399BFB1A}"/>
    <cellStyle name="Calculation 2 4 17 2 2" xfId="34997" xr:uid="{5D26B227-D82F-4D6B-8D60-1B9947C54A5B}"/>
    <cellStyle name="Calculation 2 4 17 3" xfId="30233" xr:uid="{B56EA7C1-AFCF-444D-B7A6-C23AEE2C7FEE}"/>
    <cellStyle name="Calculation 2 4 17 3 2" xfId="37078" xr:uid="{2C4C7C7F-86E2-402B-AE58-779CF80B1CDC}"/>
    <cellStyle name="Calculation 2 4 17 4" xfId="32315" xr:uid="{C90B7E1C-E662-426D-9FCF-697A614F90A2}"/>
    <cellStyle name="Calculation 2 4 18" xfId="23142" xr:uid="{4F90E3D5-0D63-47FC-93B5-0481AC473695}"/>
    <cellStyle name="Calculation 2 4 19" xfId="14192" xr:uid="{1E7E7806-6B4B-4375-902C-54D3CD997C96}"/>
    <cellStyle name="Calculation 2 4 2" xfId="798" xr:uid="{00000000-0005-0000-0000-000031030000}"/>
    <cellStyle name="Calculation 2 4 2 10" xfId="24579" xr:uid="{6A13D5AA-437C-4E2D-B767-E3AF507FCDD3}"/>
    <cellStyle name="Calculation 2 4 2 10 2" xfId="27170" xr:uid="{90FA2D22-DD96-4C64-9737-0A6F3A8ADBFB}"/>
    <cellStyle name="Calculation 2 4 2 10 2 2" xfId="34011" xr:uid="{723F8E93-3104-4B38-935E-50DEBB0D9E5E}"/>
    <cellStyle name="Calculation 2 4 2 10 3" xfId="29247" xr:uid="{FC9AEBE2-2617-4436-81CB-EB32217BFEC1}"/>
    <cellStyle name="Calculation 2 4 2 10 3 2" xfId="36092" xr:uid="{3AD6DA39-71F1-4392-A852-200290E9BC5F}"/>
    <cellStyle name="Calculation 2 4 2 10 4" xfId="31329" xr:uid="{60BEE26E-1E0F-4551-8F25-3D8E5B8E22EB}"/>
    <cellStyle name="Calculation 2 4 2 11" xfId="25427" xr:uid="{F2F6BA23-54FC-4E38-B703-F53B93CEDF8F}"/>
    <cellStyle name="Calculation 2 4 2 11 2" xfId="28094" xr:uid="{629036A4-6FC9-4959-905A-201BBEC8B415}"/>
    <cellStyle name="Calculation 2 4 2 11 2 2" xfId="34939" xr:uid="{2E0D3890-5AFC-4C3A-82DA-F4F6F259F30C}"/>
    <cellStyle name="Calculation 2 4 2 11 3" xfId="30175" xr:uid="{5A47AC5F-5759-4226-A172-FB4299AC0AB2}"/>
    <cellStyle name="Calculation 2 4 2 11 3 2" xfId="37020" xr:uid="{3376D084-D2A6-424A-82A8-03276D4E7520}"/>
    <cellStyle name="Calculation 2 4 2 11 4" xfId="32257" xr:uid="{A6094885-8C7F-47AA-B548-8FDF7BAA86B6}"/>
    <cellStyle name="Calculation 2 4 2 12" xfId="25709" xr:uid="{BC9BB13A-B47D-4459-A2E5-249536FC4D51}"/>
    <cellStyle name="Calculation 2 4 2 12 2" xfId="28376" xr:uid="{1E015E93-2E24-4583-9095-8BD817BDD3A8}"/>
    <cellStyle name="Calculation 2 4 2 12 2 2" xfId="35221" xr:uid="{001DC82A-1ECE-4DB2-9AEF-9D4E35FB8AFA}"/>
    <cellStyle name="Calculation 2 4 2 12 3" xfId="30457" xr:uid="{C32567D2-6C74-4A7E-869D-4B2B646375B1}"/>
    <cellStyle name="Calculation 2 4 2 12 3 2" xfId="37302" xr:uid="{44B6F8B9-6165-42DF-A522-78B529936007}"/>
    <cellStyle name="Calculation 2 4 2 12 4" xfId="32539" xr:uid="{286CC0A9-9473-423D-BFFB-95E6DC91E93B}"/>
    <cellStyle name="Calculation 2 4 2 13" xfId="25889" xr:uid="{9C665375-F0A3-430C-B00B-3CE892EEE60E}"/>
    <cellStyle name="Calculation 2 4 2 13 2" xfId="28555" xr:uid="{3B55C262-4106-44B3-A395-C94816771186}"/>
    <cellStyle name="Calculation 2 4 2 13 2 2" xfId="35400" xr:uid="{C093F80C-A09C-47E9-99A7-E79E92F38175}"/>
    <cellStyle name="Calculation 2 4 2 13 3" xfId="30636" xr:uid="{B922F062-4B40-4981-821E-4F00EECE0605}"/>
    <cellStyle name="Calculation 2 4 2 13 3 2" xfId="37481" xr:uid="{C45B7640-3769-44E0-9E18-A2F25E325B80}"/>
    <cellStyle name="Calculation 2 4 2 13 4" xfId="32718" xr:uid="{47B0DC12-5A21-4671-B629-81504FE76A98}"/>
    <cellStyle name="Calculation 2 4 2 14" xfId="25479" xr:uid="{CBE39AA0-C5DB-42C8-AA0F-9BF5DD7B25DA}"/>
    <cellStyle name="Calculation 2 4 2 14 2" xfId="28146" xr:uid="{BB201AEC-FC49-4DC9-9F32-9E512C4F2F20}"/>
    <cellStyle name="Calculation 2 4 2 14 2 2" xfId="34991" xr:uid="{3B1F96FC-C051-463F-A6FA-032AD8730135}"/>
    <cellStyle name="Calculation 2 4 2 14 3" xfId="30227" xr:uid="{A5BDC807-33C2-42C7-863C-B1195D1AE368}"/>
    <cellStyle name="Calculation 2 4 2 14 3 2" xfId="37072" xr:uid="{27F9D5A6-2F86-44D2-9EB1-A42B1362C306}"/>
    <cellStyle name="Calculation 2 4 2 14 4" xfId="32309" xr:uid="{F39FF7ED-8778-4B80-8C75-05357E91A48F}"/>
    <cellStyle name="Calculation 2 4 2 15" xfId="25911" xr:uid="{5CCBCC36-7233-4BF5-9556-634BB3C4499C}"/>
    <cellStyle name="Calculation 2 4 2 15 2" xfId="28577" xr:uid="{A15428AB-C065-4B20-BE4B-20BFD43A5BF0}"/>
    <cellStyle name="Calculation 2 4 2 15 2 2" xfId="35422" xr:uid="{4B601B83-D444-4A32-BDA8-FA8C72F502CB}"/>
    <cellStyle name="Calculation 2 4 2 15 3" xfId="30658" xr:uid="{272F3401-3C5A-4FFA-A86A-534DC50F4C02}"/>
    <cellStyle name="Calculation 2 4 2 15 3 2" xfId="37503" xr:uid="{FA2A6430-AE2B-4661-B492-8120D312076F}"/>
    <cellStyle name="Calculation 2 4 2 15 4" xfId="32740" xr:uid="{FF70821D-3ED9-4B2A-BFF2-303BEDB41CCA}"/>
    <cellStyle name="Calculation 2 4 2 16" xfId="23078" xr:uid="{105C80BC-CE33-4D46-9F8C-2177F3A86922}"/>
    <cellStyle name="Calculation 2 4 2 2" xfId="18543" xr:uid="{DD030D1A-3D80-4834-9F70-DEE7C81B1CC7}"/>
    <cellStyle name="Calculation 2 4 2 2 10" xfId="22143" xr:uid="{D07A6407-80F3-4BEB-91DB-7E6869F75D1B}"/>
    <cellStyle name="Calculation 2 4 2 2 11" xfId="20736" xr:uid="{CF0F5F43-8A43-468D-8A66-3A84B0E92239}"/>
    <cellStyle name="Calculation 2 4 2 2 12" xfId="19360" xr:uid="{953E5252-353C-43F9-892C-F95B59278557}"/>
    <cellStyle name="Calculation 2 4 2 2 13" xfId="22690" xr:uid="{3DC3F754-EB5F-4BC0-B125-4FE36F1AF3F1}"/>
    <cellStyle name="Calculation 2 4 2 2 14" xfId="21852" xr:uid="{DDE27C0E-4AB7-405D-BED6-5B3B171BA835}"/>
    <cellStyle name="Calculation 2 4 2 2 15" xfId="22129" xr:uid="{10D1C6CC-F347-4E3A-9769-2753156FBF3E}"/>
    <cellStyle name="Calculation 2 4 2 2 16" xfId="31426" xr:uid="{B1F349F9-1E2D-4A06-9374-12F633261C0C}"/>
    <cellStyle name="Calculation 2 4 2 2 2" xfId="19881" xr:uid="{F97D00AC-AFC9-4FBE-AE03-3ED879BC60FF}"/>
    <cellStyle name="Calculation 2 4 2 2 2 2" xfId="27264" xr:uid="{B56E8213-6A36-4618-8093-2D88F1C30EC6}"/>
    <cellStyle name="Calculation 2 4 2 2 2 3" xfId="34108" xr:uid="{D6ACCB77-8BE4-42FF-9F86-A8E05150660B}"/>
    <cellStyle name="Calculation 2 4 2 2 3" xfId="21048" xr:uid="{DED77FD9-B185-4686-8E60-8B102F89CDA6}"/>
    <cellStyle name="Calculation 2 4 2 2 3 2" xfId="29344" xr:uid="{FB0A88FD-6CA2-4AA9-80DE-0AD5470CDAE8}"/>
    <cellStyle name="Calculation 2 4 2 2 3 3" xfId="36189" xr:uid="{B0FFA0A4-4F80-4580-87E6-56764E10A030}"/>
    <cellStyle name="Calculation 2 4 2 2 4" xfId="19271" xr:uid="{7D2AF669-542F-486C-A7BA-B1A7F2A31895}"/>
    <cellStyle name="Calculation 2 4 2 2 5" xfId="20107" xr:uid="{7DDA9BAB-B184-42CF-9350-4E39219A34E4}"/>
    <cellStyle name="Calculation 2 4 2 2 6" xfId="20309" xr:uid="{F3BE054B-A780-4758-BEB5-2F2776F2B73C}"/>
    <cellStyle name="Calculation 2 4 2 2 7" xfId="22308" xr:uid="{13459D05-FC19-414A-A59A-FA11074E71CF}"/>
    <cellStyle name="Calculation 2 4 2 2 8" xfId="19018" xr:uid="{FA4B37A1-336B-4AB1-989C-904DA051BA72}"/>
    <cellStyle name="Calculation 2 4 2 2 9" xfId="20885" xr:uid="{862D7A3D-AA8D-4A4F-840C-17DFEFDF08EE}"/>
    <cellStyle name="Calculation 2 4 2 3" xfId="17906" xr:uid="{A8ABB457-9FEE-4D26-8F04-0F01750DB7E6}"/>
    <cellStyle name="Calculation 2 4 2 3 2" xfId="26451" xr:uid="{E5977FC2-7753-42A6-959A-AE86DA9C4CAD}"/>
    <cellStyle name="Calculation 2 4 2 3 2 2" xfId="33291" xr:uid="{4FCD7261-02CE-46C5-857E-46B659565493}"/>
    <cellStyle name="Calculation 2 4 2 3 3" xfId="26232" xr:uid="{8AB61411-7D8F-441B-A41E-8192B7772FAB}"/>
    <cellStyle name="Calculation 2 4 2 3 3 2" xfId="33060" xr:uid="{EDB6486D-C530-4645-A958-1732C04AD731}"/>
    <cellStyle name="Calculation 2 4 2 3 4" xfId="23832" xr:uid="{7D8CD5D7-71FB-4D8B-8D30-726B36D6730A}"/>
    <cellStyle name="Calculation 2 4 2 3 5" xfId="23354" xr:uid="{42B91F00-240D-4EA9-8611-FEC4B587DC61}"/>
    <cellStyle name="Calculation 2 4 2 4" xfId="17672" xr:uid="{3024934A-AD85-4296-B4EC-FC4D6256DD34}"/>
    <cellStyle name="Calculation 2 4 2 4 2" xfId="27077" xr:uid="{93825CC5-19B9-46F4-A42F-806AE0F9478E}"/>
    <cellStyle name="Calculation 2 4 2 4 2 2" xfId="33917" xr:uid="{DD933208-0997-4C25-8277-B8DFB2EBFDC9}"/>
    <cellStyle name="Calculation 2 4 2 4 3" xfId="29153" xr:uid="{A93CDD9B-57FF-4BF5-B769-87822878661D}"/>
    <cellStyle name="Calculation 2 4 2 4 3 2" xfId="35998" xr:uid="{92BD52B8-60D7-4B61-A9A6-A0F740E1D39F}"/>
    <cellStyle name="Calculation 2 4 2 4 4" xfId="24461" xr:uid="{07FF9C6A-B6EE-46FA-B86E-AAA8875C8D41}"/>
    <cellStyle name="Calculation 2 4 2 4 5" xfId="31235" xr:uid="{C1614B86-51CF-4E3F-9E8F-069AF9C22081}"/>
    <cellStyle name="Calculation 2 4 2 5" xfId="24211" xr:uid="{498280D2-AA94-4F26-A9DA-C0B717A7684E}"/>
    <cellStyle name="Calculation 2 4 2 5 2" xfId="26821" xr:uid="{28FCBA9E-67D7-4B6A-96FA-2CAE5A6EF127}"/>
    <cellStyle name="Calculation 2 4 2 5 2 2" xfId="33661" xr:uid="{A2CEE2D9-B8F6-4EB4-8DA2-C9C214AD7C12}"/>
    <cellStyle name="Calculation 2 4 2 5 3" xfId="28897" xr:uid="{4BF03FB4-5D5B-4E05-ACF6-4C852091F94F}"/>
    <cellStyle name="Calculation 2 4 2 5 3 2" xfId="35742" xr:uid="{25533EC3-EAB4-4C47-BE9D-8204B42E40F1}"/>
    <cellStyle name="Calculation 2 4 2 5 4" xfId="30979" xr:uid="{4306799B-B1CE-4C9C-ABE4-DE3E6A4FC772}"/>
    <cellStyle name="Calculation 2 4 2 6" xfId="24280" xr:uid="{1BA7F7B3-4C34-4D07-AB7C-D97CC02F858A}"/>
    <cellStyle name="Calculation 2 4 2 6 2" xfId="26887" xr:uid="{68BF9AF3-45CF-48ED-AF94-059DFB032C8A}"/>
    <cellStyle name="Calculation 2 4 2 6 2 2" xfId="33727" xr:uid="{50B8DFE5-8CC5-46FB-92AC-AE31C939C280}"/>
    <cellStyle name="Calculation 2 4 2 6 3" xfId="28963" xr:uid="{ED086B56-740A-43EE-8CD9-B60F868EC0B6}"/>
    <cellStyle name="Calculation 2 4 2 6 3 2" xfId="35808" xr:uid="{2B08413D-E998-4D32-A68D-5E7CBC530EBA}"/>
    <cellStyle name="Calculation 2 4 2 6 4" xfId="31045" xr:uid="{28AEA650-10EB-4818-82A0-A035A78EF53E}"/>
    <cellStyle name="Calculation 2 4 2 7" xfId="24145" xr:uid="{73E34CB9-D969-4903-9663-81A7B6977AA1}"/>
    <cellStyle name="Calculation 2 4 2 7 2" xfId="26757" xr:uid="{C8EC8D82-47A6-4817-BDED-D7CC782F8C98}"/>
    <cellStyle name="Calculation 2 4 2 7 2 2" xfId="33597" xr:uid="{9601299F-0D10-4013-A4CC-4CAC72A8C56B}"/>
    <cellStyle name="Calculation 2 4 2 7 3" xfId="28833" xr:uid="{38E194F3-EC6F-457A-955A-F54A2A86C83E}"/>
    <cellStyle name="Calculation 2 4 2 7 3 2" xfId="35678" xr:uid="{9D6F2D93-694C-4259-808C-EE9F9E4C0CE9}"/>
    <cellStyle name="Calculation 2 4 2 7 4" xfId="30915" xr:uid="{ED76D023-BD92-4FF0-8698-D956C2DE75EB}"/>
    <cellStyle name="Calculation 2 4 2 8" xfId="25006" xr:uid="{D6C59640-065F-4603-92B5-666C4DEED5D2}"/>
    <cellStyle name="Calculation 2 4 2 8 2" xfId="27678" xr:uid="{C3F3F753-C417-4A42-B03E-73BA7E923145}"/>
    <cellStyle name="Calculation 2 4 2 8 2 2" xfId="34523" xr:uid="{27A32A3D-9A78-4A6E-A23C-6853AB99305F}"/>
    <cellStyle name="Calculation 2 4 2 8 3" xfId="29759" xr:uid="{0248DB81-843B-4313-8CD7-FB9B209A1DF1}"/>
    <cellStyle name="Calculation 2 4 2 8 3 2" xfId="36604" xr:uid="{8C61C61C-7763-436F-9433-585EF7983D0D}"/>
    <cellStyle name="Calculation 2 4 2 8 4" xfId="31841" xr:uid="{9E19D9DD-D6E0-49FC-9AA8-6692F446AEFB}"/>
    <cellStyle name="Calculation 2 4 2 9" xfId="25489" xr:uid="{D0695C00-5924-4B16-BC07-7889480FF181}"/>
    <cellStyle name="Calculation 2 4 2 9 2" xfId="28156" xr:uid="{F6F6DDA9-DC12-4FA4-9C1E-000C157CBC31}"/>
    <cellStyle name="Calculation 2 4 2 9 2 2" xfId="35001" xr:uid="{02CF07D1-95D8-4F9B-9348-6EBF3FF382D4}"/>
    <cellStyle name="Calculation 2 4 2 9 3" xfId="30237" xr:uid="{51DF9EBF-841B-4038-90B0-7034D9F4014C}"/>
    <cellStyle name="Calculation 2 4 2 9 3 2" xfId="37082" xr:uid="{7665FB2F-AB7D-43C6-9B2D-4F523B421222}"/>
    <cellStyle name="Calculation 2 4 2 9 4" xfId="32319" xr:uid="{8E955DE4-7E64-41BB-9E78-7038227DA80F}"/>
    <cellStyle name="Calculation 2 4 20" xfId="15546" xr:uid="{F8308A8A-24B8-4070-B271-26558F76586F}"/>
    <cellStyle name="Calculation 2 4 21" xfId="40268" xr:uid="{AB0B7DAA-050B-4180-856B-04EDFB61BB8C}"/>
    <cellStyle name="Calculation 2 4 22" xfId="40897" xr:uid="{78FFBAE9-47B6-41FD-9E70-DBDCCC557860}"/>
    <cellStyle name="Calculation 2 4 23" xfId="46868" xr:uid="{2499CE2C-C1F0-4EF1-BB06-B7EC8D3E80E0}"/>
    <cellStyle name="Calculation 2 4 24" xfId="49143" xr:uid="{60C170AE-9F3F-41FB-9379-586B222BD020}"/>
    <cellStyle name="Calculation 2 4 3" xfId="799" xr:uid="{00000000-0005-0000-0000-000032030000}"/>
    <cellStyle name="Calculation 2 4 3 10" xfId="14986" xr:uid="{77262568-6CBC-49B6-BA03-5AF69F9983E0}"/>
    <cellStyle name="Calculation 2 4 3 2" xfId="18361" xr:uid="{6BE51E31-4428-402D-900E-EB9877E643E3}"/>
    <cellStyle name="Calculation 2 4 3 2 10" xfId="20989" xr:uid="{4FDD18DB-B319-4A5B-B4F1-F0C6E7B1B44C}"/>
    <cellStyle name="Calculation 2 4 3 2 11" xfId="21211" xr:uid="{28828FFC-1390-4104-B7BF-164F97A63791}"/>
    <cellStyle name="Calculation 2 4 3 2 12" xfId="22152" xr:uid="{443D5818-869D-445E-AA36-5F816DE944AB}"/>
    <cellStyle name="Calculation 2 4 3 2 13" xfId="20879" xr:uid="{FDB1CCC9-6B54-4E8F-9ABC-04224197A442}"/>
    <cellStyle name="Calculation 2 4 3 2 14" xfId="21948" xr:uid="{DB49A3F9-59C1-49C4-929B-53DD503E0F67}"/>
    <cellStyle name="Calculation 2 4 3 2 15" xfId="21808" xr:uid="{8880FC56-093E-494D-A49D-E258A9C00970}"/>
    <cellStyle name="Calculation 2 4 3 2 2" xfId="19995" xr:uid="{581C505D-DDF4-411F-8DBE-DD9A3DC81A33}"/>
    <cellStyle name="Calculation 2 4 3 2 3" xfId="21336" xr:uid="{069ABAB4-EEB8-4CA6-94DE-2ED9837BDC79}"/>
    <cellStyle name="Calculation 2 4 3 2 4" xfId="19628" xr:uid="{4E89B911-6E93-4EFC-B69C-10B9B0142DEC}"/>
    <cellStyle name="Calculation 2 4 3 2 5" xfId="20184" xr:uid="{AFE1F524-61EE-4287-8B7C-409DBB020D65}"/>
    <cellStyle name="Calculation 2 4 3 2 6" xfId="19950" xr:uid="{AE2AC0BF-E954-40AB-89B8-75027B312CD3}"/>
    <cellStyle name="Calculation 2 4 3 2 7" xfId="22073" xr:uid="{7D64DB4F-4D04-4146-B1E3-EB0B17368B76}"/>
    <cellStyle name="Calculation 2 4 3 2 8" xfId="20238" xr:uid="{F8EE9D96-CFBF-4DFA-A29E-C46F2881FDC5}"/>
    <cellStyle name="Calculation 2 4 3 2 9" xfId="19451" xr:uid="{3CD25265-D535-41B8-AB8B-3C5CFBCAEBA4}"/>
    <cellStyle name="Calculation 2 4 3 3" xfId="17907" xr:uid="{952E037E-EC12-4F84-BAFB-758BA7EC7D99}"/>
    <cellStyle name="Calculation 2 4 3 4" xfId="23464" xr:uid="{7ABA336E-1373-4425-94DE-438D30AC2599}"/>
    <cellStyle name="Calculation 2 4 3 5" xfId="14193" xr:uid="{21F0D59D-9BD9-4889-A5DF-0EB310076B72}"/>
    <cellStyle name="Calculation 2 4 3 6" xfId="15544" xr:uid="{4832BB92-F1FD-4EF1-B49B-701633B35317}"/>
    <cellStyle name="Calculation 2 4 3 7" xfId="47736" xr:uid="{B73A9E33-62FD-4057-9973-E704D3ECC47F}"/>
    <cellStyle name="Calculation 2 4 3 8" xfId="14953" xr:uid="{4FA78CF0-C105-4751-A5FA-DA09186CC0D2}"/>
    <cellStyle name="Calculation 2 4 3 9" xfId="15442" xr:uid="{F0A6B9A3-040F-40C6-85AA-53C8E07ED8E3}"/>
    <cellStyle name="Calculation 2 4 4" xfId="18360" xr:uid="{711D005F-009A-4223-A3A4-984085B5F70D}"/>
    <cellStyle name="Calculation 2 4 4 10" xfId="20335" xr:uid="{045D6104-E6BC-4623-9287-93AF15EE318F}"/>
    <cellStyle name="Calculation 2 4 4 11" xfId="22648" xr:uid="{0138340F-1C67-456F-9FD9-101EAEB2892A}"/>
    <cellStyle name="Calculation 2 4 4 12" xfId="21196" xr:uid="{BEFCE0DC-9BCD-446B-BED9-87465D43A23B}"/>
    <cellStyle name="Calculation 2 4 4 13" xfId="18981" xr:uid="{B29A5AEA-ED5F-4FD2-81E1-B196E34BB262}"/>
    <cellStyle name="Calculation 2 4 4 14" xfId="20640" xr:uid="{E767F002-F939-4FC7-99EA-AFFA0760BD61}"/>
    <cellStyle name="Calculation 2 4 4 15" xfId="18917" xr:uid="{42BBD842-8014-402F-9659-2E49EC296667}"/>
    <cellStyle name="Calculation 2 4 4 16" xfId="31139" xr:uid="{6347522F-0376-406E-8096-9CD826939EEB}"/>
    <cellStyle name="Calculation 2 4 4 2" xfId="19996" xr:uid="{C9E2C2B4-4C3E-4EE8-997E-6633BB9CF4AB}"/>
    <cellStyle name="Calculation 2 4 4 2 2" xfId="26981" xr:uid="{D6522723-3CB6-4BA4-B2A0-8850D99CBF4D}"/>
    <cellStyle name="Calculation 2 4 4 2 3" xfId="33821" xr:uid="{E017D09A-DED2-4BF9-8276-0F08BBDA002F}"/>
    <cellStyle name="Calculation 2 4 4 3" xfId="20961" xr:uid="{A1E03A4B-4AED-47AA-B3F0-E31C16109732}"/>
    <cellStyle name="Calculation 2 4 4 3 2" xfId="29057" xr:uid="{4DA3BE4D-501D-4240-BDBF-8080A2223194}"/>
    <cellStyle name="Calculation 2 4 4 3 3" xfId="35902" xr:uid="{B668E187-5A67-4BD4-9324-2B1E5BC1AED0}"/>
    <cellStyle name="Calculation 2 4 4 4" xfId="21627" xr:uid="{49ABF9EA-950F-45A5-A168-B9F45EF30D8D}"/>
    <cellStyle name="Calculation 2 4 4 5" xfId="21321" xr:uid="{44A2F45B-FB93-4EFF-8B2F-653444C9D536}"/>
    <cellStyle name="Calculation 2 4 4 6" xfId="19297" xr:uid="{472189C9-A74B-4B72-9827-9B9845770127}"/>
    <cellStyle name="Calculation 2 4 4 7" xfId="20311" xr:uid="{C5D80948-1543-4A0E-A000-7F0843388FC2}"/>
    <cellStyle name="Calculation 2 4 4 8" xfId="20528" xr:uid="{050985A2-E5B1-4415-AD0E-F50C2C403CEA}"/>
    <cellStyle name="Calculation 2 4 4 9" xfId="21307" xr:uid="{62C35B68-1159-4EFC-9857-1491B104AE29}"/>
    <cellStyle name="Calculation 2 4 5" xfId="17419" xr:uid="{178CFD79-E031-4377-AAAD-8E20E4371874}"/>
    <cellStyle name="Calculation 2 4 5 2" xfId="27045" xr:uid="{59AFC3B4-9EF0-4BCA-B22D-8E9B2B3C98E3}"/>
    <cellStyle name="Calculation 2 4 5 2 2" xfId="33885" xr:uid="{0B85EB9F-5811-4240-A2DA-28B624C265D9}"/>
    <cellStyle name="Calculation 2 4 5 3" xfId="29121" xr:uid="{350A380B-C485-46C7-A803-63A2E942951F}"/>
    <cellStyle name="Calculation 2 4 5 3 2" xfId="35966" xr:uid="{18941C77-A3C4-4124-9524-BECEAC2E2295}"/>
    <cellStyle name="Calculation 2 4 5 4" xfId="24426" xr:uid="{0CF6F893-5D04-4362-950D-F6C368D490E1}"/>
    <cellStyle name="Calculation 2 4 5 5" xfId="31203" xr:uid="{92FC0693-2ECA-4D36-899D-A09E76DF5F82}"/>
    <cellStyle name="Calculation 2 4 6" xfId="24472" xr:uid="{FB2523B5-14AF-4DC7-AA01-5065360AB8F9}"/>
    <cellStyle name="Calculation 2 4 6 2" xfId="27088" xr:uid="{3ABAEA23-03D7-4061-B668-0195BD1F16A7}"/>
    <cellStyle name="Calculation 2 4 6 2 2" xfId="33928" xr:uid="{0F3E622D-A108-48FA-AC6F-AF62AD1E3939}"/>
    <cellStyle name="Calculation 2 4 6 3" xfId="29164" xr:uid="{CEBED9B5-9988-4230-AB7E-71770A683A1E}"/>
    <cellStyle name="Calculation 2 4 6 3 2" xfId="36009" xr:uid="{35199B29-CF4C-42C1-8ACC-241F9C54193C}"/>
    <cellStyle name="Calculation 2 4 6 4" xfId="31246" xr:uid="{F4D26787-5C79-4EB8-A8C6-0EA37342BD10}"/>
    <cellStyle name="Calculation 2 4 7" xfId="24985" xr:uid="{371854B5-AB7B-4184-A90D-5AAB4210F20A}"/>
    <cellStyle name="Calculation 2 4 7 2" xfId="27655" xr:uid="{3DDD1EA8-08B7-4198-9BEE-1929C126359A}"/>
    <cellStyle name="Calculation 2 4 7 2 2" xfId="34500" xr:uid="{ECAA765B-7335-432E-AF8E-6ED0F99A89F6}"/>
    <cellStyle name="Calculation 2 4 7 3" xfId="29736" xr:uid="{9587CF75-EBD6-49EF-A951-8D09320846A0}"/>
    <cellStyle name="Calculation 2 4 7 3 2" xfId="36581" xr:uid="{FFC75483-A2FE-46B2-A5A6-C26C146DD581}"/>
    <cellStyle name="Calculation 2 4 7 4" xfId="31818" xr:uid="{AB8CF309-C078-4B9E-A976-2BC89CB0BEA0}"/>
    <cellStyle name="Calculation 2 4 8" xfId="24395" xr:uid="{C5814A54-5D56-4D15-81B2-C8E11EF36117}"/>
    <cellStyle name="Calculation 2 4 8 2" xfId="27011" xr:uid="{3EFB5718-84B1-4A8A-9EDA-5635BA9B4F5E}"/>
    <cellStyle name="Calculation 2 4 8 2 2" xfId="33851" xr:uid="{DFF01479-5535-4DCB-98BA-FDDF05672F2F}"/>
    <cellStyle name="Calculation 2 4 8 3" xfId="29087" xr:uid="{23E3328D-60FF-476B-AAD6-0FB7F707024F}"/>
    <cellStyle name="Calculation 2 4 8 3 2" xfId="35932" xr:uid="{D423797B-EEC6-4AC4-A894-A30820FDBD6F}"/>
    <cellStyle name="Calculation 2 4 8 4" xfId="31169" xr:uid="{14ECD11F-8AD4-4415-B615-364C827D8DD5}"/>
    <cellStyle name="Calculation 2 4 9" xfId="24273" xr:uid="{54FDA3E5-B3D1-4286-9F31-B69BC79B7081}"/>
    <cellStyle name="Calculation 2 4 9 2" xfId="26880" xr:uid="{DFE1BD5C-CEDD-4069-B399-6A8919C33677}"/>
    <cellStyle name="Calculation 2 4 9 2 2" xfId="33720" xr:uid="{0A398AE5-166B-4C43-9071-A5C3C13CF552}"/>
    <cellStyle name="Calculation 2 4 9 3" xfId="28956" xr:uid="{94103904-C98D-46A7-A9C2-3BEDC47569FA}"/>
    <cellStyle name="Calculation 2 4 9 3 2" xfId="35801" xr:uid="{0D237EA8-9C28-404E-8525-EAFDCD0CC38D}"/>
    <cellStyle name="Calculation 2 4 9 4" xfId="31038" xr:uid="{58685F56-6F96-4B55-A1BD-B7052EC286AC}"/>
    <cellStyle name="Calculation 2 5" xfId="800" xr:uid="{00000000-0005-0000-0000-000033030000}"/>
    <cellStyle name="Calculation 2 5 10" xfId="23752" xr:uid="{C29CDEC0-C36C-47A8-B5F8-4C494E91A6D8}"/>
    <cellStyle name="Calculation 2 5 10 2" xfId="26363" xr:uid="{92E983D5-B701-4545-AC7D-69AC1B56B8F4}"/>
    <cellStyle name="Calculation 2 5 10 2 2" xfId="33202" xr:uid="{11E9B71E-C2B7-4A29-A346-0CA9DFFA5DFE}"/>
    <cellStyle name="Calculation 2 5 10 3" xfId="26319" xr:uid="{AD7D0FD3-AB05-4C3C-BD07-2841E231B90F}"/>
    <cellStyle name="Calculation 2 5 10 3 2" xfId="33147" xr:uid="{4F6FEA34-A11A-47BA-B805-7F173CD9FAE3}"/>
    <cellStyle name="Calculation 2 5 10 4" xfId="23441" xr:uid="{35CD98A1-4352-4DD9-B7C0-AE726213FA87}"/>
    <cellStyle name="Calculation 2 5 11" xfId="24652" xr:uid="{58058AB6-D9F7-447C-8D4D-054044367BE7}"/>
    <cellStyle name="Calculation 2 5 11 2" xfId="27258" xr:uid="{8DCDBB91-0DB4-4E0E-A436-EF6FB38C8A88}"/>
    <cellStyle name="Calculation 2 5 11 2 2" xfId="34102" xr:uid="{24CADF7A-38BC-4D2A-987B-55D315BC606F}"/>
    <cellStyle name="Calculation 2 5 11 3" xfId="29338" xr:uid="{7DAA338D-306B-45A3-A295-C9EE7F544C00}"/>
    <cellStyle name="Calculation 2 5 11 3 2" xfId="36183" xr:uid="{40096044-60A0-464C-A11A-D028C4B8B069}"/>
    <cellStyle name="Calculation 2 5 11 4" xfId="31420" xr:uid="{B3B3A114-D547-461B-A277-4E8BD544AF33}"/>
    <cellStyle name="Calculation 2 5 12" xfId="25359" xr:uid="{3D524082-EB8F-43E9-B431-CC479B62D4BF}"/>
    <cellStyle name="Calculation 2 5 12 2" xfId="28026" xr:uid="{F53CBBA9-EA51-4234-B11C-0AA60A0DB0DC}"/>
    <cellStyle name="Calculation 2 5 12 2 2" xfId="34871" xr:uid="{99320D0B-589E-4D3A-B9F3-99E6332D38C4}"/>
    <cellStyle name="Calculation 2 5 12 3" xfId="30107" xr:uid="{B580552C-5631-4406-952B-DD14E096F193}"/>
    <cellStyle name="Calculation 2 5 12 3 2" xfId="36952" xr:uid="{A82B5C81-435E-4724-ABE5-253EEA54492D}"/>
    <cellStyle name="Calculation 2 5 12 4" xfId="32189" xr:uid="{145A2ADE-34F8-4018-A3C3-CB167A29E543}"/>
    <cellStyle name="Calculation 2 5 13" xfId="24241" xr:uid="{01AB380F-7DA0-4F2D-AED6-AABAA22AEF23}"/>
    <cellStyle name="Calculation 2 5 13 2" xfId="26848" xr:uid="{1E4FA33F-48D9-444E-BA52-EFEE5B943973}"/>
    <cellStyle name="Calculation 2 5 13 2 2" xfId="33688" xr:uid="{1D39D8F4-941E-48A6-9E73-86299C459457}"/>
    <cellStyle name="Calculation 2 5 13 3" xfId="28924" xr:uid="{FDE8DA7E-5DD6-4CC4-BB89-C8E22EB8B07B}"/>
    <cellStyle name="Calculation 2 5 13 3 2" xfId="35769" xr:uid="{8C0720AD-4DF9-4CDC-BA0A-4B3C75CA1B33}"/>
    <cellStyle name="Calculation 2 5 13 4" xfId="31006" xr:uid="{BDFB98C9-18F7-40DE-8E8F-BDE5F2294355}"/>
    <cellStyle name="Calculation 2 5 14" xfId="24075" xr:uid="{DD97B52A-EB60-491C-BF5F-12EC4297719C}"/>
    <cellStyle name="Calculation 2 5 14 2" xfId="26688" xr:uid="{0B1A40DF-0BEE-4FB2-A43B-2E11C091831B}"/>
    <cellStyle name="Calculation 2 5 14 2 2" xfId="33528" xr:uid="{1D50F499-C565-431B-A79B-EC9ACD9D87BB}"/>
    <cellStyle name="Calculation 2 5 14 3" xfId="28764" xr:uid="{00150114-1EA0-4BCC-9AA5-90C6E8B77DE4}"/>
    <cellStyle name="Calculation 2 5 14 3 2" xfId="35609" xr:uid="{7B25F7A5-6007-4AE6-8D7B-EA44D552F614}"/>
    <cellStyle name="Calculation 2 5 14 4" xfId="30846" xr:uid="{09B6BAD7-3BCC-4D2A-BBE2-A464A0D276EE}"/>
    <cellStyle name="Calculation 2 5 15" xfId="24425" xr:uid="{6525C012-FDDC-4A6A-BD6A-48C9F1AD174D}"/>
    <cellStyle name="Calculation 2 5 15 2" xfId="27044" xr:uid="{6E8C1787-6235-4592-B198-2BCF55816E52}"/>
    <cellStyle name="Calculation 2 5 15 2 2" xfId="33884" xr:uid="{5DB0A700-E367-4877-A586-95A7451C36A0}"/>
    <cellStyle name="Calculation 2 5 15 3" xfId="29120" xr:uid="{8C019DB3-22C0-4569-BCBB-5EEC3B6CCAF1}"/>
    <cellStyle name="Calculation 2 5 15 3 2" xfId="35965" xr:uid="{94B78DC8-E5F4-4B2B-82E9-DEEC840412DD}"/>
    <cellStyle name="Calculation 2 5 15 4" xfId="31202" xr:uid="{CD2E1B5C-A1A5-4FE0-887C-21F3BCAD3413}"/>
    <cellStyle name="Calculation 2 5 16" xfId="25923" xr:uid="{EA317155-BF0B-4A03-8148-143154C6E3D9}"/>
    <cellStyle name="Calculation 2 5 16 2" xfId="28589" xr:uid="{1361D743-A098-4414-8C08-24B68B655A40}"/>
    <cellStyle name="Calculation 2 5 16 2 2" xfId="35434" xr:uid="{F156548F-3E0B-4015-9A76-33143EDBD2B2}"/>
    <cellStyle name="Calculation 2 5 16 3" xfId="30670" xr:uid="{364FA334-1DCB-42E5-8EC6-EF6E4B456972}"/>
    <cellStyle name="Calculation 2 5 16 3 2" xfId="37515" xr:uid="{AE9FD66D-0442-4CBD-91A2-169070356774}"/>
    <cellStyle name="Calculation 2 5 16 4" xfId="32752" xr:uid="{6AA38FB4-8D17-47EE-B378-A5FB184BDC6F}"/>
    <cellStyle name="Calculation 2 5 17" xfId="23946" xr:uid="{B8D862E2-93D2-420B-9B0A-8DF22A9EE330}"/>
    <cellStyle name="Calculation 2 5 17 2" xfId="26564" xr:uid="{9BAE255C-DC24-4777-8D7F-4669420E1CE5}"/>
    <cellStyle name="Calculation 2 5 17 2 2" xfId="33404" xr:uid="{CDD4B2DD-4A03-4CB6-822F-2F63ECFDD85B}"/>
    <cellStyle name="Calculation 2 5 17 3" xfId="26121" xr:uid="{9544BF83-F03A-4E73-A451-693854331723}"/>
    <cellStyle name="Calculation 2 5 17 3 2" xfId="32949" xr:uid="{EBA8AFD4-7B33-4731-A4A5-0EC60D43D52D}"/>
    <cellStyle name="Calculation 2 5 17 4" xfId="23243" xr:uid="{5379698D-2DDD-40A9-9820-F155E264E507}"/>
    <cellStyle name="Calculation 2 5 18" xfId="25598" xr:uid="{6303E037-196B-4264-A00F-35724FE9EA11}"/>
    <cellStyle name="Calculation 2 5 18 2" xfId="28265" xr:uid="{14862992-B1AB-4C34-A0E0-97A610BED7D6}"/>
    <cellStyle name="Calculation 2 5 18 2 2" xfId="35110" xr:uid="{3A0EFF47-E565-4577-9F3E-2A8876F1C007}"/>
    <cellStyle name="Calculation 2 5 18 3" xfId="30346" xr:uid="{CD9F94C3-3173-46A2-9A66-698D5ACE7B0C}"/>
    <cellStyle name="Calculation 2 5 18 3 2" xfId="37191" xr:uid="{8B63AF33-1D08-4B05-B6DE-66D8DCC8DDA7}"/>
    <cellStyle name="Calculation 2 5 18 4" xfId="32428" xr:uid="{8B9D251B-4538-4C54-901E-240F11F4701B}"/>
    <cellStyle name="Calculation 2 5 19" xfId="23098" xr:uid="{0807D20D-0D6B-48BC-9B26-A865EF1DB85E}"/>
    <cellStyle name="Calculation 2 5 2" xfId="801" xr:uid="{00000000-0005-0000-0000-000034030000}"/>
    <cellStyle name="Calculation 2 5 2 10" xfId="25548" xr:uid="{1A978481-5678-4674-8E28-71ED8342C393}"/>
    <cellStyle name="Calculation 2 5 2 10 2" xfId="28215" xr:uid="{00779798-57D0-403D-ACB8-60D9191E9ED1}"/>
    <cellStyle name="Calculation 2 5 2 10 2 2" xfId="35060" xr:uid="{70CC4710-7CDA-4969-B721-7A78DAD84460}"/>
    <cellStyle name="Calculation 2 5 2 10 3" xfId="30296" xr:uid="{AAAB076D-A316-4988-86AF-C9BE94399A16}"/>
    <cellStyle name="Calculation 2 5 2 10 3 2" xfId="37141" xr:uid="{C79CEA6D-5683-4205-AAEA-4F547025D0E0}"/>
    <cellStyle name="Calculation 2 5 2 10 4" xfId="32378" xr:uid="{9E87B345-8D95-4A03-80A5-63E87D540ADE}"/>
    <cellStyle name="Calculation 2 5 2 11" xfId="24741" xr:uid="{BDF926A2-B2C0-41F7-B67F-7F2FCD979458}"/>
    <cellStyle name="Calculation 2 5 2 11 2" xfId="27390" xr:uid="{D6202D64-B850-4DA4-844F-6A9B8DFAAC26}"/>
    <cellStyle name="Calculation 2 5 2 11 2 2" xfId="34234" xr:uid="{59C51723-CA42-4EF5-94BC-202A9838389A}"/>
    <cellStyle name="Calculation 2 5 2 11 3" xfId="29470" xr:uid="{2AC83B18-F2BF-483F-8A1E-58417D898B81}"/>
    <cellStyle name="Calculation 2 5 2 11 3 2" xfId="36315" xr:uid="{3A294EB2-4F2A-4649-9FAE-B116962A87CC}"/>
    <cellStyle name="Calculation 2 5 2 11 4" xfId="31552" xr:uid="{2C92B3A5-C130-4A1C-AE59-ABA6241950F3}"/>
    <cellStyle name="Calculation 2 5 2 12" xfId="24692" xr:uid="{A6B06048-FEAE-4AD8-894D-DC767253911C}"/>
    <cellStyle name="Calculation 2 5 2 12 2" xfId="27310" xr:uid="{F195B594-2B60-46E5-810C-A6DDE91C1C83}"/>
    <cellStyle name="Calculation 2 5 2 12 2 2" xfId="34154" xr:uid="{E161688E-C8FA-4DA0-97F6-B60DBB1FA2DE}"/>
    <cellStyle name="Calculation 2 5 2 12 3" xfId="29390" xr:uid="{904EBFA3-0F98-4449-B7FA-9060D6FF0311}"/>
    <cellStyle name="Calculation 2 5 2 12 3 2" xfId="36235" xr:uid="{7F335ABE-5FC0-4C7E-A727-DD9B94717D4B}"/>
    <cellStyle name="Calculation 2 5 2 12 4" xfId="31472" xr:uid="{6DBBBF07-ADD6-41FC-84DD-821CF3DD6D63}"/>
    <cellStyle name="Calculation 2 5 2 13" xfId="23982" xr:uid="{C6A1B04B-A3BD-4783-87B1-D6B75490EE07}"/>
    <cellStyle name="Calculation 2 5 2 13 2" xfId="26599" xr:uid="{8B789747-23FC-4F7B-9323-ED60D7C764B3}"/>
    <cellStyle name="Calculation 2 5 2 13 2 2" xfId="33439" xr:uid="{3FCBA0E8-41C3-4CB5-BB43-1A7FDAE1894E}"/>
    <cellStyle name="Calculation 2 5 2 13 3" xfId="26094" xr:uid="{79472235-9A49-419D-BA83-41D56A2B6A74}"/>
    <cellStyle name="Calculation 2 5 2 13 3 2" xfId="32922" xr:uid="{4DE4AC16-EA61-4F1C-8CD0-A76241E80BD9}"/>
    <cellStyle name="Calculation 2 5 2 13 4" xfId="23216" xr:uid="{BDAC6619-2156-436D-83C7-7EAA03E965FF}"/>
    <cellStyle name="Calculation 2 5 2 14" xfId="24575" xr:uid="{37580DB8-630B-488F-B1BF-954B22045575}"/>
    <cellStyle name="Calculation 2 5 2 14 2" xfId="27166" xr:uid="{2A6BB7AA-95C2-495B-94E4-8E2BB2771F10}"/>
    <cellStyle name="Calculation 2 5 2 14 2 2" xfId="34007" xr:uid="{1D565FEF-BBB5-4B1B-9C63-87788758DA1D}"/>
    <cellStyle name="Calculation 2 5 2 14 3" xfId="29243" xr:uid="{91832496-A9D3-453C-A0A1-9A217CA76D36}"/>
    <cellStyle name="Calculation 2 5 2 14 3 2" xfId="36088" xr:uid="{558006D3-1BC2-4DE2-8353-4428B3AFD324}"/>
    <cellStyle name="Calculation 2 5 2 14 4" xfId="31325" xr:uid="{18DBF594-4557-4F04-B84D-F8879EC8D74E}"/>
    <cellStyle name="Calculation 2 5 2 15" xfId="25896" xr:uid="{41F1D23F-B64A-412F-B9B8-4386735C605A}"/>
    <cellStyle name="Calculation 2 5 2 15 2" xfId="28562" xr:uid="{89BC0903-52D6-4951-BF50-1CFEFA2DAF9D}"/>
    <cellStyle name="Calculation 2 5 2 15 2 2" xfId="35407" xr:uid="{D1AE7934-CCB3-41D9-9A1F-6AD22D54C656}"/>
    <cellStyle name="Calculation 2 5 2 15 3" xfId="30643" xr:uid="{144565A7-D28B-478A-9EF9-71B9BDC5EC6B}"/>
    <cellStyle name="Calculation 2 5 2 15 3 2" xfId="37488" xr:uid="{BC0F7EE2-DC7F-4DBF-BF5D-9F05E7D1C31D}"/>
    <cellStyle name="Calculation 2 5 2 15 4" xfId="32725" xr:uid="{2CC20DD7-1E32-40DE-902C-115572B3334F}"/>
    <cellStyle name="Calculation 2 5 2 16" xfId="25875" xr:uid="{D7261CAC-3421-49B2-B313-15E478D6A28E}"/>
    <cellStyle name="Calculation 2 5 2 16 2" xfId="28541" xr:uid="{D4C30102-8579-4C9F-A73D-5AC878FC7BA8}"/>
    <cellStyle name="Calculation 2 5 2 16 2 2" xfId="35386" xr:uid="{EE1DC9E7-480E-4EBB-9B53-D64FC17AA20C}"/>
    <cellStyle name="Calculation 2 5 2 16 3" xfId="30622" xr:uid="{9D4D8053-69E4-4F2C-9768-DD99824D4BEA}"/>
    <cellStyle name="Calculation 2 5 2 16 3 2" xfId="37467" xr:uid="{16025692-9F1E-4CDC-8672-6F1DE2E62C9F}"/>
    <cellStyle name="Calculation 2 5 2 16 4" xfId="32704" xr:uid="{9CB2D294-01C3-465F-81E4-90E4E973882E}"/>
    <cellStyle name="Calculation 2 5 2 17" xfId="23637" xr:uid="{D16F17C6-179E-4188-A377-3A3E153C9E1F}"/>
    <cellStyle name="Calculation 2 5 2 2" xfId="17836" xr:uid="{7AB9084C-98E1-42DB-888B-357512C12518}"/>
    <cellStyle name="Calculation 2 5 2 2 10" xfId="25660" xr:uid="{82EA37FD-4A17-4733-A24E-9CFD373275B6}"/>
    <cellStyle name="Calculation 2 5 2 2 10 2" xfId="28327" xr:uid="{09F0390E-62E3-4AE8-A514-FA97392A3F55}"/>
    <cellStyle name="Calculation 2 5 2 2 10 2 2" xfId="35172" xr:uid="{F634DE7E-3AB6-40D5-9260-BFEA5B3F9646}"/>
    <cellStyle name="Calculation 2 5 2 2 10 3" xfId="30408" xr:uid="{E0806BDF-BE28-4719-AD7E-1F1628EA9495}"/>
    <cellStyle name="Calculation 2 5 2 2 10 3 2" xfId="37253" xr:uid="{33C4BEE3-35E9-4460-9B77-C896273351C1}"/>
    <cellStyle name="Calculation 2 5 2 2 10 4" xfId="32490" xr:uid="{736A5B83-DA62-4A7C-A4A6-D07F78A1132C}"/>
    <cellStyle name="Calculation 2 5 2 2 11" xfId="25765" xr:uid="{5B086D1A-940C-4236-9887-7A41E9129CAC}"/>
    <cellStyle name="Calculation 2 5 2 2 11 2" xfId="28431" xr:uid="{5C0FA8C7-F900-4B04-9CDA-97091D802C21}"/>
    <cellStyle name="Calculation 2 5 2 2 11 2 2" xfId="35276" xr:uid="{2F7727EA-A1D9-4F1E-AED5-AF8CB6A1D2D4}"/>
    <cellStyle name="Calculation 2 5 2 2 11 3" xfId="30512" xr:uid="{A69E376B-4B0E-4B2D-8A7E-6B6CFE0C79AA}"/>
    <cellStyle name="Calculation 2 5 2 2 11 3 2" xfId="37357" xr:uid="{B84D3CCA-CC78-4055-A7A4-73B3E9D47F75}"/>
    <cellStyle name="Calculation 2 5 2 2 11 4" xfId="32594" xr:uid="{5DFA9591-73F1-4763-9A06-F46C175A2504}"/>
    <cellStyle name="Calculation 2 5 2 2 12" xfId="25842" xr:uid="{9BB58B42-8047-4224-BFDD-947D7815CFCC}"/>
    <cellStyle name="Calculation 2 5 2 2 12 2" xfId="28508" xr:uid="{D4CB9B41-5130-4E3B-8685-F7DC92CFC743}"/>
    <cellStyle name="Calculation 2 5 2 2 12 2 2" xfId="35353" xr:uid="{0DFA701E-B8A5-4E31-8A8D-85A87CB814EE}"/>
    <cellStyle name="Calculation 2 5 2 2 12 3" xfId="30589" xr:uid="{DE869FD3-ED00-47CD-A376-BF4E9DBAD2E9}"/>
    <cellStyle name="Calculation 2 5 2 2 12 3 2" xfId="37434" xr:uid="{DC968384-2015-49F3-A69C-48356CC5F1C3}"/>
    <cellStyle name="Calculation 2 5 2 2 12 4" xfId="32671" xr:uid="{649EBDFE-888A-4A60-AC12-29DEB9039718}"/>
    <cellStyle name="Calculation 2 5 2 2 13" xfId="24301" xr:uid="{21DF9E01-864E-4634-8680-DA5A997F3632}"/>
    <cellStyle name="Calculation 2 5 2 2 13 2" xfId="26908" xr:uid="{4311132A-4348-4A34-8A65-2F7F29E199E1}"/>
    <cellStyle name="Calculation 2 5 2 2 13 2 2" xfId="33748" xr:uid="{A993FA02-6931-473B-AE49-1D56B5AD508E}"/>
    <cellStyle name="Calculation 2 5 2 2 13 3" xfId="28984" xr:uid="{18872EBD-F33B-4B39-B714-E8C1398BCC09}"/>
    <cellStyle name="Calculation 2 5 2 2 13 3 2" xfId="35829" xr:uid="{33D6B1B9-7438-4376-A35A-B1431CE1B7D4}"/>
    <cellStyle name="Calculation 2 5 2 2 13 4" xfId="31066" xr:uid="{BBAE6243-9DD1-454C-A74B-4145DCB21033}"/>
    <cellStyle name="Calculation 2 5 2 2 14" xfId="25970" xr:uid="{437F2EA3-CB41-409B-B7E9-620DD2199496}"/>
    <cellStyle name="Calculation 2 5 2 2 14 2" xfId="28636" xr:uid="{57FFA142-CA17-4146-93D9-792213B01F25}"/>
    <cellStyle name="Calculation 2 5 2 2 14 2 2" xfId="35481" xr:uid="{3A44BBE9-FBBC-4AAD-BD81-EA621701B858}"/>
    <cellStyle name="Calculation 2 5 2 2 14 3" xfId="30717" xr:uid="{B678D87F-8361-4998-90A8-CEBBF925BEF1}"/>
    <cellStyle name="Calculation 2 5 2 2 14 3 2" xfId="37562" xr:uid="{FB997E32-3DB4-4783-B4E6-F871C16AC546}"/>
    <cellStyle name="Calculation 2 5 2 2 14 4" xfId="32799" xr:uid="{72E7F74E-CBF0-44ED-BF6A-E71D94979366}"/>
    <cellStyle name="Calculation 2 5 2 2 15" xfId="26024" xr:uid="{CE86C9A8-1A92-4B25-B0E9-34AE32C1D43E}"/>
    <cellStyle name="Calculation 2 5 2 2 15 2" xfId="28690" xr:uid="{E5210CA3-0A2C-41EA-B396-5B1E9CC52D9F}"/>
    <cellStyle name="Calculation 2 5 2 2 15 2 2" xfId="35535" xr:uid="{AC8FF30E-939F-4829-9E09-3F916AF7A32C}"/>
    <cellStyle name="Calculation 2 5 2 2 15 3" xfId="30771" xr:uid="{4382FFCE-15ED-41FC-B777-B3BF2CEE5DF5}"/>
    <cellStyle name="Calculation 2 5 2 2 15 3 2" xfId="37616" xr:uid="{2FDF4C5F-A160-417F-95AD-F67F08FDCB8C}"/>
    <cellStyle name="Calculation 2 5 2 2 15 4" xfId="32853" xr:uid="{A1332A87-CEBA-4FD6-8BBB-BDCD09395F45}"/>
    <cellStyle name="Calculation 2 5 2 2 16" xfId="23045" xr:uid="{59972809-EC5D-4D54-A124-C5BA4430E9CE}"/>
    <cellStyle name="Calculation 2 5 2 2 2" xfId="18437" xr:uid="{540C4127-387C-4AFB-92C8-BE857287A731}"/>
    <cellStyle name="Calculation 2 5 2 2 2 10" xfId="21473" xr:uid="{D332708E-8F82-4DEA-A0D3-247C3D076798}"/>
    <cellStyle name="Calculation 2 5 2 2 2 11" xfId="21584" xr:uid="{232981DB-96E0-490A-9D51-7CD63E0F3F4C}"/>
    <cellStyle name="Calculation 2 5 2 2 2 12" xfId="19874" xr:uid="{32767E31-C7E7-4312-A3B7-14F5F064A9E7}"/>
    <cellStyle name="Calculation 2 5 2 2 2 13" xfId="20913" xr:uid="{F5018A90-7700-42EA-8174-0610E1E39E94}"/>
    <cellStyle name="Calculation 2 5 2 2 2 14" xfId="22693" xr:uid="{60DEE596-585B-4864-BC1E-1A2ADB5129C2}"/>
    <cellStyle name="Calculation 2 5 2 2 2 15" xfId="23000" xr:uid="{225780A0-E5F7-465C-A95B-C64B0515EDFB}"/>
    <cellStyle name="Calculation 2 5 2 2 2 16" xfId="31184" xr:uid="{F6E8511F-C331-4361-A019-A94EE7267B64}"/>
    <cellStyle name="Calculation 2 5 2 2 2 2" xfId="19936" xr:uid="{ED83D1DB-1CC5-4312-826E-B628AFB1AB03}"/>
    <cellStyle name="Calculation 2 5 2 2 2 2 2" xfId="27026" xr:uid="{4B935CEB-11DA-4699-85ED-6AEFD9C33E95}"/>
    <cellStyle name="Calculation 2 5 2 2 2 2 3" xfId="33866" xr:uid="{2CDC58BC-BACC-4E41-BC35-19E25670E3AC}"/>
    <cellStyle name="Calculation 2 5 2 2 2 3" xfId="21084" xr:uid="{F16EF5A3-4ED1-49CD-9EE8-51A852BDFAA4}"/>
    <cellStyle name="Calculation 2 5 2 2 2 3 2" xfId="29102" xr:uid="{ED6A3956-1D61-409A-96F9-E6F8660F7E80}"/>
    <cellStyle name="Calculation 2 5 2 2 2 3 3" xfId="35947" xr:uid="{456BA1AC-A37E-4D83-9EA6-170A839551F0}"/>
    <cellStyle name="Calculation 2 5 2 2 2 4" xfId="19591" xr:uid="{08A07F60-1895-4977-B9CE-4998E221AC51}"/>
    <cellStyle name="Calculation 2 5 2 2 2 5" xfId="21476" xr:uid="{B32108A2-C7AF-4465-89BD-2841D24BF069}"/>
    <cellStyle name="Calculation 2 5 2 2 2 6" xfId="19254" xr:uid="{C727617C-EC30-4E5B-9F60-C8F9FCDAA079}"/>
    <cellStyle name="Calculation 2 5 2 2 2 7" xfId="21539" xr:uid="{859AD656-DB42-41B7-86AD-17E43F0A25A7}"/>
    <cellStyle name="Calculation 2 5 2 2 2 8" xfId="21793" xr:uid="{0F1A2521-61C7-46BC-A06B-029A2EB377F9}"/>
    <cellStyle name="Calculation 2 5 2 2 2 9" xfId="20627" xr:uid="{7FA3D615-ADBB-45F8-ABE5-B6440CE7B4F6}"/>
    <cellStyle name="Calculation 2 5 2 2 3" xfId="24352" xr:uid="{6758285F-100D-4F99-85E8-7D5D7812BEB6}"/>
    <cellStyle name="Calculation 2 5 2 2 3 2" xfId="26959" xr:uid="{4D82CD1B-3895-4F1B-A921-6352281A9320}"/>
    <cellStyle name="Calculation 2 5 2 2 3 2 2" xfId="33799" xr:uid="{4B9A3F11-BB1F-430A-AC01-80D3983102CA}"/>
    <cellStyle name="Calculation 2 5 2 2 3 3" xfId="29035" xr:uid="{AB5153C7-20FB-4B69-8838-37AD1D4F0937}"/>
    <cellStyle name="Calculation 2 5 2 2 3 3 2" xfId="35880" xr:uid="{71BC15B9-1C8D-4362-BA2C-841E44349914}"/>
    <cellStyle name="Calculation 2 5 2 2 3 4" xfId="31117" xr:uid="{6D1BB21E-A0F6-446B-8789-F9EA5059B4C5}"/>
    <cellStyle name="Calculation 2 5 2 2 4" xfId="25116" xr:uid="{1A0FD01B-2009-4ED9-90ED-C6CF6D6D7421}"/>
    <cellStyle name="Calculation 2 5 2 2 4 2" xfId="27788" xr:uid="{C7AC3645-20E1-4184-8EFC-0E0E647932B4}"/>
    <cellStyle name="Calculation 2 5 2 2 4 2 2" xfId="34633" xr:uid="{4F8649A8-5E1C-4CF9-849A-2C18D37F9B6A}"/>
    <cellStyle name="Calculation 2 5 2 2 4 3" xfId="29869" xr:uid="{EEE16688-ADF9-487A-BE0F-78DF9C49BFC8}"/>
    <cellStyle name="Calculation 2 5 2 2 4 3 2" xfId="36714" xr:uid="{AEC2C40C-D4DF-4002-A7CB-5281ADD55367}"/>
    <cellStyle name="Calculation 2 5 2 2 4 4" xfId="31951" xr:uid="{AD6ADAEF-F7E7-4A8B-A2ED-733043341E7A}"/>
    <cellStyle name="Calculation 2 5 2 2 5" xfId="24338" xr:uid="{92AD5C9D-02F3-4AE9-872A-4966B7A5AB50}"/>
    <cellStyle name="Calculation 2 5 2 2 5 2" xfId="26944" xr:uid="{3CCC0F5B-34F2-42FF-8816-2E874FA95A60}"/>
    <cellStyle name="Calculation 2 5 2 2 5 2 2" xfId="33784" xr:uid="{A38B6C31-2EBE-43C7-9A66-B5F07211ABC5}"/>
    <cellStyle name="Calculation 2 5 2 2 5 3" xfId="29020" xr:uid="{9BCF9563-DDFA-477C-9AE2-ADE25A45811E}"/>
    <cellStyle name="Calculation 2 5 2 2 5 3 2" xfId="35865" xr:uid="{C78E5D86-BC9B-4641-9B32-1F031CC73B29}"/>
    <cellStyle name="Calculation 2 5 2 2 5 4" xfId="31102" xr:uid="{A42EAADE-92F8-4BE1-BB70-30755DC4D82F}"/>
    <cellStyle name="Calculation 2 5 2 2 6" xfId="25217" xr:uid="{A9B7EF95-DF83-497E-BD9B-A4F5D0FC36E5}"/>
    <cellStyle name="Calculation 2 5 2 2 6 2" xfId="27889" xr:uid="{15920F3D-176A-41BE-8FAD-44C8F21812C8}"/>
    <cellStyle name="Calculation 2 5 2 2 6 2 2" xfId="34734" xr:uid="{7C5EADDF-1193-48ED-AE50-26FB1F2C4FAE}"/>
    <cellStyle name="Calculation 2 5 2 2 6 3" xfId="29970" xr:uid="{02F69ED7-0558-443E-A15F-8804EBDA19B2}"/>
    <cellStyle name="Calculation 2 5 2 2 6 3 2" xfId="36815" xr:uid="{D9ABFC7C-C1BA-4FB5-AB02-F9F4F2EA930A}"/>
    <cellStyle name="Calculation 2 5 2 2 6 4" xfId="32052" xr:uid="{765F7C42-D561-4080-A688-66BC706ED6F0}"/>
    <cellStyle name="Calculation 2 5 2 2 7" xfId="24961" xr:uid="{DB5B70DD-1C3B-4816-AE72-D2D895F7A010}"/>
    <cellStyle name="Calculation 2 5 2 2 7 2" xfId="27631" xr:uid="{6F7B6E8E-7379-48CB-A01C-B09ABA5A2BE7}"/>
    <cellStyle name="Calculation 2 5 2 2 7 2 2" xfId="34476" xr:uid="{D417184F-5738-417F-B5CE-D80ECF6C706C}"/>
    <cellStyle name="Calculation 2 5 2 2 7 3" xfId="29712" xr:uid="{8D7B52B5-12E2-4795-9D05-3C1CA09FCCEF}"/>
    <cellStyle name="Calculation 2 5 2 2 7 3 2" xfId="36557" xr:uid="{B14483DB-F4E4-4C8D-9929-3F0C734D4E44}"/>
    <cellStyle name="Calculation 2 5 2 2 7 4" xfId="31794" xr:uid="{2BA30D92-E019-410C-ADA1-CB0CDE8F1EB0}"/>
    <cellStyle name="Calculation 2 5 2 2 8" xfId="23974" xr:uid="{37A31250-BDC6-40F5-BED8-BC7C80BC06B5}"/>
    <cellStyle name="Calculation 2 5 2 2 8 2" xfId="26591" xr:uid="{A1FC9AAC-2997-43D6-9278-F5E31C3B17FE}"/>
    <cellStyle name="Calculation 2 5 2 2 8 2 2" xfId="33431" xr:uid="{315E3F3D-6A14-4890-9571-CFF0C63BF899}"/>
    <cellStyle name="Calculation 2 5 2 2 8 3" xfId="26102" xr:uid="{4E0A983C-D903-490A-8796-2683F72FEB01}"/>
    <cellStyle name="Calculation 2 5 2 2 8 3 2" xfId="32930" xr:uid="{47FC2E3D-676C-4564-ACD1-F180C34EF0A2}"/>
    <cellStyle name="Calculation 2 5 2 2 8 4" xfId="23224" xr:uid="{E12AF97D-4688-4538-91D5-57A010A5B4E8}"/>
    <cellStyle name="Calculation 2 5 2 2 9" xfId="25515" xr:uid="{271B4636-C289-4C1B-B162-D0C549780F8D}"/>
    <cellStyle name="Calculation 2 5 2 2 9 2" xfId="28182" xr:uid="{6E9ACBEB-93F6-4850-8F1C-BC986D304749}"/>
    <cellStyle name="Calculation 2 5 2 2 9 2 2" xfId="35027" xr:uid="{B7630B62-2A7D-4DBC-AD4F-6AE5145FCF4C}"/>
    <cellStyle name="Calculation 2 5 2 2 9 3" xfId="30263" xr:uid="{92D9DD49-2246-4F79-9314-F33FD2BD8132}"/>
    <cellStyle name="Calculation 2 5 2 2 9 3 2" xfId="37108" xr:uid="{552ADE76-E273-4454-BA91-73600D7DE0A9}"/>
    <cellStyle name="Calculation 2 5 2 2 9 4" xfId="32345" xr:uid="{E2626827-C679-4CAA-8AFF-8312C23C6EF9}"/>
    <cellStyle name="Calculation 2 5 2 3" xfId="18613" xr:uid="{29CA1C10-AADA-49E8-BEA2-6536F1E3CC59}"/>
    <cellStyle name="Calculation 2 5 2 3 10" xfId="21850" xr:uid="{46E26366-EA42-4871-BBFD-815B46A6996B}"/>
    <cellStyle name="Calculation 2 5 2 3 11" xfId="22346" xr:uid="{82168887-B203-4D5A-B370-B9F844A6476B}"/>
    <cellStyle name="Calculation 2 5 2 3 12" xfId="22749" xr:uid="{D00A84D4-DE4F-43A3-9FD4-8F9479654717}"/>
    <cellStyle name="Calculation 2 5 2 3 13" xfId="19043" xr:uid="{6D48021C-C7FA-4F45-9179-74F959FB0139}"/>
    <cellStyle name="Calculation 2 5 2 3 14" xfId="22885" xr:uid="{2E8ADF45-A334-4E01-90DA-8CAEB31009B7}"/>
    <cellStyle name="Calculation 2 5 2 3 15" xfId="20595" xr:uid="{F3C3B216-F14C-4BEF-889C-3F4A50CB2470}"/>
    <cellStyle name="Calculation 2 5 2 3 16" xfId="31456" xr:uid="{8B5C3708-A0DF-4188-B637-FE31125B1E7D}"/>
    <cellStyle name="Calculation 2 5 2 3 2" xfId="19854" xr:uid="{D5B5363D-541B-4B2E-9EFA-CD611BD47B06}"/>
    <cellStyle name="Calculation 2 5 2 3 2 2" xfId="27294" xr:uid="{046ACC62-FCB6-4576-BB4A-B04B080C261A}"/>
    <cellStyle name="Calculation 2 5 2 3 2 3" xfId="34138" xr:uid="{7F82682C-1AEC-4C58-806C-DDEC9B149A46}"/>
    <cellStyle name="Calculation 2 5 2 3 3" xfId="19588" xr:uid="{4085F46F-6299-4F94-8C58-8C7F3F99DFF7}"/>
    <cellStyle name="Calculation 2 5 2 3 3 2" xfId="29374" xr:uid="{C362A67F-192C-4041-89C5-EDFD9942D28E}"/>
    <cellStyle name="Calculation 2 5 2 3 3 3" xfId="36219" xr:uid="{C7180DB2-2939-41F8-9DB6-BD9758BAC6A2}"/>
    <cellStyle name="Calculation 2 5 2 3 4" xfId="18857" xr:uid="{867AA7F5-A9DC-4A3D-BA3E-A46CD0440CD5}"/>
    <cellStyle name="Calculation 2 5 2 3 5" xfId="18926" xr:uid="{C18A853C-5119-4F56-8B81-A2B335F55E9D}"/>
    <cellStyle name="Calculation 2 5 2 3 6" xfId="20659" xr:uid="{03FDB94D-1EBC-46BC-A20B-E1EC4EFC1C82}"/>
    <cellStyle name="Calculation 2 5 2 3 7" xfId="22307" xr:uid="{415D6172-37AC-459C-A88A-13E62105B64B}"/>
    <cellStyle name="Calculation 2 5 2 3 8" xfId="20670" xr:uid="{27BCD211-7ED1-4477-B9C2-1317784EE6F6}"/>
    <cellStyle name="Calculation 2 5 2 3 9" xfId="22486" xr:uid="{E588748B-384A-4DE7-8765-DCF808530E45}"/>
    <cellStyle name="Calculation 2 5 2 4" xfId="17908" xr:uid="{D7ECB8D8-71B0-4F2E-BFC4-117E8D86F89A}"/>
    <cellStyle name="Calculation 2 5 2 4 2" xfId="26408" xr:uid="{1DF1DEAA-FCB4-471C-BF33-C07277B10493}"/>
    <cellStyle name="Calculation 2 5 2 4 2 2" xfId="33248" xr:uid="{F859BC8B-10D5-41F8-ACF1-A29A570181EE}"/>
    <cellStyle name="Calculation 2 5 2 4 3" xfId="26274" xr:uid="{768734A1-E90B-4FF1-9771-2286731800F8}"/>
    <cellStyle name="Calculation 2 5 2 4 3 2" xfId="33102" xr:uid="{1B29256E-CF60-4A57-947A-2A7A9B3D9564}"/>
    <cellStyle name="Calculation 2 5 2 4 4" xfId="23795" xr:uid="{FF3ADDD0-3D3F-4A33-BED6-F97FC7A42A72}"/>
    <cellStyle name="Calculation 2 5 2 4 5" xfId="23396" xr:uid="{FB07E738-F3DA-4B3B-B6AF-547AF2E7C52C}"/>
    <cellStyle name="Calculation 2 5 2 5" xfId="17565" xr:uid="{E7D69CBC-0B8E-429D-B5D1-B79ED5A94C8E}"/>
    <cellStyle name="Calculation 2 5 2 5 2" xfId="27615" xr:uid="{2A8C35A4-AAA2-4D87-87B5-AEF8452BB4EF}"/>
    <cellStyle name="Calculation 2 5 2 5 2 2" xfId="34459" xr:uid="{8EEF63E2-D4E0-4AA9-9E1E-C0F73792076E}"/>
    <cellStyle name="Calculation 2 5 2 5 3" xfId="29695" xr:uid="{DC37130D-6C53-4739-8A12-A86662AE0784}"/>
    <cellStyle name="Calculation 2 5 2 5 3 2" xfId="36540" xr:uid="{A8D3A16D-CAE1-4259-9540-FEDE8ABE7909}"/>
    <cellStyle name="Calculation 2 5 2 5 4" xfId="24945" xr:uid="{1EF2B1D2-DCF4-4480-B5A7-0EB00EA1E995}"/>
    <cellStyle name="Calculation 2 5 2 5 5" xfId="31777" xr:uid="{4AA38E68-EEA3-4604-A026-B8B18B6AD489}"/>
    <cellStyle name="Calculation 2 5 2 6" xfId="24998" xr:uid="{2C802E24-73D9-459B-A3B7-E9DD797EBF7D}"/>
    <cellStyle name="Calculation 2 5 2 6 2" xfId="27668" xr:uid="{1586ECBE-06AF-44CD-AAA2-CE6D0A224D4E}"/>
    <cellStyle name="Calculation 2 5 2 6 2 2" xfId="34513" xr:uid="{D3EFD686-D3A4-45F0-B158-3EDCCE3585CC}"/>
    <cellStyle name="Calculation 2 5 2 6 3" xfId="29749" xr:uid="{4F01E026-3A5C-4115-BBE4-D0DFBD5CFC68}"/>
    <cellStyle name="Calculation 2 5 2 6 3 2" xfId="36594" xr:uid="{2D8DDF53-87E8-4B1B-9910-DC632A89584E}"/>
    <cellStyle name="Calculation 2 5 2 6 4" xfId="31831" xr:uid="{32EB865A-2C72-410C-9DD0-1CCDD47BF278}"/>
    <cellStyle name="Calculation 2 5 2 7" xfId="25187" xr:uid="{62ABACDA-5643-4893-AB5B-60E8768AC21F}"/>
    <cellStyle name="Calculation 2 5 2 7 2" xfId="27859" xr:uid="{C052A9BE-C0C5-492E-83F9-651E5CF9FE8F}"/>
    <cellStyle name="Calculation 2 5 2 7 2 2" xfId="34704" xr:uid="{05996A99-0290-40D2-97C1-9DB70A2E2748}"/>
    <cellStyle name="Calculation 2 5 2 7 3" xfId="29940" xr:uid="{966DDCA0-DBC4-42AC-B961-B2AA90F4F291}"/>
    <cellStyle name="Calculation 2 5 2 7 3 2" xfId="36785" xr:uid="{640F3537-19B5-42AE-92C6-86171C80A314}"/>
    <cellStyle name="Calculation 2 5 2 7 4" xfId="32022" xr:uid="{1EE240E6-F8AB-4B0C-B0BB-3328A46723D3}"/>
    <cellStyle name="Calculation 2 5 2 8" xfId="24919" xr:uid="{A7796A84-B9C3-4B65-9CD1-6809A311DBAC}"/>
    <cellStyle name="Calculation 2 5 2 8 2" xfId="27588" xr:uid="{F600121C-DBB7-4F6D-BA64-5820D3447BE3}"/>
    <cellStyle name="Calculation 2 5 2 8 2 2" xfId="34432" xr:uid="{A5DD62C1-E7EF-4AD9-8717-9E4E58D3E179}"/>
    <cellStyle name="Calculation 2 5 2 8 3" xfId="29668" xr:uid="{4A9E5766-D664-4007-889B-E5EA21414C08}"/>
    <cellStyle name="Calculation 2 5 2 8 3 2" xfId="36513" xr:uid="{C5D7961C-F9B9-48C7-AC9C-995C5B5FF274}"/>
    <cellStyle name="Calculation 2 5 2 8 4" xfId="31750" xr:uid="{CAB77437-AA9E-4088-9988-A30F5730D9BB}"/>
    <cellStyle name="Calculation 2 5 2 9" xfId="24971" xr:uid="{653AC2DD-92EE-4B25-B649-67D0FD932D29}"/>
    <cellStyle name="Calculation 2 5 2 9 2" xfId="27640" xr:uid="{894405B7-2232-47BA-89A1-11377468B024}"/>
    <cellStyle name="Calculation 2 5 2 9 2 2" xfId="34485" xr:uid="{DBE15BDD-B0BD-40D2-9BD0-8BB7C89F61FB}"/>
    <cellStyle name="Calculation 2 5 2 9 3" xfId="29721" xr:uid="{BE144FD3-42B3-4DCC-9EBF-2FA95ED1E80B}"/>
    <cellStyle name="Calculation 2 5 2 9 3 2" xfId="36566" xr:uid="{3C932DAF-1B4B-4272-B92E-2DAEEA813D76}"/>
    <cellStyle name="Calculation 2 5 2 9 4" xfId="31803" xr:uid="{339BCAD4-4A06-4D90-BEEA-B97C2B627F1A}"/>
    <cellStyle name="Calculation 2 5 20" xfId="14194" xr:uid="{FADB0AFB-2AFA-4F18-9897-0F443201ACEE}"/>
    <cellStyle name="Calculation 2 5 21" xfId="15542" xr:uid="{E4D96999-703D-44B5-B6B6-CA61974239F6}"/>
    <cellStyle name="Calculation 2 5 22" xfId="47737" xr:uid="{0B3EB24A-57C8-43B3-B94B-854CC5AE01CF}"/>
    <cellStyle name="Calculation 2 5 23" xfId="15448" xr:uid="{B4D6636B-8110-4C60-8CDA-EF58306458B4}"/>
    <cellStyle name="Calculation 2 5 24" xfId="46371" xr:uid="{E243ADB5-7C33-4A0C-8D43-CEB9BB5C44BB}"/>
    <cellStyle name="Calculation 2 5 25" xfId="49034" xr:uid="{AC784851-EC46-4875-9204-A8679DDAC927}"/>
    <cellStyle name="Calculation 2 5 3" xfId="802" xr:uid="{00000000-0005-0000-0000-000035030000}"/>
    <cellStyle name="Calculation 2 5 3 10" xfId="25629" xr:uid="{7465D5EC-973F-4981-A61A-2FCED2BECBD8}"/>
    <cellStyle name="Calculation 2 5 3 10 2" xfId="28296" xr:uid="{5BDF458B-CCB4-4B85-8D6E-189A68194F94}"/>
    <cellStyle name="Calculation 2 5 3 10 2 2" xfId="35141" xr:uid="{A95D8315-FA89-4893-AA7E-E0CDE5F2051D}"/>
    <cellStyle name="Calculation 2 5 3 10 3" xfId="30377" xr:uid="{4DD9B3D2-5CBD-403F-92F3-BD4B45B9DC75}"/>
    <cellStyle name="Calculation 2 5 3 10 3 2" xfId="37222" xr:uid="{F89BA3D3-CE44-4DB6-AC5B-4585C9CD4557}"/>
    <cellStyle name="Calculation 2 5 3 10 4" xfId="32459" xr:uid="{B8972951-5ECF-4575-8731-05943AC9D5B2}"/>
    <cellStyle name="Calculation 2 5 3 11" xfId="25734" xr:uid="{47DDC132-9EC0-40C6-B802-82DE37A67AFE}"/>
    <cellStyle name="Calculation 2 5 3 11 2" xfId="28401" xr:uid="{B0200F06-5ED7-4930-AEC6-6E3C8DA7C752}"/>
    <cellStyle name="Calculation 2 5 3 11 2 2" xfId="35246" xr:uid="{52BFF6F9-67F6-4AC4-8C2F-C5A5DAE072A7}"/>
    <cellStyle name="Calculation 2 5 3 11 3" xfId="30482" xr:uid="{2F091C76-719E-474F-88EB-34B5CDDB1FD5}"/>
    <cellStyle name="Calculation 2 5 3 11 3 2" xfId="37327" xr:uid="{93324494-27CE-4A3A-B484-22C4F4804A49}"/>
    <cellStyle name="Calculation 2 5 3 11 4" xfId="32564" xr:uid="{7FFE85AD-C19D-49E3-89AE-38C2AB0D271D}"/>
    <cellStyle name="Calculation 2 5 3 12" xfId="25808" xr:uid="{B7DE5C19-947F-4E8D-9755-14E94F762A18}"/>
    <cellStyle name="Calculation 2 5 3 12 2" xfId="28474" xr:uid="{D189198F-8A01-4CF7-810B-829A0C80EC25}"/>
    <cellStyle name="Calculation 2 5 3 12 2 2" xfId="35319" xr:uid="{270E73E5-7629-4FCC-BD36-E14BC4A270D1}"/>
    <cellStyle name="Calculation 2 5 3 12 3" xfId="30555" xr:uid="{E6C6F586-C9D7-427A-BD5B-CDDB3E86F937}"/>
    <cellStyle name="Calculation 2 5 3 12 3 2" xfId="37400" xr:uid="{2FD340DF-1B88-4616-A6D9-68D7671FA136}"/>
    <cellStyle name="Calculation 2 5 3 12 4" xfId="32637" xr:uid="{BF2E1902-1C72-42EA-A6A4-68E1A06629E9}"/>
    <cellStyle name="Calculation 2 5 3 13" xfId="23941" xr:uid="{B47D8A59-245E-4169-A670-5B4A5626FF75}"/>
    <cellStyle name="Calculation 2 5 3 13 2" xfId="26559" xr:uid="{BCFF2663-8411-4AE3-8CEA-E8C98F9F6729}"/>
    <cellStyle name="Calculation 2 5 3 13 2 2" xfId="33399" xr:uid="{03BF1E7B-BBEE-496E-9543-D863907DE163}"/>
    <cellStyle name="Calculation 2 5 3 13 3" xfId="26126" xr:uid="{A2A70BD3-6A1A-4CAF-AD85-2C9B7F856463}"/>
    <cellStyle name="Calculation 2 5 3 13 3 2" xfId="32954" xr:uid="{7F8F7F73-48EE-42A2-B965-98762D6200D6}"/>
    <cellStyle name="Calculation 2 5 3 13 4" xfId="23248" xr:uid="{E2777046-F5DB-4218-8303-C84D32910DCF}"/>
    <cellStyle name="Calculation 2 5 3 14" xfId="25940" xr:uid="{80C80EC0-BB47-49E9-AEFC-BCC334196368}"/>
    <cellStyle name="Calculation 2 5 3 14 2" xfId="28606" xr:uid="{C6AE833E-8949-4964-9BEC-4D8B65287A7F}"/>
    <cellStyle name="Calculation 2 5 3 14 2 2" xfId="35451" xr:uid="{0EAD3033-8F14-4CF7-86C1-CE2763DB1248}"/>
    <cellStyle name="Calculation 2 5 3 14 3" xfId="30687" xr:uid="{D8736E93-073D-41D7-B121-D38DA5A48AB6}"/>
    <cellStyle name="Calculation 2 5 3 14 3 2" xfId="37532" xr:uid="{6DB088F7-2F10-41AF-B062-EA6478553653}"/>
    <cellStyle name="Calculation 2 5 3 14 4" xfId="32769" xr:uid="{841E2C00-142D-4349-9ED3-EF4B581D26E8}"/>
    <cellStyle name="Calculation 2 5 3 15" xfId="25994" xr:uid="{174CD968-7B16-43E1-AAE4-69880C493F7C}"/>
    <cellStyle name="Calculation 2 5 3 15 2" xfId="28660" xr:uid="{0BDA4ED5-ECDA-47F0-8677-5598B7DCB6D2}"/>
    <cellStyle name="Calculation 2 5 3 15 2 2" xfId="35505" xr:uid="{76CF5066-AA09-499E-AFA0-2C5FA844AFB7}"/>
    <cellStyle name="Calculation 2 5 3 15 3" xfId="30741" xr:uid="{8FD2F8C3-4244-4D40-81FF-EBB0EB98BA1E}"/>
    <cellStyle name="Calculation 2 5 3 15 3 2" xfId="37586" xr:uid="{3E22FA69-65FC-4D80-BCBD-3AF558A3483E}"/>
    <cellStyle name="Calculation 2 5 3 15 4" xfId="32823" xr:uid="{4335165B-8CE5-41C2-BA4E-1C647A3BA9EF}"/>
    <cellStyle name="Calculation 2 5 3 16" xfId="23170" xr:uid="{D5D6A3F7-8BF5-46BB-9AE9-3B88BFEEEE53}"/>
    <cellStyle name="Calculation 2 5 3 17" xfId="14196" xr:uid="{1FDE6793-C3F1-41B5-AACE-D3255311A55C}"/>
    <cellStyle name="Calculation 2 5 3 18" xfId="15541" xr:uid="{F05E34D2-988B-4E73-97A8-5F4A76310841}"/>
    <cellStyle name="Calculation 2 5 3 19" xfId="15469" xr:uid="{B8732F92-50B9-4A3F-8C97-92A7E675487D}"/>
    <cellStyle name="Calculation 2 5 3 2" xfId="18363" xr:uid="{AC04E0B5-69FB-4309-99D6-C0CE33A8B9B8}"/>
    <cellStyle name="Calculation 2 5 3 2 10" xfId="19098" xr:uid="{F3879DCB-CBFC-4F9F-A1F0-F8E9C7F75C47}"/>
    <cellStyle name="Calculation 2 5 3 2 11" xfId="21326" xr:uid="{9B1B771D-45BE-46EB-AA17-1FC6F9144F60}"/>
    <cellStyle name="Calculation 2 5 3 2 12" xfId="20762" xr:uid="{B82A0FC1-E15F-4428-AFEA-E4D32BD6173F}"/>
    <cellStyle name="Calculation 2 5 3 2 13" xfId="19565" xr:uid="{67AE71B7-5EB3-462A-B335-8901688339E5}"/>
    <cellStyle name="Calculation 2 5 3 2 14" xfId="19892" xr:uid="{8E387FFF-62EB-4AF3-A403-9A842585923B}"/>
    <cellStyle name="Calculation 2 5 3 2 15" xfId="21377" xr:uid="{4FC8548A-2C39-4735-A9DC-090427552505}"/>
    <cellStyle name="Calculation 2 5 3 2 16" xfId="31759" xr:uid="{12618259-D1C9-43A7-B131-51868E1F4948}"/>
    <cellStyle name="Calculation 2 5 3 2 2" xfId="19419" xr:uid="{EC0863A4-AF9E-4EB1-AB7C-B9DC9326DD97}"/>
    <cellStyle name="Calculation 2 5 3 2 2 2" xfId="27597" xr:uid="{1D783667-AE3E-4511-A29E-163A87678334}"/>
    <cellStyle name="Calculation 2 5 3 2 2 3" xfId="34441" xr:uid="{FB95AE3E-5B70-44AE-BB12-6A2DF0D33F5E}"/>
    <cellStyle name="Calculation 2 5 3 2 3" xfId="21124" xr:uid="{4194B0F5-8128-4A8D-AF2D-A43D98D155B0}"/>
    <cellStyle name="Calculation 2 5 3 2 3 2" xfId="29677" xr:uid="{2E0B76EF-FCCB-4AC6-BCA6-66F2C7D4544B}"/>
    <cellStyle name="Calculation 2 5 3 2 3 3" xfId="36522" xr:uid="{E92CB069-C0CD-4A18-9727-B68272544B57}"/>
    <cellStyle name="Calculation 2 5 3 2 4" xfId="19522" xr:uid="{30AD9A82-2B67-47A4-AB72-413CA0066770}"/>
    <cellStyle name="Calculation 2 5 3 2 5" xfId="21898" xr:uid="{E52485E8-529A-487F-8463-5EA9B2EBF6A0}"/>
    <cellStyle name="Calculation 2 5 3 2 6" xfId="20581" xr:uid="{9A4E03AC-25BF-402B-9382-C73D2B3BD5AE}"/>
    <cellStyle name="Calculation 2 5 3 2 7" xfId="20834" xr:uid="{FB579A05-CAF0-4A17-A034-F085E742E983}"/>
    <cellStyle name="Calculation 2 5 3 2 8" xfId="21837" xr:uid="{752026EA-6EB5-4B03-A6A2-E7FCC6192199}"/>
    <cellStyle name="Calculation 2 5 3 2 9" xfId="22174" xr:uid="{44A1F4A3-1D52-4609-A47F-EA5253064D17}"/>
    <cellStyle name="Calculation 2 5 3 20" xfId="40081" xr:uid="{D6C7A012-A5E9-481E-B4AA-768001BB86C8}"/>
    <cellStyle name="Calculation 2 5 3 21" xfId="48714" xr:uid="{A2C29014-6CDA-4F01-9621-E7494D9670DE}"/>
    <cellStyle name="Calculation 2 5 3 22" xfId="48663" xr:uid="{43AEBF44-6C83-40A9-9BDC-3A219444D410}"/>
    <cellStyle name="Calculation 2 5 3 3" xfId="17798" xr:uid="{145DB21F-2177-427D-8089-F0E9B828F4FE}"/>
    <cellStyle name="Calculation 2 5 3 3 2" xfId="27472" xr:uid="{AF4406E3-8C6C-4560-A0DB-B6327DD499F3}"/>
    <cellStyle name="Calculation 2 5 3 3 2 2" xfId="34316" xr:uid="{BCF30E7B-2235-4550-B6BE-F0772011650E}"/>
    <cellStyle name="Calculation 2 5 3 3 3" xfId="29552" xr:uid="{78F86DC0-4B76-4CAB-A8E8-C8EFD2CD8EBD}"/>
    <cellStyle name="Calculation 2 5 3 3 3 2" xfId="36397" xr:uid="{AF7DF733-7C89-4944-ACE5-92742544FEE0}"/>
    <cellStyle name="Calculation 2 5 3 3 4" xfId="24814" xr:uid="{51FB70C4-B2F9-4FC0-9B3B-FAAA015E49A9}"/>
    <cellStyle name="Calculation 2 5 3 3 5" xfId="31634" xr:uid="{12975779-3BD8-4F50-90FD-4D6B74947CA4}"/>
    <cellStyle name="Calculation 2 5 3 4" xfId="25082" xr:uid="{BC485621-6766-4ECE-828D-4EC47C112672}"/>
    <cellStyle name="Calculation 2 5 3 4 2" xfId="27754" xr:uid="{F0137BAB-FCDF-4018-BC44-A7BD9B8D267F}"/>
    <cellStyle name="Calculation 2 5 3 4 2 2" xfId="34599" xr:uid="{3F2856A9-20D1-4889-9E50-DD1A9DC62C39}"/>
    <cellStyle name="Calculation 2 5 3 4 3" xfId="29835" xr:uid="{81AA1008-8302-4066-95F0-5F4129A99425}"/>
    <cellStyle name="Calculation 2 5 3 4 3 2" xfId="36680" xr:uid="{85CCF592-F838-4E31-A6DC-B5748284744A}"/>
    <cellStyle name="Calculation 2 5 3 4 4" xfId="31917" xr:uid="{74D32071-796B-4E08-A000-CB25657CD275}"/>
    <cellStyle name="Calculation 2 5 3 5" xfId="23884" xr:uid="{4DDF5190-3BA8-4EF3-A21E-AB82EF8E60C8}"/>
    <cellStyle name="Calculation 2 5 3 5 2" xfId="26502" xr:uid="{80218CC7-FC5E-4719-9C53-0991A176DC47}"/>
    <cellStyle name="Calculation 2 5 3 5 2 2" xfId="33342" xr:uid="{38FBEACD-3061-45D3-897C-BDD6301CA089}"/>
    <cellStyle name="Calculation 2 5 3 5 3" xfId="26182" xr:uid="{009F46D3-3BCC-4487-AAE3-BFA80EA0AC83}"/>
    <cellStyle name="Calculation 2 5 3 5 3 2" xfId="33010" xr:uid="{C98DAEE9-C531-44CE-8F57-666966B371AA}"/>
    <cellStyle name="Calculation 2 5 3 5 4" xfId="23304" xr:uid="{5B50F991-F949-4815-9FD8-C6E3665F1491}"/>
    <cellStyle name="Calculation 2 5 3 6" xfId="24363" xr:uid="{40B4C1CD-2C64-40DC-AA99-D9CB93A23296}"/>
    <cellStyle name="Calculation 2 5 3 6 2" xfId="26970" xr:uid="{80EAFE9E-CEAC-4558-B9D8-1E6C7692B3DE}"/>
    <cellStyle name="Calculation 2 5 3 6 2 2" xfId="33810" xr:uid="{1A1F9E9A-C4BD-4009-B9D7-287FD3DD85EA}"/>
    <cellStyle name="Calculation 2 5 3 6 3" xfId="29046" xr:uid="{A570A072-36D5-4748-BE16-27368E6892BB}"/>
    <cellStyle name="Calculation 2 5 3 6 3 2" xfId="35891" xr:uid="{6B76D7CD-C8FB-4D9E-8B0D-90E5EEC1D39D}"/>
    <cellStyle name="Calculation 2 5 3 6 4" xfId="31128" xr:uid="{719EE82A-DF79-4E06-A0DA-E9C5EE3EB087}"/>
    <cellStyle name="Calculation 2 5 3 7" xfId="23945" xr:uid="{6FF7256A-6F85-4E3E-B282-D4BA234A1718}"/>
    <cellStyle name="Calculation 2 5 3 7 2" xfId="26563" xr:uid="{2FFD04EF-6F09-4DA6-AE11-4998B12CE748}"/>
    <cellStyle name="Calculation 2 5 3 7 2 2" xfId="33403" xr:uid="{B6EB4521-8F7A-4880-9D45-62CEFCF7D0B2}"/>
    <cellStyle name="Calculation 2 5 3 7 3" xfId="26122" xr:uid="{8ACC39CC-885A-48AF-A3FA-0B80A0872841}"/>
    <cellStyle name="Calculation 2 5 3 7 3 2" xfId="32950" xr:uid="{66A8786D-49AD-4DC5-8440-67DC7AB4E5CC}"/>
    <cellStyle name="Calculation 2 5 3 7 4" xfId="23244" xr:uid="{2057ACE4-5DE2-40B8-BAB1-41BEA976A0A0}"/>
    <cellStyle name="Calculation 2 5 3 8" xfId="25492" xr:uid="{A12B7B3E-388E-4A31-8C1C-4A587E1D5DCF}"/>
    <cellStyle name="Calculation 2 5 3 8 2" xfId="28159" xr:uid="{5BB747DE-59D6-4A65-BD14-AC4607F88203}"/>
    <cellStyle name="Calculation 2 5 3 8 2 2" xfId="35004" xr:uid="{AACBAB4A-C24A-4AEB-86BF-7BCFCDDE4CCF}"/>
    <cellStyle name="Calculation 2 5 3 8 3" xfId="30240" xr:uid="{CA92331B-B704-4B00-9AD4-7CE842F2A2A3}"/>
    <cellStyle name="Calculation 2 5 3 8 3 2" xfId="37085" xr:uid="{4A2CD850-3B03-45A3-B71C-AFFEE3ACDED2}"/>
    <cellStyle name="Calculation 2 5 3 8 4" xfId="32322" xr:uid="{AA86C7D5-9271-4ACC-B444-A84D6368F374}"/>
    <cellStyle name="Calculation 2 5 3 9" xfId="24288" xr:uid="{904032FC-63AD-4AC9-9797-A5C3486AD4C7}"/>
    <cellStyle name="Calculation 2 5 3 9 2" xfId="26895" xr:uid="{A358C3ED-4AE3-4B52-BCEC-09B599E53618}"/>
    <cellStyle name="Calculation 2 5 3 9 2 2" xfId="33735" xr:uid="{4565A444-FD94-40A1-8C0C-C0C324B95ED3}"/>
    <cellStyle name="Calculation 2 5 3 9 3" xfId="28971" xr:uid="{3E2BA1C6-53C1-4936-8825-206EF650DEA9}"/>
    <cellStyle name="Calculation 2 5 3 9 3 2" xfId="35816" xr:uid="{80B26280-6B7A-4180-824E-F05D27D1E875}"/>
    <cellStyle name="Calculation 2 5 3 9 4" xfId="31053" xr:uid="{4CB079AD-572A-44AE-AFA7-94940FF7D844}"/>
    <cellStyle name="Calculation 2 5 4" xfId="18362" xr:uid="{5F06DA49-64F7-4BFD-8622-8595645FB960}"/>
    <cellStyle name="Calculation 2 5 4 10" xfId="19583" xr:uid="{A8718948-BC52-473E-836A-36A96B4C942A}"/>
    <cellStyle name="Calculation 2 5 4 11" xfId="20083" xr:uid="{08BB18DB-0731-4F40-AF43-0993EA000114}"/>
    <cellStyle name="Calculation 2 5 4 12" xfId="21728" xr:uid="{188949BA-9A45-4896-8A1C-30DD9E9613E9}"/>
    <cellStyle name="Calculation 2 5 4 13" xfId="22707" xr:uid="{734DE95F-7527-44DE-A85F-B7F0DBE8A5CF}"/>
    <cellStyle name="Calculation 2 5 4 14" xfId="21840" xr:uid="{B9C87BC9-4828-4F21-9B66-41B025CD89BE}"/>
    <cellStyle name="Calculation 2 5 4 15" xfId="21607" xr:uid="{FE2A0BCB-92CC-4295-86AF-5D4D7C1BB1FB}"/>
    <cellStyle name="Calculation 2 5 4 16" xfId="23465" xr:uid="{1C8CC5C5-DD3E-44AF-A535-80BE92C8FFFE}"/>
    <cellStyle name="Calculation 2 5 4 2" xfId="19994" xr:uid="{0EF79027-8B63-4D70-B8AB-5162B2E3FED1}"/>
    <cellStyle name="Calculation 2 5 4 3" xfId="19612" xr:uid="{5ADBF8D3-0099-45E6-86ED-935A99BC03FF}"/>
    <cellStyle name="Calculation 2 5 4 4" xfId="19493" xr:uid="{F8102E02-3376-4F67-BA1C-C280D7F34B7E}"/>
    <cellStyle name="Calculation 2 5 4 5" xfId="21532" xr:uid="{EA8CBA15-6795-47E9-9ED4-E98E2CD86BEB}"/>
    <cellStyle name="Calculation 2 5 4 6" xfId="19800" xr:uid="{7458BEB6-D170-46FC-AC10-637F1DC106FB}"/>
    <cellStyle name="Calculation 2 5 4 7" xfId="22060" xr:uid="{C985FEA9-BBCE-408E-A2E7-CFB3EC8A1B35}"/>
    <cellStyle name="Calculation 2 5 4 8" xfId="21352" xr:uid="{C9CBC149-69AD-43D2-B835-A5239D466B88}"/>
    <cellStyle name="Calculation 2 5 4 9" xfId="22268" xr:uid="{84BCA9A8-779B-4FFA-BEDF-D74BFBA976E7}"/>
    <cellStyle name="Calculation 2 5 5" xfId="17527" xr:uid="{B9FBC56C-26C3-425D-AF5A-84258284F030}"/>
    <cellStyle name="Calculation 2 5 5 2" xfId="27255" xr:uid="{6B61F42F-CD84-44EA-A62C-60925F276A5F}"/>
    <cellStyle name="Calculation 2 5 5 2 2" xfId="34099" xr:uid="{82301C73-56B1-4B0C-8B02-CBA83CEDD3B0}"/>
    <cellStyle name="Calculation 2 5 5 3" xfId="29335" xr:uid="{EA3C31E5-9BD1-4DA3-9436-A655968B6E56}"/>
    <cellStyle name="Calculation 2 5 5 3 2" xfId="36180" xr:uid="{FDB4AEAA-FE8B-456B-9E57-35821FDC26E0}"/>
    <cellStyle name="Calculation 2 5 5 4" xfId="24649" xr:uid="{72B7B0D2-4EFF-4297-BC7F-5DB740AD4167}"/>
    <cellStyle name="Calculation 2 5 5 5" xfId="31417" xr:uid="{3E533A15-FD1B-43F0-B7C9-B125E5976B91}"/>
    <cellStyle name="Calculation 2 5 6" xfId="24720" xr:uid="{774ECD92-FB7E-411B-8EE0-91AF463A25F1}"/>
    <cellStyle name="Calculation 2 5 6 2" xfId="27367" xr:uid="{F89ACABB-60DE-418A-A286-E1A2D2D7F004}"/>
    <cellStyle name="Calculation 2 5 6 2 2" xfId="34211" xr:uid="{0B2FB6F1-DAB4-4044-9F1B-F148066C53DE}"/>
    <cellStyle name="Calculation 2 5 6 3" xfId="29447" xr:uid="{93771945-0F1A-4B20-BD55-28E2C3F65F39}"/>
    <cellStyle name="Calculation 2 5 6 3 2" xfId="36292" xr:uid="{04EC54BB-8385-4D7C-A386-96BB096087A8}"/>
    <cellStyle name="Calculation 2 5 6 4" xfId="31529" xr:uid="{4437D6DB-11C6-42B1-BBFB-6715EC932459}"/>
    <cellStyle name="Calculation 2 5 7" xfId="24868" xr:uid="{7E57DA56-582C-4444-B4ED-1D29183A9971}"/>
    <cellStyle name="Calculation 2 5 7 2" xfId="27532" xr:uid="{1CFBFE0D-FB5D-4655-A9EB-FE82ECFFFC83}"/>
    <cellStyle name="Calculation 2 5 7 2 2" xfId="34376" xr:uid="{988CE97E-ABED-4DCB-89B3-B6D8E75C678C}"/>
    <cellStyle name="Calculation 2 5 7 3" xfId="29612" xr:uid="{F9E7630F-4DAF-4903-8F66-97D3E64E4A34}"/>
    <cellStyle name="Calculation 2 5 7 3 2" xfId="36457" xr:uid="{6DCE0A44-4C4F-48BE-81B8-8619976CE553}"/>
    <cellStyle name="Calculation 2 5 7 4" xfId="31694" xr:uid="{A4EA109C-6AE2-4B6A-8644-79C45DC9D7D6}"/>
    <cellStyle name="Calculation 2 5 8" xfId="24314" xr:uid="{3C7E8084-1CC0-400E-ADAA-08E969C37C7A}"/>
    <cellStyle name="Calculation 2 5 8 2" xfId="26920" xr:uid="{98E36665-C906-4B68-9951-4D78E346843E}"/>
    <cellStyle name="Calculation 2 5 8 2 2" xfId="33760" xr:uid="{52FEE64C-9D3E-498D-A57E-7905F33896C6}"/>
    <cellStyle name="Calculation 2 5 8 3" xfId="28996" xr:uid="{AFE345E6-522B-471B-A44F-5ED152149EC8}"/>
    <cellStyle name="Calculation 2 5 8 3 2" xfId="35841" xr:uid="{6927380F-45B9-4533-9606-7B69C6BEFFE2}"/>
    <cellStyle name="Calculation 2 5 8 4" xfId="31078" xr:uid="{997E413E-C4F3-4660-92AB-1429BA522351}"/>
    <cellStyle name="Calculation 2 5 9" xfId="24115" xr:uid="{C377790D-54C1-4443-80EE-8073608015CF}"/>
    <cellStyle name="Calculation 2 5 9 2" xfId="26727" xr:uid="{50836B7B-051B-40C3-A7C3-1E30A527920D}"/>
    <cellStyle name="Calculation 2 5 9 2 2" xfId="33567" xr:uid="{FD03DB0E-9ECF-466B-B644-8F9DCD03B9A4}"/>
    <cellStyle name="Calculation 2 5 9 3" xfId="28803" xr:uid="{C0EDA781-B1C2-4AA2-9E4D-E2FC67A0207E}"/>
    <cellStyle name="Calculation 2 5 9 3 2" xfId="35648" xr:uid="{4089F168-EB90-49A0-A3C8-6206040711CE}"/>
    <cellStyle name="Calculation 2 5 9 4" xfId="30885" xr:uid="{28D53F80-0B5E-4672-9362-27907071A87A}"/>
    <cellStyle name="Calculation 2 6" xfId="803" xr:uid="{00000000-0005-0000-0000-000036030000}"/>
    <cellStyle name="Calculation 2 6 10" xfId="25307" xr:uid="{B2CB6E8B-667B-4FC7-8EBD-1CAC283AE49E}"/>
    <cellStyle name="Calculation 2 6 10 2" xfId="27977" xr:uid="{3EE5D5A6-1F73-4E13-BF89-1FADE3822A00}"/>
    <cellStyle name="Calculation 2 6 10 2 2" xfId="34822" xr:uid="{BB643352-DE09-4DE7-863F-B85DEBED4BF5}"/>
    <cellStyle name="Calculation 2 6 10 3" xfId="30058" xr:uid="{E7838FB8-5379-4E25-9AF1-EAE7230B1E08}"/>
    <cellStyle name="Calculation 2 6 10 3 2" xfId="36903" xr:uid="{A217F570-2B4A-4268-B2F6-76C19D3FEF08}"/>
    <cellStyle name="Calculation 2 6 10 4" xfId="32140" xr:uid="{33147016-B6AC-4CF3-A7F2-C7E78489992F}"/>
    <cellStyle name="Calculation 2 6 11" xfId="25575" xr:uid="{8BB31850-C998-44E3-8F45-3700EBAD4041}"/>
    <cellStyle name="Calculation 2 6 11 2" xfId="28242" xr:uid="{5404268A-DFCD-4F34-AB82-0F310AF3A29E}"/>
    <cellStyle name="Calculation 2 6 11 2 2" xfId="35087" xr:uid="{0544EED7-32EC-4D79-991E-E792D8B18AF3}"/>
    <cellStyle name="Calculation 2 6 11 3" xfId="30323" xr:uid="{7B6A5296-57E2-4552-9C9C-494B5041E1E6}"/>
    <cellStyle name="Calculation 2 6 11 3 2" xfId="37168" xr:uid="{648F7051-1A02-491A-A6F5-7377DA557239}"/>
    <cellStyle name="Calculation 2 6 11 4" xfId="32405" xr:uid="{6C7566E5-61D2-4E0B-A494-D6A5E6305B22}"/>
    <cellStyle name="Calculation 2 6 12" xfId="23862" xr:uid="{93C634E2-482E-44DD-B53C-439F209CDD99}"/>
    <cellStyle name="Calculation 2 6 12 2" xfId="26481" xr:uid="{6A052CBD-66DF-48F8-A638-902188CB4C34}"/>
    <cellStyle name="Calculation 2 6 12 2 2" xfId="33321" xr:uid="{0361C7A4-B4D4-4E24-A7B9-D0D8528DDDFC}"/>
    <cellStyle name="Calculation 2 6 12 3" xfId="26202" xr:uid="{8D6AD9E9-7BEE-498C-9801-C9C965D4B709}"/>
    <cellStyle name="Calculation 2 6 12 3 2" xfId="33030" xr:uid="{74AFCF0E-09AD-4E40-88C7-A054CDEB9F5C}"/>
    <cellStyle name="Calculation 2 6 12 4" xfId="23324" xr:uid="{64A47EF4-9642-40B0-8E5F-8D04A8807918}"/>
    <cellStyle name="Calculation 2 6 13" xfId="25156" xr:uid="{A423DC19-6D7C-48FE-8A0A-79146CA57E86}"/>
    <cellStyle name="Calculation 2 6 13 2" xfId="27828" xr:uid="{6569D308-AA52-4F84-B8D2-553C40968B12}"/>
    <cellStyle name="Calculation 2 6 13 2 2" xfId="34673" xr:uid="{CE4CDEE8-3CFA-4B7E-AE2D-1A2BAB8F7680}"/>
    <cellStyle name="Calculation 2 6 13 3" xfId="29909" xr:uid="{76CEDD41-098D-46D8-9BF3-EB770615BECE}"/>
    <cellStyle name="Calculation 2 6 13 3 2" xfId="36754" xr:uid="{D2BB5734-CBEF-4238-A81B-434901BAF54F}"/>
    <cellStyle name="Calculation 2 6 13 4" xfId="31991" xr:uid="{F1824476-4CE4-4C70-A5E7-62777E45124D}"/>
    <cellStyle name="Calculation 2 6 14" xfId="24648" xr:uid="{F30F51F1-2E83-40F1-9764-099CD92FECA6}"/>
    <cellStyle name="Calculation 2 6 14 2" xfId="27254" xr:uid="{7CCF8754-36FC-4486-9914-94B204AD6AA2}"/>
    <cellStyle name="Calculation 2 6 14 2 2" xfId="34098" xr:uid="{2D2A81A2-93A8-4494-9DE3-F31DF9C2046A}"/>
    <cellStyle name="Calculation 2 6 14 3" xfId="29334" xr:uid="{3C2384E3-590E-4AB6-8EB2-6D275799D72A}"/>
    <cellStyle name="Calculation 2 6 14 3 2" xfId="36179" xr:uid="{95427B00-22A9-4A20-998F-6D11A7A27A3A}"/>
    <cellStyle name="Calculation 2 6 14 4" xfId="31416" xr:uid="{90C98323-3627-452A-AB65-BB5290C3EC16}"/>
    <cellStyle name="Calculation 2 6 15" xfId="24396" xr:uid="{84DAC5DC-51F9-43DF-84D4-2A4F0BC6B7A8}"/>
    <cellStyle name="Calculation 2 6 15 2" xfId="27012" xr:uid="{3560E53B-1401-42BC-9A12-CEA8D1854CBD}"/>
    <cellStyle name="Calculation 2 6 15 2 2" xfId="33852" xr:uid="{D6DFB0A5-70B3-4250-9B70-AF31AE3E3896}"/>
    <cellStyle name="Calculation 2 6 15 3" xfId="29088" xr:uid="{B16D37C9-F393-4D31-89FA-EED6ACD464D5}"/>
    <cellStyle name="Calculation 2 6 15 3 2" xfId="35933" xr:uid="{5A0998DE-ADD5-4D2C-8565-EF868B92B307}"/>
    <cellStyle name="Calculation 2 6 15 4" xfId="31170" xr:uid="{1234439E-8387-4B32-816B-85C8BCE497B3}"/>
    <cellStyle name="Calculation 2 6 16" xfId="23750" xr:uid="{7EBEAB4D-24AC-46A5-94E1-D8914B9EFC1A}"/>
    <cellStyle name="Calculation 2 6 16 2" xfId="26361" xr:uid="{4439A1C1-B05E-4974-8388-9ECB157976C7}"/>
    <cellStyle name="Calculation 2 6 16 2 2" xfId="33200" xr:uid="{058CA5F5-CA58-4CE3-B665-F28FFD7DDEFD}"/>
    <cellStyle name="Calculation 2 6 16 3" xfId="26320" xr:uid="{601F0AAE-7258-4140-A267-0F9F8B144310}"/>
    <cellStyle name="Calculation 2 6 16 3 2" xfId="33148" xr:uid="{7FA70626-0483-42E2-8BD6-0C03D9BB186E}"/>
    <cellStyle name="Calculation 2 6 16 4" xfId="23443" xr:uid="{C0C310E9-56BA-4FC4-82F5-B3FC278A133B}"/>
    <cellStyle name="Calculation 2 6 17" xfId="23622" xr:uid="{96F13065-FA01-4EAD-996A-44762FA70095}"/>
    <cellStyle name="Calculation 2 6 18" xfId="14197" xr:uid="{D27C3C44-7BE9-4D29-A10F-F933EF7F963E}"/>
    <cellStyle name="Calculation 2 6 19" xfId="17295" xr:uid="{AE62FB61-4DA1-4690-BA72-78B0DC52EE86}"/>
    <cellStyle name="Calculation 2 6 2" xfId="804" xr:uid="{00000000-0005-0000-0000-000037030000}"/>
    <cellStyle name="Calculation 2 6 20" xfId="46986" xr:uid="{8763AB09-6024-45CB-BAEE-01D270E9123A}"/>
    <cellStyle name="Calculation 2 6 21" xfId="40589" xr:uid="{3488E135-3346-4DA5-8C4E-646D066781E8}"/>
    <cellStyle name="Calculation 2 6 22" xfId="46144" xr:uid="{EE4CB54D-D541-49F8-AF92-AC098FA67C96}"/>
    <cellStyle name="Calculation 2 6 23" xfId="40975" xr:uid="{6C668031-52CB-497E-9470-DF9DA42F9842}"/>
    <cellStyle name="Calculation 2 6 3" xfId="805" xr:uid="{00000000-0005-0000-0000-000038030000}"/>
    <cellStyle name="Calculation 2 6 3 10" xfId="47361" xr:uid="{45E39037-5392-4EB6-8FD8-A8D5EA13B6CF}"/>
    <cellStyle name="Calculation 2 6 3 2" xfId="18365" xr:uid="{DA105557-9C77-4311-A61D-8E37ABD9B305}"/>
    <cellStyle name="Calculation 2 6 3 2 10" xfId="19429" xr:uid="{62BDAD5A-5F9E-46D4-9297-7FC40BE7347B}"/>
    <cellStyle name="Calculation 2 6 3 2 11" xfId="21213" xr:uid="{214401F7-C718-4BDD-982F-45216483F7EF}"/>
    <cellStyle name="Calculation 2 6 3 2 12" xfId="22699" xr:uid="{50A02E4B-AEFB-4395-BF4F-F8F91FC0E4D4}"/>
    <cellStyle name="Calculation 2 6 3 2 13" xfId="20636" xr:uid="{0DFD8D35-0F91-4C4E-B724-28E98C768D66}"/>
    <cellStyle name="Calculation 2 6 3 2 14" xfId="21285" xr:uid="{77FF22F0-4612-4CA8-B236-F5F9AC679793}"/>
    <cellStyle name="Calculation 2 6 3 2 15" xfId="22439" xr:uid="{5B8B05ED-6BC8-445C-8200-22D189E20274}"/>
    <cellStyle name="Calculation 2 6 3 2 16" xfId="33228" xr:uid="{FA9CAA8F-B1B0-4978-BCD7-20DA25311D78}"/>
    <cellStyle name="Calculation 2 6 3 2 2" xfId="19993" xr:uid="{2652C4DD-6CB7-45A1-B459-D43D3D47A06C}"/>
    <cellStyle name="Calculation 2 6 3 2 3" xfId="19675" xr:uid="{E0051F62-F4F3-483B-8B2D-278ECD6DDBA4}"/>
    <cellStyle name="Calculation 2 6 3 2 4" xfId="19437" xr:uid="{0CA50ED8-B28C-46ED-832D-8ED66794A8FA}"/>
    <cellStyle name="Calculation 2 6 3 2 5" xfId="18911" xr:uid="{AB326B11-BAE6-4CED-833D-8276DBD69155}"/>
    <cellStyle name="Calculation 2 6 3 2 6" xfId="20706" xr:uid="{B1F0F190-0912-4AB7-997A-70DF8477EF9F}"/>
    <cellStyle name="Calculation 2 6 3 2 7" xfId="20240" xr:uid="{8533FBCC-8D9F-4E73-A70C-29CE4CE96951}"/>
    <cellStyle name="Calculation 2 6 3 2 8" xfId="18897" xr:uid="{882283BC-F8F6-4AA1-B947-683B633E5818}"/>
    <cellStyle name="Calculation 2 6 3 2 9" xfId="21367" xr:uid="{4ED14D2C-E0AC-49EA-A677-6009FBD3FB1D}"/>
    <cellStyle name="Calculation 2 6 3 3" xfId="17909" xr:uid="{1681BF8C-39AC-4D56-AD87-A210FF9AD1B7}"/>
    <cellStyle name="Calculation 2 6 3 3 2" xfId="26293" xr:uid="{FC349492-AB7A-4D2E-A0FE-10C473A90EE3}"/>
    <cellStyle name="Calculation 2 6 3 3 3" xfId="33121" xr:uid="{C989EE7C-74C7-4E4F-B7B9-D26DB86BE770}"/>
    <cellStyle name="Calculation 2 6 3 4" xfId="23415" xr:uid="{A0D47863-97AC-4849-9233-3DD6C1E4739F}"/>
    <cellStyle name="Calculation 2 6 3 5" xfId="14199" xr:uid="{8BCE1DF2-913A-456A-9CB6-017C91483D5F}"/>
    <cellStyle name="Calculation 2 6 3 6" xfId="17294" xr:uid="{12B9AC84-5BD4-431D-88FB-2ECA1893FE2F}"/>
    <cellStyle name="Calculation 2 6 3 7" xfId="40269" xr:uid="{8EDD8BB8-D1A8-4DD3-A997-372B9D7587D3}"/>
    <cellStyle name="Calculation 2 6 3 8" xfId="46517" xr:uid="{4192BE86-2396-43B0-8A31-D03A3BB92082}"/>
    <cellStyle name="Calculation 2 6 3 9" xfId="16527" xr:uid="{57FB53D7-AD3E-454F-A0D9-56539FE7C391}"/>
    <cellStyle name="Calculation 2 6 4" xfId="18364" xr:uid="{C262C0EF-34E2-4A6E-A9E0-2F2E967FB3F4}"/>
    <cellStyle name="Calculation 2 6 4 10" xfId="19519" xr:uid="{6EF82678-5AC3-4784-AA35-3DF9D8DBDB8D}"/>
    <cellStyle name="Calculation 2 6 4 11" xfId="20173" xr:uid="{9BE0564A-D731-434E-8C79-58972D38E935}"/>
    <cellStyle name="Calculation 2 6 4 12" xfId="20400" xr:uid="{7AE5DAAA-0E35-4130-94B6-E86ABE59AF01}"/>
    <cellStyle name="Calculation 2 6 4 13" xfId="22021" xr:uid="{CF70D61F-F29A-4C57-831C-9D1904AE0509}"/>
    <cellStyle name="Calculation 2 6 4 14" xfId="22701" xr:uid="{941C08CE-6574-46E3-9EC7-7410268E40D7}"/>
    <cellStyle name="Calculation 2 6 4 15" xfId="22477" xr:uid="{E9CCCC07-9B6C-43FB-8B09-4163D4D3A556}"/>
    <cellStyle name="Calculation 2 6 4 16" xfId="30993" xr:uid="{85ACB8AF-BC90-4858-B570-FBB4F544679B}"/>
    <cellStyle name="Calculation 2 6 4 2" xfId="21279" xr:uid="{4DC7EDA2-86DD-4F49-AA92-8AB313027344}"/>
    <cellStyle name="Calculation 2 6 4 2 2" xfId="26835" xr:uid="{F07BEE77-E569-4DB5-8526-E9803DA1B44E}"/>
    <cellStyle name="Calculation 2 6 4 2 3" xfId="33675" xr:uid="{CC9148D8-20BB-4C54-A798-76355E438919}"/>
    <cellStyle name="Calculation 2 6 4 3" xfId="21691" xr:uid="{9F818618-8FF5-4746-BE16-EC4D7B94D285}"/>
    <cellStyle name="Calculation 2 6 4 3 2" xfId="28911" xr:uid="{D876BDF7-073F-4E3C-A3AB-E89A88B2094C}"/>
    <cellStyle name="Calculation 2 6 4 3 3" xfId="35756" xr:uid="{544632B5-66F7-4E69-9212-1E6EA5013C9E}"/>
    <cellStyle name="Calculation 2 6 4 4" xfId="19145" xr:uid="{772E99B6-8080-4F28-B51B-8356543BA918}"/>
    <cellStyle name="Calculation 2 6 4 5" xfId="20277" xr:uid="{5F433CAD-5478-40DE-B004-95642A9D3399}"/>
    <cellStyle name="Calculation 2 6 4 6" xfId="20733" xr:uid="{608D6C15-5284-41B7-878F-BDA194C38F6C}"/>
    <cellStyle name="Calculation 2 6 4 7" xfId="20187" xr:uid="{CF844326-A098-4F70-AB7C-47546464D160}"/>
    <cellStyle name="Calculation 2 6 4 8" xfId="19520" xr:uid="{2834C7E0-FAAC-4206-9BAF-5E332FAD0D05}"/>
    <cellStyle name="Calculation 2 6 4 9" xfId="21774" xr:uid="{986D565D-5033-450D-A570-8566D8CE6E9A}"/>
    <cellStyle name="Calculation 2 6 5" xfId="17586" xr:uid="{93E7259B-D73C-458D-9F4F-D8866C3A42BC}"/>
    <cellStyle name="Calculation 2 6 5 2" xfId="27451" xr:uid="{4A93C559-3FB7-400B-B558-B14AC7C30273}"/>
    <cellStyle name="Calculation 2 6 5 2 2" xfId="34295" xr:uid="{70246FD3-3B89-42F5-86BD-780575C80522}"/>
    <cellStyle name="Calculation 2 6 5 3" xfId="29531" xr:uid="{BB811AD4-8A59-4E1F-B1B0-E5EF12DA96F7}"/>
    <cellStyle name="Calculation 2 6 5 3 2" xfId="36376" xr:uid="{48D28CF5-9BDE-4A09-9A57-46E6242C99B6}"/>
    <cellStyle name="Calculation 2 6 5 4" xfId="24798" xr:uid="{5A20B55D-000A-4215-8579-97951A961547}"/>
    <cellStyle name="Calculation 2 6 5 5" xfId="31613" xr:uid="{5285ABEA-1FA1-4F69-8352-3E8F6D882718}"/>
    <cellStyle name="Calculation 2 6 6" xfId="24332" xr:uid="{58EF27AA-78F7-48BA-A540-D78CFF8AB50F}"/>
    <cellStyle name="Calculation 2 6 6 2" xfId="26938" xr:uid="{54A02EA2-8068-4675-8ADB-716B0476A4EA}"/>
    <cellStyle name="Calculation 2 6 6 2 2" xfId="33778" xr:uid="{6BE75BBB-9E16-4677-9F07-C617E99D84B4}"/>
    <cellStyle name="Calculation 2 6 6 3" xfId="29014" xr:uid="{4F01F787-0D39-4724-AC4C-FF7EAF704879}"/>
    <cellStyle name="Calculation 2 6 6 3 2" xfId="35859" xr:uid="{D4C0B5C6-9B4F-4BE7-B1E6-89A926A2C20D}"/>
    <cellStyle name="Calculation 2 6 6 4" xfId="31096" xr:uid="{1B94975A-FB36-4AC0-B2F9-88D0563717E1}"/>
    <cellStyle name="Calculation 2 6 7" xfId="23888" xr:uid="{119AF9E5-45B1-4F78-9E40-DA9D76A8A23E}"/>
    <cellStyle name="Calculation 2 6 7 2" xfId="26506" xr:uid="{5F3A5DA0-A2D4-4311-9CB1-B163913750E7}"/>
    <cellStyle name="Calculation 2 6 7 2 2" xfId="33346" xr:uid="{4A4FC8B4-507A-463A-8977-C163F2566E07}"/>
    <cellStyle name="Calculation 2 6 7 3" xfId="26178" xr:uid="{FBB8325D-7709-4C2A-B81F-8158BAC65F3C}"/>
    <cellStyle name="Calculation 2 6 7 3 2" xfId="33006" xr:uid="{907FD3E3-5461-42BD-BF11-615CFAACD24B}"/>
    <cellStyle name="Calculation 2 6 7 4" xfId="23300" xr:uid="{46254664-43EC-462B-AC79-2FA62A2FF8DA}"/>
    <cellStyle name="Calculation 2 6 8" xfId="23788" xr:uid="{8A885EF6-FF39-4CA0-9F65-BBEF1213F417}"/>
    <cellStyle name="Calculation 2 6 8 2" xfId="26401" xr:uid="{25B30696-9167-489A-85BE-1629F38DEC4C}"/>
    <cellStyle name="Calculation 2 6 8 2 2" xfId="33241" xr:uid="{98A47E8E-6444-4D08-9821-7A12C0AB2BB2}"/>
    <cellStyle name="Calculation 2 6 8 3" xfId="26280" xr:uid="{DE379A77-CEC9-461E-8904-88E68DF41AF9}"/>
    <cellStyle name="Calculation 2 6 8 3 2" xfId="33108" xr:uid="{3FF8CBC9-B8F6-4126-B9FB-8D6B6E5B774A}"/>
    <cellStyle name="Calculation 2 6 8 4" xfId="23403" xr:uid="{01332AC8-3575-4CD2-B0AE-EDC51B816F83}"/>
    <cellStyle name="Calculation 2 6 9" xfId="24173" xr:uid="{3E0DCBBD-5236-473D-B08A-6C2BBAF92CA3}"/>
    <cellStyle name="Calculation 2 6 9 2" xfId="26784" xr:uid="{1B22B57D-5FAD-4058-B085-DB4503D87352}"/>
    <cellStyle name="Calculation 2 6 9 2 2" xfId="33624" xr:uid="{711C2A36-6F7E-464B-8CD0-91909D840F0A}"/>
    <cellStyle name="Calculation 2 6 9 3" xfId="28860" xr:uid="{C4675094-0E35-4BB3-A89A-D9EA1B4D77C0}"/>
    <cellStyle name="Calculation 2 6 9 3 2" xfId="35705" xr:uid="{8AB95497-B1BF-4141-AB37-CDAF40BCBBA5}"/>
    <cellStyle name="Calculation 2 6 9 4" xfId="30942" xr:uid="{C1DEE4F7-5FB6-4535-8120-64038D5E52B4}"/>
    <cellStyle name="Calculation 2 7" xfId="806" xr:uid="{00000000-0005-0000-0000-000039030000}"/>
    <cellStyle name="Calculation 2 7 10" xfId="48267" xr:uid="{DB2D1412-79CD-4296-B8A1-9C08575DC392}"/>
    <cellStyle name="Calculation 2 7 11" xfId="48599" xr:uid="{0CC5601D-F4DB-4FCE-9147-8D30F6CAF4E9}"/>
    <cellStyle name="Calculation 2 7 2" xfId="807" xr:uid="{00000000-0005-0000-0000-00003A030000}"/>
    <cellStyle name="Calculation 2 7 3" xfId="808" xr:uid="{00000000-0005-0000-0000-00003B030000}"/>
    <cellStyle name="Calculation 2 7 3 2" xfId="18367" xr:uid="{70A537D4-B299-4629-A9E9-F6C4B997B2DB}"/>
    <cellStyle name="Calculation 2 7 3 2 10" xfId="21912" xr:uid="{B3A48279-40A3-4DAC-9CB5-736CE033861D}"/>
    <cellStyle name="Calculation 2 7 3 2 11" xfId="20500" xr:uid="{5AAE8944-A09F-4052-A3CF-B76B18BC9726}"/>
    <cellStyle name="Calculation 2 7 3 2 12" xfId="20443" xr:uid="{084F5BF9-C117-4131-BAE7-AE66BC4FE267}"/>
    <cellStyle name="Calculation 2 7 3 2 13" xfId="19238" xr:uid="{37D08CBE-3727-4DBC-AD62-EA12C16FC002}"/>
    <cellStyle name="Calculation 2 7 3 2 14" xfId="21644" xr:uid="{A21862A5-A59C-4EFB-8C94-C0258CED4C9F}"/>
    <cellStyle name="Calculation 2 7 3 2 15" xfId="22773" xr:uid="{75AD15C1-7170-464D-9042-A3277FA05EA1}"/>
    <cellStyle name="Calculation 2 7 3 2 2" xfId="19991" xr:uid="{ACD84C33-0348-4C40-8561-7466BA43D6FF}"/>
    <cellStyle name="Calculation 2 7 3 2 3" xfId="21122" xr:uid="{98E64D27-32B8-4E22-AF7E-EEE9F96E6D9D}"/>
    <cellStyle name="Calculation 2 7 3 2 4" xfId="19146" xr:uid="{976D073F-4E5B-440D-A432-12BD0796153C}"/>
    <cellStyle name="Calculation 2 7 3 2 5" xfId="19719" xr:uid="{0545DB27-11B4-4D59-ACA9-1C8F4E098A89}"/>
    <cellStyle name="Calculation 2 7 3 2 6" xfId="20050" xr:uid="{36865189-0EB6-4952-91EE-C4AB8419B73B}"/>
    <cellStyle name="Calculation 2 7 3 2 7" xfId="19559" xr:uid="{1AC91294-900D-4CF9-9268-DF22009C43DD}"/>
    <cellStyle name="Calculation 2 7 3 2 8" xfId="21993" xr:uid="{3A8952C0-4A51-450F-BEA0-8B62545E5370}"/>
    <cellStyle name="Calculation 2 7 3 2 9" xfId="21479" xr:uid="{1B323D09-E9C3-4268-8B81-741DFE1152D8}"/>
    <cellStyle name="Calculation 2 7 3 3" xfId="17911" xr:uid="{91606EDC-9124-4E29-81C3-7566F3A2B373}"/>
    <cellStyle name="Calculation 2 7 3 4" xfId="14202" xr:uid="{0B6735C1-ACE5-4AFF-B509-758660FEECC3}"/>
    <cellStyle name="Calculation 2 7 3 5" xfId="15539" xr:uid="{5E2E726B-6FD3-44AE-BEBC-7F88359D54AE}"/>
    <cellStyle name="Calculation 2 7 3 6" xfId="40266" xr:uid="{9FA10156-3ECC-4012-B354-4012804D0A22}"/>
    <cellStyle name="Calculation 2 7 3 7" xfId="15403" xr:uid="{A9B306FC-1354-43F1-912A-7EC40A84A4F4}"/>
    <cellStyle name="Calculation 2 7 3 8" xfId="46768" xr:uid="{1BC43C43-2769-4C48-8DF9-699C0D5CE71B}"/>
    <cellStyle name="Calculation 2 7 3 9" xfId="46131" xr:uid="{4665F29C-3059-44FC-89AE-F811448CEB29}"/>
    <cellStyle name="Calculation 2 7 4" xfId="18366" xr:uid="{EB37563E-CEDD-4717-9781-1C119BC9E564}"/>
    <cellStyle name="Calculation 2 7 4 10" xfId="19189" xr:uid="{B073DF77-EB59-450A-9B5F-96EDDC506B37}"/>
    <cellStyle name="Calculation 2 7 4 11" xfId="22465" xr:uid="{E554ED82-CB72-491F-9DAC-B461FD5673B7}"/>
    <cellStyle name="Calculation 2 7 4 12" xfId="20332" xr:uid="{8D577306-A3C9-4C4A-82D3-F97A9A7E71CE}"/>
    <cellStyle name="Calculation 2 7 4 13" xfId="20359" xr:uid="{96C368F5-55EA-4319-98C2-4DEA62112659}"/>
    <cellStyle name="Calculation 2 7 4 14" xfId="19625" xr:uid="{FA55BF35-A3E5-45F8-85E4-7C69468ADE99}"/>
    <cellStyle name="Calculation 2 7 4 15" xfId="20139" xr:uid="{0658E87A-A391-4E7C-AFF3-7BDD28DFF624}"/>
    <cellStyle name="Calculation 2 7 4 2" xfId="19992" xr:uid="{A4A94C5C-ED34-4C85-B7B9-044AF316FB7D}"/>
    <cellStyle name="Calculation 2 7 4 3" xfId="19533" xr:uid="{1EEA9067-5808-4E99-A3EF-42A1AB3FF4A1}"/>
    <cellStyle name="Calculation 2 7 4 4" xfId="19660" xr:uid="{A5F48EFD-3A65-4637-98A1-F2E04E4EA154}"/>
    <cellStyle name="Calculation 2 7 4 5" xfId="20090" xr:uid="{B6E37CE6-CADA-4C57-A480-F011484D805B}"/>
    <cellStyle name="Calculation 2 7 4 6" xfId="19159" xr:uid="{4C2E5D61-9C11-4B19-A3AA-C1D6E0EE1B36}"/>
    <cellStyle name="Calculation 2 7 4 7" xfId="20385" xr:uid="{7CD06466-C189-4828-BCA3-CAF312A98612}"/>
    <cellStyle name="Calculation 2 7 4 8" xfId="19285" xr:uid="{0E369DCC-6A4F-47E5-BCC9-B55B0538638C}"/>
    <cellStyle name="Calculation 2 7 4 9" xfId="18987" xr:uid="{64539AA6-07D4-495F-8FDF-2005D60AD759}"/>
    <cellStyle name="Calculation 2 7 5" xfId="17910" xr:uid="{B17CA411-514E-452C-B010-DBE628A15153}"/>
    <cellStyle name="Calculation 2 7 6" xfId="14200" xr:uid="{A908C54C-9B29-4376-9703-F34D0D6B94EC}"/>
    <cellStyle name="Calculation 2 7 7" xfId="15540" xr:uid="{F36178E0-82DF-41B7-B5DB-3494A4B95853}"/>
    <cellStyle name="Calculation 2 7 8" xfId="46984" xr:uid="{979552FC-6C2A-478D-A460-7D88C88BAB34}"/>
    <cellStyle name="Calculation 2 7 9" xfId="40591" xr:uid="{725DE49A-6567-488F-BC2A-350BBDDAE037}"/>
    <cellStyle name="Calculation 2 8" xfId="809" xr:uid="{00000000-0005-0000-0000-00003C030000}"/>
    <cellStyle name="Calculation 2 9" xfId="810" xr:uid="{00000000-0005-0000-0000-00003D030000}"/>
    <cellStyle name="Calculation 3" xfId="811" xr:uid="{00000000-0005-0000-0000-00003E030000}"/>
    <cellStyle name="Case" xfId="812" xr:uid="{00000000-0005-0000-0000-00003F030000}"/>
    <cellStyle name="Cellule liée" xfId="813" xr:uid="{00000000-0005-0000-0000-000040030000}"/>
    <cellStyle name="Check" xfId="814" xr:uid="{00000000-0005-0000-0000-000041030000}"/>
    <cellStyle name="Check Cell" xfId="5539" builtinId="23" customBuiltin="1"/>
    <cellStyle name="Check Cell 2" xfId="815" xr:uid="{00000000-0005-0000-0000-000043030000}"/>
    <cellStyle name="Check Cell 2 2" xfId="816" xr:uid="{00000000-0005-0000-0000-000044030000}"/>
    <cellStyle name="Check Cell 2 3" xfId="817" xr:uid="{00000000-0005-0000-0000-000045030000}"/>
    <cellStyle name="Check Cell 2 4" xfId="818" xr:uid="{00000000-0005-0000-0000-000046030000}"/>
    <cellStyle name="Check Cell 2 5" xfId="819" xr:uid="{00000000-0005-0000-0000-000047030000}"/>
    <cellStyle name="Check Cell 2 6" xfId="820" xr:uid="{00000000-0005-0000-0000-000048030000}"/>
    <cellStyle name="Check Cell 2 7" xfId="821" xr:uid="{00000000-0005-0000-0000-000049030000}"/>
    <cellStyle name="Check Cell 2 8" xfId="822" xr:uid="{00000000-0005-0000-0000-00004A030000}"/>
    <cellStyle name="Check Cell 2 9" xfId="823" xr:uid="{00000000-0005-0000-0000-00004B030000}"/>
    <cellStyle name="Check Cell 3" xfId="824" xr:uid="{00000000-0005-0000-0000-00004C030000}"/>
    <cellStyle name="Chiffre" xfId="825" xr:uid="{00000000-0005-0000-0000-00004D030000}"/>
    <cellStyle name="Colhead_left" xfId="826" xr:uid="{00000000-0005-0000-0000-00004E030000}"/>
    <cellStyle name="ColHeading" xfId="827" xr:uid="{00000000-0005-0000-0000-00004F030000}"/>
    <cellStyle name="Column Title" xfId="828" xr:uid="{00000000-0005-0000-0000-000050030000}"/>
    <cellStyle name="ColumnHeadings" xfId="829" xr:uid="{00000000-0005-0000-0000-000051030000}"/>
    <cellStyle name="ColumnHeadings2" xfId="830" xr:uid="{00000000-0005-0000-0000-000052030000}"/>
    <cellStyle name="ColumnHeadings2 2" xfId="9269" xr:uid="{00000000-0005-0000-0000-000012030000}"/>
    <cellStyle name="Comma" xfId="831" builtinId="3"/>
    <cellStyle name="Comma  - Style1" xfId="832" xr:uid="{00000000-0005-0000-0000-000054030000}"/>
    <cellStyle name="Comma  - Style1 2" xfId="6400" xr:uid="{00000000-0005-0000-0000-000078170000}"/>
    <cellStyle name="Comma  - Style2" xfId="833" xr:uid="{00000000-0005-0000-0000-000055030000}"/>
    <cellStyle name="Comma  - Style2 2" xfId="6401" xr:uid="{00000000-0005-0000-0000-000079170000}"/>
    <cellStyle name="Comma  - Style3" xfId="834" xr:uid="{00000000-0005-0000-0000-000056030000}"/>
    <cellStyle name="Comma  - Style3 2" xfId="6402" xr:uid="{00000000-0005-0000-0000-00007A170000}"/>
    <cellStyle name="Comma  - Style4" xfId="835" xr:uid="{00000000-0005-0000-0000-000057030000}"/>
    <cellStyle name="Comma  - Style4 2" xfId="6403" xr:uid="{00000000-0005-0000-0000-00007B170000}"/>
    <cellStyle name="Comma  - Style5" xfId="836" xr:uid="{00000000-0005-0000-0000-000058030000}"/>
    <cellStyle name="Comma  - Style5 2" xfId="6404" xr:uid="{00000000-0005-0000-0000-00007C170000}"/>
    <cellStyle name="Comma  - Style6" xfId="837" xr:uid="{00000000-0005-0000-0000-000059030000}"/>
    <cellStyle name="Comma  - Style6 2" xfId="6405" xr:uid="{00000000-0005-0000-0000-00007D170000}"/>
    <cellStyle name="Comma  - Style7" xfId="838" xr:uid="{00000000-0005-0000-0000-00005A030000}"/>
    <cellStyle name="Comma  - Style7 2" xfId="6406" xr:uid="{00000000-0005-0000-0000-00007E170000}"/>
    <cellStyle name="Comma  - Style8" xfId="839" xr:uid="{00000000-0005-0000-0000-00005B030000}"/>
    <cellStyle name="Comma  - Style8 2" xfId="6407" xr:uid="{00000000-0005-0000-0000-00007F170000}"/>
    <cellStyle name="Comma ," xfId="840" xr:uid="{00000000-0005-0000-0000-00005C030000}"/>
    <cellStyle name="Comma , 2" xfId="841" xr:uid="{00000000-0005-0000-0000-00005D030000}"/>
    <cellStyle name="Comma [00]" xfId="842" xr:uid="{00000000-0005-0000-0000-00005E030000}"/>
    <cellStyle name="Comma [00] 2" xfId="6410" xr:uid="{00000000-0005-0000-0000-000080170000}"/>
    <cellStyle name="Comma [1]" xfId="843" xr:uid="{00000000-0005-0000-0000-00005F030000}"/>
    <cellStyle name="Comma [2]" xfId="844" xr:uid="{00000000-0005-0000-0000-000060030000}"/>
    <cellStyle name="Comma [3]" xfId="845" xr:uid="{00000000-0005-0000-0000-000061030000}"/>
    <cellStyle name="Comma 0" xfId="846" xr:uid="{00000000-0005-0000-0000-000062030000}"/>
    <cellStyle name="Comma 0*" xfId="847" xr:uid="{00000000-0005-0000-0000-000063030000}"/>
    <cellStyle name="Comma 0_Merger Model_KN&amp;Fzio_v2.30 - Street" xfId="848" xr:uid="{00000000-0005-0000-0000-000064030000}"/>
    <cellStyle name="Comma 10" xfId="849" xr:uid="{00000000-0005-0000-0000-000065030000}"/>
    <cellStyle name="Comma 10 2" xfId="850" xr:uid="{00000000-0005-0000-0000-000066030000}"/>
    <cellStyle name="Comma 10 2 2" xfId="851" xr:uid="{00000000-0005-0000-0000-000067030000}"/>
    <cellStyle name="Comma 10 2 3" xfId="852" xr:uid="{00000000-0005-0000-0000-000068030000}"/>
    <cellStyle name="Comma 10 3" xfId="853" xr:uid="{00000000-0005-0000-0000-000069030000}"/>
    <cellStyle name="Comma 10 3 2" xfId="854" xr:uid="{00000000-0005-0000-0000-00006A030000}"/>
    <cellStyle name="Comma 10 4" xfId="855" xr:uid="{00000000-0005-0000-0000-00006B030000}"/>
    <cellStyle name="Comma 10 4 2" xfId="856" xr:uid="{00000000-0005-0000-0000-00006C030000}"/>
    <cellStyle name="Comma 10 5" xfId="857" xr:uid="{00000000-0005-0000-0000-00006D030000}"/>
    <cellStyle name="Comma 10 5 2" xfId="858" xr:uid="{00000000-0005-0000-0000-00006E030000}"/>
    <cellStyle name="Comma 10 6" xfId="859" xr:uid="{00000000-0005-0000-0000-00006F030000}"/>
    <cellStyle name="Comma 10 6 2" xfId="6427" xr:uid="{00000000-0005-0000-0000-000082170000}"/>
    <cellStyle name="Comma 10 6 2 2" xfId="24717" xr:uid="{1266B654-33B5-4F41-BED8-DB7BDFD9762C}"/>
    <cellStyle name="Comma 10 6 3" xfId="16628" xr:uid="{0C0804B3-9FC3-44C1-BE27-5DA32ECA8A86}"/>
    <cellStyle name="Comma 10 7" xfId="6417" xr:uid="{00000000-0005-0000-0000-000081170000}"/>
    <cellStyle name="Comma 10 7 2" xfId="17912" xr:uid="{6515ED59-0C0C-466D-9EAE-0A6E6305147C}"/>
    <cellStyle name="Comma 10 8" xfId="12584" xr:uid="{00000000-0005-0000-0000-000023030000}"/>
    <cellStyle name="Comma 10 8 2" xfId="45055" xr:uid="{5F387B93-150C-46D8-AE59-0413790870FE}"/>
    <cellStyle name="Comma 10 9" xfId="14225" xr:uid="{B892EE25-1ED1-4D3A-AC50-DA2BE1C40551}"/>
    <cellStyle name="Comma 11" xfId="860" xr:uid="{00000000-0005-0000-0000-000070030000}"/>
    <cellStyle name="Comma 11 2" xfId="861" xr:uid="{00000000-0005-0000-0000-000071030000}"/>
    <cellStyle name="Comma 11 2 2" xfId="6429" xr:uid="{00000000-0005-0000-0000-000084170000}"/>
    <cellStyle name="Comma 11 2 3" xfId="17341" xr:uid="{0EA5061F-9829-4D6B-A1A9-A1617146D1B2}"/>
    <cellStyle name="Comma 11 3" xfId="862" xr:uid="{00000000-0005-0000-0000-000072030000}"/>
    <cellStyle name="Comma 11 3 2" xfId="6430" xr:uid="{00000000-0005-0000-0000-000085170000}"/>
    <cellStyle name="Comma 11 3 3" xfId="16633" xr:uid="{74B8AB44-C832-4E38-95D5-FACA77C4C7CC}"/>
    <cellStyle name="Comma 11 4" xfId="6428" xr:uid="{00000000-0005-0000-0000-000083170000}"/>
    <cellStyle name="Comma 11 5" xfId="12577" xr:uid="{00000000-0005-0000-0000-000028030000}"/>
    <cellStyle name="Comma 11 5 2" xfId="45048" xr:uid="{A2859B91-A18A-429E-B830-5C70DB414761}"/>
    <cellStyle name="Comma 11 6" xfId="14229" xr:uid="{34867167-17E4-460D-89DF-3AB22B7771C7}"/>
    <cellStyle name="Comma 12" xfId="863" xr:uid="{00000000-0005-0000-0000-000073030000}"/>
    <cellStyle name="Comma 12 2" xfId="864" xr:uid="{00000000-0005-0000-0000-000074030000}"/>
    <cellStyle name="Comma 13" xfId="865" xr:uid="{00000000-0005-0000-0000-000075030000}"/>
    <cellStyle name="Comma 13 2" xfId="6433" xr:uid="{00000000-0005-0000-0000-000086170000}"/>
    <cellStyle name="Comma 13 2 2" xfId="23176" xr:uid="{0E583467-55EE-4340-9744-FF87F526CE8E}"/>
    <cellStyle name="Comma 13 3" xfId="9323" xr:uid="{00000000-0005-0000-0000-000038030000}"/>
    <cellStyle name="Comma 13 3 2" xfId="41845" xr:uid="{9F8424ED-742F-4FCA-911D-06403EBBC75B}"/>
    <cellStyle name="Comma 13 4" xfId="17344" xr:uid="{BBC3EDA3-4C70-4FEE-B4AF-7C6853753AAF}"/>
    <cellStyle name="Comma 134" xfId="12985" xr:uid="{35369E62-3251-428B-8B72-F1D07C5EEED1}"/>
    <cellStyle name="Comma 134 2" xfId="45450" xr:uid="{D1A1F81A-E4B0-4813-96A9-43D52531CE0C}"/>
    <cellStyle name="Comma 14" xfId="866" xr:uid="{00000000-0005-0000-0000-000076030000}"/>
    <cellStyle name="Comma 14 2" xfId="6434" xr:uid="{00000000-0005-0000-0000-000087170000}"/>
    <cellStyle name="Comma 14 2 2" xfId="26063" xr:uid="{9ED32D2D-0018-4237-B6C4-493F6B7EFE35}"/>
    <cellStyle name="Comma 14 3" xfId="9415" xr:uid="{00000000-0005-0000-0000-000039030000}"/>
    <cellStyle name="Comma 14 3 2" xfId="41908" xr:uid="{0F745025-134C-49AE-8FE3-8954B647DFCB}"/>
    <cellStyle name="Comma 14 4" xfId="17350" xr:uid="{A1C3605A-667A-44F7-BBF6-6701C5865F50}"/>
    <cellStyle name="Comma 15" xfId="867" xr:uid="{00000000-0005-0000-0000-000077030000}"/>
    <cellStyle name="Comma 15 2" xfId="6435" xr:uid="{00000000-0005-0000-0000-000088170000}"/>
    <cellStyle name="Comma 15 3" xfId="9420" xr:uid="{00000000-0005-0000-0000-00003A030000}"/>
    <cellStyle name="Comma 15 3 2" xfId="41910" xr:uid="{46912D91-8AD9-4E51-AB3A-994FEC07C2E4}"/>
    <cellStyle name="Comma 15 4" xfId="18719" xr:uid="{732A9A1D-69E8-4906-92EE-44403F1CDF9D}"/>
    <cellStyle name="Comma 16" xfId="5568" xr:uid="{00000000-0005-0000-0000-000078030000}"/>
    <cellStyle name="Comma 16 2" xfId="9423" xr:uid="{00000000-0005-0000-0000-00003B030000}"/>
    <cellStyle name="Comma 16 2 2" xfId="41913" xr:uid="{93A49532-B4D9-4646-BA41-2F1213F33A60}"/>
    <cellStyle name="Comma 16 3" xfId="18640" xr:uid="{35BDE9AC-39D9-4941-BFAD-4F4D702E0267}"/>
    <cellStyle name="Comma 16 4" xfId="39567" xr:uid="{F5D7E4F0-8C5E-4B53-B18F-68511661B9F1}"/>
    <cellStyle name="Comma 17" xfId="9421" xr:uid="{00000000-0005-0000-0000-00003C030000}"/>
    <cellStyle name="Comma 17 2" xfId="17413" xr:uid="{8C65D05D-927D-41B3-8B61-06DBB876FB69}"/>
    <cellStyle name="Comma 17 3" xfId="41911" xr:uid="{A76E9E87-3E93-4FC2-9BC9-516E9DC2592D}"/>
    <cellStyle name="Comma 18" xfId="12966" xr:uid="{00000000-0005-0000-0000-0000ED270000}"/>
    <cellStyle name="Comma 18 2" xfId="19497" xr:uid="{D0552660-4060-47DD-B08F-A056ACF01999}"/>
    <cellStyle name="Comma 18 3" xfId="45434" xr:uid="{DD2ADC74-91B2-4FD8-8890-690582E397A4}"/>
    <cellStyle name="Comma 19" xfId="13609" xr:uid="{00000000-0005-0000-0000-000034350000}"/>
    <cellStyle name="Comma 19 2" xfId="20886" xr:uid="{B9C6B2A2-3654-4E89-AF8D-2B869BAE0BA6}"/>
    <cellStyle name="Comma 19 3" xfId="46073" xr:uid="{03A1F92E-BBB9-4270-900B-DC350B5A10C0}"/>
    <cellStyle name="Comma 2" xfId="868" xr:uid="{00000000-0005-0000-0000-000079030000}"/>
    <cellStyle name="Comma 2 10" xfId="869" xr:uid="{00000000-0005-0000-0000-00007A030000}"/>
    <cellStyle name="Comma 2 10 2" xfId="870" xr:uid="{00000000-0005-0000-0000-00007B030000}"/>
    <cellStyle name="Comma 2 11" xfId="871" xr:uid="{00000000-0005-0000-0000-00007C030000}"/>
    <cellStyle name="Comma 2 11 2" xfId="872" xr:uid="{00000000-0005-0000-0000-00007D030000}"/>
    <cellStyle name="Comma 2 11 2 2" xfId="873" xr:uid="{00000000-0005-0000-0000-00007E030000}"/>
    <cellStyle name="Comma 2 11 2 2 2" xfId="874" xr:uid="{00000000-0005-0000-0000-00007F030000}"/>
    <cellStyle name="Comma 2 11 2 2 2 2" xfId="6442" xr:uid="{00000000-0005-0000-0000-00008D170000}"/>
    <cellStyle name="Comma 2 11 2 2 2 3" xfId="16638" xr:uid="{3842A8FE-CD21-41B9-AC3F-85FA6707D262}"/>
    <cellStyle name="Comma 2 11 2 2 3" xfId="6441" xr:uid="{00000000-0005-0000-0000-00008C170000}"/>
    <cellStyle name="Comma 2 11 2 2 4" xfId="12566" xr:uid="{00000000-0005-0000-0000-00002E030000}"/>
    <cellStyle name="Comma 2 11 2 2 4 2" xfId="45037" xr:uid="{7ECD2437-00BA-4877-84FF-6DDE8D51C8CA}"/>
    <cellStyle name="Comma 2 11 2 2 5" xfId="14233" xr:uid="{AF898EA9-E8A4-4337-81A2-87B2EB9D8ADD}"/>
    <cellStyle name="Comma 2 11 2 3" xfId="875" xr:uid="{00000000-0005-0000-0000-000080030000}"/>
    <cellStyle name="Comma 2 11 2 3 2" xfId="6443" xr:uid="{00000000-0005-0000-0000-00008E170000}"/>
    <cellStyle name="Comma 2 11 2 3 3" xfId="16637" xr:uid="{F375D1DD-3820-4746-9A8F-9A190D0F8E9E}"/>
    <cellStyle name="Comma 2 11 2 4" xfId="6440" xr:uid="{00000000-0005-0000-0000-00008B170000}"/>
    <cellStyle name="Comma 2 11 2 5" xfId="12567" xr:uid="{00000000-0005-0000-0000-00002D030000}"/>
    <cellStyle name="Comma 2 11 2 5 2" xfId="45038" xr:uid="{35BE9DD7-9194-452F-B25A-9D1AECDE2630}"/>
    <cellStyle name="Comma 2 11 2 6" xfId="14232" xr:uid="{BD14EB90-93A1-48F6-A7C9-9F879F5F6CA4}"/>
    <cellStyle name="Comma 2 11 3" xfId="876" xr:uid="{00000000-0005-0000-0000-000081030000}"/>
    <cellStyle name="Comma 2 11 3 2" xfId="877" xr:uid="{00000000-0005-0000-0000-000082030000}"/>
    <cellStyle name="Comma 2 11 3 2 2" xfId="6445" xr:uid="{00000000-0005-0000-0000-000090170000}"/>
    <cellStyle name="Comma 2 11 3 2 3" xfId="16639" xr:uid="{21830C61-07D2-46CE-975E-601ABB84EF97}"/>
    <cellStyle name="Comma 2 11 3 3" xfId="6444" xr:uid="{00000000-0005-0000-0000-00008F170000}"/>
    <cellStyle name="Comma 2 11 3 4" xfId="12565" xr:uid="{00000000-0005-0000-0000-00002F030000}"/>
    <cellStyle name="Comma 2 11 3 4 2" xfId="45036" xr:uid="{20F50FD1-EE87-4C15-97C1-F834DFE56407}"/>
    <cellStyle name="Comma 2 11 3 5" xfId="14234" xr:uid="{1A94F035-E14B-4D71-9504-FFC5E89BE1AA}"/>
    <cellStyle name="Comma 2 11 4" xfId="878" xr:uid="{00000000-0005-0000-0000-000083030000}"/>
    <cellStyle name="Comma 2 11 4 2" xfId="6446" xr:uid="{00000000-0005-0000-0000-000091170000}"/>
    <cellStyle name="Comma 2 11 4 3" xfId="16636" xr:uid="{E62E6DCD-48F8-4192-8CB6-BF9BCAC2E98F}"/>
    <cellStyle name="Comma 2 11 5" xfId="6439" xr:uid="{00000000-0005-0000-0000-00008A170000}"/>
    <cellStyle name="Comma 2 11 6" xfId="12574" xr:uid="{00000000-0005-0000-0000-00002C030000}"/>
    <cellStyle name="Comma 2 11 6 2" xfId="45045" xr:uid="{8CE3BAB7-5715-425B-9E51-B15DC2CF299D}"/>
    <cellStyle name="Comma 2 11 7" xfId="14231" xr:uid="{2225E196-0332-4CA7-BAE7-96531F3C9C0F}"/>
    <cellStyle name="Comma 2 12" xfId="879" xr:uid="{00000000-0005-0000-0000-000084030000}"/>
    <cellStyle name="Comma 2 12 2" xfId="880" xr:uid="{00000000-0005-0000-0000-000085030000}"/>
    <cellStyle name="Comma 2 12 2 2" xfId="881" xr:uid="{00000000-0005-0000-0000-000086030000}"/>
    <cellStyle name="Comma 2 12 2 2 2" xfId="6449" xr:uid="{00000000-0005-0000-0000-000094170000}"/>
    <cellStyle name="Comma 2 12 2 2 3" xfId="16641" xr:uid="{5E0F7C5E-B736-4A2F-961D-BEB04493A1DC}"/>
    <cellStyle name="Comma 2 12 2 3" xfId="6448" xr:uid="{00000000-0005-0000-0000-000093170000}"/>
    <cellStyle name="Comma 2 12 2 4" xfId="12562" xr:uid="{00000000-0005-0000-0000-000031030000}"/>
    <cellStyle name="Comma 2 12 2 4 2" xfId="45033" xr:uid="{FF6970E2-3D0E-401D-896A-3F1DB260AA67}"/>
    <cellStyle name="Comma 2 12 2 5" xfId="14236" xr:uid="{0D0A6DFA-1530-4F09-85B1-6C3139D5E173}"/>
    <cellStyle name="Comma 2 12 3" xfId="882" xr:uid="{00000000-0005-0000-0000-000087030000}"/>
    <cellStyle name="Comma 2 12 3 2" xfId="6450" xr:uid="{00000000-0005-0000-0000-000095170000}"/>
    <cellStyle name="Comma 2 12 3 3" xfId="16640" xr:uid="{9325BA81-0B0C-43E6-99A0-D273EACA522A}"/>
    <cellStyle name="Comma 2 12 4" xfId="6447" xr:uid="{00000000-0005-0000-0000-000092170000}"/>
    <cellStyle name="Comma 2 12 5" xfId="12563" xr:uid="{00000000-0005-0000-0000-000030030000}"/>
    <cellStyle name="Comma 2 12 5 2" xfId="45034" xr:uid="{0AD918C3-B2EE-4994-89D0-52F676C26DF7}"/>
    <cellStyle name="Comma 2 12 6" xfId="14235" xr:uid="{33F35C9F-44C3-44EE-8B48-93573D655E2A}"/>
    <cellStyle name="Comma 2 13" xfId="883" xr:uid="{00000000-0005-0000-0000-000088030000}"/>
    <cellStyle name="Comma 2 13 2" xfId="884" xr:uid="{00000000-0005-0000-0000-000089030000}"/>
    <cellStyle name="Comma 2 14" xfId="885" xr:uid="{00000000-0005-0000-0000-00008A030000}"/>
    <cellStyle name="Comma 2 14 2" xfId="886" xr:uid="{00000000-0005-0000-0000-00008B030000}"/>
    <cellStyle name="Comma 2 15" xfId="887" xr:uid="{00000000-0005-0000-0000-00008C030000}"/>
    <cellStyle name="Comma 2 15 2" xfId="888" xr:uid="{00000000-0005-0000-0000-00008D030000}"/>
    <cellStyle name="Comma 2 16" xfId="889" xr:uid="{00000000-0005-0000-0000-00008E030000}"/>
    <cellStyle name="Comma 2 16 2" xfId="890" xr:uid="{00000000-0005-0000-0000-00008F030000}"/>
    <cellStyle name="Comma 2 17" xfId="891" xr:uid="{00000000-0005-0000-0000-000090030000}"/>
    <cellStyle name="Comma 2 17 2" xfId="892" xr:uid="{00000000-0005-0000-0000-000091030000}"/>
    <cellStyle name="Comma 2 17 2 2" xfId="6460" xr:uid="{00000000-0005-0000-0000-000097170000}"/>
    <cellStyle name="Comma 2 17 2 3" xfId="16643" xr:uid="{4BB9284D-E2CF-4C4D-A7DA-38848AE98CFB}"/>
    <cellStyle name="Comma 2 17 3" xfId="6459" xr:uid="{00000000-0005-0000-0000-000096170000}"/>
    <cellStyle name="Comma 2 17 4" xfId="12551" xr:uid="{00000000-0005-0000-0000-000036030000}"/>
    <cellStyle name="Comma 2 17 4 2" xfId="45022" xr:uid="{5C227345-B362-48FF-8DFF-77211B68E7F2}"/>
    <cellStyle name="Comma 2 17 5" xfId="14238" xr:uid="{0535AD45-B04D-4F5B-9CFA-A5675176145F}"/>
    <cellStyle name="Comma 2 18" xfId="893" xr:uid="{00000000-0005-0000-0000-000092030000}"/>
    <cellStyle name="Comma 2 18 2" xfId="894" xr:uid="{00000000-0005-0000-0000-000093030000}"/>
    <cellStyle name="Comma 2 18 2 2" xfId="6462" xr:uid="{00000000-0005-0000-0000-000099170000}"/>
    <cellStyle name="Comma 2 18 2 3" xfId="16644" xr:uid="{AFF8F463-3326-4106-994C-700882B3CB11}"/>
    <cellStyle name="Comma 2 18 3" xfId="6461" xr:uid="{00000000-0005-0000-0000-000098170000}"/>
    <cellStyle name="Comma 2 18 4" xfId="12549" xr:uid="{00000000-0005-0000-0000-000037030000}"/>
    <cellStyle name="Comma 2 18 4 2" xfId="45020" xr:uid="{F6C4D6B9-72EB-4AD1-8BAB-6976C9FAB7DE}"/>
    <cellStyle name="Comma 2 18 5" xfId="14239" xr:uid="{B5758EC8-9E10-4283-8C93-EB0D42B172B8}"/>
    <cellStyle name="Comma 2 19" xfId="895" xr:uid="{00000000-0005-0000-0000-000094030000}"/>
    <cellStyle name="Comma 2 2" xfId="896" xr:uid="{00000000-0005-0000-0000-000095030000}"/>
    <cellStyle name="Comma 2 2 10" xfId="897" xr:uid="{00000000-0005-0000-0000-000096030000}"/>
    <cellStyle name="Comma 2 2 10 2" xfId="6465" xr:uid="{00000000-0005-0000-0000-00009A170000}"/>
    <cellStyle name="Comma 2 2 10 3" xfId="12536" xr:uid="{00000000-0005-0000-0000-00003A030000}"/>
    <cellStyle name="Comma 2 2 10 3 2" xfId="45007" xr:uid="{D8174891-2AF7-4B16-9670-0E45B7EABE0E}"/>
    <cellStyle name="Comma 2 2 10 4" xfId="14240" xr:uid="{F9CFB154-DC71-4FCD-9DF8-2D90042E5412}"/>
    <cellStyle name="Comma 2 2 11" xfId="898" xr:uid="{00000000-0005-0000-0000-000097030000}"/>
    <cellStyle name="Comma 2 2 12" xfId="899" xr:uid="{00000000-0005-0000-0000-000098030000}"/>
    <cellStyle name="Comma 2 2 12 2" xfId="9372" xr:uid="{00000000-0005-0000-0000-00004C030000}"/>
    <cellStyle name="Comma 2 2 13" xfId="900" xr:uid="{00000000-0005-0000-0000-000099030000}"/>
    <cellStyle name="Comma 2 2 2" xfId="901" xr:uid="{00000000-0005-0000-0000-00009A030000}"/>
    <cellStyle name="Comma 2 2 2 2" xfId="902" xr:uid="{00000000-0005-0000-0000-00009B030000}"/>
    <cellStyle name="Comma 2 2 2 2 2" xfId="903" xr:uid="{00000000-0005-0000-0000-00009C030000}"/>
    <cellStyle name="Comma 2 2 2 2 2 2" xfId="6471" xr:uid="{00000000-0005-0000-0000-00009C170000}"/>
    <cellStyle name="Comma 2 2 2 2 2 3" xfId="16645" xr:uid="{4F25E63D-7DB8-477C-84CB-E8B6303B994D}"/>
    <cellStyle name="Comma 2 2 2 2 3" xfId="6470" xr:uid="{00000000-0005-0000-0000-00009B170000}"/>
    <cellStyle name="Comma 2 2 2 2 4" xfId="12532" xr:uid="{00000000-0005-0000-0000-00003D030000}"/>
    <cellStyle name="Comma 2 2 2 2 5" xfId="14241" xr:uid="{3A848CBE-BBF0-4BB2-8C47-513F9266A3C5}"/>
    <cellStyle name="Comma 2 2 3" xfId="904" xr:uid="{00000000-0005-0000-0000-00009D030000}"/>
    <cellStyle name="Comma 2 2 3 2" xfId="905" xr:uid="{00000000-0005-0000-0000-00009E030000}"/>
    <cellStyle name="Comma 2 2 3 3" xfId="6472" xr:uid="{00000000-0005-0000-0000-00009D170000}"/>
    <cellStyle name="Comma 2 2 3 3 2" xfId="18736" xr:uid="{05292A9E-72F9-40F0-9992-221797914B1A}"/>
    <cellStyle name="Comma 2 2 3 4" xfId="12530" xr:uid="{00000000-0005-0000-0000-00003E030000}"/>
    <cellStyle name="Comma 2 2 3 4 2" xfId="17913" xr:uid="{B0622DCA-1592-42E5-A3FC-88C00319B37B}"/>
    <cellStyle name="Comma 2 2 3 5" xfId="17381" xr:uid="{83981C3A-8EAB-4C25-AA85-D62F2918E914}"/>
    <cellStyle name="Comma 2 2 3 6" xfId="14242" xr:uid="{69FCFB2F-E05C-4C34-9B28-2B3C76F781FB}"/>
    <cellStyle name="Comma 2 2 4" xfId="906" xr:uid="{00000000-0005-0000-0000-00009F030000}"/>
    <cellStyle name="Comma 2 2 5" xfId="907" xr:uid="{00000000-0005-0000-0000-0000A0030000}"/>
    <cellStyle name="Comma 2 2 6" xfId="908" xr:uid="{00000000-0005-0000-0000-0000A1030000}"/>
    <cellStyle name="Comma 2 2 7" xfId="909" xr:uid="{00000000-0005-0000-0000-0000A2030000}"/>
    <cellStyle name="Comma 2 2 8" xfId="910" xr:uid="{00000000-0005-0000-0000-0000A3030000}"/>
    <cellStyle name="Comma 2 2 8 2" xfId="911" xr:uid="{00000000-0005-0000-0000-0000A4030000}"/>
    <cellStyle name="Comma 2 2 9" xfId="912" xr:uid="{00000000-0005-0000-0000-0000A5030000}"/>
    <cellStyle name="Comma 2 2 9 2" xfId="913" xr:uid="{00000000-0005-0000-0000-0000A6030000}"/>
    <cellStyle name="Comma 2 2 9 2 2" xfId="6481" xr:uid="{00000000-0005-0000-0000-00009F170000}"/>
    <cellStyle name="Comma 2 2 9 2 3" xfId="16648" xr:uid="{A3F97713-CA75-4315-9677-DA003D24A95E}"/>
    <cellStyle name="Comma 2 2 9 3" xfId="6480" xr:uid="{00000000-0005-0000-0000-00009E170000}"/>
    <cellStyle name="Comma 2 2 9 4" xfId="12527" xr:uid="{00000000-0005-0000-0000-000044030000}"/>
    <cellStyle name="Comma 2 2 9 5" xfId="14245" xr:uid="{81E31DEF-9D33-41D2-A9BF-F9A336327CCD}"/>
    <cellStyle name="Comma 2 20" xfId="914" xr:uid="{00000000-0005-0000-0000-0000A7030000}"/>
    <cellStyle name="Comma 2 20 2" xfId="6482" xr:uid="{00000000-0005-0000-0000-0000A0170000}"/>
    <cellStyle name="Comma 2 20 3" xfId="12575" xr:uid="{00000000-0005-0000-0000-00002A030000}"/>
    <cellStyle name="Comma 2 20 3 2" xfId="45046" xr:uid="{AE2B8AC1-DF66-43F8-914D-EBFE93189BD9}"/>
    <cellStyle name="Comma 2 20 4" xfId="17349" xr:uid="{BB11972C-7F30-4FB9-8B0A-AE1D10D1FB23}"/>
    <cellStyle name="Comma 2 21" xfId="915" xr:uid="{00000000-0005-0000-0000-0000A8030000}"/>
    <cellStyle name="Comma 2 22" xfId="6436" xr:uid="{00000000-0005-0000-0000-000089170000}"/>
    <cellStyle name="Comma 2 3" xfId="916" xr:uid="{00000000-0005-0000-0000-0000A9030000}"/>
    <cellStyle name="Comma 2 3 10" xfId="917" xr:uid="{00000000-0005-0000-0000-0000AA030000}"/>
    <cellStyle name="Comma 2 3 2" xfId="918" xr:uid="{00000000-0005-0000-0000-0000AB030000}"/>
    <cellStyle name="Comma 2 3 3" xfId="919" xr:uid="{00000000-0005-0000-0000-0000AC030000}"/>
    <cellStyle name="Comma 2 3 4" xfId="920" xr:uid="{00000000-0005-0000-0000-0000AD030000}"/>
    <cellStyle name="Comma 2 3 5" xfId="921" xr:uid="{00000000-0005-0000-0000-0000AE030000}"/>
    <cellStyle name="Comma 2 3 6" xfId="922" xr:uid="{00000000-0005-0000-0000-0000AF030000}"/>
    <cellStyle name="Comma 2 3 6 2" xfId="923" xr:uid="{00000000-0005-0000-0000-0000B0030000}"/>
    <cellStyle name="Comma 2 3 7" xfId="924" xr:uid="{00000000-0005-0000-0000-0000B1030000}"/>
    <cellStyle name="Comma 2 3 7 2" xfId="925" xr:uid="{00000000-0005-0000-0000-0000B2030000}"/>
    <cellStyle name="Comma 2 3 7 2 2" xfId="6493" xr:uid="{00000000-0005-0000-0000-0000A2170000}"/>
    <cellStyle name="Comma 2 3 7 2 3" xfId="16649" xr:uid="{50999665-D462-4A79-B460-675DDD2A2AFD}"/>
    <cellStyle name="Comma 2 3 7 3" xfId="6492" xr:uid="{00000000-0005-0000-0000-0000A1170000}"/>
    <cellStyle name="Comma 2 3 7 4" xfId="12516" xr:uid="{00000000-0005-0000-0000-00004B030000}"/>
    <cellStyle name="Comma 2 3 7 5" xfId="14247" xr:uid="{FE8E7F59-4F9C-481C-B4A6-F0FD1A8305F2}"/>
    <cellStyle name="Comma 2 3 8" xfId="926" xr:uid="{00000000-0005-0000-0000-0000B3030000}"/>
    <cellStyle name="Comma 2 3 8 2" xfId="927" xr:uid="{00000000-0005-0000-0000-0000B4030000}"/>
    <cellStyle name="Comma 2 3 9" xfId="928" xr:uid="{00000000-0005-0000-0000-0000B5030000}"/>
    <cellStyle name="Comma 2 3 9 2" xfId="9358" xr:uid="{00000000-0005-0000-0000-000058030000}"/>
    <cellStyle name="Comma 2 4" xfId="929" xr:uid="{00000000-0005-0000-0000-0000B6030000}"/>
    <cellStyle name="Comma 2 4 2" xfId="930" xr:uid="{00000000-0005-0000-0000-0000B7030000}"/>
    <cellStyle name="Comma 2 4 2 2" xfId="931" xr:uid="{00000000-0005-0000-0000-0000B8030000}"/>
    <cellStyle name="Comma 2 4 3" xfId="932" xr:uid="{00000000-0005-0000-0000-0000B9030000}"/>
    <cellStyle name="Comma 2 4 3 2" xfId="933" xr:uid="{00000000-0005-0000-0000-0000BA030000}"/>
    <cellStyle name="Comma 2 4 3 2 2" xfId="6501" xr:uid="{00000000-0005-0000-0000-0000A4170000}"/>
    <cellStyle name="Comma 2 4 3 2 3" xfId="16650" xr:uid="{8FFBE52C-1AE0-44D7-8AA6-0BA3FBB4FB9D}"/>
    <cellStyle name="Comma 2 4 3 3" xfId="6500" xr:uid="{00000000-0005-0000-0000-0000A3170000}"/>
    <cellStyle name="Comma 2 4 3 4" xfId="12509" xr:uid="{00000000-0005-0000-0000-00004F030000}"/>
    <cellStyle name="Comma 2 4 3 5" xfId="14250" xr:uid="{2A23D973-56BF-40EA-B966-39700A5DF247}"/>
    <cellStyle name="Comma 2 4 4" xfId="934" xr:uid="{00000000-0005-0000-0000-0000BB030000}"/>
    <cellStyle name="Comma 2 4 5" xfId="935" xr:uid="{00000000-0005-0000-0000-0000BC030000}"/>
    <cellStyle name="Comma 2 5" xfId="936" xr:uid="{00000000-0005-0000-0000-0000BD030000}"/>
    <cellStyle name="Comma 2 5 10" xfId="14251" xr:uid="{65866B8A-4814-42E9-B944-176714ACFC1B}"/>
    <cellStyle name="Comma 2 5 2" xfId="937" xr:uid="{00000000-0005-0000-0000-0000BE030000}"/>
    <cellStyle name="Comma 2 5 2 2" xfId="938" xr:uid="{00000000-0005-0000-0000-0000BF030000}"/>
    <cellStyle name="Comma 2 5 2 2 2" xfId="939" xr:uid="{00000000-0005-0000-0000-0000C0030000}"/>
    <cellStyle name="Comma 2 5 2 2 2 2" xfId="940" xr:uid="{00000000-0005-0000-0000-0000C1030000}"/>
    <cellStyle name="Comma 2 5 2 2 2 2 2" xfId="941" xr:uid="{00000000-0005-0000-0000-0000C2030000}"/>
    <cellStyle name="Comma 2 5 2 2 2 2 2 2" xfId="6509" xr:uid="{00000000-0005-0000-0000-0000AA170000}"/>
    <cellStyle name="Comma 2 5 2 2 2 2 2 3" xfId="16655" xr:uid="{BDCF31C8-B5F7-439D-A72A-5C9E86B22524}"/>
    <cellStyle name="Comma 2 5 2 2 2 2 3" xfId="6508" xr:uid="{00000000-0005-0000-0000-0000A9170000}"/>
    <cellStyle name="Comma 2 5 2 2 2 2 4" xfId="12494" xr:uid="{00000000-0005-0000-0000-000054030000}"/>
    <cellStyle name="Comma 2 5 2 2 2 2 4 2" xfId="44968" xr:uid="{E605919E-4577-4AB7-A8A2-9CDB710A43CD}"/>
    <cellStyle name="Comma 2 5 2 2 2 2 5" xfId="14255" xr:uid="{44140B13-F1D0-4AC8-8438-0E93A8DCF3A3}"/>
    <cellStyle name="Comma 2 5 2 2 2 3" xfId="942" xr:uid="{00000000-0005-0000-0000-0000C3030000}"/>
    <cellStyle name="Comma 2 5 2 2 2 3 2" xfId="6510" xr:uid="{00000000-0005-0000-0000-0000AB170000}"/>
    <cellStyle name="Comma 2 5 2 2 2 3 3" xfId="16654" xr:uid="{507E754D-6F57-4BBC-9B3D-7F8534011EA6}"/>
    <cellStyle name="Comma 2 5 2 2 2 4" xfId="6507" xr:uid="{00000000-0005-0000-0000-0000A8170000}"/>
    <cellStyle name="Comma 2 5 2 2 2 5" xfId="12495" xr:uid="{00000000-0005-0000-0000-000053030000}"/>
    <cellStyle name="Comma 2 5 2 2 2 5 2" xfId="44969" xr:uid="{BB1E14E2-936B-430D-8261-5716E1A32525}"/>
    <cellStyle name="Comma 2 5 2 2 2 6" xfId="14254" xr:uid="{B4B0F7B6-AFAF-424C-9195-D13869AE4060}"/>
    <cellStyle name="Comma 2 5 2 2 3" xfId="943" xr:uid="{00000000-0005-0000-0000-0000C4030000}"/>
    <cellStyle name="Comma 2 5 2 2 3 2" xfId="944" xr:uid="{00000000-0005-0000-0000-0000C5030000}"/>
    <cellStyle name="Comma 2 5 2 2 3 2 2" xfId="6512" xr:uid="{00000000-0005-0000-0000-0000AD170000}"/>
    <cellStyle name="Comma 2 5 2 2 3 2 3" xfId="16656" xr:uid="{B12BC3A8-7CCA-4FA4-9C7F-2E7A236C53CB}"/>
    <cellStyle name="Comma 2 5 2 2 3 3" xfId="6511" xr:uid="{00000000-0005-0000-0000-0000AC170000}"/>
    <cellStyle name="Comma 2 5 2 2 3 4" xfId="12493" xr:uid="{00000000-0005-0000-0000-000055030000}"/>
    <cellStyle name="Comma 2 5 2 2 3 4 2" xfId="44967" xr:uid="{15E40C7B-8514-4AAD-82CA-D3D8BC9F8FE8}"/>
    <cellStyle name="Comma 2 5 2 2 3 5" xfId="14256" xr:uid="{4A41D071-E06C-4D28-A0F4-BA4BF368EA57}"/>
    <cellStyle name="Comma 2 5 2 2 4" xfId="945" xr:uid="{00000000-0005-0000-0000-0000C6030000}"/>
    <cellStyle name="Comma 2 5 2 2 4 2" xfId="6513" xr:uid="{00000000-0005-0000-0000-0000AE170000}"/>
    <cellStyle name="Comma 2 5 2 2 4 3" xfId="16653" xr:uid="{A0B7931D-67E8-4015-9C74-BBEECF9BBEEF}"/>
    <cellStyle name="Comma 2 5 2 2 5" xfId="6506" xr:uid="{00000000-0005-0000-0000-0000A7170000}"/>
    <cellStyle name="Comma 2 5 2 2 6" xfId="12502" xr:uid="{00000000-0005-0000-0000-000052030000}"/>
    <cellStyle name="Comma 2 5 2 2 6 2" xfId="44976" xr:uid="{DF9C60D7-272A-42CC-894E-538EAC729096}"/>
    <cellStyle name="Comma 2 5 2 2 7" xfId="14253" xr:uid="{BDD08A3D-EB48-4934-86E4-746845B0DA78}"/>
    <cellStyle name="Comma 2 5 2 3" xfId="946" xr:uid="{00000000-0005-0000-0000-0000C7030000}"/>
    <cellStyle name="Comma 2 5 2 3 2" xfId="947" xr:uid="{00000000-0005-0000-0000-0000C8030000}"/>
    <cellStyle name="Comma 2 5 2 3 2 2" xfId="948" xr:uid="{00000000-0005-0000-0000-0000C9030000}"/>
    <cellStyle name="Comma 2 5 2 3 2 2 2" xfId="6516" xr:uid="{00000000-0005-0000-0000-0000B1170000}"/>
    <cellStyle name="Comma 2 5 2 3 2 2 3" xfId="16658" xr:uid="{724BF700-8782-48BC-B73D-064F82A9CC88}"/>
    <cellStyle name="Comma 2 5 2 3 2 3" xfId="6515" xr:uid="{00000000-0005-0000-0000-0000B0170000}"/>
    <cellStyle name="Comma 2 5 2 3 2 4" xfId="12491" xr:uid="{00000000-0005-0000-0000-000057030000}"/>
    <cellStyle name="Comma 2 5 2 3 2 4 2" xfId="44965" xr:uid="{1DD3D079-3F9B-42BC-A9EC-9DCB667F5943}"/>
    <cellStyle name="Comma 2 5 2 3 2 5" xfId="14258" xr:uid="{4765FBB5-EC7F-42C2-9550-A41ADF99E178}"/>
    <cellStyle name="Comma 2 5 2 3 3" xfId="949" xr:uid="{00000000-0005-0000-0000-0000CA030000}"/>
    <cellStyle name="Comma 2 5 2 3 3 2" xfId="6517" xr:uid="{00000000-0005-0000-0000-0000B2170000}"/>
    <cellStyle name="Comma 2 5 2 3 3 3" xfId="16657" xr:uid="{527FA6D9-60A9-4FE6-9719-7E29C52F3D90}"/>
    <cellStyle name="Comma 2 5 2 3 4" xfId="6514" xr:uid="{00000000-0005-0000-0000-0000AF170000}"/>
    <cellStyle name="Comma 2 5 2 3 5" xfId="12492" xr:uid="{00000000-0005-0000-0000-000056030000}"/>
    <cellStyle name="Comma 2 5 2 3 5 2" xfId="44966" xr:uid="{0E8F1B50-79AF-4FF5-A5C5-941AFABBD239}"/>
    <cellStyle name="Comma 2 5 2 3 6" xfId="14257" xr:uid="{9C199368-DDE7-4E34-B8C3-57AC79C0F46C}"/>
    <cellStyle name="Comma 2 5 2 4" xfId="950" xr:uid="{00000000-0005-0000-0000-0000CB030000}"/>
    <cellStyle name="Comma 2 5 2 4 2" xfId="951" xr:uid="{00000000-0005-0000-0000-0000CC030000}"/>
    <cellStyle name="Comma 2 5 2 4 2 2" xfId="6519" xr:uid="{00000000-0005-0000-0000-0000B4170000}"/>
    <cellStyle name="Comma 2 5 2 4 2 3" xfId="16659" xr:uid="{5258F8FE-2CC5-4D2E-805F-F706BAE31E5F}"/>
    <cellStyle name="Comma 2 5 2 4 3" xfId="6518" xr:uid="{00000000-0005-0000-0000-0000B3170000}"/>
    <cellStyle name="Comma 2 5 2 4 4" xfId="12490" xr:uid="{00000000-0005-0000-0000-000058030000}"/>
    <cellStyle name="Comma 2 5 2 4 4 2" xfId="44964" xr:uid="{B1DEAFE7-0062-4F56-ACC1-D07AD2EA916A}"/>
    <cellStyle name="Comma 2 5 2 4 5" xfId="14259" xr:uid="{556DFDF8-1DAB-425B-AD95-373BD544F2D9}"/>
    <cellStyle name="Comma 2 5 2 5" xfId="952" xr:uid="{00000000-0005-0000-0000-0000CD030000}"/>
    <cellStyle name="Comma 2 5 2 5 2" xfId="6520" xr:uid="{00000000-0005-0000-0000-0000B5170000}"/>
    <cellStyle name="Comma 2 5 2 5 3" xfId="16652" xr:uid="{ADD31B65-056B-499E-A20D-7AEE192445BC}"/>
    <cellStyle name="Comma 2 5 2 6" xfId="6505" xr:uid="{00000000-0005-0000-0000-0000A6170000}"/>
    <cellStyle name="Comma 2 5 2 7" xfId="12505" xr:uid="{00000000-0005-0000-0000-000051030000}"/>
    <cellStyle name="Comma 2 5 2 7 2" xfId="44979" xr:uid="{7C66F2FE-E632-4E3A-916F-7C845F6F2997}"/>
    <cellStyle name="Comma 2 5 2 8" xfId="14252" xr:uid="{208D7BBB-96E6-4994-955D-0EAC56A8D981}"/>
    <cellStyle name="Comma 2 5 3" xfId="953" xr:uid="{00000000-0005-0000-0000-0000CE030000}"/>
    <cellStyle name="Comma 2 5 3 2" xfId="954" xr:uid="{00000000-0005-0000-0000-0000CF030000}"/>
    <cellStyle name="Comma 2 5 3 2 2" xfId="955" xr:uid="{00000000-0005-0000-0000-0000D0030000}"/>
    <cellStyle name="Comma 2 5 3 2 2 2" xfId="956" xr:uid="{00000000-0005-0000-0000-0000D1030000}"/>
    <cellStyle name="Comma 2 5 3 2 2 2 2" xfId="957" xr:uid="{00000000-0005-0000-0000-0000D2030000}"/>
    <cellStyle name="Comma 2 5 3 2 2 2 2 2" xfId="6525" xr:uid="{00000000-0005-0000-0000-0000BA170000}"/>
    <cellStyle name="Comma 2 5 3 2 2 2 2 3" xfId="16663" xr:uid="{74549D24-20C6-4ADC-B844-CD50C5E16982}"/>
    <cellStyle name="Comma 2 5 3 2 2 2 3" xfId="6524" xr:uid="{00000000-0005-0000-0000-0000B9170000}"/>
    <cellStyle name="Comma 2 5 3 2 2 2 4" xfId="12483" xr:uid="{00000000-0005-0000-0000-00005C030000}"/>
    <cellStyle name="Comma 2 5 3 2 2 2 4 2" xfId="44957" xr:uid="{C1E70C89-4639-4A42-AEE9-C5D3C47198A0}"/>
    <cellStyle name="Comma 2 5 3 2 2 2 5" xfId="14263" xr:uid="{C20A5AE4-D698-4DE4-8D70-2ECD8192C8CD}"/>
    <cellStyle name="Comma 2 5 3 2 2 3" xfId="958" xr:uid="{00000000-0005-0000-0000-0000D3030000}"/>
    <cellStyle name="Comma 2 5 3 2 2 3 2" xfId="6526" xr:uid="{00000000-0005-0000-0000-0000BB170000}"/>
    <cellStyle name="Comma 2 5 3 2 2 3 3" xfId="16662" xr:uid="{423C6370-87A1-4C0A-BF6C-86B014567E41}"/>
    <cellStyle name="Comma 2 5 3 2 2 4" xfId="6523" xr:uid="{00000000-0005-0000-0000-0000B8170000}"/>
    <cellStyle name="Comma 2 5 3 2 2 5" xfId="12484" xr:uid="{00000000-0005-0000-0000-00005B030000}"/>
    <cellStyle name="Comma 2 5 3 2 2 5 2" xfId="44958" xr:uid="{A77B1971-9C4A-4400-8BE1-7DB6183B721F}"/>
    <cellStyle name="Comma 2 5 3 2 2 6" xfId="14262" xr:uid="{D0042709-FACB-47B2-9CE5-C53BFF8801B2}"/>
    <cellStyle name="Comma 2 5 3 2 3" xfId="959" xr:uid="{00000000-0005-0000-0000-0000D4030000}"/>
    <cellStyle name="Comma 2 5 3 2 3 2" xfId="960" xr:uid="{00000000-0005-0000-0000-0000D5030000}"/>
    <cellStyle name="Comma 2 5 3 2 3 2 2" xfId="6528" xr:uid="{00000000-0005-0000-0000-0000BD170000}"/>
    <cellStyle name="Comma 2 5 3 2 3 2 3" xfId="16664" xr:uid="{6EBD3B92-D54F-4500-91A0-331D23C4FFD7}"/>
    <cellStyle name="Comma 2 5 3 2 3 3" xfId="6527" xr:uid="{00000000-0005-0000-0000-0000BC170000}"/>
    <cellStyle name="Comma 2 5 3 2 3 4" xfId="12482" xr:uid="{00000000-0005-0000-0000-00005D030000}"/>
    <cellStyle name="Comma 2 5 3 2 3 4 2" xfId="44956" xr:uid="{9376F847-0490-488D-9B3F-8BF0EB6C7A2C}"/>
    <cellStyle name="Comma 2 5 3 2 3 5" xfId="14264" xr:uid="{D198FE8E-6718-4CC6-8692-4A01EFDBB08C}"/>
    <cellStyle name="Comma 2 5 3 2 4" xfId="961" xr:uid="{00000000-0005-0000-0000-0000D6030000}"/>
    <cellStyle name="Comma 2 5 3 2 4 2" xfId="6529" xr:uid="{00000000-0005-0000-0000-0000BE170000}"/>
    <cellStyle name="Comma 2 5 3 2 4 3" xfId="16661" xr:uid="{04110527-40A4-40A3-8ECA-8E7AC896159A}"/>
    <cellStyle name="Comma 2 5 3 2 5" xfId="6522" xr:uid="{00000000-0005-0000-0000-0000B7170000}"/>
    <cellStyle name="Comma 2 5 3 2 6" xfId="12488" xr:uid="{00000000-0005-0000-0000-00005A030000}"/>
    <cellStyle name="Comma 2 5 3 2 6 2" xfId="44962" xr:uid="{960A2E88-6AAB-407C-B55C-9E57F60EEB57}"/>
    <cellStyle name="Comma 2 5 3 2 7" xfId="14261" xr:uid="{D7745F94-B5EF-4CAC-83B2-AE94F0690F40}"/>
    <cellStyle name="Comma 2 5 3 3" xfId="962" xr:uid="{00000000-0005-0000-0000-0000D7030000}"/>
    <cellStyle name="Comma 2 5 3 3 2" xfId="963" xr:uid="{00000000-0005-0000-0000-0000D8030000}"/>
    <cellStyle name="Comma 2 5 3 3 2 2" xfId="964" xr:uid="{00000000-0005-0000-0000-0000D9030000}"/>
    <cellStyle name="Comma 2 5 3 3 2 2 2" xfId="6532" xr:uid="{00000000-0005-0000-0000-0000C1170000}"/>
    <cellStyle name="Comma 2 5 3 3 2 2 3" xfId="16666" xr:uid="{F555A405-97CA-42C7-8867-D6555898A37A}"/>
    <cellStyle name="Comma 2 5 3 3 2 3" xfId="6531" xr:uid="{00000000-0005-0000-0000-0000C0170000}"/>
    <cellStyle name="Comma 2 5 3 3 2 4" xfId="12479" xr:uid="{00000000-0005-0000-0000-00005F030000}"/>
    <cellStyle name="Comma 2 5 3 3 2 4 2" xfId="44953" xr:uid="{EF7976F6-E4CF-42E1-A463-FE9C4FF70114}"/>
    <cellStyle name="Comma 2 5 3 3 2 5" xfId="14266" xr:uid="{CCCC1893-08CE-4FA4-831D-3CB0B4D5B444}"/>
    <cellStyle name="Comma 2 5 3 3 3" xfId="965" xr:uid="{00000000-0005-0000-0000-0000DA030000}"/>
    <cellStyle name="Comma 2 5 3 3 3 2" xfId="6533" xr:uid="{00000000-0005-0000-0000-0000C2170000}"/>
    <cellStyle name="Comma 2 5 3 3 3 3" xfId="16665" xr:uid="{FEC0C84F-4E9A-4B7D-9F18-1746536E8B05}"/>
    <cellStyle name="Comma 2 5 3 3 4" xfId="6530" xr:uid="{00000000-0005-0000-0000-0000BF170000}"/>
    <cellStyle name="Comma 2 5 3 3 5" xfId="12480" xr:uid="{00000000-0005-0000-0000-00005E030000}"/>
    <cellStyle name="Comma 2 5 3 3 5 2" xfId="44954" xr:uid="{1FEB63EF-B73A-475F-9C57-06ADC1586F42}"/>
    <cellStyle name="Comma 2 5 3 3 6" xfId="14265" xr:uid="{E278F9E1-1649-4470-90C9-C7258F7E6DFA}"/>
    <cellStyle name="Comma 2 5 3 4" xfId="966" xr:uid="{00000000-0005-0000-0000-0000DB030000}"/>
    <cellStyle name="Comma 2 5 3 4 2" xfId="967" xr:uid="{00000000-0005-0000-0000-0000DC030000}"/>
    <cellStyle name="Comma 2 5 3 4 2 2" xfId="6535" xr:uid="{00000000-0005-0000-0000-0000C4170000}"/>
    <cellStyle name="Comma 2 5 3 4 2 3" xfId="16667" xr:uid="{DF68D83B-FFDB-4375-A489-E01F2A0131D2}"/>
    <cellStyle name="Comma 2 5 3 4 3" xfId="6534" xr:uid="{00000000-0005-0000-0000-0000C3170000}"/>
    <cellStyle name="Comma 2 5 3 4 4" xfId="12478" xr:uid="{00000000-0005-0000-0000-000060030000}"/>
    <cellStyle name="Comma 2 5 3 4 4 2" xfId="44952" xr:uid="{A14FA9DE-4A18-4820-9EE9-4753D63BF757}"/>
    <cellStyle name="Comma 2 5 3 4 5" xfId="14267" xr:uid="{FBE899B5-BAEB-4C00-93E7-4A4D636C5DB2}"/>
    <cellStyle name="Comma 2 5 3 5" xfId="968" xr:uid="{00000000-0005-0000-0000-0000DD030000}"/>
    <cellStyle name="Comma 2 5 3 5 2" xfId="6536" xr:uid="{00000000-0005-0000-0000-0000C5170000}"/>
    <cellStyle name="Comma 2 5 3 5 3" xfId="16660" xr:uid="{81002188-4B6A-43D6-93F7-94118D177B1A}"/>
    <cellStyle name="Comma 2 5 3 6" xfId="6521" xr:uid="{00000000-0005-0000-0000-0000B6170000}"/>
    <cellStyle name="Comma 2 5 3 7" xfId="12489" xr:uid="{00000000-0005-0000-0000-000059030000}"/>
    <cellStyle name="Comma 2 5 3 7 2" xfId="44963" xr:uid="{1BFE9E53-C09E-4785-849C-A9149D6BDF96}"/>
    <cellStyle name="Comma 2 5 3 8" xfId="14260" xr:uid="{179DC085-5AE2-4FEA-A8FB-7D4BA8F5200C}"/>
    <cellStyle name="Comma 2 5 4" xfId="969" xr:uid="{00000000-0005-0000-0000-0000DE030000}"/>
    <cellStyle name="Comma 2 5 4 2" xfId="970" xr:uid="{00000000-0005-0000-0000-0000DF030000}"/>
    <cellStyle name="Comma 2 5 4 2 2" xfId="971" xr:uid="{00000000-0005-0000-0000-0000E0030000}"/>
    <cellStyle name="Comma 2 5 4 2 2 2" xfId="972" xr:uid="{00000000-0005-0000-0000-0000E1030000}"/>
    <cellStyle name="Comma 2 5 4 2 2 2 2" xfId="6540" xr:uid="{00000000-0005-0000-0000-0000C9170000}"/>
    <cellStyle name="Comma 2 5 4 2 2 2 3" xfId="16670" xr:uid="{389E869E-A13F-4EB6-8AD1-FC9B741BC133}"/>
    <cellStyle name="Comma 2 5 4 2 2 3" xfId="6539" xr:uid="{00000000-0005-0000-0000-0000C8170000}"/>
    <cellStyle name="Comma 2 5 4 2 2 4" xfId="12471" xr:uid="{00000000-0005-0000-0000-000063030000}"/>
    <cellStyle name="Comma 2 5 4 2 2 4 2" xfId="44945" xr:uid="{4BD246C6-3355-47CB-83EE-A49FA6C2D1CA}"/>
    <cellStyle name="Comma 2 5 4 2 2 5" xfId="14270" xr:uid="{75C846A8-53F1-45E8-98CE-A99C486E8DFB}"/>
    <cellStyle name="Comma 2 5 4 2 3" xfId="973" xr:uid="{00000000-0005-0000-0000-0000E2030000}"/>
    <cellStyle name="Comma 2 5 4 2 3 2" xfId="6541" xr:uid="{00000000-0005-0000-0000-0000CA170000}"/>
    <cellStyle name="Comma 2 5 4 2 3 3" xfId="16669" xr:uid="{3F310C9D-7B37-4C8A-91AA-85E8C2E2228B}"/>
    <cellStyle name="Comma 2 5 4 2 4" xfId="6538" xr:uid="{00000000-0005-0000-0000-0000C7170000}"/>
    <cellStyle name="Comma 2 5 4 2 5" xfId="12473" xr:uid="{00000000-0005-0000-0000-000062030000}"/>
    <cellStyle name="Comma 2 5 4 2 5 2" xfId="44947" xr:uid="{0EC8B32F-38AE-4804-9DD7-502BBF8B8B64}"/>
    <cellStyle name="Comma 2 5 4 2 6" xfId="14269" xr:uid="{A14EC842-502B-4F08-A01B-3F9EAFDE50B4}"/>
    <cellStyle name="Comma 2 5 4 3" xfId="974" xr:uid="{00000000-0005-0000-0000-0000E3030000}"/>
    <cellStyle name="Comma 2 5 4 3 2" xfId="975" xr:uid="{00000000-0005-0000-0000-0000E4030000}"/>
    <cellStyle name="Comma 2 5 4 3 2 2" xfId="6543" xr:uid="{00000000-0005-0000-0000-0000CC170000}"/>
    <cellStyle name="Comma 2 5 4 3 2 3" xfId="16671" xr:uid="{C5397420-88FF-40EB-9DF3-2EC894D8B4A2}"/>
    <cellStyle name="Comma 2 5 4 3 3" xfId="6542" xr:uid="{00000000-0005-0000-0000-0000CB170000}"/>
    <cellStyle name="Comma 2 5 4 3 4" xfId="12470" xr:uid="{00000000-0005-0000-0000-000064030000}"/>
    <cellStyle name="Comma 2 5 4 3 4 2" xfId="44944" xr:uid="{E9FC91F9-FDE3-4C4F-8D92-FDB55A1FA340}"/>
    <cellStyle name="Comma 2 5 4 3 5" xfId="14271" xr:uid="{38396923-F32E-49FD-B669-F55AAC51AB1A}"/>
    <cellStyle name="Comma 2 5 4 4" xfId="976" xr:uid="{00000000-0005-0000-0000-0000E5030000}"/>
    <cellStyle name="Comma 2 5 4 4 2" xfId="6544" xr:uid="{00000000-0005-0000-0000-0000CD170000}"/>
    <cellStyle name="Comma 2 5 4 4 3" xfId="16668" xr:uid="{C2487746-9B96-4516-BDFE-803107035C70}"/>
    <cellStyle name="Comma 2 5 4 5" xfId="6537" xr:uid="{00000000-0005-0000-0000-0000C6170000}"/>
    <cellStyle name="Comma 2 5 4 6" xfId="12475" xr:uid="{00000000-0005-0000-0000-000061030000}"/>
    <cellStyle name="Comma 2 5 4 6 2" xfId="44949" xr:uid="{87EBDFD4-F218-45E1-B568-0D087C1E90C4}"/>
    <cellStyle name="Comma 2 5 4 7" xfId="14268" xr:uid="{C130FE1D-9691-46C7-B912-FADF677305DD}"/>
    <cellStyle name="Comma 2 5 5" xfId="977" xr:uid="{00000000-0005-0000-0000-0000E6030000}"/>
    <cellStyle name="Comma 2 5 5 2" xfId="978" xr:uid="{00000000-0005-0000-0000-0000E7030000}"/>
    <cellStyle name="Comma 2 5 5 2 2" xfId="979" xr:uid="{00000000-0005-0000-0000-0000E8030000}"/>
    <cellStyle name="Comma 2 5 5 2 2 2" xfId="6547" xr:uid="{00000000-0005-0000-0000-0000D0170000}"/>
    <cellStyle name="Comma 2 5 5 2 2 3" xfId="16673" xr:uid="{540417CD-B245-4259-8CD4-50E1B3BDBCFA}"/>
    <cellStyle name="Comma 2 5 5 2 3" xfId="6546" xr:uid="{00000000-0005-0000-0000-0000CF170000}"/>
    <cellStyle name="Comma 2 5 5 2 4" xfId="12468" xr:uid="{00000000-0005-0000-0000-000066030000}"/>
    <cellStyle name="Comma 2 5 5 2 4 2" xfId="44942" xr:uid="{4D3D4F95-EA4C-4BAA-BA74-41AFAED1FAC6}"/>
    <cellStyle name="Comma 2 5 5 2 5" xfId="14273" xr:uid="{6BC2991A-7D10-4BE0-B769-B3581BDC78A9}"/>
    <cellStyle name="Comma 2 5 5 3" xfId="980" xr:uid="{00000000-0005-0000-0000-0000E9030000}"/>
    <cellStyle name="Comma 2 5 5 3 2" xfId="6548" xr:uid="{00000000-0005-0000-0000-0000D1170000}"/>
    <cellStyle name="Comma 2 5 5 3 3" xfId="16672" xr:uid="{81625F0C-A13C-48DA-809C-19612D16E1AB}"/>
    <cellStyle name="Comma 2 5 5 4" xfId="6545" xr:uid="{00000000-0005-0000-0000-0000CE170000}"/>
    <cellStyle name="Comma 2 5 5 5" xfId="12469" xr:uid="{00000000-0005-0000-0000-000065030000}"/>
    <cellStyle name="Comma 2 5 5 5 2" xfId="44943" xr:uid="{9D2D4A42-5896-4FB2-BB3A-CCFAE335DEB0}"/>
    <cellStyle name="Comma 2 5 5 6" xfId="14272" xr:uid="{AB016EB3-70A0-4179-BF29-9464ECFD4133}"/>
    <cellStyle name="Comma 2 5 6" xfId="981" xr:uid="{00000000-0005-0000-0000-0000EA030000}"/>
    <cellStyle name="Comma 2 5 6 2" xfId="982" xr:uid="{00000000-0005-0000-0000-0000EB030000}"/>
    <cellStyle name="Comma 2 5 6 2 2" xfId="6550" xr:uid="{00000000-0005-0000-0000-0000D3170000}"/>
    <cellStyle name="Comma 2 5 6 2 3" xfId="16674" xr:uid="{39BAC480-426F-4451-A122-3D1A90FA0EA7}"/>
    <cellStyle name="Comma 2 5 6 3" xfId="6549" xr:uid="{00000000-0005-0000-0000-0000D2170000}"/>
    <cellStyle name="Comma 2 5 6 4" xfId="12467" xr:uid="{00000000-0005-0000-0000-000067030000}"/>
    <cellStyle name="Comma 2 5 6 4 2" xfId="44941" xr:uid="{8B58ACBF-FAD2-4FC2-B497-AF683CDDE1D2}"/>
    <cellStyle name="Comma 2 5 6 5" xfId="14274" xr:uid="{F8E26AC8-E975-414B-B3E8-A2B4FA5DAFE0}"/>
    <cellStyle name="Comma 2 5 7" xfId="983" xr:uid="{00000000-0005-0000-0000-0000EC030000}"/>
    <cellStyle name="Comma 2 5 7 2" xfId="6551" xr:uid="{00000000-0005-0000-0000-0000D4170000}"/>
    <cellStyle name="Comma 2 5 7 3" xfId="16651" xr:uid="{34BED631-D7DB-45A2-9A55-E0BAF443F7A6}"/>
    <cellStyle name="Comma 2 5 8" xfId="6504" xr:uid="{00000000-0005-0000-0000-0000A5170000}"/>
    <cellStyle name="Comma 2 5 9" xfId="12507" xr:uid="{00000000-0005-0000-0000-000050030000}"/>
    <cellStyle name="Comma 2 5 9 2" xfId="44981" xr:uid="{8E6E0289-D26D-4448-B19C-C162382678DF}"/>
    <cellStyle name="Comma 2 6" xfId="984" xr:uid="{00000000-0005-0000-0000-0000ED030000}"/>
    <cellStyle name="Comma 2 6 2" xfId="985" xr:uid="{00000000-0005-0000-0000-0000EE030000}"/>
    <cellStyle name="Comma 2 6 2 2" xfId="986" xr:uid="{00000000-0005-0000-0000-0000EF030000}"/>
    <cellStyle name="Comma 2 6 2 2 2" xfId="987" xr:uid="{00000000-0005-0000-0000-0000F0030000}"/>
    <cellStyle name="Comma 2 6 2 2 2 2" xfId="988" xr:uid="{00000000-0005-0000-0000-0000F1030000}"/>
    <cellStyle name="Comma 2 6 2 2 2 2 2" xfId="6556" xr:uid="{00000000-0005-0000-0000-0000D9170000}"/>
    <cellStyle name="Comma 2 6 2 2 2 2 3" xfId="16678" xr:uid="{0F8711ED-49FE-413B-96CB-9B4257BCA7E7}"/>
    <cellStyle name="Comma 2 6 2 2 2 3" xfId="6555" xr:uid="{00000000-0005-0000-0000-0000D8170000}"/>
    <cellStyle name="Comma 2 6 2 2 2 4" xfId="12451" xr:uid="{00000000-0005-0000-0000-00006B030000}"/>
    <cellStyle name="Comma 2 6 2 2 2 4 2" xfId="44925" xr:uid="{1FD1005C-B1E2-462B-B3B3-0A30E19DF526}"/>
    <cellStyle name="Comma 2 6 2 2 2 5" xfId="14278" xr:uid="{A3C67FCE-6879-45B1-82E2-2FE01414E2F6}"/>
    <cellStyle name="Comma 2 6 2 2 3" xfId="989" xr:uid="{00000000-0005-0000-0000-0000F2030000}"/>
    <cellStyle name="Comma 2 6 2 2 3 2" xfId="6557" xr:uid="{00000000-0005-0000-0000-0000DA170000}"/>
    <cellStyle name="Comma 2 6 2 2 3 3" xfId="16677" xr:uid="{B2723E9C-3E89-4B58-966F-2FEFA388A3BD}"/>
    <cellStyle name="Comma 2 6 2 2 4" xfId="6554" xr:uid="{00000000-0005-0000-0000-0000D7170000}"/>
    <cellStyle name="Comma 2 6 2 2 5" xfId="12452" xr:uid="{00000000-0005-0000-0000-00006A030000}"/>
    <cellStyle name="Comma 2 6 2 2 5 2" xfId="44926" xr:uid="{BA1D7BF6-B375-42AD-A94E-3419A76D2F84}"/>
    <cellStyle name="Comma 2 6 2 2 6" xfId="14277" xr:uid="{09A91714-AF11-4CAB-9124-A714362A4A63}"/>
    <cellStyle name="Comma 2 6 2 3" xfId="990" xr:uid="{00000000-0005-0000-0000-0000F3030000}"/>
    <cellStyle name="Comma 2 6 2 3 2" xfId="991" xr:uid="{00000000-0005-0000-0000-0000F4030000}"/>
    <cellStyle name="Comma 2 6 2 3 2 2" xfId="6559" xr:uid="{00000000-0005-0000-0000-0000DC170000}"/>
    <cellStyle name="Comma 2 6 2 3 2 3" xfId="16679" xr:uid="{6A9BA3B0-D69B-4723-8106-3473B06B0267}"/>
    <cellStyle name="Comma 2 6 2 3 3" xfId="6558" xr:uid="{00000000-0005-0000-0000-0000DB170000}"/>
    <cellStyle name="Comma 2 6 2 3 4" xfId="12450" xr:uid="{00000000-0005-0000-0000-00006C030000}"/>
    <cellStyle name="Comma 2 6 2 3 4 2" xfId="44924" xr:uid="{0B1A58C0-FC55-42CB-8D39-870E7A333266}"/>
    <cellStyle name="Comma 2 6 2 3 5" xfId="14279" xr:uid="{DE14A1B8-8323-459F-8762-FCFC8E8D6AFA}"/>
    <cellStyle name="Comma 2 6 2 4" xfId="992" xr:uid="{00000000-0005-0000-0000-0000F5030000}"/>
    <cellStyle name="Comma 2 6 2 4 2" xfId="6560" xr:uid="{00000000-0005-0000-0000-0000DD170000}"/>
    <cellStyle name="Comma 2 6 2 4 3" xfId="16676" xr:uid="{C27A1E50-67DB-4C21-A3FD-DECB0816F03F}"/>
    <cellStyle name="Comma 2 6 2 5" xfId="6553" xr:uid="{00000000-0005-0000-0000-0000D6170000}"/>
    <cellStyle name="Comma 2 6 2 6" xfId="12462" xr:uid="{00000000-0005-0000-0000-000069030000}"/>
    <cellStyle name="Comma 2 6 2 6 2" xfId="44936" xr:uid="{8D5E7238-D838-47C3-AA54-5AB041C70286}"/>
    <cellStyle name="Comma 2 6 2 7" xfId="14276" xr:uid="{9918D8FD-0FF8-4897-A5F3-51ED56257EB8}"/>
    <cellStyle name="Comma 2 6 3" xfId="993" xr:uid="{00000000-0005-0000-0000-0000F6030000}"/>
    <cellStyle name="Comma 2 6 3 2" xfId="994" xr:uid="{00000000-0005-0000-0000-0000F7030000}"/>
    <cellStyle name="Comma 2 6 3 2 2" xfId="995" xr:uid="{00000000-0005-0000-0000-0000F8030000}"/>
    <cellStyle name="Comma 2 6 3 2 2 2" xfId="6563" xr:uid="{00000000-0005-0000-0000-0000E0170000}"/>
    <cellStyle name="Comma 2 6 3 2 2 3" xfId="16681" xr:uid="{032FBBA9-CFD3-4731-821D-0B43C23E3344}"/>
    <cellStyle name="Comma 2 6 3 2 3" xfId="6562" xr:uid="{00000000-0005-0000-0000-0000DF170000}"/>
    <cellStyle name="Comma 2 6 3 2 4" xfId="12447" xr:uid="{00000000-0005-0000-0000-00006E030000}"/>
    <cellStyle name="Comma 2 6 3 2 4 2" xfId="44921" xr:uid="{7FC37FAE-8195-433B-87F1-8D30CE2FEE36}"/>
    <cellStyle name="Comma 2 6 3 2 5" xfId="14281" xr:uid="{26AC612B-9BF2-48F5-8A35-C1D4F2CB1527}"/>
    <cellStyle name="Comma 2 6 3 3" xfId="996" xr:uid="{00000000-0005-0000-0000-0000F9030000}"/>
    <cellStyle name="Comma 2 6 3 3 2" xfId="6564" xr:uid="{00000000-0005-0000-0000-0000E1170000}"/>
    <cellStyle name="Comma 2 6 3 3 3" xfId="16680" xr:uid="{EC0E2A92-9876-4567-A56D-D5641CAA71E8}"/>
    <cellStyle name="Comma 2 6 3 4" xfId="6561" xr:uid="{00000000-0005-0000-0000-0000DE170000}"/>
    <cellStyle name="Comma 2 6 3 5" xfId="12449" xr:uid="{00000000-0005-0000-0000-00006D030000}"/>
    <cellStyle name="Comma 2 6 3 5 2" xfId="44923" xr:uid="{686F39C8-C962-4DAD-8D5B-261A55728DDB}"/>
    <cellStyle name="Comma 2 6 3 6" xfId="14280" xr:uid="{123B3C51-F3C7-45AC-8CE0-4A0C28726B4A}"/>
    <cellStyle name="Comma 2 6 4" xfId="997" xr:uid="{00000000-0005-0000-0000-0000FA030000}"/>
    <cellStyle name="Comma 2 6 4 2" xfId="998" xr:uid="{00000000-0005-0000-0000-0000FB030000}"/>
    <cellStyle name="Comma 2 6 4 2 2" xfId="6566" xr:uid="{00000000-0005-0000-0000-0000E3170000}"/>
    <cellStyle name="Comma 2 6 4 2 3" xfId="16682" xr:uid="{246894D1-7433-4C92-8A4A-592BC0B15089}"/>
    <cellStyle name="Comma 2 6 4 3" xfId="6565" xr:uid="{00000000-0005-0000-0000-0000E2170000}"/>
    <cellStyle name="Comma 2 6 4 4" xfId="12446" xr:uid="{00000000-0005-0000-0000-00006F030000}"/>
    <cellStyle name="Comma 2 6 4 4 2" xfId="44920" xr:uid="{E20B096F-A57B-415B-B2FF-E49CCC9486A9}"/>
    <cellStyle name="Comma 2 6 4 5" xfId="14282" xr:uid="{D6F0DD8C-26E9-4184-9D3D-140677C669F0}"/>
    <cellStyle name="Comma 2 6 5" xfId="999" xr:uid="{00000000-0005-0000-0000-0000FC030000}"/>
    <cellStyle name="Comma 2 6 5 2" xfId="6567" xr:uid="{00000000-0005-0000-0000-0000E4170000}"/>
    <cellStyle name="Comma 2 6 5 3" xfId="16675" xr:uid="{CD732DA4-8190-472C-AFCF-07541AE6437C}"/>
    <cellStyle name="Comma 2 6 6" xfId="6552" xr:uid="{00000000-0005-0000-0000-0000D5170000}"/>
    <cellStyle name="Comma 2 6 7" xfId="12464" xr:uid="{00000000-0005-0000-0000-000068030000}"/>
    <cellStyle name="Comma 2 6 7 2" xfId="44938" xr:uid="{075F2A55-A4CC-49F1-81F6-76CAA2606E72}"/>
    <cellStyle name="Comma 2 6 8" xfId="14275" xr:uid="{645E0E64-6D6D-480C-8BFA-08AC8DB363AE}"/>
    <cellStyle name="Comma 2 7" xfId="1000" xr:uid="{00000000-0005-0000-0000-0000FD030000}"/>
    <cellStyle name="Comma 2 7 2" xfId="1001" xr:uid="{00000000-0005-0000-0000-0000FE030000}"/>
    <cellStyle name="Comma 2 7 2 2" xfId="1002" xr:uid="{00000000-0005-0000-0000-0000FF030000}"/>
    <cellStyle name="Comma 2 7 2 2 2" xfId="1003" xr:uid="{00000000-0005-0000-0000-000000040000}"/>
    <cellStyle name="Comma 2 7 2 2 2 2" xfId="1004" xr:uid="{00000000-0005-0000-0000-000001040000}"/>
    <cellStyle name="Comma 2 7 2 2 2 2 2" xfId="6572" xr:uid="{00000000-0005-0000-0000-0000E9170000}"/>
    <cellStyle name="Comma 2 7 2 2 2 2 3" xfId="16686" xr:uid="{ECA9463D-D291-49B9-865B-0E7BFD1145F7}"/>
    <cellStyle name="Comma 2 7 2 2 2 3" xfId="6571" xr:uid="{00000000-0005-0000-0000-0000E8170000}"/>
    <cellStyle name="Comma 2 7 2 2 2 4" xfId="12440" xr:uid="{00000000-0005-0000-0000-000073030000}"/>
    <cellStyle name="Comma 2 7 2 2 2 4 2" xfId="44914" xr:uid="{8DB3E92F-A808-4579-AE67-9B248F87F51F}"/>
    <cellStyle name="Comma 2 7 2 2 2 5" xfId="14286" xr:uid="{7D6B1F53-3C05-43FD-9A2F-B1C9392C52CE}"/>
    <cellStyle name="Comma 2 7 2 2 3" xfId="1005" xr:uid="{00000000-0005-0000-0000-000002040000}"/>
    <cellStyle name="Comma 2 7 2 2 3 2" xfId="6573" xr:uid="{00000000-0005-0000-0000-0000EA170000}"/>
    <cellStyle name="Comma 2 7 2 2 3 3" xfId="16685" xr:uid="{CF5F5448-075A-477F-A6FE-5054C07D4F5A}"/>
    <cellStyle name="Comma 2 7 2 2 4" xfId="6570" xr:uid="{00000000-0005-0000-0000-0000E7170000}"/>
    <cellStyle name="Comma 2 7 2 2 5" xfId="12443" xr:uid="{00000000-0005-0000-0000-000072030000}"/>
    <cellStyle name="Comma 2 7 2 2 5 2" xfId="44917" xr:uid="{71939EC8-035F-4479-A7DA-8417125A4A0F}"/>
    <cellStyle name="Comma 2 7 2 2 6" xfId="14285" xr:uid="{BF8A6C2E-5C5D-426F-B905-99266894EAC9}"/>
    <cellStyle name="Comma 2 7 2 3" xfId="1006" xr:uid="{00000000-0005-0000-0000-000003040000}"/>
    <cellStyle name="Comma 2 7 2 3 2" xfId="1007" xr:uid="{00000000-0005-0000-0000-000004040000}"/>
    <cellStyle name="Comma 2 7 2 3 2 2" xfId="6575" xr:uid="{00000000-0005-0000-0000-0000EC170000}"/>
    <cellStyle name="Comma 2 7 2 3 2 3" xfId="16687" xr:uid="{F739A888-59F4-4587-B6EC-B722ECD94611}"/>
    <cellStyle name="Comma 2 7 2 3 3" xfId="6574" xr:uid="{00000000-0005-0000-0000-0000EB170000}"/>
    <cellStyle name="Comma 2 7 2 3 4" xfId="12439" xr:uid="{00000000-0005-0000-0000-000074030000}"/>
    <cellStyle name="Comma 2 7 2 3 4 2" xfId="44913" xr:uid="{21C640EF-62D7-4E67-BB8D-ACC96B6BEA81}"/>
    <cellStyle name="Comma 2 7 2 3 5" xfId="14287" xr:uid="{12DCF4A0-1A2D-4D48-A5BF-331E6D5DA2CF}"/>
    <cellStyle name="Comma 2 7 2 4" xfId="1008" xr:uid="{00000000-0005-0000-0000-000005040000}"/>
    <cellStyle name="Comma 2 7 2 4 2" xfId="6576" xr:uid="{00000000-0005-0000-0000-0000ED170000}"/>
    <cellStyle name="Comma 2 7 2 4 3" xfId="16684" xr:uid="{AAE95F32-8CF7-4665-B22F-9B7D0037505B}"/>
    <cellStyle name="Comma 2 7 2 5" xfId="6569" xr:uid="{00000000-0005-0000-0000-0000E6170000}"/>
    <cellStyle name="Comma 2 7 2 6" xfId="12444" xr:uid="{00000000-0005-0000-0000-000071030000}"/>
    <cellStyle name="Comma 2 7 2 6 2" xfId="44918" xr:uid="{17CED3D3-756D-4F32-8F7B-3E564FF4DF50}"/>
    <cellStyle name="Comma 2 7 2 7" xfId="14284" xr:uid="{C8A1D297-E602-4332-81F4-08EC420C79F2}"/>
    <cellStyle name="Comma 2 7 3" xfId="1009" xr:uid="{00000000-0005-0000-0000-000006040000}"/>
    <cellStyle name="Comma 2 7 3 2" xfId="1010" xr:uid="{00000000-0005-0000-0000-000007040000}"/>
    <cellStyle name="Comma 2 7 3 2 2" xfId="1011" xr:uid="{00000000-0005-0000-0000-000008040000}"/>
    <cellStyle name="Comma 2 7 3 2 2 2" xfId="6579" xr:uid="{00000000-0005-0000-0000-0000F0170000}"/>
    <cellStyle name="Comma 2 7 3 2 2 3" xfId="16689" xr:uid="{87D76AD8-1C28-4DF7-B462-502A4DD196BC}"/>
    <cellStyle name="Comma 2 7 3 2 3" xfId="6578" xr:uid="{00000000-0005-0000-0000-0000EF170000}"/>
    <cellStyle name="Comma 2 7 3 2 4" xfId="12437" xr:uid="{00000000-0005-0000-0000-000076030000}"/>
    <cellStyle name="Comma 2 7 3 2 4 2" xfId="44911" xr:uid="{E9D959D6-CC6E-4933-9F01-C76D28BD676B}"/>
    <cellStyle name="Comma 2 7 3 2 5" xfId="14289" xr:uid="{F97EB626-4515-4F42-9E21-85E4782940D5}"/>
    <cellStyle name="Comma 2 7 3 3" xfId="1012" xr:uid="{00000000-0005-0000-0000-000009040000}"/>
    <cellStyle name="Comma 2 7 3 3 2" xfId="6580" xr:uid="{00000000-0005-0000-0000-0000F1170000}"/>
    <cellStyle name="Comma 2 7 3 3 3" xfId="16688" xr:uid="{A0609B0C-D52A-46E2-9DA6-3BBAD0E3D5E6}"/>
    <cellStyle name="Comma 2 7 3 4" xfId="6577" xr:uid="{00000000-0005-0000-0000-0000EE170000}"/>
    <cellStyle name="Comma 2 7 3 5" xfId="12438" xr:uid="{00000000-0005-0000-0000-000075030000}"/>
    <cellStyle name="Comma 2 7 3 5 2" xfId="44912" xr:uid="{06862BD3-0A2E-44FB-ACB3-0D713C54D5C6}"/>
    <cellStyle name="Comma 2 7 3 6" xfId="14288" xr:uid="{8D882A67-08BF-446B-B199-9D841827A7DC}"/>
    <cellStyle name="Comma 2 7 4" xfId="1013" xr:uid="{00000000-0005-0000-0000-00000A040000}"/>
    <cellStyle name="Comma 2 7 4 2" xfId="1014" xr:uid="{00000000-0005-0000-0000-00000B040000}"/>
    <cellStyle name="Comma 2 7 4 2 2" xfId="6582" xr:uid="{00000000-0005-0000-0000-0000F3170000}"/>
    <cellStyle name="Comma 2 7 4 2 3" xfId="16690" xr:uid="{C97CAE4D-ACA9-4D18-B74F-8880BE39C586}"/>
    <cellStyle name="Comma 2 7 4 3" xfId="6581" xr:uid="{00000000-0005-0000-0000-0000F2170000}"/>
    <cellStyle name="Comma 2 7 4 4" xfId="12434" xr:uid="{00000000-0005-0000-0000-000077030000}"/>
    <cellStyle name="Comma 2 7 4 4 2" xfId="44908" xr:uid="{71F199EB-1A5B-4030-8339-8183F503858C}"/>
    <cellStyle name="Comma 2 7 4 5" xfId="14290" xr:uid="{5247E64B-2842-4F28-A2FB-0A6CE9F37403}"/>
    <cellStyle name="Comma 2 7 5" xfId="1015" xr:uid="{00000000-0005-0000-0000-00000C040000}"/>
    <cellStyle name="Comma 2 7 5 2" xfId="6583" xr:uid="{00000000-0005-0000-0000-0000F4170000}"/>
    <cellStyle name="Comma 2 7 5 3" xfId="16683" xr:uid="{F1AA942A-7170-41EB-95A5-FC1D784BF9F1}"/>
    <cellStyle name="Comma 2 7 6" xfId="6568" xr:uid="{00000000-0005-0000-0000-0000E5170000}"/>
    <cellStyle name="Comma 2 7 7" xfId="12445" xr:uid="{00000000-0005-0000-0000-000070030000}"/>
    <cellStyle name="Comma 2 7 7 2" xfId="44919" xr:uid="{EFDC3ADB-8C36-4C77-9139-9392AF7130F8}"/>
    <cellStyle name="Comma 2 7 8" xfId="14283" xr:uid="{E1BEA620-5C13-4C2F-9638-B3438E100E71}"/>
    <cellStyle name="Comma 2 8" xfId="1016" xr:uid="{00000000-0005-0000-0000-00000D040000}"/>
    <cellStyle name="Comma 2 8 2" xfId="1017" xr:uid="{00000000-0005-0000-0000-00000E040000}"/>
    <cellStyle name="Comma 2 9" xfId="1018" xr:uid="{00000000-0005-0000-0000-00000F040000}"/>
    <cellStyle name="Comma 2 9 2" xfId="1019" xr:uid="{00000000-0005-0000-0000-000010040000}"/>
    <cellStyle name="Comma 2 9 2 2" xfId="1020" xr:uid="{00000000-0005-0000-0000-000011040000}"/>
    <cellStyle name="Comma 2 9 2 2 2" xfId="1021" xr:uid="{00000000-0005-0000-0000-000012040000}"/>
    <cellStyle name="Comma 2 9 2 2 2 2" xfId="6589" xr:uid="{00000000-0005-0000-0000-0000F8170000}"/>
    <cellStyle name="Comma 2 9 2 2 2 3" xfId="16694" xr:uid="{F2E7FFC6-498C-4A06-9D0C-D02F759BBC3E}"/>
    <cellStyle name="Comma 2 9 2 2 3" xfId="6588" xr:uid="{00000000-0005-0000-0000-0000F7170000}"/>
    <cellStyle name="Comma 2 9 2 2 4" xfId="12430" xr:uid="{00000000-0005-0000-0000-00007B030000}"/>
    <cellStyle name="Comma 2 9 2 2 4 2" xfId="44904" xr:uid="{9E9053EF-4D67-49FD-B7E5-4A7F64FFC55A}"/>
    <cellStyle name="Comma 2 9 2 2 5" xfId="14293" xr:uid="{EBE09F69-757E-49A1-B6E8-179779F81E0A}"/>
    <cellStyle name="Comma 2 9 2 3" xfId="1022" xr:uid="{00000000-0005-0000-0000-000013040000}"/>
    <cellStyle name="Comma 2 9 2 3 2" xfId="6590" xr:uid="{00000000-0005-0000-0000-0000F9170000}"/>
    <cellStyle name="Comma 2 9 2 3 3" xfId="16693" xr:uid="{339185AD-A61B-4879-9E0C-C3014C66CA31}"/>
    <cellStyle name="Comma 2 9 2 4" xfId="6587" xr:uid="{00000000-0005-0000-0000-0000F6170000}"/>
    <cellStyle name="Comma 2 9 2 5" xfId="12431" xr:uid="{00000000-0005-0000-0000-00007A030000}"/>
    <cellStyle name="Comma 2 9 2 5 2" xfId="44905" xr:uid="{0CC2A8A1-35E7-4E69-AB94-37C6C2889002}"/>
    <cellStyle name="Comma 2 9 2 6" xfId="14292" xr:uid="{BF01B4A0-62BB-4C30-9D10-5C4280B0DEE9}"/>
    <cellStyle name="Comma 2 9 3" xfId="1023" xr:uid="{00000000-0005-0000-0000-000014040000}"/>
    <cellStyle name="Comma 2 9 3 2" xfId="1024" xr:uid="{00000000-0005-0000-0000-000015040000}"/>
    <cellStyle name="Comma 2 9 3 2 2" xfId="6592" xr:uid="{00000000-0005-0000-0000-0000FB170000}"/>
    <cellStyle name="Comma 2 9 3 2 3" xfId="16695" xr:uid="{7C46ACFB-1DBF-4B8B-A0AA-5D36AB2AE7F6}"/>
    <cellStyle name="Comma 2 9 3 3" xfId="6591" xr:uid="{00000000-0005-0000-0000-0000FA170000}"/>
    <cellStyle name="Comma 2 9 3 4" xfId="12428" xr:uid="{00000000-0005-0000-0000-00007C030000}"/>
    <cellStyle name="Comma 2 9 3 4 2" xfId="44902" xr:uid="{596B58BC-A5E3-4A72-B80A-085B5179E5EB}"/>
    <cellStyle name="Comma 2 9 3 5" xfId="14294" xr:uid="{92696C8E-2E05-4EE7-A8BC-636B069CE725}"/>
    <cellStyle name="Comma 2 9 4" xfId="1025" xr:uid="{00000000-0005-0000-0000-000016040000}"/>
    <cellStyle name="Comma 2 9 4 2" xfId="6593" xr:uid="{00000000-0005-0000-0000-0000FC170000}"/>
    <cellStyle name="Comma 2 9 4 3" xfId="16692" xr:uid="{5577ADBF-1006-4929-B3FF-77A2EF407B5F}"/>
    <cellStyle name="Comma 2 9 5" xfId="6586" xr:uid="{00000000-0005-0000-0000-0000F5170000}"/>
    <cellStyle name="Comma 2 9 6" xfId="12432" xr:uid="{00000000-0005-0000-0000-000079030000}"/>
    <cellStyle name="Comma 2 9 6 2" xfId="44906" xr:uid="{9C277266-96CD-48CB-A845-D8F31B82DBFD}"/>
    <cellStyle name="Comma 2 9 7" xfId="14291" xr:uid="{B2703E8D-F370-429E-967A-351CC9725182}"/>
    <cellStyle name="Comma 2*" xfId="1026" xr:uid="{00000000-0005-0000-0000-000017040000}"/>
    <cellStyle name="Comma 20" xfId="20425" xr:uid="{B49948DB-1D9C-4022-9B04-99ABD59AB955}"/>
    <cellStyle name="Comma 20 2" xfId="46075" xr:uid="{25BF9F83-E063-497C-8C21-603755130280}"/>
    <cellStyle name="Comma 21" xfId="20397" xr:uid="{56C2B40D-14C5-4F45-9121-6704F0DF3C85}"/>
    <cellStyle name="Comma 21 2" xfId="46076" xr:uid="{3861CA06-D92E-40E4-812A-7D90871D8A14}"/>
    <cellStyle name="Comma 22" xfId="19236" xr:uid="{809B6086-D29F-4C4F-9940-77D9738D437D}"/>
    <cellStyle name="Comma 23" xfId="20716" xr:uid="{EB545F6C-0A23-466E-894F-1FC75AD3A2C0}"/>
    <cellStyle name="Comma 24" xfId="20600" xr:uid="{7B80E943-47D7-4A78-8E49-D564775558C2}"/>
    <cellStyle name="Comma 25" xfId="18903" xr:uid="{3DA700BC-17D0-480D-B2B3-DE532394D99A}"/>
    <cellStyle name="Comma 26" xfId="20889" xr:uid="{44FB563A-7843-4F01-8AB7-88EE1D79702B}"/>
    <cellStyle name="Comma 27" xfId="22066" xr:uid="{69941B95-F33B-4EDD-9F6D-DF8FDC90322B}"/>
    <cellStyle name="Comma 28" xfId="21150" xr:uid="{A1CE2E25-8476-48DA-8E8C-69DD324FE59A}"/>
    <cellStyle name="Comma 29" xfId="20467" xr:uid="{8856B280-460F-49D8-AAF3-EC0804CBE6E3}"/>
    <cellStyle name="Comma 3" xfId="1027" xr:uid="{00000000-0005-0000-0000-000018040000}"/>
    <cellStyle name="Comma 3 10" xfId="1028" xr:uid="{00000000-0005-0000-0000-000019040000}"/>
    <cellStyle name="Comma 3 10 2" xfId="6596" xr:uid="{00000000-0005-0000-0000-0000FD170000}"/>
    <cellStyle name="Comma 3 10 2 2" xfId="23468" xr:uid="{4CE05690-28A7-4DAA-936B-E2BA031C9AFA}"/>
    <cellStyle name="Comma 3 10 3" xfId="9371" xr:uid="{00000000-0005-0000-0000-000091030000}"/>
    <cellStyle name="Comma 3 10 4" xfId="17337" xr:uid="{2E58EBA1-562F-4B2B-81B1-FD8AE5BE96CF}"/>
    <cellStyle name="Comma 3 11" xfId="1029" xr:uid="{00000000-0005-0000-0000-00001A040000}"/>
    <cellStyle name="Comma 3 12" xfId="17914" xr:uid="{B45CEF5C-6097-4C64-99B9-272629AD5DAB}"/>
    <cellStyle name="Comma 3 2" xfId="1030" xr:uid="{00000000-0005-0000-0000-00001B040000}"/>
    <cellStyle name="Comma 3 2 2" xfId="1031" xr:uid="{00000000-0005-0000-0000-00001C040000}"/>
    <cellStyle name="Comma 3 2 2 2" xfId="1032" xr:uid="{00000000-0005-0000-0000-00001D040000}"/>
    <cellStyle name="Comma 3 2 2 2 2" xfId="17758" xr:uid="{52C6FCBB-A4CF-42F2-854C-11C5F44F848A}"/>
    <cellStyle name="Comma 3 2 2 2 2 2" xfId="18485" xr:uid="{588C43B0-5789-4275-86AA-CAB90C7B61FC}"/>
    <cellStyle name="Comma 3 2 2 2 3" xfId="18656" xr:uid="{CE27276E-B678-44CB-9C00-F17D8242F51A}"/>
    <cellStyle name="Comma 3 2 2 2 4" xfId="18312" xr:uid="{A34F6884-D3A6-477B-966A-776716181CB9}"/>
    <cellStyle name="Comma 3 2 2 2 5" xfId="17490" xr:uid="{647E6D52-13A9-469F-A762-578B30679B03}"/>
    <cellStyle name="Comma 3 2 2 3" xfId="17675" xr:uid="{0801743A-7740-4369-957B-ADFE07F545F5}"/>
    <cellStyle name="Comma 3 2 2 3 2" xfId="18541" xr:uid="{EEA5EEE2-05CC-47EE-8D48-7F2A32BB9535}"/>
    <cellStyle name="Comma 3 2 2 4" xfId="18713" xr:uid="{6EB8FFA7-A95A-4F53-AD7C-2F36D7424C59}"/>
    <cellStyle name="Comma 3 2 2 4 2" xfId="23469" xr:uid="{121AEEC1-0D3F-432A-AF2D-5F669A3A592B}"/>
    <cellStyle name="Comma 3 2 2 5" xfId="17916" xr:uid="{68D0C729-4D6D-433E-BA5E-913B6C6C8663}"/>
    <cellStyle name="Comma 3 2 2 5 2" xfId="24539" xr:uid="{72359617-418E-478F-B44E-00625851C72E}"/>
    <cellStyle name="Comma 3 2 2 6" xfId="17422" xr:uid="{3A7AAE64-C599-43EF-BB95-5F0FEB6BD6C8}"/>
    <cellStyle name="Comma 3 2 3" xfId="12423" xr:uid="{00000000-0005-0000-0000-00007F030000}"/>
    <cellStyle name="Comma 3 2 3 2" xfId="17724" xr:uid="{DAC44027-2A33-4441-A593-E4BBC9C71610}"/>
    <cellStyle name="Comma 3 2 3 2 2" xfId="18509" xr:uid="{68CB73B7-CDA1-4D72-BAB5-443535A60DAC}"/>
    <cellStyle name="Comma 3 2 3 3" xfId="18681" xr:uid="{D284A34B-211D-4C3A-B73A-2046422950DD}"/>
    <cellStyle name="Comma 3 2 3 4" xfId="17461" xr:uid="{775B0B33-E57A-4703-BE7B-F958FF402E11}"/>
    <cellStyle name="Comma 3 2 4" xfId="17589" xr:uid="{57D8C0DF-F53C-4062-BAAA-E7C2987D5150}"/>
    <cellStyle name="Comma 3 2 4 2" xfId="17856" xr:uid="{E99BA4B2-B991-4A85-9614-61932EDA83B9}"/>
    <cellStyle name="Comma 3 2 4 2 2" xfId="18818" xr:uid="{A387E1B2-B1A2-4052-A108-60F425F96891}"/>
    <cellStyle name="Comma 3 2 4 3" xfId="18596" xr:uid="{B45CDC19-345A-4F9D-AC98-151CF0CD4D84}"/>
    <cellStyle name="Comma 3 2 5" xfId="17636" xr:uid="{868CC3B0-97AC-4D12-889C-39EAF47DB8D4}"/>
    <cellStyle name="Comma 3 2 5 2" xfId="18569" xr:uid="{EED1E068-D4AF-4255-8DB3-55660D3940AA}"/>
    <cellStyle name="Comma 3 2 6" xfId="17915" xr:uid="{9E1DF63F-7A32-4287-998C-F10FCFEFF7A7}"/>
    <cellStyle name="Comma 3 2 7" xfId="24438" xr:uid="{9D4886E4-9CB2-42A8-98E4-C3DCDC0FAF6D}"/>
    <cellStyle name="Comma 3 2 8" xfId="13620" xr:uid="{FB3B1634-4B9C-4EFC-95E2-DFF8B32A1526}"/>
    <cellStyle name="Comma 3 3" xfId="1033" xr:uid="{00000000-0005-0000-0000-00001E040000}"/>
    <cellStyle name="Comma 3 3 2" xfId="1034" xr:uid="{00000000-0005-0000-0000-00001F040000}"/>
    <cellStyle name="Comma 3 3 2 2" xfId="1035" xr:uid="{00000000-0005-0000-0000-000020040000}"/>
    <cellStyle name="Comma 3 3 2 2 2" xfId="1036" xr:uid="{00000000-0005-0000-0000-000021040000}"/>
    <cellStyle name="Comma 3 3 2 2 2 2" xfId="6604" xr:uid="{00000000-0005-0000-0000-000001180000}"/>
    <cellStyle name="Comma 3 3 2 2 2 2 2" xfId="18314" xr:uid="{37B33AD3-C251-483B-A0CB-5A48F487D209}"/>
    <cellStyle name="Comma 3 3 2 2 2 3" xfId="16697" xr:uid="{E96DDDB6-FF4C-4CEE-B96B-1314030A44AA}"/>
    <cellStyle name="Comma 3 3 2 2 3" xfId="6603" xr:uid="{00000000-0005-0000-0000-000000180000}"/>
    <cellStyle name="Comma 3 3 2 2 3 2" xfId="23471" xr:uid="{99C2D4AE-7585-4354-8818-E3881A08D7B4}"/>
    <cellStyle name="Comma 3 3 2 2 3 3" xfId="17919" xr:uid="{C317A761-FDD4-425D-B67A-945F663408D2}"/>
    <cellStyle name="Comma 3 3 2 2 4" xfId="12414" xr:uid="{00000000-0005-0000-0000-000083030000}"/>
    <cellStyle name="Comma 3 3 2 2 4 2" xfId="24585" xr:uid="{66BED738-304F-4A73-8DF4-5F76BE80BD78}"/>
    <cellStyle name="Comma 3 3 2 2 5" xfId="14297" xr:uid="{5E774F0C-9A38-4230-958A-74DF6B5A971D}"/>
    <cellStyle name="Comma 3 3 2 3" xfId="1037" xr:uid="{00000000-0005-0000-0000-000022040000}"/>
    <cellStyle name="Comma 3 3 2 3 2" xfId="6605" xr:uid="{00000000-0005-0000-0000-000002180000}"/>
    <cellStyle name="Comma 3 3 2 3 2 2" xfId="18313" xr:uid="{6FF75B62-B0E3-443C-9736-17BC3FCD3543}"/>
    <cellStyle name="Comma 3 3 2 3 3" xfId="16696" xr:uid="{9ECF1AC9-6F2E-476D-804D-ED88FAA11203}"/>
    <cellStyle name="Comma 3 3 2 4" xfId="6602" xr:uid="{00000000-0005-0000-0000-0000FF170000}"/>
    <cellStyle name="Comma 3 3 2 4 2" xfId="23470" xr:uid="{2380C9E5-FECD-4DED-BB21-AB35776A3D4C}"/>
    <cellStyle name="Comma 3 3 2 4 3" xfId="17918" xr:uid="{7D22A4F2-997B-4C76-80F1-B35B376EEB65}"/>
    <cellStyle name="Comma 3 3 2 5" xfId="12421" xr:uid="{00000000-0005-0000-0000-000082030000}"/>
    <cellStyle name="Comma 3 3 2 5 2" xfId="24540" xr:uid="{D3EFC24C-7A94-4C7C-91C3-5C320CE55F73}"/>
    <cellStyle name="Comma 3 3 2 6" xfId="14296" xr:uid="{F8596424-3071-4AF8-BA47-31AE6DF3FB92}"/>
    <cellStyle name="Comma 3 3 3" xfId="1038" xr:uid="{00000000-0005-0000-0000-000023040000}"/>
    <cellStyle name="Comma 3 3 3 2" xfId="1039" xr:uid="{00000000-0005-0000-0000-000024040000}"/>
    <cellStyle name="Comma 3 3 3 2 2" xfId="6607" xr:uid="{00000000-0005-0000-0000-000004180000}"/>
    <cellStyle name="Comma 3 3 3 2 2 2" xfId="18315" xr:uid="{5C84EE48-97DD-4066-A580-251129B8D4EF}"/>
    <cellStyle name="Comma 3 3 3 2 3" xfId="16698" xr:uid="{47507623-BB0B-4DC7-96C2-0C75BF6508C8}"/>
    <cellStyle name="Comma 3 3 3 3" xfId="6606" xr:uid="{00000000-0005-0000-0000-000003180000}"/>
    <cellStyle name="Comma 3 3 3 3 2" xfId="23472" xr:uid="{63B72BC9-EB0D-4AED-9721-4F6D45602BD6}"/>
    <cellStyle name="Comma 3 3 3 3 3" xfId="17920" xr:uid="{7BF3F97B-8747-4874-9E3B-96596601216F}"/>
    <cellStyle name="Comma 3 3 3 4" xfId="12413" xr:uid="{00000000-0005-0000-0000-000084030000}"/>
    <cellStyle name="Comma 3 3 3 4 2" xfId="24566" xr:uid="{599D9AFC-3ADD-4591-8595-7030B4262FCC}"/>
    <cellStyle name="Comma 3 3 3 5" xfId="14298" xr:uid="{92A4C363-817C-4507-9DCB-076FA1C6C666}"/>
    <cellStyle name="Comma 3 3 4" xfId="1040" xr:uid="{00000000-0005-0000-0000-000025040000}"/>
    <cellStyle name="Comma 3 3 4 2" xfId="1041" xr:uid="{00000000-0005-0000-0000-000026040000}"/>
    <cellStyle name="Comma 3 3 4 2 2" xfId="6609" xr:uid="{00000000-0005-0000-0000-000006180000}"/>
    <cellStyle name="Comma 3 3 4 2 2 2" xfId="18316" xr:uid="{AEBACEE3-BA22-4AB0-8C02-CF9E957983A3}"/>
    <cellStyle name="Comma 3 3 4 2 3" xfId="16699" xr:uid="{EACAC07C-83C1-487B-9329-DEF441DEA0B0}"/>
    <cellStyle name="Comma 3 3 4 3" xfId="6608" xr:uid="{00000000-0005-0000-0000-000005180000}"/>
    <cellStyle name="Comma 3 3 4 3 2" xfId="23473" xr:uid="{9B1614BA-E968-4F69-BEDA-094185AB5360}"/>
    <cellStyle name="Comma 3 3 4 3 3" xfId="17921" xr:uid="{E83E2D97-888D-48FE-B82F-0FC705172B8E}"/>
    <cellStyle name="Comma 3 3 4 4" xfId="12412" xr:uid="{00000000-0005-0000-0000-000085030000}"/>
    <cellStyle name="Comma 3 3 4 4 2" xfId="24619" xr:uid="{8A8B3ACD-820C-4450-95B9-446A8A974A51}"/>
    <cellStyle name="Comma 3 3 4 5" xfId="14299" xr:uid="{61F5FB5E-400B-4BC7-99AA-7C1BE4116ED1}"/>
    <cellStyle name="Comma 3 3 5" xfId="6601" xr:uid="{00000000-0005-0000-0000-0000FE170000}"/>
    <cellStyle name="Comma 3 3 5 2" xfId="18568" xr:uid="{B78715E4-77B6-488E-BD4C-EA8D382754EA}"/>
    <cellStyle name="Comma 3 3 5 3" xfId="17637" xr:uid="{431B2C54-5435-4592-B018-65E20416147B}"/>
    <cellStyle name="Comma 3 3 6" xfId="12422" xr:uid="{00000000-0005-0000-0000-000081030000}"/>
    <cellStyle name="Comma 3 3 6 2" xfId="17917" xr:uid="{E1A1ADEF-6C39-4E30-B534-F317A762A8A9}"/>
    <cellStyle name="Comma 3 3 7" xfId="24439" xr:uid="{5F122CF9-BE5F-4018-B822-B0400C0787C3}"/>
    <cellStyle name="Comma 3 3 8" xfId="14295" xr:uid="{51B6F254-1E66-43A0-8379-C3FE912F627D}"/>
    <cellStyle name="Comma 3 4" xfId="1042" xr:uid="{00000000-0005-0000-0000-000027040000}"/>
    <cellStyle name="Comma 3 4 2" xfId="1043" xr:uid="{00000000-0005-0000-0000-000028040000}"/>
    <cellStyle name="Comma 3 4 2 2" xfId="6611" xr:uid="{00000000-0005-0000-0000-000007180000}"/>
    <cellStyle name="Comma 3 4 2 2 2" xfId="17491" xr:uid="{876E0F86-CAFD-4CD8-AD02-9696EBD20794}"/>
    <cellStyle name="Comma 3 4 2 2 2 2" xfId="17759" xr:uid="{C09F9424-4BE4-4290-A75B-3CC7C8B72A33}"/>
    <cellStyle name="Comma 3 4 2 2 2 2 2" xfId="18484" xr:uid="{C581FF3D-BB6E-41B1-99DD-0666ED47113C}"/>
    <cellStyle name="Comma 3 4 2 2 2 3" xfId="18655" xr:uid="{D6895524-A439-40F8-8B43-4F6E7F90C2C4}"/>
    <cellStyle name="Comma 3 4 2 2 3" xfId="17676" xr:uid="{B01A7027-F60B-4CBC-8AE4-59A0D4AEC1D2}"/>
    <cellStyle name="Comma 3 4 2 2 3 2" xfId="18540" xr:uid="{93C4D39A-8417-4158-872C-736A4343F8D7}"/>
    <cellStyle name="Comma 3 4 2 2 4" xfId="18712" xr:uid="{BD08CD0A-143A-484F-87E1-4DF3D9536759}"/>
    <cellStyle name="Comma 3 4 2 2 5" xfId="17423" xr:uid="{A1256350-2F51-4960-AD10-E95C192D2E42}"/>
    <cellStyle name="Comma 3 4 2 3" xfId="12411" xr:uid="{00000000-0005-0000-0000-000087030000}"/>
    <cellStyle name="Comma 3 4 2 3 2" xfId="17725" xr:uid="{FD2703A8-2608-402D-8F8F-69B321A3B74C}"/>
    <cellStyle name="Comma 3 4 2 3 2 2" xfId="18508" xr:uid="{AD02A731-7506-4D92-AF7B-2511D51483FD}"/>
    <cellStyle name="Comma 3 4 2 3 3" xfId="18680" xr:uid="{33D18F6E-F0A8-41AE-9739-29BF15E05CD5}"/>
    <cellStyle name="Comma 3 4 2 3 4" xfId="17462" xr:uid="{801EDE82-A7E9-472E-8831-531755A4372B}"/>
    <cellStyle name="Comma 3 4 2 4" xfId="17590" xr:uid="{2FFC3654-ED79-4033-B129-170C84955EC1}"/>
    <cellStyle name="Comma 3 4 2 4 2" xfId="17857" xr:uid="{4E2FDBA0-4DF5-44D7-B121-300707C14D78}"/>
    <cellStyle name="Comma 3 4 2 4 2 2" xfId="18419" xr:uid="{8C5F01EC-C0D1-4EC2-A57E-3888DD9CD986}"/>
    <cellStyle name="Comma 3 4 2 4 3" xfId="18595" xr:uid="{A880A4CD-9AD5-422A-8D52-41536D276661}"/>
    <cellStyle name="Comma 3 4 2 5" xfId="17638" xr:uid="{729B20E8-663F-4BE8-8443-8E9ECCE89FA9}"/>
    <cellStyle name="Comma 3 4 2 5 2" xfId="18567" xr:uid="{95F9539E-2B78-4D83-9F13-B5B4E8688CBA}"/>
    <cellStyle name="Comma 3 4 2 6" xfId="17922" xr:uid="{80053581-3258-42B9-A7BE-8F2421F5F840}"/>
    <cellStyle name="Comma 3 4 2 7" xfId="24441" xr:uid="{9676D03B-4DA9-4C5E-877C-A1AF0B501D03}"/>
    <cellStyle name="Comma 3 4 2 8" xfId="14301" xr:uid="{E5685000-586B-4522-90AB-33AD0E364867}"/>
    <cellStyle name="Comma 3 4 3" xfId="1044" xr:uid="{00000000-0005-0000-0000-000029040000}"/>
    <cellStyle name="Comma 3 4 3 2" xfId="1045" xr:uid="{00000000-0005-0000-0000-00002A040000}"/>
    <cellStyle name="Comma 3 4 3 2 2" xfId="6613" xr:uid="{00000000-0005-0000-0000-000009180000}"/>
    <cellStyle name="Comma 3 4 3 2 3" xfId="16700" xr:uid="{64EA231C-E7C1-4709-8170-3FE8086D8348}"/>
    <cellStyle name="Comma 3 4 3 3" xfId="6612" xr:uid="{00000000-0005-0000-0000-000008180000}"/>
    <cellStyle name="Comma 3 4 3 4" xfId="12410" xr:uid="{00000000-0005-0000-0000-000088030000}"/>
    <cellStyle name="Comma 3 4 3 4 2" xfId="44890" xr:uid="{D4F779B6-B3D2-4479-9404-0BFF10DAE22A}"/>
    <cellStyle name="Comma 3 4 3 5" xfId="14302" xr:uid="{3D3B97E2-14A4-449D-BA77-37C1B72A5A82}"/>
    <cellStyle name="Comma 3 4 4" xfId="1046" xr:uid="{00000000-0005-0000-0000-00002B040000}"/>
    <cellStyle name="Comma 3 5" xfId="1047" xr:uid="{00000000-0005-0000-0000-00002C040000}"/>
    <cellStyle name="Comma 3 5 2" xfId="1048" xr:uid="{00000000-0005-0000-0000-00002D040000}"/>
    <cellStyle name="Comma 3 5 2 2" xfId="6616" xr:uid="{00000000-0005-0000-0000-00000A180000}"/>
    <cellStyle name="Comma 3 5 2 3" xfId="14303" xr:uid="{425D5FCF-7F6D-4F06-9530-0C16F02FCD7E}"/>
    <cellStyle name="Comma 3 5 3" xfId="1049" xr:uid="{00000000-0005-0000-0000-00002E040000}"/>
    <cellStyle name="Comma 3 5 3 2" xfId="6617" xr:uid="{00000000-0005-0000-0000-00000B180000}"/>
    <cellStyle name="Comma 3 5 3 3" xfId="16701" xr:uid="{E721D17B-C2FD-4FCF-A304-FBAD2E289DF9}"/>
    <cellStyle name="Comma 3 5 4" xfId="12409" xr:uid="{00000000-0005-0000-0000-000089030000}"/>
    <cellStyle name="Comma 3 5 4 2" xfId="44889" xr:uid="{2824F2F6-3EF3-4660-B3E1-006BA30EDADD}"/>
    <cellStyle name="Comma 3 6" xfId="1050" xr:uid="{00000000-0005-0000-0000-00002F040000}"/>
    <cellStyle name="Comma 3 6 2" xfId="1051" xr:uid="{00000000-0005-0000-0000-000030040000}"/>
    <cellStyle name="Comma 3 6 2 2" xfId="6619" xr:uid="{00000000-0005-0000-0000-00000D180000}"/>
    <cellStyle name="Comma 3 6 2 3" xfId="16702" xr:uid="{6193483B-9926-4B2D-8EC1-95C261667163}"/>
    <cellStyle name="Comma 3 6 3" xfId="6618" xr:uid="{00000000-0005-0000-0000-00000C180000}"/>
    <cellStyle name="Comma 3 6 4" xfId="12407" xr:uid="{00000000-0005-0000-0000-00008A030000}"/>
    <cellStyle name="Comma 3 6 4 2" xfId="44887" xr:uid="{3505482A-18E4-4BAA-BF92-8277ADE89D14}"/>
    <cellStyle name="Comma 3 6 5" xfId="14304" xr:uid="{50620EF1-3CE7-4D33-96DD-26A956899B26}"/>
    <cellStyle name="Comma 3 7" xfId="1052" xr:uid="{00000000-0005-0000-0000-000031040000}"/>
    <cellStyle name="Comma 3 7 2" xfId="1053" xr:uid="{00000000-0005-0000-0000-000032040000}"/>
    <cellStyle name="Comma 3 7 2 2" xfId="6621" xr:uid="{00000000-0005-0000-0000-00000F180000}"/>
    <cellStyle name="Comma 3 7 2 3" xfId="16703" xr:uid="{89EE4448-CDD3-495A-9A8B-6987A2A4A0D7}"/>
    <cellStyle name="Comma 3 7 3" xfId="6620" xr:uid="{00000000-0005-0000-0000-00000E180000}"/>
    <cellStyle name="Comma 3 7 4" xfId="12406" xr:uid="{00000000-0005-0000-0000-00008B030000}"/>
    <cellStyle name="Comma 3 7 4 2" xfId="44886" xr:uid="{CF5DFB3E-3F9A-4801-B3D8-3FD039B57E7E}"/>
    <cellStyle name="Comma 3 7 5" xfId="14305" xr:uid="{941E3876-58C0-4E80-B125-15DCE7F60341}"/>
    <cellStyle name="Comma 3 8" xfId="1054" xr:uid="{00000000-0005-0000-0000-000033040000}"/>
    <cellStyle name="Comma 3 8 2" xfId="1055" xr:uid="{00000000-0005-0000-0000-000034040000}"/>
    <cellStyle name="Comma 3 9" xfId="1056" xr:uid="{00000000-0005-0000-0000-000035040000}"/>
    <cellStyle name="Comma 3 9 2" xfId="1057" xr:uid="{00000000-0005-0000-0000-000036040000}"/>
    <cellStyle name="Comma 3 9 2 2" xfId="6625" xr:uid="{00000000-0005-0000-0000-000011180000}"/>
    <cellStyle name="Comma 3 9 2 3" xfId="16704" xr:uid="{AC5C1695-8E41-4556-9D87-D490C9674470}"/>
    <cellStyle name="Comma 3 9 3" xfId="6624" xr:uid="{00000000-0005-0000-0000-000010180000}"/>
    <cellStyle name="Comma 3 9 4" xfId="12405" xr:uid="{00000000-0005-0000-0000-00008D030000}"/>
    <cellStyle name="Comma 3 9 4 2" xfId="44885" xr:uid="{C2F8931B-50F4-45F5-883D-CF7098195196}"/>
    <cellStyle name="Comma 3 9 5" xfId="14306" xr:uid="{7932E644-E614-4140-8D2F-C2DC9CABB1E6}"/>
    <cellStyle name="Comma 30" xfId="21427" xr:uid="{F1AE26C7-59E2-4C76-BE4B-C562D04EBD86}"/>
    <cellStyle name="Comma 31" xfId="22214" xr:uid="{8897E645-E227-417E-9BE1-8895CA2CC76B}"/>
    <cellStyle name="Comma 32" xfId="20789" xr:uid="{7AA1A395-E7C3-41EC-91A3-9D8BDC60D168}"/>
    <cellStyle name="Comma 33" xfId="19563" xr:uid="{8C0EF220-19A6-470C-997B-ACFF2409093A}"/>
    <cellStyle name="Comma 34" xfId="20369" xr:uid="{170A74D0-D881-4B0A-89EA-3D3388FF57B6}"/>
    <cellStyle name="Comma 35" xfId="22223" xr:uid="{1D87A579-CC22-4FFC-84EA-D84AFD64B7AD}"/>
    <cellStyle name="Comma 36" xfId="21558" xr:uid="{BFCFF925-2D04-44C0-BC9C-F3068BD1D7D4}"/>
    <cellStyle name="Comma 37" xfId="22444" xr:uid="{F1B4CE0C-7E45-4C56-BD3F-C6AD2A251563}"/>
    <cellStyle name="Comma 38" xfId="19338" xr:uid="{CDE5CA0F-3B27-44C0-88CB-B5B95634D927}"/>
    <cellStyle name="Comma 39" xfId="21590" xr:uid="{ECECFD35-7716-4F50-A056-DCE711E02544}"/>
    <cellStyle name="Comma 4" xfId="1058" xr:uid="{00000000-0005-0000-0000-000037040000}"/>
    <cellStyle name="Comma 4 10" xfId="1059" xr:uid="{00000000-0005-0000-0000-000038040000}"/>
    <cellStyle name="Comma 4 10 2" xfId="1060" xr:uid="{00000000-0005-0000-0000-000039040000}"/>
    <cellStyle name="Comma 4 10 2 2" xfId="6628" xr:uid="{00000000-0005-0000-0000-000013180000}"/>
    <cellStyle name="Comma 4 10 2 3" xfId="16705" xr:uid="{DACAB5E2-89A5-4A05-9FCE-1EA180ED70DF}"/>
    <cellStyle name="Comma 4 10 3" xfId="6627" xr:uid="{00000000-0005-0000-0000-000012180000}"/>
    <cellStyle name="Comma 4 10 4" xfId="12402" xr:uid="{00000000-0005-0000-0000-00008F030000}"/>
    <cellStyle name="Comma 4 10 4 2" xfId="44882" xr:uid="{16ACB15B-3332-4FFD-BBC0-16715D84FDE8}"/>
    <cellStyle name="Comma 4 10 5" xfId="14308" xr:uid="{A37E56B9-5C86-4EF5-92AB-CB8C7BA6B766}"/>
    <cellStyle name="Comma 4 11" xfId="1061" xr:uid="{00000000-0005-0000-0000-00003A040000}"/>
    <cellStyle name="Comma 4 11 2" xfId="1062" xr:uid="{00000000-0005-0000-0000-00003B040000}"/>
    <cellStyle name="Comma 4 11 2 2" xfId="6630" xr:uid="{00000000-0005-0000-0000-000015180000}"/>
    <cellStyle name="Comma 4 11 2 3" xfId="16706" xr:uid="{4C92ABBF-ACAD-4D7A-824E-09A570DC1B58}"/>
    <cellStyle name="Comma 4 11 3" xfId="6629" xr:uid="{00000000-0005-0000-0000-000014180000}"/>
    <cellStyle name="Comma 4 11 4" xfId="12400" xr:uid="{00000000-0005-0000-0000-000090030000}"/>
    <cellStyle name="Comma 4 11 4 2" xfId="44880" xr:uid="{3CD92DB5-D279-4A73-88A2-33A6ED057BBE}"/>
    <cellStyle name="Comma 4 11 5" xfId="14309" xr:uid="{1D57A3AF-8866-4195-B6EE-A0F661D6233D}"/>
    <cellStyle name="Comma 4 12" xfId="1063" xr:uid="{00000000-0005-0000-0000-00003C040000}"/>
    <cellStyle name="Comma 4 12 2" xfId="1064" xr:uid="{00000000-0005-0000-0000-00003D040000}"/>
    <cellStyle name="Comma 4 12 2 2" xfId="6632" xr:uid="{00000000-0005-0000-0000-000017180000}"/>
    <cellStyle name="Comma 4 12 2 3" xfId="16707" xr:uid="{2E754FB9-6DB0-4F6F-97CD-45E68F544CFB}"/>
    <cellStyle name="Comma 4 12 3" xfId="6631" xr:uid="{00000000-0005-0000-0000-000016180000}"/>
    <cellStyle name="Comma 4 12 4" xfId="12399" xr:uid="{00000000-0005-0000-0000-000091030000}"/>
    <cellStyle name="Comma 4 12 4 2" xfId="44879" xr:uid="{E6E81FFA-8DCE-4F98-98BB-8EEB0C3FFB7A}"/>
    <cellStyle name="Comma 4 12 5" xfId="14310" xr:uid="{C721DEEF-A30A-4D45-AD19-E25E3D7F4729}"/>
    <cellStyle name="Comma 4 13" xfId="1065" xr:uid="{00000000-0005-0000-0000-00003E040000}"/>
    <cellStyle name="Comma 4 13 2" xfId="1066" xr:uid="{00000000-0005-0000-0000-00003F040000}"/>
    <cellStyle name="Comma 4 14" xfId="1067" xr:uid="{00000000-0005-0000-0000-000040040000}"/>
    <cellStyle name="Comma 4 14 2" xfId="1068" xr:uid="{00000000-0005-0000-0000-000041040000}"/>
    <cellStyle name="Comma 4 14 2 2" xfId="6636" xr:uid="{00000000-0005-0000-0000-000019180000}"/>
    <cellStyle name="Comma 4 14 2 3" xfId="16708" xr:uid="{3C932938-0A50-45EF-8F6C-2156F122540B}"/>
    <cellStyle name="Comma 4 14 3" xfId="6635" xr:uid="{00000000-0005-0000-0000-000018180000}"/>
    <cellStyle name="Comma 4 14 4" xfId="12397" xr:uid="{00000000-0005-0000-0000-000093030000}"/>
    <cellStyle name="Comma 4 14 4 2" xfId="44877" xr:uid="{60C71253-93DA-4832-AAEA-73812DCED10C}"/>
    <cellStyle name="Comma 4 14 5" xfId="14311" xr:uid="{7D067079-2B69-4426-9A34-B0FA5965BF5B}"/>
    <cellStyle name="Comma 4 15" xfId="1069" xr:uid="{00000000-0005-0000-0000-000042040000}"/>
    <cellStyle name="Comma 4 15 2" xfId="24442" xr:uid="{2D2F83E9-524F-4AB5-8D32-2668E8039562}"/>
    <cellStyle name="Comma 4 16" xfId="1070" xr:uid="{00000000-0005-0000-0000-000043040000}"/>
    <cellStyle name="Comma 4 16 2" xfId="6638" xr:uid="{00000000-0005-0000-0000-00001A180000}"/>
    <cellStyle name="Comma 4 16 3" xfId="14307" xr:uid="{36B70EE4-9449-4515-92D0-48B6B8008FED}"/>
    <cellStyle name="Comma 4 2" xfId="1071" xr:uid="{00000000-0005-0000-0000-000044040000}"/>
    <cellStyle name="Comma 4 2 2" xfId="1072" xr:uid="{00000000-0005-0000-0000-000045040000}"/>
    <cellStyle name="Comma 4 2 2 2" xfId="1073" xr:uid="{00000000-0005-0000-0000-000046040000}"/>
    <cellStyle name="Comma 4 2 2 2 2" xfId="1074" xr:uid="{00000000-0005-0000-0000-000047040000}"/>
    <cellStyle name="Comma 4 2 2 2 2 2" xfId="1075" xr:uid="{00000000-0005-0000-0000-000048040000}"/>
    <cellStyle name="Comma 4 2 2 2 2 2 2" xfId="6643" xr:uid="{00000000-0005-0000-0000-00001E180000}"/>
    <cellStyle name="Comma 4 2 2 2 2 2 3" xfId="16711" xr:uid="{AE6A88E4-40E8-473A-A1F0-0908B85E13C3}"/>
    <cellStyle name="Comma 4 2 2 2 2 3" xfId="6642" xr:uid="{00000000-0005-0000-0000-00001D180000}"/>
    <cellStyle name="Comma 4 2 2 2 2 4" xfId="12390" xr:uid="{00000000-0005-0000-0000-000097030000}"/>
    <cellStyle name="Comma 4 2 2 2 2 4 2" xfId="44870" xr:uid="{BD1BD1C7-D2B7-470A-9CFF-36475D91E55A}"/>
    <cellStyle name="Comma 4 2 2 2 2 5" xfId="14314" xr:uid="{836132F8-84C8-49EC-B276-1D9E18C2E75C}"/>
    <cellStyle name="Comma 4 2 2 2 3" xfId="1076" xr:uid="{00000000-0005-0000-0000-000049040000}"/>
    <cellStyle name="Comma 4 2 2 2 3 2" xfId="6644" xr:uid="{00000000-0005-0000-0000-00001F180000}"/>
    <cellStyle name="Comma 4 2 2 2 3 3" xfId="16710" xr:uid="{4E9A5195-E23A-4E9B-BCC9-E9A028C3C5B9}"/>
    <cellStyle name="Comma 4 2 2 2 4" xfId="6641" xr:uid="{00000000-0005-0000-0000-00001C180000}"/>
    <cellStyle name="Comma 4 2 2 2 5" xfId="12391" xr:uid="{00000000-0005-0000-0000-000096030000}"/>
    <cellStyle name="Comma 4 2 2 2 5 2" xfId="44871" xr:uid="{9EBAE82A-4A5D-4475-B53D-A3A6E7528F45}"/>
    <cellStyle name="Comma 4 2 2 2 6" xfId="14313" xr:uid="{779E4707-FB7C-4CA1-983B-B98DB64A9B14}"/>
    <cellStyle name="Comma 4 2 2 3" xfId="1077" xr:uid="{00000000-0005-0000-0000-00004A040000}"/>
    <cellStyle name="Comma 4 2 2 3 2" xfId="1078" xr:uid="{00000000-0005-0000-0000-00004B040000}"/>
    <cellStyle name="Comma 4 2 2 3 2 2" xfId="6646" xr:uid="{00000000-0005-0000-0000-000021180000}"/>
    <cellStyle name="Comma 4 2 2 3 2 3" xfId="16712" xr:uid="{4A369478-7A49-4A16-B9B5-AFD45C2FD5E9}"/>
    <cellStyle name="Comma 4 2 2 3 3" xfId="6645" xr:uid="{00000000-0005-0000-0000-000020180000}"/>
    <cellStyle name="Comma 4 2 2 3 4" xfId="12389" xr:uid="{00000000-0005-0000-0000-000098030000}"/>
    <cellStyle name="Comma 4 2 2 3 4 2" xfId="44869" xr:uid="{4B25BB76-5E85-4AF2-ACC1-40E7571A8E6A}"/>
    <cellStyle name="Comma 4 2 2 3 5" xfId="14315" xr:uid="{92B4B743-15A7-41EE-84DB-02E7C756D5DB}"/>
    <cellStyle name="Comma 4 2 2 4" xfId="1079" xr:uid="{00000000-0005-0000-0000-00004C040000}"/>
    <cellStyle name="Comma 4 2 2 4 2" xfId="6647" xr:uid="{00000000-0005-0000-0000-000022180000}"/>
    <cellStyle name="Comma 4 2 2 4 3" xfId="16709" xr:uid="{FD9971CA-09F1-4513-AB5F-09D27F2437CA}"/>
    <cellStyle name="Comma 4 2 2 5" xfId="6640" xr:uid="{00000000-0005-0000-0000-00001B180000}"/>
    <cellStyle name="Comma 4 2 2 6" xfId="12396" xr:uid="{00000000-0005-0000-0000-000095030000}"/>
    <cellStyle name="Comma 4 2 2 6 2" xfId="44876" xr:uid="{4564E847-0B7F-45B6-A9FA-9D4A6D1CE968}"/>
    <cellStyle name="Comma 4 2 2 7" xfId="14312" xr:uid="{0C190072-93E3-48FB-84C9-AD562DAF2C1D}"/>
    <cellStyle name="Comma 4 2 3" xfId="1080" xr:uid="{00000000-0005-0000-0000-00004D040000}"/>
    <cellStyle name="Comma 4 2 3 2" xfId="1081" xr:uid="{00000000-0005-0000-0000-00004E040000}"/>
    <cellStyle name="Comma 4 2 3 2 2" xfId="1082" xr:uid="{00000000-0005-0000-0000-00004F040000}"/>
    <cellStyle name="Comma 4 2 3 2 2 2" xfId="6650" xr:uid="{00000000-0005-0000-0000-000025180000}"/>
    <cellStyle name="Comma 4 2 3 2 2 3" xfId="16714" xr:uid="{1EA7A89B-1D35-4D88-81C0-0E9250F78D4C}"/>
    <cellStyle name="Comma 4 2 3 2 3" xfId="6649" xr:uid="{00000000-0005-0000-0000-000024180000}"/>
    <cellStyle name="Comma 4 2 3 2 4" xfId="12387" xr:uid="{00000000-0005-0000-0000-00009A030000}"/>
    <cellStyle name="Comma 4 2 3 2 4 2" xfId="44867" xr:uid="{816C90D3-FA03-404B-9EE9-0C697BED936D}"/>
    <cellStyle name="Comma 4 2 3 2 5" xfId="14317" xr:uid="{64C2F418-54F0-4268-9BDD-2D231B51575C}"/>
    <cellStyle name="Comma 4 2 3 3" xfId="1083" xr:uid="{00000000-0005-0000-0000-000050040000}"/>
    <cellStyle name="Comma 4 2 3 3 2" xfId="6651" xr:uid="{00000000-0005-0000-0000-000026180000}"/>
    <cellStyle name="Comma 4 2 3 3 3" xfId="16713" xr:uid="{A997EC47-E303-4B3E-8D9D-8E0514CA7157}"/>
    <cellStyle name="Comma 4 2 3 4" xfId="6648" xr:uid="{00000000-0005-0000-0000-000023180000}"/>
    <cellStyle name="Comma 4 2 3 5" xfId="12388" xr:uid="{00000000-0005-0000-0000-000099030000}"/>
    <cellStyle name="Comma 4 2 3 5 2" xfId="44868" xr:uid="{E73FCB09-42A9-4742-A3C7-95BBA7EAF6A1}"/>
    <cellStyle name="Comma 4 2 3 6" xfId="14316" xr:uid="{945AC19A-0B85-4745-8644-A9A89E522DBD}"/>
    <cellStyle name="Comma 4 2 4" xfId="1084" xr:uid="{00000000-0005-0000-0000-000051040000}"/>
    <cellStyle name="Comma 4 2 4 2" xfId="1085" xr:uid="{00000000-0005-0000-0000-000052040000}"/>
    <cellStyle name="Comma 4 2 4 2 2" xfId="6653" xr:uid="{00000000-0005-0000-0000-000028180000}"/>
    <cellStyle name="Comma 4 2 4 2 3" xfId="16715" xr:uid="{C466CADF-F546-473E-9C2C-08E3A776C0A3}"/>
    <cellStyle name="Comma 4 2 4 3" xfId="6652" xr:uid="{00000000-0005-0000-0000-000027180000}"/>
    <cellStyle name="Comma 4 2 4 4" xfId="12385" xr:uid="{00000000-0005-0000-0000-00009B030000}"/>
    <cellStyle name="Comma 4 2 4 4 2" xfId="44865" xr:uid="{D94EFFF3-E8DF-46AD-95F8-803649E3BE66}"/>
    <cellStyle name="Comma 4 2 4 5" xfId="14318" xr:uid="{57B0EC49-1ED5-40ED-9A53-C49307B9881D}"/>
    <cellStyle name="Comma 4 2 5" xfId="1086" xr:uid="{00000000-0005-0000-0000-000053040000}"/>
    <cellStyle name="Comma 4 2 5 2" xfId="1087" xr:uid="{00000000-0005-0000-0000-000054040000}"/>
    <cellStyle name="Comma 4 2 5 2 2" xfId="6655" xr:uid="{00000000-0005-0000-0000-00002A180000}"/>
    <cellStyle name="Comma 4 2 5 2 3" xfId="16716" xr:uid="{65089A3C-8163-43FD-B38E-24255FA84B0A}"/>
    <cellStyle name="Comma 4 2 5 3" xfId="6654" xr:uid="{00000000-0005-0000-0000-000029180000}"/>
    <cellStyle name="Comma 4 2 5 4" xfId="12384" xr:uid="{00000000-0005-0000-0000-00009C030000}"/>
    <cellStyle name="Comma 4 2 5 4 2" xfId="44864" xr:uid="{01EC9900-2D98-4804-A3A0-EE98E9ED4426}"/>
    <cellStyle name="Comma 4 2 5 5" xfId="14319" xr:uid="{8ED68EE6-ECB8-4B81-A249-EE1F7D437246}"/>
    <cellStyle name="Comma 4 2 6" xfId="1088" xr:uid="{00000000-0005-0000-0000-000055040000}"/>
    <cellStyle name="Comma 4 3" xfId="1089" xr:uid="{00000000-0005-0000-0000-000056040000}"/>
    <cellStyle name="Comma 4 3 2" xfId="1090" xr:uid="{00000000-0005-0000-0000-000057040000}"/>
    <cellStyle name="Comma 4 3 2 2" xfId="1091" xr:uid="{00000000-0005-0000-0000-000058040000}"/>
    <cellStyle name="Comma 4 3 2 2 2" xfId="1092" xr:uid="{00000000-0005-0000-0000-000059040000}"/>
    <cellStyle name="Comma 4 3 2 2 2 2" xfId="1093" xr:uid="{00000000-0005-0000-0000-00005A040000}"/>
    <cellStyle name="Comma 4 3 2 2 2 2 2" xfId="6661" xr:uid="{00000000-0005-0000-0000-00002E180000}"/>
    <cellStyle name="Comma 4 3 2 2 2 2 3" xfId="16719" xr:uid="{5E2F27EE-E0F8-47C2-8193-D887307771BC}"/>
    <cellStyle name="Comma 4 3 2 2 2 3" xfId="6660" xr:uid="{00000000-0005-0000-0000-00002D180000}"/>
    <cellStyle name="Comma 4 3 2 2 2 4" xfId="12380" xr:uid="{00000000-0005-0000-0000-0000A0030000}"/>
    <cellStyle name="Comma 4 3 2 2 2 4 2" xfId="44860" xr:uid="{CBE99029-F783-4BB7-9ECF-793BB143A715}"/>
    <cellStyle name="Comma 4 3 2 2 2 5" xfId="14323" xr:uid="{35B85AE0-1809-4A09-9996-B617219BC46F}"/>
    <cellStyle name="Comma 4 3 2 2 3" xfId="1094" xr:uid="{00000000-0005-0000-0000-00005B040000}"/>
    <cellStyle name="Comma 4 3 2 2 3 2" xfId="6662" xr:uid="{00000000-0005-0000-0000-00002F180000}"/>
    <cellStyle name="Comma 4 3 2 2 3 3" xfId="16718" xr:uid="{639E2202-AE2D-4101-8CC3-1F557F77E099}"/>
    <cellStyle name="Comma 4 3 2 2 4" xfId="6659" xr:uid="{00000000-0005-0000-0000-00002C180000}"/>
    <cellStyle name="Comma 4 3 2 2 5" xfId="12381" xr:uid="{00000000-0005-0000-0000-00009F030000}"/>
    <cellStyle name="Comma 4 3 2 2 5 2" xfId="44861" xr:uid="{CC61CA03-1A03-4050-B83B-80D053A29AA6}"/>
    <cellStyle name="Comma 4 3 2 2 6" xfId="14322" xr:uid="{42519342-E386-4202-8081-C9B5A3985BB6}"/>
    <cellStyle name="Comma 4 3 2 3" xfId="1095" xr:uid="{00000000-0005-0000-0000-00005C040000}"/>
    <cellStyle name="Comma 4 3 2 3 2" xfId="1096" xr:uid="{00000000-0005-0000-0000-00005D040000}"/>
    <cellStyle name="Comma 4 3 2 3 2 2" xfId="6664" xr:uid="{00000000-0005-0000-0000-000031180000}"/>
    <cellStyle name="Comma 4 3 2 3 2 3" xfId="16720" xr:uid="{9B76433C-6023-4541-8624-1F793B3D20DF}"/>
    <cellStyle name="Comma 4 3 2 3 3" xfId="6663" xr:uid="{00000000-0005-0000-0000-000030180000}"/>
    <cellStyle name="Comma 4 3 2 3 4" xfId="12379" xr:uid="{00000000-0005-0000-0000-0000A1030000}"/>
    <cellStyle name="Comma 4 3 2 3 4 2" xfId="44859" xr:uid="{2A3815E6-07C7-4707-BAF1-AB2F6C92464B}"/>
    <cellStyle name="Comma 4 3 2 3 5" xfId="14324" xr:uid="{2505FDFB-81B9-4E66-BBDF-ED0AC58CE6D5}"/>
    <cellStyle name="Comma 4 3 2 4" xfId="1097" xr:uid="{00000000-0005-0000-0000-00005E040000}"/>
    <cellStyle name="Comma 4 3 2 4 2" xfId="6665" xr:uid="{00000000-0005-0000-0000-000032180000}"/>
    <cellStyle name="Comma 4 3 2 4 3" xfId="16717" xr:uid="{BE92A4F4-F3F0-4079-8234-C5B10A3EEC87}"/>
    <cellStyle name="Comma 4 3 2 5" xfId="6658" xr:uid="{00000000-0005-0000-0000-00002B180000}"/>
    <cellStyle name="Comma 4 3 2 6" xfId="12382" xr:uid="{00000000-0005-0000-0000-00009E030000}"/>
    <cellStyle name="Comma 4 3 2 6 2" xfId="44862" xr:uid="{8B82212F-77A9-4523-AD95-ACF7CB5BE0AB}"/>
    <cellStyle name="Comma 4 3 2 7" xfId="14321" xr:uid="{27CFF1D1-5267-4493-B548-65F4A7639BAE}"/>
    <cellStyle name="Comma 4 3 3" xfId="1098" xr:uid="{00000000-0005-0000-0000-00005F040000}"/>
    <cellStyle name="Comma 4 3 3 2" xfId="1099" xr:uid="{00000000-0005-0000-0000-000060040000}"/>
    <cellStyle name="Comma 4 3 3 2 2" xfId="1100" xr:uid="{00000000-0005-0000-0000-000061040000}"/>
    <cellStyle name="Comma 4 3 3 2 2 2" xfId="6668" xr:uid="{00000000-0005-0000-0000-000035180000}"/>
    <cellStyle name="Comma 4 3 3 2 2 3" xfId="16722" xr:uid="{B238A93D-2CAC-4EF4-9480-60DEB0B8286B}"/>
    <cellStyle name="Comma 4 3 3 2 3" xfId="6667" xr:uid="{00000000-0005-0000-0000-000034180000}"/>
    <cellStyle name="Comma 4 3 3 2 4" xfId="12377" xr:uid="{00000000-0005-0000-0000-0000A3030000}"/>
    <cellStyle name="Comma 4 3 3 2 4 2" xfId="44857" xr:uid="{60C78338-51CB-4513-9C4E-486CD3AE243E}"/>
    <cellStyle name="Comma 4 3 3 2 5" xfId="14326" xr:uid="{243F5786-3CC3-40F4-A504-665CA5638965}"/>
    <cellStyle name="Comma 4 3 3 3" xfId="1101" xr:uid="{00000000-0005-0000-0000-000062040000}"/>
    <cellStyle name="Comma 4 3 3 3 2" xfId="6669" xr:uid="{00000000-0005-0000-0000-000036180000}"/>
    <cellStyle name="Comma 4 3 3 3 3" xfId="16721" xr:uid="{DC428286-A9DF-4EAB-AA56-FEFDC30B50FD}"/>
    <cellStyle name="Comma 4 3 3 4" xfId="6666" xr:uid="{00000000-0005-0000-0000-000033180000}"/>
    <cellStyle name="Comma 4 3 3 5" xfId="12378" xr:uid="{00000000-0005-0000-0000-0000A2030000}"/>
    <cellStyle name="Comma 4 3 3 5 2" xfId="44858" xr:uid="{14FAE668-D188-4A3A-82BA-05DDDA3DBB30}"/>
    <cellStyle name="Comma 4 3 3 6" xfId="14325" xr:uid="{CC543949-CD7F-44F4-A18A-47EBBAD8F527}"/>
    <cellStyle name="Comma 4 3 4" xfId="1102" xr:uid="{00000000-0005-0000-0000-000063040000}"/>
    <cellStyle name="Comma 4 3 4 2" xfId="1103" xr:uid="{00000000-0005-0000-0000-000064040000}"/>
    <cellStyle name="Comma 4 3 4 2 2" xfId="6671" xr:uid="{00000000-0005-0000-0000-000038180000}"/>
    <cellStyle name="Comma 4 3 4 2 3" xfId="16723" xr:uid="{F3C57194-E19F-47DF-9319-E73D974A177C}"/>
    <cellStyle name="Comma 4 3 4 3" xfId="6670" xr:uid="{00000000-0005-0000-0000-000037180000}"/>
    <cellStyle name="Comma 4 3 4 4" xfId="12375" xr:uid="{00000000-0005-0000-0000-0000A4030000}"/>
    <cellStyle name="Comma 4 3 4 4 2" xfId="44855" xr:uid="{48C2137A-E8B4-4F9C-8103-7CB1F2380D69}"/>
    <cellStyle name="Comma 4 3 4 5" xfId="14327" xr:uid="{03C1869E-9112-4255-92A4-68D5D2C0B56A}"/>
    <cellStyle name="Comma 4 3 5" xfId="1104" xr:uid="{00000000-0005-0000-0000-000065040000}"/>
    <cellStyle name="Comma 4 3 5 2" xfId="6672" xr:uid="{00000000-0005-0000-0000-000039180000}"/>
    <cellStyle name="Comma 4 3 5 3" xfId="14328" xr:uid="{1DA9C7EA-E572-4FDD-BF76-590A0E4483B7}"/>
    <cellStyle name="Comma 4 3 6" xfId="1105" xr:uid="{00000000-0005-0000-0000-000066040000}"/>
    <cellStyle name="Comma 4 4" xfId="1106" xr:uid="{00000000-0005-0000-0000-000067040000}"/>
    <cellStyle name="Comma 4 4 2" xfId="1107" xr:uid="{00000000-0005-0000-0000-000068040000}"/>
    <cellStyle name="Comma 4 4 2 2" xfId="1108" xr:uid="{00000000-0005-0000-0000-000069040000}"/>
    <cellStyle name="Comma 4 4 2 2 2" xfId="1109" xr:uid="{00000000-0005-0000-0000-00006A040000}"/>
    <cellStyle name="Comma 4 4 2 2 2 2" xfId="1110" xr:uid="{00000000-0005-0000-0000-00006B040000}"/>
    <cellStyle name="Comma 4 4 2 2 2 2 2" xfId="6678" xr:uid="{00000000-0005-0000-0000-00003E180000}"/>
    <cellStyle name="Comma 4 4 2 2 2 2 3" xfId="16727" xr:uid="{E2A757C4-3B2D-4037-B680-E3997F3914BC}"/>
    <cellStyle name="Comma 4 4 2 2 2 3" xfId="6677" xr:uid="{00000000-0005-0000-0000-00003D180000}"/>
    <cellStyle name="Comma 4 4 2 2 2 3 2" xfId="17926" xr:uid="{8561F995-A6DC-4695-913D-8BC7E4A66C77}"/>
    <cellStyle name="Comma 4 4 2 2 2 4" xfId="12367" xr:uid="{00000000-0005-0000-0000-0000A8030000}"/>
    <cellStyle name="Comma 4 4 2 2 2 4 2" xfId="44848" xr:uid="{4B2583FE-0A3F-401B-B9CE-47D37700A98D}"/>
    <cellStyle name="Comma 4 4 2 2 2 5" xfId="14332" xr:uid="{E74E1DD6-148B-4760-9179-1916C53B71A0}"/>
    <cellStyle name="Comma 4 4 2 2 3" xfId="1111" xr:uid="{00000000-0005-0000-0000-00006C040000}"/>
    <cellStyle name="Comma 4 4 2 2 3 2" xfId="6679" xr:uid="{00000000-0005-0000-0000-00003F180000}"/>
    <cellStyle name="Comma 4 4 2 2 3 3" xfId="16726" xr:uid="{7B8F57ED-FEF0-491C-8467-CFED093BA57A}"/>
    <cellStyle name="Comma 4 4 2 2 4" xfId="6676" xr:uid="{00000000-0005-0000-0000-00003C180000}"/>
    <cellStyle name="Comma 4 4 2 2 4 2" xfId="17925" xr:uid="{7BE53800-B793-49EC-8CEB-2337FDC7FD8B}"/>
    <cellStyle name="Comma 4 4 2 2 5" xfId="12368" xr:uid="{00000000-0005-0000-0000-0000A7030000}"/>
    <cellStyle name="Comma 4 4 2 2 5 2" xfId="44849" xr:uid="{77635A38-BF3B-4F4D-9D0E-768CFAED5F6F}"/>
    <cellStyle name="Comma 4 4 2 2 6" xfId="14331" xr:uid="{0DB13691-F1C9-4913-8841-C88EFFB1AD18}"/>
    <cellStyle name="Comma 4 4 2 3" xfId="1112" xr:uid="{00000000-0005-0000-0000-00006D040000}"/>
    <cellStyle name="Comma 4 4 2 3 2" xfId="1113" xr:uid="{00000000-0005-0000-0000-00006E040000}"/>
    <cellStyle name="Comma 4 4 2 3 2 2" xfId="6681" xr:uid="{00000000-0005-0000-0000-000041180000}"/>
    <cellStyle name="Comma 4 4 2 3 2 3" xfId="16728" xr:uid="{788E6259-B749-41D0-B56C-D6B5BD040DDB}"/>
    <cellStyle name="Comma 4 4 2 3 3" xfId="6680" xr:uid="{00000000-0005-0000-0000-000040180000}"/>
    <cellStyle name="Comma 4 4 2 3 3 2" xfId="17927" xr:uid="{4E9C8BB2-7351-4368-8425-A38EB9F049BD}"/>
    <cellStyle name="Comma 4 4 2 3 4" xfId="12366" xr:uid="{00000000-0005-0000-0000-0000A9030000}"/>
    <cellStyle name="Comma 4 4 2 3 4 2" xfId="44847" xr:uid="{1D679042-D38F-47D9-AE22-9F2A70F91CD0}"/>
    <cellStyle name="Comma 4 4 2 3 5" xfId="14333" xr:uid="{DA8B77B4-AD1A-4CD8-A4FB-585847186F24}"/>
    <cellStyle name="Comma 4 4 2 4" xfId="1114" xr:uid="{00000000-0005-0000-0000-00006F040000}"/>
    <cellStyle name="Comma 4 4 2 4 2" xfId="6682" xr:uid="{00000000-0005-0000-0000-000042180000}"/>
    <cellStyle name="Comma 4 4 2 4 3" xfId="16725" xr:uid="{B96E3093-FE32-470C-818B-63DE02F26553}"/>
    <cellStyle name="Comma 4 4 2 5" xfId="6675" xr:uid="{00000000-0005-0000-0000-00003B180000}"/>
    <cellStyle name="Comma 4 4 2 5 2" xfId="17924" xr:uid="{3897E945-5D61-47A6-AC2E-055B438450A7}"/>
    <cellStyle name="Comma 4 4 2 6" xfId="12369" xr:uid="{00000000-0005-0000-0000-0000A6030000}"/>
    <cellStyle name="Comma 4 4 2 6 2" xfId="44850" xr:uid="{99163A1C-152D-4FEE-870F-CD8B3A015FC4}"/>
    <cellStyle name="Comma 4 4 2 7" xfId="14330" xr:uid="{2088AC86-5F0F-40AF-9528-7D80DFEF39CF}"/>
    <cellStyle name="Comma 4 4 3" xfId="1115" xr:uid="{00000000-0005-0000-0000-000070040000}"/>
    <cellStyle name="Comma 4 4 3 2" xfId="1116" xr:uid="{00000000-0005-0000-0000-000071040000}"/>
    <cellStyle name="Comma 4 4 3 2 2" xfId="1117" xr:uid="{00000000-0005-0000-0000-000072040000}"/>
    <cellStyle name="Comma 4 4 3 2 2 2" xfId="6685" xr:uid="{00000000-0005-0000-0000-000045180000}"/>
    <cellStyle name="Comma 4 4 3 2 2 3" xfId="16730" xr:uid="{A493797A-4143-406D-B7F4-DAAEB5807A6D}"/>
    <cellStyle name="Comma 4 4 3 2 3" xfId="6684" xr:uid="{00000000-0005-0000-0000-000044180000}"/>
    <cellStyle name="Comma 4 4 3 2 3 2" xfId="17929" xr:uid="{FD117AF9-BB21-43EE-9FDF-7FEBDF4AF46F}"/>
    <cellStyle name="Comma 4 4 3 2 4" xfId="12364" xr:uid="{00000000-0005-0000-0000-0000AB030000}"/>
    <cellStyle name="Comma 4 4 3 2 4 2" xfId="44845" xr:uid="{A38CA4CE-D024-4F0C-A87B-0CC9682B38FB}"/>
    <cellStyle name="Comma 4 4 3 2 5" xfId="14335" xr:uid="{379B6AE3-E628-4CB5-9DB3-9308622BBEFB}"/>
    <cellStyle name="Comma 4 4 3 3" xfId="1118" xr:uid="{00000000-0005-0000-0000-000073040000}"/>
    <cellStyle name="Comma 4 4 3 3 2" xfId="6686" xr:uid="{00000000-0005-0000-0000-000046180000}"/>
    <cellStyle name="Comma 4 4 3 3 3" xfId="16729" xr:uid="{25178EC6-932D-4FC1-B72D-B79F40906719}"/>
    <cellStyle name="Comma 4 4 3 4" xfId="6683" xr:uid="{00000000-0005-0000-0000-000043180000}"/>
    <cellStyle name="Comma 4 4 3 4 2" xfId="17928" xr:uid="{CBB6515F-C347-46B7-A00C-B77351362CAE}"/>
    <cellStyle name="Comma 4 4 3 5" xfId="12365" xr:uid="{00000000-0005-0000-0000-0000AA030000}"/>
    <cellStyle name="Comma 4 4 3 5 2" xfId="44846" xr:uid="{05ADAD94-5636-4B0B-BFA9-3B71E347B795}"/>
    <cellStyle name="Comma 4 4 3 6" xfId="14334" xr:uid="{1C141BEC-6DE5-43C7-B87B-4F06A9DA2755}"/>
    <cellStyle name="Comma 4 4 4" xfId="1119" xr:uid="{00000000-0005-0000-0000-000074040000}"/>
    <cellStyle name="Comma 4 4 4 2" xfId="1120" xr:uid="{00000000-0005-0000-0000-000075040000}"/>
    <cellStyle name="Comma 4 4 4 2 2" xfId="6688" xr:uid="{00000000-0005-0000-0000-000048180000}"/>
    <cellStyle name="Comma 4 4 4 2 2 2" xfId="18418" xr:uid="{D9301B5E-E5B8-4FA4-A1A5-1296EFA6D01B}"/>
    <cellStyle name="Comma 4 4 4 2 3" xfId="18318" xr:uid="{30AB8439-2971-4BB2-9AA9-F3B5CF13F066}"/>
    <cellStyle name="Comma 4 4 4 2 4" xfId="17858" xr:uid="{F8D95773-7A72-4AF6-84CD-D98CF9C5162E}"/>
    <cellStyle name="Comma 4 4 4 2 5" xfId="16731" xr:uid="{61DF0FA3-3C05-40BA-9D24-856F1DEBAB57}"/>
    <cellStyle name="Comma 4 4 4 3" xfId="6687" xr:uid="{00000000-0005-0000-0000-000047180000}"/>
    <cellStyle name="Comma 4 4 4 3 2" xfId="23474" xr:uid="{4B748E2B-3A64-426F-97AC-A7F21FB73DC0}"/>
    <cellStyle name="Comma 4 4 4 3 3" xfId="17930" xr:uid="{D26771B4-3EC8-4EB8-8234-FEC6D9F10158}"/>
    <cellStyle name="Comma 4 4 4 4" xfId="12363" xr:uid="{00000000-0005-0000-0000-0000AC030000}"/>
    <cellStyle name="Comma 4 4 4 4 2" xfId="24620" xr:uid="{74E8DD3D-D562-4C3C-8DD1-43A4AB27A076}"/>
    <cellStyle name="Comma 4 4 4 4 3" xfId="44844" xr:uid="{64FA9D7F-2B29-4AEE-9D33-C935C92ED5A4}"/>
    <cellStyle name="Comma 4 4 4 5" xfId="14336" xr:uid="{FA9E4EAC-1D63-43A2-95CE-62B2F3E90700}"/>
    <cellStyle name="Comma 4 4 5" xfId="1121" xr:uid="{00000000-0005-0000-0000-000076040000}"/>
    <cellStyle name="Comma 4 4 5 2" xfId="6689" xr:uid="{00000000-0005-0000-0000-000049180000}"/>
    <cellStyle name="Comma 4 4 5 2 2" xfId="18566" xr:uid="{15BC94ED-0DE8-4612-8BEA-9A2E1E30AA7E}"/>
    <cellStyle name="Comma 4 4 5 3" xfId="18317" xr:uid="{E9C3823A-6AC9-4AB1-B16F-59648CAFD630}"/>
    <cellStyle name="Comma 4 4 5 4" xfId="17639" xr:uid="{1EAC4C4B-321F-4B42-B10F-D73129B8BF76}"/>
    <cellStyle name="Comma 4 4 5 5" xfId="16724" xr:uid="{FC568FE0-20DE-4495-BD88-04A05FA9BC5D}"/>
    <cellStyle name="Comma 4 4 6" xfId="6674" xr:uid="{00000000-0005-0000-0000-00003A180000}"/>
    <cellStyle name="Comma 4 4 6 2" xfId="17923" xr:uid="{A140762A-0326-4104-A6D4-CDEBBCA8568B}"/>
    <cellStyle name="Comma 4 4 7" xfId="12374" xr:uid="{00000000-0005-0000-0000-0000A5030000}"/>
    <cellStyle name="Comma 4 4 7 2" xfId="24445" xr:uid="{F73CE6C6-A2BA-4D39-8BD9-2C115707843A}"/>
    <cellStyle name="Comma 4 4 8" xfId="14329" xr:uid="{47D0D143-C43F-4F3E-A25C-91EA8CD5EFC0}"/>
    <cellStyle name="Comma 4 5" xfId="1122" xr:uid="{00000000-0005-0000-0000-000077040000}"/>
    <cellStyle name="Comma 4 5 2" xfId="1123" xr:uid="{00000000-0005-0000-0000-000078040000}"/>
    <cellStyle name="Comma 4 5 2 2" xfId="1124" xr:uid="{00000000-0005-0000-0000-000079040000}"/>
    <cellStyle name="Comma 4 5 2 2 2" xfId="1125" xr:uid="{00000000-0005-0000-0000-00007A040000}"/>
    <cellStyle name="Comma 4 5 2 2 2 2" xfId="6693" xr:uid="{00000000-0005-0000-0000-00004D180000}"/>
    <cellStyle name="Comma 4 5 2 2 2 3" xfId="16734" xr:uid="{56FBB429-CC38-4784-963E-B87A2185D480}"/>
    <cellStyle name="Comma 4 5 2 2 3" xfId="6692" xr:uid="{00000000-0005-0000-0000-00004C180000}"/>
    <cellStyle name="Comma 4 5 2 2 3 2" xfId="17933" xr:uid="{20802C0D-C556-457E-A44F-2731CFFD3DC7}"/>
    <cellStyle name="Comma 4 5 2 2 4" xfId="12359" xr:uid="{00000000-0005-0000-0000-0000AF030000}"/>
    <cellStyle name="Comma 4 5 2 2 4 2" xfId="44840" xr:uid="{026FCC49-00D4-4989-A66C-7F08FC220422}"/>
    <cellStyle name="Comma 4 5 2 2 5" xfId="14339" xr:uid="{6E71B86A-FF63-4746-8CDC-AE30638D3685}"/>
    <cellStyle name="Comma 4 5 2 3" xfId="1126" xr:uid="{00000000-0005-0000-0000-00007B040000}"/>
    <cellStyle name="Comma 4 5 2 3 2" xfId="6694" xr:uid="{00000000-0005-0000-0000-00004E180000}"/>
    <cellStyle name="Comma 4 5 2 3 3" xfId="16733" xr:uid="{D84C8557-353A-4278-822F-58056810BF17}"/>
    <cellStyle name="Comma 4 5 2 4" xfId="6691" xr:uid="{00000000-0005-0000-0000-00004B180000}"/>
    <cellStyle name="Comma 4 5 2 4 2" xfId="17932" xr:uid="{D77B66EA-F39E-487B-8EC0-951B030CC822}"/>
    <cellStyle name="Comma 4 5 2 5" xfId="12361" xr:uid="{00000000-0005-0000-0000-0000AE030000}"/>
    <cellStyle name="Comma 4 5 2 5 2" xfId="44842" xr:uid="{71DB145A-C382-4AA3-A2DF-2CE03A9EF946}"/>
    <cellStyle name="Comma 4 5 2 6" xfId="14338" xr:uid="{4968A8C7-2416-4F9C-A342-34B2AC3368B8}"/>
    <cellStyle name="Comma 4 5 3" xfId="1127" xr:uid="{00000000-0005-0000-0000-00007C040000}"/>
    <cellStyle name="Comma 4 5 3 2" xfId="1128" xr:uid="{00000000-0005-0000-0000-00007D040000}"/>
    <cellStyle name="Comma 4 5 3 2 2" xfId="6696" xr:uid="{00000000-0005-0000-0000-000050180000}"/>
    <cellStyle name="Comma 4 5 3 2 3" xfId="16735" xr:uid="{48101905-F5B4-4117-83D6-DA64BB23E301}"/>
    <cellStyle name="Comma 4 5 3 3" xfId="6695" xr:uid="{00000000-0005-0000-0000-00004F180000}"/>
    <cellStyle name="Comma 4 5 3 3 2" xfId="17934" xr:uid="{975CA32B-1355-494D-86C8-5FB6EA6D3A52}"/>
    <cellStyle name="Comma 4 5 3 4" xfId="12357" xr:uid="{00000000-0005-0000-0000-0000B0030000}"/>
    <cellStyle name="Comma 4 5 3 4 2" xfId="44838" xr:uid="{B7FF8887-4E47-4A5C-9515-5B05E7B3B3DC}"/>
    <cellStyle name="Comma 4 5 3 5" xfId="14340" xr:uid="{B9FAB27F-6287-4F7E-8A45-C9A059FC7DCB}"/>
    <cellStyle name="Comma 4 5 4" xfId="1129" xr:uid="{00000000-0005-0000-0000-00007E040000}"/>
    <cellStyle name="Comma 4 5 4 2" xfId="6697" xr:uid="{00000000-0005-0000-0000-000051180000}"/>
    <cellStyle name="Comma 4 5 4 3" xfId="16732" xr:uid="{AB066BCA-E94D-442C-B42A-FA297EBC2984}"/>
    <cellStyle name="Comma 4 5 5" xfId="6690" xr:uid="{00000000-0005-0000-0000-00004A180000}"/>
    <cellStyle name="Comma 4 5 5 2" xfId="17931" xr:uid="{604363A7-F8E3-4D1E-AFB2-0CDB9A62F459}"/>
    <cellStyle name="Comma 4 5 6" xfId="12362" xr:uid="{00000000-0005-0000-0000-0000AD030000}"/>
    <cellStyle name="Comma 4 5 6 2" xfId="44843" xr:uid="{E55E6DEB-230A-41D7-BE47-9DD18DCFBB37}"/>
    <cellStyle name="Comma 4 5 7" xfId="14337" xr:uid="{941D473F-3C28-4353-A272-1303D6C0953A}"/>
    <cellStyle name="Comma 4 6" xfId="1130" xr:uid="{00000000-0005-0000-0000-00007F040000}"/>
    <cellStyle name="Comma 4 6 2" xfId="1131" xr:uid="{00000000-0005-0000-0000-000080040000}"/>
    <cellStyle name="Comma 4 6 2 2" xfId="1132" xr:uid="{00000000-0005-0000-0000-000081040000}"/>
    <cellStyle name="Comma 4 6 2 2 2" xfId="1133" xr:uid="{00000000-0005-0000-0000-000082040000}"/>
    <cellStyle name="Comma 4 6 2 2 2 2" xfId="6701" xr:uid="{00000000-0005-0000-0000-000055180000}"/>
    <cellStyle name="Comma 4 6 2 2 2 3" xfId="16738" xr:uid="{4DCCDD5E-FD38-476C-9F4A-B9D8C2087FD3}"/>
    <cellStyle name="Comma 4 6 2 2 3" xfId="6700" xr:uid="{00000000-0005-0000-0000-000054180000}"/>
    <cellStyle name="Comma 4 6 2 2 4" xfId="12354" xr:uid="{00000000-0005-0000-0000-0000B3030000}"/>
    <cellStyle name="Comma 4 6 2 2 4 2" xfId="44835" xr:uid="{7EA9272B-DBB8-41A4-B59D-574FB8ABE14F}"/>
    <cellStyle name="Comma 4 6 2 2 5" xfId="14343" xr:uid="{844616F3-6931-40E4-8655-FA0A5DFAD35B}"/>
    <cellStyle name="Comma 4 6 2 3" xfId="1134" xr:uid="{00000000-0005-0000-0000-000083040000}"/>
    <cellStyle name="Comma 4 6 2 3 2" xfId="6702" xr:uid="{00000000-0005-0000-0000-000056180000}"/>
    <cellStyle name="Comma 4 6 2 3 3" xfId="16737" xr:uid="{108187E2-24FD-45EE-AD42-831A13D5C325}"/>
    <cellStyle name="Comma 4 6 2 4" xfId="6699" xr:uid="{00000000-0005-0000-0000-000053180000}"/>
    <cellStyle name="Comma 4 6 2 4 2" xfId="17936" xr:uid="{A10D8B90-2C1A-4730-BE97-0027BC57CD33}"/>
    <cellStyle name="Comma 4 6 2 5" xfId="12355" xr:uid="{00000000-0005-0000-0000-0000B2030000}"/>
    <cellStyle name="Comma 4 6 2 5 2" xfId="44836" xr:uid="{52691833-745C-4085-AA78-5D55FB840E86}"/>
    <cellStyle name="Comma 4 6 2 6" xfId="14342" xr:uid="{403CD285-08D3-4AAC-BD0C-1278EC8F89F0}"/>
    <cellStyle name="Comma 4 6 3" xfId="1135" xr:uid="{00000000-0005-0000-0000-000084040000}"/>
    <cellStyle name="Comma 4 6 3 2" xfId="1136" xr:uid="{00000000-0005-0000-0000-000085040000}"/>
    <cellStyle name="Comma 4 6 3 2 2" xfId="6704" xr:uid="{00000000-0005-0000-0000-000058180000}"/>
    <cellStyle name="Comma 4 6 3 2 3" xfId="16739" xr:uid="{3FCD0A2C-D12D-43C1-AA28-22314C2B29F8}"/>
    <cellStyle name="Comma 4 6 3 3" xfId="6703" xr:uid="{00000000-0005-0000-0000-000057180000}"/>
    <cellStyle name="Comma 4 6 3 4" xfId="12350" xr:uid="{00000000-0005-0000-0000-0000B4030000}"/>
    <cellStyle name="Comma 4 6 3 4 2" xfId="44831" xr:uid="{381FC703-A4A2-4CB5-B6C6-4EA10E6D4B2C}"/>
    <cellStyle name="Comma 4 6 3 5" xfId="14344" xr:uid="{2B0677D3-5F38-4A52-AEC8-BEF6C552DB33}"/>
    <cellStyle name="Comma 4 6 4" xfId="1137" xr:uid="{00000000-0005-0000-0000-000086040000}"/>
    <cellStyle name="Comma 4 6 4 2" xfId="6705" xr:uid="{00000000-0005-0000-0000-000059180000}"/>
    <cellStyle name="Comma 4 6 4 3" xfId="16736" xr:uid="{2113F83A-407E-4ABC-8CE6-F262183A2D26}"/>
    <cellStyle name="Comma 4 6 5" xfId="6698" xr:uid="{00000000-0005-0000-0000-000052180000}"/>
    <cellStyle name="Comma 4 6 5 2" xfId="17935" xr:uid="{094BFC96-8EF0-418C-AF5C-735C2DDB77A6}"/>
    <cellStyle name="Comma 4 6 6" xfId="12356" xr:uid="{00000000-0005-0000-0000-0000B1030000}"/>
    <cellStyle name="Comma 4 6 6 2" xfId="44837" xr:uid="{60E8BFFD-1249-40F4-A4EE-B3BC653B2A40}"/>
    <cellStyle name="Comma 4 6 7" xfId="14341" xr:uid="{DA9DB8AE-CF9C-40CA-92B5-36BD904F40C4}"/>
    <cellStyle name="Comma 4 7" xfId="1138" xr:uid="{00000000-0005-0000-0000-000087040000}"/>
    <cellStyle name="Comma 4 7 2" xfId="1139" xr:uid="{00000000-0005-0000-0000-000088040000}"/>
    <cellStyle name="Comma 4 7 2 2" xfId="1140" xr:uid="{00000000-0005-0000-0000-000089040000}"/>
    <cellStyle name="Comma 4 7 2 2 2" xfId="6708" xr:uid="{00000000-0005-0000-0000-00005C180000}"/>
    <cellStyle name="Comma 4 7 2 2 3" xfId="16741" xr:uid="{908BC15E-B207-4599-94B2-809890D27F5E}"/>
    <cellStyle name="Comma 4 7 2 3" xfId="6707" xr:uid="{00000000-0005-0000-0000-00005B180000}"/>
    <cellStyle name="Comma 4 7 2 3 2" xfId="17938" xr:uid="{DE484AA7-34DA-40FF-9450-09CCEF65780B}"/>
    <cellStyle name="Comma 4 7 2 4" xfId="12347" xr:uid="{00000000-0005-0000-0000-0000B6030000}"/>
    <cellStyle name="Comma 4 7 2 4 2" xfId="44828" xr:uid="{A0FBC9D5-BE01-421A-B6FB-65ED61A42343}"/>
    <cellStyle name="Comma 4 7 2 5" xfId="14346" xr:uid="{4E2481D9-693C-427D-89CE-53A057A2C870}"/>
    <cellStyle name="Comma 4 7 3" xfId="1141" xr:uid="{00000000-0005-0000-0000-00008A040000}"/>
    <cellStyle name="Comma 4 7 3 2" xfId="6709" xr:uid="{00000000-0005-0000-0000-00005D180000}"/>
    <cellStyle name="Comma 4 7 3 3" xfId="16740" xr:uid="{DD463ECA-5585-456C-BD09-6068E44F98CB}"/>
    <cellStyle name="Comma 4 7 4" xfId="6706" xr:uid="{00000000-0005-0000-0000-00005A180000}"/>
    <cellStyle name="Comma 4 7 4 2" xfId="17937" xr:uid="{C0637F0C-29DE-4DCD-AD57-D0231425EEFD}"/>
    <cellStyle name="Comma 4 7 5" xfId="12349" xr:uid="{00000000-0005-0000-0000-0000B5030000}"/>
    <cellStyle name="Comma 4 7 5 2" xfId="44830" xr:uid="{B1E30687-5B0A-45A0-9A72-B4635D2BC1D9}"/>
    <cellStyle name="Comma 4 7 6" xfId="14345" xr:uid="{43ED4FDD-A05E-4D66-8D8C-6F60F58A68A5}"/>
    <cellStyle name="Comma 4 8" xfId="1142" xr:uid="{00000000-0005-0000-0000-00008B040000}"/>
    <cellStyle name="Comma 4 8 2" xfId="1143" xr:uid="{00000000-0005-0000-0000-00008C040000}"/>
    <cellStyle name="Comma 4 8 2 2" xfId="6711" xr:uid="{00000000-0005-0000-0000-00005F180000}"/>
    <cellStyle name="Comma 4 8 2 3" xfId="16742" xr:uid="{010C20BA-155F-4823-89CE-7E62E0639899}"/>
    <cellStyle name="Comma 4 8 3" xfId="6710" xr:uid="{00000000-0005-0000-0000-00005E180000}"/>
    <cellStyle name="Comma 4 8 3 2" xfId="17939" xr:uid="{695AD3FE-D6E7-4792-B3F7-EABC4A2B7D7F}"/>
    <cellStyle name="Comma 4 8 4" xfId="12346" xr:uid="{00000000-0005-0000-0000-0000B7030000}"/>
    <cellStyle name="Comma 4 8 4 2" xfId="44827" xr:uid="{A5DB4D0C-E793-4F0A-B8C8-F239B753D260}"/>
    <cellStyle name="Comma 4 8 5" xfId="14347" xr:uid="{99604607-AF20-47F9-801D-E7E27AD600C4}"/>
    <cellStyle name="Comma 4 9" xfId="1144" xr:uid="{00000000-0005-0000-0000-00008D040000}"/>
    <cellStyle name="Comma 4 9 2" xfId="1145" xr:uid="{00000000-0005-0000-0000-00008E040000}"/>
    <cellStyle name="Comma 4 9 2 2" xfId="6713" xr:uid="{00000000-0005-0000-0000-000061180000}"/>
    <cellStyle name="Comma 4 9 2 3" xfId="16743" xr:uid="{99AD4EA8-115F-4586-9112-E703360CF40B}"/>
    <cellStyle name="Comma 4 9 3" xfId="6712" xr:uid="{00000000-0005-0000-0000-000060180000}"/>
    <cellStyle name="Comma 4 9 4" xfId="12345" xr:uid="{00000000-0005-0000-0000-0000B8030000}"/>
    <cellStyle name="Comma 4 9 4 2" xfId="44826" xr:uid="{8B44EE0B-6E03-4CE1-B872-AEB8D8B0664D}"/>
    <cellStyle name="Comma 4 9 5" xfId="14348" xr:uid="{83EBD71F-432F-4BFC-8E79-D3FE45285320}"/>
    <cellStyle name="Comma 40" xfId="22199" xr:uid="{9C71D5C7-6D71-416F-BEBA-C0C1295FF2AA}"/>
    <cellStyle name="Comma 41" xfId="22252" xr:uid="{7F011D5A-8143-4769-830C-D1B3DBADE4B9}"/>
    <cellStyle name="Comma 42" xfId="21373" xr:uid="{C75F2880-7765-4192-80F4-2EF783B921E2}"/>
    <cellStyle name="Comma 43" xfId="22466" xr:uid="{DD6F1BAD-628D-4F96-8F78-B96E25311349}"/>
    <cellStyle name="Comma 44" xfId="18998" xr:uid="{D3332829-20D3-4642-827E-0D71944A3AAB}"/>
    <cellStyle name="Comma 45" xfId="22613" xr:uid="{5BCE11C2-7D64-4F1A-9EE7-CA98BD8BB097}"/>
    <cellStyle name="Comma 46" xfId="22235" xr:uid="{E3F97CC2-644D-4CD3-B37F-3FBB48E84ED7}"/>
    <cellStyle name="Comma 47" xfId="20852" xr:uid="{8F03BF85-5F3C-4D7D-A111-A14BB923AC35}"/>
    <cellStyle name="Comma 48" xfId="20993" xr:uid="{0A2F2008-B39B-45E2-9C1A-628165D54B52}"/>
    <cellStyle name="Comma 49" xfId="22715" xr:uid="{701656F6-A857-4693-B6B6-EC80E0A1B572}"/>
    <cellStyle name="Comma 5" xfId="1146" xr:uid="{00000000-0005-0000-0000-00008F040000}"/>
    <cellStyle name="Comma 5 10" xfId="1147" xr:uid="{00000000-0005-0000-0000-000090040000}"/>
    <cellStyle name="Comma 5 10 2" xfId="1148" xr:uid="{00000000-0005-0000-0000-000091040000}"/>
    <cellStyle name="Comma 5 10 2 2" xfId="6716" xr:uid="{00000000-0005-0000-0000-000064180000}"/>
    <cellStyle name="Comma 5 10 2 3" xfId="16744" xr:uid="{964AD142-987B-4E43-BECD-31AD2283D473}"/>
    <cellStyle name="Comma 5 10 3" xfId="6715" xr:uid="{00000000-0005-0000-0000-000063180000}"/>
    <cellStyle name="Comma 5 10 4" xfId="12342" xr:uid="{00000000-0005-0000-0000-0000BA030000}"/>
    <cellStyle name="Comma 5 10 4 2" xfId="44823" xr:uid="{5C5964F3-7D92-4083-A4DF-5979CFF7AD78}"/>
    <cellStyle name="Comma 5 10 5" xfId="14350" xr:uid="{E768D263-616C-474D-8F66-B282275E0D40}"/>
    <cellStyle name="Comma 5 11" xfId="1149" xr:uid="{00000000-0005-0000-0000-000092040000}"/>
    <cellStyle name="Comma 5 11 2" xfId="1150" xr:uid="{00000000-0005-0000-0000-000093040000}"/>
    <cellStyle name="Comma 5 11 2 2" xfId="6718" xr:uid="{00000000-0005-0000-0000-000066180000}"/>
    <cellStyle name="Comma 5 11 2 3" xfId="16745" xr:uid="{DE45FADA-4A42-4575-BEDB-CAFD66C2C3AA}"/>
    <cellStyle name="Comma 5 11 3" xfId="6717" xr:uid="{00000000-0005-0000-0000-000065180000}"/>
    <cellStyle name="Comma 5 11 4" xfId="12340" xr:uid="{00000000-0005-0000-0000-0000BB030000}"/>
    <cellStyle name="Comma 5 11 4 2" xfId="44821" xr:uid="{4C8192F9-BF49-4683-85C0-AB31D65CBC8E}"/>
    <cellStyle name="Comma 5 11 5" xfId="14351" xr:uid="{1FCE0281-D907-4500-94ED-B6581E4674BE}"/>
    <cellStyle name="Comma 5 12" xfId="1151" xr:uid="{00000000-0005-0000-0000-000094040000}"/>
    <cellStyle name="Comma 5 12 2" xfId="1152" xr:uid="{00000000-0005-0000-0000-000095040000}"/>
    <cellStyle name="Comma 5 12 2 2" xfId="6720" xr:uid="{00000000-0005-0000-0000-000068180000}"/>
    <cellStyle name="Comma 5 12 2 3" xfId="16746" xr:uid="{75D51BC0-46AC-4776-9935-9B2E87F47E59}"/>
    <cellStyle name="Comma 5 12 3" xfId="6719" xr:uid="{00000000-0005-0000-0000-000067180000}"/>
    <cellStyle name="Comma 5 12 4" xfId="12339" xr:uid="{00000000-0005-0000-0000-0000BC030000}"/>
    <cellStyle name="Comma 5 12 4 2" xfId="44820" xr:uid="{3466B22E-F905-4536-B089-626CE9736AA8}"/>
    <cellStyle name="Comma 5 12 5" xfId="14352" xr:uid="{9F65D47C-F95C-4B0F-B8A5-4CED6A3C3B5C}"/>
    <cellStyle name="Comma 5 13" xfId="1153" xr:uid="{00000000-0005-0000-0000-000096040000}"/>
    <cellStyle name="Comma 5 13 2" xfId="6721" xr:uid="{00000000-0005-0000-0000-000069180000}"/>
    <cellStyle name="Comma 5 13 2 2" xfId="18735" xr:uid="{9EC1C832-55F2-42F6-890F-4917346C7B23}"/>
    <cellStyle name="Comma 5 13 3" xfId="12344" xr:uid="{00000000-0005-0000-0000-0000B9030000}"/>
    <cellStyle name="Comma 5 13 3 2" xfId="44825" xr:uid="{AAC372F5-C500-4EC8-AA85-80530CC8F75A}"/>
    <cellStyle name="Comma 5 13 4" xfId="14349" xr:uid="{17C7D26F-495A-46D3-AC31-8C8A4A547756}"/>
    <cellStyle name="Comma 5 14" xfId="5567" xr:uid="{00000000-0005-0000-0000-000097040000}"/>
    <cellStyle name="Comma 5 14 2" xfId="9328" xr:uid="{00000000-0005-0000-0000-0000CC030000}"/>
    <cellStyle name="Comma 5 14 2 2" xfId="41849" xr:uid="{4D5AB6D2-CDC2-4F26-8A33-1CAF6139AF87}"/>
    <cellStyle name="Comma 5 14 3" xfId="17940" xr:uid="{7384BA79-47E4-432E-8F66-531623C3FACF}"/>
    <cellStyle name="Comma 5 15" xfId="6714" xr:uid="{00000000-0005-0000-0000-000062180000}"/>
    <cellStyle name="Comma 5 15 2" xfId="17382" xr:uid="{F0450DF7-0500-4D43-AF7E-7DF69D8F7323}"/>
    <cellStyle name="Comma 5 16" xfId="13634" xr:uid="{129513CF-F219-43F3-849D-D3354B2B10DF}"/>
    <cellStyle name="Comma 5 2" xfId="1154" xr:uid="{00000000-0005-0000-0000-000098040000}"/>
    <cellStyle name="Comma 5 2 2" xfId="1155" xr:uid="{00000000-0005-0000-0000-000099040000}"/>
    <cellStyle name="Comma 5 2 2 2" xfId="1156" xr:uid="{00000000-0005-0000-0000-00009A040000}"/>
    <cellStyle name="Comma 5 2 2 2 2" xfId="1157" xr:uid="{00000000-0005-0000-0000-00009B040000}"/>
    <cellStyle name="Comma 5 2 2 2 2 2" xfId="1158" xr:uid="{00000000-0005-0000-0000-00009C040000}"/>
    <cellStyle name="Comma 5 2 2 2 2 2 2" xfId="6726" xr:uid="{00000000-0005-0000-0000-00006D180000}"/>
    <cellStyle name="Comma 5 2 2 2 2 2 3" xfId="16749" xr:uid="{1BA3D8F7-8876-4182-A306-DED24003CDF0}"/>
    <cellStyle name="Comma 5 2 2 2 2 3" xfId="6725" xr:uid="{00000000-0005-0000-0000-00006C180000}"/>
    <cellStyle name="Comma 5 2 2 2 2 4" xfId="12334" xr:uid="{00000000-0005-0000-0000-0000C0030000}"/>
    <cellStyle name="Comma 5 2 2 2 2 4 2" xfId="44815" xr:uid="{95A0D33C-D385-4203-89BE-167F28C150F6}"/>
    <cellStyle name="Comma 5 2 2 2 2 5" xfId="14356" xr:uid="{FC283A98-988B-4DC0-83BE-C3C58075F0C4}"/>
    <cellStyle name="Comma 5 2 2 2 3" xfId="1159" xr:uid="{00000000-0005-0000-0000-00009D040000}"/>
    <cellStyle name="Comma 5 2 2 2 3 2" xfId="6727" xr:uid="{00000000-0005-0000-0000-00006E180000}"/>
    <cellStyle name="Comma 5 2 2 2 3 3" xfId="16748" xr:uid="{D757E37D-BF8C-417F-9CE5-B5474327A632}"/>
    <cellStyle name="Comma 5 2 2 2 4" xfId="6724" xr:uid="{00000000-0005-0000-0000-00006B180000}"/>
    <cellStyle name="Comma 5 2 2 2 5" xfId="12335" xr:uid="{00000000-0005-0000-0000-0000BF030000}"/>
    <cellStyle name="Comma 5 2 2 2 5 2" xfId="44816" xr:uid="{23E9622A-AD15-4EB2-A71E-FBF03EB2731A}"/>
    <cellStyle name="Comma 5 2 2 2 6" xfId="14355" xr:uid="{C2B502D9-F00C-4AF1-84EB-AC545121651D}"/>
    <cellStyle name="Comma 5 2 2 3" xfId="1160" xr:uid="{00000000-0005-0000-0000-00009E040000}"/>
    <cellStyle name="Comma 5 2 2 3 2" xfId="1161" xr:uid="{00000000-0005-0000-0000-00009F040000}"/>
    <cellStyle name="Comma 5 2 2 3 2 2" xfId="6729" xr:uid="{00000000-0005-0000-0000-000070180000}"/>
    <cellStyle name="Comma 5 2 2 3 2 3" xfId="16750" xr:uid="{943CBFFA-5B4E-409D-B989-1B26695DC167}"/>
    <cellStyle name="Comma 5 2 2 3 3" xfId="6728" xr:uid="{00000000-0005-0000-0000-00006F180000}"/>
    <cellStyle name="Comma 5 2 2 3 4" xfId="12333" xr:uid="{00000000-0005-0000-0000-0000C1030000}"/>
    <cellStyle name="Comma 5 2 2 3 4 2" xfId="44814" xr:uid="{F1E54B5B-457A-4A87-AA19-26993D5006AA}"/>
    <cellStyle name="Comma 5 2 2 3 5" xfId="14357" xr:uid="{739F5957-B17E-408F-B9EE-9DD26B538CD1}"/>
    <cellStyle name="Comma 5 2 2 4" xfId="1162" xr:uid="{00000000-0005-0000-0000-0000A0040000}"/>
    <cellStyle name="Comma 5 2 2 4 2" xfId="6730" xr:uid="{00000000-0005-0000-0000-000071180000}"/>
    <cellStyle name="Comma 5 2 2 4 3" xfId="16747" xr:uid="{18D6DB4D-42E6-4857-B342-4661BB410C53}"/>
    <cellStyle name="Comma 5 2 2 5" xfId="6723" xr:uid="{00000000-0005-0000-0000-00006A180000}"/>
    <cellStyle name="Comma 5 2 2 6" xfId="12338" xr:uid="{00000000-0005-0000-0000-0000BE030000}"/>
    <cellStyle name="Comma 5 2 2 6 2" xfId="44819" xr:uid="{D757B113-6BC4-460B-B329-F7DEAE1D2684}"/>
    <cellStyle name="Comma 5 2 2 7" xfId="14354" xr:uid="{6DC4A17A-1D69-4CF6-8305-3A4E37A0FBB2}"/>
    <cellStyle name="Comma 5 2 3" xfId="1163" xr:uid="{00000000-0005-0000-0000-0000A1040000}"/>
    <cellStyle name="Comma 5 2 3 2" xfId="1164" xr:uid="{00000000-0005-0000-0000-0000A2040000}"/>
    <cellStyle name="Comma 5 2 3 2 2" xfId="1165" xr:uid="{00000000-0005-0000-0000-0000A3040000}"/>
    <cellStyle name="Comma 5 2 3 2 2 2" xfId="6733" xr:uid="{00000000-0005-0000-0000-000074180000}"/>
    <cellStyle name="Comma 5 2 3 2 2 3" xfId="16752" xr:uid="{E9452116-34A0-4439-A4BC-B3335304DEDA}"/>
    <cellStyle name="Comma 5 2 3 2 3" xfId="6732" xr:uid="{00000000-0005-0000-0000-000073180000}"/>
    <cellStyle name="Comma 5 2 3 2 4" xfId="12331" xr:uid="{00000000-0005-0000-0000-0000C3030000}"/>
    <cellStyle name="Comma 5 2 3 2 4 2" xfId="44812" xr:uid="{B0BB3678-A8CF-4688-B303-2581108A7D67}"/>
    <cellStyle name="Comma 5 2 3 2 5" xfId="14359" xr:uid="{2534F0C9-234D-4DF4-A758-64F2EB118DAA}"/>
    <cellStyle name="Comma 5 2 3 3" xfId="1166" xr:uid="{00000000-0005-0000-0000-0000A4040000}"/>
    <cellStyle name="Comma 5 2 3 3 2" xfId="6734" xr:uid="{00000000-0005-0000-0000-000075180000}"/>
    <cellStyle name="Comma 5 2 3 3 3" xfId="16751" xr:uid="{2A436D16-2573-45C7-9814-82C40046C9E5}"/>
    <cellStyle name="Comma 5 2 3 4" xfId="6731" xr:uid="{00000000-0005-0000-0000-000072180000}"/>
    <cellStyle name="Comma 5 2 3 5" xfId="12332" xr:uid="{00000000-0005-0000-0000-0000C2030000}"/>
    <cellStyle name="Comma 5 2 3 5 2" xfId="44813" xr:uid="{EBFE6771-261E-48B0-B35C-675653BCA5A0}"/>
    <cellStyle name="Comma 5 2 3 6" xfId="14358" xr:uid="{2A853A59-1557-4F6A-97E9-4448764C32FD}"/>
    <cellStyle name="Comma 5 2 4" xfId="1167" xr:uid="{00000000-0005-0000-0000-0000A5040000}"/>
    <cellStyle name="Comma 5 2 4 2" xfId="1168" xr:uid="{00000000-0005-0000-0000-0000A6040000}"/>
    <cellStyle name="Comma 5 2 4 2 2" xfId="6736" xr:uid="{00000000-0005-0000-0000-000077180000}"/>
    <cellStyle name="Comma 5 2 4 2 3" xfId="16753" xr:uid="{796D162B-1B87-4DCE-89CE-477CB51C5274}"/>
    <cellStyle name="Comma 5 2 4 3" xfId="6735" xr:uid="{00000000-0005-0000-0000-000076180000}"/>
    <cellStyle name="Comma 5 2 4 4" xfId="12330" xr:uid="{00000000-0005-0000-0000-0000C4030000}"/>
    <cellStyle name="Comma 5 2 4 4 2" xfId="44811" xr:uid="{BE3921C4-D880-4F45-A4AD-77B17BA330E4}"/>
    <cellStyle name="Comma 5 2 4 5" xfId="14360" xr:uid="{B186D333-E983-4FC7-88C9-A4DF934042D7}"/>
    <cellStyle name="Comma 5 2 5" xfId="1169" xr:uid="{00000000-0005-0000-0000-0000A7040000}"/>
    <cellStyle name="Comma 5 2 5 2" xfId="6737" xr:uid="{00000000-0005-0000-0000-000078180000}"/>
    <cellStyle name="Comma 5 2 5 3" xfId="14361" xr:uid="{5EA389E6-3375-4CDB-A93F-886849581F95}"/>
    <cellStyle name="Comma 5 2 6" xfId="1170" xr:uid="{00000000-0005-0000-0000-0000A8040000}"/>
    <cellStyle name="Comma 5 3" xfId="1171" xr:uid="{00000000-0005-0000-0000-0000A9040000}"/>
    <cellStyle name="Comma 5 3 2" xfId="1172" xr:uid="{00000000-0005-0000-0000-0000AA040000}"/>
    <cellStyle name="Comma 5 3 2 2" xfId="1173" xr:uid="{00000000-0005-0000-0000-0000AB040000}"/>
    <cellStyle name="Comma 5 3 2 2 2" xfId="1174" xr:uid="{00000000-0005-0000-0000-0000AC040000}"/>
    <cellStyle name="Comma 5 3 2 2 2 2" xfId="1175" xr:uid="{00000000-0005-0000-0000-0000AD040000}"/>
    <cellStyle name="Comma 5 3 2 2 2 2 2" xfId="6743" xr:uid="{00000000-0005-0000-0000-00007D180000}"/>
    <cellStyle name="Comma 5 3 2 2 2 2 3" xfId="16756" xr:uid="{81211B00-0C51-49A9-A832-9E6ED5D8AC69}"/>
    <cellStyle name="Comma 5 3 2 2 2 3" xfId="6742" xr:uid="{00000000-0005-0000-0000-00007C180000}"/>
    <cellStyle name="Comma 5 3 2 2 2 4" xfId="12322" xr:uid="{00000000-0005-0000-0000-0000C8030000}"/>
    <cellStyle name="Comma 5 3 2 2 2 4 2" xfId="44804" xr:uid="{E4B37768-51BA-403F-B15F-B600C690E6B0}"/>
    <cellStyle name="Comma 5 3 2 2 2 5" xfId="14365" xr:uid="{6D47C214-1B0D-4DCC-B550-B4F7A94250CF}"/>
    <cellStyle name="Comma 5 3 2 2 3" xfId="1176" xr:uid="{00000000-0005-0000-0000-0000AE040000}"/>
    <cellStyle name="Comma 5 3 2 2 3 2" xfId="6744" xr:uid="{00000000-0005-0000-0000-00007E180000}"/>
    <cellStyle name="Comma 5 3 2 2 3 3" xfId="16755" xr:uid="{5B09C3BE-8195-4A7B-86FF-EC9E4BE6B3B0}"/>
    <cellStyle name="Comma 5 3 2 2 4" xfId="6741" xr:uid="{00000000-0005-0000-0000-00007B180000}"/>
    <cellStyle name="Comma 5 3 2 2 5" xfId="12325" xr:uid="{00000000-0005-0000-0000-0000C7030000}"/>
    <cellStyle name="Comma 5 3 2 2 5 2" xfId="44807" xr:uid="{6606D0A8-EC46-4761-A0EF-EE2D85B16CF4}"/>
    <cellStyle name="Comma 5 3 2 2 6" xfId="14364" xr:uid="{C1955138-69DC-47D1-AE24-65A6BE309E66}"/>
    <cellStyle name="Comma 5 3 2 3" xfId="1177" xr:uid="{00000000-0005-0000-0000-0000AF040000}"/>
    <cellStyle name="Comma 5 3 2 3 2" xfId="1178" xr:uid="{00000000-0005-0000-0000-0000B0040000}"/>
    <cellStyle name="Comma 5 3 2 3 2 2" xfId="6746" xr:uid="{00000000-0005-0000-0000-000080180000}"/>
    <cellStyle name="Comma 5 3 2 3 2 3" xfId="16757" xr:uid="{0EDECC82-A427-4C95-8C02-EAADAC3B2CCD}"/>
    <cellStyle name="Comma 5 3 2 3 3" xfId="6745" xr:uid="{00000000-0005-0000-0000-00007F180000}"/>
    <cellStyle name="Comma 5 3 2 3 4" xfId="12321" xr:uid="{00000000-0005-0000-0000-0000C9030000}"/>
    <cellStyle name="Comma 5 3 2 3 4 2" xfId="44803" xr:uid="{3B13527F-B182-4C0A-9FC7-3A86E3FC3CBB}"/>
    <cellStyle name="Comma 5 3 2 3 5" xfId="14366" xr:uid="{3936C5C4-622E-4671-A5D4-EE06E17945B8}"/>
    <cellStyle name="Comma 5 3 2 4" xfId="1179" xr:uid="{00000000-0005-0000-0000-0000B1040000}"/>
    <cellStyle name="Comma 5 3 2 4 2" xfId="6747" xr:uid="{00000000-0005-0000-0000-000081180000}"/>
    <cellStyle name="Comma 5 3 2 4 3" xfId="16754" xr:uid="{173E165D-381A-4325-B804-D52C26619A14}"/>
    <cellStyle name="Comma 5 3 2 5" xfId="6740" xr:uid="{00000000-0005-0000-0000-00007A180000}"/>
    <cellStyle name="Comma 5 3 2 6" xfId="12326" xr:uid="{00000000-0005-0000-0000-0000C6030000}"/>
    <cellStyle name="Comma 5 3 2 6 2" xfId="44808" xr:uid="{DD175DE1-A5D1-4192-B22D-5133B1B470C1}"/>
    <cellStyle name="Comma 5 3 2 7" xfId="14363" xr:uid="{B4A1DB4E-CDF7-4E91-8E09-FF2BCB0E5072}"/>
    <cellStyle name="Comma 5 3 3" xfId="1180" xr:uid="{00000000-0005-0000-0000-0000B2040000}"/>
    <cellStyle name="Comma 5 3 3 2" xfId="1181" xr:uid="{00000000-0005-0000-0000-0000B3040000}"/>
    <cellStyle name="Comma 5 3 3 2 2" xfId="1182" xr:uid="{00000000-0005-0000-0000-0000B4040000}"/>
    <cellStyle name="Comma 5 3 3 2 2 2" xfId="6750" xr:uid="{00000000-0005-0000-0000-000084180000}"/>
    <cellStyle name="Comma 5 3 3 2 2 3" xfId="16759" xr:uid="{871A548F-2F20-4A7C-896B-964365D4B639}"/>
    <cellStyle name="Comma 5 3 3 2 3" xfId="6749" xr:uid="{00000000-0005-0000-0000-000083180000}"/>
    <cellStyle name="Comma 5 3 3 2 4" xfId="12319" xr:uid="{00000000-0005-0000-0000-0000CB030000}"/>
    <cellStyle name="Comma 5 3 3 2 4 2" xfId="44801" xr:uid="{6ADA827E-D4D8-4221-88C5-F14E3D1E14EB}"/>
    <cellStyle name="Comma 5 3 3 2 5" xfId="14368" xr:uid="{C063ECFA-F2C6-47E1-A10F-B202E7B590C5}"/>
    <cellStyle name="Comma 5 3 3 3" xfId="1183" xr:uid="{00000000-0005-0000-0000-0000B5040000}"/>
    <cellStyle name="Comma 5 3 3 3 2" xfId="6751" xr:uid="{00000000-0005-0000-0000-000085180000}"/>
    <cellStyle name="Comma 5 3 3 3 3" xfId="16758" xr:uid="{6D73CA87-BCE7-4578-BEFF-10B330B08079}"/>
    <cellStyle name="Comma 5 3 3 4" xfId="6748" xr:uid="{00000000-0005-0000-0000-000082180000}"/>
    <cellStyle name="Comma 5 3 3 5" xfId="12320" xr:uid="{00000000-0005-0000-0000-0000CA030000}"/>
    <cellStyle name="Comma 5 3 3 5 2" xfId="44802" xr:uid="{1C0A0961-94A4-4CCC-B722-404E5752068C}"/>
    <cellStyle name="Comma 5 3 3 6" xfId="14367" xr:uid="{508BD8F6-7B36-47DE-87BB-A1AE164EDCE0}"/>
    <cellStyle name="Comma 5 3 4" xfId="1184" xr:uid="{00000000-0005-0000-0000-0000B6040000}"/>
    <cellStyle name="Comma 5 3 4 2" xfId="1185" xr:uid="{00000000-0005-0000-0000-0000B7040000}"/>
    <cellStyle name="Comma 5 3 4 2 2" xfId="6753" xr:uid="{00000000-0005-0000-0000-000087180000}"/>
    <cellStyle name="Comma 5 3 4 2 3" xfId="16760" xr:uid="{CFDE1178-AA2F-4032-87D0-7F41632E983C}"/>
    <cellStyle name="Comma 5 3 4 3" xfId="6752" xr:uid="{00000000-0005-0000-0000-000086180000}"/>
    <cellStyle name="Comma 5 3 4 4" xfId="12318" xr:uid="{00000000-0005-0000-0000-0000CC030000}"/>
    <cellStyle name="Comma 5 3 4 4 2" xfId="44800" xr:uid="{9DAD070F-0608-4BB0-B499-3B4899E257EA}"/>
    <cellStyle name="Comma 5 3 4 5" xfId="14369" xr:uid="{F6D7B879-1E6D-4DF3-A9BE-591088FDD145}"/>
    <cellStyle name="Comma 5 3 5" xfId="1186" xr:uid="{00000000-0005-0000-0000-0000B8040000}"/>
    <cellStyle name="Comma 5 3 6" xfId="6739" xr:uid="{00000000-0005-0000-0000-000079180000}"/>
    <cellStyle name="Comma 5 3 6 2" xfId="18734" xr:uid="{FA532868-9748-4588-B3F0-7BED7F0F16DD}"/>
    <cellStyle name="Comma 5 3 7" xfId="12327" xr:uid="{00000000-0005-0000-0000-0000C5030000}"/>
    <cellStyle name="Comma 5 3 7 2" xfId="17941" xr:uid="{7D694AD3-C53D-4D59-80CE-224DF93E8B7F}"/>
    <cellStyle name="Comma 5 3 8" xfId="17383" xr:uid="{4A33DA18-6A50-4CD4-B039-A9C6785DC564}"/>
    <cellStyle name="Comma 5 3 9" xfId="14362" xr:uid="{6DBE8A1E-D28D-43C5-BAC9-97E2FC2DC987}"/>
    <cellStyle name="Comma 5 4" xfId="1187" xr:uid="{00000000-0005-0000-0000-0000B9040000}"/>
    <cellStyle name="Comma 5 4 2" xfId="1188" xr:uid="{00000000-0005-0000-0000-0000BA040000}"/>
    <cellStyle name="Comma 5 4 2 2" xfId="1189" xr:uid="{00000000-0005-0000-0000-0000BB040000}"/>
    <cellStyle name="Comma 5 4 2 2 2" xfId="1190" xr:uid="{00000000-0005-0000-0000-0000BC040000}"/>
    <cellStyle name="Comma 5 4 2 2 2 2" xfId="6758" xr:uid="{00000000-0005-0000-0000-00008B180000}"/>
    <cellStyle name="Comma 5 4 2 2 2 3" xfId="16763" xr:uid="{A23806B7-753A-4BE0-96B3-919F7D9CAC16}"/>
    <cellStyle name="Comma 5 4 2 2 3" xfId="6757" xr:uid="{00000000-0005-0000-0000-00008A180000}"/>
    <cellStyle name="Comma 5 4 2 2 4" xfId="12314" xr:uid="{00000000-0005-0000-0000-0000CF030000}"/>
    <cellStyle name="Comma 5 4 2 2 4 2" xfId="44796" xr:uid="{5BD84E66-24DB-46FF-BD63-33118EF51D9B}"/>
    <cellStyle name="Comma 5 4 2 2 5" xfId="14372" xr:uid="{2FDAE78D-22F5-4A32-B9E2-B56C06CB3D45}"/>
    <cellStyle name="Comma 5 4 2 3" xfId="1191" xr:uid="{00000000-0005-0000-0000-0000BD040000}"/>
    <cellStyle name="Comma 5 4 2 3 2" xfId="6759" xr:uid="{00000000-0005-0000-0000-00008C180000}"/>
    <cellStyle name="Comma 5 4 2 3 3" xfId="16762" xr:uid="{6E2A584F-9513-41C0-8E42-2385908F3D0D}"/>
    <cellStyle name="Comma 5 4 2 4" xfId="6756" xr:uid="{00000000-0005-0000-0000-000089180000}"/>
    <cellStyle name="Comma 5 4 2 5" xfId="12316" xr:uid="{00000000-0005-0000-0000-0000CE030000}"/>
    <cellStyle name="Comma 5 4 2 5 2" xfId="44798" xr:uid="{4CE24010-1F4B-4BAA-A888-7ACAB6D928B3}"/>
    <cellStyle name="Comma 5 4 2 6" xfId="14371" xr:uid="{A9E29771-5C67-4B5C-A79B-F647CB8C02FA}"/>
    <cellStyle name="Comma 5 4 3" xfId="1192" xr:uid="{00000000-0005-0000-0000-0000BE040000}"/>
    <cellStyle name="Comma 5 4 3 2" xfId="1193" xr:uid="{00000000-0005-0000-0000-0000BF040000}"/>
    <cellStyle name="Comma 5 4 3 2 2" xfId="6761" xr:uid="{00000000-0005-0000-0000-00008E180000}"/>
    <cellStyle name="Comma 5 4 3 2 3" xfId="16764" xr:uid="{88A870F6-42C2-4C42-ADA0-BD6128275F97}"/>
    <cellStyle name="Comma 5 4 3 3" xfId="6760" xr:uid="{00000000-0005-0000-0000-00008D180000}"/>
    <cellStyle name="Comma 5 4 3 4" xfId="12309" xr:uid="{00000000-0005-0000-0000-0000D0030000}"/>
    <cellStyle name="Comma 5 4 3 4 2" xfId="44791" xr:uid="{ADBED7B9-38CF-46F9-8354-67C847E73FC7}"/>
    <cellStyle name="Comma 5 4 3 5" xfId="14373" xr:uid="{95915FA2-3088-479C-83A2-9DC1C507FA42}"/>
    <cellStyle name="Comma 5 4 4" xfId="1194" xr:uid="{00000000-0005-0000-0000-0000C0040000}"/>
    <cellStyle name="Comma 5 4 4 2" xfId="6762" xr:uid="{00000000-0005-0000-0000-00008F180000}"/>
    <cellStyle name="Comma 5 4 4 3" xfId="16761" xr:uid="{6BAF399C-1A60-46F9-8A12-E44C644CE2D1}"/>
    <cellStyle name="Comma 5 4 5" xfId="6755" xr:uid="{00000000-0005-0000-0000-000088180000}"/>
    <cellStyle name="Comma 5 4 6" xfId="12317" xr:uid="{00000000-0005-0000-0000-0000CD030000}"/>
    <cellStyle name="Comma 5 4 6 2" xfId="44799" xr:uid="{74973E94-FB0E-4DF2-8B05-DFFD8E246028}"/>
    <cellStyle name="Comma 5 4 7" xfId="14370" xr:uid="{DE864C7A-A47F-49AF-BDD4-A31A5A45DAEB}"/>
    <cellStyle name="Comma 5 5" xfId="1195" xr:uid="{00000000-0005-0000-0000-0000C1040000}"/>
    <cellStyle name="Comma 5 5 2" xfId="1196" xr:uid="{00000000-0005-0000-0000-0000C2040000}"/>
    <cellStyle name="Comma 5 5 2 2" xfId="1197" xr:uid="{00000000-0005-0000-0000-0000C3040000}"/>
    <cellStyle name="Comma 5 5 2 2 2" xfId="1198" xr:uid="{00000000-0005-0000-0000-0000C4040000}"/>
    <cellStyle name="Comma 5 5 2 2 2 2" xfId="6766" xr:uid="{00000000-0005-0000-0000-000093180000}"/>
    <cellStyle name="Comma 5 5 2 2 2 3" xfId="16767" xr:uid="{BC7A6FC1-697E-404A-89D4-F4C6D4FB9287}"/>
    <cellStyle name="Comma 5 5 2 2 3" xfId="6765" xr:uid="{00000000-0005-0000-0000-000092180000}"/>
    <cellStyle name="Comma 5 5 2 2 4" xfId="12306" xr:uid="{00000000-0005-0000-0000-0000D3030000}"/>
    <cellStyle name="Comma 5 5 2 2 4 2" xfId="44788" xr:uid="{BC6F81BC-87BC-427D-AE38-D8CDAD8E116C}"/>
    <cellStyle name="Comma 5 5 2 2 5" xfId="14376" xr:uid="{BD59594F-485D-4639-A446-6E167B906003}"/>
    <cellStyle name="Comma 5 5 2 3" xfId="1199" xr:uid="{00000000-0005-0000-0000-0000C5040000}"/>
    <cellStyle name="Comma 5 5 2 3 2" xfId="6767" xr:uid="{00000000-0005-0000-0000-000094180000}"/>
    <cellStyle name="Comma 5 5 2 3 3" xfId="16766" xr:uid="{A1927218-265F-4EEE-98E3-CC2236E977BE}"/>
    <cellStyle name="Comma 5 5 2 4" xfId="6764" xr:uid="{00000000-0005-0000-0000-000091180000}"/>
    <cellStyle name="Comma 5 5 2 5" xfId="12307" xr:uid="{00000000-0005-0000-0000-0000D2030000}"/>
    <cellStyle name="Comma 5 5 2 5 2" xfId="44789" xr:uid="{EA3551CC-B94E-41F4-B0AA-7BFF31C319BE}"/>
    <cellStyle name="Comma 5 5 2 6" xfId="14375" xr:uid="{21CA9BDB-C0A6-46AE-B0B2-DE7112A84444}"/>
    <cellStyle name="Comma 5 5 3" xfId="1200" xr:uid="{00000000-0005-0000-0000-0000C6040000}"/>
    <cellStyle name="Comma 5 5 3 2" xfId="1201" xr:uid="{00000000-0005-0000-0000-0000C7040000}"/>
    <cellStyle name="Comma 5 5 3 2 2" xfId="6769" xr:uid="{00000000-0005-0000-0000-000096180000}"/>
    <cellStyle name="Comma 5 5 3 2 3" xfId="16768" xr:uid="{7D49CAC6-EDF2-4220-BFFA-1A914C3004B5}"/>
    <cellStyle name="Comma 5 5 3 3" xfId="6768" xr:uid="{00000000-0005-0000-0000-000095180000}"/>
    <cellStyle name="Comma 5 5 3 4" xfId="12305" xr:uid="{00000000-0005-0000-0000-0000D4030000}"/>
    <cellStyle name="Comma 5 5 3 4 2" xfId="44787" xr:uid="{F8354D55-5FDA-4791-8A7F-986D61EDDF16}"/>
    <cellStyle name="Comma 5 5 3 5" xfId="14377" xr:uid="{41B5FC6B-9765-462F-9BA8-B6687FCB444B}"/>
    <cellStyle name="Comma 5 5 4" xfId="1202" xr:uid="{00000000-0005-0000-0000-0000C8040000}"/>
    <cellStyle name="Comma 5 5 4 2" xfId="6770" xr:uid="{00000000-0005-0000-0000-000097180000}"/>
    <cellStyle name="Comma 5 5 4 3" xfId="16765" xr:uid="{13D61344-E171-4696-B400-145C3B4DB4D8}"/>
    <cellStyle name="Comma 5 5 5" xfId="6763" xr:uid="{00000000-0005-0000-0000-000090180000}"/>
    <cellStyle name="Comma 5 5 6" xfId="12308" xr:uid="{00000000-0005-0000-0000-0000D1030000}"/>
    <cellStyle name="Comma 5 5 6 2" xfId="44790" xr:uid="{4D9BE167-012F-40B3-930E-EAA3D643C4AA}"/>
    <cellStyle name="Comma 5 5 7" xfId="14374" xr:uid="{87ED2372-0679-4D28-9CBE-AADCA0F5342F}"/>
    <cellStyle name="Comma 5 6" xfId="1203" xr:uid="{00000000-0005-0000-0000-0000C9040000}"/>
    <cellStyle name="Comma 5 6 2" xfId="1204" xr:uid="{00000000-0005-0000-0000-0000CA040000}"/>
    <cellStyle name="Comma 5 6 2 2" xfId="1205" xr:uid="{00000000-0005-0000-0000-0000CB040000}"/>
    <cellStyle name="Comma 5 6 2 2 2" xfId="6773" xr:uid="{00000000-0005-0000-0000-00009A180000}"/>
    <cellStyle name="Comma 5 6 2 2 3" xfId="16770" xr:uid="{85B4BA47-3F9E-4768-A76B-D9067535ECA5}"/>
    <cellStyle name="Comma 5 6 2 3" xfId="6772" xr:uid="{00000000-0005-0000-0000-000099180000}"/>
    <cellStyle name="Comma 5 6 2 4" xfId="12301" xr:uid="{00000000-0005-0000-0000-0000D6030000}"/>
    <cellStyle name="Comma 5 6 2 4 2" xfId="44783" xr:uid="{71FDC200-8D84-4A36-BB76-09CFA6DC0FF2}"/>
    <cellStyle name="Comma 5 6 2 5" xfId="14379" xr:uid="{57372102-0F8B-4196-99DF-639BD3BD1F5D}"/>
    <cellStyle name="Comma 5 6 3" xfId="1206" xr:uid="{00000000-0005-0000-0000-0000CC040000}"/>
    <cellStyle name="Comma 5 6 3 2" xfId="6774" xr:uid="{00000000-0005-0000-0000-00009B180000}"/>
    <cellStyle name="Comma 5 6 3 3" xfId="16769" xr:uid="{48CBC20E-F7C0-46C6-B6FF-48F0FE40A623}"/>
    <cellStyle name="Comma 5 6 4" xfId="6771" xr:uid="{00000000-0005-0000-0000-000098180000}"/>
    <cellStyle name="Comma 5 6 5" xfId="12302" xr:uid="{00000000-0005-0000-0000-0000D5030000}"/>
    <cellStyle name="Comma 5 6 5 2" xfId="44784" xr:uid="{AB0F467C-9AB5-489B-BF5D-5F52FE7E0CC9}"/>
    <cellStyle name="Comma 5 6 6" xfId="14378" xr:uid="{AD01E57A-1843-4950-8BF9-8C076DBD8DE8}"/>
    <cellStyle name="Comma 5 7" xfId="1207" xr:uid="{00000000-0005-0000-0000-0000CD040000}"/>
    <cellStyle name="Comma 5 7 2" xfId="1208" xr:uid="{00000000-0005-0000-0000-0000CE040000}"/>
    <cellStyle name="Comma 5 7 2 2" xfId="6776" xr:uid="{00000000-0005-0000-0000-00009D180000}"/>
    <cellStyle name="Comma 5 7 2 3" xfId="16771" xr:uid="{450F1326-2B24-450A-9745-15A35046E5D0}"/>
    <cellStyle name="Comma 5 7 3" xfId="6775" xr:uid="{00000000-0005-0000-0000-00009C180000}"/>
    <cellStyle name="Comma 5 7 4" xfId="12300" xr:uid="{00000000-0005-0000-0000-0000D7030000}"/>
    <cellStyle name="Comma 5 7 4 2" xfId="44782" xr:uid="{33867A41-7102-4A11-B7FF-A932752B5448}"/>
    <cellStyle name="Comma 5 7 5" xfId="14380" xr:uid="{EB695372-7DFB-4647-B85E-20916D9ED75F}"/>
    <cellStyle name="Comma 5 8" xfId="1209" xr:uid="{00000000-0005-0000-0000-0000CF040000}"/>
    <cellStyle name="Comma 5 8 2" xfId="1210" xr:uid="{00000000-0005-0000-0000-0000D0040000}"/>
    <cellStyle name="Comma 5 8 2 2" xfId="6778" xr:uid="{00000000-0005-0000-0000-00009F180000}"/>
    <cellStyle name="Comma 5 8 2 3" xfId="16772" xr:uid="{A4E7E710-CF24-480D-ADE0-D55FB4FF8A5F}"/>
    <cellStyle name="Comma 5 8 3" xfId="6777" xr:uid="{00000000-0005-0000-0000-00009E180000}"/>
    <cellStyle name="Comma 5 8 4" xfId="12298" xr:uid="{00000000-0005-0000-0000-0000D8030000}"/>
    <cellStyle name="Comma 5 8 4 2" xfId="44780" xr:uid="{FF8D99A4-CB7B-4BC2-8EA0-D531FF8A4FD0}"/>
    <cellStyle name="Comma 5 8 5" xfId="14381" xr:uid="{6DCDA36D-85C5-4018-B60F-253808253CEE}"/>
    <cellStyle name="Comma 5 9" xfId="1211" xr:uid="{00000000-0005-0000-0000-0000D1040000}"/>
    <cellStyle name="Comma 5 9 2" xfId="1212" xr:uid="{00000000-0005-0000-0000-0000D2040000}"/>
    <cellStyle name="Comma 5 9 2 2" xfId="6780" xr:uid="{00000000-0005-0000-0000-0000A1180000}"/>
    <cellStyle name="Comma 5 9 2 3" xfId="16773" xr:uid="{20D8CE6B-A7C1-4761-AF01-6BD679E6B59C}"/>
    <cellStyle name="Comma 5 9 3" xfId="6779" xr:uid="{00000000-0005-0000-0000-0000A0180000}"/>
    <cellStyle name="Comma 5 9 4" xfId="12297" xr:uid="{00000000-0005-0000-0000-0000D9030000}"/>
    <cellStyle name="Comma 5 9 4 2" xfId="44779" xr:uid="{11D4B5DE-BA0B-4B09-8E8A-08D0C43D383A}"/>
    <cellStyle name="Comma 5 9 5" xfId="14382" xr:uid="{CED3B2A6-52A5-44AA-8D9B-30E360555883}"/>
    <cellStyle name="Comma 50" xfId="21927" xr:uid="{1B02B6C8-CDFB-4096-AD9D-E416E8430BFB}"/>
    <cellStyle name="Comma 51" xfId="22434" xr:uid="{3FE95C76-F211-4B8F-9A62-C0EC6BBB4EEE}"/>
    <cellStyle name="Comma 52" xfId="21192" xr:uid="{21A30A0D-B9F2-49A4-ACA4-D2253435437F}"/>
    <cellStyle name="Comma 53" xfId="22704" xr:uid="{593CEA63-094A-4EA3-9C91-D6EE59CB57AA}"/>
    <cellStyle name="Comma 54" xfId="13618" xr:uid="{63F3A703-85FB-4841-BC91-1D5E27C13425}"/>
    <cellStyle name="Comma 6" xfId="1213" xr:uid="{00000000-0005-0000-0000-0000D3040000}"/>
    <cellStyle name="Comma 6 10" xfId="14383" xr:uid="{30B22603-3C8D-4B4E-B34E-70958D6C4B0D}"/>
    <cellStyle name="Comma 6 2" xfId="1214" xr:uid="{00000000-0005-0000-0000-0000D4040000}"/>
    <cellStyle name="Comma 6 2 2" xfId="1215" xr:uid="{00000000-0005-0000-0000-0000D5040000}"/>
    <cellStyle name="Comma 6 2 2 2" xfId="6783" xr:uid="{00000000-0005-0000-0000-0000A4180000}"/>
    <cellStyle name="Comma 6 2 2 2 2" xfId="18468" xr:uid="{D01E1BE5-3406-4EFB-8B77-AE8F8B7B5ADF}"/>
    <cellStyle name="Comma 6 2 2 2 3" xfId="17787" xr:uid="{6D3B7570-C785-4384-B3ED-80068595687D}"/>
    <cellStyle name="Comma 6 2 2 3" xfId="17944" xr:uid="{19080BD7-783D-48FB-A34C-4CB8E3709CE2}"/>
    <cellStyle name="Comma 6 2 2 4" xfId="14385" xr:uid="{13A881F8-ABC2-4A1B-8AF2-238577976A24}"/>
    <cellStyle name="Comma 6 2 3" xfId="1216" xr:uid="{00000000-0005-0000-0000-0000D6040000}"/>
    <cellStyle name="Comma 6 2 3 2" xfId="6784" xr:uid="{00000000-0005-0000-0000-0000A5180000}"/>
    <cellStyle name="Comma 6 2 3 2 2" xfId="18515" xr:uid="{67BEC9AE-BF08-4BA0-B414-5B7DB6B1FCE7}"/>
    <cellStyle name="Comma 6 2 3 3" xfId="18319" xr:uid="{42F2AE11-1E1B-42B9-BF3A-9C88723DA5D3}"/>
    <cellStyle name="Comma 6 2 3 4" xfId="17718" xr:uid="{BD8F25F8-832D-48A9-A8F4-6223C2C27073}"/>
    <cellStyle name="Comma 6 2 3 5" xfId="16775" xr:uid="{A8DE8395-881A-4AA7-BED7-2BE6842AB258}"/>
    <cellStyle name="Comma 6 2 4" xfId="6782" xr:uid="{00000000-0005-0000-0000-0000A3180000}"/>
    <cellStyle name="Comma 6 2 4 2" xfId="23475" xr:uid="{6BD84F8B-3812-4C40-864B-E4B5B8FCB17F}"/>
    <cellStyle name="Comma 6 2 4 3" xfId="17943" xr:uid="{A453BF6E-F237-4017-A386-29C27C8CC3F2}"/>
    <cellStyle name="Comma 6 2 5" xfId="12293" xr:uid="{00000000-0005-0000-0000-0000DB030000}"/>
    <cellStyle name="Comma 6 2 5 2" xfId="24561" xr:uid="{23F925FA-8F32-4273-842C-8566857DE950}"/>
    <cellStyle name="Comma 6 2 5 3" xfId="44775" xr:uid="{8C7AFA05-03C9-48EB-9FCA-EF8C449683CF}"/>
    <cellStyle name="Comma 6 2 6" xfId="14384" xr:uid="{9B725C1D-C66D-49F0-83F3-4CDF4E990746}"/>
    <cellStyle name="Comma 6 3" xfId="1217" xr:uid="{00000000-0005-0000-0000-0000D7040000}"/>
    <cellStyle name="Comma 6 3 2" xfId="1218" xr:uid="{00000000-0005-0000-0000-0000D8040000}"/>
    <cellStyle name="Comma 6 3 2 2" xfId="6786" xr:uid="{00000000-0005-0000-0000-0000A7180000}"/>
    <cellStyle name="Comma 6 3 2 2 2" xfId="18491" xr:uid="{AB3A5BC4-24DE-4B38-ABC7-D22F87E01174}"/>
    <cellStyle name="Comma 6 3 2 3" xfId="18320" xr:uid="{865B70DC-E815-417F-A8DE-CF586501DC7D}"/>
    <cellStyle name="Comma 6 3 2 4" xfId="17752" xr:uid="{3A1305E8-7F2F-4D0C-9A93-61BB9AC03ECB}"/>
    <cellStyle name="Comma 6 3 2 5" xfId="16776" xr:uid="{B3C73F48-798C-469B-8B2F-50E716E0586A}"/>
    <cellStyle name="Comma 6 3 3" xfId="6785" xr:uid="{00000000-0005-0000-0000-0000A6180000}"/>
    <cellStyle name="Comma 6 3 3 2" xfId="23476" xr:uid="{15AAB940-C07F-4FAB-A795-BE3CFE5FD38D}"/>
    <cellStyle name="Comma 6 3 3 3" xfId="17945" xr:uid="{4A867590-AB1C-45C7-AEFD-F57070237157}"/>
    <cellStyle name="Comma 6 3 4" xfId="12292" xr:uid="{00000000-0005-0000-0000-0000DC030000}"/>
    <cellStyle name="Comma 6 3 4 2" xfId="24584" xr:uid="{24C76C08-1CC5-4D1C-9B6A-A393AE299A68}"/>
    <cellStyle name="Comma 6 3 4 3" xfId="44774" xr:uid="{33CCDAB8-2FEB-4526-86DD-4A99167EFF32}"/>
    <cellStyle name="Comma 6 3 5" xfId="14386" xr:uid="{8CF3B683-4B31-45CF-9E37-66F573677D2D}"/>
    <cellStyle name="Comma 6 4" xfId="1219" xr:uid="{00000000-0005-0000-0000-0000D9040000}"/>
    <cellStyle name="Comma 6 4 2" xfId="1220" xr:uid="{00000000-0005-0000-0000-0000DA040000}"/>
    <cellStyle name="Comma 6 4 2 2" xfId="6788" xr:uid="{00000000-0005-0000-0000-0000A9180000}"/>
    <cellStyle name="Comma 6 4 2 2 2" xfId="18417" xr:uid="{43757B0B-DAFF-4C94-B49E-08FCB1F172B8}"/>
    <cellStyle name="Comma 6 4 2 3" xfId="18321" xr:uid="{8DD44961-21A5-46D0-9B9B-2D802C5787E6}"/>
    <cellStyle name="Comma 6 4 2 4" xfId="17859" xr:uid="{8B5F6199-1413-4A12-8FC8-998066B0A868}"/>
    <cellStyle name="Comma 6 4 2 5" xfId="16777" xr:uid="{475AE3E2-649C-4D61-907C-2BBA5E7F6DB0}"/>
    <cellStyle name="Comma 6 4 3" xfId="6787" xr:uid="{00000000-0005-0000-0000-0000A8180000}"/>
    <cellStyle name="Comma 6 4 3 2" xfId="23477" xr:uid="{DDDC31F0-F2D9-423C-AB2B-ABD5DCECA46E}"/>
    <cellStyle name="Comma 6 4 3 3" xfId="17946" xr:uid="{601AB8B4-91C9-4685-BA77-47325246FB01}"/>
    <cellStyle name="Comma 6 4 4" xfId="12291" xr:uid="{00000000-0005-0000-0000-0000DD030000}"/>
    <cellStyle name="Comma 6 4 4 2" xfId="24621" xr:uid="{51A8E3C5-F474-4ED7-82D8-B62BECF86378}"/>
    <cellStyle name="Comma 6 4 4 3" xfId="44773" xr:uid="{7D80F94C-A88F-4370-8B2A-0E7A90E8538D}"/>
    <cellStyle name="Comma 6 4 5" xfId="14387" xr:uid="{74E8A2ED-141B-4E4E-B0FA-FB1EF1AB006D}"/>
    <cellStyle name="Comma 6 5" xfId="1221" xr:uid="{00000000-0005-0000-0000-0000DB040000}"/>
    <cellStyle name="Comma 6 5 2" xfId="1222" xr:uid="{00000000-0005-0000-0000-0000DC040000}"/>
    <cellStyle name="Comma 6 5 2 2" xfId="6790" xr:uid="{00000000-0005-0000-0000-0000AB180000}"/>
    <cellStyle name="Comma 6 5 2 3" xfId="16778" xr:uid="{B64F5A47-3B4B-46CA-A09A-C47E02A6AABC}"/>
    <cellStyle name="Comma 6 5 3" xfId="6789" xr:uid="{00000000-0005-0000-0000-0000AA180000}"/>
    <cellStyle name="Comma 6 5 3 2" xfId="17947" xr:uid="{FF16C04F-819B-4C97-A5AC-1B738176E2BE}"/>
    <cellStyle name="Comma 6 5 4" xfId="12290" xr:uid="{00000000-0005-0000-0000-0000DE030000}"/>
    <cellStyle name="Comma 6 5 4 2" xfId="44772" xr:uid="{292648DB-7580-4E45-999D-C0AFE186744A}"/>
    <cellStyle name="Comma 6 5 5" xfId="14388" xr:uid="{D96C0335-CFB5-4EC6-9C9C-C74D75AE6344}"/>
    <cellStyle name="Comma 6 6" xfId="1223" xr:uid="{00000000-0005-0000-0000-0000DD040000}"/>
    <cellStyle name="Comma 6 6 2" xfId="1224" xr:uid="{00000000-0005-0000-0000-0000DE040000}"/>
    <cellStyle name="Comma 6 6 2 2" xfId="6792" xr:uid="{00000000-0005-0000-0000-0000AD180000}"/>
    <cellStyle name="Comma 6 6 3" xfId="6791" xr:uid="{00000000-0005-0000-0000-0000AC180000}"/>
    <cellStyle name="Comma 6 7" xfId="1225" xr:uid="{00000000-0005-0000-0000-0000DF040000}"/>
    <cellStyle name="Comma 6 7 2" xfId="6793" xr:uid="{00000000-0005-0000-0000-0000AE180000}"/>
    <cellStyle name="Comma 6 7 2 2" xfId="9300" xr:uid="{00000000-0005-0000-0000-0000F3030000}"/>
    <cellStyle name="Comma 6 7 3" xfId="12295" xr:uid="{00000000-0005-0000-0000-0000DA030000}"/>
    <cellStyle name="Comma 6 8" xfId="6781" xr:uid="{00000000-0005-0000-0000-0000A2180000}"/>
    <cellStyle name="Comma 6 8 2" xfId="9327" xr:uid="{00000000-0005-0000-0000-0000ED030000}"/>
    <cellStyle name="Comma 6 8 2 2" xfId="24530" xr:uid="{4EFC6B2D-67F4-4CA0-B526-42618EDC2F5F}"/>
    <cellStyle name="Comma 6 8 3" xfId="17942" xr:uid="{2CF22821-4EC0-412D-9288-5F4DEF816F71}"/>
    <cellStyle name="Comma 6 9" xfId="12965" xr:uid="{00000000-0005-0000-0000-000003000000}"/>
    <cellStyle name="Comma 6 9 2" xfId="45433" xr:uid="{1D9008AE-27A1-418A-80C8-F5D255FCDB5B}"/>
    <cellStyle name="Comma 7" xfId="1226" xr:uid="{00000000-0005-0000-0000-0000E0040000}"/>
    <cellStyle name="Comma 7 10" xfId="6794" xr:uid="{00000000-0005-0000-0000-0000AF180000}"/>
    <cellStyle name="Comma 7 10 2" xfId="18688" xr:uid="{A89C3CC4-5B47-443E-9E13-F6EE786696E7}"/>
    <cellStyle name="Comma 7 11" xfId="12289" xr:uid="{00000000-0005-0000-0000-0000E0030000}"/>
    <cellStyle name="Comma 7 11 2" xfId="17948" xr:uid="{C58AAEF9-C014-4936-8602-A6C6FAA292E9}"/>
    <cellStyle name="Comma 7 11 3" xfId="44771" xr:uid="{DFA6D9DA-9AA6-4AD0-92E3-81C55A8EFBA6}"/>
    <cellStyle name="Comma 7 12" xfId="17454" xr:uid="{810C95AA-A3FE-434B-9FFB-580285A34644}"/>
    <cellStyle name="Comma 7 13" xfId="14390" xr:uid="{171113A8-F4C8-4B6A-82B5-DADBE451ED21}"/>
    <cellStyle name="Comma 7 2" xfId="1227" xr:uid="{00000000-0005-0000-0000-0000E1040000}"/>
    <cellStyle name="Comma 7 2 2" xfId="1228" xr:uid="{00000000-0005-0000-0000-0000E2040000}"/>
    <cellStyle name="Comma 7 2 2 2" xfId="1229" xr:uid="{00000000-0005-0000-0000-0000E3040000}"/>
    <cellStyle name="Comma 7 2 2 2 2" xfId="1230" xr:uid="{00000000-0005-0000-0000-0000E4040000}"/>
    <cellStyle name="Comma 7 2 2 2 2 2" xfId="6798" xr:uid="{00000000-0005-0000-0000-0000B3180000}"/>
    <cellStyle name="Comma 7 2 2 2 2 3" xfId="16783" xr:uid="{B11FB189-90C8-4735-B641-F14BC1B0363D}"/>
    <cellStyle name="Comma 7 2 2 2 3" xfId="6797" xr:uid="{00000000-0005-0000-0000-0000B2180000}"/>
    <cellStyle name="Comma 7 2 2 2 4" xfId="12284" xr:uid="{00000000-0005-0000-0000-0000E3030000}"/>
    <cellStyle name="Comma 7 2 2 2 4 2" xfId="44766" xr:uid="{D2C027A3-F18B-40CE-B317-615263939B24}"/>
    <cellStyle name="Comma 7 2 2 2 5" xfId="14393" xr:uid="{A46BEEB0-6FAE-45DF-8839-384BFDA36E9B}"/>
    <cellStyle name="Comma 7 2 2 3" xfId="1231" xr:uid="{00000000-0005-0000-0000-0000E5040000}"/>
    <cellStyle name="Comma 7 2 2 3 2" xfId="6799" xr:uid="{00000000-0005-0000-0000-0000B4180000}"/>
    <cellStyle name="Comma 7 2 2 3 3" xfId="16782" xr:uid="{8ED9A68F-C3E7-42FC-8341-1A7735D5472E}"/>
    <cellStyle name="Comma 7 2 2 4" xfId="6796" xr:uid="{00000000-0005-0000-0000-0000B1180000}"/>
    <cellStyle name="Comma 7 2 2 5" xfId="12285" xr:uid="{00000000-0005-0000-0000-0000E2030000}"/>
    <cellStyle name="Comma 7 2 2 5 2" xfId="44767" xr:uid="{BCBAE553-FD75-4ED9-97DA-A51FE14F62DF}"/>
    <cellStyle name="Comma 7 2 2 6" xfId="14392" xr:uid="{9E3CDEFF-A304-45E2-9491-AD2A580AFA50}"/>
    <cellStyle name="Comma 7 2 3" xfId="1232" xr:uid="{00000000-0005-0000-0000-0000E6040000}"/>
    <cellStyle name="Comma 7 2 3 2" xfId="1233" xr:uid="{00000000-0005-0000-0000-0000E7040000}"/>
    <cellStyle name="Comma 7 2 3 2 2" xfId="6801" xr:uid="{00000000-0005-0000-0000-0000B6180000}"/>
    <cellStyle name="Comma 7 2 3 2 3" xfId="16784" xr:uid="{FDC2CE21-43EE-42AD-94D8-8E6D9155A680}"/>
    <cellStyle name="Comma 7 2 3 3" xfId="6800" xr:uid="{00000000-0005-0000-0000-0000B5180000}"/>
    <cellStyle name="Comma 7 2 3 4" xfId="12282" xr:uid="{00000000-0005-0000-0000-0000E4030000}"/>
    <cellStyle name="Comma 7 2 3 4 2" xfId="44764" xr:uid="{E9BEEF68-A627-4296-B469-85C486CF4809}"/>
    <cellStyle name="Comma 7 2 3 5" xfId="14394" xr:uid="{531FEEAA-03E7-4202-A327-915860D9C559}"/>
    <cellStyle name="Comma 7 2 4" xfId="1234" xr:uid="{00000000-0005-0000-0000-0000E8040000}"/>
    <cellStyle name="Comma 7 2 4 2" xfId="6802" xr:uid="{00000000-0005-0000-0000-0000B7180000}"/>
    <cellStyle name="Comma 7 2 4 3" xfId="16781" xr:uid="{FC0BFE9C-B29D-41C2-B05B-9E7EF8F13292}"/>
    <cellStyle name="Comma 7 2 5" xfId="6795" xr:uid="{00000000-0005-0000-0000-0000B0180000}"/>
    <cellStyle name="Comma 7 2 6" xfId="12286" xr:uid="{00000000-0005-0000-0000-0000E1030000}"/>
    <cellStyle name="Comma 7 2 6 2" xfId="44768" xr:uid="{23EEBA6F-8ACD-4339-A2C5-5FC4E4FF8F66}"/>
    <cellStyle name="Comma 7 2 7" xfId="14391" xr:uid="{A827240C-8344-4A93-842E-083B8679BA3C}"/>
    <cellStyle name="Comma 7 3" xfId="1235" xr:uid="{00000000-0005-0000-0000-0000E9040000}"/>
    <cellStyle name="Comma 7 3 2" xfId="1236" xr:uid="{00000000-0005-0000-0000-0000EA040000}"/>
    <cellStyle name="Comma 7 3 2 2" xfId="1237" xr:uid="{00000000-0005-0000-0000-0000EB040000}"/>
    <cellStyle name="Comma 7 3 2 2 2" xfId="6805" xr:uid="{00000000-0005-0000-0000-0000BA180000}"/>
    <cellStyle name="Comma 7 3 2 2 3" xfId="16786" xr:uid="{F04E6B27-516D-4021-8686-9C1AADF4A627}"/>
    <cellStyle name="Comma 7 3 2 3" xfId="6804" xr:uid="{00000000-0005-0000-0000-0000B9180000}"/>
    <cellStyle name="Comma 7 3 2 4" xfId="12280" xr:uid="{00000000-0005-0000-0000-0000E6030000}"/>
    <cellStyle name="Comma 7 3 2 4 2" xfId="44762" xr:uid="{564E806A-7AAF-40E4-9B80-3C8AAA93B32F}"/>
    <cellStyle name="Comma 7 3 2 5" xfId="14396" xr:uid="{045098BB-B640-4EEA-9309-53E706DD88EC}"/>
    <cellStyle name="Comma 7 3 3" xfId="1238" xr:uid="{00000000-0005-0000-0000-0000EC040000}"/>
    <cellStyle name="Comma 7 3 3 2" xfId="6806" xr:uid="{00000000-0005-0000-0000-0000BB180000}"/>
    <cellStyle name="Comma 7 3 3 3" xfId="16785" xr:uid="{550DB775-2ECD-42A0-9986-8D80A304E3FC}"/>
    <cellStyle name="Comma 7 3 4" xfId="6803" xr:uid="{00000000-0005-0000-0000-0000B8180000}"/>
    <cellStyle name="Comma 7 3 5" xfId="12281" xr:uid="{00000000-0005-0000-0000-0000E5030000}"/>
    <cellStyle name="Comma 7 3 5 2" xfId="44763" xr:uid="{C23EF0BD-18B0-4523-AE87-EB61DC10DC75}"/>
    <cellStyle name="Comma 7 3 6" xfId="14395" xr:uid="{91431972-1591-42EE-820F-BBFE17FD9591}"/>
    <cellStyle name="Comma 7 4" xfId="1239" xr:uid="{00000000-0005-0000-0000-0000ED040000}"/>
    <cellStyle name="Comma 7 4 2" xfId="1240" xr:uid="{00000000-0005-0000-0000-0000EE040000}"/>
    <cellStyle name="Comma 7 4 2 2" xfId="6808" xr:uid="{00000000-0005-0000-0000-0000BD180000}"/>
    <cellStyle name="Comma 7 4 2 3" xfId="16787" xr:uid="{54634FD4-A312-47C7-B6EA-1B651EF01B4E}"/>
    <cellStyle name="Comma 7 4 3" xfId="6807" xr:uid="{00000000-0005-0000-0000-0000BC180000}"/>
    <cellStyle name="Comma 7 4 4" xfId="12279" xr:uid="{00000000-0005-0000-0000-0000E7030000}"/>
    <cellStyle name="Comma 7 4 4 2" xfId="44761" xr:uid="{90FEC93E-23DB-4291-9CD0-8506EA21C62E}"/>
    <cellStyle name="Comma 7 4 5" xfId="14397" xr:uid="{BB81DA4A-7D74-48E6-9F6D-11937C76CA3E}"/>
    <cellStyle name="Comma 7 5" xfId="1241" xr:uid="{00000000-0005-0000-0000-0000EF040000}"/>
    <cellStyle name="Comma 7 5 2" xfId="1242" xr:uid="{00000000-0005-0000-0000-0000F0040000}"/>
    <cellStyle name="Comma 7 5 2 2" xfId="6810" xr:uid="{00000000-0005-0000-0000-0000BF180000}"/>
    <cellStyle name="Comma 7 5 2 3" xfId="16788" xr:uid="{87FAE465-745A-4BA2-94FD-9D2D74AAF4B7}"/>
    <cellStyle name="Comma 7 5 3" xfId="6809" xr:uid="{00000000-0005-0000-0000-0000BE180000}"/>
    <cellStyle name="Comma 7 5 4" xfId="12278" xr:uid="{00000000-0005-0000-0000-0000E8030000}"/>
    <cellStyle name="Comma 7 5 4 2" xfId="44760" xr:uid="{B44BF21F-72AC-4F97-A271-7E7178AA35AC}"/>
    <cellStyle name="Comma 7 5 5" xfId="14398" xr:uid="{047EEECD-C0ED-4154-858E-758F8E5B04AB}"/>
    <cellStyle name="Comma 7 6" xfId="1243" xr:uid="{00000000-0005-0000-0000-0000F1040000}"/>
    <cellStyle name="Comma 7 6 2" xfId="1244" xr:uid="{00000000-0005-0000-0000-0000F2040000}"/>
    <cellStyle name="Comma 7 6 2 2" xfId="6812" xr:uid="{00000000-0005-0000-0000-0000C1180000}"/>
    <cellStyle name="Comma 7 6 2 3" xfId="16789" xr:uid="{7ECFABCD-7DC1-459A-84A2-F7918597239D}"/>
    <cellStyle name="Comma 7 6 3" xfId="6811" xr:uid="{00000000-0005-0000-0000-0000C0180000}"/>
    <cellStyle name="Comma 7 6 4" xfId="12277" xr:uid="{00000000-0005-0000-0000-0000E9030000}"/>
    <cellStyle name="Comma 7 6 4 2" xfId="44759" xr:uid="{5EB6C3A0-8029-438A-9B56-D6C9E3EE44ED}"/>
    <cellStyle name="Comma 7 6 5" xfId="14399" xr:uid="{1F9425F5-AEEA-40D6-A251-229C286D5733}"/>
    <cellStyle name="Comma 7 7" xfId="1245" xr:uid="{00000000-0005-0000-0000-0000F3040000}"/>
    <cellStyle name="Comma 7 7 2" xfId="1246" xr:uid="{00000000-0005-0000-0000-0000F4040000}"/>
    <cellStyle name="Comma 7 7 2 2" xfId="6814" xr:uid="{00000000-0005-0000-0000-0000C3180000}"/>
    <cellStyle name="Comma 7 7 2 3" xfId="16790" xr:uid="{6350C87A-058F-4C8D-8CC5-48DA0A94F49F}"/>
    <cellStyle name="Comma 7 7 3" xfId="6813" xr:uid="{00000000-0005-0000-0000-0000C2180000}"/>
    <cellStyle name="Comma 7 7 4" xfId="12276" xr:uid="{00000000-0005-0000-0000-0000EA030000}"/>
    <cellStyle name="Comma 7 7 4 2" xfId="44758" xr:uid="{928E9BAB-1FE6-4D1F-A8C7-A00300E3C6C3}"/>
    <cellStyle name="Comma 7 7 5" xfId="14400" xr:uid="{4E4A145A-ADD8-4EFC-86BB-CF8CDC664025}"/>
    <cellStyle name="Comma 7 8" xfId="1247" xr:uid="{00000000-0005-0000-0000-0000F5040000}"/>
    <cellStyle name="Comma 7 8 2" xfId="1248" xr:uid="{00000000-0005-0000-0000-0000F6040000}"/>
    <cellStyle name="Comma 7 8 2 2" xfId="6816" xr:uid="{00000000-0005-0000-0000-0000C5180000}"/>
    <cellStyle name="Comma 7 8 2 3" xfId="16791" xr:uid="{E862D07E-FA38-4BD6-AC0F-2F76B30A5CB8}"/>
    <cellStyle name="Comma 7 8 3" xfId="6815" xr:uid="{00000000-0005-0000-0000-0000C4180000}"/>
    <cellStyle name="Comma 7 8 4" xfId="12273" xr:uid="{00000000-0005-0000-0000-0000EB030000}"/>
    <cellStyle name="Comma 7 8 4 2" xfId="44755" xr:uid="{88998AB4-4DA8-4018-9CD0-EB32D710AA4E}"/>
    <cellStyle name="Comma 7 8 5" xfId="14401" xr:uid="{9F8F78CA-E955-4511-B430-C0F4A3EFB1FE}"/>
    <cellStyle name="Comma 7 9" xfId="1249" xr:uid="{00000000-0005-0000-0000-0000F7040000}"/>
    <cellStyle name="Comma 7 9 2" xfId="6817" xr:uid="{00000000-0005-0000-0000-0000C6180000}"/>
    <cellStyle name="Comma 7 9 3" xfId="16780" xr:uid="{A953C200-4B9E-4FA6-8370-C25CC9F07744}"/>
    <cellStyle name="Comma 8" xfId="1250" xr:uid="{00000000-0005-0000-0000-0000F8040000}"/>
    <cellStyle name="Comma 8 10" xfId="12272" xr:uid="{00000000-0005-0000-0000-0000EC030000}"/>
    <cellStyle name="Comma 8 11" xfId="14402" xr:uid="{01FE8AA3-2C33-426A-917C-05A8285212F8}"/>
    <cellStyle name="Comma 8 2" xfId="1251" xr:uid="{00000000-0005-0000-0000-0000F9040000}"/>
    <cellStyle name="Comma 8 2 2" xfId="1252" xr:uid="{00000000-0005-0000-0000-0000FA040000}"/>
    <cellStyle name="Comma 8 2 2 2" xfId="1253" xr:uid="{00000000-0005-0000-0000-0000FB040000}"/>
    <cellStyle name="Comma 8 2 2 2 2" xfId="6821" xr:uid="{00000000-0005-0000-0000-0000CA180000}"/>
    <cellStyle name="Comma 8 2 2 2 3" xfId="16794" xr:uid="{387EC76F-CC3A-468D-9063-FDAE363CF39A}"/>
    <cellStyle name="Comma 8 2 2 3" xfId="6820" xr:uid="{00000000-0005-0000-0000-0000C9180000}"/>
    <cellStyle name="Comma 8 2 2 4" xfId="12267" xr:uid="{00000000-0005-0000-0000-0000EE030000}"/>
    <cellStyle name="Comma 8 2 2 4 2" xfId="44750" xr:uid="{8457A0F8-86AF-4131-9E10-D1FEA7C56A96}"/>
    <cellStyle name="Comma 8 2 2 5" xfId="14404" xr:uid="{984CFCCE-8E87-4DA8-A671-966D08D360D9}"/>
    <cellStyle name="Comma 8 2 3" xfId="1254" xr:uid="{00000000-0005-0000-0000-0000FC040000}"/>
    <cellStyle name="Comma 8 2 3 2" xfId="6822" xr:uid="{00000000-0005-0000-0000-0000CB180000}"/>
    <cellStyle name="Comma 8 2 3 3" xfId="16793" xr:uid="{A0AEB02E-F133-4454-B5D0-CD81E06A6FE3}"/>
    <cellStyle name="Comma 8 2 4" xfId="6819" xr:uid="{00000000-0005-0000-0000-0000C8180000}"/>
    <cellStyle name="Comma 8 2 5" xfId="12271" xr:uid="{00000000-0005-0000-0000-0000ED030000}"/>
    <cellStyle name="Comma 8 2 5 2" xfId="44754" xr:uid="{4FA0EF15-7BEB-4B0C-87FE-D3A669B0936C}"/>
    <cellStyle name="Comma 8 2 6" xfId="14403" xr:uid="{35745536-A226-48F5-BCE1-0F6F0349A9A1}"/>
    <cellStyle name="Comma 8 3" xfId="1255" xr:uid="{00000000-0005-0000-0000-0000FD040000}"/>
    <cellStyle name="Comma 8 3 2" xfId="1256" xr:uid="{00000000-0005-0000-0000-0000FE040000}"/>
    <cellStyle name="Comma 8 4" xfId="1257" xr:uid="{00000000-0005-0000-0000-0000FF040000}"/>
    <cellStyle name="Comma 8 4 2" xfId="1258" xr:uid="{00000000-0005-0000-0000-000000050000}"/>
    <cellStyle name="Comma 8 5" xfId="1259" xr:uid="{00000000-0005-0000-0000-000001050000}"/>
    <cellStyle name="Comma 8 5 2" xfId="1260" xr:uid="{00000000-0005-0000-0000-000002050000}"/>
    <cellStyle name="Comma 8 6" xfId="1261" xr:uid="{00000000-0005-0000-0000-000003050000}"/>
    <cellStyle name="Comma 8 6 2" xfId="1262" xr:uid="{00000000-0005-0000-0000-000004050000}"/>
    <cellStyle name="Comma 8 7" xfId="1263" xr:uid="{00000000-0005-0000-0000-000005050000}"/>
    <cellStyle name="Comma 8 7 2" xfId="1264" xr:uid="{00000000-0005-0000-0000-000006050000}"/>
    <cellStyle name="Comma 8 7 2 2" xfId="6832" xr:uid="{00000000-0005-0000-0000-0000CD180000}"/>
    <cellStyle name="Comma 8 7 2 3" xfId="16796" xr:uid="{1D39C1B0-A14C-4441-998F-88C4B369B4CF}"/>
    <cellStyle name="Comma 8 7 3" xfId="6831" xr:uid="{00000000-0005-0000-0000-0000CC180000}"/>
    <cellStyle name="Comma 8 7 4" xfId="12265" xr:uid="{00000000-0005-0000-0000-0000F3030000}"/>
    <cellStyle name="Comma 8 7 4 2" xfId="44748" xr:uid="{00B0F2BB-3F53-4A88-A8E0-EE7AA85E53AF}"/>
    <cellStyle name="Comma 8 7 5" xfId="14406" xr:uid="{1D7821CB-D6B3-490E-B3BE-37EDA2D9685E}"/>
    <cellStyle name="Comma 8 8" xfId="1265" xr:uid="{00000000-0005-0000-0000-000007050000}"/>
    <cellStyle name="Comma 8 8 2" xfId="6833" xr:uid="{00000000-0005-0000-0000-0000CE180000}"/>
    <cellStyle name="Comma 8 8 3" xfId="16792" xr:uid="{7FABFF04-7E42-4A80-ADDB-C8D94617F95F}"/>
    <cellStyle name="Comma 8 9" xfId="6818" xr:uid="{00000000-0005-0000-0000-0000C7180000}"/>
    <cellStyle name="Comma 8 9 2" xfId="17949" xr:uid="{21694C0A-D082-45E5-A97F-DCF5EBAC83E4}"/>
    <cellStyle name="Comma 9" xfId="1266" xr:uid="{00000000-0005-0000-0000-000008050000}"/>
    <cellStyle name="Comma 9 2" xfId="1267" xr:uid="{00000000-0005-0000-0000-000009050000}"/>
    <cellStyle name="Comma 9 2 2" xfId="1268" xr:uid="{00000000-0005-0000-0000-00000A050000}"/>
    <cellStyle name="Comma 9 2 2 2" xfId="6836" xr:uid="{00000000-0005-0000-0000-0000D0180000}"/>
    <cellStyle name="Comma 9 2 2 3" xfId="16798" xr:uid="{ACB6430C-A194-429D-AFE6-52984D461131}"/>
    <cellStyle name="Comma 9 2 3" xfId="6835" xr:uid="{00000000-0005-0000-0000-0000CF180000}"/>
    <cellStyle name="Comma 9 2 4" xfId="12262" xr:uid="{00000000-0005-0000-0000-0000F5030000}"/>
    <cellStyle name="Comma 9 2 4 2" xfId="44745" xr:uid="{932CE2EB-C8D6-4259-858A-98977447F38A}"/>
    <cellStyle name="Comma 9 2 5" xfId="14408" xr:uid="{691C491C-5890-4B0C-A82F-9C4E683C7C0B}"/>
    <cellStyle name="Comma 9 3" xfId="1269" xr:uid="{00000000-0005-0000-0000-00000B050000}"/>
    <cellStyle name="Comma 9 3 2" xfId="1270" xr:uid="{00000000-0005-0000-0000-00000C050000}"/>
    <cellStyle name="Comma 9 3 2 2" xfId="6838" xr:uid="{00000000-0005-0000-0000-0000D2180000}"/>
    <cellStyle name="Comma 9 3 2 3" xfId="16799" xr:uid="{F51B1290-CE4B-405B-AA85-6E1CE071E542}"/>
    <cellStyle name="Comma 9 3 3" xfId="6837" xr:uid="{00000000-0005-0000-0000-0000D1180000}"/>
    <cellStyle name="Comma 9 3 4" xfId="12261" xr:uid="{00000000-0005-0000-0000-0000F6030000}"/>
    <cellStyle name="Comma 9 3 4 2" xfId="44744" xr:uid="{8237E8CE-F5F1-4E65-ADDA-DC145802F00E}"/>
    <cellStyle name="Comma 9 3 5" xfId="14409" xr:uid="{E2BCF96A-D563-45E3-87EE-8ABCB0C8F37D}"/>
    <cellStyle name="Comma 9 4" xfId="1271" xr:uid="{00000000-0005-0000-0000-00000D050000}"/>
    <cellStyle name="Comma 9 4 2" xfId="1272" xr:uid="{00000000-0005-0000-0000-00000E050000}"/>
    <cellStyle name="Comma 9 4 2 2" xfId="6840" xr:uid="{00000000-0005-0000-0000-0000D4180000}"/>
    <cellStyle name="Comma 9 4 2 3" xfId="16800" xr:uid="{A46D441A-1565-4532-A10F-68AA97B6282A}"/>
    <cellStyle name="Comma 9 4 3" xfId="6839" xr:uid="{00000000-0005-0000-0000-0000D3180000}"/>
    <cellStyle name="Comma 9 4 4" xfId="12259" xr:uid="{00000000-0005-0000-0000-0000F7030000}"/>
    <cellStyle name="Comma 9 4 4 2" xfId="44742" xr:uid="{B302F8BB-22D4-4C26-A761-ECAFF4C1012B}"/>
    <cellStyle name="Comma 9 4 5" xfId="14410" xr:uid="{B97D44BB-5176-4B87-97B9-A71B6B12FC67}"/>
    <cellStyle name="Comma 9 5" xfId="1273" xr:uid="{00000000-0005-0000-0000-00000F050000}"/>
    <cellStyle name="Comma 9 5 2" xfId="1274" xr:uid="{00000000-0005-0000-0000-000010050000}"/>
    <cellStyle name="Comma 9 5 2 2" xfId="6842" xr:uid="{00000000-0005-0000-0000-0000D6180000}"/>
    <cellStyle name="Comma 9 5 2 3" xfId="16801" xr:uid="{83C9BA32-A665-4D6F-BA8D-B635972AE836}"/>
    <cellStyle name="Comma 9 5 3" xfId="6841" xr:uid="{00000000-0005-0000-0000-0000D5180000}"/>
    <cellStyle name="Comma 9 5 4" xfId="12258" xr:uid="{00000000-0005-0000-0000-0000F8030000}"/>
    <cellStyle name="Comma 9 5 4 2" xfId="44741" xr:uid="{CB143E27-74DB-495D-9C49-F6FBEE7C3D50}"/>
    <cellStyle name="Comma 9 5 5" xfId="14411" xr:uid="{5B4D477C-0C31-4299-AE61-E3A979675FD2}"/>
    <cellStyle name="Comma 9 6" xfId="1275" xr:uid="{00000000-0005-0000-0000-000011050000}"/>
    <cellStyle name="Comma 9 6 2" xfId="16797" xr:uid="{03B34378-8370-43E3-88F5-D910EAB12418}"/>
    <cellStyle name="Comma 9 7" xfId="12263" xr:uid="{00000000-0005-0000-0000-0000F4030000}"/>
    <cellStyle name="Comma 9 7 2" xfId="17950" xr:uid="{B289260B-8ADF-4F6E-8720-4AB04C20DA43}"/>
    <cellStyle name="Comma 9 8" xfId="14407" xr:uid="{2033BC8E-EDA7-4A5B-95D6-BF0A1B0A47EB}"/>
    <cellStyle name="Comma0" xfId="1276" xr:uid="{00000000-0005-0000-0000-000012050000}"/>
    <cellStyle name="Comma2 (0)" xfId="1277" xr:uid="{00000000-0005-0000-0000-000013050000}"/>
    <cellStyle name="Comment" xfId="1278" xr:uid="{00000000-0005-0000-0000-000014050000}"/>
    <cellStyle name="Commentaire" xfId="1279" xr:uid="{00000000-0005-0000-0000-000015050000}"/>
    <cellStyle name="Commentaire 10" xfId="24906" xr:uid="{27354659-205B-4BAE-BF49-21FB60B8EC3E}"/>
    <cellStyle name="Commentaire 10 2" xfId="27575" xr:uid="{ABCBC81E-82F6-4B3A-B27A-3B9F5DFE4D58}"/>
    <cellStyle name="Commentaire 10 2 2" xfId="34419" xr:uid="{AC7084E6-142E-49DC-BC45-90A0365990EF}"/>
    <cellStyle name="Commentaire 10 3" xfId="29655" xr:uid="{95FEB750-A8B3-41CA-AD26-902918679B33}"/>
    <cellStyle name="Commentaire 10 3 2" xfId="36500" xr:uid="{4DC258B9-89C7-4209-8671-4D65B35C4D9B}"/>
    <cellStyle name="Commentaire 10 4" xfId="31737" xr:uid="{BBBA4D74-5B74-4639-A52B-D57F5F9B77CF}"/>
    <cellStyle name="Commentaire 11" xfId="24061" xr:uid="{A88EEBE7-7504-49CD-BB88-F413CF96C14F}"/>
    <cellStyle name="Commentaire 11 2" xfId="26674" xr:uid="{D2AFAC17-C599-4972-807A-BFC3846EC5F3}"/>
    <cellStyle name="Commentaire 11 2 2" xfId="33514" xr:uid="{DFFB22D7-7363-4018-B5A1-4207568D7BCD}"/>
    <cellStyle name="Commentaire 11 3" xfId="28750" xr:uid="{DC1EBB9D-0577-4721-B7B3-F196220AC17D}"/>
    <cellStyle name="Commentaire 11 3 2" xfId="35595" xr:uid="{98F97DEC-EBEE-47A6-8520-734D5510B66F}"/>
    <cellStyle name="Commentaire 11 4" xfId="30832" xr:uid="{632A7B37-F890-42AE-8CEF-FB79DCA4D648}"/>
    <cellStyle name="Commentaire 12" xfId="24106" xr:uid="{F23BCA68-E2CE-485C-971A-F5A0400D43CA}"/>
    <cellStyle name="Commentaire 12 2" xfId="26718" xr:uid="{CC785A55-6199-4216-B568-0635C8DABFDA}"/>
    <cellStyle name="Commentaire 12 2 2" xfId="33558" xr:uid="{841745C1-9DF9-4784-9677-41957B0729BA}"/>
    <cellStyle name="Commentaire 12 3" xfId="28794" xr:uid="{503EDA99-607B-4DC8-B6CE-385E8C542D45}"/>
    <cellStyle name="Commentaire 12 3 2" xfId="35639" xr:uid="{2E5F1D07-2378-46E5-8AEC-F828865AAD41}"/>
    <cellStyle name="Commentaire 12 4" xfId="30876" xr:uid="{4FEFE834-E4C8-47EC-8FA4-888F5F4A579E}"/>
    <cellStyle name="Commentaire 13" xfId="25347" xr:uid="{DD9AE742-5EF7-42CA-A7CF-4611876E45D9}"/>
    <cellStyle name="Commentaire 13 2" xfId="28014" xr:uid="{EEF89BC9-E8DF-4E19-A65C-CFA8C2942BD9}"/>
    <cellStyle name="Commentaire 13 2 2" xfId="34859" xr:uid="{C9936DCD-5021-426D-A7E1-AB466496B9A1}"/>
    <cellStyle name="Commentaire 13 3" xfId="30095" xr:uid="{46CCE7E3-2CB5-4C1C-A234-6C345CC7C1BA}"/>
    <cellStyle name="Commentaire 13 3 2" xfId="36940" xr:uid="{57667754-C18D-480C-A204-2DB66EEB4534}"/>
    <cellStyle name="Commentaire 13 4" xfId="32177" xr:uid="{F41ECFED-942B-463F-90E4-3E0F49E6F682}"/>
    <cellStyle name="Commentaire 14" xfId="25551" xr:uid="{F6B9B956-6869-4D56-B7A0-7AFABD7E4BAD}"/>
    <cellStyle name="Commentaire 14 2" xfId="28218" xr:uid="{400A071D-2AD1-4F9F-9A52-D1B4374A501A}"/>
    <cellStyle name="Commentaire 14 2 2" xfId="35063" xr:uid="{6C51A153-C351-4EB0-BBCF-FDF6F4781938}"/>
    <cellStyle name="Commentaire 14 3" xfId="30299" xr:uid="{DF97E7FE-BE61-41C3-8827-98D927A8BECA}"/>
    <cellStyle name="Commentaire 14 3 2" xfId="37144" xr:uid="{91075122-9586-4522-80F8-6C6C25CCF553}"/>
    <cellStyle name="Commentaire 14 4" xfId="32381" xr:uid="{05CA2610-027F-4B5E-83C4-4293D510134B}"/>
    <cellStyle name="Commentaire 15" xfId="25609" xr:uid="{1DFB6493-B001-43C5-B45C-A4320A1B857D}"/>
    <cellStyle name="Commentaire 15 2" xfId="28276" xr:uid="{E2FA16C4-D704-44B1-8DEB-C98D20EB808A}"/>
    <cellStyle name="Commentaire 15 2 2" xfId="35121" xr:uid="{AE012A44-65E9-4E98-A9E3-2F7DED42DFFA}"/>
    <cellStyle name="Commentaire 15 3" xfId="30357" xr:uid="{9ACD3AAE-3AEF-4616-8A17-80349FD33E78}"/>
    <cellStyle name="Commentaire 15 3 2" xfId="37202" xr:uid="{AE71A9B5-0579-40F9-9D35-2EAC79577EAA}"/>
    <cellStyle name="Commentaire 15 4" xfId="32439" xr:uid="{13FA68FB-F0EB-4561-81F1-C68E4009D14F}"/>
    <cellStyle name="Commentaire 16" xfId="25464" xr:uid="{37594CBB-0F8C-42E0-8D29-0CA427CC9E07}"/>
    <cellStyle name="Commentaire 16 2" xfId="28131" xr:uid="{562C9B9F-9842-47BA-9BCF-86E080AD2F1C}"/>
    <cellStyle name="Commentaire 16 2 2" xfId="34976" xr:uid="{37EB1BA0-4C67-43EF-B33C-E5D85951884F}"/>
    <cellStyle name="Commentaire 16 3" xfId="30212" xr:uid="{12B07697-5CC2-4B51-B8A4-81C4AB468681}"/>
    <cellStyle name="Commentaire 16 3 2" xfId="37057" xr:uid="{19EC0461-7CCB-48B6-8E1C-2CC111224888}"/>
    <cellStyle name="Commentaire 16 4" xfId="32294" xr:uid="{E68D42C9-7F93-48DE-9492-B21253F2D50F}"/>
    <cellStyle name="Commentaire 17" xfId="25882" xr:uid="{089A7272-4D74-4E9C-90C0-AD706758D8A0}"/>
    <cellStyle name="Commentaire 17 2" xfId="28548" xr:uid="{34314232-140F-4372-A846-76D212F2F447}"/>
    <cellStyle name="Commentaire 17 2 2" xfId="35393" xr:uid="{1ECC9BBC-0108-43B2-8A54-0B43ED3CC2BC}"/>
    <cellStyle name="Commentaire 17 3" xfId="30629" xr:uid="{11CD5D5E-BD8E-4DDD-B9EE-D003A23D1AB1}"/>
    <cellStyle name="Commentaire 17 3 2" xfId="37474" xr:uid="{32040DE5-BDBF-4402-A4A6-4660DC5705A4}"/>
    <cellStyle name="Commentaire 17 4" xfId="32711" xr:uid="{B2CA2A8A-4021-468A-9107-81B4D6589940}"/>
    <cellStyle name="Commentaire 18" xfId="23696" xr:uid="{F335BAE8-8A24-4F8C-BFF3-928C01B0C58A}"/>
    <cellStyle name="Commentaire 19" xfId="16616" xr:uid="{1772C311-7979-4065-902F-CC2E07FFDF30}"/>
    <cellStyle name="Commentaire 2" xfId="9270" xr:uid="{00000000-0005-0000-0000-0000FC030000}"/>
    <cellStyle name="Commentaire 2 10" xfId="24828" xr:uid="{4358F5C1-FA53-4A08-BF7E-852698B8C7B8}"/>
    <cellStyle name="Commentaire 2 10 2" xfId="27488" xr:uid="{A6C3F0AA-E306-4592-8414-14C64E9CDF3C}"/>
    <cellStyle name="Commentaire 2 10 2 2" xfId="34332" xr:uid="{5E0C2A37-454A-4E27-A6F5-A609B502DDED}"/>
    <cellStyle name="Commentaire 2 10 3" xfId="29568" xr:uid="{A2F9DB18-99DB-4B08-A392-7A5761B94C84}"/>
    <cellStyle name="Commentaire 2 10 3 2" xfId="36413" xr:uid="{78F10D37-EC3A-4BBB-8C2C-71DD49AAB41A}"/>
    <cellStyle name="Commentaire 2 10 4" xfId="31650" xr:uid="{AEF4D473-B6BB-4054-9A82-F051EB86609A}"/>
    <cellStyle name="Commentaire 2 11" xfId="24674" xr:uid="{0ACDE7E2-8E70-43B3-A4BC-241B6C9C85DA}"/>
    <cellStyle name="Commentaire 2 11 2" xfId="27288" xr:uid="{45830FC9-109D-4D31-82EF-7EC38E2C8D0F}"/>
    <cellStyle name="Commentaire 2 11 2 2" xfId="34132" xr:uid="{62FCF248-E739-45E5-B07E-19EE6643AC4F}"/>
    <cellStyle name="Commentaire 2 11 3" xfId="29368" xr:uid="{2D250BD7-A056-4EB6-A717-CBAE0F19B163}"/>
    <cellStyle name="Commentaire 2 11 3 2" xfId="36213" xr:uid="{D70969BF-C91F-4982-A0F2-0645799D2E39}"/>
    <cellStyle name="Commentaire 2 11 4" xfId="31450" xr:uid="{4837C4FC-A18F-4C6D-9F76-5C0BD3DF4854}"/>
    <cellStyle name="Commentaire 2 12" xfId="24343" xr:uid="{62592D9F-E6A0-4262-8D7A-F1D21811D530}"/>
    <cellStyle name="Commentaire 2 12 2" xfId="26949" xr:uid="{107225D8-F028-402A-B9CE-77F3D315AF47}"/>
    <cellStyle name="Commentaire 2 12 2 2" xfId="33789" xr:uid="{82788D4B-D30F-4849-9C75-EC1D2AF810EC}"/>
    <cellStyle name="Commentaire 2 12 3" xfId="29025" xr:uid="{347AD8B4-1627-491A-89A9-160CA663AC9B}"/>
    <cellStyle name="Commentaire 2 12 3 2" xfId="35870" xr:uid="{2BCA96E0-1CBC-4DD8-A006-BEC3E5849405}"/>
    <cellStyle name="Commentaire 2 12 4" xfId="31107" xr:uid="{DEDDFAB2-DA52-43D0-94E8-44348E365CE0}"/>
    <cellStyle name="Commentaire 2 13" xfId="25433" xr:uid="{F47BA733-631C-4841-9D2B-5D9405A7608D}"/>
    <cellStyle name="Commentaire 2 13 2" xfId="28100" xr:uid="{8D8324C6-2480-47F8-8267-46DF7B1F41FA}"/>
    <cellStyle name="Commentaire 2 13 2 2" xfId="34945" xr:uid="{BF4B4F81-F6A8-4664-A444-5E17D53BC814}"/>
    <cellStyle name="Commentaire 2 13 3" xfId="30181" xr:uid="{C18A296C-245B-42D0-AB5F-7AE07AD4F77E}"/>
    <cellStyle name="Commentaire 2 13 3 2" xfId="37026" xr:uid="{C984B573-D198-4028-B6D7-1D1F66ABF73E}"/>
    <cellStyle name="Commentaire 2 13 4" xfId="32263" xr:uid="{5AF33D9B-82D3-4B62-BB4D-2EA4093BDB04}"/>
    <cellStyle name="Commentaire 2 14" xfId="23980" xr:uid="{F227399B-AFDA-4465-9950-00B615187FB8}"/>
    <cellStyle name="Commentaire 2 14 2" xfId="26597" xr:uid="{0D65901B-E949-41D0-A47D-5CB062305BC6}"/>
    <cellStyle name="Commentaire 2 14 2 2" xfId="33437" xr:uid="{D4DE0F35-AD4B-4300-B13F-1D0028019AD9}"/>
    <cellStyle name="Commentaire 2 14 3" xfId="26096" xr:uid="{4580F780-CC9E-4EE0-940A-C353FCA0D5FC}"/>
    <cellStyle name="Commentaire 2 14 3 2" xfId="32924" xr:uid="{0145BFCE-FC47-42E5-A767-57514A943C8B}"/>
    <cellStyle name="Commentaire 2 14 4" xfId="23218" xr:uid="{87A67B9D-ADE6-46B6-8E28-842DB2BB719A}"/>
    <cellStyle name="Commentaire 2 15" xfId="25426" xr:uid="{BDFCED3C-C801-42C1-A796-0C404AEDEC1B}"/>
    <cellStyle name="Commentaire 2 15 2" xfId="28093" xr:uid="{59E515D8-F7CD-4F52-BC0D-A8E80283447E}"/>
    <cellStyle name="Commentaire 2 15 2 2" xfId="34938" xr:uid="{5D674E71-A591-4D34-90B4-EFA1F0FF8D26}"/>
    <cellStyle name="Commentaire 2 15 3" xfId="30174" xr:uid="{F8846C53-BA89-4FFA-A826-E6A39698EF0F}"/>
    <cellStyle name="Commentaire 2 15 3 2" xfId="37019" xr:uid="{F78C8739-FD41-4357-AE93-E244F454E3FD}"/>
    <cellStyle name="Commentaire 2 15 4" xfId="32256" xr:uid="{EBAC0F67-F839-42FD-953E-65C5C5398FED}"/>
    <cellStyle name="Commentaire 2 16" xfId="25544" xr:uid="{0AAB389C-D525-4B67-B3A4-C5AC00D31FEC}"/>
    <cellStyle name="Commentaire 2 16 2" xfId="28211" xr:uid="{64B66685-ECB4-41A1-B409-B56F3BC790EC}"/>
    <cellStyle name="Commentaire 2 16 2 2" xfId="35056" xr:uid="{A89D5FEF-22EC-400D-819F-B942639AE13B}"/>
    <cellStyle name="Commentaire 2 16 3" xfId="30292" xr:uid="{7AF1626F-4B24-4D85-AACD-492A7AABBA6D}"/>
    <cellStyle name="Commentaire 2 16 3 2" xfId="37137" xr:uid="{ABC47CAA-8740-425D-9153-D3F57860E91C}"/>
    <cellStyle name="Commentaire 2 16 4" xfId="32374" xr:uid="{289CBC3A-D1E1-443E-A74C-F0DFF95F2F9C}"/>
    <cellStyle name="Commentaire 2 17" xfId="24365" xr:uid="{347B5A8B-B6D2-41EC-A47A-CA551AAB061D}"/>
    <cellStyle name="Commentaire 2 17 2" xfId="26972" xr:uid="{EB5EF2AF-BFCA-42EC-9253-3DCD91302B6A}"/>
    <cellStyle name="Commentaire 2 17 2 2" xfId="33812" xr:uid="{35CD436E-C91B-486C-9461-9E42561180ED}"/>
    <cellStyle name="Commentaire 2 17 3" xfId="29048" xr:uid="{3F8DC53E-476A-4EAC-A020-7DCC11F8647F}"/>
    <cellStyle name="Commentaire 2 17 3 2" xfId="35893" xr:uid="{FDDFF43B-57D9-470F-9016-2A91183A2099}"/>
    <cellStyle name="Commentaire 2 17 4" xfId="31130" xr:uid="{C5BE6E5F-479A-4BC7-839D-E9F7765622E1}"/>
    <cellStyle name="Commentaire 2 18" xfId="23685" xr:uid="{F20BDDBD-2382-4747-8FA0-86332DDC7DBF}"/>
    <cellStyle name="Commentaire 2 19" xfId="17424" xr:uid="{72F13E03-54DB-42C6-B7F0-B78096AFE85E}"/>
    <cellStyle name="Commentaire 2 2" xfId="17518" xr:uid="{1765E9F2-4126-4C22-AAF8-BFDE4BDA7747}"/>
    <cellStyle name="Commentaire 2 2 10" xfId="24632" xr:uid="{586B8F29-B7D7-4BC7-B732-89891F188CF1}"/>
    <cellStyle name="Commentaire 2 2 10 2" xfId="27242" xr:uid="{A2874FAC-092C-4F69-A783-CAE53A9FC3AB}"/>
    <cellStyle name="Commentaire 2 2 10 2 2" xfId="34085" xr:uid="{A2DA6AB2-0D09-4C63-9E95-B2157ACC2122}"/>
    <cellStyle name="Commentaire 2 2 10 3" xfId="29321" xr:uid="{1E2682E7-BB37-47C1-AAFC-DDC950F00923}"/>
    <cellStyle name="Commentaire 2 2 10 3 2" xfId="36166" xr:uid="{FE14EA4D-1BC7-484B-A736-C9188826E626}"/>
    <cellStyle name="Commentaire 2 2 10 4" xfId="31403" xr:uid="{C235C573-8C01-4D33-BD41-8C7811E72BBE}"/>
    <cellStyle name="Commentaire 2 2 11" xfId="25078" xr:uid="{4C3D9834-78AC-4027-BCB3-0BC8F82561BB}"/>
    <cellStyle name="Commentaire 2 2 11 2" xfId="27750" xr:uid="{24A6B833-19F6-4509-943F-30CFD7FAF76D}"/>
    <cellStyle name="Commentaire 2 2 11 2 2" xfId="34595" xr:uid="{7011C421-F5DF-4527-A031-EC37ED4E1EC3}"/>
    <cellStyle name="Commentaire 2 2 11 3" xfId="29831" xr:uid="{174B28E8-0AB7-48DA-80AB-330D222BF91D}"/>
    <cellStyle name="Commentaire 2 2 11 3 2" xfId="36676" xr:uid="{131AB3BD-80C6-4B2B-9F88-7BF6F96A6AE8}"/>
    <cellStyle name="Commentaire 2 2 11 4" xfId="31913" xr:uid="{A2DC2ED3-DB4D-4004-99DA-B85F73DD2461}"/>
    <cellStyle name="Commentaire 2 2 12" xfId="23802" xr:uid="{CE91B40F-7E24-40B4-BB55-6345CE1FAC30}"/>
    <cellStyle name="Commentaire 2 2 12 2" xfId="26416" xr:uid="{60541FEC-F720-43A1-A604-83F3B283E690}"/>
    <cellStyle name="Commentaire 2 2 12 2 2" xfId="33256" xr:uid="{8DA291C2-5850-4E0B-9B0C-890A1539BEE3}"/>
    <cellStyle name="Commentaire 2 2 12 3" xfId="26266" xr:uid="{7EE9C996-ABB3-40F6-9F64-175320A6CB6F}"/>
    <cellStyle name="Commentaire 2 2 12 3 2" xfId="33094" xr:uid="{C64EB3BE-C86B-4E73-9A08-DAA23F76EBD4}"/>
    <cellStyle name="Commentaire 2 2 12 4" xfId="23388" xr:uid="{32DC2FC8-1D23-4C50-AC35-1A07A722A698}"/>
    <cellStyle name="Commentaire 2 2 13" xfId="25646" xr:uid="{0DBC3D5E-3352-485D-8BEA-1F68E52BABEA}"/>
    <cellStyle name="Commentaire 2 2 13 2" xfId="28313" xr:uid="{DC16506D-CC74-438A-B46F-96D39D681B91}"/>
    <cellStyle name="Commentaire 2 2 13 2 2" xfId="35158" xr:uid="{216BFF0D-6812-4C13-BFE5-19476221D5E3}"/>
    <cellStyle name="Commentaire 2 2 13 3" xfId="30394" xr:uid="{C935BEDA-857C-45D2-8025-00C7B6E40AB4}"/>
    <cellStyle name="Commentaire 2 2 13 3 2" xfId="37239" xr:uid="{31359D09-DBA9-4089-B31D-85FBAE44CB63}"/>
    <cellStyle name="Commentaire 2 2 13 4" xfId="32476" xr:uid="{32E29D56-0657-4B65-9036-040763FB4CFE}"/>
    <cellStyle name="Commentaire 2 2 14" xfId="25700" xr:uid="{4AE6288D-D146-4FD1-AA12-55A7D4837306}"/>
    <cellStyle name="Commentaire 2 2 14 2" xfId="28367" xr:uid="{4486DD3D-86F6-486B-AA17-A659CABCF336}"/>
    <cellStyle name="Commentaire 2 2 14 2 2" xfId="35212" xr:uid="{C99701EF-B20B-4075-8979-CEE174207418}"/>
    <cellStyle name="Commentaire 2 2 14 3" xfId="30448" xr:uid="{9D1877D9-F387-423A-B8B1-C600E9766D96}"/>
    <cellStyle name="Commentaire 2 2 14 3 2" xfId="37293" xr:uid="{A6551EB5-0B7C-4CFA-90FC-1A8F7D87BCB9}"/>
    <cellStyle name="Commentaire 2 2 14 4" xfId="32530" xr:uid="{CC48D9E3-6240-4EE6-A572-19CD56E02F7B}"/>
    <cellStyle name="Commentaire 2 2 15" xfId="25332" xr:uid="{E8D3D33A-BAE0-418E-821E-75F624C16C29}"/>
    <cellStyle name="Commentaire 2 2 15 2" xfId="28001" xr:uid="{33B4E5B5-D0DD-4A27-A522-3CC898F7565A}"/>
    <cellStyle name="Commentaire 2 2 15 2 2" xfId="34846" xr:uid="{7E33937C-27C1-493E-A9D0-F3C76D760814}"/>
    <cellStyle name="Commentaire 2 2 15 3" xfId="30082" xr:uid="{63E06782-1012-44AC-BEB8-77BACACE284E}"/>
    <cellStyle name="Commentaire 2 2 15 3 2" xfId="36927" xr:uid="{84DE26A7-10FC-4798-A0A8-14BAAB3F5BC4}"/>
    <cellStyle name="Commentaire 2 2 15 4" xfId="32164" xr:uid="{4CC7DF74-91D6-4327-9C0D-502B4C2E195C}"/>
    <cellStyle name="Commentaire 2 2 16" xfId="25596" xr:uid="{953DC484-B280-4F36-8285-3DF0C6D1D456}"/>
    <cellStyle name="Commentaire 2 2 16 2" xfId="28263" xr:uid="{E62291E9-C7B5-4B38-828F-6E3992C404B8}"/>
    <cellStyle name="Commentaire 2 2 16 2 2" xfId="35108" xr:uid="{4C80955D-2009-4818-9C2C-88D076964F30}"/>
    <cellStyle name="Commentaire 2 2 16 3" xfId="30344" xr:uid="{A7B248C5-18FF-42BC-B11A-04690D533A8B}"/>
    <cellStyle name="Commentaire 2 2 16 3 2" xfId="37189" xr:uid="{19DA4286-99E1-4DD2-A81A-E5C6DB338251}"/>
    <cellStyle name="Commentaire 2 2 16 4" xfId="32426" xr:uid="{AD9D0596-33F3-4491-B8EC-E04BCAFB8928}"/>
    <cellStyle name="Commentaire 2 2 17" xfId="23671" xr:uid="{DDBAD1A5-836E-435D-A5E5-5109CC4E48C2}"/>
    <cellStyle name="Commentaire 2 2 2" xfId="17556" xr:uid="{71AF01C0-0250-4F94-98D8-567028B18C23}"/>
    <cellStyle name="Commentaire 2 2 2 10" xfId="25520" xr:uid="{9655C4BF-3498-40CE-AFC0-615A0549D6E4}"/>
    <cellStyle name="Commentaire 2 2 2 10 2" xfId="28187" xr:uid="{FE19576B-F426-4C23-9E1D-21C662BAD080}"/>
    <cellStyle name="Commentaire 2 2 2 10 2 2" xfId="35032" xr:uid="{F58CE249-B290-4A6D-8F25-4273F1423A6D}"/>
    <cellStyle name="Commentaire 2 2 2 10 3" xfId="30268" xr:uid="{08954E7E-EAE1-476B-ADA9-67A09214A037}"/>
    <cellStyle name="Commentaire 2 2 2 10 3 2" xfId="37113" xr:uid="{CB2C0E9B-3843-4B23-8B56-F691CEDD2EFC}"/>
    <cellStyle name="Commentaire 2 2 2 10 4" xfId="32350" xr:uid="{A0746AB2-82FB-4E8F-AFE9-D5F27BC4A255}"/>
    <cellStyle name="Commentaire 2 2 2 11" xfId="24066" xr:uid="{B4264F29-2AB3-4877-9C6B-9D3C72F346F1}"/>
    <cellStyle name="Commentaire 2 2 2 11 2" xfId="26679" xr:uid="{360559CB-B282-482D-B11E-56966CAC40B1}"/>
    <cellStyle name="Commentaire 2 2 2 11 2 2" xfId="33519" xr:uid="{241A7085-4F00-407D-8A94-D214CD8E4E93}"/>
    <cellStyle name="Commentaire 2 2 2 11 3" xfId="28755" xr:uid="{F4607A8F-E91B-43B8-AE4A-21B34C3D8305}"/>
    <cellStyle name="Commentaire 2 2 2 11 3 2" xfId="35600" xr:uid="{EBA43140-68C9-40BE-9EF5-B1D1E4D6CA0A}"/>
    <cellStyle name="Commentaire 2 2 2 11 4" xfId="30837" xr:uid="{B7CF9DF9-9EAD-4548-8D02-4F5D21D84964}"/>
    <cellStyle name="Commentaire 2 2 2 12" xfId="24059" xr:uid="{A9699264-4384-4A23-A3CC-6B9618984DA4}"/>
    <cellStyle name="Commentaire 2 2 2 12 2" xfId="26672" xr:uid="{E2D1E765-FEA1-49AD-BE6F-46861BC6982F}"/>
    <cellStyle name="Commentaire 2 2 2 12 2 2" xfId="33512" xr:uid="{2EF2E8C9-9B26-4868-97AF-B1109490A365}"/>
    <cellStyle name="Commentaire 2 2 2 12 3" xfId="28748" xr:uid="{9EE802F8-2BC3-4A16-AE3D-BB03736BDC4C}"/>
    <cellStyle name="Commentaire 2 2 2 12 3 2" xfId="35593" xr:uid="{169FAE3D-3F5F-43C5-8D40-274895AFECBF}"/>
    <cellStyle name="Commentaire 2 2 2 12 4" xfId="30830" xr:uid="{60E81D89-BDA1-4307-AD24-106AF3FECD1B}"/>
    <cellStyle name="Commentaire 2 2 2 13" xfId="25500" xr:uid="{8ADF788C-8426-4AD6-BBF0-3116E24A0EA2}"/>
    <cellStyle name="Commentaire 2 2 2 13 2" xfId="28167" xr:uid="{C6A7742B-D5ED-4DFD-B59B-B79ECDDC58C3}"/>
    <cellStyle name="Commentaire 2 2 2 13 2 2" xfId="35012" xr:uid="{29801A06-3B57-4847-98E2-124B6038BF2C}"/>
    <cellStyle name="Commentaire 2 2 2 13 3" xfId="30248" xr:uid="{A41935E8-29FD-446C-9AB9-2D27675B13CA}"/>
    <cellStyle name="Commentaire 2 2 2 13 3 2" xfId="37093" xr:uid="{FEEFEB65-F56C-42D2-9411-61D8D7656054}"/>
    <cellStyle name="Commentaire 2 2 2 13 4" xfId="32330" xr:uid="{5D3A4925-F9A2-435A-BB7C-EEC0F7A853D5}"/>
    <cellStyle name="Commentaire 2 2 2 14" xfId="24482" xr:uid="{082CA698-89D2-4039-A42E-46FF246D42A4}"/>
    <cellStyle name="Commentaire 2 2 2 14 2" xfId="27095" xr:uid="{8AD57314-F0BB-4052-B232-08290EC8F2D3}"/>
    <cellStyle name="Commentaire 2 2 2 14 2 2" xfId="33935" xr:uid="{20F4B7EF-CE49-4F06-A2F7-45C034777A2D}"/>
    <cellStyle name="Commentaire 2 2 2 14 3" xfId="29171" xr:uid="{779CDFD9-F167-4A25-A0FF-88536A732872}"/>
    <cellStyle name="Commentaire 2 2 2 14 3 2" xfId="36016" xr:uid="{464FC60C-B73E-44E1-8F01-FD961820C788}"/>
    <cellStyle name="Commentaire 2 2 2 14 4" xfId="31253" xr:uid="{629080F8-FD8F-4408-A483-4B54AF0932E9}"/>
    <cellStyle name="Commentaire 2 2 2 15" xfId="25932" xr:uid="{779E3451-1B5E-4563-8869-6843770ACB48}"/>
    <cellStyle name="Commentaire 2 2 2 15 2" xfId="28598" xr:uid="{6423AB5D-C9C7-4791-84BF-5F96C4C67A19}"/>
    <cellStyle name="Commentaire 2 2 2 15 2 2" xfId="35443" xr:uid="{F5202345-DDEE-4B31-B1A4-AF8EF2837091}"/>
    <cellStyle name="Commentaire 2 2 2 15 3" xfId="30679" xr:uid="{B2AE4093-C982-433E-8B45-D75868524CBE}"/>
    <cellStyle name="Commentaire 2 2 2 15 3 2" xfId="37524" xr:uid="{20B5FE98-A87A-4A73-9500-4747E1748AC8}"/>
    <cellStyle name="Commentaire 2 2 2 15 4" xfId="32761" xr:uid="{94B96CBE-1D9F-4633-962D-E6431B5596E2}"/>
    <cellStyle name="Commentaire 2 2 2 16" xfId="23646" xr:uid="{11F4D091-AD92-4965-A320-41DBB5773C56}"/>
    <cellStyle name="Commentaire 2 2 2 2" xfId="17827" xr:uid="{5C665537-3DF5-474E-9F60-D5C0AA301D9F}"/>
    <cellStyle name="Commentaire 2 2 2 2 10" xfId="25516" xr:uid="{94C3C950-EE0E-4E6A-BF1D-7AE82A620AE6}"/>
    <cellStyle name="Commentaire 2 2 2 2 10 2" xfId="28183" xr:uid="{F7EC1E9F-426F-4967-9274-9E51459A156D}"/>
    <cellStyle name="Commentaire 2 2 2 2 10 2 2" xfId="35028" xr:uid="{392B1EEF-D26A-40DA-BDDF-8BF0E0DAA8AE}"/>
    <cellStyle name="Commentaire 2 2 2 2 10 3" xfId="30264" xr:uid="{E5D06978-24B0-4D7C-8EC8-B674AED42D7F}"/>
    <cellStyle name="Commentaire 2 2 2 2 10 3 2" xfId="37109" xr:uid="{7140E7BB-740E-47D1-ACB4-25C6090970FB}"/>
    <cellStyle name="Commentaire 2 2 2 2 10 4" xfId="32346" xr:uid="{B5899CEA-9322-4598-96CA-B7B53735FA5F}"/>
    <cellStyle name="Commentaire 2 2 2 2 11" xfId="25651" xr:uid="{CAB4A254-4F14-4B79-96FC-FA4DF83BA010}"/>
    <cellStyle name="Commentaire 2 2 2 2 11 2" xfId="28318" xr:uid="{B0579495-C9B7-4D56-801A-AC1ED7E9857A}"/>
    <cellStyle name="Commentaire 2 2 2 2 11 2 2" xfId="35163" xr:uid="{65E4C341-66C4-4310-9BB8-C40B1D1129CF}"/>
    <cellStyle name="Commentaire 2 2 2 2 11 3" xfId="30399" xr:uid="{76B9CE0A-D1B4-413A-A3E4-CC7382A91F49}"/>
    <cellStyle name="Commentaire 2 2 2 2 11 3 2" xfId="37244" xr:uid="{B75A9253-8383-464D-B98C-7AB67F891AD2}"/>
    <cellStyle name="Commentaire 2 2 2 2 11 4" xfId="32481" xr:uid="{FA0D2DF2-3384-4067-8A28-1A38E989DEBD}"/>
    <cellStyle name="Commentaire 2 2 2 2 12" xfId="25756" xr:uid="{C91D788D-F953-4A10-9E89-6767EF3FEEF0}"/>
    <cellStyle name="Commentaire 2 2 2 2 12 2" xfId="28422" xr:uid="{1FC5C72C-DF82-4554-8988-02C3E5A46D4F}"/>
    <cellStyle name="Commentaire 2 2 2 2 12 2 2" xfId="35267" xr:uid="{B402AB2F-376C-4E05-8939-1CBC09D14A71}"/>
    <cellStyle name="Commentaire 2 2 2 2 12 3" xfId="30503" xr:uid="{7DA3B0F5-CA2D-44E1-AF65-7786746204BD}"/>
    <cellStyle name="Commentaire 2 2 2 2 12 3 2" xfId="37348" xr:uid="{A1B107A7-7170-4263-9315-88766900FBA9}"/>
    <cellStyle name="Commentaire 2 2 2 2 12 4" xfId="32585" xr:uid="{25F3E385-45BB-435B-A084-06974208AF62}"/>
    <cellStyle name="Commentaire 2 2 2 2 13" xfId="25833" xr:uid="{52EAE98D-80E0-4FDB-A674-92E5601B51BB}"/>
    <cellStyle name="Commentaire 2 2 2 2 13 2" xfId="28499" xr:uid="{D2A509C8-BCBA-426D-B6F6-F34B04450E53}"/>
    <cellStyle name="Commentaire 2 2 2 2 13 2 2" xfId="35344" xr:uid="{E1FA4558-4A75-405E-ACFA-DF38FC0ADFEA}"/>
    <cellStyle name="Commentaire 2 2 2 2 13 3" xfId="30580" xr:uid="{170FA49A-48CD-4AA2-B7A5-6991DE6F1D6B}"/>
    <cellStyle name="Commentaire 2 2 2 2 13 3 2" xfId="37425" xr:uid="{682C3B8E-1E37-4232-B8DC-AFC869F459FA}"/>
    <cellStyle name="Commentaire 2 2 2 2 13 4" xfId="32662" xr:uid="{B8326A07-87AE-49FD-838E-9495D203D7D9}"/>
    <cellStyle name="Commentaire 2 2 2 2 14" xfId="24387" xr:uid="{9D322E88-DD63-4C64-8D68-5C28D26DAAE3}"/>
    <cellStyle name="Commentaire 2 2 2 2 14 2" xfId="27004" xr:uid="{0B5E66D7-EA08-4B22-A247-62E32EEF60A4}"/>
    <cellStyle name="Commentaire 2 2 2 2 14 2 2" xfId="33844" xr:uid="{834E2EE1-E62E-483D-BC5F-B712AB94CF8F}"/>
    <cellStyle name="Commentaire 2 2 2 2 14 3" xfId="29080" xr:uid="{452EBC2F-4034-4E40-9B27-53F0B47ED7B2}"/>
    <cellStyle name="Commentaire 2 2 2 2 14 3 2" xfId="35925" xr:uid="{E99EE3B4-B457-483C-AF30-F0B2F0621A51}"/>
    <cellStyle name="Commentaire 2 2 2 2 14 4" xfId="31162" xr:uid="{E326F704-C210-4DED-9E8F-664FD839EB36}"/>
    <cellStyle name="Commentaire 2 2 2 2 15" xfId="25961" xr:uid="{350C26E0-E37C-41D7-9620-4220EC51241E}"/>
    <cellStyle name="Commentaire 2 2 2 2 15 2" xfId="28627" xr:uid="{48696237-CF99-45D4-8CDE-99BA7F1EC601}"/>
    <cellStyle name="Commentaire 2 2 2 2 15 2 2" xfId="35472" xr:uid="{B7510552-B2B9-4001-A1C2-C8111F6CA02E}"/>
    <cellStyle name="Commentaire 2 2 2 2 15 3" xfId="30708" xr:uid="{77B202B7-4BCC-4A45-87EB-4974F6320312}"/>
    <cellStyle name="Commentaire 2 2 2 2 15 3 2" xfId="37553" xr:uid="{1E60C2DB-B6EF-40B1-A6D3-DA20EC215283}"/>
    <cellStyle name="Commentaire 2 2 2 2 15 4" xfId="32790" xr:uid="{400D75F1-2B64-49F1-8EBC-C6A14DD7EEA1}"/>
    <cellStyle name="Commentaire 2 2 2 2 16" xfId="26015" xr:uid="{44B770B1-333F-4033-BA48-9C2A8AA17550}"/>
    <cellStyle name="Commentaire 2 2 2 2 16 2" xfId="28681" xr:uid="{514D5FDB-0BD5-4D2B-A8BA-B6DFD876F942}"/>
    <cellStyle name="Commentaire 2 2 2 2 16 2 2" xfId="35526" xr:uid="{F59BF57F-8290-4167-83C9-97A5BDCFAC41}"/>
    <cellStyle name="Commentaire 2 2 2 2 16 3" xfId="30762" xr:uid="{B765AD82-A357-40D4-ABF7-6346CA9D3C95}"/>
    <cellStyle name="Commentaire 2 2 2 2 16 3 2" xfId="37607" xr:uid="{C1E52E7E-50FA-4B02-B766-9FCB7266EC6C}"/>
    <cellStyle name="Commentaire 2 2 2 2 16 4" xfId="32844" xr:uid="{68A1C495-ABCC-4C89-9E29-12928F8B2A32}"/>
    <cellStyle name="Commentaire 2 2 2 2 17" xfId="23049" xr:uid="{6577C24E-3458-44B3-8AD5-E306A0DAE4E8}"/>
    <cellStyle name="Commentaire 2 2 2 2 2" xfId="18815" xr:uid="{6C1A5B99-37C2-491B-94C2-2C02D35D9CAF}"/>
    <cellStyle name="Commentaire 2 2 2 2 2 10" xfId="20842" xr:uid="{82DA4C47-8BE0-4B7D-9520-D110F06BE67C}"/>
    <cellStyle name="Commentaire 2 2 2 2 2 11" xfId="21827" xr:uid="{C9C97107-0EA7-4315-957B-BFC31572FB49}"/>
    <cellStyle name="Commentaire 2 2 2 2 2 12" xfId="22846" xr:uid="{0EBD839C-C28B-4DE9-BF40-1505E9175EE7}"/>
    <cellStyle name="Commentaire 2 2 2 2 2 13" xfId="21855" xr:uid="{F5C74ED1-D222-410B-B492-060DAA291D8D}"/>
    <cellStyle name="Commentaire 2 2 2 2 2 14" xfId="22980" xr:uid="{921E66BD-2E72-4A14-BA84-0E679D603F1E}"/>
    <cellStyle name="Commentaire 2 2 2 2 2 15" xfId="22029" xr:uid="{356445D2-0DC3-40F3-8D1E-BA0ABEA4724C}"/>
    <cellStyle name="Commentaire 2 2 2 2 2 16" xfId="31497" xr:uid="{9138D3CF-8640-4480-B2BA-AC9F6F443499}"/>
    <cellStyle name="Commentaire 2 2 2 2 2 2" xfId="19746" xr:uid="{4C55E6E6-63B4-45E6-9C3C-A56164599F47}"/>
    <cellStyle name="Commentaire 2 2 2 2 2 2 2" xfId="27335" xr:uid="{3D034AE6-19DC-4540-9797-E07399426E4E}"/>
    <cellStyle name="Commentaire 2 2 2 2 2 2 3" xfId="34179" xr:uid="{8C49A7CF-A431-4F1F-BC40-AC5D768ADCC0}"/>
    <cellStyle name="Commentaire 2 2 2 2 2 3" xfId="21636" xr:uid="{F5A0601B-9B62-4674-A31B-A7CDCC4D46F1}"/>
    <cellStyle name="Commentaire 2 2 2 2 2 3 2" xfId="29415" xr:uid="{DEA4B407-358C-4259-AA26-DDC6F12F9714}"/>
    <cellStyle name="Commentaire 2 2 2 2 2 3 3" xfId="36260" xr:uid="{C60773AD-C63C-49DE-8622-6C3D6C461497}"/>
    <cellStyle name="Commentaire 2 2 2 2 2 4" xfId="20223" xr:uid="{599A07F0-54F3-47CF-A3F9-F7BB04BA6928}"/>
    <cellStyle name="Commentaire 2 2 2 2 2 5" xfId="19442" xr:uid="{8E2F313E-A323-4E41-AD17-52533434175C}"/>
    <cellStyle name="Commentaire 2 2 2 2 2 6" xfId="21838" xr:uid="{DB8182D2-C5EB-49A8-A729-2CDF7F640CEB}"/>
    <cellStyle name="Commentaire 2 2 2 2 2 7" xfId="20417" xr:uid="{83E20776-F8D9-4CF3-A139-9EC4FA64115F}"/>
    <cellStyle name="Commentaire 2 2 2 2 2 8" xfId="20760" xr:uid="{AF5C565B-D4DD-484A-8F80-6872FF298CA7}"/>
    <cellStyle name="Commentaire 2 2 2 2 2 9" xfId="22602" xr:uid="{EB629EF5-DFAF-4767-8984-B7E0E92E5CC3}"/>
    <cellStyle name="Commentaire 2 2 2 2 3" xfId="24731" xr:uid="{4A209425-F5A2-43D8-B5F1-65F3EF0DF4C5}"/>
    <cellStyle name="Commentaire 2 2 2 2 3 2" xfId="27378" xr:uid="{C53377CD-CF59-48DF-B6EB-28A70C2F393C}"/>
    <cellStyle name="Commentaire 2 2 2 2 3 2 2" xfId="34222" xr:uid="{D9E6C8C1-203D-451A-B2E2-F16C43BC3E9F}"/>
    <cellStyle name="Commentaire 2 2 2 2 3 3" xfId="29458" xr:uid="{77FD05C7-418E-4CE7-A5EA-6E9DC845E705}"/>
    <cellStyle name="Commentaire 2 2 2 2 3 3 2" xfId="36303" xr:uid="{C904E057-A159-4570-9965-A80C45712C18}"/>
    <cellStyle name="Commentaire 2 2 2 2 3 4" xfId="31540" xr:uid="{12D0B6B4-4191-4128-A9CA-4251F81E34C2}"/>
    <cellStyle name="Commentaire 2 2 2 2 4" xfId="23843" xr:uid="{11F9A2B8-5F67-4B5C-8BF8-B485E94E5092}"/>
    <cellStyle name="Commentaire 2 2 2 2 4 2" xfId="26463" xr:uid="{2E4EBB17-0519-4A1E-8D2E-8A4FDBBC3D71}"/>
    <cellStyle name="Commentaire 2 2 2 2 4 2 2" xfId="33303" xr:uid="{8DB13609-9F55-4117-8E2B-94CFB1B0BEA3}"/>
    <cellStyle name="Commentaire 2 2 2 2 4 3" xfId="26220" xr:uid="{9E681019-4E42-4BBD-9CD4-B34F774B1487}"/>
    <cellStyle name="Commentaire 2 2 2 2 4 3 2" xfId="33048" xr:uid="{D8983AB6-9F10-44BB-AC37-BDB401A21283}"/>
    <cellStyle name="Commentaire 2 2 2 2 4 4" xfId="23342" xr:uid="{B488B35B-B8E1-4C91-A8F3-23B41E5D1377}"/>
    <cellStyle name="Commentaire 2 2 2 2 5" xfId="25107" xr:uid="{373ABDAD-71FC-4433-8073-64E6A564D7C9}"/>
    <cellStyle name="Commentaire 2 2 2 2 5 2" xfId="27779" xr:uid="{FE71318B-C868-433E-953F-B1467533AEBB}"/>
    <cellStyle name="Commentaire 2 2 2 2 5 2 2" xfId="34624" xr:uid="{1E9EFB11-8AF6-4FDD-A464-7B0D76912D25}"/>
    <cellStyle name="Commentaire 2 2 2 2 5 3" xfId="29860" xr:uid="{0DB7C4BA-156C-4506-B871-09315B1F8320}"/>
    <cellStyle name="Commentaire 2 2 2 2 5 3 2" xfId="36705" xr:uid="{C04C95D5-FF07-4C42-9F04-1932D09A0860}"/>
    <cellStyle name="Commentaire 2 2 2 2 5 4" xfId="31942" xr:uid="{47832CC7-0AA2-4955-B8EB-4DF806DD64AE}"/>
    <cellStyle name="Commentaire 2 2 2 2 6" xfId="24501" xr:uid="{F19A75D1-E481-48F7-AA6E-56C490A6346E}"/>
    <cellStyle name="Commentaire 2 2 2 2 6 2" xfId="27112" xr:uid="{5A5E384A-93E9-436C-9DB6-8138FBD9C6CD}"/>
    <cellStyle name="Commentaire 2 2 2 2 6 2 2" xfId="33952" xr:uid="{1A574A98-6EB1-4B92-9D59-043351939504}"/>
    <cellStyle name="Commentaire 2 2 2 2 6 3" xfId="29188" xr:uid="{F4CAA92B-35A2-4080-BED8-1C6B149F4494}"/>
    <cellStyle name="Commentaire 2 2 2 2 6 3 2" xfId="36033" xr:uid="{44491BFE-FA0B-4ECD-855D-F2D40B7A605A}"/>
    <cellStyle name="Commentaire 2 2 2 2 6 4" xfId="31270" xr:uid="{8720EAB4-319A-4376-B9C8-B497788F5CFE}"/>
    <cellStyle name="Commentaire 2 2 2 2 7" xfId="24774" xr:uid="{8B6DC0FE-B246-429C-A5B9-5598F7FB79FD}"/>
    <cellStyle name="Commentaire 2 2 2 2 7 2" xfId="27426" xr:uid="{EB5FFBC3-9460-4170-8457-B50AED8C756D}"/>
    <cellStyle name="Commentaire 2 2 2 2 7 2 2" xfId="34270" xr:uid="{1BDBEDFB-0008-4356-86E7-8AF41E70C57A}"/>
    <cellStyle name="Commentaire 2 2 2 2 7 3" xfId="29506" xr:uid="{4C019FDD-477E-42A8-9027-0C581BC1DCF3}"/>
    <cellStyle name="Commentaire 2 2 2 2 7 3 2" xfId="36351" xr:uid="{73E9363F-9B5B-4985-B73F-BC98A88C802F}"/>
    <cellStyle name="Commentaire 2 2 2 2 7 4" xfId="31588" xr:uid="{C494D0CF-A65A-4A69-8B6A-0934E0DE8761}"/>
    <cellStyle name="Commentaire 2 2 2 2 8" xfId="23770" xr:uid="{0A65B913-A12E-4DD3-8F53-F7082699EBB5}"/>
    <cellStyle name="Commentaire 2 2 2 2 8 2" xfId="26381" xr:uid="{166E5FDF-15B5-4E77-A8DB-64E556BF7B02}"/>
    <cellStyle name="Commentaire 2 2 2 2 8 2 2" xfId="33220" xr:uid="{4C30A5D3-7E18-4587-A64A-7653C720C2AB}"/>
    <cellStyle name="Commentaire 2 2 2 2 8 3" xfId="26301" xr:uid="{F43F4398-5790-4433-AF38-117D993F5E39}"/>
    <cellStyle name="Commentaire 2 2 2 2 8 3 2" xfId="33129" xr:uid="{3709385C-4037-4F3D-B49F-015E50BC4F8A}"/>
    <cellStyle name="Commentaire 2 2 2 2 8 4" xfId="23423" xr:uid="{51035F3E-4E04-4773-AA7F-678689746664}"/>
    <cellStyle name="Commentaire 2 2 2 2 9" xfId="23999" xr:uid="{24CC9C7D-667A-44EC-9007-60E3F84842EB}"/>
    <cellStyle name="Commentaire 2 2 2 2 9 2" xfId="26616" xr:uid="{692BD253-A2F5-405D-AA6B-12480C7B61A9}"/>
    <cellStyle name="Commentaire 2 2 2 2 9 2 2" xfId="33456" xr:uid="{22CFD2C7-9AA8-4CCE-81D3-B938F3281388}"/>
    <cellStyle name="Commentaire 2 2 2 2 9 3" xfId="26077" xr:uid="{D1A49A30-4239-4B61-A076-D00B6D2F3CF8}"/>
    <cellStyle name="Commentaire 2 2 2 2 9 3 2" xfId="32905" xr:uid="{7D642A4C-32F2-4C5F-BB51-164AEBC1C3A7}"/>
    <cellStyle name="Commentaire 2 2 2 2 9 4" xfId="23199" xr:uid="{013CEF7F-7155-41BC-A663-818C1CCEA466}"/>
    <cellStyle name="Commentaire 2 2 2 3" xfId="18621" xr:uid="{88F35787-8069-4326-8C36-E147360AC330}"/>
    <cellStyle name="Commentaire 2 2 2 3 10" xfId="20280" xr:uid="{B7B53E41-5CAC-4E33-91DF-5E549CDD33F6}"/>
    <cellStyle name="Commentaire 2 2 2 3 11" xfId="21527" xr:uid="{2079A2ED-4414-42C5-A6D9-77987D7CFC23}"/>
    <cellStyle name="Commentaire 2 2 2 3 12" xfId="22757" xr:uid="{1DD6EF4B-7180-4FA5-A68A-1B3929D8B060}"/>
    <cellStyle name="Commentaire 2 2 2 3 13" xfId="20481" xr:uid="{AE657E19-5CAF-46B6-A5D4-5B9E6513B8FD}"/>
    <cellStyle name="Commentaire 2 2 2 3 14" xfId="22893" xr:uid="{D9E1111F-CA4B-4E94-A22F-2E49654F5D42}"/>
    <cellStyle name="Commentaire 2 2 2 3 15" xfId="22363" xr:uid="{65383E67-99DD-4BD4-96B0-98873EA7C177}"/>
    <cellStyle name="Commentaire 2 2 2 3 16" xfId="31370" xr:uid="{098C4788-AA27-4521-A3CC-AF59098029D3}"/>
    <cellStyle name="Commentaire 2 2 2 3 2" xfId="19846" xr:uid="{A15DCE9A-7CDC-49D7-84A7-5AC11111BEC1}"/>
    <cellStyle name="Commentaire 2 2 2 3 2 2" xfId="27211" xr:uid="{65D98839-9D0E-45A0-93BB-4E2AD933533D}"/>
    <cellStyle name="Commentaire 2 2 2 3 2 3" xfId="34052" xr:uid="{717D9838-D5A4-4220-96A6-26FBE1EBD7D0}"/>
    <cellStyle name="Commentaire 2 2 2 3 3" xfId="19512" xr:uid="{3596B4EB-F0B2-4A28-A4F8-D0D81AACB617}"/>
    <cellStyle name="Commentaire 2 2 2 3 3 2" xfId="29288" xr:uid="{0672C4E5-90AF-4D45-870E-365B416BFBE4}"/>
    <cellStyle name="Commentaire 2 2 2 3 3 3" xfId="36133" xr:uid="{73DD4113-CF41-469F-B465-220B479502FC}"/>
    <cellStyle name="Commentaire 2 2 2 3 4" xfId="22026" xr:uid="{D0F87872-738E-4604-890C-E50D75B96577}"/>
    <cellStyle name="Commentaire 2 2 2 3 5" xfId="20703" xr:uid="{C2C3AD71-A274-4F5C-9F70-D8C01073D363}"/>
    <cellStyle name="Commentaire 2 2 2 3 6" xfId="18895" xr:uid="{F2C9E6C5-1DE8-44C9-A81C-07BE9D0A3266}"/>
    <cellStyle name="Commentaire 2 2 2 3 7" xfId="19707" xr:uid="{5B7E18EB-1F77-4BAF-9606-762F440135AB}"/>
    <cellStyle name="Commentaire 2 2 2 3 8" xfId="21291" xr:uid="{A3907DBC-80BC-48E4-8203-5EE0C2AA8F69}"/>
    <cellStyle name="Commentaire 2 2 2 3 9" xfId="22494" xr:uid="{52D29A40-BF36-490A-9981-38D466BB5769}"/>
    <cellStyle name="Commentaire 2 2 2 4" xfId="24594" xr:uid="{DAD074A9-0891-40E4-B0FA-703E2BD68679}"/>
    <cellStyle name="Commentaire 2 2 2 4 2" xfId="27177" xr:uid="{345D53CC-7E61-4822-9AEB-C097BA2F3501}"/>
    <cellStyle name="Commentaire 2 2 2 4 2 2" xfId="34018" xr:uid="{5442DB91-AF21-4FE2-93CD-030CA1415400}"/>
    <cellStyle name="Commentaire 2 2 2 4 3" xfId="29254" xr:uid="{77E5D236-B2AC-455C-9BBD-CE3AC2CA317B}"/>
    <cellStyle name="Commentaire 2 2 2 4 3 2" xfId="36099" xr:uid="{93BB54FE-F1F4-47AC-BC32-D44632629B8B}"/>
    <cellStyle name="Commentaire 2 2 2 4 4" xfId="31336" xr:uid="{3DF50C3C-2D66-4C6E-B35A-ED146E7FE071}"/>
    <cellStyle name="Commentaire 2 2 2 5" xfId="24386" xr:uid="{7299FDB1-CBEE-429C-A098-D5A98306532C}"/>
    <cellStyle name="Commentaire 2 2 2 5 2" xfId="27003" xr:uid="{894E2727-2AE4-4AD3-955D-B69A79A83B4D}"/>
    <cellStyle name="Commentaire 2 2 2 5 2 2" xfId="33843" xr:uid="{CBA66DED-AC5B-4CB7-A17A-FC60FFBF2431}"/>
    <cellStyle name="Commentaire 2 2 2 5 3" xfId="29079" xr:uid="{92F9A2E0-43CC-40E8-8794-C6312984BE3E}"/>
    <cellStyle name="Commentaire 2 2 2 5 3 2" xfId="35924" xr:uid="{BA8ACD45-AD32-4065-9940-3396316E895A}"/>
    <cellStyle name="Commentaire 2 2 2 5 4" xfId="31161" xr:uid="{24D09A29-8DE5-4134-B8C3-CFDB67B71448}"/>
    <cellStyle name="Commentaire 2 2 2 6" xfId="25139" xr:uid="{4D423007-9FF8-4B26-A280-071BDEE60F64}"/>
    <cellStyle name="Commentaire 2 2 2 6 2" xfId="27811" xr:uid="{BFCBF9D4-620C-4564-A36D-2087107DFF43}"/>
    <cellStyle name="Commentaire 2 2 2 6 2 2" xfId="34656" xr:uid="{1C8D65DF-E5EA-4F86-8AE3-AB60B11F33F0}"/>
    <cellStyle name="Commentaire 2 2 2 6 3" xfId="29892" xr:uid="{4B92970F-864C-4BB0-82BD-B77D20CA881E}"/>
    <cellStyle name="Commentaire 2 2 2 6 3 2" xfId="36737" xr:uid="{27C50492-26D8-4A70-83FF-03009F0C62B2}"/>
    <cellStyle name="Commentaire 2 2 2 6 4" xfId="31974" xr:uid="{9F885AB4-9DFC-4CE8-B3EA-9C185F229F91}"/>
    <cellStyle name="Commentaire 2 2 2 7" xfId="25034" xr:uid="{D574CC7A-4F15-49BD-B474-F25267A9CB32}"/>
    <cellStyle name="Commentaire 2 2 2 7 2" xfId="27707" xr:uid="{57063468-AC1D-4CFE-AE98-5EE84316E539}"/>
    <cellStyle name="Commentaire 2 2 2 7 2 2" xfId="34552" xr:uid="{EDD9691E-CA4A-47A3-8ED2-5651818057BF}"/>
    <cellStyle name="Commentaire 2 2 2 7 3" xfId="29788" xr:uid="{A813779C-AB08-47AB-8D87-E9851708AFE7}"/>
    <cellStyle name="Commentaire 2 2 2 7 3 2" xfId="36633" xr:uid="{67EE5880-F2D8-4462-903B-B9942E1D19A2}"/>
    <cellStyle name="Commentaire 2 2 2 7 4" xfId="31870" xr:uid="{2F62CBEB-0861-451C-97D9-1C69FF3223C5}"/>
    <cellStyle name="Commentaire 2 2 2 8" xfId="24278" xr:uid="{BE1CF59D-219A-4543-A3D1-858421443FC4}"/>
    <cellStyle name="Commentaire 2 2 2 8 2" xfId="26885" xr:uid="{59A3F9DE-C52A-4826-89C5-273305543371}"/>
    <cellStyle name="Commentaire 2 2 2 8 2 2" xfId="33725" xr:uid="{FE07419C-C748-4225-9E5D-4371A7B4C696}"/>
    <cellStyle name="Commentaire 2 2 2 8 3" xfId="28961" xr:uid="{2800CC5F-BA8D-49C3-8DDC-1D36891E326B}"/>
    <cellStyle name="Commentaire 2 2 2 8 3 2" xfId="35806" xr:uid="{266AD965-CAAB-46F2-9ABE-B79A80778772}"/>
    <cellStyle name="Commentaire 2 2 2 8 4" xfId="31043" xr:uid="{BF3FF88B-15EF-4665-84D9-8A77B5DA28F6}"/>
    <cellStyle name="Commentaire 2 2 2 9" xfId="25297" xr:uid="{3332427C-90C2-4388-9F05-820F678FD655}"/>
    <cellStyle name="Commentaire 2 2 2 9 2" xfId="27968" xr:uid="{FDBD96EF-6B7D-4FB4-BB62-D7B9E7C4D862}"/>
    <cellStyle name="Commentaire 2 2 2 9 2 2" xfId="34813" xr:uid="{87BB4F76-74AB-4CFC-BDBE-2BE20BF2E9F8}"/>
    <cellStyle name="Commentaire 2 2 2 9 3" xfId="30049" xr:uid="{8468C258-13CE-4F47-87D0-7764F87CECDC}"/>
    <cellStyle name="Commentaire 2 2 2 9 3 2" xfId="36894" xr:uid="{51348121-C9BD-4FA1-9221-2FFDA286E49F}"/>
    <cellStyle name="Commentaire 2 2 2 9 4" xfId="32131" xr:uid="{1F04EF3A-5F1B-49F0-94E4-66DE19A6334E}"/>
    <cellStyle name="Commentaire 2 2 3" xfId="17789" xr:uid="{689BE1D2-8B57-47AD-8AAD-5305EBF389CB}"/>
    <cellStyle name="Commentaire 2 2 3 10" xfId="25568" xr:uid="{B25ABF4A-F75B-49E8-83DA-F7A2492C9506}"/>
    <cellStyle name="Commentaire 2 2 3 10 2" xfId="28235" xr:uid="{51E604B5-7B48-4451-992B-DF4F4C91721F}"/>
    <cellStyle name="Commentaire 2 2 3 10 2 2" xfId="35080" xr:uid="{CC4CEB39-BC12-42BA-8181-95E6D15C5F68}"/>
    <cellStyle name="Commentaire 2 2 3 10 3" xfId="30316" xr:uid="{6AC27CA7-A2D1-4640-88E1-0335EE97A3E4}"/>
    <cellStyle name="Commentaire 2 2 3 10 3 2" xfId="37161" xr:uid="{906EB783-3A0A-43A0-9175-FF4371AA5BE6}"/>
    <cellStyle name="Commentaire 2 2 3 10 4" xfId="32398" xr:uid="{5362CE1D-B45D-4D1B-8025-2972040E559C}"/>
    <cellStyle name="Commentaire 2 2 3 11" xfId="25622" xr:uid="{FD813C78-C7DE-47C4-90C7-12F0764016D1}"/>
    <cellStyle name="Commentaire 2 2 3 11 2" xfId="28289" xr:uid="{D2B0200F-DC1E-45AF-89CC-927E33D8B281}"/>
    <cellStyle name="Commentaire 2 2 3 11 2 2" xfId="35134" xr:uid="{DC77130A-884E-42AD-896A-7EEB4772A76F}"/>
    <cellStyle name="Commentaire 2 2 3 11 3" xfId="30370" xr:uid="{50493988-3CC1-4F15-96D6-448EA5853D54}"/>
    <cellStyle name="Commentaire 2 2 3 11 3 2" xfId="37215" xr:uid="{A23516A4-6CBF-4643-913D-6C640DA2EF77}"/>
    <cellStyle name="Commentaire 2 2 3 11 4" xfId="32452" xr:uid="{90784C3B-CE33-4D78-9EFB-C90BCFE02D36}"/>
    <cellStyle name="Commentaire 2 2 3 12" xfId="25726" xr:uid="{17F860BB-CFC8-4F29-8BD6-8A780095A380}"/>
    <cellStyle name="Commentaire 2 2 3 12 2" xfId="28393" xr:uid="{B8D73D8C-6321-4E36-83C4-9612AFA09D71}"/>
    <cellStyle name="Commentaire 2 2 3 12 2 2" xfId="35238" xr:uid="{9BF43C34-4E19-4387-8F93-C0404AA29D9F}"/>
    <cellStyle name="Commentaire 2 2 3 12 3" xfId="30474" xr:uid="{D3FA9357-7194-4331-8FC8-53006A2493F2}"/>
    <cellStyle name="Commentaire 2 2 3 12 3 2" xfId="37319" xr:uid="{DF8D0B97-D441-4977-8106-03C94CC90BF5}"/>
    <cellStyle name="Commentaire 2 2 3 12 4" xfId="32556" xr:uid="{9A54B029-A419-497A-B890-A0F01F703A80}"/>
    <cellStyle name="Commentaire 2 2 3 13" xfId="25803" xr:uid="{127A18D9-5DB6-4E1B-8BDF-61F14FD229DD}"/>
    <cellStyle name="Commentaire 2 2 3 13 2" xfId="28469" xr:uid="{D21D6CB8-87EA-4603-A5BF-2712FBDFDD5E}"/>
    <cellStyle name="Commentaire 2 2 3 13 2 2" xfId="35314" xr:uid="{12346DC8-CA83-4B88-8710-949F91650AC7}"/>
    <cellStyle name="Commentaire 2 2 3 13 3" xfId="30550" xr:uid="{FA6A0AEC-0A95-4D88-83C9-88D4FE3AC266}"/>
    <cellStyle name="Commentaire 2 2 3 13 3 2" xfId="37395" xr:uid="{DB84137C-0B02-4191-AEAD-36FA1051FDC5}"/>
    <cellStyle name="Commentaire 2 2 3 13 4" xfId="32632" xr:uid="{05262BF4-BEB5-4B2B-A25B-E5559D3D942B}"/>
    <cellStyle name="Commentaire 2 2 3 14" xfId="23948" xr:uid="{5946612B-31FF-4050-9277-F6729E7D8A33}"/>
    <cellStyle name="Commentaire 2 2 3 14 2" xfId="26566" xr:uid="{4F13236A-5E62-4FAB-AF6B-D2B7A7BDAAD0}"/>
    <cellStyle name="Commentaire 2 2 3 14 2 2" xfId="33406" xr:uid="{25221DD3-1CC4-4F79-9942-A81A50287776}"/>
    <cellStyle name="Commentaire 2 2 3 14 3" xfId="26119" xr:uid="{057DA30E-C129-441A-885D-8CEA68AB370A}"/>
    <cellStyle name="Commentaire 2 2 3 14 3 2" xfId="32947" xr:uid="{303A2E73-8574-43EC-985A-CF5C8A30D2A8}"/>
    <cellStyle name="Commentaire 2 2 3 14 4" xfId="23241" xr:uid="{4C45CC5B-79A3-4308-97F2-1A18B6886D87}"/>
    <cellStyle name="Commentaire 2 2 3 15" xfId="25935" xr:uid="{59EAB97E-FE84-470E-9996-FB75B17CEC52}"/>
    <cellStyle name="Commentaire 2 2 3 15 2" xfId="28601" xr:uid="{F05E7B05-8A1D-48FB-85B6-0A59F49214A9}"/>
    <cellStyle name="Commentaire 2 2 3 15 2 2" xfId="35446" xr:uid="{869438B1-E9F1-4493-9C50-DAEB0CC2CFA5}"/>
    <cellStyle name="Commentaire 2 2 3 15 3" xfId="30682" xr:uid="{88315B6C-289E-4F8B-9A53-07633D4C561F}"/>
    <cellStyle name="Commentaire 2 2 3 15 3 2" xfId="37527" xr:uid="{6B790DB5-C65A-4ED2-9D49-E51527CD3F60}"/>
    <cellStyle name="Commentaire 2 2 3 15 4" xfId="32764" xr:uid="{4841A93E-8A3D-4392-B936-1DEBEF5FC1EE}"/>
    <cellStyle name="Commentaire 2 2 3 16" xfId="25989" xr:uid="{B16A0906-5C20-49BE-BD11-603028C5F2C7}"/>
    <cellStyle name="Commentaire 2 2 3 16 2" xfId="28655" xr:uid="{3284408B-E7B9-4C4A-AF0E-A1D26BF4DBF9}"/>
    <cellStyle name="Commentaire 2 2 3 16 2 2" xfId="35500" xr:uid="{EA5ED524-3FA2-4FBD-9376-538B07C200D0}"/>
    <cellStyle name="Commentaire 2 2 3 16 3" xfId="30736" xr:uid="{0959C1A5-917C-455F-9061-A7E688A8819E}"/>
    <cellStyle name="Commentaire 2 2 3 16 3 2" xfId="37581" xr:uid="{369AB16B-146B-40B6-932C-B5A7A21C92FD}"/>
    <cellStyle name="Commentaire 2 2 3 16 4" xfId="32818" xr:uid="{A0F2EBB5-C922-4632-8558-AB73B6332017}"/>
    <cellStyle name="Commentaire 2 2 3 17" xfId="23055" xr:uid="{DD3C3364-913B-4C92-95C7-26A0E208FA4A}"/>
    <cellStyle name="Commentaire 2 2 3 2" xfId="18466" xr:uid="{C6D40728-7861-4E22-AF2F-FBBFF47A25CF}"/>
    <cellStyle name="Commentaire 2 2 3 2 10" xfId="22257" xr:uid="{DB3FB979-53CE-4D1F-A8D7-C84440C3BAE1}"/>
    <cellStyle name="Commentaire 2 2 3 2 11" xfId="22023" xr:uid="{404A893D-82EE-4393-992C-DC83729351C2}"/>
    <cellStyle name="Commentaire 2 2 3 2 12" xfId="20446" xr:uid="{A4E04951-515B-43C2-8772-983BADF8B9F7}"/>
    <cellStyle name="Commentaire 2 2 3 2 13" xfId="22521" xr:uid="{AEC87774-2DBD-48F7-A6F4-EE8AB2DD8B0A}"/>
    <cellStyle name="Commentaire 2 2 3 2 14" xfId="22321" xr:uid="{1FEB8BF1-737E-4669-ADBF-8883B85698CE}"/>
    <cellStyle name="Commentaire 2 2 3 2 15" xfId="22998" xr:uid="{DF2A817D-06A5-4366-8F35-E6DB620F8DE0}"/>
    <cellStyle name="Commentaire 2 2 3 2 16" xfId="31467" xr:uid="{6F99708D-2C38-488D-B10A-FA1C67ED871C}"/>
    <cellStyle name="Commentaire 2 2 3 2 2" xfId="19910" xr:uid="{B64CD317-1AA8-41D4-BDD5-52675CC2F0BE}"/>
    <cellStyle name="Commentaire 2 2 3 2 2 2" xfId="27305" xr:uid="{C423A199-2CEF-4BDC-AF4F-0CB53F9EC457}"/>
    <cellStyle name="Commentaire 2 2 3 2 2 3" xfId="34149" xr:uid="{5E2C5E54-8902-4997-A5BD-24D9146B17AA}"/>
    <cellStyle name="Commentaire 2 2 3 2 3" xfId="21707" xr:uid="{CA2F51F8-3A4D-400C-9C96-7220DFD75DF9}"/>
    <cellStyle name="Commentaire 2 2 3 2 3 2" xfId="29385" xr:uid="{9A64465B-ADA5-48DE-B08F-33643D059292}"/>
    <cellStyle name="Commentaire 2 2 3 2 3 3" xfId="36230" xr:uid="{A300FE7E-C558-4496-BC52-40D00141F8B4}"/>
    <cellStyle name="Commentaire 2 2 3 2 4" xfId="21835" xr:uid="{F42CF8F6-CAF4-49B0-B970-C509625DAD91}"/>
    <cellStyle name="Commentaire 2 2 3 2 5" xfId="21238" xr:uid="{3A059034-83E6-411D-BF0A-CA4E734A5DC7}"/>
    <cellStyle name="Commentaire 2 2 3 2 6" xfId="21623" xr:uid="{E4927A87-ADE9-46C1-BC04-430D8980F429}"/>
    <cellStyle name="Commentaire 2 2 3 2 7" xfId="21358" xr:uid="{DE6D6366-D362-40D1-81D1-3221B04E4199}"/>
    <cellStyle name="Commentaire 2 2 3 2 8" xfId="19635" xr:uid="{CB200AD9-78A2-4488-97CC-17768774E22B}"/>
    <cellStyle name="Commentaire 2 2 3 2 9" xfId="21650" xr:uid="{D052B9DC-B970-4290-99D6-11431A984674}"/>
    <cellStyle name="Commentaire 2 2 3 3" xfId="24746" xr:uid="{3E21204F-3288-49D9-A958-683121F3541C}"/>
    <cellStyle name="Commentaire 2 2 3 3 2" xfId="27397" xr:uid="{211317D3-D81B-46EF-8F94-3AE1FD62D417}"/>
    <cellStyle name="Commentaire 2 2 3 3 2 2" xfId="34241" xr:uid="{02BDBEDC-03B1-48F9-8A81-DD69B74B5849}"/>
    <cellStyle name="Commentaire 2 2 3 3 3" xfId="29477" xr:uid="{3B3716CE-C734-4F5A-8D85-8E15EA07DD7D}"/>
    <cellStyle name="Commentaire 2 2 3 3 3 2" xfId="36322" xr:uid="{43CD4ACA-07F9-4640-9630-1A0F67A54B5A}"/>
    <cellStyle name="Commentaire 2 2 3 3 4" xfId="31559" xr:uid="{CB139715-D1FF-40EC-BA47-985D6AF7AB82}"/>
    <cellStyle name="Commentaire 2 2 3 4" xfId="24888" xr:uid="{EEB359F2-0FB4-4ED9-86FD-CB09F2547975}"/>
    <cellStyle name="Commentaire 2 2 3 4 2" xfId="27556" xr:uid="{8707DE5D-E92C-4D2D-8515-33306D56AFE3}"/>
    <cellStyle name="Commentaire 2 2 3 4 2 2" xfId="34400" xr:uid="{4A8CB94D-6C2A-455E-A5A8-2FF89AF88D61}"/>
    <cellStyle name="Commentaire 2 2 3 4 3" xfId="29636" xr:uid="{D9B15998-8B6A-4E23-989C-DFB46BD782FE}"/>
    <cellStyle name="Commentaire 2 2 3 4 3 2" xfId="36481" xr:uid="{A422BEB0-894C-49C7-8869-07FDDB3A8692}"/>
    <cellStyle name="Commentaire 2 2 3 4 4" xfId="31718" xr:uid="{4A898DDE-1312-4632-B91F-B2501AB7A7B7}"/>
    <cellStyle name="Commentaire 2 2 3 5" xfId="25074" xr:uid="{BAE65097-A20F-4D89-AE8C-98752B3C3827}"/>
    <cellStyle name="Commentaire 2 2 3 5 2" xfId="27746" xr:uid="{03DE661D-7CEA-455E-8540-0C3FAF235AD3}"/>
    <cellStyle name="Commentaire 2 2 3 5 2 2" xfId="34591" xr:uid="{B453F307-6C35-4BB9-8085-2107F0C59F4C}"/>
    <cellStyle name="Commentaire 2 2 3 5 3" xfId="29827" xr:uid="{A49EA3E3-6F9C-4825-9032-A7FDC52B993E}"/>
    <cellStyle name="Commentaire 2 2 3 5 3 2" xfId="36672" xr:uid="{E40DE0FA-AA16-4D5B-BF39-425CEABB7AD2}"/>
    <cellStyle name="Commentaire 2 2 3 5 4" xfId="31909" xr:uid="{B18003F9-C1DF-4332-9F47-CD144733CCB8}"/>
    <cellStyle name="Commentaire 2 2 3 6" xfId="25102" xr:uid="{72DA8837-D70C-435A-BA84-BF5BC82F6A39}"/>
    <cellStyle name="Commentaire 2 2 3 6 2" xfId="27774" xr:uid="{932C617B-43FE-4A2C-8A8A-AAC0CE37289A}"/>
    <cellStyle name="Commentaire 2 2 3 6 2 2" xfId="34619" xr:uid="{81A5225B-47B6-4983-B8F0-D16953F969F3}"/>
    <cellStyle name="Commentaire 2 2 3 6 3" xfId="29855" xr:uid="{7CD6452B-BB12-46AE-8640-DA42358E2FF8}"/>
    <cellStyle name="Commentaire 2 2 3 6 3 2" xfId="36700" xr:uid="{E0B6B4CC-01FD-47E1-99AC-B4B56934B5BE}"/>
    <cellStyle name="Commentaire 2 2 3 6 4" xfId="31937" xr:uid="{455EBA6E-E9BF-4EA1-A216-2651A345CBEB}"/>
    <cellStyle name="Commentaire 2 2 3 7" xfId="25134" xr:uid="{29D16E72-6003-4063-BB3E-F4DF27F56D1A}"/>
    <cellStyle name="Commentaire 2 2 3 7 2" xfId="27806" xr:uid="{9C0E4637-81FA-436F-8FFE-FFA4C755A321}"/>
    <cellStyle name="Commentaire 2 2 3 7 2 2" xfId="34651" xr:uid="{F22CBB46-92EB-4206-BC84-021CE882E91E}"/>
    <cellStyle name="Commentaire 2 2 3 7 3" xfId="29887" xr:uid="{5A280FDB-05C7-4B14-98BE-50B666746D07}"/>
    <cellStyle name="Commentaire 2 2 3 7 3 2" xfId="36732" xr:uid="{6A843477-9D65-49E1-A3C8-E3029113154C}"/>
    <cellStyle name="Commentaire 2 2 3 7 4" xfId="31969" xr:uid="{ED767EE3-7D4B-4991-A1C3-DA01AFD6152F}"/>
    <cellStyle name="Commentaire 2 2 3 8" xfId="24388" xr:uid="{4C633806-60E7-45F7-B741-26C0CC9A8AAC}"/>
    <cellStyle name="Commentaire 2 2 3 8 2" xfId="27006" xr:uid="{E0101801-7CE3-489C-945D-5377B3FC9375}"/>
    <cellStyle name="Commentaire 2 2 3 8 2 2" xfId="33846" xr:uid="{FCC23C76-CC09-4CF9-8335-80228E217332}"/>
    <cellStyle name="Commentaire 2 2 3 8 3" xfId="29082" xr:uid="{E83D04DB-BA92-4B20-8E3E-E526842716EE}"/>
    <cellStyle name="Commentaire 2 2 3 8 3 2" xfId="35927" xr:uid="{E8EA6052-B7A8-4C3C-B3A8-5DB1AC550BB3}"/>
    <cellStyle name="Commentaire 2 2 3 8 4" xfId="31164" xr:uid="{0F2847E5-7157-4573-8A43-1B9FE1CED3A1}"/>
    <cellStyle name="Commentaire 2 2 3 9" xfId="24966" xr:uid="{61C7C7D9-87A8-4CA2-8873-792354DE8778}"/>
    <cellStyle name="Commentaire 2 2 3 9 2" xfId="27636" xr:uid="{241E0222-90E1-4329-8436-3175E1FD9E0A}"/>
    <cellStyle name="Commentaire 2 2 3 9 2 2" xfId="34481" xr:uid="{A510AE23-F59F-4118-B1DF-43D60E85D11F}"/>
    <cellStyle name="Commentaire 2 2 3 9 3" xfId="29717" xr:uid="{13F51390-7CF5-4C22-B086-CF3CFC6DE55C}"/>
    <cellStyle name="Commentaire 2 2 3 9 3 2" xfId="36562" xr:uid="{0DE750C0-5F81-4D53-BAF5-10BF09EAE553}"/>
    <cellStyle name="Commentaire 2 2 3 9 4" xfId="31799" xr:uid="{90749874-F68A-45DC-85E9-9D2F7981DA2F}"/>
    <cellStyle name="Commentaire 2 2 4" xfId="18638" xr:uid="{E9F6AA97-5080-4993-A50E-5C9DD373E63C}"/>
    <cellStyle name="Commentaire 2 2 4 10" xfId="20868" xr:uid="{3DC01FBF-9A76-4554-A86A-10C3393D19BD}"/>
    <cellStyle name="Commentaire 2 2 4 11" xfId="20206" xr:uid="{E9B89EAE-A2E1-4399-AA80-E1985DFC4512}"/>
    <cellStyle name="Commentaire 2 2 4 12" xfId="22772" xr:uid="{CD2580D8-8E86-47AE-A08A-3F818CEAC411}"/>
    <cellStyle name="Commentaire 2 2 4 13" xfId="19601" xr:uid="{87FC975A-B2BA-4273-A8D0-53DFAA9B760E}"/>
    <cellStyle name="Commentaire 2 2 4 14" xfId="22908" xr:uid="{61F1A8CC-1309-4B1A-A070-5DCC67DE95CE}"/>
    <cellStyle name="Commentaire 2 2 4 15" xfId="19299" xr:uid="{40647B1F-C70A-46C9-815D-BA2ED5A658E7}"/>
    <cellStyle name="Commentaire 2 2 4 16" xfId="31341" xr:uid="{2D8E3899-5925-4D35-820A-3B09271FDDFF}"/>
    <cellStyle name="Commentaire 2 2 4 2" xfId="19832" xr:uid="{28827BF5-CCC8-4C69-B7C5-DFD962789FA1}"/>
    <cellStyle name="Commentaire 2 2 4 2 2" xfId="27182" xr:uid="{E7B32EA8-E1D5-48B3-BF25-BBD9BBC53958}"/>
    <cellStyle name="Commentaire 2 2 4 2 3" xfId="34023" xr:uid="{2F1C6530-9C66-4423-B237-B4C6A73F45BD}"/>
    <cellStyle name="Commentaire 2 2 4 3" xfId="21027" xr:uid="{88A1D846-B926-44AC-B21A-A5C2B0B93B32}"/>
    <cellStyle name="Commentaire 2 2 4 3 2" xfId="29259" xr:uid="{D88506EA-F500-42E4-AC98-EBA7C5695C3C}"/>
    <cellStyle name="Commentaire 2 2 4 3 3" xfId="36104" xr:uid="{63CAD47C-99B1-457C-A672-E42E794C98BD}"/>
    <cellStyle name="Commentaire 2 2 4 4" xfId="21789" xr:uid="{2E65F00C-334A-460B-9339-1508A4AA694B}"/>
    <cellStyle name="Commentaire 2 2 4 5" xfId="21535" xr:uid="{A86AAD73-E12F-4274-A293-724756DEB011}"/>
    <cellStyle name="Commentaire 2 2 4 6" xfId="19809" xr:uid="{A04A9556-F005-4200-8E22-D369F7AEE75D}"/>
    <cellStyle name="Commentaire 2 2 4 7" xfId="21668" xr:uid="{614F1E69-20BD-4066-A6E7-8E9E0726B281}"/>
    <cellStyle name="Commentaire 2 2 4 8" xfId="18946" xr:uid="{17BD7745-00D8-41C4-99EF-D6A444589706}"/>
    <cellStyle name="Commentaire 2 2 4 9" xfId="22509" xr:uid="{FB3EE2EB-673A-486F-BA72-45F0695B035C}"/>
    <cellStyle name="Commentaire 2 2 5" xfId="24715" xr:uid="{8E4B209C-5F65-4304-965F-EFB740C16D1E}"/>
    <cellStyle name="Commentaire 2 2 5 2" xfId="27365" xr:uid="{543F687F-D589-4CA0-8C55-75174AF69771}"/>
    <cellStyle name="Commentaire 2 2 5 2 2" xfId="34209" xr:uid="{E68B6D86-B064-4598-BFBC-C455F228E9DA}"/>
    <cellStyle name="Commentaire 2 2 5 3" xfId="29445" xr:uid="{29F067C9-AB5F-4DED-AE81-A80353ED905C}"/>
    <cellStyle name="Commentaire 2 2 5 3 2" xfId="36290" xr:uid="{DDDE969B-FB67-4FD2-B323-68327E463A65}"/>
    <cellStyle name="Commentaire 2 2 5 4" xfId="31527" xr:uid="{FED31C9A-80E5-476B-9A86-ABA64CC375DE}"/>
    <cellStyle name="Commentaire 2 2 6" xfId="25005" xr:uid="{24B7A3CA-8C05-44E7-BBF4-8DFCCAE10903}"/>
    <cellStyle name="Commentaire 2 2 6 2" xfId="27677" xr:uid="{21C35786-0A5B-4339-AD32-BB1564812BE8}"/>
    <cellStyle name="Commentaire 2 2 6 2 2" xfId="34522" xr:uid="{290FDFE5-EB95-475B-A00B-E1B5629C5AD5}"/>
    <cellStyle name="Commentaire 2 2 6 3" xfId="29758" xr:uid="{5BC8BDD9-C230-4D7B-8E6D-2F22C2FB5988}"/>
    <cellStyle name="Commentaire 2 2 6 3 2" xfId="36603" xr:uid="{8A21AF2D-52EC-4DFB-A7CE-5F316E0F2200}"/>
    <cellStyle name="Commentaire 2 2 6 4" xfId="31840" xr:uid="{B8AD4AD7-47B1-455E-8A07-0657F7A343CE}"/>
    <cellStyle name="Commentaire 2 2 7" xfId="24208" xr:uid="{B22A4566-DC83-4557-A261-925C6BF0E20C}"/>
    <cellStyle name="Commentaire 2 2 7 2" xfId="26818" xr:uid="{F5DB2B19-9627-41DB-8F58-B1EC29D1C181}"/>
    <cellStyle name="Commentaire 2 2 7 2 2" xfId="33658" xr:uid="{A150A72A-0CCA-4DB1-BFA0-FA8CDA177814}"/>
    <cellStyle name="Commentaire 2 2 7 3" xfId="28894" xr:uid="{6CBFDB68-DBBA-41A8-9B3E-B57DE81CF362}"/>
    <cellStyle name="Commentaire 2 2 7 3 2" xfId="35739" xr:uid="{76D6DB76-FEFC-4161-9FC2-A049F9E01C44}"/>
    <cellStyle name="Commentaire 2 2 7 4" xfId="30976" xr:uid="{CE1A25EB-040C-40F9-97E1-E48F6149CD37}"/>
    <cellStyle name="Commentaire 2 2 8" xfId="23826" xr:uid="{8E364200-E219-4945-B582-5F57CAD63E66}"/>
    <cellStyle name="Commentaire 2 2 8 2" xfId="26445" xr:uid="{A5874B46-120C-474E-A17A-A7D27B2D471B}"/>
    <cellStyle name="Commentaire 2 2 8 2 2" xfId="33285" xr:uid="{7FCF6C59-ABD0-41E9-8649-75C9357B2FFE}"/>
    <cellStyle name="Commentaire 2 2 8 3" xfId="26237" xr:uid="{AABF25C6-06B5-4018-9F2D-57B02C97A9DA}"/>
    <cellStyle name="Commentaire 2 2 8 3 2" xfId="33065" xr:uid="{A123749C-AC92-4ED9-B484-12B8107F2297}"/>
    <cellStyle name="Commentaire 2 2 8 4" xfId="23360" xr:uid="{B0754267-9F45-4830-96AA-D5FC0BF2C89D}"/>
    <cellStyle name="Commentaire 2 2 9" xfId="25017" xr:uid="{C35D5EC7-C9D7-45F5-A408-A74ECBB31EFE}"/>
    <cellStyle name="Commentaire 2 2 9 2" xfId="27689" xr:uid="{45469EF1-0739-4B8C-8A02-BAA5CF6A5958}"/>
    <cellStyle name="Commentaire 2 2 9 2 2" xfId="34534" xr:uid="{21B8A25F-758B-4F67-A863-02FB09940D62}"/>
    <cellStyle name="Commentaire 2 2 9 3" xfId="29770" xr:uid="{F9C7ECF3-46A5-4B5D-B082-AE30AC13F887}"/>
    <cellStyle name="Commentaire 2 2 9 3 2" xfId="36615" xr:uid="{E5A9A0CB-4BCB-4F55-A9E9-030AA560009B}"/>
    <cellStyle name="Commentaire 2 2 9 4" xfId="31852" xr:uid="{C76263C6-5E49-459E-9BC0-C126F1A384D4}"/>
    <cellStyle name="Commentaire 2 20" xfId="41805" xr:uid="{C6DFA3FC-36FB-484F-AA71-8674B88D650D}"/>
    <cellStyle name="Commentaire 2 21" xfId="37699" xr:uid="{2AD4790C-7B25-4C4F-9601-58467E344193}"/>
    <cellStyle name="Commentaire 2 22" xfId="47886" xr:uid="{A9AE5FF1-36BC-4D74-906F-D93A0AF133C3}"/>
    <cellStyle name="Commentaire 2 23" xfId="14984" xr:uid="{1E6DA733-1180-4C11-8DED-31C8ACE6E075}"/>
    <cellStyle name="Commentaire 2 24" xfId="15370" xr:uid="{48F50A6A-FCE4-4402-BF4B-B8492AD9F81A}"/>
    <cellStyle name="Commentaire 2 3" xfId="17552" xr:uid="{DDA19A8B-B36C-44BF-9D23-D2636FF365E9}"/>
    <cellStyle name="Commentaire 2 3 10" xfId="25511" xr:uid="{DB3D98B9-1A0B-41FA-9C09-C728A6873A1A}"/>
    <cellStyle name="Commentaire 2 3 10 2" xfId="28178" xr:uid="{E6D6B214-3F92-4813-B3BC-499DF0AF38B0}"/>
    <cellStyle name="Commentaire 2 3 10 2 2" xfId="35023" xr:uid="{9071E6C8-4061-4FAD-9E1E-5A3671B37A60}"/>
    <cellStyle name="Commentaire 2 3 10 3" xfId="30259" xr:uid="{6BDEA4E4-0F02-4CEE-97AF-D84577C2B47B}"/>
    <cellStyle name="Commentaire 2 3 10 3 2" xfId="37104" xr:uid="{A7603F87-E7B6-4865-9AA5-DAADDBA0D13E}"/>
    <cellStyle name="Commentaire 2 3 10 4" xfId="32341" xr:uid="{207EDB49-0B15-492F-8DD8-5DE892526D82}"/>
    <cellStyle name="Commentaire 2 3 11" xfId="24618" xr:uid="{0515C5F9-D24B-4E59-B8C1-0463FA128144}"/>
    <cellStyle name="Commentaire 2 3 11 2" xfId="27232" xr:uid="{818BCFD9-D192-4031-8AD7-C12C6CF149B2}"/>
    <cellStyle name="Commentaire 2 3 11 2 2" xfId="34073" xr:uid="{39090C25-0533-4EFC-A2DA-27DAA656C94F}"/>
    <cellStyle name="Commentaire 2 3 11 3" xfId="29309" xr:uid="{AB2F1A33-2317-49DD-97A6-11E83E8F9DBB}"/>
    <cellStyle name="Commentaire 2 3 11 3 2" xfId="36154" xr:uid="{219CC8D0-3AB7-4FEE-ADE7-5AAA8FDAB1DC}"/>
    <cellStyle name="Commentaire 2 3 11 4" xfId="31391" xr:uid="{1B87473B-DD2D-4ED1-A7E3-8DA757129197}"/>
    <cellStyle name="Commentaire 2 3 12" xfId="25353" xr:uid="{E59B6E12-0A21-4D7D-A0BA-57FE1D7C620E}"/>
    <cellStyle name="Commentaire 2 3 12 2" xfId="28020" xr:uid="{6C47FBC0-46FC-48B2-A497-2A06CAECDD27}"/>
    <cellStyle name="Commentaire 2 3 12 2 2" xfId="34865" xr:uid="{183D55B9-A884-4B38-8880-A6ECD1711007}"/>
    <cellStyle name="Commentaire 2 3 12 3" xfId="30101" xr:uid="{26B15211-B224-44B9-830F-8ED7D7664087}"/>
    <cellStyle name="Commentaire 2 3 12 3 2" xfId="36946" xr:uid="{96278D12-16B3-4627-9E74-A6D0FECC2961}"/>
    <cellStyle name="Commentaire 2 3 12 4" xfId="32183" xr:uid="{194A0D07-BA82-4151-A487-A997E7678855}"/>
    <cellStyle name="Commentaire 2 3 13" xfId="24274" xr:uid="{CD692A1B-3F93-4239-B094-351FCC315E21}"/>
    <cellStyle name="Commentaire 2 3 13 2" xfId="26881" xr:uid="{213179DE-C6B3-4967-9065-A9D58D86BF06}"/>
    <cellStyle name="Commentaire 2 3 13 2 2" xfId="33721" xr:uid="{C9313A28-CAE9-4440-9D3E-04A53DC9196F}"/>
    <cellStyle name="Commentaire 2 3 13 3" xfId="28957" xr:uid="{879226EF-B339-4DEB-87D5-1FC460B86357}"/>
    <cellStyle name="Commentaire 2 3 13 3 2" xfId="35802" xr:uid="{FC991E8D-9779-4840-A886-9D33D7C89C16}"/>
    <cellStyle name="Commentaire 2 3 13 4" xfId="31039" xr:uid="{B60C1EBD-1C4C-4802-999D-01068C68B977}"/>
    <cellStyle name="Commentaire 2 3 14" xfId="25697" xr:uid="{C5B96651-07F2-41ED-B2BD-2AFC55E97355}"/>
    <cellStyle name="Commentaire 2 3 14 2" xfId="28364" xr:uid="{91B4B979-CE4C-43F4-B279-1F5BE7B60DAC}"/>
    <cellStyle name="Commentaire 2 3 14 2 2" xfId="35209" xr:uid="{6DAF05D0-E415-4823-A80A-A47B60336610}"/>
    <cellStyle name="Commentaire 2 3 14 3" xfId="30445" xr:uid="{47336770-8196-41BB-9CAF-A350AF867539}"/>
    <cellStyle name="Commentaire 2 3 14 3 2" xfId="37290" xr:uid="{F75DD764-BA0A-4263-B45D-5D86F0C78095}"/>
    <cellStyle name="Commentaire 2 3 14 4" xfId="32527" xr:uid="{F1370A01-827C-4269-9108-34BC87F8EEB0}"/>
    <cellStyle name="Commentaire 2 3 15" xfId="24236" xr:uid="{A6C44D0A-6499-409A-85D0-735D4F4402E3}"/>
    <cellStyle name="Commentaire 2 3 15 2" xfId="26845" xr:uid="{17D66F78-B930-4E52-B5D4-3E932B409588}"/>
    <cellStyle name="Commentaire 2 3 15 2 2" xfId="33685" xr:uid="{82FD382B-6B35-4744-8A7B-FEA544480298}"/>
    <cellStyle name="Commentaire 2 3 15 3" xfId="28921" xr:uid="{3BE172AC-3A2A-4228-A1D6-1A073E01326B}"/>
    <cellStyle name="Commentaire 2 3 15 3 2" xfId="35766" xr:uid="{0B0A8FA0-AC69-4C23-B60A-D2D1864853D0}"/>
    <cellStyle name="Commentaire 2 3 15 4" xfId="31003" xr:uid="{141317C4-F56C-4CED-9143-8D749213BEC1}"/>
    <cellStyle name="Commentaire 2 3 16" xfId="23650" xr:uid="{53C26180-1180-4F66-A436-5DB4A1708B1A}"/>
    <cellStyle name="Commentaire 2 3 2" xfId="17823" xr:uid="{A40FC976-FC68-4CC9-A3C2-C9E3873240DE}"/>
    <cellStyle name="Commentaire 2 3 2 10" xfId="24865" xr:uid="{F4D53DA8-7E9A-4C2B-A6AC-FB86582FA958}"/>
    <cellStyle name="Commentaire 2 3 2 10 2" xfId="27529" xr:uid="{36866D0F-D2CC-43D3-B2FD-AA5C80943B38}"/>
    <cellStyle name="Commentaire 2 3 2 10 2 2" xfId="34373" xr:uid="{AC35F6AC-052E-4EE8-A103-3A3793E6A172}"/>
    <cellStyle name="Commentaire 2 3 2 10 3" xfId="29609" xr:uid="{5D7BED8A-E26C-472C-B7E7-FFA5A8A671E6}"/>
    <cellStyle name="Commentaire 2 3 2 10 3 2" xfId="36454" xr:uid="{C4C53E93-2725-41AF-937A-0D0CE32B3132}"/>
    <cellStyle name="Commentaire 2 3 2 10 4" xfId="31691" xr:uid="{96D5A5A1-3C8C-4943-90CF-ECC78D0050AD}"/>
    <cellStyle name="Commentaire 2 3 2 11" xfId="25647" xr:uid="{10EFFEF9-5989-4E88-B7D5-DFC006061950}"/>
    <cellStyle name="Commentaire 2 3 2 11 2" xfId="28314" xr:uid="{214657AD-850F-4903-A78A-CF7E6AAB26C9}"/>
    <cellStyle name="Commentaire 2 3 2 11 2 2" xfId="35159" xr:uid="{17F4D821-6C66-4E0F-928D-95F33F861D34}"/>
    <cellStyle name="Commentaire 2 3 2 11 3" xfId="30395" xr:uid="{90EA15C0-1187-424D-8E7E-B8A81312840A}"/>
    <cellStyle name="Commentaire 2 3 2 11 3 2" xfId="37240" xr:uid="{F6CAD1CC-343B-4F9D-88DE-9FE37BB49911}"/>
    <cellStyle name="Commentaire 2 3 2 11 4" xfId="32477" xr:uid="{E51F4088-1384-45C0-85B7-8C323458C6F8}"/>
    <cellStyle name="Commentaire 2 3 2 12" xfId="25752" xr:uid="{73E8E7D0-D3FB-4863-AECE-50942597535E}"/>
    <cellStyle name="Commentaire 2 3 2 12 2" xfId="28418" xr:uid="{999DE0FD-E238-4F77-AC71-6884F5567B9D}"/>
    <cellStyle name="Commentaire 2 3 2 12 2 2" xfId="35263" xr:uid="{E2B40729-F7D0-4173-8BC1-5933C67D9581}"/>
    <cellStyle name="Commentaire 2 3 2 12 3" xfId="30499" xr:uid="{888EFE17-73FF-448C-90E4-4D7ACB83B5BF}"/>
    <cellStyle name="Commentaire 2 3 2 12 3 2" xfId="37344" xr:uid="{7991336A-D15C-441A-81C0-61AC1EE42C9E}"/>
    <cellStyle name="Commentaire 2 3 2 12 4" xfId="32581" xr:uid="{879C75DB-9996-45E1-8C87-9E14B0B4623F}"/>
    <cellStyle name="Commentaire 2 3 2 13" xfId="25829" xr:uid="{CDFBCDB5-2A5D-4CAC-B43D-E1D3D93CC765}"/>
    <cellStyle name="Commentaire 2 3 2 13 2" xfId="28495" xr:uid="{5A021760-50B0-40DA-8C64-DE4826778D9D}"/>
    <cellStyle name="Commentaire 2 3 2 13 2 2" xfId="35340" xr:uid="{87423EBF-3AA9-47FC-92DD-ED8AD7DD55E5}"/>
    <cellStyle name="Commentaire 2 3 2 13 3" xfId="30576" xr:uid="{96967E1D-4EEF-400F-98F7-A1B17C2EF6ED}"/>
    <cellStyle name="Commentaire 2 3 2 13 3 2" xfId="37421" xr:uid="{9C6AB08E-ADBA-4D1C-9A96-DA4328202C7F}"/>
    <cellStyle name="Commentaire 2 3 2 13 4" xfId="32658" xr:uid="{47AC7F5D-D372-4293-BC9C-610DFE594430}"/>
    <cellStyle name="Commentaire 2 3 2 14" xfId="25539" xr:uid="{70A5C758-2EAC-4E70-A97A-F2119474E938}"/>
    <cellStyle name="Commentaire 2 3 2 14 2" xfId="28206" xr:uid="{272847D2-5610-4A89-9B25-F6E172EF03CD}"/>
    <cellStyle name="Commentaire 2 3 2 14 2 2" xfId="35051" xr:uid="{80682CD3-FA01-4448-A092-F1785F834C3E}"/>
    <cellStyle name="Commentaire 2 3 2 14 3" xfId="30287" xr:uid="{B39DD47C-3CDC-418C-82AA-CB5F7938D19D}"/>
    <cellStyle name="Commentaire 2 3 2 14 3 2" xfId="37132" xr:uid="{F375C98A-5830-4937-BDE8-D28C0AA7D0ED}"/>
    <cellStyle name="Commentaire 2 3 2 14 4" xfId="32369" xr:uid="{4A6384C0-35D7-4D56-887E-CE3ABB457E3B}"/>
    <cellStyle name="Commentaire 2 3 2 15" xfId="25957" xr:uid="{2597B28B-775C-46A9-9F0D-7FB4A7C30ED7}"/>
    <cellStyle name="Commentaire 2 3 2 15 2" xfId="28623" xr:uid="{4B31D315-E144-4F5A-B82E-9503FAEE1143}"/>
    <cellStyle name="Commentaire 2 3 2 15 2 2" xfId="35468" xr:uid="{381C9355-8DD2-4DE1-AADC-11664580D03D}"/>
    <cellStyle name="Commentaire 2 3 2 15 3" xfId="30704" xr:uid="{725563E8-043F-4D28-BBE3-B52E0B8F521A}"/>
    <cellStyle name="Commentaire 2 3 2 15 3 2" xfId="37549" xr:uid="{9F3EFFE6-0404-468F-837D-7E5ABCE5BFA6}"/>
    <cellStyle name="Commentaire 2 3 2 15 4" xfId="32786" xr:uid="{72A279B1-47D2-4874-89B9-F905CFDFA0B9}"/>
    <cellStyle name="Commentaire 2 3 2 16" xfId="26011" xr:uid="{876B64D6-2F18-4C5C-9410-58F9A4B96A14}"/>
    <cellStyle name="Commentaire 2 3 2 16 2" xfId="28677" xr:uid="{2AB5E171-0052-4C55-99A6-112D043E581B}"/>
    <cellStyle name="Commentaire 2 3 2 16 2 2" xfId="35522" xr:uid="{28281C9D-0256-47D7-A847-5FEAB2438518}"/>
    <cellStyle name="Commentaire 2 3 2 16 3" xfId="30758" xr:uid="{EE560159-0948-4506-BB1D-12261518BDE1}"/>
    <cellStyle name="Commentaire 2 3 2 16 3 2" xfId="37603" xr:uid="{6A0D0D74-4151-4606-80DE-F846F8F3E5D0}"/>
    <cellStyle name="Commentaire 2 3 2 16 4" xfId="32840" xr:uid="{DFCB9A01-93AE-463F-9FAE-4F278F902D23}"/>
    <cellStyle name="Commentaire 2 3 2 17" xfId="23051" xr:uid="{E310D5C7-BD7E-4CC5-BB15-DE19DB4C2088}"/>
    <cellStyle name="Commentaire 2 3 2 2" xfId="18448" xr:uid="{9CF58B40-20E8-4B3B-9E5F-59A4A0AFDBC1}"/>
    <cellStyle name="Commentaire 2 3 2 2 10" xfId="18939" xr:uid="{D6CE4C1D-5AC5-4042-A36E-78CE84EE53D7}"/>
    <cellStyle name="Commentaire 2 3 2 2 11" xfId="18838" xr:uid="{6378E2A0-7F0B-48E9-AA3D-6DD8D23BCADC}"/>
    <cellStyle name="Commentaire 2 3 2 2 12" xfId="20805" xr:uid="{521BAE92-632E-4CF6-85CB-26E2B78793B6}"/>
    <cellStyle name="Commentaire 2 3 2 2 13" xfId="18869" xr:uid="{BCE63359-BCB6-4E80-9E1D-69FD16E78980}"/>
    <cellStyle name="Commentaire 2 3 2 2 14" xfId="21137" xr:uid="{4AD513D4-E920-49DF-9328-549C97A66E80}"/>
    <cellStyle name="Commentaire 2 3 2 2 15" xfId="22717" xr:uid="{F068F474-D2E2-4248-AD2E-832CF4EA6B48}"/>
    <cellStyle name="Commentaire 2 3 2 2 16" xfId="31493" xr:uid="{93D9EE15-7609-476E-B32F-F2289956E616}"/>
    <cellStyle name="Commentaire 2 3 2 2 2" xfId="21278" xr:uid="{6A954B68-C7C3-4C7A-8D2E-5A6AE984AD63}"/>
    <cellStyle name="Commentaire 2 3 2 2 2 2" xfId="27331" xr:uid="{7031B511-0226-41FC-B7A7-132ECAABCB3E}"/>
    <cellStyle name="Commentaire 2 3 2 2 2 3" xfId="34175" xr:uid="{7C0789B8-9220-48B0-BD41-71FB392D7F61}"/>
    <cellStyle name="Commentaire 2 3 2 2 3" xfId="21077" xr:uid="{AC11F1B5-08C4-477D-B627-A411B9030ED7}"/>
    <cellStyle name="Commentaire 2 3 2 2 3 2" xfId="29411" xr:uid="{ABCAB4FB-6B3E-4622-B84F-F0FE204831AA}"/>
    <cellStyle name="Commentaire 2 3 2 2 3 3" xfId="36256" xr:uid="{8A2A99F4-B1A9-430D-936D-5C49092DE45F}"/>
    <cellStyle name="Commentaire 2 3 2 2 4" xfId="20927" xr:uid="{AF93805F-290A-4F60-9A52-A572920FFD6E}"/>
    <cellStyle name="Commentaire 2 3 2 2 5" xfId="22171" xr:uid="{ACFD5FCA-9FDD-4BAB-B081-26BACC0113BC}"/>
    <cellStyle name="Commentaire 2 3 2 2 6" xfId="21287" xr:uid="{5DBDD629-7E9B-457C-9A5F-BE511F3D42CF}"/>
    <cellStyle name="Commentaire 2 3 2 2 7" xfId="21585" xr:uid="{05070D3C-B9E2-49EE-A83E-69FABC6599A7}"/>
    <cellStyle name="Commentaire 2 3 2 2 8" xfId="21382" xr:uid="{FA923A12-1F9F-4714-BB31-B25D915703B5}"/>
    <cellStyle name="Commentaire 2 3 2 2 9" xfId="21516" xr:uid="{BF63F887-2F66-46F8-B377-F0AC19CDA892}"/>
    <cellStyle name="Commentaire 2 3 2 3" xfId="24586" xr:uid="{2FF1DD04-CD62-42B6-94CF-7CA9A7097945}"/>
    <cellStyle name="Commentaire 2 3 2 3 2" xfId="27175" xr:uid="{A698FAD1-BEBC-4F06-BBC7-F3A21B32440A}"/>
    <cellStyle name="Commentaire 2 3 2 3 2 2" xfId="34016" xr:uid="{C2A7E303-8D2A-48ED-B478-A23E3C9A7D90}"/>
    <cellStyle name="Commentaire 2 3 2 3 3" xfId="29252" xr:uid="{6A3AB6F4-FC43-4D4D-9812-0F4BDA61C126}"/>
    <cellStyle name="Commentaire 2 3 2 3 3 2" xfId="36097" xr:uid="{825F7A83-96CA-4164-B19E-7970AD07A615}"/>
    <cellStyle name="Commentaire 2 3 2 3 4" xfId="31334" xr:uid="{494408E0-F612-4AF6-8981-E2E4CCB08E1E}"/>
    <cellStyle name="Commentaire 2 3 2 4" xfId="24799" xr:uid="{B37E997D-DEF2-4F2D-AF8D-8B7AD272CB74}"/>
    <cellStyle name="Commentaire 2 3 2 4 2" xfId="27452" xr:uid="{F121686C-27DE-4369-B091-EED13C39660A}"/>
    <cellStyle name="Commentaire 2 3 2 4 2 2" xfId="34296" xr:uid="{B0605FF9-7C01-4564-B3BF-9D2BD32C2E15}"/>
    <cellStyle name="Commentaire 2 3 2 4 3" xfId="29532" xr:uid="{491E7FC9-9D59-45AA-8FAA-FCEA34D2914C}"/>
    <cellStyle name="Commentaire 2 3 2 4 3 2" xfId="36377" xr:uid="{27A342D7-4C38-40D6-B354-E5E6437D79B8}"/>
    <cellStyle name="Commentaire 2 3 2 4 4" xfId="31614" xr:uid="{0EE65F2E-CA62-4ED0-8BB9-E62D4FA424BD}"/>
    <cellStyle name="Commentaire 2 3 2 5" xfId="25103" xr:uid="{6C9D671F-A734-4D23-9BE0-6EF5CFA9D66F}"/>
    <cellStyle name="Commentaire 2 3 2 5 2" xfId="27775" xr:uid="{76B280B8-36EF-45D4-A9F8-B8178F9206BC}"/>
    <cellStyle name="Commentaire 2 3 2 5 2 2" xfId="34620" xr:uid="{693D6448-654D-4209-AC12-DF639671E2DE}"/>
    <cellStyle name="Commentaire 2 3 2 5 3" xfId="29856" xr:uid="{73E83DD3-2AC2-4553-8CBC-4C1D98D466AF}"/>
    <cellStyle name="Commentaire 2 3 2 5 3 2" xfId="36701" xr:uid="{E3CAB35D-4B80-4F0E-A9CA-FDD69B21F735}"/>
    <cellStyle name="Commentaire 2 3 2 5 4" xfId="31938" xr:uid="{C12A0331-A49E-40B3-A2BA-8F556E2DA42A}"/>
    <cellStyle name="Commentaire 2 3 2 6" xfId="23851" xr:uid="{A8656303-CAC1-44BF-A663-1F88A22CACEB}"/>
    <cellStyle name="Commentaire 2 3 2 6 2" xfId="26470" xr:uid="{D55DD0EE-B73B-4CEA-8994-4C90FB29DB7D}"/>
    <cellStyle name="Commentaire 2 3 2 6 2 2" xfId="33310" xr:uid="{2CA8CA20-2187-42E5-9B44-A03902907B69}"/>
    <cellStyle name="Commentaire 2 3 2 6 3" xfId="26213" xr:uid="{12B86A23-2670-4A76-9E37-5B9D4C997D07}"/>
    <cellStyle name="Commentaire 2 3 2 6 3 2" xfId="33041" xr:uid="{62087097-92E0-49BD-A4A9-53BF2AA1964D}"/>
    <cellStyle name="Commentaire 2 3 2 6 4" xfId="23335" xr:uid="{50986C97-459F-4CB1-AD47-3742D5769E30}"/>
    <cellStyle name="Commentaire 2 3 2 7" xfId="24409" xr:uid="{C2A71318-098E-46DF-804A-379DD8009513}"/>
    <cellStyle name="Commentaire 2 3 2 7 2" xfId="27027" xr:uid="{5E0BBAD8-D762-427E-86E2-69FD49105EBF}"/>
    <cellStyle name="Commentaire 2 3 2 7 2 2" xfId="33867" xr:uid="{6B07CB93-6E93-489A-871D-5B983048FA79}"/>
    <cellStyle name="Commentaire 2 3 2 7 3" xfId="29103" xr:uid="{47F4B511-9BC3-4EA1-A177-93C591B12897}"/>
    <cellStyle name="Commentaire 2 3 2 7 3 2" xfId="35948" xr:uid="{0CB9E52A-B3F4-47A5-AF59-EDF34843C521}"/>
    <cellStyle name="Commentaire 2 3 2 7 4" xfId="31185" xr:uid="{BF84F0EE-E759-4CEB-886F-1FC5DCCDC2C6}"/>
    <cellStyle name="Commentaire 2 3 2 8" xfId="24882" xr:uid="{0B143286-B70D-4434-B582-19055B9010D3}"/>
    <cellStyle name="Commentaire 2 3 2 8 2" xfId="27549" xr:uid="{AE9E279E-F786-43DB-B285-E5B98DF23BE7}"/>
    <cellStyle name="Commentaire 2 3 2 8 2 2" xfId="34393" xr:uid="{68AD7607-5FF5-45AC-A64D-7C699CD45E0C}"/>
    <cellStyle name="Commentaire 2 3 2 8 3" xfId="29629" xr:uid="{25E2482D-7657-4516-AC7D-6B57449BDD0A}"/>
    <cellStyle name="Commentaire 2 3 2 8 3 2" xfId="36474" xr:uid="{E39A1B1B-998B-4FAF-B9E2-AE415C7101E2}"/>
    <cellStyle name="Commentaire 2 3 2 8 4" xfId="31711" xr:uid="{C42AC28B-A890-49DC-B0DE-E88005A537AC}"/>
    <cellStyle name="Commentaire 2 3 2 9" xfId="23922" xr:uid="{8EBFD3BE-F529-429E-A89B-3861A9A766B6}"/>
    <cellStyle name="Commentaire 2 3 2 9 2" xfId="26540" xr:uid="{EC2D3DF4-D168-4875-B90D-A4C02E1ED624}"/>
    <cellStyle name="Commentaire 2 3 2 9 2 2" xfId="33380" xr:uid="{C0A580A1-5887-4498-B4E4-8187C02BA095}"/>
    <cellStyle name="Commentaire 2 3 2 9 3" xfId="26145" xr:uid="{3E046485-0D6F-470C-9506-8245E0BE4BAE}"/>
    <cellStyle name="Commentaire 2 3 2 9 3 2" xfId="32973" xr:uid="{52BD91BD-6642-4BBD-A826-F938BAA5BCCF}"/>
    <cellStyle name="Commentaire 2 3 2 9 4" xfId="23267" xr:uid="{BB566411-6D9F-4BD8-8927-CD5969F8E7AA}"/>
    <cellStyle name="Commentaire 2 3 3" xfId="18624" xr:uid="{2DD51401-B716-497A-9FE6-EA29AB684F34}"/>
    <cellStyle name="Commentaire 2 3 3 10" xfId="19704" xr:uid="{B3A88116-385F-4F5B-B77C-6969860FF038}"/>
    <cellStyle name="Commentaire 2 3 3 11" xfId="21645" xr:uid="{1724E626-A5AA-45EF-A0EF-D94A925264FB}"/>
    <cellStyle name="Commentaire 2 3 3 12" xfId="22760" xr:uid="{7DF82B76-E518-47FC-BC77-2CC9C10C56F3}"/>
    <cellStyle name="Commentaire 2 3 3 13" xfId="22638" xr:uid="{6C0BE68A-F129-424C-9559-84B6737C1C8F}"/>
    <cellStyle name="Commentaire 2 3 3 14" xfId="22896" xr:uid="{D81E6C3B-8434-43CF-8BF6-15A0960B4E9D}"/>
    <cellStyle name="Commentaire 2 3 3 15" xfId="21485" xr:uid="{C9C81A5E-A145-4EB1-9196-521423D0972D}"/>
    <cellStyle name="Commentaire 2 3 3 16" xfId="31366" xr:uid="{7D9F7F77-A5A7-4B90-9E67-A8AF8A131B88}"/>
    <cellStyle name="Commentaire 2 3 3 2" xfId="19843" xr:uid="{5BB6E266-1610-4386-9286-E0F70F822887}"/>
    <cellStyle name="Commentaire 2 3 3 2 2" xfId="27207" xr:uid="{CCB94390-C477-460E-8365-4C863AD9D805}"/>
    <cellStyle name="Commentaire 2 3 3 2 3" xfId="34048" xr:uid="{46D3D77E-49E7-43AB-90D4-2A075B4A4902}"/>
    <cellStyle name="Commentaire 2 3 3 3" xfId="19472" xr:uid="{3A54344A-52E5-407C-9FFA-BA4EBF717685}"/>
    <cellStyle name="Commentaire 2 3 3 3 2" xfId="29284" xr:uid="{806E70A4-BC94-4EAB-A870-74111270C5D2}"/>
    <cellStyle name="Commentaire 2 3 3 3 3" xfId="36129" xr:uid="{4CCF01C5-E006-471F-845D-17EE1D69E60B}"/>
    <cellStyle name="Commentaire 2 3 3 4" xfId="21784" xr:uid="{6CFCFCA2-F530-4605-85E5-BC31C75E2741}"/>
    <cellStyle name="Commentaire 2 3 3 5" xfId="19125" xr:uid="{95C5CAB7-D82B-4460-B4EE-A4164668FF26}"/>
    <cellStyle name="Commentaire 2 3 3 6" xfId="21515" xr:uid="{3D1260E7-D01A-47B6-BD41-41E180943B47}"/>
    <cellStyle name="Commentaire 2 3 3 7" xfId="20010" xr:uid="{5A251CEF-3EBB-4B88-B9C6-89FE5D5F3E63}"/>
    <cellStyle name="Commentaire 2 3 3 8" xfId="19053" xr:uid="{82AFA2F6-F173-4567-A8E0-3DBF42307EBD}"/>
    <cellStyle name="Commentaire 2 3 3 9" xfId="22497" xr:uid="{F1888A76-F306-4178-AD00-837F36C5402E}"/>
    <cellStyle name="Commentaire 2 3 4" xfId="23837" xr:uid="{6C4B1849-FD18-40CA-AA1A-1B9D65AF1BAC}"/>
    <cellStyle name="Commentaire 2 3 4 2" xfId="26457" xr:uid="{7BB945F5-13E8-4A95-9E87-B7F8F0349CBD}"/>
    <cellStyle name="Commentaire 2 3 4 2 2" xfId="33297" xr:uid="{82E4447D-D6E1-4465-A31A-61D6DF381283}"/>
    <cellStyle name="Commentaire 2 3 4 3" xfId="26226" xr:uid="{D6705EB9-04B2-48E2-83C5-0A3071C94843}"/>
    <cellStyle name="Commentaire 2 3 4 3 2" xfId="33054" xr:uid="{EF46B2F4-8827-4D82-8DB0-44CDA2EEF4C9}"/>
    <cellStyle name="Commentaire 2 3 4 4" xfId="23348" xr:uid="{D3C205FB-D409-413F-9434-78AE4FCA2F8A}"/>
    <cellStyle name="Commentaire 2 3 5" xfId="24275" xr:uid="{9BAF5C79-3034-4546-AB92-7B72EB210DBF}"/>
    <cellStyle name="Commentaire 2 3 5 2" xfId="26882" xr:uid="{0A2F268A-357D-46CA-8CB7-C460499E33BD}"/>
    <cellStyle name="Commentaire 2 3 5 2 2" xfId="33722" xr:uid="{5557160F-F314-4615-BD95-E31096BB9327}"/>
    <cellStyle name="Commentaire 2 3 5 3" xfId="28958" xr:uid="{67E8E7CD-FFAB-49AC-ADA9-DA2706E2F805}"/>
    <cellStyle name="Commentaire 2 3 5 3 2" xfId="35803" xr:uid="{DAA8E7BB-D7C6-4F25-A616-3F4374A5F1F6}"/>
    <cellStyle name="Commentaire 2 3 5 4" xfId="31040" xr:uid="{36B3F154-8494-47D0-AC13-6DC93F726E4C}"/>
    <cellStyle name="Commentaire 2 3 6" xfId="24635" xr:uid="{2ACEF836-EC56-4FDB-8CF0-51AAC1497FB2}"/>
    <cellStyle name="Commentaire 2 3 6 2" xfId="27245" xr:uid="{1C2C619A-2723-4431-B734-E844CFFB3FCF}"/>
    <cellStyle name="Commentaire 2 3 6 2 2" xfId="34088" xr:uid="{FF2AC9B5-926C-4DB7-8CD8-2B62B18A49F6}"/>
    <cellStyle name="Commentaire 2 3 6 3" xfId="29324" xr:uid="{CDE6FB67-3438-4CE3-BCEB-1D01D2BA103D}"/>
    <cellStyle name="Commentaire 2 3 6 3 2" xfId="36169" xr:uid="{E927789E-A19A-4BAD-9050-93DEDFBCF059}"/>
    <cellStyle name="Commentaire 2 3 6 4" xfId="31406" xr:uid="{F4614A0B-A6C8-447B-9EB0-2F3A836AC0C8}"/>
    <cellStyle name="Commentaire 2 3 7" xfId="25100" xr:uid="{F1696258-5D91-421F-BDBB-554AAB5F80F9}"/>
    <cellStyle name="Commentaire 2 3 7 2" xfId="27772" xr:uid="{B8BE0268-459E-4551-BF9C-CE77901757A3}"/>
    <cellStyle name="Commentaire 2 3 7 2 2" xfId="34617" xr:uid="{83A1CB42-30C5-4A16-B64E-42E2938C5D16}"/>
    <cellStyle name="Commentaire 2 3 7 3" xfId="29853" xr:uid="{2C71B262-F687-464E-A376-39133A8C4E9F}"/>
    <cellStyle name="Commentaire 2 3 7 3 2" xfId="36698" xr:uid="{C72D152D-8E1E-4AAC-B736-BDFA57F8E3AC}"/>
    <cellStyle name="Commentaire 2 3 7 4" xfId="31935" xr:uid="{3E62EFB9-3461-4E20-A862-610FCC88F4A7}"/>
    <cellStyle name="Commentaire 2 3 8" xfId="25301" xr:uid="{E9520D9D-8A7D-4ED0-A0DF-1FDE9B2D3A7E}"/>
    <cellStyle name="Commentaire 2 3 8 2" xfId="27972" xr:uid="{EF044E64-5285-4551-9F9E-76E4513B16E3}"/>
    <cellStyle name="Commentaire 2 3 8 2 2" xfId="34817" xr:uid="{7ECE7B29-E6C9-4F18-8F88-B111236D42BE}"/>
    <cellStyle name="Commentaire 2 3 8 3" xfId="30053" xr:uid="{F30F3148-A63C-42F4-A01E-6ECD11F8957D}"/>
    <cellStyle name="Commentaire 2 3 8 3 2" xfId="36898" xr:uid="{C2DDECBF-B21D-41D2-AA90-AB126E93EECB}"/>
    <cellStyle name="Commentaire 2 3 8 4" xfId="32135" xr:uid="{7A7946CD-3D3F-478A-98C2-14CEF0A08BBF}"/>
    <cellStyle name="Commentaire 2 3 9" xfId="24612" xr:uid="{2E4A1541-E83D-48E9-BD9C-1FD4295E5219}"/>
    <cellStyle name="Commentaire 2 3 9 2" xfId="27220" xr:uid="{3F60CF5B-7727-4836-8C79-BF136C9E940F}"/>
    <cellStyle name="Commentaire 2 3 9 2 2" xfId="34061" xr:uid="{E5F844AE-493B-4F66-9A08-71265E98405D}"/>
    <cellStyle name="Commentaire 2 3 9 3" xfId="29297" xr:uid="{E252613D-AA76-4DF8-9552-2E99A4E07863}"/>
    <cellStyle name="Commentaire 2 3 9 3 2" xfId="36142" xr:uid="{110E2FF3-8708-4FEB-851C-EDEC53859FFB}"/>
    <cellStyle name="Commentaire 2 3 9 4" xfId="31379" xr:uid="{430BDFBA-C988-4524-9996-69F0352B6BD0}"/>
    <cellStyle name="Commentaire 2 4" xfId="17677" xr:uid="{A11B3578-C184-4A8C-9424-537B84A06270}"/>
    <cellStyle name="Commentaire 2 4 10" xfId="25587" xr:uid="{21504F37-D4E4-49A9-BB03-AF8D93FD5F88}"/>
    <cellStyle name="Commentaire 2 4 10 2" xfId="28254" xr:uid="{B6F7D5D7-7B5B-46B8-BCD1-845FB01E7287}"/>
    <cellStyle name="Commentaire 2 4 10 2 2" xfId="35099" xr:uid="{27447865-5034-4600-BA0E-F851754F7507}"/>
    <cellStyle name="Commentaire 2 4 10 3" xfId="30335" xr:uid="{2A832773-A2C3-48CB-9341-BAFEC6A4DA78}"/>
    <cellStyle name="Commentaire 2 4 10 3 2" xfId="37180" xr:uid="{3297750E-9E4B-46F9-9A47-B80C7C94B7CE}"/>
    <cellStyle name="Commentaire 2 4 10 4" xfId="32417" xr:uid="{F09E778E-7B6A-426A-B46E-DB5E10C1C0E5}"/>
    <cellStyle name="Commentaire 2 4 11" xfId="24148" xr:uid="{9BCC329F-C8D7-44B2-8F98-28749FCF805F}"/>
    <cellStyle name="Commentaire 2 4 11 2" xfId="26760" xr:uid="{F816ED83-7E0D-41C8-96F0-3AD0F05789AC}"/>
    <cellStyle name="Commentaire 2 4 11 2 2" xfId="33600" xr:uid="{F0D31BD2-7DBE-4948-9FD9-2A46FA8C1F75}"/>
    <cellStyle name="Commentaire 2 4 11 3" xfId="28836" xr:uid="{C59A5EEC-ABC2-444D-B503-27E29671ED61}"/>
    <cellStyle name="Commentaire 2 4 11 3 2" xfId="35681" xr:uid="{7FED9805-FBE7-4028-85CE-3D917D576466}"/>
    <cellStyle name="Commentaire 2 4 11 4" xfId="30918" xr:uid="{9F2163AF-DAA0-49D1-8395-C1FA04E2D29F}"/>
    <cellStyle name="Commentaire 2 4 12" xfId="23806" xr:uid="{F232B3D3-0377-47A4-9E26-BFE34F5A9179}"/>
    <cellStyle name="Commentaire 2 4 12 2" xfId="26421" xr:uid="{72A55C6F-DD78-4468-8BD0-CF71215231A7}"/>
    <cellStyle name="Commentaire 2 4 12 2 2" xfId="33261" xr:uid="{493D797C-DB27-46D2-8A60-F3ABAF25313E}"/>
    <cellStyle name="Commentaire 2 4 12 3" xfId="26261" xr:uid="{57A9C6CA-F58C-4558-ADDE-C88A284D7571}"/>
    <cellStyle name="Commentaire 2 4 12 3 2" xfId="33089" xr:uid="{0E29AC28-2858-4703-B73D-BBD4B5EDBE79}"/>
    <cellStyle name="Commentaire 2 4 12 4" xfId="23383" xr:uid="{F0407570-1C4C-4DEA-AF22-07D69BF31341}"/>
    <cellStyle name="Commentaire 2 4 13" xfId="25781" xr:uid="{1CB872D1-9725-4A73-BB05-0F53C67276F6}"/>
    <cellStyle name="Commentaire 2 4 13 2" xfId="28447" xr:uid="{8D9D6AB7-8FAB-4CAE-98F0-18C8E5B66341}"/>
    <cellStyle name="Commentaire 2 4 13 2 2" xfId="35292" xr:uid="{67178BD4-8A37-419D-89A9-B2F3629952ED}"/>
    <cellStyle name="Commentaire 2 4 13 3" xfId="30528" xr:uid="{B6B0B8D3-ECEB-4D12-9877-54A908D7CDCE}"/>
    <cellStyle name="Commentaire 2 4 13 3 2" xfId="37373" xr:uid="{7A7E8B10-3213-48BA-BEC6-B7D74AE3527A}"/>
    <cellStyle name="Commentaire 2 4 13 4" xfId="32610" xr:uid="{BE7744F3-575D-45C7-8F8E-4EACE3C4DEAE}"/>
    <cellStyle name="Commentaire 2 4 14" xfId="25208" xr:uid="{757E2BC0-6532-48E5-90D6-A2BDAD1E6627}"/>
    <cellStyle name="Commentaire 2 4 14 2" xfId="27880" xr:uid="{DF419411-608F-4EA8-928F-23CEBD1955B5}"/>
    <cellStyle name="Commentaire 2 4 14 2 2" xfId="34725" xr:uid="{A2AEFC1C-5EAA-4933-9835-DCF45648B703}"/>
    <cellStyle name="Commentaire 2 4 14 3" xfId="29961" xr:uid="{8E7AA77C-2AE7-45F9-8C16-282E6770A0E7}"/>
    <cellStyle name="Commentaire 2 4 14 3 2" xfId="36806" xr:uid="{1DC981D9-9FF1-473C-A53E-7B19B816B42F}"/>
    <cellStyle name="Commentaire 2 4 14 4" xfId="32043" xr:uid="{33D42308-DDCC-465F-B04F-7F0A458AAFC6}"/>
    <cellStyle name="Commentaire 2 4 15" xfId="25907" xr:uid="{FDB72B9A-C65E-48B5-8D70-E759164BA36D}"/>
    <cellStyle name="Commentaire 2 4 15 2" xfId="28573" xr:uid="{9E651999-8C6E-4522-8481-02C72644946A}"/>
    <cellStyle name="Commentaire 2 4 15 2 2" xfId="35418" xr:uid="{31FA2B40-FEAE-4E51-ADFC-B55365F3A087}"/>
    <cellStyle name="Commentaire 2 4 15 3" xfId="30654" xr:uid="{7745FAC1-8765-411E-9F70-973A79B90930}"/>
    <cellStyle name="Commentaire 2 4 15 3 2" xfId="37499" xr:uid="{B4F8711B-44A3-4889-BBA7-4C2CE9DE30BE}"/>
    <cellStyle name="Commentaire 2 4 15 4" xfId="32736" xr:uid="{D6330791-97C4-4B6E-A481-F04D1E813E71}"/>
    <cellStyle name="Commentaire 2 4 16" xfId="25930" xr:uid="{D03AE976-4EFE-4024-9AFD-055A94D5BF50}"/>
    <cellStyle name="Commentaire 2 4 16 2" xfId="28596" xr:uid="{FBF6B571-F9DD-4B10-849F-8D60DB814DD7}"/>
    <cellStyle name="Commentaire 2 4 16 2 2" xfId="35441" xr:uid="{8B73C6C9-4D57-481C-8420-A4973BD2B857}"/>
    <cellStyle name="Commentaire 2 4 16 3" xfId="30677" xr:uid="{5A4B7AA1-08C9-43CB-A954-B8CCD00CFD42}"/>
    <cellStyle name="Commentaire 2 4 16 3 2" xfId="37522" xr:uid="{3B6A7A18-E141-402F-9373-F16E5CBD1208}"/>
    <cellStyle name="Commentaire 2 4 16 4" xfId="32759" xr:uid="{A13508BB-C30E-45B6-8824-9A0938B3A969}"/>
    <cellStyle name="Commentaire 2 4 17" xfId="23075" xr:uid="{4B612421-7799-4998-B21D-FB09C4EEDE8F}"/>
    <cellStyle name="Commentaire 2 4 2" xfId="18539" xr:uid="{5A216641-513E-42D1-ACC6-62F668678083}"/>
    <cellStyle name="Commentaire 2 4 2 10" xfId="22012" xr:uid="{62D82439-90C7-4E39-9EE2-F39D0FA77A18}"/>
    <cellStyle name="Commentaire 2 4 2 11" xfId="19190" xr:uid="{801075A6-FD90-4468-8DD0-5AACDFC5740E}"/>
    <cellStyle name="Commentaire 2 4 2 12" xfId="22659" xr:uid="{A09540B4-7409-4F5E-AFFA-74B1D71CF98D}"/>
    <cellStyle name="Commentaire 2 4 2 13" xfId="22213" xr:uid="{2E6E5822-A9A9-47A5-AF2A-3DEE642DF374}"/>
    <cellStyle name="Commentaire 2 4 2 14" xfId="18950" xr:uid="{0F2D585C-D795-4263-BA37-1907ECD0A4FD}"/>
    <cellStyle name="Commentaire 2 4 2 15" xfId="21510" xr:uid="{BF7FF2CB-6119-44E1-A440-4E60B6EFAEA9}"/>
    <cellStyle name="Commentaire 2 4 2 16" xfId="31424" xr:uid="{7928A562-3DAB-42CB-B5EB-9D4816CE5E3C}"/>
    <cellStyle name="Commentaire 2 4 2 2" xfId="19414" xr:uid="{67E247BF-FDEC-421F-BF17-1B98468CA741}"/>
    <cellStyle name="Commentaire 2 4 2 2 2" xfId="27262" xr:uid="{1EA5E156-E78A-43D9-84E5-27BEEF6F8906}"/>
    <cellStyle name="Commentaire 2 4 2 2 3" xfId="34106" xr:uid="{7F2FEFD8-7BE5-433B-9703-6D8C4A9E0FF7}"/>
    <cellStyle name="Commentaire 2 4 2 3" xfId="21052" xr:uid="{2ACD0768-8BC3-4FFF-8281-50FED68EF78A}"/>
    <cellStyle name="Commentaire 2 4 2 3 2" xfId="29342" xr:uid="{550CFAB3-3797-46C9-8248-05B13E9A0F58}"/>
    <cellStyle name="Commentaire 2 4 2 3 3" xfId="36187" xr:uid="{E0F9F617-689B-4657-8519-D2C71807E076}"/>
    <cellStyle name="Commentaire 2 4 2 4" xfId="18973" xr:uid="{58C7B765-4EC0-4713-93CF-A58B11B60444}"/>
    <cellStyle name="Commentaire 2 4 2 5" xfId="20578" xr:uid="{F9C68B8D-4D7D-43E5-9536-4D98FB1308ED}"/>
    <cellStyle name="Commentaire 2 4 2 6" xfId="18856" xr:uid="{620BEBF9-990D-46F4-8CDB-4EAD677E981A}"/>
    <cellStyle name="Commentaire 2 4 2 7" xfId="21273" xr:uid="{D0A5B2AF-5F66-48C7-A47B-3F52F01F317B}"/>
    <cellStyle name="Commentaire 2 4 2 8" xfId="21419" xr:uid="{F84E9FA0-ECBC-43CF-99FB-1E401769CBD8}"/>
    <cellStyle name="Commentaire 2 4 2 9" xfId="21984" xr:uid="{BA3EA4CB-1B18-437A-BC44-0EA85476ADE5}"/>
    <cellStyle name="Commentaire 2 4 3" xfId="24732" xr:uid="{8DBA1FBC-9119-4906-8E2F-78211B187D69}"/>
    <cellStyle name="Commentaire 2 4 3 2" xfId="27380" xr:uid="{DE3CBB89-56B3-4FE7-8ED5-AB65ABDDBA34}"/>
    <cellStyle name="Commentaire 2 4 3 2 2" xfId="34224" xr:uid="{A41573E5-B2A8-4787-AFA3-8AD354B4FD8F}"/>
    <cellStyle name="Commentaire 2 4 3 3" xfId="29460" xr:uid="{CC6C2190-22DF-4947-AE9A-E30474DEC9D1}"/>
    <cellStyle name="Commentaire 2 4 3 3 2" xfId="36305" xr:uid="{07C001FF-237B-4774-9DF6-593DCFF7FC91}"/>
    <cellStyle name="Commentaire 2 4 3 4" xfId="31542" xr:uid="{4407D5E3-64BA-4EFD-9A05-3DB19549BCF4}"/>
    <cellStyle name="Commentaire 2 4 4" xfId="24495" xr:uid="{F33B482F-6203-4E73-B09A-163327827703}"/>
    <cellStyle name="Commentaire 2 4 4 2" xfId="27106" xr:uid="{9E988F88-AD7B-4B28-88F6-77EBBDAA71D7}"/>
    <cellStyle name="Commentaire 2 4 4 2 2" xfId="33946" xr:uid="{ADA01078-BB24-4547-96BD-79226A425284}"/>
    <cellStyle name="Commentaire 2 4 4 3" xfId="29182" xr:uid="{18D3B7E4-31DA-4BF0-A2AF-99CDB3C7A703}"/>
    <cellStyle name="Commentaire 2 4 4 3 2" xfId="36027" xr:uid="{69D4FD6C-2548-46A3-9258-7E83EE16931A}"/>
    <cellStyle name="Commentaire 2 4 4 4" xfId="31264" xr:uid="{93C3AD19-0AC6-4D0D-9D0C-3BAB6136A3A5}"/>
    <cellStyle name="Commentaire 2 4 5" xfId="24861" xr:uid="{79751D1E-5B7B-4372-AADB-4657C59D04E0}"/>
    <cellStyle name="Commentaire 2 4 5 2" xfId="27524" xr:uid="{9C805EE7-66AC-40A3-94FF-1180FF7CB6DB}"/>
    <cellStyle name="Commentaire 2 4 5 2 2" xfId="34368" xr:uid="{4A14C151-0807-441C-85CA-D473EA3FA651}"/>
    <cellStyle name="Commentaire 2 4 5 3" xfId="29604" xr:uid="{802347BF-68FD-4C95-91A7-F45A43BFAF46}"/>
    <cellStyle name="Commentaire 2 4 5 3 2" xfId="36449" xr:uid="{80DF63B9-663E-45A5-9F4B-296272E40318}"/>
    <cellStyle name="Commentaire 2 4 5 4" xfId="31686" xr:uid="{FC8F258C-AC39-46EA-8EA8-26025487489E}"/>
    <cellStyle name="Commentaire 2 4 6" xfId="24180" xr:uid="{C7016288-02B8-4A65-B8F6-D001090E4D37}"/>
    <cellStyle name="Commentaire 2 4 6 2" xfId="26791" xr:uid="{850911FB-B45A-4F7E-80DC-A25C34C7D1E6}"/>
    <cellStyle name="Commentaire 2 4 6 2 2" xfId="33631" xr:uid="{4B88FA9E-156B-4157-9599-6EB642E4F9DC}"/>
    <cellStyle name="Commentaire 2 4 6 3" xfId="28867" xr:uid="{12DCFBCD-B818-4938-88F5-2FF767426BBD}"/>
    <cellStyle name="Commentaire 2 4 6 3 2" xfId="35712" xr:uid="{D2D9AE35-8ADF-4508-AD15-DDA94609129F}"/>
    <cellStyle name="Commentaire 2 4 6 4" xfId="30949" xr:uid="{30234ED8-BE4F-4F5E-B3C2-3A3982293642}"/>
    <cellStyle name="Commentaire 2 4 7" xfId="23874" xr:uid="{38DE8B7E-9AAF-480D-872D-D511557A4092}"/>
    <cellStyle name="Commentaire 2 4 7 2" xfId="26493" xr:uid="{9806BC91-1E33-4104-9396-680EEF249941}"/>
    <cellStyle name="Commentaire 2 4 7 2 2" xfId="33333" xr:uid="{1E3E1C1A-7AB0-46ED-85B3-AE658C56811C}"/>
    <cellStyle name="Commentaire 2 4 7 3" xfId="26191" xr:uid="{4E01989C-770F-41A6-B982-C3A8A7E21D26}"/>
    <cellStyle name="Commentaire 2 4 7 3 2" xfId="33019" xr:uid="{BF0010FE-34F9-4E83-9ED6-532414564222}"/>
    <cellStyle name="Commentaire 2 4 7 4" xfId="23313" xr:uid="{DDDDC9DB-71E7-4B58-91E1-3D5E9F55FD8C}"/>
    <cellStyle name="Commentaire 2 4 8" xfId="25183" xr:uid="{FF0CC67B-561D-43C3-9C8E-AE5FD0436862}"/>
    <cellStyle name="Commentaire 2 4 8 2" xfId="27855" xr:uid="{0EA28D13-163E-4F8C-B07A-EEBC193C3FCD}"/>
    <cellStyle name="Commentaire 2 4 8 2 2" xfId="34700" xr:uid="{3800EFBE-D671-4835-9C00-0BE24CB8A7CD}"/>
    <cellStyle name="Commentaire 2 4 8 3" xfId="29936" xr:uid="{FFF34A65-FA49-4CCE-BE15-BC77DCE8B5DC}"/>
    <cellStyle name="Commentaire 2 4 8 3 2" xfId="36781" xr:uid="{F7A78372-81DD-42ED-867E-5E2C452EF90D}"/>
    <cellStyle name="Commentaire 2 4 8 4" xfId="32018" xr:uid="{1860C20E-3563-40B8-9E20-2A9FC8F2DC53}"/>
    <cellStyle name="Commentaire 2 4 9" xfId="23985" xr:uid="{DB0EB354-132F-4243-8A4B-A5E6FD264F34}"/>
    <cellStyle name="Commentaire 2 4 9 2" xfId="26602" xr:uid="{E24FE6DA-A1F2-4886-8BD6-8D895C5EF738}"/>
    <cellStyle name="Commentaire 2 4 9 2 2" xfId="33442" xr:uid="{D211B8A9-7A57-4C57-8F33-9D14F2795056}"/>
    <cellStyle name="Commentaire 2 4 9 3" xfId="26091" xr:uid="{C75FC202-8755-4DE5-A076-4EC9C968F480}"/>
    <cellStyle name="Commentaire 2 4 9 3 2" xfId="32919" xr:uid="{052A9186-C21C-43B4-A956-D5D2914EC53B}"/>
    <cellStyle name="Commentaire 2 4 9 4" xfId="23213" xr:uid="{7FF1AEE9-D634-4A76-8E36-82BEEB39CD6E}"/>
    <cellStyle name="Commentaire 2 5" xfId="18809" xr:uid="{B6663B88-D5F9-4CC8-8DB4-76CEE366FC09}"/>
    <cellStyle name="Commentaire 2 5 10" xfId="20906" xr:uid="{D71F059C-47E3-46AF-B12B-9E47A19B962B}"/>
    <cellStyle name="Commentaire 2 5 11" xfId="20726" xr:uid="{C9E63255-69BE-44B3-BAEE-FD77EC950A5D}"/>
    <cellStyle name="Commentaire 2 5 12" xfId="22843" xr:uid="{8E657A45-C16A-47EF-A23F-BEA6437FE345}"/>
    <cellStyle name="Commentaire 2 5 13" xfId="22609" xr:uid="{41DE2F84-4138-490E-97F6-6B1C214FE305}"/>
    <cellStyle name="Commentaire 2 5 14" xfId="22977" xr:uid="{65EE27CF-4C89-478B-80D7-9A35D4937C00}"/>
    <cellStyle name="Commentaire 2 5 15" xfId="22156" xr:uid="{E520F613-8614-4D0A-BE40-60F3951DD119}"/>
    <cellStyle name="Commentaire 2 5 16" xfId="31301" xr:uid="{397A17B2-48EE-4262-9509-2491128A0CB7}"/>
    <cellStyle name="Commentaire 2 5 2" xfId="19748" xr:uid="{C6A667A1-CAEE-4139-B23C-CBE6A90AB0FE}"/>
    <cellStyle name="Commentaire 2 5 2 2" xfId="27142" xr:uid="{75FA8CD1-F1A2-478B-A3C8-CC50972CC0A5}"/>
    <cellStyle name="Commentaire 2 5 2 3" xfId="33983" xr:uid="{CA62D72B-DD04-4F65-83DE-E0EDF6B89ED2}"/>
    <cellStyle name="Commentaire 2 5 3" xfId="21006" xr:uid="{F8F69563-49A0-4CCD-B031-0BF4EE2E30FA}"/>
    <cellStyle name="Commentaire 2 5 3 2" xfId="29219" xr:uid="{507DA396-F6C0-4C3C-83A6-02EE1D26B579}"/>
    <cellStyle name="Commentaire 2 5 3 3" xfId="36064" xr:uid="{D2407BB3-DC99-48E4-959F-7A5DBDC099D8}"/>
    <cellStyle name="Commentaire 2 5 4" xfId="21267" xr:uid="{203C0D1C-1C89-4FAE-9D3C-8AF110E00D93}"/>
    <cellStyle name="Commentaire 2 5 5" xfId="19087" xr:uid="{08CA2474-32C8-49CD-90B1-F2AAF34A82F9}"/>
    <cellStyle name="Commentaire 2 5 6" xfId="19195" xr:uid="{DF57AAC2-807B-4959-A934-A322F6368FBB}"/>
    <cellStyle name="Commentaire 2 5 7" xfId="19517" xr:uid="{70558353-F71F-416C-BC55-631E88E54591}"/>
    <cellStyle name="Commentaire 2 5 8" xfId="22352" xr:uid="{9FBF4FDB-9B8B-4358-A790-EF2728AF7B06}"/>
    <cellStyle name="Commentaire 2 5 9" xfId="22599" xr:uid="{AF3AE62F-5E3C-4E7E-8B46-48CD27832F02}"/>
    <cellStyle name="Commentaire 2 6" xfId="24608" xr:uid="{613B21F1-3398-41DA-8EEC-83C325D199CB}"/>
    <cellStyle name="Commentaire 2 6 2" xfId="27204" xr:uid="{AA41E1B7-4AB2-42DA-AA54-F9970C638471}"/>
    <cellStyle name="Commentaire 2 6 2 2" xfId="34045" xr:uid="{F664111A-587D-4F7E-838C-F0C298B4F821}"/>
    <cellStyle name="Commentaire 2 6 3" xfId="29281" xr:uid="{50747B37-6708-4BD6-8B54-120DE91AC073}"/>
    <cellStyle name="Commentaire 2 6 3 2" xfId="36126" xr:uid="{3C98CB81-D80E-4EC6-8460-A0717DF657FC}"/>
    <cellStyle name="Commentaire 2 6 4" xfId="31363" xr:uid="{2DDBE6DD-9704-4DE6-867C-B7B10F3210B9}"/>
    <cellStyle name="Commentaire 2 7" xfId="24921" xr:uid="{4BFC3271-E4EF-4CB2-83E7-C481A760749A}"/>
    <cellStyle name="Commentaire 2 7 2" xfId="27590" xr:uid="{E00B1C58-1FD9-48AD-8BFC-66402E4E7C8A}"/>
    <cellStyle name="Commentaire 2 7 2 2" xfId="34434" xr:uid="{E1AC701F-E589-4B77-8760-FCE51CEF9108}"/>
    <cellStyle name="Commentaire 2 7 3" xfId="29670" xr:uid="{8DD1028C-B561-4607-AE48-A799494ACDD4}"/>
    <cellStyle name="Commentaire 2 7 3 2" xfId="36515" xr:uid="{C5C28A5D-16C2-4057-BCE3-00AF81032E43}"/>
    <cellStyle name="Commentaire 2 7 4" xfId="31752" xr:uid="{8A0F777A-2D1A-4A60-A68C-FE79F5D877D6}"/>
    <cellStyle name="Commentaire 2 8" xfId="24894" xr:uid="{1F3C27EB-44D8-4C1D-A22D-CB8EFF6007F9}"/>
    <cellStyle name="Commentaire 2 8 2" xfId="27562" xr:uid="{82768B9E-57F6-4347-AA1A-90B637B481D5}"/>
    <cellStyle name="Commentaire 2 8 2 2" xfId="34406" xr:uid="{33937148-4AAB-43B0-97D5-89C74AEE2210}"/>
    <cellStyle name="Commentaire 2 8 3" xfId="29642" xr:uid="{692BCFD3-2A07-4EB1-AE4C-2ADE09A010F1}"/>
    <cellStyle name="Commentaire 2 8 3 2" xfId="36487" xr:uid="{A062095E-9884-4AEA-9D3D-FD9F1CFC590B}"/>
    <cellStyle name="Commentaire 2 8 4" xfId="31724" xr:uid="{816932D0-26A5-4779-AA9F-6B490E91ECBE}"/>
    <cellStyle name="Commentaire 2 9" xfId="24502" xr:uid="{5055D13D-78EE-40C0-9B6F-A2A39CB21FB0}"/>
    <cellStyle name="Commentaire 2 9 2" xfId="27113" xr:uid="{EEEF5F27-5004-49B7-B750-2E41A99999BA}"/>
    <cellStyle name="Commentaire 2 9 2 2" xfId="33953" xr:uid="{C931B634-E86D-459B-B4F2-3D6DE7F344FB}"/>
    <cellStyle name="Commentaire 2 9 3" xfId="29189" xr:uid="{9BCD9E0F-5414-4998-B54E-EC7D358598D1}"/>
    <cellStyle name="Commentaire 2 9 3 2" xfId="36034" xr:uid="{5AA28B11-285A-4379-B0B1-7963959F2298}"/>
    <cellStyle name="Commentaire 2 9 4" xfId="31271" xr:uid="{18D3C679-86C0-4B93-A4B3-55F2CA5847D5}"/>
    <cellStyle name="Commentaire 20" xfId="15353" xr:uid="{7EC1B70F-CABE-44CE-807C-2EA812D3B8E1}"/>
    <cellStyle name="Commentaire 21" xfId="46863" xr:uid="{F327367D-49AE-4D1A-A975-AB17F6544BAC}"/>
    <cellStyle name="Commentaire 22" xfId="16463" xr:uid="{4DB0D57C-A3F9-432B-A9EB-17E940C65699}"/>
    <cellStyle name="Commentaire 23" xfId="40600" xr:uid="{8F2E4B71-74A3-456D-8273-1A5F8E5DB74D}"/>
    <cellStyle name="Commentaire 24" xfId="49588" xr:uid="{67401B89-4DD6-4362-ACA7-05BD6BBCCCDF}"/>
    <cellStyle name="Commentaire 3" xfId="17530" xr:uid="{D47D7216-81E3-4BC6-B6E0-C4794BE57C32}"/>
    <cellStyle name="Commentaire 3 10" xfId="24811" xr:uid="{93128A17-09D6-4B02-BCC0-1CB850011FAD}"/>
    <cellStyle name="Commentaire 3 10 2" xfId="27468" xr:uid="{7444FB43-5DC0-44AF-9C88-26421F7854E6}"/>
    <cellStyle name="Commentaire 3 10 2 2" xfId="34312" xr:uid="{B87DF7DC-841C-4CD8-81AC-C15916364C8B}"/>
    <cellStyle name="Commentaire 3 10 3" xfId="29548" xr:uid="{C4CAB070-DD1E-48CA-ACFD-F8207A21E74E}"/>
    <cellStyle name="Commentaire 3 10 3 2" xfId="36393" xr:uid="{F9AE6F14-99B3-42F8-808B-9A9CA5472A1C}"/>
    <cellStyle name="Commentaire 3 10 4" xfId="31630" xr:uid="{F3501A0D-2759-472D-8E55-8DB0EF14D17E}"/>
    <cellStyle name="Commentaire 3 11" xfId="25302" xr:uid="{C90C5489-167D-4617-B263-A44AEC893D61}"/>
    <cellStyle name="Commentaire 3 11 2" xfId="27973" xr:uid="{921AE5A8-731D-4D0D-BA1D-BCC4C9AE8B8A}"/>
    <cellStyle name="Commentaire 3 11 2 2" xfId="34818" xr:uid="{3F8B3CB7-DEDE-4FDE-B2A7-B50175864961}"/>
    <cellStyle name="Commentaire 3 11 3" xfId="30054" xr:uid="{3C6E13A2-8390-4384-83FA-3028CB4F737A}"/>
    <cellStyle name="Commentaire 3 11 3 2" xfId="36899" xr:uid="{A336AB00-2F75-4736-BAFB-BB27FA24461F}"/>
    <cellStyle name="Commentaire 3 11 4" xfId="32136" xr:uid="{240F766A-C93E-4F65-8AA2-0A56472DE027}"/>
    <cellStyle name="Commentaire 3 12" xfId="24076" xr:uid="{ED96E118-932E-4215-899D-9E4BDB871486}"/>
    <cellStyle name="Commentaire 3 12 2" xfId="26689" xr:uid="{7DC4BB87-FD03-4816-8AFA-F6026807E759}"/>
    <cellStyle name="Commentaire 3 12 2 2" xfId="33529" xr:uid="{49C654E5-7ED3-4DCE-B6A6-48AF14459794}"/>
    <cellStyle name="Commentaire 3 12 3" xfId="28765" xr:uid="{5BC5E94E-ED9D-435E-B073-CAD4BE334A37}"/>
    <cellStyle name="Commentaire 3 12 3 2" xfId="35610" xr:uid="{EE0C5519-8212-45D9-B832-B704C9C4F401}"/>
    <cellStyle name="Commentaire 3 12 4" xfId="30847" xr:uid="{0009F16B-9738-48EA-A4F8-D946FDD55D80}"/>
    <cellStyle name="Commentaire 3 13" xfId="25488" xr:uid="{B50E03A1-82FB-4AFB-AA42-2F2D58598F7D}"/>
    <cellStyle name="Commentaire 3 13 2" xfId="28155" xr:uid="{CC782CA9-C098-4E1B-B3FA-8A1D7A0390FC}"/>
    <cellStyle name="Commentaire 3 13 2 2" xfId="35000" xr:uid="{D0B77A03-2A02-40B0-9BC1-6BDD24DB2292}"/>
    <cellStyle name="Commentaire 3 13 3" xfId="30236" xr:uid="{0DB9C338-CF10-4502-898C-E233CC98A594}"/>
    <cellStyle name="Commentaire 3 13 3 2" xfId="37081" xr:uid="{072A8273-0AF6-4CE7-A8FF-5A6520B0B86E}"/>
    <cellStyle name="Commentaire 3 13 4" xfId="32318" xr:uid="{7095173C-9632-4FBE-871F-D754236FE9D8}"/>
    <cellStyle name="Commentaire 3 14" xfId="25536" xr:uid="{61624585-74B0-4CAC-AAD9-E46E7B61212B}"/>
    <cellStyle name="Commentaire 3 14 2" xfId="28203" xr:uid="{AA5E8F04-C596-4D41-91C4-8E3D8F66F7BD}"/>
    <cellStyle name="Commentaire 3 14 2 2" xfId="35048" xr:uid="{CC86D857-7723-43BB-BEB4-8B4CE7499030}"/>
    <cellStyle name="Commentaire 3 14 3" xfId="30284" xr:uid="{54A4955A-F60A-48A8-8D15-FE87A5CBFA2A}"/>
    <cellStyle name="Commentaire 3 14 3 2" xfId="37129" xr:uid="{E6126A5B-F5A6-4257-B8F4-939E81AAB008}"/>
    <cellStyle name="Commentaire 3 14 4" xfId="32366" xr:uid="{5D79477F-6301-4FB1-9644-0F81039C44FE}"/>
    <cellStyle name="Commentaire 3 15" xfId="23923" xr:uid="{5FA0AE84-53AC-48A9-B380-F04859616A21}"/>
    <cellStyle name="Commentaire 3 15 2" xfId="26541" xr:uid="{954F9AB1-5A37-42EF-B22B-E81F8EAF3E25}"/>
    <cellStyle name="Commentaire 3 15 2 2" xfId="33381" xr:uid="{A5979CC3-A503-4478-8CC5-27A27DC6E453}"/>
    <cellStyle name="Commentaire 3 15 3" xfId="26144" xr:uid="{36013BAD-9746-4F84-B0C1-32E5AC9F0632}"/>
    <cellStyle name="Commentaire 3 15 3 2" xfId="32972" xr:uid="{B12CB1D3-D82E-4F59-9A0B-ACAAFD43B028}"/>
    <cellStyle name="Commentaire 3 15 4" xfId="23266" xr:uid="{FCF36975-9A69-4CB5-B951-E7ADC3C18555}"/>
    <cellStyle name="Commentaire 3 16" xfId="25983" xr:uid="{7A46D762-DB53-4C72-9A93-CF90F5CBAC31}"/>
    <cellStyle name="Commentaire 3 16 2" xfId="28649" xr:uid="{96ACAA68-3942-456B-9A7C-D306D70663F7}"/>
    <cellStyle name="Commentaire 3 16 2 2" xfId="35494" xr:uid="{30FF7B6B-B01A-4FB2-8375-8644148A938D}"/>
    <cellStyle name="Commentaire 3 16 3" xfId="30730" xr:uid="{F3B300DC-1BA3-4126-88DE-4D9FF6652786}"/>
    <cellStyle name="Commentaire 3 16 3 2" xfId="37575" xr:uid="{8A3B07BF-56CE-403A-B9DB-AFAF3B1E3FB0}"/>
    <cellStyle name="Commentaire 3 16 4" xfId="32812" xr:uid="{F46C5C90-CD71-463A-8899-D166C03B758B}"/>
    <cellStyle name="Commentaire 3 17" xfId="23095" xr:uid="{90F154E7-CF2E-4DAB-B371-BE78BB4491C6}"/>
    <cellStyle name="Commentaire 3 2" xfId="17560" xr:uid="{23AC25B8-38D8-4EA1-9179-CC61290331A4}"/>
    <cellStyle name="Commentaire 3 2 10" xfId="25401" xr:uid="{1FD7D5CF-8A6F-466D-A45B-A5E893E43163}"/>
    <cellStyle name="Commentaire 3 2 10 2" xfId="28068" xr:uid="{64256249-C965-4B6E-821F-1BF0C90FDDA5}"/>
    <cellStyle name="Commentaire 3 2 10 2 2" xfId="34913" xr:uid="{25AA86E5-AD96-4ADC-83A6-1C0F7546A8D0}"/>
    <cellStyle name="Commentaire 3 2 10 3" xfId="30149" xr:uid="{1AE13C49-2CF0-458C-8A12-E34948CD0367}"/>
    <cellStyle name="Commentaire 3 2 10 3 2" xfId="36994" xr:uid="{89686ADF-EF37-48A4-B4B7-3223FDA065D0}"/>
    <cellStyle name="Commentaire 3 2 10 4" xfId="32231" xr:uid="{EDD99A7D-33DF-4AC2-945B-9766621E04E3}"/>
    <cellStyle name="Commentaire 3 2 11" xfId="24114" xr:uid="{A0CC03A4-7BC0-4056-8083-758A8EC08356}"/>
    <cellStyle name="Commentaire 3 2 11 2" xfId="26726" xr:uid="{76063C2B-FCA9-417A-9A38-8E110108D294}"/>
    <cellStyle name="Commentaire 3 2 11 2 2" xfId="33566" xr:uid="{416AE777-C961-416D-9DA8-43E69366D292}"/>
    <cellStyle name="Commentaire 3 2 11 3" xfId="28802" xr:uid="{97123616-9619-4692-93F4-CBA0935B50CA}"/>
    <cellStyle name="Commentaire 3 2 11 3 2" xfId="35647" xr:uid="{337E1B29-A56D-4624-A6A7-5FEB4E232259}"/>
    <cellStyle name="Commentaire 3 2 11 4" xfId="30884" xr:uid="{BA123816-8835-4154-8C15-3A775C8AE4F1}"/>
    <cellStyle name="Commentaire 3 2 12" xfId="25534" xr:uid="{F5B7954F-2D7C-42A4-B0B9-29650937726E}"/>
    <cellStyle name="Commentaire 3 2 12 2" xfId="28201" xr:uid="{0449DEF6-334D-4C96-A72B-0EBF0053EA94}"/>
    <cellStyle name="Commentaire 3 2 12 2 2" xfId="35046" xr:uid="{38CC9493-27F0-4F60-B99C-CB11C241942D}"/>
    <cellStyle name="Commentaire 3 2 12 3" xfId="30282" xr:uid="{983D25E6-D8BA-4A5B-8FDB-5BAAF854D0B8}"/>
    <cellStyle name="Commentaire 3 2 12 3 2" xfId="37127" xr:uid="{9EC62E1B-2AD6-41B0-A771-01BC8FEC07CA}"/>
    <cellStyle name="Commentaire 3 2 12 4" xfId="32364" xr:uid="{64DEB0AC-DD4B-4D72-BEA1-B10D7D650513}"/>
    <cellStyle name="Commentaire 3 2 13" xfId="25703" xr:uid="{38AA9A62-2A70-4F76-8051-182002973665}"/>
    <cellStyle name="Commentaire 3 2 13 2" xfId="28370" xr:uid="{D7F895B5-BB21-47B2-9828-050CF69CEBE5}"/>
    <cellStyle name="Commentaire 3 2 13 2 2" xfId="35215" xr:uid="{26E2FDB1-07F9-47A2-8CA1-A4C6DCB899BB}"/>
    <cellStyle name="Commentaire 3 2 13 3" xfId="30451" xr:uid="{97DDB235-678B-46DB-9716-ADCD5FE7CF19}"/>
    <cellStyle name="Commentaire 3 2 13 3 2" xfId="37296" xr:uid="{FD188AA8-2CE8-4674-BF72-A1A0851F8BD3}"/>
    <cellStyle name="Commentaire 3 2 13 4" xfId="32533" xr:uid="{1E71E2B7-480C-405E-985A-62975AF46A7B}"/>
    <cellStyle name="Commentaire 3 2 14" xfId="25892" xr:uid="{0A5F8371-9990-4260-B46B-CA114DFD6A0C}"/>
    <cellStyle name="Commentaire 3 2 14 2" xfId="28558" xr:uid="{4693C474-B7E9-4760-B8A6-03A07803FD66}"/>
    <cellStyle name="Commentaire 3 2 14 2 2" xfId="35403" xr:uid="{488FA99A-3318-4401-A0DC-1013A2AD49D3}"/>
    <cellStyle name="Commentaire 3 2 14 3" xfId="30639" xr:uid="{4D4E97A5-A6B3-461F-8A68-0699FCB7A1E0}"/>
    <cellStyle name="Commentaire 3 2 14 3 2" xfId="37484" xr:uid="{0039E923-F45B-4602-A83F-4B5F637A3CC9}"/>
    <cellStyle name="Commentaire 3 2 14 4" xfId="32721" xr:uid="{FF661935-C054-4756-870C-40704107A5AF}"/>
    <cellStyle name="Commentaire 3 2 15" xfId="25604" xr:uid="{8134F165-1AE2-4CB0-AB9A-DB4F85E6FD37}"/>
    <cellStyle name="Commentaire 3 2 15 2" xfId="28271" xr:uid="{77D2B1E3-BD20-4B11-A11B-BFD7A172638A}"/>
    <cellStyle name="Commentaire 3 2 15 2 2" xfId="35116" xr:uid="{DA188B5E-9E0C-4DAB-AF58-E35205782BFE}"/>
    <cellStyle name="Commentaire 3 2 15 3" xfId="30352" xr:uid="{293B8C26-95CD-4EBB-B373-BAA945DAB3FC}"/>
    <cellStyle name="Commentaire 3 2 15 3 2" xfId="37197" xr:uid="{5CCB2C68-E504-449C-987A-7F9D5DF5B047}"/>
    <cellStyle name="Commentaire 3 2 15 4" xfId="32434" xr:uid="{73F612DB-9124-4411-88B6-22F25F989CFD}"/>
    <cellStyle name="Commentaire 3 2 16" xfId="23642" xr:uid="{1B2BEA75-EA61-4D7C-9FEE-496CC3358052}"/>
    <cellStyle name="Commentaire 3 2 2" xfId="17831" xr:uid="{89DCEDD3-7833-4B61-BEAC-ADCA71380D99}"/>
    <cellStyle name="Commentaire 3 2 2 10" xfId="24121" xr:uid="{062E9BEF-4119-4FE5-8A8E-58080142804B}"/>
    <cellStyle name="Commentaire 3 2 2 10 2" xfId="26733" xr:uid="{52CCFFC4-EF91-4E6D-A815-54D229D7B2E8}"/>
    <cellStyle name="Commentaire 3 2 2 10 2 2" xfId="33573" xr:uid="{2B4FDA60-7201-45A4-9CA8-918CCBAA2375}"/>
    <cellStyle name="Commentaire 3 2 2 10 3" xfId="28809" xr:uid="{FA849064-7C42-450E-859F-201A9F18EE0E}"/>
    <cellStyle name="Commentaire 3 2 2 10 3 2" xfId="35654" xr:uid="{B456BD4E-39D6-4BB4-9D9C-7D1F53D991B6}"/>
    <cellStyle name="Commentaire 3 2 2 10 4" xfId="30891" xr:uid="{C95D5146-347D-4128-8D0A-148E20C2A3D5}"/>
    <cellStyle name="Commentaire 3 2 2 11" xfId="25655" xr:uid="{4FCF2BF6-4460-45D8-939A-DA561F2FE27A}"/>
    <cellStyle name="Commentaire 3 2 2 11 2" xfId="28322" xr:uid="{B8CF19CD-D7B5-4FBA-AD59-6EA3B0DDBD9E}"/>
    <cellStyle name="Commentaire 3 2 2 11 2 2" xfId="35167" xr:uid="{BB92AEDC-0BF2-4A47-8EB5-3E0505937C8C}"/>
    <cellStyle name="Commentaire 3 2 2 11 3" xfId="30403" xr:uid="{857AC934-BA4D-4187-A7E6-B1222E2D621A}"/>
    <cellStyle name="Commentaire 3 2 2 11 3 2" xfId="37248" xr:uid="{37289F84-1837-4DAB-A43E-209735486861}"/>
    <cellStyle name="Commentaire 3 2 2 11 4" xfId="32485" xr:uid="{7E85764A-C66A-405E-8EB9-E72F7CAC414D}"/>
    <cellStyle name="Commentaire 3 2 2 12" xfId="25760" xr:uid="{A325B6F5-6629-4713-AD64-165449E5AA11}"/>
    <cellStyle name="Commentaire 3 2 2 12 2" xfId="28426" xr:uid="{BEC1F4A6-24DF-4B07-9E3B-D190F863352E}"/>
    <cellStyle name="Commentaire 3 2 2 12 2 2" xfId="35271" xr:uid="{CCFD82C0-8263-4490-8665-37C9B02D2FE4}"/>
    <cellStyle name="Commentaire 3 2 2 12 3" xfId="30507" xr:uid="{9E33D691-4370-4040-9598-587DB54FD4C9}"/>
    <cellStyle name="Commentaire 3 2 2 12 3 2" xfId="37352" xr:uid="{9A0CA9F8-EE29-4146-BFE2-D09AD58AE97C}"/>
    <cellStyle name="Commentaire 3 2 2 12 4" xfId="32589" xr:uid="{D524ACF1-DAC4-4526-8406-ACD22134361F}"/>
    <cellStyle name="Commentaire 3 2 2 13" xfId="25837" xr:uid="{4D7E7B47-FE46-45F8-85A9-583B9BCEB239}"/>
    <cellStyle name="Commentaire 3 2 2 13 2" xfId="28503" xr:uid="{4EDAF03B-59A3-46C7-B2C7-5AB023B116EA}"/>
    <cellStyle name="Commentaire 3 2 2 13 2 2" xfId="35348" xr:uid="{95A8E5FC-6A34-4403-B40A-6BF1E9BAD566}"/>
    <cellStyle name="Commentaire 3 2 2 13 3" xfId="30584" xr:uid="{CC6D210A-C899-4B49-8427-74549811B7E3}"/>
    <cellStyle name="Commentaire 3 2 2 13 3 2" xfId="37429" xr:uid="{13E2CDDD-BC12-49DE-89C1-281B795158E7}"/>
    <cellStyle name="Commentaire 3 2 2 13 4" xfId="32666" xr:uid="{1483C671-6CD2-481E-8572-3BBDC41156F2}"/>
    <cellStyle name="Commentaire 3 2 2 14" xfId="25158" xr:uid="{290B310B-FEB7-4DF9-9190-6C1410198FA7}"/>
    <cellStyle name="Commentaire 3 2 2 14 2" xfId="27830" xr:uid="{A7CE977E-EDBF-4D91-9F60-F89141FAAB81}"/>
    <cellStyle name="Commentaire 3 2 2 14 2 2" xfId="34675" xr:uid="{F23229AC-1A41-4FF3-95CD-B602D4057AD4}"/>
    <cellStyle name="Commentaire 3 2 2 14 3" xfId="29911" xr:uid="{0E2C494C-CCC6-43BA-9B75-A585BC6C1BCD}"/>
    <cellStyle name="Commentaire 3 2 2 14 3 2" xfId="36756" xr:uid="{9AB61A8E-A30A-4546-B480-C1DCF8B0D2DF}"/>
    <cellStyle name="Commentaire 3 2 2 14 4" xfId="31993" xr:uid="{FD0CA420-E536-4953-A5C7-ABB45BCEE368}"/>
    <cellStyle name="Commentaire 3 2 2 15" xfId="25965" xr:uid="{2D13C62B-DCAE-4734-B260-DBC72BF82972}"/>
    <cellStyle name="Commentaire 3 2 2 15 2" xfId="28631" xr:uid="{70A0B85A-F254-40D3-BAA2-317144C045B1}"/>
    <cellStyle name="Commentaire 3 2 2 15 2 2" xfId="35476" xr:uid="{6850ABE5-8843-41A2-8CF6-85905E7A66BF}"/>
    <cellStyle name="Commentaire 3 2 2 15 3" xfId="30712" xr:uid="{14D3B091-DC41-42A7-BBD4-00C70510A45B}"/>
    <cellStyle name="Commentaire 3 2 2 15 3 2" xfId="37557" xr:uid="{BF220831-46BB-443B-A2E1-DCCAD2A951C6}"/>
    <cellStyle name="Commentaire 3 2 2 15 4" xfId="32794" xr:uid="{AE1F6C8A-0894-420C-BA96-CE08AAAC3F1B}"/>
    <cellStyle name="Commentaire 3 2 2 16" xfId="26019" xr:uid="{977DBEB2-3523-43F8-A8E1-662D2B6783BF}"/>
    <cellStyle name="Commentaire 3 2 2 16 2" xfId="28685" xr:uid="{A933AF9F-416C-496B-85BB-5736098CBA7B}"/>
    <cellStyle name="Commentaire 3 2 2 16 2 2" xfId="35530" xr:uid="{FAE8A946-58E8-48F2-AA96-F506ADBD41F5}"/>
    <cellStyle name="Commentaire 3 2 2 16 3" xfId="30766" xr:uid="{4F213D43-32F9-43BF-A7F3-30B9270FAFD4}"/>
    <cellStyle name="Commentaire 3 2 2 16 3 2" xfId="37611" xr:uid="{CEACA6C2-9796-4E3C-B873-4F7BCA7822CD}"/>
    <cellStyle name="Commentaire 3 2 2 16 4" xfId="32848" xr:uid="{26592670-327E-410C-9770-7AF4CE8015BF}"/>
    <cellStyle name="Commentaire 3 2 2 17" xfId="23047" xr:uid="{135188DC-785E-41AA-A297-6CFBB77DAD84}"/>
    <cellStyle name="Commentaire 3 2 2 2" xfId="18442" xr:uid="{5C46B5A8-6531-4C2B-BD11-3B6FFF5A3716}"/>
    <cellStyle name="Commentaire 3 2 2 2 10" xfId="21091" xr:uid="{176B9529-7C4B-4530-8495-6C66EAB2FE1A}"/>
    <cellStyle name="Commentaire 3 2 2 2 11" xfId="19828" xr:uid="{C5CAB8CD-80EF-4D6B-85FA-0D97D797D004}"/>
    <cellStyle name="Commentaire 3 2 2 2 12" xfId="19217" xr:uid="{598647A0-1FD8-4A7E-8793-1B34AB07335D}"/>
    <cellStyle name="Commentaire 3 2 2 2 13" xfId="18969" xr:uid="{ACD16756-605C-415D-B837-707E1DDFCF6A}"/>
    <cellStyle name="Commentaire 3 2 2 2 14" xfId="22094" xr:uid="{792E03B0-C013-489D-A5C6-F67357F579C9}"/>
    <cellStyle name="Commentaire 3 2 2 2 15" xfId="19009" xr:uid="{06ACF859-9499-46C4-9D6E-4281910F4FDD}"/>
    <cellStyle name="Commentaire 3 2 2 2 16" xfId="31501" xr:uid="{2E95B3F0-3AB0-4A96-A638-EA91A4BAEC9D}"/>
    <cellStyle name="Commentaire 3 2 2 2 2" xfId="19931" xr:uid="{C1AEA922-356D-4B6E-B184-0A31F79B5D41}"/>
    <cellStyle name="Commentaire 3 2 2 2 2 2" xfId="27339" xr:uid="{05887F59-4526-4920-85D7-253851930ED8}"/>
    <cellStyle name="Commentaire 3 2 2 2 2 3" xfId="34183" xr:uid="{5D7991BD-38B9-493B-AA03-BB90CBB002C1}"/>
    <cellStyle name="Commentaire 3 2 2 2 3" xfId="21079" xr:uid="{9B1770F2-981D-4F55-AC68-3B25A11FCE12}"/>
    <cellStyle name="Commentaire 3 2 2 2 3 2" xfId="29419" xr:uid="{6A91CFF5-02D1-488D-AE2E-D0ECCE511E80}"/>
    <cellStyle name="Commentaire 3 2 2 2 3 3" xfId="36264" xr:uid="{A0337038-25B6-4273-9180-7E45BE3C9377}"/>
    <cellStyle name="Commentaire 3 2 2 2 4" xfId="19802" xr:uid="{B5C217F5-70EE-4F7D-9990-DB3BDA0676C0}"/>
    <cellStyle name="Commentaire 3 2 2 2 5" xfId="21454" xr:uid="{96851860-A9D0-449E-AF1D-A61C507151D9}"/>
    <cellStyle name="Commentaire 3 2 2 2 6" xfId="22133" xr:uid="{7C495FB9-0694-46C4-B91F-1FAEE2B7BCDD}"/>
    <cellStyle name="Commentaire 3 2 2 2 7" xfId="19116" xr:uid="{FCC421EE-0A35-4D07-9C7E-6D3C94339A0A}"/>
    <cellStyle name="Commentaire 3 2 2 2 8" xfId="22279" xr:uid="{0E8E2881-BAD0-4DA1-8981-752B309E670E}"/>
    <cellStyle name="Commentaire 3 2 2 2 9" xfId="22337" xr:uid="{7AB8FF12-8A87-421D-AD36-B40A8A29BAF5}"/>
    <cellStyle name="Commentaire 3 2 2 3" xfId="23811" xr:uid="{F94B5E3D-D374-44EA-A0AD-1DA9D782762A}"/>
    <cellStyle name="Commentaire 3 2 2 3 2" xfId="26428" xr:uid="{E60FA2C7-B116-48F2-85F0-F30621039EEC}"/>
    <cellStyle name="Commentaire 3 2 2 3 2 2" xfId="33268" xr:uid="{C4A2858A-2684-44D2-87C3-39EB6AE9CDE9}"/>
    <cellStyle name="Commentaire 3 2 2 3 3" xfId="26254" xr:uid="{FE6244E3-BFB0-488F-8E7B-F21E32392348}"/>
    <cellStyle name="Commentaire 3 2 2 3 3 2" xfId="33082" xr:uid="{346B965B-1CFA-4959-89F4-9C013C8DC940}"/>
    <cellStyle name="Commentaire 3 2 2 3 4" xfId="23376" xr:uid="{D7C81780-2D1B-4A3C-BC65-2DBF571775BE}"/>
    <cellStyle name="Commentaire 3 2 2 4" xfId="24190" xr:uid="{11A4CAD1-3C1E-4E71-AF85-75BEB15CC54F}"/>
    <cellStyle name="Commentaire 3 2 2 4 2" xfId="26800" xr:uid="{8DAEDB0B-0A4F-48A1-91F7-A9A7A6BD2135}"/>
    <cellStyle name="Commentaire 3 2 2 4 2 2" xfId="33640" xr:uid="{99B93175-E6FD-4120-9A36-88DA25F033C3}"/>
    <cellStyle name="Commentaire 3 2 2 4 3" xfId="28876" xr:uid="{52164818-2150-4067-82E7-0ED872D187F5}"/>
    <cellStyle name="Commentaire 3 2 2 4 3 2" xfId="35721" xr:uid="{322DDBC0-1814-47A6-85B4-D54FC35F8426}"/>
    <cellStyle name="Commentaire 3 2 2 4 4" xfId="30958" xr:uid="{B58E1627-B8D0-45DC-BD0B-8E305D0A76B2}"/>
    <cellStyle name="Commentaire 3 2 2 5" xfId="25111" xr:uid="{72FC99BB-D64A-4806-82E5-A4979D5D79D3}"/>
    <cellStyle name="Commentaire 3 2 2 5 2" xfId="27783" xr:uid="{AE57BFBB-C046-4AEB-8468-2FA647F22F23}"/>
    <cellStyle name="Commentaire 3 2 2 5 2 2" xfId="34628" xr:uid="{AD59837D-502C-4AE5-BDFE-107E2F5DD10F}"/>
    <cellStyle name="Commentaire 3 2 2 5 3" xfId="29864" xr:uid="{FF4DBE46-17D9-4A52-8CAB-B47F602C9CB9}"/>
    <cellStyle name="Commentaire 3 2 2 5 3 2" xfId="36709" xr:uid="{68F27085-96BF-4243-9D67-5036CCA8C824}"/>
    <cellStyle name="Commentaire 3 2 2 5 4" xfId="31946" xr:uid="{76B08965-A2B3-49D0-A2DC-131406201312}"/>
    <cellStyle name="Commentaire 3 2 2 6" xfId="24457" xr:uid="{0460CE78-BCD0-45C6-8F80-BBB7AE89B2B7}"/>
    <cellStyle name="Commentaire 3 2 2 6 2" xfId="27073" xr:uid="{12038716-A96D-4C9D-B8D1-335C34AA4491}"/>
    <cellStyle name="Commentaire 3 2 2 6 2 2" xfId="33913" xr:uid="{74C39945-0596-42AE-9309-940EE84E1197}"/>
    <cellStyle name="Commentaire 3 2 2 6 3" xfId="29149" xr:uid="{F71EDA99-CFC9-4D49-AF71-E8FB7E6A7CD7}"/>
    <cellStyle name="Commentaire 3 2 2 6 3 2" xfId="35994" xr:uid="{76540A66-8ABF-489D-9766-9F5FBA04AE9F}"/>
    <cellStyle name="Commentaire 3 2 2 6 4" xfId="31231" xr:uid="{01789916-2DA9-4738-B9EA-DB128966E061}"/>
    <cellStyle name="Commentaire 3 2 2 7" xfId="24209" xr:uid="{67D96784-565C-48C5-87EC-C0020EAA6786}"/>
    <cellStyle name="Commentaire 3 2 2 7 2" xfId="26819" xr:uid="{3B494C4A-4F9D-4AB6-8733-7DA70C85228A}"/>
    <cellStyle name="Commentaire 3 2 2 7 2 2" xfId="33659" xr:uid="{0DD684CE-83DB-4285-8826-8C893C4D8CB1}"/>
    <cellStyle name="Commentaire 3 2 2 7 3" xfId="28895" xr:uid="{15929608-209A-4A6F-86DF-76EA0AABB8AE}"/>
    <cellStyle name="Commentaire 3 2 2 7 3 2" xfId="35740" xr:uid="{9BE9FBCE-C551-472B-BF79-D1ABC1A296C9}"/>
    <cellStyle name="Commentaire 3 2 2 7 4" xfId="30977" xr:uid="{CB1B8557-44B5-4B5A-86AB-AF08928DCA25}"/>
    <cellStyle name="Commentaire 3 2 2 8" xfId="24205" xr:uid="{EA417854-6B3D-42B6-9B95-E9C252AB4B6B}"/>
    <cellStyle name="Commentaire 3 2 2 8 2" xfId="26815" xr:uid="{05C40580-A30D-414E-8368-F0241491372A}"/>
    <cellStyle name="Commentaire 3 2 2 8 2 2" xfId="33655" xr:uid="{D7A1DCE7-0954-463C-8031-BF94A098577B}"/>
    <cellStyle name="Commentaire 3 2 2 8 3" xfId="28891" xr:uid="{3FD76FEF-CCA8-4B27-8FE8-3E39F9B43698}"/>
    <cellStyle name="Commentaire 3 2 2 8 3 2" xfId="35736" xr:uid="{08D85E82-D437-4232-802D-ED355D183FBB}"/>
    <cellStyle name="Commentaire 3 2 2 8 4" xfId="30973" xr:uid="{F40B1812-1E07-4965-B117-CAFE148C7D14}"/>
    <cellStyle name="Commentaire 3 2 2 9" xfId="24494" xr:uid="{E8C395C3-5702-4970-B93F-88231334BBAA}"/>
    <cellStyle name="Commentaire 3 2 2 9 2" xfId="27105" xr:uid="{7885E138-BED0-46D2-86E0-5E15570548BA}"/>
    <cellStyle name="Commentaire 3 2 2 9 2 2" xfId="33945" xr:uid="{3F3A3827-648F-4FEE-97F1-60BB2D782033}"/>
    <cellStyle name="Commentaire 3 2 2 9 3" xfId="29181" xr:uid="{CC20B118-79C3-40CF-9DE7-7DF156477980}"/>
    <cellStyle name="Commentaire 3 2 2 9 3 2" xfId="36026" xr:uid="{7E2548AF-7AD6-4C95-954A-877D6016E598}"/>
    <cellStyle name="Commentaire 3 2 2 9 4" xfId="31263" xr:uid="{466AB870-CBDC-414B-AC79-8D8F10ACFEBA}"/>
    <cellStyle name="Commentaire 3 2 3" xfId="18617" xr:uid="{EED45E86-5510-43D3-A0FD-F31D216E0AA4}"/>
    <cellStyle name="Commentaire 3 2 3 10" xfId="19023" xr:uid="{A41D45EC-0DEA-4D2F-A4CB-B92C30E4F448}"/>
    <cellStyle name="Commentaire 3 2 3 11" xfId="21384" xr:uid="{69607730-7560-4BA3-9C86-BEA36C034B7D}"/>
    <cellStyle name="Commentaire 3 2 3 12" xfId="22753" xr:uid="{662F4162-C7D6-4C64-8DE2-7ED703D9D760}"/>
    <cellStyle name="Commentaire 3 2 3 13" xfId="22408" xr:uid="{4706E1C6-8287-4095-B9EC-E4E619C5E7BD}"/>
    <cellStyle name="Commentaire 3 2 3 14" xfId="22889" xr:uid="{C7782E32-CD16-45F5-AA2D-5B983A5DFF9A}"/>
    <cellStyle name="Commentaire 3 2 3 15" xfId="20715" xr:uid="{D844A1D8-F0E4-458D-B6EA-786F9FA5BFBF}"/>
    <cellStyle name="Commentaire 3 2 3 16" xfId="31374" xr:uid="{58D85542-959C-4995-8EA7-5AF7B31A114A}"/>
    <cellStyle name="Commentaire 3 2 3 2" xfId="19850" xr:uid="{0C7A4EB1-5221-4372-BE6F-70A4C97DA31A}"/>
    <cellStyle name="Commentaire 3 2 3 2 2" xfId="27215" xr:uid="{8A600791-2585-4329-A9F1-9B2DC42C1A42}"/>
    <cellStyle name="Commentaire 3 2 3 2 3" xfId="34056" xr:uid="{E63D4843-4DFB-43C3-8A16-757ED0C56721}"/>
    <cellStyle name="Commentaire 3 2 3 3" xfId="21040" xr:uid="{8661E153-32EF-492B-8A52-C92872D4E47E}"/>
    <cellStyle name="Commentaire 3 2 3 3 2" xfId="29292" xr:uid="{6B1A1E8B-208E-43A9-A299-43984ED21B62}"/>
    <cellStyle name="Commentaire 3 2 3 3 3" xfId="36137" xr:uid="{1CA0B49F-17E6-44C3-834B-36DAA754D536}"/>
    <cellStyle name="Commentaire 3 2 3 4" xfId="19673" xr:uid="{535849B3-DDF2-4ECC-A517-DB96345338F2}"/>
    <cellStyle name="Commentaire 3 2 3 5" xfId="21232" xr:uid="{D3BA2268-5284-4291-8EE2-75E7E3BECB24}"/>
    <cellStyle name="Commentaire 3 2 3 6" xfId="20134" xr:uid="{F1EA2660-E3A3-46E5-887E-914AABBAD2D6}"/>
    <cellStyle name="Commentaire 3 2 3 7" xfId="22103" xr:uid="{98F98F1F-0218-47CC-8668-F4A92B2F7FB6}"/>
    <cellStyle name="Commentaire 3 2 3 8" xfId="20310" xr:uid="{D1ADAF58-C3A9-4ED2-BBD9-2F5628D46548}"/>
    <cellStyle name="Commentaire 3 2 3 9" xfId="22490" xr:uid="{1F445FD7-8117-44BD-9316-380F64557546}"/>
    <cellStyle name="Commentaire 3 2 4" xfId="24965" xr:uid="{00680785-A68E-4BA5-80D1-5971F2C63395}"/>
    <cellStyle name="Commentaire 3 2 4 2" xfId="27635" xr:uid="{8AD5FF45-4A2B-4C38-B0BD-E1CCA79F44C2}"/>
    <cellStyle name="Commentaire 3 2 4 2 2" xfId="34480" xr:uid="{362E5C01-DBA1-43F8-BBBC-18037D1EAF5B}"/>
    <cellStyle name="Commentaire 3 2 4 3" xfId="29716" xr:uid="{7D335AB5-51FF-4C14-AE55-8DAFB5A9A125}"/>
    <cellStyle name="Commentaire 3 2 4 3 2" xfId="36561" xr:uid="{5AF08835-AE6A-4F9D-B708-4C1A68F62F59}"/>
    <cellStyle name="Commentaire 3 2 4 4" xfId="31798" xr:uid="{24AEC4C3-2105-4148-9A78-B7FDADA9D6D3}"/>
    <cellStyle name="Commentaire 3 2 5" xfId="24979" xr:uid="{FE53298C-91DB-4273-95C3-15540D5295DE}"/>
    <cellStyle name="Commentaire 3 2 5 2" xfId="27648" xr:uid="{AEC0C8E6-8CB9-4145-9F43-005D2B188638}"/>
    <cellStyle name="Commentaire 3 2 5 2 2" xfId="34493" xr:uid="{CA7D6B9D-1827-4A72-AAC9-46DC6B26EEE7}"/>
    <cellStyle name="Commentaire 3 2 5 3" xfId="29729" xr:uid="{550F5517-5689-4078-8EF9-E543B1CD3ED7}"/>
    <cellStyle name="Commentaire 3 2 5 3 2" xfId="36574" xr:uid="{6CA19ED2-6CCD-46ED-989E-BD71341D3D78}"/>
    <cellStyle name="Commentaire 3 2 5 4" xfId="31811" xr:uid="{D16DD06C-96B6-44A9-AC47-6F9710F0EE47}"/>
    <cellStyle name="Commentaire 3 2 6" xfId="25199" xr:uid="{27CD1C6C-E87B-47EC-9E37-B75F58098DD2}"/>
    <cellStyle name="Commentaire 3 2 6 2" xfId="27871" xr:uid="{45CAABB7-6F35-4647-A239-64B436257FB3}"/>
    <cellStyle name="Commentaire 3 2 6 2 2" xfId="34716" xr:uid="{342DFFC5-7191-46D7-8923-45ADEC562E3D}"/>
    <cellStyle name="Commentaire 3 2 6 3" xfId="29952" xr:uid="{3D4FEA71-9195-4629-8B0F-A0F6437C1F74}"/>
    <cellStyle name="Commentaire 3 2 6 3 2" xfId="36797" xr:uid="{37574825-26DC-457B-8F39-ED1795535908}"/>
    <cellStyle name="Commentaire 3 2 6 4" xfId="32034" xr:uid="{8C70DE93-303B-4D05-AEA3-5B7957B14683}"/>
    <cellStyle name="Commentaire 3 2 7" xfId="24659" xr:uid="{4A341B0B-1C8F-48A4-A3B2-47E40A19E443}"/>
    <cellStyle name="Commentaire 3 2 7 2" xfId="27268" xr:uid="{BCE95BC5-A01A-4E1A-98B6-B33FB726DC94}"/>
    <cellStyle name="Commentaire 3 2 7 2 2" xfId="34112" xr:uid="{A9E8D301-380F-4798-AA71-87135C8F3694}"/>
    <cellStyle name="Commentaire 3 2 7 3" xfId="29348" xr:uid="{567B47D6-1DD0-4B9C-BC66-1FB6BBA457D1}"/>
    <cellStyle name="Commentaire 3 2 7 3 2" xfId="36193" xr:uid="{91851F17-F3EF-4D65-AEDC-4720873F1546}"/>
    <cellStyle name="Commentaire 3 2 7 4" xfId="31430" xr:uid="{7094D79C-64DA-42AD-A541-12D59F95A85F}"/>
    <cellStyle name="Commentaire 3 2 8" xfId="23989" xr:uid="{4D6BA87A-9BFA-4405-AC39-590DE40D5458}"/>
    <cellStyle name="Commentaire 3 2 8 2" xfId="26606" xr:uid="{F58207FD-45F3-4716-B8E3-5A4FC19BE705}"/>
    <cellStyle name="Commentaire 3 2 8 2 2" xfId="33446" xr:uid="{53BFA05B-7C56-4BE0-A5D5-BA197347D474}"/>
    <cellStyle name="Commentaire 3 2 8 3" xfId="26087" xr:uid="{71113533-77ED-4BE6-A676-289CDA630986}"/>
    <cellStyle name="Commentaire 3 2 8 3 2" xfId="32915" xr:uid="{B0163BE3-252F-41A8-95B7-518F2A1EE8C3}"/>
    <cellStyle name="Commentaire 3 2 8 4" xfId="23209" xr:uid="{182C1EBD-19FB-4A74-B6E1-61E60DA2EB40}"/>
    <cellStyle name="Commentaire 3 2 9" xfId="23921" xr:uid="{1D355B49-9E1E-40C2-A330-EA92477DFF53}"/>
    <cellStyle name="Commentaire 3 2 9 2" xfId="26539" xr:uid="{9C301912-AE16-4F68-BA97-47FE10C51EF5}"/>
    <cellStyle name="Commentaire 3 2 9 2 2" xfId="33379" xr:uid="{5F8A9C2A-1AD9-4CA5-AE6E-E5109C30095B}"/>
    <cellStyle name="Commentaire 3 2 9 3" xfId="26146" xr:uid="{6363A5EC-104E-4628-AA9E-CB6CA831A170}"/>
    <cellStyle name="Commentaire 3 2 9 3 2" xfId="32974" xr:uid="{BF0A20D2-F38C-4AB2-955B-26790334FD3D}"/>
    <cellStyle name="Commentaire 3 2 9 4" xfId="23268" xr:uid="{7D7CBCE0-84A7-426B-99C0-A3BDBFB6ADD2}"/>
    <cellStyle name="Commentaire 3 3" xfId="17801" xr:uid="{8F6C331C-A7D9-4BBC-B49C-18AB526C1F57}"/>
    <cellStyle name="Commentaire 3 3 10" xfId="24850" xr:uid="{BF5CD480-D736-404B-AB46-08BD6D1D0B65}"/>
    <cellStyle name="Commentaire 3 3 10 2" xfId="27510" xr:uid="{D116A746-719B-4F62-B3F1-F75414973ACC}"/>
    <cellStyle name="Commentaire 3 3 10 2 2" xfId="34354" xr:uid="{A60350F2-2E82-40B9-8483-B377B14F43E2}"/>
    <cellStyle name="Commentaire 3 3 10 3" xfId="29590" xr:uid="{97B28332-F24A-43FD-8356-A354A0108BC8}"/>
    <cellStyle name="Commentaire 3 3 10 3 2" xfId="36435" xr:uid="{D39009D7-102D-478C-B1B5-035E386548C7}"/>
    <cellStyle name="Commentaire 3 3 10 4" xfId="31672" xr:uid="{A30DE5C2-2A8F-48C6-B7CA-99C4D68B4CE4}"/>
    <cellStyle name="Commentaire 3 3 11" xfId="25632" xr:uid="{CE37FAB7-DD3B-47A8-8BAE-17F2BEFBFB75}"/>
    <cellStyle name="Commentaire 3 3 11 2" xfId="28299" xr:uid="{F874AE26-363D-46CA-BC6A-39BAE466C271}"/>
    <cellStyle name="Commentaire 3 3 11 2 2" xfId="35144" xr:uid="{F46F56FC-B5A9-4DC3-84F6-D8F55ACDEC3A}"/>
    <cellStyle name="Commentaire 3 3 11 3" xfId="30380" xr:uid="{73BC8975-DAAA-430B-B1A0-81A294666964}"/>
    <cellStyle name="Commentaire 3 3 11 3 2" xfId="37225" xr:uid="{F833AEE1-117F-4A7E-A025-A21F8B091C59}"/>
    <cellStyle name="Commentaire 3 3 11 4" xfId="32462" xr:uid="{8081F769-D56D-4FF2-BC2B-8EE19C3E3491}"/>
    <cellStyle name="Commentaire 3 3 12" xfId="25737" xr:uid="{01D4107C-E2A5-4D75-86DA-6561C332C201}"/>
    <cellStyle name="Commentaire 3 3 12 2" xfId="28404" xr:uid="{C4D94BE3-11E6-4782-AB79-E16311526F5B}"/>
    <cellStyle name="Commentaire 3 3 12 2 2" xfId="35249" xr:uid="{56F3C9A5-E955-447B-951A-5C3A9B0DE31A}"/>
    <cellStyle name="Commentaire 3 3 12 3" xfId="30485" xr:uid="{42C4B13F-C68B-457B-AB41-CF6E7BCF04D2}"/>
    <cellStyle name="Commentaire 3 3 12 3 2" xfId="37330" xr:uid="{99C015C0-F73F-4FAC-B17C-EA8F26815C96}"/>
    <cellStyle name="Commentaire 3 3 12 4" xfId="32567" xr:uid="{B8680B9B-774A-43D3-A8CC-2D08A5587A6B}"/>
    <cellStyle name="Commentaire 3 3 13" xfId="25811" xr:uid="{1A51EF50-2614-48B7-A8E6-58F52DA15742}"/>
    <cellStyle name="Commentaire 3 3 13 2" xfId="28477" xr:uid="{219C2492-CE25-44E2-A45D-DB50D43D4BB0}"/>
    <cellStyle name="Commentaire 3 3 13 2 2" xfId="35322" xr:uid="{15648467-6688-4A49-8E17-BB2B2D9EB5C7}"/>
    <cellStyle name="Commentaire 3 3 13 3" xfId="30558" xr:uid="{DCB95FC7-B46F-4B85-A327-3A295CB40D8B}"/>
    <cellStyle name="Commentaire 3 3 13 3 2" xfId="37403" xr:uid="{D4237C16-67AB-411C-9263-FB3A04C8E785}"/>
    <cellStyle name="Commentaire 3 3 13 4" xfId="32640" xr:uid="{AF25BECD-DEA6-45F1-9504-0908731F4F4F}"/>
    <cellStyle name="Commentaire 3 3 14" xfId="23840" xr:uid="{2EE83B39-34A2-4233-8123-008C8E8B8FE1}"/>
    <cellStyle name="Commentaire 3 3 14 2" xfId="26460" xr:uid="{A8CAC0A2-8A6F-4DEB-97B9-5D9DCCF2A1CD}"/>
    <cellStyle name="Commentaire 3 3 14 2 2" xfId="33300" xr:uid="{F053B0B7-390D-4AE9-8570-C396C6965F20}"/>
    <cellStyle name="Commentaire 3 3 14 3" xfId="26223" xr:uid="{051B0E5C-59FD-4F51-BE31-58950302C7A7}"/>
    <cellStyle name="Commentaire 3 3 14 3 2" xfId="33051" xr:uid="{FDB6FFA2-3300-4B41-9D3A-3F3A0C316695}"/>
    <cellStyle name="Commentaire 3 3 14 4" xfId="23345" xr:uid="{DED7C4EC-D37C-4AE0-B339-116F048B8ECD}"/>
    <cellStyle name="Commentaire 3 3 15" xfId="25943" xr:uid="{39207ADA-A4A7-4432-9AFC-8A3680FA35BF}"/>
    <cellStyle name="Commentaire 3 3 15 2" xfId="28609" xr:uid="{B39BB66B-E255-4519-9E29-38B81E0681D5}"/>
    <cellStyle name="Commentaire 3 3 15 2 2" xfId="35454" xr:uid="{130CAB8F-3F61-4B26-839A-D4CAD3720DA0}"/>
    <cellStyle name="Commentaire 3 3 15 3" xfId="30690" xr:uid="{8EF03C99-D461-4134-B0A0-1E0AA669C089}"/>
    <cellStyle name="Commentaire 3 3 15 3 2" xfId="37535" xr:uid="{AC54350A-9FAE-4215-AB72-E40CFA03C14F}"/>
    <cellStyle name="Commentaire 3 3 15 4" xfId="32772" xr:uid="{CDD53678-55FC-43EB-8E41-60681BF19DF0}"/>
    <cellStyle name="Commentaire 3 3 16" xfId="25997" xr:uid="{A9C7719B-3D03-433A-A1AB-4BDAD03C7FBE}"/>
    <cellStyle name="Commentaire 3 3 16 2" xfId="28663" xr:uid="{41E123A1-0DE4-4254-A61F-7672241D977E}"/>
    <cellStyle name="Commentaire 3 3 16 2 2" xfId="35508" xr:uid="{8FC412F3-256C-4307-9279-DAF74E66B79F}"/>
    <cellStyle name="Commentaire 3 3 16 3" xfId="30744" xr:uid="{1EA4C5E6-46AE-4170-88A5-97A946FCDCF1}"/>
    <cellStyle name="Commentaire 3 3 16 3 2" xfId="37589" xr:uid="{67B50D08-1B0F-47F6-A19D-6C38B3458173}"/>
    <cellStyle name="Commentaire 3 3 16 4" xfId="32826" xr:uid="{0804061D-F502-48C9-B819-01D2289F2D56}"/>
    <cellStyle name="Commentaire 3 3 17" xfId="24626" xr:uid="{E57619CD-5805-4D52-95DE-1FC051FE19E9}"/>
    <cellStyle name="Commentaire 3 3 2" xfId="18459" xr:uid="{034737ED-9A37-495B-A96A-162B360C906F}"/>
    <cellStyle name="Commentaire 3 3 2 10" xfId="20229" xr:uid="{2747CC02-66B5-48D3-B463-79D70EA20FCE}"/>
    <cellStyle name="Commentaire 3 3 2 11" xfId="21161" xr:uid="{D738297E-1BFC-4E30-BE73-55A055D5B3F7}"/>
    <cellStyle name="Commentaire 3 3 2 12" xfId="22628" xr:uid="{CA07BC04-43DE-44F5-A841-3FD5EF26FE1B}"/>
    <cellStyle name="Commentaire 3 3 2 13" xfId="20705" xr:uid="{29ED22BE-8F88-4B62-B55B-331F227FDF4D}"/>
    <cellStyle name="Commentaire 3 3 2 14" xfId="20801" xr:uid="{FDABD986-3119-4F64-9C4C-19CB13212B02}"/>
    <cellStyle name="Commentaire 3 3 2 15" xfId="22692" xr:uid="{14D167CF-B452-4750-8B13-064CFE5B9C29}"/>
    <cellStyle name="Commentaire 3 3 2 16" xfId="31477" xr:uid="{7A3DA4AC-7162-4C0B-A9C7-07AA41E1E9DA}"/>
    <cellStyle name="Commentaire 3 3 2 2" xfId="19917" xr:uid="{D4F0B457-F255-474C-A61B-60D46387234E}"/>
    <cellStyle name="Commentaire 3 3 2 2 2" xfId="27315" xr:uid="{2DF62E04-F57F-48F5-AFA5-DF98D50101C3}"/>
    <cellStyle name="Commentaire 3 3 2 2 3" xfId="34159" xr:uid="{15507BE1-8963-4E8C-B169-DC58B5763570}"/>
    <cellStyle name="Commentaire 3 3 2 3" xfId="21068" xr:uid="{F0065CE3-1488-4D6D-9CDB-1E8917808120}"/>
    <cellStyle name="Commentaire 3 3 2 3 2" xfId="29395" xr:uid="{2E329D15-4558-4986-B295-BB5C2084DF37}"/>
    <cellStyle name="Commentaire 3 3 2 3 3" xfId="36240" xr:uid="{E4C9FC88-9241-4A77-9C12-447CA9ED171A}"/>
    <cellStyle name="Commentaire 3 3 2 4" xfId="21829" xr:uid="{596B87B0-96D8-4F10-857A-C8EA7852C0BE}"/>
    <cellStyle name="Commentaire 3 3 2 5" xfId="18879" xr:uid="{3FC5F708-8227-491C-BF08-AE0F59981E75}"/>
    <cellStyle name="Commentaire 3 3 2 6" xfId="20150" xr:uid="{ACB5D97A-917F-4FDA-8929-2FD2915E5E04}"/>
    <cellStyle name="Commentaire 3 3 2 7" xfId="22027" xr:uid="{9501048C-19C5-4B90-93CD-C3944B876046}"/>
    <cellStyle name="Commentaire 3 3 2 8" xfId="20338" xr:uid="{5951CD7C-A7AB-4C57-BD1A-01C5182D5B37}"/>
    <cellStyle name="Commentaire 3 3 2 9" xfId="21425" xr:uid="{F5464924-E956-49C0-9788-C4FD64A5FC90}"/>
    <cellStyle name="Commentaire 3 3 3" xfId="24454" xr:uid="{B0D782B9-39E3-498E-AD56-C8EF946DF7C6}"/>
    <cellStyle name="Commentaire 3 3 3 2" xfId="27070" xr:uid="{95A5A129-61FC-4EEE-A720-881172305AA5}"/>
    <cellStyle name="Commentaire 3 3 3 2 2" xfId="33910" xr:uid="{4512CB65-E011-4AE9-BDA0-184D90A56F9C}"/>
    <cellStyle name="Commentaire 3 3 3 3" xfId="29146" xr:uid="{37418741-DC14-49F6-8DA6-2E9E9EA3A58E}"/>
    <cellStyle name="Commentaire 3 3 3 3 2" xfId="35991" xr:uid="{CBF17200-081C-4B53-B7AF-8EB72004FAF7}"/>
    <cellStyle name="Commentaire 3 3 3 4" xfId="31228" xr:uid="{ACA39BAE-1CA4-4DC6-8313-8C82C472AB65}"/>
    <cellStyle name="Commentaire 3 3 4" xfId="24829" xr:uid="{D59CD3E8-1002-48E6-8A01-E7C2714E65B5}"/>
    <cellStyle name="Commentaire 3 3 4 2" xfId="27489" xr:uid="{927DB9F7-8BB7-403A-AB63-F0B0B1FA54A2}"/>
    <cellStyle name="Commentaire 3 3 4 2 2" xfId="34333" xr:uid="{BCD81BCB-2C85-4739-9C6E-EE0CC1A4ADB9}"/>
    <cellStyle name="Commentaire 3 3 4 3" xfId="29569" xr:uid="{977D02C5-35EA-4EBF-8304-90FCC02199BF}"/>
    <cellStyle name="Commentaire 3 3 4 3 2" xfId="36414" xr:uid="{1890D468-D806-4666-9AEF-91D5CC35269F}"/>
    <cellStyle name="Commentaire 3 3 4 4" xfId="31651" xr:uid="{8B843BFC-A748-436E-B837-EBEF06787755}"/>
    <cellStyle name="Commentaire 3 3 5" xfId="25085" xr:uid="{1BEAAC74-3111-455B-8C58-E1E2A4647204}"/>
    <cellStyle name="Commentaire 3 3 5 2" xfId="27757" xr:uid="{5A2C9C86-E5DD-4E52-B128-9401EE807DF9}"/>
    <cellStyle name="Commentaire 3 3 5 2 2" xfId="34602" xr:uid="{A6DA5744-A26F-47BB-8232-3BBD1645C56C}"/>
    <cellStyle name="Commentaire 3 3 5 3" xfId="29838" xr:uid="{FB065757-BB60-454B-A5A9-1B043D42067E}"/>
    <cellStyle name="Commentaire 3 3 5 3 2" xfId="36683" xr:uid="{924DC8D6-AB51-4038-9DAE-FFA01768D209}"/>
    <cellStyle name="Commentaire 3 3 5 4" xfId="31920" xr:uid="{D639EFFB-BC21-463A-888A-3E29A691A41C}"/>
    <cellStyle name="Commentaire 3 3 6" xfId="23853" xr:uid="{6EF21618-E950-49AC-8C69-5EBA994460A5}"/>
    <cellStyle name="Commentaire 3 3 6 2" xfId="26472" xr:uid="{EB7B7140-A66D-49F5-BA46-0DF1E4BDF87B}"/>
    <cellStyle name="Commentaire 3 3 6 2 2" xfId="33312" xr:uid="{304AAA9B-5736-4D87-BB65-47BD1DF5E52C}"/>
    <cellStyle name="Commentaire 3 3 6 3" xfId="26211" xr:uid="{D12D5C01-1FB5-4333-AF52-010E4709FBB7}"/>
    <cellStyle name="Commentaire 3 3 6 3 2" xfId="33039" xr:uid="{113D2D94-7ED2-467F-AC20-E6C48331D6A9}"/>
    <cellStyle name="Commentaire 3 3 6 4" xfId="23333" xr:uid="{B506D564-6B79-4D98-A7EF-D3AD95D323D0}"/>
    <cellStyle name="Commentaire 3 3 7" xfId="23867" xr:uid="{3402E4D1-6C60-4FF6-82B8-86E783598DAE}"/>
    <cellStyle name="Commentaire 3 3 7 2" xfId="26486" xr:uid="{DA51FCDD-FA2A-483F-8803-E7C6C5A6FD36}"/>
    <cellStyle name="Commentaire 3 3 7 2 2" xfId="33326" xr:uid="{7D7B45A2-ADAE-4E96-A1AD-45E94E9C0D9F}"/>
    <cellStyle name="Commentaire 3 3 7 3" xfId="26197" xr:uid="{A1589B6B-1BC0-42CF-A4F4-A4A52075317E}"/>
    <cellStyle name="Commentaire 3 3 7 3 2" xfId="33025" xr:uid="{5AD8A2BA-C607-4D14-92FB-221DE6116231}"/>
    <cellStyle name="Commentaire 3 3 7 4" xfId="23320" xr:uid="{F9801880-F66A-4B7B-92A4-E288AB398A81}"/>
    <cellStyle name="Commentaire 3 3 8" xfId="25290" xr:uid="{6C2AFAAD-8497-4838-9E83-F04C9DD1AD46}"/>
    <cellStyle name="Commentaire 3 3 8 2" xfId="27961" xr:uid="{3A818E95-C941-4C8E-8960-31BD98C20621}"/>
    <cellStyle name="Commentaire 3 3 8 2 2" xfId="34806" xr:uid="{24EAADED-487F-479D-AFA8-BF33016424CD}"/>
    <cellStyle name="Commentaire 3 3 8 3" xfId="30042" xr:uid="{E6EE7FB8-8A67-4112-9B4B-D66288DE7747}"/>
    <cellStyle name="Commentaire 3 3 8 3 2" xfId="36887" xr:uid="{A691E3BD-A1B8-488C-B5CA-98DF924ADDC8}"/>
    <cellStyle name="Commentaire 3 3 8 4" xfId="32124" xr:uid="{5A50E1FB-9F4E-4B01-A3A7-AE5B0B09231C}"/>
    <cellStyle name="Commentaire 3 3 9" xfId="25232" xr:uid="{9EF68949-8B1F-48E4-B802-665C3E43B8CF}"/>
    <cellStyle name="Commentaire 3 3 9 2" xfId="27903" xr:uid="{69C6B26B-AEEF-4616-BFB2-9E67233188FC}"/>
    <cellStyle name="Commentaire 3 3 9 2 2" xfId="34748" xr:uid="{E329F07A-5DE7-4F01-A6A7-00E38AA46088}"/>
    <cellStyle name="Commentaire 3 3 9 3" xfId="29984" xr:uid="{51C1655C-6095-46D5-8C75-A92A87D6F68F}"/>
    <cellStyle name="Commentaire 3 3 9 3 2" xfId="36829" xr:uid="{E4E690C6-3376-478F-968A-03D4E4E1DDDA}"/>
    <cellStyle name="Commentaire 3 3 9 4" xfId="32066" xr:uid="{3C0C9D90-05CB-4E63-BFB8-3D771DE70A68}"/>
    <cellStyle name="Commentaire 3 4" xfId="18632" xr:uid="{1C53CBFD-E8E6-458B-92D2-D91052ECFF0F}"/>
    <cellStyle name="Commentaire 3 4 10" xfId="19608" xr:uid="{7647A9FC-202D-4336-ACCE-3B45E877FE54}"/>
    <cellStyle name="Commentaire 3 4 11" xfId="21876" xr:uid="{5FB1AFBA-F938-4535-A4D1-5F21BA14CAC3}"/>
    <cellStyle name="Commentaire 3 4 12" xfId="22766" xr:uid="{59880AAE-C853-4BBD-9C79-17FDB855F0C8}"/>
    <cellStyle name="Commentaire 3 4 13" xfId="22681" xr:uid="{DAA2045B-9912-46AB-8C46-C106CAB8922C}"/>
    <cellStyle name="Commentaire 3 4 14" xfId="22902" xr:uid="{9E75E7DA-B9C4-47CC-9BD9-FAE112673522}"/>
    <cellStyle name="Commentaire 3 4 15" xfId="22461" xr:uid="{BB0CEC91-FF8A-4AD5-98A3-BF62780AE59E}"/>
    <cellStyle name="Commentaire 3 4 16" xfId="31350" xr:uid="{683D9EF9-CABA-4053-9794-E31259587EB4}"/>
    <cellStyle name="Commentaire 3 4 2" xfId="19838" xr:uid="{F83B8821-F065-452A-AAC0-54D10ED82ADE}"/>
    <cellStyle name="Commentaire 3 4 2 2" xfId="27191" xr:uid="{2079C059-B535-4733-B8C5-87EE4DDCA129}"/>
    <cellStyle name="Commentaire 3 4 2 3" xfId="34032" xr:uid="{D0BA24A7-B2FD-4E23-8310-B8B8034AABC1}"/>
    <cellStyle name="Commentaire 3 4 3" xfId="21033" xr:uid="{84AFBBBC-61C6-4A7E-B9B7-CA2BA8933D57}"/>
    <cellStyle name="Commentaire 3 4 3 2" xfId="29268" xr:uid="{EB6CDABA-8F66-4DA5-A58D-0BDC683CA758}"/>
    <cellStyle name="Commentaire 3 4 3 3" xfId="36113" xr:uid="{6AC03B19-35B6-4778-B9BD-CB924BD3C3DB}"/>
    <cellStyle name="Commentaire 3 4 4" xfId="21269" xr:uid="{F8B9DE13-97EA-4FC7-9304-55C31D3FAEB2}"/>
    <cellStyle name="Commentaire 3 4 5" xfId="20969" xr:uid="{F77C9B78-7A79-4B32-98FC-6DCC8758D15B}"/>
    <cellStyle name="Commentaire 3 4 6" xfId="21132" xr:uid="{E47B64DC-1749-4DC7-80E5-24ADA8DA2F22}"/>
    <cellStyle name="Commentaire 3 4 7" xfId="21819" xr:uid="{8D347FDB-6519-4A04-9B4A-B227A57F749B}"/>
    <cellStyle name="Commentaire 3 4 8" xfId="21946" xr:uid="{0D3A837B-BC44-4D01-B6A1-7C11E7AAE0E6}"/>
    <cellStyle name="Commentaire 3 4 9" xfId="22503" xr:uid="{53934B8A-8E35-4A26-8969-5D5B49808C2F}"/>
    <cellStyle name="Commentaire 3 5" xfId="25028" xr:uid="{4F01B567-77C6-40B8-B9EF-61AC061D817C}"/>
    <cellStyle name="Commentaire 3 5 2" xfId="27701" xr:uid="{0123BEF1-754E-48A9-A8CA-35D32263F6A3}"/>
    <cellStyle name="Commentaire 3 5 2 2" xfId="34546" xr:uid="{C6B0C2F1-F35F-47DD-9EEB-1D5B5C9B446B}"/>
    <cellStyle name="Commentaire 3 5 3" xfId="29782" xr:uid="{6A88FA95-5A48-49B2-BA7C-983783F4AB76}"/>
    <cellStyle name="Commentaire 3 5 3 2" xfId="36627" xr:uid="{223C78DA-D024-4F1B-A698-034606A70806}"/>
    <cellStyle name="Commentaire 3 5 4" xfId="31864" xr:uid="{3ABDCA95-9006-44D4-9A6D-CFA6F8061F43}"/>
    <cellStyle name="Commentaire 3 6" xfId="24485" xr:uid="{C1532E3F-235D-4BF8-9883-4FAC250DD9BE}"/>
    <cellStyle name="Commentaire 3 6 2" xfId="27097" xr:uid="{1A79233C-FB91-4C5F-81D7-167B3ED83C03}"/>
    <cellStyle name="Commentaire 3 6 2 2" xfId="33937" xr:uid="{6FD91D67-CBDF-424F-93A8-A596750083B6}"/>
    <cellStyle name="Commentaire 3 6 3" xfId="29173" xr:uid="{9758E743-68A0-4C7A-9631-E1425DD91FE8}"/>
    <cellStyle name="Commentaire 3 6 3 2" xfId="36018" xr:uid="{291B7B7C-5723-4A3E-830C-4005AC1F8228}"/>
    <cellStyle name="Commentaire 3 6 4" xfId="31255" xr:uid="{5F130B40-67E6-4DFF-A100-D4526F42BA63}"/>
    <cellStyle name="Commentaire 3 7" xfId="25255" xr:uid="{60887A56-0D73-47F8-A10D-D153C2605743}"/>
    <cellStyle name="Commentaire 3 7 2" xfId="27926" xr:uid="{9B81BEA6-4A26-4389-8488-A2D0FEC34A76}"/>
    <cellStyle name="Commentaire 3 7 2 2" xfId="34771" xr:uid="{1B0CA6A0-7788-4B4D-B07B-22D3283DF0A4}"/>
    <cellStyle name="Commentaire 3 7 3" xfId="30007" xr:uid="{380BCC68-AC5A-40C6-9F18-8D5923579C36}"/>
    <cellStyle name="Commentaire 3 7 3 2" xfId="36852" xr:uid="{76453130-8001-4F0A-98C6-1F5959960711}"/>
    <cellStyle name="Commentaire 3 7 4" xfId="32089" xr:uid="{00E6025E-3DD6-413B-A741-09DED989BB81}"/>
    <cellStyle name="Commentaire 3 8" xfId="25422" xr:uid="{32A3A254-890A-4A17-95CE-342D273FE45B}"/>
    <cellStyle name="Commentaire 3 8 2" xfId="28089" xr:uid="{46FD73DC-D717-4B39-B7B9-C42906932587}"/>
    <cellStyle name="Commentaire 3 8 2 2" xfId="34934" xr:uid="{BE15D0FF-78A2-4CB9-87DB-0B1DE4932A0C}"/>
    <cellStyle name="Commentaire 3 8 3" xfId="30170" xr:uid="{16479587-3205-4998-AE2A-3C0331465B9E}"/>
    <cellStyle name="Commentaire 3 8 3 2" xfId="37015" xr:uid="{5F67413D-63DD-46BF-AFA8-6DC80F01E50A}"/>
    <cellStyle name="Commentaire 3 8 4" xfId="32252" xr:uid="{E07DCA0B-B7CA-42CC-9506-6FCCE3C60741}"/>
    <cellStyle name="Commentaire 3 9" xfId="23970" xr:uid="{86C4FFE1-9848-4AC0-A0E5-A6EBAA65550D}"/>
    <cellStyle name="Commentaire 3 9 2" xfId="26587" xr:uid="{62210586-E659-42EF-A365-069345CEB48A}"/>
    <cellStyle name="Commentaire 3 9 2 2" xfId="33427" xr:uid="{71711C35-D8D1-4301-822F-EC2E00A5BE99}"/>
    <cellStyle name="Commentaire 3 9 3" xfId="26106" xr:uid="{F3DDFB09-0966-426C-93F3-3A885D4B6F6E}"/>
    <cellStyle name="Commentaire 3 9 3 2" xfId="32934" xr:uid="{308B91B1-5D81-46D6-8FB8-7C1B83493289}"/>
    <cellStyle name="Commentaire 3 9 4" xfId="23228" xr:uid="{45FE0840-8DEA-4ACA-B611-33C3325E429D}"/>
    <cellStyle name="Commentaire 4" xfId="17591" xr:uid="{D8F6C44B-C5D8-408D-8B55-15E23D8EFBF7}"/>
    <cellStyle name="Commentaire 4 10" xfId="24378" xr:uid="{36E96A97-0DD8-44FD-8F0C-8777B75F8D7E}"/>
    <cellStyle name="Commentaire 4 10 2" xfId="26993" xr:uid="{212F2070-38D0-4AC7-AC1C-633149CF2162}"/>
    <cellStyle name="Commentaire 4 10 2 2" xfId="33833" xr:uid="{F0CE72E3-561F-46C5-807E-0812D155DA78}"/>
    <cellStyle name="Commentaire 4 10 3" xfId="29069" xr:uid="{F470E0C6-FAA6-484D-8559-C24DE08FD0CC}"/>
    <cellStyle name="Commentaire 4 10 3 2" xfId="35914" xr:uid="{7EC5F0F1-4C9D-43FC-A734-4FDB76ECF6BD}"/>
    <cellStyle name="Commentaire 4 10 4" xfId="31151" xr:uid="{33E57656-32FA-4C6A-8C74-13C0CF28952C}"/>
    <cellStyle name="Commentaire 4 11" xfId="25522" xr:uid="{3D36469E-EC33-4AD8-8658-55ABC52B5D28}"/>
    <cellStyle name="Commentaire 4 11 2" xfId="28189" xr:uid="{D029C98B-C82C-47E0-BA72-4CFC0126E26D}"/>
    <cellStyle name="Commentaire 4 11 2 2" xfId="35034" xr:uid="{4EF7EF70-D0F7-4668-A843-2F456E7C6536}"/>
    <cellStyle name="Commentaire 4 11 3" xfId="30270" xr:uid="{3DC79C78-D7BA-494D-88E5-CD790345C4B7}"/>
    <cellStyle name="Commentaire 4 11 3 2" xfId="37115" xr:uid="{120CB147-BC11-4391-8834-885917FC8B69}"/>
    <cellStyle name="Commentaire 4 11 4" xfId="32352" xr:uid="{5B2B3FD3-32CE-4B6A-A247-B368A1140787}"/>
    <cellStyle name="Commentaire 4 12" xfId="25508" xr:uid="{7DAFD808-396A-4AAD-8280-CBE28221DC6D}"/>
    <cellStyle name="Commentaire 4 12 2" xfId="28175" xr:uid="{F41DEF4B-47A3-4292-A999-69B19B77937E}"/>
    <cellStyle name="Commentaire 4 12 2 2" xfId="35020" xr:uid="{78F654A9-43FB-4666-82CD-27486521C36C}"/>
    <cellStyle name="Commentaire 4 12 3" xfId="30256" xr:uid="{5504CEBF-6CEF-4A39-9837-873214440CB0}"/>
    <cellStyle name="Commentaire 4 12 3 2" xfId="37101" xr:uid="{A605BB8A-25D3-42EA-93D4-EADE75EA8C40}"/>
    <cellStyle name="Commentaire 4 12 4" xfId="32338" xr:uid="{83B5F183-E4B7-49F6-BA60-3D85D48F72E0}"/>
    <cellStyle name="Commentaire 4 13" xfId="24440" xr:uid="{AB89095C-DBC8-4D58-A11C-3018B816B714}"/>
    <cellStyle name="Commentaire 4 13 2" xfId="27058" xr:uid="{692D2798-9FAF-4EC4-BCE1-AB9A0228DDED}"/>
    <cellStyle name="Commentaire 4 13 2 2" xfId="33898" xr:uid="{1C1C5FF4-34B9-4B35-92C1-1CA54006554F}"/>
    <cellStyle name="Commentaire 4 13 3" xfId="29134" xr:uid="{71E52195-8ACC-4EDF-AF1A-60C82F2F6CA6}"/>
    <cellStyle name="Commentaire 4 13 3 2" xfId="35979" xr:uid="{2F5C1864-6DCE-44A0-BD95-0653ADB3D4DA}"/>
    <cellStyle name="Commentaire 4 13 4" xfId="31216" xr:uid="{4F984488-8505-4A94-9582-429C310214B2}"/>
    <cellStyle name="Commentaire 4 14" xfId="24139" xr:uid="{A115AF66-11E5-4CF2-A130-E0E9809ED228}"/>
    <cellStyle name="Commentaire 4 14 2" xfId="26751" xr:uid="{D74432F4-56ED-417A-B13C-A3A21F6F2D89}"/>
    <cellStyle name="Commentaire 4 14 2 2" xfId="33591" xr:uid="{3B245127-ED16-4F7D-9E8C-EA897D7EE60D}"/>
    <cellStyle name="Commentaire 4 14 3" xfId="28827" xr:uid="{A98D7E27-5092-49D9-A3B6-8E94191C2C09}"/>
    <cellStyle name="Commentaire 4 14 3 2" xfId="35672" xr:uid="{4136D4CF-38B2-4D3C-A0FD-F8B358274FCF}"/>
    <cellStyle name="Commentaire 4 14 4" xfId="30909" xr:uid="{AC21F99F-6152-4991-93DE-975A596C0682}"/>
    <cellStyle name="Commentaire 4 15" xfId="25871" xr:uid="{95870B40-CBC0-4B97-B7ED-D7C8D7CD851D}"/>
    <cellStyle name="Commentaire 4 15 2" xfId="28537" xr:uid="{0807CC04-AF20-49C2-AAA6-C782A8962D00}"/>
    <cellStyle name="Commentaire 4 15 2 2" xfId="35382" xr:uid="{32C50B6A-A9C2-4717-A0DA-0F75A88B1D5C}"/>
    <cellStyle name="Commentaire 4 15 3" xfId="30618" xr:uid="{DBA8D518-B495-465F-A2E3-F7C6B4DB330C}"/>
    <cellStyle name="Commentaire 4 15 3 2" xfId="37463" xr:uid="{AAEF4262-E69D-4CDD-9EDF-3B4A2D35FABA}"/>
    <cellStyle name="Commentaire 4 15 4" xfId="32700" xr:uid="{958F948C-3374-4805-9362-C283DB9A5090}"/>
    <cellStyle name="Commentaire 4 16" xfId="24749" xr:uid="{EC3F7F7D-9869-4529-B7E7-99F5203C5B8D}"/>
    <cellStyle name="Commentaire 4 16 2" xfId="27401" xr:uid="{58A6524D-0935-4522-92E1-DC1719B03BCB}"/>
    <cellStyle name="Commentaire 4 16 2 2" xfId="34245" xr:uid="{50D2AB3B-837D-403A-9A46-225712CBAB45}"/>
    <cellStyle name="Commentaire 4 16 3" xfId="29481" xr:uid="{B81EB10A-F070-4289-8540-7FE45471943E}"/>
    <cellStyle name="Commentaire 4 16 3 2" xfId="36326" xr:uid="{3B2C1208-4A6B-4654-8597-9856C6D488D0}"/>
    <cellStyle name="Commentaire 4 16 4" xfId="31563" xr:uid="{37C74EFD-5FC1-453A-942B-996DC9B7063F}"/>
    <cellStyle name="Commentaire 4 17" xfId="23619" xr:uid="{4BA3B097-741D-436E-A70C-10618FF05B51}"/>
    <cellStyle name="Commentaire 4 2" xfId="18594" xr:uid="{B72FC0D3-B158-41F4-B0CC-A238D624D7EA}"/>
    <cellStyle name="Commentaire 4 2 10" xfId="20409" xr:uid="{C4C70733-B51C-4B8D-A1DA-7B03CF3F5711}"/>
    <cellStyle name="Commentaire 4 2 11" xfId="19329" xr:uid="{7E4EDEA6-6C89-447C-B0AD-82929CB038E9}"/>
    <cellStyle name="Commentaire 4 2 12" xfId="22739" xr:uid="{9A091ACD-538C-4512-BC7A-7FE8F1F0DA41}"/>
    <cellStyle name="Commentaire 4 2 13" xfId="20844" xr:uid="{E7C27F1B-3172-4649-AB8C-BD898BA75110}"/>
    <cellStyle name="Commentaire 4 2 14" xfId="22875" xr:uid="{6D8400DB-A2A6-4670-97F5-A2F3B4F407BA}"/>
    <cellStyle name="Commentaire 4 2 15" xfId="20934" xr:uid="{148701EB-8C33-4F4E-9398-97DCB2DD8458}"/>
    <cellStyle name="Commentaire 4 2 16" xfId="31393" xr:uid="{202FE93A-0276-49CE-89FA-3F4DB233A4D2}"/>
    <cellStyle name="Commentaire 4 2 2" xfId="19865" xr:uid="{DAC36BED-F2E4-4AC9-9881-92D03CC8B1D3}"/>
    <cellStyle name="Commentaire 4 2 2 2" xfId="27234" xr:uid="{A2D69F34-C551-4300-9580-9CDDDF984890}"/>
    <cellStyle name="Commentaire 4 2 2 3" xfId="34075" xr:uid="{64311890-B660-4277-B93F-F53871B9526B}"/>
    <cellStyle name="Commentaire 4 2 3" xfId="21779" xr:uid="{B8BAA990-02BC-4172-A9E2-F5F0F6E23166}"/>
    <cellStyle name="Commentaire 4 2 3 2" xfId="29311" xr:uid="{BBC65596-9C45-4A1D-A6D1-808B73833A3D}"/>
    <cellStyle name="Commentaire 4 2 3 3" xfId="36156" xr:uid="{64346AF7-2F43-485F-9333-EBD683F8A7A7}"/>
    <cellStyle name="Commentaire 4 2 4" xfId="21698" xr:uid="{D9B110AA-BED2-4741-8689-F2CEABDC0658}"/>
    <cellStyle name="Commentaire 4 2 5" xfId="20937" xr:uid="{F060856D-377E-46D5-BCA6-7451C354F018}"/>
    <cellStyle name="Commentaire 4 2 6" xfId="20144" xr:uid="{4650AB97-0B70-4C4C-BD04-707B559B4808}"/>
    <cellStyle name="Commentaire 4 2 7" xfId="18978" xr:uid="{AF2D38F6-A177-43B5-BDE6-0648E7166534}"/>
    <cellStyle name="Commentaire 4 2 8" xfId="22037" xr:uid="{1B4DBDA2-530C-4CD8-8C5D-F8E8B5DBD9B5}"/>
    <cellStyle name="Commentaire 4 2 9" xfId="22474" xr:uid="{FD73BD48-554D-4502-9C8B-354F94B48794}"/>
    <cellStyle name="Commentaire 4 3" xfId="24653" xr:uid="{0C898CA6-6C6A-42A1-894D-9959CC7C30C3}"/>
    <cellStyle name="Commentaire 4 3 2" xfId="27260" xr:uid="{5ADC6A4C-D2FD-4878-857E-3D0AEC5F2C25}"/>
    <cellStyle name="Commentaire 4 3 2 2" xfId="34104" xr:uid="{4F72FF01-E26A-42A5-A65F-E94B0D7EDDFE}"/>
    <cellStyle name="Commentaire 4 3 3" xfId="29340" xr:uid="{D3EF43DB-23D9-4656-B1E7-F1E127E8A0F2}"/>
    <cellStyle name="Commentaire 4 3 3 2" xfId="36185" xr:uid="{F0D7C620-A0D3-46FD-AC85-8626728566AA}"/>
    <cellStyle name="Commentaire 4 3 4" xfId="31422" xr:uid="{03CAA329-FD8A-40D0-A440-CFA8F057E6FB}"/>
    <cellStyle name="Commentaire 4 4" xfId="24664" xr:uid="{AA485E32-E152-414E-85AA-6CAB31B323C7}"/>
    <cellStyle name="Commentaire 4 4 2" xfId="27277" xr:uid="{02113393-612B-4815-AF7A-27D802D0E81C}"/>
    <cellStyle name="Commentaire 4 4 2 2" xfId="34121" xr:uid="{A4335BEF-DC41-4431-80B3-C7CD0C8A9C4F}"/>
    <cellStyle name="Commentaire 4 4 3" xfId="29357" xr:uid="{575F17A2-708E-4A7C-92B5-027542C3280F}"/>
    <cellStyle name="Commentaire 4 4 3 2" xfId="36202" xr:uid="{20ABE34C-69D5-48F3-9A6C-B88DE5B4C3A9}"/>
    <cellStyle name="Commentaire 4 4 4" xfId="31439" xr:uid="{B6589EC4-B575-4965-9C58-CC4E32A8EFC9}"/>
    <cellStyle name="Commentaire 4 5" xfId="24964" xr:uid="{6F653B24-E477-4EBA-855F-319DA053FAE1}"/>
    <cellStyle name="Commentaire 4 5 2" xfId="27634" xr:uid="{9ED89103-1FA3-402C-9807-E402A807BA0A}"/>
    <cellStyle name="Commentaire 4 5 2 2" xfId="34479" xr:uid="{DE9CD489-4409-47C4-B40B-8244AD3F9B9F}"/>
    <cellStyle name="Commentaire 4 5 3" xfId="29715" xr:uid="{C83E8E82-C547-4004-B32E-8B3962DB47C6}"/>
    <cellStyle name="Commentaire 4 5 3 2" xfId="36560" xr:uid="{7483C11F-8BB4-40A8-952E-51F496B8F66E}"/>
    <cellStyle name="Commentaire 4 5 4" xfId="31797" xr:uid="{87354271-9FC6-4909-B6DE-C956C183CDE1}"/>
    <cellStyle name="Commentaire 4 6" xfId="25140" xr:uid="{5702323B-D3C1-4E85-92AE-4325EE2409C4}"/>
    <cellStyle name="Commentaire 4 6 2" xfId="27812" xr:uid="{DB55D3EB-B1BE-4091-AE18-39AAECC2A6E9}"/>
    <cellStyle name="Commentaire 4 6 2 2" xfId="34657" xr:uid="{A88449AC-C811-477E-BC8E-BEE59DADAF90}"/>
    <cellStyle name="Commentaire 4 6 3" xfId="29893" xr:uid="{D3617C09-717B-4A45-933D-4E3438848F2C}"/>
    <cellStyle name="Commentaire 4 6 3 2" xfId="36738" xr:uid="{554E54B6-E0D8-464D-8A36-4BA5A68F0236}"/>
    <cellStyle name="Commentaire 4 6 4" xfId="31975" xr:uid="{154A6245-9436-4E0D-8650-CDDD84E9AA55}"/>
    <cellStyle name="Commentaire 4 7" xfId="25167" xr:uid="{2CC807E2-94CB-4EDF-8980-6EB17C4788FD}"/>
    <cellStyle name="Commentaire 4 7 2" xfId="27839" xr:uid="{30D7405C-D3AA-443F-A749-2471310ECE43}"/>
    <cellStyle name="Commentaire 4 7 2 2" xfId="34684" xr:uid="{872A2CBA-9666-48DA-BC4D-B4E2E69B2C71}"/>
    <cellStyle name="Commentaire 4 7 3" xfId="29920" xr:uid="{FDB01FFC-606C-4851-A09C-73A3B8A66BC6}"/>
    <cellStyle name="Commentaire 4 7 3 2" xfId="36765" xr:uid="{03001B86-7D61-40C8-873F-8F0794BB45A8}"/>
    <cellStyle name="Commentaire 4 7 4" xfId="32002" xr:uid="{94794EE8-C345-436A-913A-D4AADC6782E0}"/>
    <cellStyle name="Commentaire 4 8" xfId="25312" xr:uid="{50B5AB94-C21E-4190-A207-C76AEF7088E8}"/>
    <cellStyle name="Commentaire 4 8 2" xfId="27982" xr:uid="{E11E4B9F-908F-458C-8C11-260AD494CCB4}"/>
    <cellStyle name="Commentaire 4 8 2 2" xfId="34827" xr:uid="{22100171-731A-42A7-BAD2-DC7A5FDCD1B9}"/>
    <cellStyle name="Commentaire 4 8 3" xfId="30063" xr:uid="{58B86909-BE84-47CF-8CBE-9D7F7FB0F875}"/>
    <cellStyle name="Commentaire 4 8 3 2" xfId="36908" xr:uid="{F316FFFE-8747-4925-B577-1991F8A73FC8}"/>
    <cellStyle name="Commentaire 4 8 4" xfId="32145" xr:uid="{3398943C-DA0D-445F-9BA4-42DF7D242EEC}"/>
    <cellStyle name="Commentaire 4 9" xfId="23943" xr:uid="{108A2EC7-E1F5-4650-ADE7-4849BED0B74E}"/>
    <cellStyle name="Commentaire 4 9 2" xfId="26561" xr:uid="{CAC72C2C-3B46-4574-9FCC-F4133978A7E1}"/>
    <cellStyle name="Commentaire 4 9 2 2" xfId="33401" xr:uid="{D1C40EC7-BC6D-49D9-BD11-A47CE4271254}"/>
    <cellStyle name="Commentaire 4 9 3" xfId="26124" xr:uid="{780F7154-91C8-4D1B-8B6B-004B3E181AA6}"/>
    <cellStyle name="Commentaire 4 9 3 2" xfId="32952" xr:uid="{292FB1B7-1659-43CF-8A79-CAA6A0401030}"/>
    <cellStyle name="Commentaire 4 9 4" xfId="23246" xr:uid="{28AFB401-EBD4-4E07-A3CD-1CA6DB58606C}"/>
    <cellStyle name="Commentaire 5" xfId="18308" xr:uid="{D718BC4C-EF00-432D-800D-9D6C81317184}"/>
    <cellStyle name="Commentaire 5 10" xfId="19484" xr:uid="{28467AC7-A7B0-4E3F-A178-AA95A7440809}"/>
    <cellStyle name="Commentaire 5 11" xfId="18958" xr:uid="{34B440A8-034E-485F-81E5-E9C55780B06D}"/>
    <cellStyle name="Commentaire 5 12" xfId="22263" xr:uid="{EBCD4FA7-1101-4C8F-A648-5B8EAC0F95AC}"/>
    <cellStyle name="Commentaire 5 13" xfId="22345" xr:uid="{A5D7AA4B-6C50-4069-99B4-3491D697DC19}"/>
    <cellStyle name="Commentaire 5 14" xfId="20391" xr:uid="{0E35FA99-8EBB-403D-9322-77EB3C3B545A}"/>
    <cellStyle name="Commentaire 5 15" xfId="22237" xr:uid="{9911BD16-3243-434A-8CEB-3321D9B74927}"/>
    <cellStyle name="Commentaire 5 16" xfId="23017" xr:uid="{484C4E8F-4D8A-4A72-B591-72505F283BAB}"/>
    <cellStyle name="Commentaire 5 2" xfId="21350" xr:uid="{3BD56A3E-ABA6-4C37-AC35-16A22F0A5618}"/>
    <cellStyle name="Commentaire 5 2 2" xfId="26338" xr:uid="{E4E8397E-77B4-4E5C-832F-D8EEF77FA4EB}"/>
    <cellStyle name="Commentaire 5 2 3" xfId="33169" xr:uid="{A0090D0D-63B6-426B-AD2D-16BBFFE421F3}"/>
    <cellStyle name="Commentaire 5 3" xfId="20547" xr:uid="{4E28B371-922F-4432-801D-0AEB66109210}"/>
    <cellStyle name="Commentaire 5 3 2" xfId="26038" xr:uid="{14284699-2272-4A10-8520-5F72C048409D}"/>
    <cellStyle name="Commentaire 5 3 3" xfId="32867" xr:uid="{AF90B799-B1B0-42EB-A3E5-B6C00AD7BF49}"/>
    <cellStyle name="Commentaire 5 4" xfId="19633" xr:uid="{485D2B6C-4ED4-49E3-B234-85A4ABD4AC69}"/>
    <cellStyle name="Commentaire 5 5" xfId="21193" xr:uid="{59BE6BDC-66EA-41B5-A69A-035C12A029FC}"/>
    <cellStyle name="Commentaire 5 6" xfId="22144" xr:uid="{580F7437-C4AB-4570-8624-32DAAB31B2B9}"/>
    <cellStyle name="Commentaire 5 7" xfId="22119" xr:uid="{068C2C4C-EECF-49BF-A760-C4DD7CF838B5}"/>
    <cellStyle name="Commentaire 5 8" xfId="19498" xr:uid="{36E30150-9090-4A93-BF2E-3458B38CF769}"/>
    <cellStyle name="Commentaire 5 9" xfId="21478" xr:uid="{F953C3B4-58E9-48AB-97F7-B0F855BFD1CD}"/>
    <cellStyle name="Commentaire 6" xfId="17384" xr:uid="{76943FCB-C185-484C-8CE3-AFF113572409}"/>
    <cellStyle name="Commentaire 6 2" xfId="27138" xr:uid="{10566D87-23EF-40E9-9C8D-33FC2D468FA3}"/>
    <cellStyle name="Commentaire 6 2 2" xfId="33979" xr:uid="{9148220A-1F29-4AEE-9E4C-59D9F9E9CAE8}"/>
    <cellStyle name="Commentaire 6 3" xfId="29215" xr:uid="{0F344380-C885-47BC-9112-6A30D7B35832}"/>
    <cellStyle name="Commentaire 6 3 2" xfId="36060" xr:uid="{9E2E820E-C644-48AD-A11E-71898CBB2024}"/>
    <cellStyle name="Commentaire 6 4" xfId="24532" xr:uid="{6FEC2C54-BFA8-4506-A155-2442C1A18F03}"/>
    <cellStyle name="Commentaire 6 5" xfId="31297" xr:uid="{25F0A375-B459-48EE-B153-285449664853}"/>
    <cellStyle name="Commentaire 7" xfId="24555" xr:uid="{E3A9F8B4-D136-4ADF-A3BA-493190B4DD8B}"/>
    <cellStyle name="Commentaire 7 2" xfId="27155" xr:uid="{7AE8255D-2FDE-4D8A-9C19-1348E40E3688}"/>
    <cellStyle name="Commentaire 7 2 2" xfId="33996" xr:uid="{2CB01D08-40EB-4F45-974E-2E48BA5C9A93}"/>
    <cellStyle name="Commentaire 7 3" xfId="29232" xr:uid="{6CBC8DE7-7371-4B4E-A34A-DAA8F5D53657}"/>
    <cellStyle name="Commentaire 7 3 2" xfId="36077" xr:uid="{070E5929-89CF-4048-A54B-4794FCBEDB78}"/>
    <cellStyle name="Commentaire 7 4" xfId="31314" xr:uid="{980B2B07-AED7-45A3-B123-AAC932DDEB08}"/>
    <cellStyle name="Commentaire 8" xfId="24171" xr:uid="{658CEC79-C0C8-471A-8C96-1988B5DF9678}"/>
    <cellStyle name="Commentaire 8 2" xfId="26782" xr:uid="{3D41CF4F-D4BF-464A-ABB4-4A2A9ABF757E}"/>
    <cellStyle name="Commentaire 8 2 2" xfId="33622" xr:uid="{2F8E8D03-A5C4-4112-84C7-261BEC3D4590}"/>
    <cellStyle name="Commentaire 8 3" xfId="28858" xr:uid="{E4868525-AF19-4E39-B125-83A371F9A949}"/>
    <cellStyle name="Commentaire 8 3 2" xfId="35703" xr:uid="{479C0450-E0C0-4F13-A3DC-C19ADCFE7561}"/>
    <cellStyle name="Commentaire 8 4" xfId="30940" xr:uid="{9855C6CA-3DED-4B6C-A35A-79168D3E0B8D}"/>
    <cellStyle name="Commentaire 9" xfId="23944" xr:uid="{A069367F-1B0E-4B56-9D2D-AD3ED281BE2A}"/>
    <cellStyle name="Commentaire 9 2" xfId="26562" xr:uid="{ADD243A9-B8DF-4967-B346-ECDB1418D954}"/>
    <cellStyle name="Commentaire 9 2 2" xfId="33402" xr:uid="{5E5F854D-3174-4E76-9183-BD66FA945AAA}"/>
    <cellStyle name="Commentaire 9 3" xfId="26123" xr:uid="{AF289902-1112-4F01-BED2-152BD5067CB9}"/>
    <cellStyle name="Commentaire 9 3 2" xfId="32951" xr:uid="{74DAA907-0EF2-4410-8458-08D9473316D7}"/>
    <cellStyle name="Commentaire 9 4" xfId="23245" xr:uid="{97BEEC4A-777A-4DC9-B904-3455B922483E}"/>
    <cellStyle name="Company" xfId="1280" xr:uid="{00000000-0005-0000-0000-000016050000}"/>
    <cellStyle name="CurRatio" xfId="1281" xr:uid="{00000000-0005-0000-0000-000017050000}"/>
    <cellStyle name="Currency--" xfId="1282" xr:uid="{00000000-0005-0000-0000-000018050000}"/>
    <cellStyle name="Currency [00]" xfId="1283" xr:uid="{00000000-0005-0000-0000-000019050000}"/>
    <cellStyle name="Currency [00] 2" xfId="6851" xr:uid="{00000000-0005-0000-0000-0000D7180000}"/>
    <cellStyle name="Currency [1]" xfId="1284" xr:uid="{00000000-0005-0000-0000-00001A050000}"/>
    <cellStyle name="Currency [2]" xfId="1285" xr:uid="{00000000-0005-0000-0000-00001B050000}"/>
    <cellStyle name="Currency [2] 10" xfId="21582" xr:uid="{D40ED283-BC36-4EE3-81BD-71E84B0276D8}"/>
    <cellStyle name="Currency [2] 11" xfId="19537" xr:uid="{C94EE5F1-1A71-48AA-93E0-E93A84E488F8}"/>
    <cellStyle name="Currency [2] 12" xfId="22206" xr:uid="{9C39D08D-1697-4276-9FA9-F6423C152458}"/>
    <cellStyle name="Currency [2] 13" xfId="20455" xr:uid="{97862479-F0EE-4B45-9A15-9A94757A7BDE}"/>
    <cellStyle name="Currency [2] 14" xfId="18960" xr:uid="{350CE2CE-4B79-4339-A8A9-188D25A2528D}"/>
    <cellStyle name="Currency [2] 15" xfId="19434" xr:uid="{492D6CCA-56C6-4890-B331-0F23AE71816F}"/>
    <cellStyle name="Currency [2] 16" xfId="22618" xr:uid="{071A4FA9-04D0-462F-8AA9-F106C55DC33B}"/>
    <cellStyle name="Currency [2] 17" xfId="19061" xr:uid="{59E7D4DF-ABFE-44AC-B635-64DF0FE789B6}"/>
    <cellStyle name="Currency [2] 18" xfId="19734" xr:uid="{6FC65B3D-61C1-4657-956C-3FD9C6943549}"/>
    <cellStyle name="Currency [2] 19" xfId="20468" xr:uid="{CEA72061-2F82-47E1-A3B9-F3983F966CBE}"/>
    <cellStyle name="Currency [2] 2" xfId="1286" xr:uid="{00000000-0005-0000-0000-00001C050000}"/>
    <cellStyle name="Currency [2] 2 10" xfId="21021" xr:uid="{D2A0EE75-B5FF-4956-910D-5308638DAF31}"/>
    <cellStyle name="Currency [2] 2 11" xfId="22328" xr:uid="{C766616E-A883-4891-A52F-A59DE9E1A380}"/>
    <cellStyle name="Currency [2] 2 12" xfId="22196" xr:uid="{E5C85580-12B0-4178-8FC9-746058E520A7}"/>
    <cellStyle name="Currency [2] 2 13" xfId="19075" xr:uid="{F864E56C-5143-4393-B2D4-0DD59646CBBD}"/>
    <cellStyle name="Currency [2] 2 14" xfId="19586" xr:uid="{817C0CF1-35F7-4CD4-A264-24CB2E14799E}"/>
    <cellStyle name="Currency [2] 2 15" xfId="20026" xr:uid="{F6F5E100-7C38-4A2A-B6DD-3F313A3605D2}"/>
    <cellStyle name="Currency [2] 2 16" xfId="22344" xr:uid="{97087D0C-F040-47A9-AE4B-5C75C4CF2FB2}"/>
    <cellStyle name="Currency [2] 2 17" xfId="17952" xr:uid="{E540D887-CB7C-4726-AC99-A988418F38EA}"/>
    <cellStyle name="Currency [2] 2 18" xfId="26339" xr:uid="{739EFF12-B340-4C9B-BBB1-AFB01DBEA0F1}"/>
    <cellStyle name="Currency [2] 2 19" xfId="33170" xr:uid="{F749CA11-A488-4523-A686-4526684C41D7}"/>
    <cellStyle name="Currency [2] 2 2" xfId="9426" xr:uid="{00000000-0005-0000-0000-000018040000}"/>
    <cellStyle name="Currency [2] 2 2 10" xfId="21647" xr:uid="{7AF7C5D4-2B04-40F7-A9E4-CA8E5D47B596}"/>
    <cellStyle name="Currency [2] 2 2 11" xfId="19729" xr:uid="{99AD863F-844E-49A1-BE42-4E961881E2E9}"/>
    <cellStyle name="Currency [2] 2 2 12" xfId="18997" xr:uid="{F3DD8694-6984-44BD-BADD-AF7404F3D81B}"/>
    <cellStyle name="Currency [2] 2 2 13" xfId="19903" xr:uid="{699F1539-172C-4CA6-9430-8F19D1198E71}"/>
    <cellStyle name="Currency [2] 2 2 14" xfId="21951" xr:uid="{02A89DFE-DDA4-47CF-8492-2E1334F5BE07}"/>
    <cellStyle name="Currency [2] 2 2 15" xfId="19867" xr:uid="{A7266B96-5588-43D2-A562-7E9F4ED16615}"/>
    <cellStyle name="Currency [2] 2 2 16" xfId="18369" xr:uid="{82B3E2FB-C9C4-461C-BDD4-8659715C3268}"/>
    <cellStyle name="Currency [2] 2 2 17" xfId="41916" xr:uid="{9B550D7D-CE31-4B18-A3F2-82FEB9D9D314}"/>
    <cellStyle name="Currency [2] 2 2 18" xfId="46497" xr:uid="{B2100785-75FF-4AA7-8297-DCCE163B6190}"/>
    <cellStyle name="Currency [2] 2 2 19" xfId="47020" xr:uid="{4DE87423-CABB-4F25-8D59-DE6D4FB40DE5}"/>
    <cellStyle name="Currency [2] 2 2 2" xfId="19989" xr:uid="{B5CFAEF7-10AA-4549-9953-86B34EC03737}"/>
    <cellStyle name="Currency [2] 2 2 20" xfId="48991" xr:uid="{1EF3927C-9630-456F-880C-83573A0F775F}"/>
    <cellStyle name="Currency [2] 2 2 21" xfId="47482" xr:uid="{9179D411-3EBD-4645-BC73-C6942D94822D}"/>
    <cellStyle name="Currency [2] 2 2 3" xfId="19650" xr:uid="{4D646292-D537-4854-8358-1D1206B6B20D}"/>
    <cellStyle name="Currency [2] 2 2 4" xfId="21826" xr:uid="{96B20717-1931-4897-8F8E-15CD2A322F17}"/>
    <cellStyle name="Currency [2] 2 2 5" xfId="19034" xr:uid="{E1FF1140-C710-4909-A9EA-7142D247DAB1}"/>
    <cellStyle name="Currency [2] 2 2 6" xfId="21329" xr:uid="{D6CB5E51-C5DD-4707-A7D8-7FA020F6A3AC}"/>
    <cellStyle name="Currency [2] 2 2 7" xfId="20791" xr:uid="{21A9BBCA-A584-492A-8141-1480DF7516C8}"/>
    <cellStyle name="Currency [2] 2 2 8" xfId="21135" xr:uid="{DF7F3DD6-B1D3-4D98-A38B-06473632D726}"/>
    <cellStyle name="Currency [2] 2 2 9" xfId="22426" xr:uid="{DE71B3F8-CB3B-4542-9856-12C9F77C6CCB}"/>
    <cellStyle name="Currency [2] 2 20" xfId="14415" xr:uid="{1D4B3CD5-1887-4069-A282-2465C153D948}"/>
    <cellStyle name="Currency [2] 2 21" xfId="15346" xr:uid="{6C5548FE-5E3F-4F0F-833B-624624B6BB84}"/>
    <cellStyle name="Currency [2] 2 22" xfId="40294" xr:uid="{58BBF947-09B5-468C-85A8-D4CBB2E2293D}"/>
    <cellStyle name="Currency [2] 2 23" xfId="37795" xr:uid="{684F410E-8395-405E-9790-2E3253426843}"/>
    <cellStyle name="Currency [2] 2 24" xfId="49297" xr:uid="{78E921C4-8EAB-49F4-A928-BB90BD051054}"/>
    <cellStyle name="Currency [2] 2 25" xfId="47467" xr:uid="{A63C071C-9B93-4225-8382-1E994022583A}"/>
    <cellStyle name="Currency [2] 2 3" xfId="9271" xr:uid="{00000000-0005-0000-0000-000002040000}"/>
    <cellStyle name="Currency [2] 2 3 2" xfId="19029" xr:uid="{C2C480F9-3A74-4881-BB8B-A612B7FF884B}"/>
    <cellStyle name="Currency [2] 2 3 3" xfId="41806" xr:uid="{05182B9F-B5D2-4AA0-A8E0-ABE1AEAD909F}"/>
    <cellStyle name="Currency [2] 2 3 4" xfId="37700" xr:uid="{49E52422-D1C7-4F5E-89AC-07FD13579573}"/>
    <cellStyle name="Currency [2] 2 3 5" xfId="47382" xr:uid="{4742B3CE-A366-4993-8983-C8D38CF60551}"/>
    <cellStyle name="Currency [2] 2 3 6" xfId="47897" xr:uid="{07D5DD34-B730-4E7B-BB80-A683FE1CB7DF}"/>
    <cellStyle name="Currency [2] 2 3 7" xfId="48046" xr:uid="{93D327F7-E50A-43B3-9D04-C22541D28D78}"/>
    <cellStyle name="Currency [2] 2 4" xfId="21396" xr:uid="{D6797515-043F-489E-AE8C-96076046F7D9}"/>
    <cellStyle name="Currency [2] 2 5" xfId="21406" xr:uid="{FF601FE6-CC48-43F6-AE4F-0474C210ECD0}"/>
    <cellStyle name="Currency [2] 2 6" xfId="21846" xr:uid="{AFEB51DC-82C5-44EE-B2AC-D66E58629113}"/>
    <cellStyle name="Currency [2] 2 7" xfId="20871" xr:uid="{1028F386-0774-4636-8BA5-6F63FFAD4B67}"/>
    <cellStyle name="Currency [2] 2 8" xfId="21940" xr:uid="{CF537E41-A1CD-49D0-B44D-AF8F93463ECF}"/>
    <cellStyle name="Currency [2] 2 9" xfId="20276" xr:uid="{F41E1611-69C9-4757-B620-813207000C65}"/>
    <cellStyle name="Currency [2] 20" xfId="17951" xr:uid="{8F4F7A11-0406-4D0A-93B7-5D3982E49380}"/>
    <cellStyle name="Currency [2] 21" xfId="23015" xr:uid="{C4C1FE02-4A85-46F4-B151-1F44B068C8C3}"/>
    <cellStyle name="Currency [2] 22" xfId="14414" xr:uid="{69A7B6E8-1EC7-4848-BE50-C919B3E90060}"/>
    <cellStyle name="Currency [2] 23" xfId="15347" xr:uid="{3CDF83CA-3B0C-4204-8900-3118EA629E04}"/>
    <cellStyle name="Currency [2] 24" xfId="47690" xr:uid="{C844ED3F-E503-4A94-A0BD-1E19C3A1585B}"/>
    <cellStyle name="Currency [2] 25" xfId="46867" xr:uid="{ED75BFE5-6F77-43C0-9739-268E1FBFECDB}"/>
    <cellStyle name="Currency [2] 26" xfId="48302" xr:uid="{7341631B-C0F4-4B9D-B38D-2BD1E5EB9E15}"/>
    <cellStyle name="Currency [2] 27" xfId="15513" xr:uid="{5F811DD4-6C9F-4F07-97CD-2A032516888B}"/>
    <cellStyle name="Currency [2] 3" xfId="1287" xr:uid="{00000000-0005-0000-0000-00001D050000}"/>
    <cellStyle name="Currency [2] 3 10" xfId="21235" xr:uid="{BC687C79-3F95-461B-8A46-54E9D96282E9}"/>
    <cellStyle name="Currency [2] 3 11" xfId="20244" xr:uid="{5F2376D9-8C77-48C3-888A-0A978118B809}"/>
    <cellStyle name="Currency [2] 3 12" xfId="19584" xr:uid="{9628BE37-3759-44FE-AEC1-42E76E5CD4FD}"/>
    <cellStyle name="Currency [2] 3 13" xfId="21974" xr:uid="{AA148CF7-7FCA-4567-B04A-F67109AC7AEF}"/>
    <cellStyle name="Currency [2] 3 14" xfId="18941" xr:uid="{4F0EEE05-BBDC-4439-987B-7A3CF9121898}"/>
    <cellStyle name="Currency [2] 3 15" xfId="21628" xr:uid="{4019DFD0-6134-47C5-B1F6-3F996B0FCB02}"/>
    <cellStyle name="Currency [2] 3 16" xfId="19899" xr:uid="{234D5D04-9D42-4AA0-AFF3-2407BA7D5085}"/>
    <cellStyle name="Currency [2] 3 17" xfId="17953" xr:uid="{E477F045-7C0D-4240-88FF-7A97B4C926CC}"/>
    <cellStyle name="Currency [2] 3 18" xfId="26037" xr:uid="{E8744B33-57B8-409E-87BB-D905BDA0D7E1}"/>
    <cellStyle name="Currency [2] 3 19" xfId="32866" xr:uid="{A17F998B-A85A-417D-8C2F-4336F78F205F}"/>
    <cellStyle name="Currency [2] 3 2" xfId="18370" xr:uid="{4D88E091-B044-4F8B-962A-B708ACBFDAA6}"/>
    <cellStyle name="Currency [2] 3 2 10" xfId="20478" xr:uid="{2A8675D6-0044-49D8-8A46-F3E916ECFB19}"/>
    <cellStyle name="Currency [2] 3 2 11" xfId="22475" xr:uid="{E16ED65F-FE11-4249-B640-0067DB722C37}"/>
    <cellStyle name="Currency [2] 3 2 12" xfId="21441" xr:uid="{3491FDC8-4741-4C88-8C2E-37654A4EC2C8}"/>
    <cellStyle name="Currency [2] 3 2 13" xfId="18994" xr:uid="{2F1C9373-C949-4BAD-A765-C3A9DD94B68D}"/>
    <cellStyle name="Currency [2] 3 2 14" xfId="22315" xr:uid="{C8319124-5FE8-4BE2-8229-494C348DC356}"/>
    <cellStyle name="Currency [2] 3 2 15" xfId="21576" xr:uid="{CEF0525D-0D9D-44AD-BBF0-87B71DB87900}"/>
    <cellStyle name="Currency [2] 3 2 2" xfId="19988" xr:uid="{F577CAC5-BCD2-4BE0-BDA2-03AA2ADAD2ED}"/>
    <cellStyle name="Currency [2] 3 2 3" xfId="21123" xr:uid="{44C0EDB6-6125-4772-BB0F-F8C3884506F5}"/>
    <cellStyle name="Currency [2] 3 2 4" xfId="20518" xr:uid="{5119D27E-1A4D-4D73-B11D-533A99F8E870}"/>
    <cellStyle name="Currency [2] 3 2 5" xfId="19039" xr:uid="{2C75D83E-61B5-48CC-8F81-C77BE43F25A3}"/>
    <cellStyle name="Currency [2] 3 2 6" xfId="19490" xr:uid="{232B966A-0567-49E4-9A84-C5229369A64B}"/>
    <cellStyle name="Currency [2] 3 2 7" xfId="21836" xr:uid="{E70E8A92-172C-42D7-A538-59E3A09238B3}"/>
    <cellStyle name="Currency [2] 3 2 8" xfId="20414" xr:uid="{06C5C2EE-3919-4837-BBB0-3A1D65B26131}"/>
    <cellStyle name="Currency [2] 3 2 9" xfId="21580" xr:uid="{39486AAB-ACCE-49C4-A4CC-36534664A813}"/>
    <cellStyle name="Currency [2] 3 20" xfId="14416" xr:uid="{D69BFF25-40FF-4B62-B803-4BF5539AAD82}"/>
    <cellStyle name="Currency [2] 3 21" xfId="15345" xr:uid="{F99AB009-1E23-4305-B647-FB69D06B8CD9}"/>
    <cellStyle name="Currency [2] 3 22" xfId="40293" xr:uid="{D32F36DC-779A-4434-BFBF-7E0C0CCFDC7B}"/>
    <cellStyle name="Currency [2] 3 23" xfId="48777" xr:uid="{096FBC4D-5BB4-424E-8E94-F18E2D60900D}"/>
    <cellStyle name="Currency [2] 3 24" xfId="47679" xr:uid="{C2DBCBE0-3801-4C89-8F21-ECCF4E25909E}"/>
    <cellStyle name="Currency [2] 3 25" xfId="48555" xr:uid="{E35D0ED0-708C-4418-B4DC-F12C3E636D06}"/>
    <cellStyle name="Currency [2] 3 3" xfId="19028" xr:uid="{F5DE8A25-C624-436B-9C6B-0B993F74272A}"/>
    <cellStyle name="Currency [2] 3 4" xfId="21397" xr:uid="{B912B1ED-B488-4F26-852B-A874B8D72005}"/>
    <cellStyle name="Currency [2] 3 5" xfId="20282" xr:uid="{B57AB677-C5E8-477D-BE52-4B540AC98CF9}"/>
    <cellStyle name="Currency [2] 3 6" xfId="21281" xr:uid="{AC2D0D38-B910-442B-AD5E-FB42A414D57E}"/>
    <cellStyle name="Currency [2] 3 7" xfId="20888" xr:uid="{809CA59F-0DA9-404B-A1D4-D68F961257C3}"/>
    <cellStyle name="Currency [2] 3 8" xfId="21640" xr:uid="{D533974F-4640-4FD8-95F8-DE2A38EB88D0}"/>
    <cellStyle name="Currency [2] 3 9" xfId="22139" xr:uid="{6E0560D5-42D0-4815-92D7-7C7E7816D559}"/>
    <cellStyle name="Currency [2] 4" xfId="1288" xr:uid="{00000000-0005-0000-0000-00001E050000}"/>
    <cellStyle name="Currency [2] 4 10" xfId="19592" xr:uid="{F5A2001D-01FA-4032-896E-57D5A52CC857}"/>
    <cellStyle name="Currency [2] 4 11" xfId="22322" xr:uid="{AE0D78C9-925A-44E7-934A-265E39ECD86C}"/>
    <cellStyle name="Currency [2] 4 12" xfId="19371" xr:uid="{7920AAA2-B7B7-4E59-A52E-7123FB0B6481}"/>
    <cellStyle name="Currency [2] 4 13" xfId="20577" xr:uid="{343C019B-2FD0-438F-ADC0-FB8D48BE876E}"/>
    <cellStyle name="Currency [2] 4 14" xfId="22616" xr:uid="{DCA29A9C-064A-47EA-B24F-3AB8F436EB15}"/>
    <cellStyle name="Currency [2] 4 15" xfId="22730" xr:uid="{7BD2385A-AC22-48B2-8192-852EB2E66185}"/>
    <cellStyle name="Currency [2] 4 16" xfId="21512" xr:uid="{01158450-BF80-4BC0-9EC3-EBD1FDE7C0DA}"/>
    <cellStyle name="Currency [2] 4 17" xfId="18322" xr:uid="{E7161E16-F329-4228-9EA6-93FA34FB0C02}"/>
    <cellStyle name="Currency [2] 4 18" xfId="16802" xr:uid="{D4262747-4EC3-4D2B-B418-9F0C216051FC}"/>
    <cellStyle name="Currency [2] 4 19" xfId="15344" xr:uid="{FAD0E2B3-D68E-4BC8-9F40-1698050A2490}"/>
    <cellStyle name="Currency [2] 4 2" xfId="18813" xr:uid="{41D1670F-2A19-4FFC-909B-51CA4C527E16}"/>
    <cellStyle name="Currency [2] 4 2 10" xfId="20611" xr:uid="{02207394-BA8B-4EF1-90B5-AC8280B784B1}"/>
    <cellStyle name="Currency [2] 4 2 11" xfId="19281" xr:uid="{A98F0FC2-9FCD-498D-95CA-3D6713326144}"/>
    <cellStyle name="Currency [2] 4 2 12" xfId="22845" xr:uid="{E893F6DA-8782-4D80-98CD-CCF6E0A0BD65}"/>
    <cellStyle name="Currency [2] 4 2 13" xfId="20721" xr:uid="{97B995CF-29F0-4CDE-84D4-7DB5B331419F}"/>
    <cellStyle name="Currency [2] 4 2 14" xfId="22979" xr:uid="{C5FB2205-F7A1-4EAE-B82E-AC1B76B91796}"/>
    <cellStyle name="Currency [2] 4 2 15" xfId="19311" xr:uid="{90AAD03F-28CB-41FB-B5B8-F7BD3791625E}"/>
    <cellStyle name="Currency [2] 4 2 2" xfId="21289" xr:uid="{12374C43-D394-442F-8C8D-F076CE5EDE4C}"/>
    <cellStyle name="Currency [2] 4 2 3" xfId="21635" xr:uid="{41F1E910-4EA5-4772-814C-3E41C3A578DB}"/>
    <cellStyle name="Currency [2] 4 2 4" xfId="20687" xr:uid="{39DFB3FF-EBA6-4789-9B58-EF9AA114EC3E}"/>
    <cellStyle name="Currency [2] 4 2 5" xfId="22031" xr:uid="{D0B27815-F883-4AD5-89EF-B83C371FC357}"/>
    <cellStyle name="Currency [2] 4 2 6" xfId="20999" xr:uid="{32064541-9BA6-44C3-83AE-A8C342CFA9E4}"/>
    <cellStyle name="Currency [2] 4 2 7" xfId="21858" xr:uid="{52BA3A14-8E8D-4861-BA8F-AC4C6FA3CD76}"/>
    <cellStyle name="Currency [2] 4 2 8" xfId="21947" xr:uid="{C9BED33E-8E56-4A41-ADD4-D69567E380FE}"/>
    <cellStyle name="Currency [2] 4 2 9" xfId="22601" xr:uid="{672948D8-2BB5-424B-9BEC-6A47A8EB6BEA}"/>
    <cellStyle name="Currency [2] 4 20" xfId="15445" xr:uid="{280D1332-7A81-41D9-8F28-2E8EFC90693C}"/>
    <cellStyle name="Currency [2] 4 21" xfId="40597" xr:uid="{682EC5BC-7527-4059-9A4E-631154B5C6E1}"/>
    <cellStyle name="Currency [2] 4 22" xfId="47456" xr:uid="{E4D74D05-215F-4932-9A7C-9B10548B610A}"/>
    <cellStyle name="Currency [2] 4 23" xfId="46492" xr:uid="{B7F4E8BC-7971-493E-82E3-23A4158ED8B6}"/>
    <cellStyle name="Currency [2] 4 3" xfId="20180" xr:uid="{51E2759F-AE79-45CC-81B1-341FFB57C625}"/>
    <cellStyle name="Currency [2] 4 4" xfId="21180" xr:uid="{09389ECA-5CA1-4977-B508-563E831FE485}"/>
    <cellStyle name="Currency [2] 4 5" xfId="21799" xr:uid="{E5A518B6-53BA-4775-8AC2-0B7C0F26E3BC}"/>
    <cellStyle name="Currency [2] 4 6" xfId="20081" xr:uid="{D546048E-83C2-424D-8DBF-60F80BFCD1A2}"/>
    <cellStyle name="Currency [2] 4 7" xfId="20419" xr:uid="{5407B9EC-33E3-4819-8691-08F41FABED36}"/>
    <cellStyle name="Currency [2] 4 8" xfId="19115" xr:uid="{2088EA64-8EE5-45DC-A016-771FA0071972}"/>
    <cellStyle name="Currency [2] 4 9" xfId="21595" xr:uid="{15F2747C-9BF5-4CBD-A625-119B562A6583}"/>
    <cellStyle name="Currency [2] 5" xfId="18368" xr:uid="{7C11EFEC-8091-46B2-83E7-EB46424590F2}"/>
    <cellStyle name="Currency [2] 5 10" xfId="21344" xr:uid="{79192E74-0BDA-4E03-90EF-AC7244E52080}"/>
    <cellStyle name="Currency [2] 5 11" xfId="22093" xr:uid="{4A2B6C1A-B953-40E5-8F82-B9B585FC80D0}"/>
    <cellStyle name="Currency [2] 5 12" xfId="21455" xr:uid="{6CFBE6E3-2C01-478D-9B50-27DD70D4BF63}"/>
    <cellStyle name="Currency [2] 5 13" xfId="21147" xr:uid="{27A7F48A-9FF2-49C9-B5ED-B5CE66C167ED}"/>
    <cellStyle name="Currency [2] 5 14" xfId="22641" xr:uid="{220FDF1A-DD0B-4A57-9801-5F1917202A25}"/>
    <cellStyle name="Currency [2] 5 15" xfId="19188" xr:uid="{6B2CA943-C84E-41CC-81D9-AD435396E854}"/>
    <cellStyle name="Currency [2] 5 2" xfId="19990" xr:uid="{BCE600D7-DDFE-4486-B522-37ED65701351}"/>
    <cellStyle name="Currency [2] 5 3" xfId="21700" xr:uid="{47CFD230-675B-42EF-8D49-C7FA9E1100C9}"/>
    <cellStyle name="Currency [2] 5 4" xfId="19141" xr:uid="{82C8BA77-B067-4042-8ADD-DB42843EA407}"/>
    <cellStyle name="Currency [2] 5 5" xfId="20099" xr:uid="{770C5279-EBC9-4338-958F-FFBDB69829BD}"/>
    <cellStyle name="Currency [2] 5 6" xfId="20738" xr:uid="{23D8FEB1-3E9F-419A-96F3-F6EE8DAE3018}"/>
    <cellStyle name="Currency [2] 5 7" xfId="20434" xr:uid="{BF175A27-1D9F-4C24-848D-3B1CD316AF24}"/>
    <cellStyle name="Currency [2] 5 8" xfId="20609" xr:uid="{99BAEA02-B3D5-4AE3-A486-21976780C3D6}"/>
    <cellStyle name="Currency [2] 5 9" xfId="20482" xr:uid="{87C29B6E-7C6C-40B9-B209-2A0BC1AE25E0}"/>
    <cellStyle name="Currency [2] 6" xfId="19030" xr:uid="{534345C7-58F6-4DDF-8622-9ED28062986E}"/>
    <cellStyle name="Currency [2] 7" xfId="20275" xr:uid="{D924DB52-DAF5-49D5-BEC3-67026D03D1F9}"/>
    <cellStyle name="Currency [2] 8" xfId="21185" xr:uid="{0D55D1D2-F528-4E03-9FDC-56A938AF0F46}"/>
    <cellStyle name="Currency [2] 9" xfId="19502" xr:uid="{D46262A3-27DD-42B6-93B3-3563EE718B89}"/>
    <cellStyle name="Currency [3]" xfId="1289" xr:uid="{00000000-0005-0000-0000-00001F050000}"/>
    <cellStyle name="Currency 0" xfId="1290" xr:uid="{00000000-0005-0000-0000-000020050000}"/>
    <cellStyle name="Currency 10" xfId="1291" xr:uid="{00000000-0005-0000-0000-000021050000}"/>
    <cellStyle name="Currency-- 10" xfId="38022" xr:uid="{379A694E-F3AB-4932-9D3B-3C2916834EAA}"/>
    <cellStyle name="Currency 10 10" xfId="6859" xr:uid="{00000000-0005-0000-0000-0000D8180000}"/>
    <cellStyle name="Currency 10 11" xfId="12246" xr:uid="{00000000-0005-0000-0000-000005040000}"/>
    <cellStyle name="Currency 10 11 2" xfId="44729" xr:uid="{1650EC88-B5A5-4214-B2AF-9E698B85B67F}"/>
    <cellStyle name="Currency 10 12" xfId="13617" xr:uid="{E041EA59-9D6C-458A-B1FD-E9508F1A09D4}"/>
    <cellStyle name="Currency 10 13" xfId="40594" xr:uid="{39F89F10-0062-466C-AC25-81F5E5A37684}"/>
    <cellStyle name="Currency 10 14" xfId="48248" xr:uid="{4167B84D-F84F-4590-8163-70F24B8BDF7B}"/>
    <cellStyle name="Currency 10 2" xfId="1292" xr:uid="{00000000-0005-0000-0000-000022050000}"/>
    <cellStyle name="Currency 10 2 2" xfId="1293" xr:uid="{00000000-0005-0000-0000-000023050000}"/>
    <cellStyle name="Currency 10 2 2 2" xfId="1294" xr:uid="{00000000-0005-0000-0000-000024050000}"/>
    <cellStyle name="Currency 10 2 2 2 2" xfId="1295" xr:uid="{00000000-0005-0000-0000-000025050000}"/>
    <cellStyle name="Currency 10 2 2 2 2 2" xfId="1296" xr:uid="{00000000-0005-0000-0000-000026050000}"/>
    <cellStyle name="Currency 10 2 2 2 2 2 2" xfId="6864" xr:uid="{00000000-0005-0000-0000-0000DD180000}"/>
    <cellStyle name="Currency 10 2 2 2 2 2 3" xfId="16807" xr:uid="{B9CE12B9-2DA1-495A-B5A7-4C0375A4298C}"/>
    <cellStyle name="Currency 10 2 2 2 2 3" xfId="6863" xr:uid="{00000000-0005-0000-0000-0000DC180000}"/>
    <cellStyle name="Currency 10 2 2 2 2 4" xfId="12238" xr:uid="{00000000-0005-0000-0000-000009040000}"/>
    <cellStyle name="Currency 10 2 2 2 2 4 2" xfId="44721" xr:uid="{6F33242D-B71E-47C4-B507-FBC040DB1B5C}"/>
    <cellStyle name="Currency 10 2 2 2 2 5" xfId="14422" xr:uid="{3289BE03-0E80-4D26-8891-DE130E8E14F3}"/>
    <cellStyle name="Currency 10 2 2 2 3" xfId="1297" xr:uid="{00000000-0005-0000-0000-000027050000}"/>
    <cellStyle name="Currency 10 2 2 2 3 2" xfId="6865" xr:uid="{00000000-0005-0000-0000-0000DE180000}"/>
    <cellStyle name="Currency 10 2 2 2 3 3" xfId="16806" xr:uid="{CB043670-E6F7-41C5-9177-ED2FF1E7E777}"/>
    <cellStyle name="Currency 10 2 2 2 4" xfId="6862" xr:uid="{00000000-0005-0000-0000-0000DB180000}"/>
    <cellStyle name="Currency 10 2 2 2 5" xfId="12241" xr:uid="{00000000-0005-0000-0000-000008040000}"/>
    <cellStyle name="Currency 10 2 2 2 5 2" xfId="44724" xr:uid="{C4934F17-379C-4B35-B045-22773282072A}"/>
    <cellStyle name="Currency 10 2 2 2 6" xfId="14421" xr:uid="{F9C63503-669D-4C6D-A7AF-4A0C9739BBD6}"/>
    <cellStyle name="Currency 10 2 2 3" xfId="1298" xr:uid="{00000000-0005-0000-0000-000028050000}"/>
    <cellStyle name="Currency 10 2 2 3 2" xfId="1299" xr:uid="{00000000-0005-0000-0000-000029050000}"/>
    <cellStyle name="Currency 10 2 2 3 2 2" xfId="6867" xr:uid="{00000000-0005-0000-0000-0000E0180000}"/>
    <cellStyle name="Currency 10 2 2 3 2 3" xfId="16808" xr:uid="{A9310204-0C1F-4ED4-AEE9-4B23793F07C2}"/>
    <cellStyle name="Currency 10 2 2 3 3" xfId="6866" xr:uid="{00000000-0005-0000-0000-0000DF180000}"/>
    <cellStyle name="Currency 10 2 2 3 4" xfId="12236" xr:uid="{00000000-0005-0000-0000-00000A040000}"/>
    <cellStyle name="Currency 10 2 2 3 4 2" xfId="44719" xr:uid="{2D5F3C4D-1610-4E96-9679-25435510F083}"/>
    <cellStyle name="Currency 10 2 2 3 5" xfId="14423" xr:uid="{DCAFE2E4-504D-4660-9A05-0C01AF11735E}"/>
    <cellStyle name="Currency 10 2 2 4" xfId="1300" xr:uid="{00000000-0005-0000-0000-00002A050000}"/>
    <cellStyle name="Currency 10 2 2 4 2" xfId="6868" xr:uid="{00000000-0005-0000-0000-0000E1180000}"/>
    <cellStyle name="Currency 10 2 2 4 3" xfId="16805" xr:uid="{A6F2A064-FA8D-4DD6-9531-C6F9EC03338E}"/>
    <cellStyle name="Currency 10 2 2 5" xfId="6861" xr:uid="{00000000-0005-0000-0000-0000DA180000}"/>
    <cellStyle name="Currency 10 2 2 6" xfId="12243" xr:uid="{00000000-0005-0000-0000-000007040000}"/>
    <cellStyle name="Currency 10 2 2 6 2" xfId="44726" xr:uid="{C370D86F-A64C-4874-94E1-143F861C39B3}"/>
    <cellStyle name="Currency 10 2 2 7" xfId="14420" xr:uid="{EB603C71-C756-41C7-869B-0AB7B0A99ADB}"/>
    <cellStyle name="Currency 10 2 3" xfId="1301" xr:uid="{00000000-0005-0000-0000-00002B050000}"/>
    <cellStyle name="Currency 10 2 3 2" xfId="1302" xr:uid="{00000000-0005-0000-0000-00002C050000}"/>
    <cellStyle name="Currency 10 2 3 2 2" xfId="1303" xr:uid="{00000000-0005-0000-0000-00002D050000}"/>
    <cellStyle name="Currency 10 2 3 2 2 2" xfId="6871" xr:uid="{00000000-0005-0000-0000-0000E4180000}"/>
    <cellStyle name="Currency 10 2 3 2 2 3" xfId="16810" xr:uid="{EE60BF72-DAAB-4BB0-88D9-4C7A144FBA3E}"/>
    <cellStyle name="Currency 10 2 3 2 3" xfId="6870" xr:uid="{00000000-0005-0000-0000-0000E3180000}"/>
    <cellStyle name="Currency 10 2 3 2 4" xfId="12226" xr:uid="{00000000-0005-0000-0000-00000C040000}"/>
    <cellStyle name="Currency 10 2 3 2 4 2" xfId="44709" xr:uid="{B9D1222B-8167-4397-82AB-C5BF493035AA}"/>
    <cellStyle name="Currency 10 2 3 2 5" xfId="14425" xr:uid="{6C528C20-E572-4A5B-8DC9-402F25C8323D}"/>
    <cellStyle name="Currency 10 2 3 3" xfId="1304" xr:uid="{00000000-0005-0000-0000-00002E050000}"/>
    <cellStyle name="Currency 10 2 3 3 2" xfId="6872" xr:uid="{00000000-0005-0000-0000-0000E5180000}"/>
    <cellStyle name="Currency 10 2 3 3 3" xfId="16809" xr:uid="{BCCF0D9D-C93E-46ED-9AB5-B3F43040E3E0}"/>
    <cellStyle name="Currency 10 2 3 4" xfId="6869" xr:uid="{00000000-0005-0000-0000-0000E2180000}"/>
    <cellStyle name="Currency 10 2 3 5" xfId="12232" xr:uid="{00000000-0005-0000-0000-00000B040000}"/>
    <cellStyle name="Currency 10 2 3 5 2" xfId="44715" xr:uid="{BF174596-1B18-46ED-B2FE-21EFBA6E00BC}"/>
    <cellStyle name="Currency 10 2 3 6" xfId="14424" xr:uid="{34FDD340-0482-413A-8629-A297FD7520F3}"/>
    <cellStyle name="Currency 10 2 4" xfId="1305" xr:uid="{00000000-0005-0000-0000-00002F050000}"/>
    <cellStyle name="Currency 10 2 4 2" xfId="1306" xr:uid="{00000000-0005-0000-0000-000030050000}"/>
    <cellStyle name="Currency 10 2 4 2 2" xfId="6874" xr:uid="{00000000-0005-0000-0000-0000E7180000}"/>
    <cellStyle name="Currency 10 2 4 2 3" xfId="16811" xr:uid="{3BC110CD-7A40-4E02-98CF-7C332A6BAB4A}"/>
    <cellStyle name="Currency 10 2 4 3" xfId="6873" xr:uid="{00000000-0005-0000-0000-0000E6180000}"/>
    <cellStyle name="Currency 10 2 4 4" xfId="12224" xr:uid="{00000000-0005-0000-0000-00000D040000}"/>
    <cellStyle name="Currency 10 2 4 4 2" xfId="44707" xr:uid="{1B105919-895D-4742-B49A-CE86A1A8C988}"/>
    <cellStyle name="Currency 10 2 4 5" xfId="14426" xr:uid="{C1A108F3-8A40-40E0-B0DB-5B3459A7B8C3}"/>
    <cellStyle name="Currency 10 2 5" xfId="1307" xr:uid="{00000000-0005-0000-0000-000031050000}"/>
    <cellStyle name="Currency 10 2 5 2" xfId="6875" xr:uid="{00000000-0005-0000-0000-0000E8180000}"/>
    <cellStyle name="Currency 10 2 5 3" xfId="16804" xr:uid="{AFD61DAE-3E78-4605-B834-6095CDCBE275}"/>
    <cellStyle name="Currency 10 2 6" xfId="6860" xr:uid="{00000000-0005-0000-0000-0000D9180000}"/>
    <cellStyle name="Currency 10 2 7" xfId="12244" xr:uid="{00000000-0005-0000-0000-000006040000}"/>
    <cellStyle name="Currency 10 2 7 2" xfId="44727" xr:uid="{377768D7-8959-4938-8041-C1119BE917A5}"/>
    <cellStyle name="Currency 10 2 8" xfId="14419" xr:uid="{3CC994A1-26EF-4A3D-9E06-BE851A427FEA}"/>
    <cellStyle name="Currency 10 3" xfId="1308" xr:uid="{00000000-0005-0000-0000-000032050000}"/>
    <cellStyle name="Currency 10 3 2" xfId="1309" xr:uid="{00000000-0005-0000-0000-000033050000}"/>
    <cellStyle name="Currency 10 3 2 2" xfId="1310" xr:uid="{00000000-0005-0000-0000-000034050000}"/>
    <cellStyle name="Currency 10 3 2 2 2" xfId="1311" xr:uid="{00000000-0005-0000-0000-000035050000}"/>
    <cellStyle name="Currency 10 3 2 2 2 2" xfId="1312" xr:uid="{00000000-0005-0000-0000-000036050000}"/>
    <cellStyle name="Currency 10 3 2 2 2 2 2" xfId="6880" xr:uid="{00000000-0005-0000-0000-0000ED180000}"/>
    <cellStyle name="Currency 10 3 2 2 2 2 3" xfId="16815" xr:uid="{A8D13754-CB82-4AF5-8254-40B649EEB2E3}"/>
    <cellStyle name="Currency 10 3 2 2 2 3" xfId="6879" xr:uid="{00000000-0005-0000-0000-0000EC180000}"/>
    <cellStyle name="Currency 10 3 2 2 2 4" xfId="12211" xr:uid="{00000000-0005-0000-0000-000011040000}"/>
    <cellStyle name="Currency 10 3 2 2 2 4 2" xfId="44694" xr:uid="{E1D3A7D9-B5D2-4064-BCD6-527B69572093}"/>
    <cellStyle name="Currency 10 3 2 2 2 5" xfId="14430" xr:uid="{85496FFE-C3E4-4446-B968-C03F1F5EC203}"/>
    <cellStyle name="Currency 10 3 2 2 3" xfId="1313" xr:uid="{00000000-0005-0000-0000-000037050000}"/>
    <cellStyle name="Currency 10 3 2 2 3 2" xfId="6881" xr:uid="{00000000-0005-0000-0000-0000EE180000}"/>
    <cellStyle name="Currency 10 3 2 2 3 3" xfId="16814" xr:uid="{164340A4-D982-443B-A9B5-CE2F145BACA5}"/>
    <cellStyle name="Currency 10 3 2 2 4" xfId="6878" xr:uid="{00000000-0005-0000-0000-0000EB180000}"/>
    <cellStyle name="Currency 10 3 2 2 5" xfId="12217" xr:uid="{00000000-0005-0000-0000-000010040000}"/>
    <cellStyle name="Currency 10 3 2 2 5 2" xfId="44700" xr:uid="{50FE809D-5FBE-44E6-948D-E759D0EFB6AA}"/>
    <cellStyle name="Currency 10 3 2 2 6" xfId="14429" xr:uid="{5FEFC62A-37C5-4483-8926-75D16C97FF29}"/>
    <cellStyle name="Currency 10 3 2 3" xfId="1314" xr:uid="{00000000-0005-0000-0000-000038050000}"/>
    <cellStyle name="Currency 10 3 2 3 2" xfId="1315" xr:uid="{00000000-0005-0000-0000-000039050000}"/>
    <cellStyle name="Currency 10 3 2 3 2 2" xfId="6883" xr:uid="{00000000-0005-0000-0000-0000F0180000}"/>
    <cellStyle name="Currency 10 3 2 3 2 3" xfId="16816" xr:uid="{3C19A8AD-D489-4758-A0A2-82EA8C5F76F9}"/>
    <cellStyle name="Currency 10 3 2 3 3" xfId="6882" xr:uid="{00000000-0005-0000-0000-0000EF180000}"/>
    <cellStyle name="Currency 10 3 2 3 4" xfId="12209" xr:uid="{00000000-0005-0000-0000-000012040000}"/>
    <cellStyle name="Currency 10 3 2 3 4 2" xfId="44692" xr:uid="{E129550C-DA17-43BF-8F6C-8872F4C76682}"/>
    <cellStyle name="Currency 10 3 2 3 5" xfId="14431" xr:uid="{47B2809D-A432-4DBA-91FF-CE4895EC763D}"/>
    <cellStyle name="Currency 10 3 2 4" xfId="1316" xr:uid="{00000000-0005-0000-0000-00003A050000}"/>
    <cellStyle name="Currency 10 3 2 4 2" xfId="6884" xr:uid="{00000000-0005-0000-0000-0000F1180000}"/>
    <cellStyle name="Currency 10 3 2 4 3" xfId="16813" xr:uid="{FC31011E-32F7-4B1A-A201-9D1911EE530C}"/>
    <cellStyle name="Currency 10 3 2 5" xfId="6877" xr:uid="{00000000-0005-0000-0000-0000EA180000}"/>
    <cellStyle name="Currency 10 3 2 6" xfId="12219" xr:uid="{00000000-0005-0000-0000-00000F040000}"/>
    <cellStyle name="Currency 10 3 2 6 2" xfId="44702" xr:uid="{37864D50-B3BC-4F1E-8CB6-94E4A6636329}"/>
    <cellStyle name="Currency 10 3 2 7" xfId="14428" xr:uid="{0CF901AC-22A9-4E5B-84EF-F78ED05E6C65}"/>
    <cellStyle name="Currency 10 3 3" xfId="1317" xr:uid="{00000000-0005-0000-0000-00003B050000}"/>
    <cellStyle name="Currency 10 3 3 2" xfId="1318" xr:uid="{00000000-0005-0000-0000-00003C050000}"/>
    <cellStyle name="Currency 10 3 3 2 2" xfId="1319" xr:uid="{00000000-0005-0000-0000-00003D050000}"/>
    <cellStyle name="Currency 10 3 3 2 2 2" xfId="6887" xr:uid="{00000000-0005-0000-0000-0000F4180000}"/>
    <cellStyle name="Currency 10 3 3 2 2 3" xfId="16818" xr:uid="{FDBE835E-8108-4431-8E2D-7588B2CEFC22}"/>
    <cellStyle name="Currency 10 3 3 2 3" xfId="6886" xr:uid="{00000000-0005-0000-0000-0000F3180000}"/>
    <cellStyle name="Currency 10 3 3 2 4" xfId="12204" xr:uid="{00000000-0005-0000-0000-000014040000}"/>
    <cellStyle name="Currency 10 3 3 2 4 2" xfId="44687" xr:uid="{31AC2FD0-650F-455B-A3F8-8570CFC09C7D}"/>
    <cellStyle name="Currency 10 3 3 2 5" xfId="14433" xr:uid="{6A70C7ED-D8EC-40DC-A245-6EBC75191398}"/>
    <cellStyle name="Currency 10 3 3 3" xfId="1320" xr:uid="{00000000-0005-0000-0000-00003E050000}"/>
    <cellStyle name="Currency 10 3 3 3 2" xfId="6888" xr:uid="{00000000-0005-0000-0000-0000F5180000}"/>
    <cellStyle name="Currency 10 3 3 3 3" xfId="16817" xr:uid="{EB7F055A-E97F-4350-B8EE-72D10C6E8EEA}"/>
    <cellStyle name="Currency 10 3 3 4" xfId="6885" xr:uid="{00000000-0005-0000-0000-0000F2180000}"/>
    <cellStyle name="Currency 10 3 3 5" xfId="12207" xr:uid="{00000000-0005-0000-0000-000013040000}"/>
    <cellStyle name="Currency 10 3 3 5 2" xfId="44690" xr:uid="{A0D4391C-4FEC-49D8-BBA4-DAC5CA1931F9}"/>
    <cellStyle name="Currency 10 3 3 6" xfId="14432" xr:uid="{B477DF13-814F-4147-8AD2-7041C368C2F7}"/>
    <cellStyle name="Currency 10 3 4" xfId="1321" xr:uid="{00000000-0005-0000-0000-00003F050000}"/>
    <cellStyle name="Currency 10 3 4 2" xfId="1322" xr:uid="{00000000-0005-0000-0000-000040050000}"/>
    <cellStyle name="Currency 10 3 4 2 2" xfId="6890" xr:uid="{00000000-0005-0000-0000-0000F7180000}"/>
    <cellStyle name="Currency 10 3 4 2 3" xfId="16819" xr:uid="{CFA0E9B6-A9CA-4A4D-8431-F98035C8884F}"/>
    <cellStyle name="Currency 10 3 4 3" xfId="6889" xr:uid="{00000000-0005-0000-0000-0000F6180000}"/>
    <cellStyle name="Currency 10 3 4 4" xfId="12200" xr:uid="{00000000-0005-0000-0000-000015040000}"/>
    <cellStyle name="Currency 10 3 4 4 2" xfId="44683" xr:uid="{C0A64D6D-33D3-462A-A09A-284F7792A734}"/>
    <cellStyle name="Currency 10 3 4 5" xfId="14434" xr:uid="{52CEF6DC-DFD8-4763-8E50-9C71F017F36A}"/>
    <cellStyle name="Currency 10 3 5" xfId="1323" xr:uid="{00000000-0005-0000-0000-000041050000}"/>
    <cellStyle name="Currency 10 3 5 2" xfId="6891" xr:uid="{00000000-0005-0000-0000-0000F8180000}"/>
    <cellStyle name="Currency 10 3 5 3" xfId="16812" xr:uid="{80AE28F3-09F0-4074-A828-21B5DA49588B}"/>
    <cellStyle name="Currency 10 3 6" xfId="6876" xr:uid="{00000000-0005-0000-0000-0000E9180000}"/>
    <cellStyle name="Currency 10 3 7" xfId="12221" xr:uid="{00000000-0005-0000-0000-00000E040000}"/>
    <cellStyle name="Currency 10 3 7 2" xfId="44704" xr:uid="{DE61234A-C04B-4ADA-ACF6-F3A8197066BA}"/>
    <cellStyle name="Currency 10 3 8" xfId="14427" xr:uid="{7D85036C-E427-4418-8D12-F704E0BEC46D}"/>
    <cellStyle name="Currency 10 4" xfId="1324" xr:uid="{00000000-0005-0000-0000-000042050000}"/>
    <cellStyle name="Currency 10 4 2" xfId="1325" xr:uid="{00000000-0005-0000-0000-000043050000}"/>
    <cellStyle name="Currency 10 4 2 2" xfId="1326" xr:uid="{00000000-0005-0000-0000-000044050000}"/>
    <cellStyle name="Currency 10 4 2 2 2" xfId="1327" xr:uid="{00000000-0005-0000-0000-000045050000}"/>
    <cellStyle name="Currency 10 4 2 2 2 2" xfId="6895" xr:uid="{00000000-0005-0000-0000-0000FC180000}"/>
    <cellStyle name="Currency 10 4 2 2 2 3" xfId="16822" xr:uid="{78A733D9-57BF-4108-971D-AD8EFFBF3089}"/>
    <cellStyle name="Currency 10 4 2 2 3" xfId="6894" xr:uid="{00000000-0005-0000-0000-0000FB180000}"/>
    <cellStyle name="Currency 10 4 2 2 4" xfId="12189" xr:uid="{00000000-0005-0000-0000-000018040000}"/>
    <cellStyle name="Currency 10 4 2 2 4 2" xfId="44672" xr:uid="{BE1F8A05-A752-4B57-AF9B-FD43FE69FA9E}"/>
    <cellStyle name="Currency 10 4 2 2 5" xfId="14437" xr:uid="{0E047B71-93D8-4AE2-8C37-FAE318CFF8D2}"/>
    <cellStyle name="Currency 10 4 2 3" xfId="1328" xr:uid="{00000000-0005-0000-0000-000046050000}"/>
    <cellStyle name="Currency 10 4 2 3 2" xfId="6896" xr:uid="{00000000-0005-0000-0000-0000FD180000}"/>
    <cellStyle name="Currency 10 4 2 3 3" xfId="16821" xr:uid="{23628961-9D07-4278-841B-466BFDDBE70F}"/>
    <cellStyle name="Currency 10 4 2 4" xfId="6893" xr:uid="{00000000-0005-0000-0000-0000FA180000}"/>
    <cellStyle name="Currency 10 4 2 5" xfId="12195" xr:uid="{00000000-0005-0000-0000-000017040000}"/>
    <cellStyle name="Currency 10 4 2 5 2" xfId="44678" xr:uid="{95CDC1D7-A3BD-4213-895D-89C01D5526BD}"/>
    <cellStyle name="Currency 10 4 2 6" xfId="14436" xr:uid="{BD0CDD45-5A8E-421F-9051-0FE25DA054A7}"/>
    <cellStyle name="Currency 10 4 3" xfId="1329" xr:uid="{00000000-0005-0000-0000-000047050000}"/>
    <cellStyle name="Currency 10 4 3 2" xfId="1330" xr:uid="{00000000-0005-0000-0000-000048050000}"/>
    <cellStyle name="Currency 10 4 3 2 2" xfId="6898" xr:uid="{00000000-0005-0000-0000-0000FF180000}"/>
    <cellStyle name="Currency 10 4 3 2 3" xfId="16823" xr:uid="{9121F692-F9CD-4E6F-B745-09464D72E563}"/>
    <cellStyle name="Currency 10 4 3 3" xfId="6897" xr:uid="{00000000-0005-0000-0000-0000FE180000}"/>
    <cellStyle name="Currency 10 4 3 4" xfId="12184" xr:uid="{00000000-0005-0000-0000-000019040000}"/>
    <cellStyle name="Currency 10 4 3 4 2" xfId="44667" xr:uid="{82868C97-3195-4F6F-A7F4-AF533315CFC0}"/>
    <cellStyle name="Currency 10 4 3 5" xfId="14438" xr:uid="{1A8668AE-ADEB-4540-9F39-B553ACE040E4}"/>
    <cellStyle name="Currency 10 4 4" xfId="1331" xr:uid="{00000000-0005-0000-0000-000049050000}"/>
    <cellStyle name="Currency 10 4 4 2" xfId="6899" xr:uid="{00000000-0005-0000-0000-000000190000}"/>
    <cellStyle name="Currency 10 4 4 3" xfId="16820" xr:uid="{3A23DF18-D35D-49A1-ABD8-CF1722A957DE}"/>
    <cellStyle name="Currency 10 4 5" xfId="6892" xr:uid="{00000000-0005-0000-0000-0000F9180000}"/>
    <cellStyle name="Currency 10 4 6" xfId="12197" xr:uid="{00000000-0005-0000-0000-000016040000}"/>
    <cellStyle name="Currency 10 4 6 2" xfId="44680" xr:uid="{606F29FD-0EE8-4C86-903D-140AAE1AB3C2}"/>
    <cellStyle name="Currency 10 4 7" xfId="14435" xr:uid="{93B6FF55-80BB-4885-941A-5690061CD31D}"/>
    <cellStyle name="Currency 10 5" xfId="1332" xr:uid="{00000000-0005-0000-0000-00004A050000}"/>
    <cellStyle name="Currency 10 5 2" xfId="1333" xr:uid="{00000000-0005-0000-0000-00004B050000}"/>
    <cellStyle name="Currency 10 5 2 2" xfId="1334" xr:uid="{00000000-0005-0000-0000-00004C050000}"/>
    <cellStyle name="Currency 10 5 2 2 2" xfId="6902" xr:uid="{00000000-0005-0000-0000-000003190000}"/>
    <cellStyle name="Currency 10 5 2 2 3" xfId="16825" xr:uid="{63E4303F-0C91-457C-B45A-2E726CCFA070}"/>
    <cellStyle name="Currency 10 5 2 3" xfId="6901" xr:uid="{00000000-0005-0000-0000-000002190000}"/>
    <cellStyle name="Currency 10 5 2 4" xfId="12181" xr:uid="{00000000-0005-0000-0000-00001B040000}"/>
    <cellStyle name="Currency 10 5 2 4 2" xfId="44664" xr:uid="{79E07656-53DB-4B88-91AA-F38DBC5EE2A8}"/>
    <cellStyle name="Currency 10 5 2 5" xfId="14440" xr:uid="{B4259851-B3B1-4CAC-95D7-BBFD7AC9C4C3}"/>
    <cellStyle name="Currency 10 5 3" xfId="1335" xr:uid="{00000000-0005-0000-0000-00004D050000}"/>
    <cellStyle name="Currency 10 5 3 2" xfId="6903" xr:uid="{00000000-0005-0000-0000-000004190000}"/>
    <cellStyle name="Currency 10 5 3 3" xfId="16824" xr:uid="{8B059B66-1DE5-48C6-A829-C1FD4A4DC428}"/>
    <cellStyle name="Currency 10 5 4" xfId="6900" xr:uid="{00000000-0005-0000-0000-000001190000}"/>
    <cellStyle name="Currency 10 5 5" xfId="12183" xr:uid="{00000000-0005-0000-0000-00001A040000}"/>
    <cellStyle name="Currency 10 5 5 2" xfId="44666" xr:uid="{6702DA4A-E7A5-4B90-85BC-7C3069977B4F}"/>
    <cellStyle name="Currency 10 5 6" xfId="14439" xr:uid="{E9A9C0B2-0AED-4EEB-B770-7AC42D04772B}"/>
    <cellStyle name="Currency 10 6" xfId="1336" xr:uid="{00000000-0005-0000-0000-00004E050000}"/>
    <cellStyle name="Currency 10 6 2" xfId="1337" xr:uid="{00000000-0005-0000-0000-00004F050000}"/>
    <cellStyle name="Currency 10 6 2 2" xfId="6905" xr:uid="{00000000-0005-0000-0000-000006190000}"/>
    <cellStyle name="Currency 10 6 2 3" xfId="16826" xr:uid="{E26ECA42-526F-4505-A4AE-CE4E4BE643F8}"/>
    <cellStyle name="Currency 10 6 3" xfId="6904" xr:uid="{00000000-0005-0000-0000-000005190000}"/>
    <cellStyle name="Currency 10 6 4" xfId="12178" xr:uid="{00000000-0005-0000-0000-00001C040000}"/>
    <cellStyle name="Currency 10 6 4 2" xfId="44661" xr:uid="{B67EF361-9FAE-4373-A1D7-76CEEF09F081}"/>
    <cellStyle name="Currency 10 6 5" xfId="14441" xr:uid="{53F2B75A-7C8A-4333-936E-4E9D61B45C39}"/>
    <cellStyle name="Currency 10 7" xfId="1338" xr:uid="{00000000-0005-0000-0000-000050050000}"/>
    <cellStyle name="Currency 10 7 2" xfId="6906" xr:uid="{00000000-0005-0000-0000-000007190000}"/>
    <cellStyle name="Currency 10 7 3" xfId="17339" xr:uid="{FCB484A6-35D9-41DF-8D3C-7F47B5C0CDCD}"/>
    <cellStyle name="Currency 10 8" xfId="1339" xr:uid="{00000000-0005-0000-0000-000051050000}"/>
    <cellStyle name="Currency 10 8 2" xfId="6907" xr:uid="{00000000-0005-0000-0000-000008190000}"/>
    <cellStyle name="Currency 10 8 3" xfId="16803" xr:uid="{4B6D9ED4-8259-41C5-A5E7-C6D047D7A73F}"/>
    <cellStyle name="Currency 10 9" xfId="1340" xr:uid="{00000000-0005-0000-0000-000052050000}"/>
    <cellStyle name="Currency 10 9 2" xfId="6908" xr:uid="{00000000-0005-0000-0000-000009190000}"/>
    <cellStyle name="Currency 10 9 3" xfId="14418" xr:uid="{58E1F0D2-2280-4022-8126-D6EF44A62E5F}"/>
    <cellStyle name="Currency 11" xfId="1341" xr:uid="{00000000-0005-0000-0000-000053050000}"/>
    <cellStyle name="Currency-- 11" xfId="13688" xr:uid="{ABCBD5FD-EBC3-45A4-BFB8-760FCD65D23E}"/>
    <cellStyle name="Currency 11 10" xfId="14442" xr:uid="{0C251569-38D9-472C-AC90-E8968CD3F918}"/>
    <cellStyle name="Currency 11 11" xfId="49014" xr:uid="{741C55CE-4968-49D4-B2FA-0C713293736B}"/>
    <cellStyle name="Currency 11 2" xfId="1342" xr:uid="{00000000-0005-0000-0000-000054050000}"/>
    <cellStyle name="Currency 11 2 2" xfId="1343" xr:uid="{00000000-0005-0000-0000-000055050000}"/>
    <cellStyle name="Currency 11 2 2 2" xfId="1344" xr:uid="{00000000-0005-0000-0000-000056050000}"/>
    <cellStyle name="Currency 11 2 2 2 2" xfId="1345" xr:uid="{00000000-0005-0000-0000-000057050000}"/>
    <cellStyle name="Currency 11 2 2 2 2 2" xfId="1346" xr:uid="{00000000-0005-0000-0000-000058050000}"/>
    <cellStyle name="Currency 11 2 2 2 2 2 2" xfId="6914" xr:uid="{00000000-0005-0000-0000-00000F190000}"/>
    <cellStyle name="Currency 11 2 2 2 2 2 3" xfId="16831" xr:uid="{6603D11E-39D4-413B-AE72-A9AC68ABE732}"/>
    <cellStyle name="Currency 11 2 2 2 2 3" xfId="6913" xr:uid="{00000000-0005-0000-0000-00000E190000}"/>
    <cellStyle name="Currency 11 2 2 2 2 4" xfId="12162" xr:uid="{00000000-0005-0000-0000-000021040000}"/>
    <cellStyle name="Currency 11 2 2 2 2 4 2" xfId="44645" xr:uid="{612D05D6-A370-4075-A1AE-E5FF36D484DA}"/>
    <cellStyle name="Currency 11 2 2 2 2 5" xfId="14446" xr:uid="{0FB1C2ED-D102-490F-B4C5-4729BD7B73A5}"/>
    <cellStyle name="Currency 11 2 2 2 3" xfId="1347" xr:uid="{00000000-0005-0000-0000-000059050000}"/>
    <cellStyle name="Currency 11 2 2 2 3 2" xfId="6915" xr:uid="{00000000-0005-0000-0000-000010190000}"/>
    <cellStyle name="Currency 11 2 2 2 3 3" xfId="16830" xr:uid="{3BFE2144-9175-4A8A-AD1D-5533F3D286C4}"/>
    <cellStyle name="Currency 11 2 2 2 4" xfId="6912" xr:uid="{00000000-0005-0000-0000-00000D190000}"/>
    <cellStyle name="Currency 11 2 2 2 5" xfId="12165" xr:uid="{00000000-0005-0000-0000-000020040000}"/>
    <cellStyle name="Currency 11 2 2 2 5 2" xfId="44648" xr:uid="{431B45DE-5740-4615-8A68-7CE4108CAD69}"/>
    <cellStyle name="Currency 11 2 2 2 6" xfId="14445" xr:uid="{C1233A0A-AC48-41CF-BC04-181A730AC936}"/>
    <cellStyle name="Currency 11 2 2 3" xfId="1348" xr:uid="{00000000-0005-0000-0000-00005A050000}"/>
    <cellStyle name="Currency 11 2 2 3 2" xfId="1349" xr:uid="{00000000-0005-0000-0000-00005B050000}"/>
    <cellStyle name="Currency 11 2 2 3 2 2" xfId="6917" xr:uid="{00000000-0005-0000-0000-000012190000}"/>
    <cellStyle name="Currency 11 2 2 3 2 3" xfId="16832" xr:uid="{E669F097-7920-49FC-8C2F-F959AD954D7D}"/>
    <cellStyle name="Currency 11 2 2 3 3" xfId="6916" xr:uid="{00000000-0005-0000-0000-000011190000}"/>
    <cellStyle name="Currency 11 2 2 3 4" xfId="12161" xr:uid="{00000000-0005-0000-0000-000022040000}"/>
    <cellStyle name="Currency 11 2 2 3 4 2" xfId="44644" xr:uid="{6382745A-1364-4E20-A87E-E0908A90CD76}"/>
    <cellStyle name="Currency 11 2 2 3 5" xfId="14447" xr:uid="{CE92DB40-F23C-4981-ADBE-CB6B3E1A7171}"/>
    <cellStyle name="Currency 11 2 2 4" xfId="1350" xr:uid="{00000000-0005-0000-0000-00005C050000}"/>
    <cellStyle name="Currency 11 2 2 4 2" xfId="6918" xr:uid="{00000000-0005-0000-0000-000013190000}"/>
    <cellStyle name="Currency 11 2 2 4 3" xfId="16829" xr:uid="{CB1CBBD4-0EEE-4262-B5F3-513EE664BD1D}"/>
    <cellStyle name="Currency 11 2 2 5" xfId="6911" xr:uid="{00000000-0005-0000-0000-00000C190000}"/>
    <cellStyle name="Currency 11 2 2 6" xfId="12170" xr:uid="{00000000-0005-0000-0000-00001F040000}"/>
    <cellStyle name="Currency 11 2 2 6 2" xfId="44653" xr:uid="{E3937E6C-F72C-4EDF-A067-5F7A386C0392}"/>
    <cellStyle name="Currency 11 2 2 7" xfId="14444" xr:uid="{D53B89B3-AC0D-4E4C-AAEA-C83933D3FDD2}"/>
    <cellStyle name="Currency 11 2 3" xfId="1351" xr:uid="{00000000-0005-0000-0000-00005D050000}"/>
    <cellStyle name="Currency 11 2 3 2" xfId="1352" xr:uid="{00000000-0005-0000-0000-00005E050000}"/>
    <cellStyle name="Currency 11 2 3 2 2" xfId="1353" xr:uid="{00000000-0005-0000-0000-00005F050000}"/>
    <cellStyle name="Currency 11 2 3 2 2 2" xfId="6921" xr:uid="{00000000-0005-0000-0000-000016190000}"/>
    <cellStyle name="Currency 11 2 3 2 2 3" xfId="16834" xr:uid="{828E9A6F-6003-4D20-A373-D817568BD477}"/>
    <cellStyle name="Currency 11 2 3 2 3" xfId="6920" xr:uid="{00000000-0005-0000-0000-000015190000}"/>
    <cellStyle name="Currency 11 2 3 2 4" xfId="12152" xr:uid="{00000000-0005-0000-0000-000024040000}"/>
    <cellStyle name="Currency 11 2 3 2 4 2" xfId="44635" xr:uid="{58D97FF1-BBE6-46EF-9EC0-7CCAA1D6889A}"/>
    <cellStyle name="Currency 11 2 3 2 5" xfId="14449" xr:uid="{475C3E40-E7B6-432D-B37A-39C2BFE7931D}"/>
    <cellStyle name="Currency 11 2 3 3" xfId="1354" xr:uid="{00000000-0005-0000-0000-000060050000}"/>
    <cellStyle name="Currency 11 2 3 3 2" xfId="6922" xr:uid="{00000000-0005-0000-0000-000017190000}"/>
    <cellStyle name="Currency 11 2 3 3 3" xfId="16833" xr:uid="{1D4551A2-5E9B-4590-BBD5-193F6700D26B}"/>
    <cellStyle name="Currency 11 2 3 4" xfId="6919" xr:uid="{00000000-0005-0000-0000-000014190000}"/>
    <cellStyle name="Currency 11 2 3 5" xfId="12160" xr:uid="{00000000-0005-0000-0000-000023040000}"/>
    <cellStyle name="Currency 11 2 3 5 2" xfId="44643" xr:uid="{785831AE-B3F2-4E1A-978A-619C55D3587A}"/>
    <cellStyle name="Currency 11 2 3 6" xfId="14448" xr:uid="{CF5E4B2A-3FD5-47C4-8A8A-A26E735F4D7D}"/>
    <cellStyle name="Currency 11 2 4" xfId="1355" xr:uid="{00000000-0005-0000-0000-000061050000}"/>
    <cellStyle name="Currency 11 2 4 2" xfId="1356" xr:uid="{00000000-0005-0000-0000-000062050000}"/>
    <cellStyle name="Currency 11 2 4 2 2" xfId="6924" xr:uid="{00000000-0005-0000-0000-000019190000}"/>
    <cellStyle name="Currency 11 2 4 2 3" xfId="16835" xr:uid="{FB0789B9-4D0B-4CDD-BF09-183E1BBFBD9A}"/>
    <cellStyle name="Currency 11 2 4 3" xfId="6923" xr:uid="{00000000-0005-0000-0000-000018190000}"/>
    <cellStyle name="Currency 11 2 4 4" xfId="12150" xr:uid="{00000000-0005-0000-0000-000025040000}"/>
    <cellStyle name="Currency 11 2 4 4 2" xfId="44633" xr:uid="{D294E655-5960-497A-ABFC-D85C2DD101F1}"/>
    <cellStyle name="Currency 11 2 4 5" xfId="14450" xr:uid="{AC84571C-9F3C-4F8B-941C-A4F2C6B345C7}"/>
    <cellStyle name="Currency 11 2 5" xfId="1357" xr:uid="{00000000-0005-0000-0000-000063050000}"/>
    <cellStyle name="Currency 11 2 5 2" xfId="6925" xr:uid="{00000000-0005-0000-0000-00001A190000}"/>
    <cellStyle name="Currency 11 2 5 3" xfId="16828" xr:uid="{831D85CA-A9FE-4D7B-A54D-E9CAA77A6881}"/>
    <cellStyle name="Currency 11 2 6" xfId="6910" xr:uid="{00000000-0005-0000-0000-00000B190000}"/>
    <cellStyle name="Currency 11 2 7" xfId="12172" xr:uid="{00000000-0005-0000-0000-00001E040000}"/>
    <cellStyle name="Currency 11 2 7 2" xfId="44655" xr:uid="{1A45D84C-14B0-4E9F-8E55-4189DE58E933}"/>
    <cellStyle name="Currency 11 2 8" xfId="14443" xr:uid="{F60125AD-4691-4193-82E7-32F218C26CC9}"/>
    <cellStyle name="Currency 11 3" xfId="1358" xr:uid="{00000000-0005-0000-0000-000064050000}"/>
    <cellStyle name="Currency 11 3 2" xfId="1359" xr:uid="{00000000-0005-0000-0000-000065050000}"/>
    <cellStyle name="Currency 11 3 2 2" xfId="1360" xr:uid="{00000000-0005-0000-0000-000066050000}"/>
    <cellStyle name="Currency 11 3 2 2 2" xfId="1361" xr:uid="{00000000-0005-0000-0000-000067050000}"/>
    <cellStyle name="Currency 11 3 2 2 2 2" xfId="1362" xr:uid="{00000000-0005-0000-0000-000068050000}"/>
    <cellStyle name="Currency 11 3 2 2 2 2 2" xfId="6930" xr:uid="{00000000-0005-0000-0000-00001F190000}"/>
    <cellStyle name="Currency 11 3 2 2 2 2 3" xfId="16839" xr:uid="{88A7A261-340E-4E3E-9F3F-708B4C8D565C}"/>
    <cellStyle name="Currency 11 3 2 2 2 3" xfId="6929" xr:uid="{00000000-0005-0000-0000-00001E190000}"/>
    <cellStyle name="Currency 11 3 2 2 2 4" xfId="12136" xr:uid="{00000000-0005-0000-0000-000029040000}"/>
    <cellStyle name="Currency 11 3 2 2 2 4 2" xfId="44619" xr:uid="{2F39DEF6-26AD-42B2-920B-64E8A2C40840}"/>
    <cellStyle name="Currency 11 3 2 2 2 5" xfId="14454" xr:uid="{7AAD8431-DA44-48A4-8F10-A5C789EC5EE9}"/>
    <cellStyle name="Currency 11 3 2 2 3" xfId="1363" xr:uid="{00000000-0005-0000-0000-000069050000}"/>
    <cellStyle name="Currency 11 3 2 2 3 2" xfId="6931" xr:uid="{00000000-0005-0000-0000-000020190000}"/>
    <cellStyle name="Currency 11 3 2 2 3 3" xfId="16838" xr:uid="{06A020E0-EAA5-40EC-88C9-994FD29A990A}"/>
    <cellStyle name="Currency 11 3 2 2 4" xfId="6928" xr:uid="{00000000-0005-0000-0000-00001D190000}"/>
    <cellStyle name="Currency 11 3 2 2 5" xfId="12142" xr:uid="{00000000-0005-0000-0000-000028040000}"/>
    <cellStyle name="Currency 11 3 2 2 5 2" xfId="44625" xr:uid="{DEDF659E-80BB-49FA-9669-12E69BF85996}"/>
    <cellStyle name="Currency 11 3 2 2 6" xfId="14453" xr:uid="{E7786BBB-4F1D-478C-A8F4-0F1F8C41D62A}"/>
    <cellStyle name="Currency 11 3 2 3" xfId="1364" xr:uid="{00000000-0005-0000-0000-00006A050000}"/>
    <cellStyle name="Currency 11 3 2 3 2" xfId="1365" xr:uid="{00000000-0005-0000-0000-00006B050000}"/>
    <cellStyle name="Currency 11 3 2 3 2 2" xfId="6933" xr:uid="{00000000-0005-0000-0000-000022190000}"/>
    <cellStyle name="Currency 11 3 2 3 2 3" xfId="16840" xr:uid="{E798BF18-01EB-41F7-99B3-5484F8221423}"/>
    <cellStyle name="Currency 11 3 2 3 3" xfId="6932" xr:uid="{00000000-0005-0000-0000-000021190000}"/>
    <cellStyle name="Currency 11 3 2 3 4" xfId="12135" xr:uid="{00000000-0005-0000-0000-00002A040000}"/>
    <cellStyle name="Currency 11 3 2 3 4 2" xfId="44618" xr:uid="{35BA2898-0BEB-4A43-9F3A-EB1E8D90D4B6}"/>
    <cellStyle name="Currency 11 3 2 3 5" xfId="14455" xr:uid="{BF515F90-023F-470C-A983-33AEBA98AD3F}"/>
    <cellStyle name="Currency 11 3 2 4" xfId="1366" xr:uid="{00000000-0005-0000-0000-00006C050000}"/>
    <cellStyle name="Currency 11 3 2 4 2" xfId="6934" xr:uid="{00000000-0005-0000-0000-000023190000}"/>
    <cellStyle name="Currency 11 3 2 4 3" xfId="16837" xr:uid="{762032B1-CDD4-4113-957D-71FE80F58B8E}"/>
    <cellStyle name="Currency 11 3 2 5" xfId="6927" xr:uid="{00000000-0005-0000-0000-00001C190000}"/>
    <cellStyle name="Currency 11 3 2 6" xfId="12144" xr:uid="{00000000-0005-0000-0000-000027040000}"/>
    <cellStyle name="Currency 11 3 2 6 2" xfId="44627" xr:uid="{BDE7A9DC-67C9-4D47-8AF5-E9EF6210FC0B}"/>
    <cellStyle name="Currency 11 3 2 7" xfId="14452" xr:uid="{F5323A58-329E-4D44-AB2D-BEE64FEE880E}"/>
    <cellStyle name="Currency 11 3 3" xfId="1367" xr:uid="{00000000-0005-0000-0000-00006D050000}"/>
    <cellStyle name="Currency 11 3 3 2" xfId="1368" xr:uid="{00000000-0005-0000-0000-00006E050000}"/>
    <cellStyle name="Currency 11 3 3 2 2" xfId="1369" xr:uid="{00000000-0005-0000-0000-00006F050000}"/>
    <cellStyle name="Currency 11 3 3 2 2 2" xfId="6937" xr:uid="{00000000-0005-0000-0000-000026190000}"/>
    <cellStyle name="Currency 11 3 3 2 2 3" xfId="16842" xr:uid="{1199D5E0-DB20-41D2-BCDA-BE6325A37A0A}"/>
    <cellStyle name="Currency 11 3 3 2 3" xfId="6936" xr:uid="{00000000-0005-0000-0000-000025190000}"/>
    <cellStyle name="Currency 11 3 3 2 4" xfId="12128" xr:uid="{00000000-0005-0000-0000-00002C040000}"/>
    <cellStyle name="Currency 11 3 3 2 4 2" xfId="44611" xr:uid="{FA678FA3-26EE-4A37-A512-317D10D5029E}"/>
    <cellStyle name="Currency 11 3 3 2 5" xfId="14457" xr:uid="{3FD9956B-7314-4ABD-8080-AD507EE2F2FE}"/>
    <cellStyle name="Currency 11 3 3 3" xfId="1370" xr:uid="{00000000-0005-0000-0000-000070050000}"/>
    <cellStyle name="Currency 11 3 3 3 2" xfId="6938" xr:uid="{00000000-0005-0000-0000-000027190000}"/>
    <cellStyle name="Currency 11 3 3 3 3" xfId="16841" xr:uid="{9911860B-1D9D-4502-B68D-ACC62147C5B7}"/>
    <cellStyle name="Currency 11 3 3 4" xfId="6935" xr:uid="{00000000-0005-0000-0000-000024190000}"/>
    <cellStyle name="Currency 11 3 3 5" xfId="12133" xr:uid="{00000000-0005-0000-0000-00002B040000}"/>
    <cellStyle name="Currency 11 3 3 5 2" xfId="44616" xr:uid="{588086ED-DEB6-41A4-A563-932B46DD754F}"/>
    <cellStyle name="Currency 11 3 3 6" xfId="14456" xr:uid="{99033C45-9728-439C-93BD-46FB72B3DB4E}"/>
    <cellStyle name="Currency 11 3 4" xfId="1371" xr:uid="{00000000-0005-0000-0000-000071050000}"/>
    <cellStyle name="Currency 11 3 4 2" xfId="1372" xr:uid="{00000000-0005-0000-0000-000072050000}"/>
    <cellStyle name="Currency 11 3 4 2 2" xfId="6940" xr:uid="{00000000-0005-0000-0000-000029190000}"/>
    <cellStyle name="Currency 11 3 4 2 3" xfId="16843" xr:uid="{8B709384-AAE9-4851-8D87-487C918DD6BE}"/>
    <cellStyle name="Currency 11 3 4 3" xfId="6939" xr:uid="{00000000-0005-0000-0000-000028190000}"/>
    <cellStyle name="Currency 11 3 4 4" xfId="12124" xr:uid="{00000000-0005-0000-0000-00002D040000}"/>
    <cellStyle name="Currency 11 3 4 4 2" xfId="44607" xr:uid="{02ADEA93-D82A-454B-9E6D-0516F1E0210B}"/>
    <cellStyle name="Currency 11 3 4 5" xfId="14458" xr:uid="{6468270E-B574-4DE1-B18A-FDC5881F9D33}"/>
    <cellStyle name="Currency 11 3 5" xfId="1373" xr:uid="{00000000-0005-0000-0000-000073050000}"/>
    <cellStyle name="Currency 11 3 5 2" xfId="6941" xr:uid="{00000000-0005-0000-0000-00002A190000}"/>
    <cellStyle name="Currency 11 3 5 3" xfId="16836" xr:uid="{DD67DF6C-3E8E-4265-AD03-F06464DD161E}"/>
    <cellStyle name="Currency 11 3 6" xfId="6926" xr:uid="{00000000-0005-0000-0000-00001B190000}"/>
    <cellStyle name="Currency 11 3 7" xfId="12146" xr:uid="{00000000-0005-0000-0000-000026040000}"/>
    <cellStyle name="Currency 11 3 7 2" xfId="44629" xr:uid="{4D648772-E995-44C7-A965-AA2D8F4AEE55}"/>
    <cellStyle name="Currency 11 3 8" xfId="14451" xr:uid="{4CB2CF6B-D3F4-40A8-AF87-9FB20DCE04EF}"/>
    <cellStyle name="Currency 11 4" xfId="1374" xr:uid="{00000000-0005-0000-0000-000074050000}"/>
    <cellStyle name="Currency 11 4 2" xfId="1375" xr:uid="{00000000-0005-0000-0000-000075050000}"/>
    <cellStyle name="Currency 11 4 2 2" xfId="1376" xr:uid="{00000000-0005-0000-0000-000076050000}"/>
    <cellStyle name="Currency 11 4 2 2 2" xfId="1377" xr:uid="{00000000-0005-0000-0000-000077050000}"/>
    <cellStyle name="Currency 11 4 2 2 2 2" xfId="6945" xr:uid="{00000000-0005-0000-0000-00002E190000}"/>
    <cellStyle name="Currency 11 4 2 2 2 3" xfId="16846" xr:uid="{7A8B1EEE-BF99-41ED-AAB6-B3FC411FEE49}"/>
    <cellStyle name="Currency 11 4 2 2 3" xfId="6944" xr:uid="{00000000-0005-0000-0000-00002D190000}"/>
    <cellStyle name="Currency 11 4 2 2 4" xfId="12118" xr:uid="{00000000-0005-0000-0000-000030040000}"/>
    <cellStyle name="Currency 11 4 2 2 4 2" xfId="44601" xr:uid="{F5A48855-E96B-4C54-95C8-ECE3BE1145B8}"/>
    <cellStyle name="Currency 11 4 2 2 5" xfId="14461" xr:uid="{63F0503E-EC41-47A6-8E0F-94C051AF6C18}"/>
    <cellStyle name="Currency 11 4 2 3" xfId="1378" xr:uid="{00000000-0005-0000-0000-000078050000}"/>
    <cellStyle name="Currency 11 4 2 3 2" xfId="6946" xr:uid="{00000000-0005-0000-0000-00002F190000}"/>
    <cellStyle name="Currency 11 4 2 3 3" xfId="16845" xr:uid="{68DF81C7-D281-4EB3-8612-F4AD91EA4F31}"/>
    <cellStyle name="Currency 11 4 2 4" xfId="6943" xr:uid="{00000000-0005-0000-0000-00002C190000}"/>
    <cellStyle name="Currency 11 4 2 5" xfId="12121" xr:uid="{00000000-0005-0000-0000-00002F040000}"/>
    <cellStyle name="Currency 11 4 2 5 2" xfId="44604" xr:uid="{656441ED-8917-45BC-950A-5145EE2C2C72}"/>
    <cellStyle name="Currency 11 4 2 6" xfId="14460" xr:uid="{77B74D8D-4A26-4D71-932C-4E6FA1378D5C}"/>
    <cellStyle name="Currency 11 4 3" xfId="1379" xr:uid="{00000000-0005-0000-0000-000079050000}"/>
    <cellStyle name="Currency 11 4 3 2" xfId="1380" xr:uid="{00000000-0005-0000-0000-00007A050000}"/>
    <cellStyle name="Currency 11 4 3 2 2" xfId="6948" xr:uid="{00000000-0005-0000-0000-000031190000}"/>
    <cellStyle name="Currency 11 4 3 2 3" xfId="16847" xr:uid="{B013DA49-3942-4659-B017-1071927498F1}"/>
    <cellStyle name="Currency 11 4 3 3" xfId="6947" xr:uid="{00000000-0005-0000-0000-000030190000}"/>
    <cellStyle name="Currency 11 4 3 4" xfId="12117" xr:uid="{00000000-0005-0000-0000-000031040000}"/>
    <cellStyle name="Currency 11 4 3 4 2" xfId="44600" xr:uid="{21462C5D-3B49-4103-8353-B7632C97E0D9}"/>
    <cellStyle name="Currency 11 4 3 5" xfId="14462" xr:uid="{E8550BCE-F2EB-4E4C-B885-5895E2FFD04E}"/>
    <cellStyle name="Currency 11 4 4" xfId="1381" xr:uid="{00000000-0005-0000-0000-00007B050000}"/>
    <cellStyle name="Currency 11 4 4 2" xfId="6949" xr:uid="{00000000-0005-0000-0000-000032190000}"/>
    <cellStyle name="Currency 11 4 4 3" xfId="16844" xr:uid="{74F98D8D-A098-4291-87AF-9FDB44005766}"/>
    <cellStyle name="Currency 11 4 5" xfId="6942" xr:uid="{00000000-0005-0000-0000-00002B190000}"/>
    <cellStyle name="Currency 11 4 6" xfId="12123" xr:uid="{00000000-0005-0000-0000-00002E040000}"/>
    <cellStyle name="Currency 11 4 6 2" xfId="44606" xr:uid="{F54D41F1-61A8-4203-B9DF-9E647927D89E}"/>
    <cellStyle name="Currency 11 4 7" xfId="14459" xr:uid="{790820CE-AA7B-461A-87F2-E9E9EFF4F3AC}"/>
    <cellStyle name="Currency 11 5" xfId="1382" xr:uid="{00000000-0005-0000-0000-00007C050000}"/>
    <cellStyle name="Currency 11 5 2" xfId="1383" xr:uid="{00000000-0005-0000-0000-00007D050000}"/>
    <cellStyle name="Currency 11 5 2 2" xfId="1384" xr:uid="{00000000-0005-0000-0000-00007E050000}"/>
    <cellStyle name="Currency 11 5 2 2 2" xfId="6952" xr:uid="{00000000-0005-0000-0000-000035190000}"/>
    <cellStyle name="Currency 11 5 2 2 3" xfId="16849" xr:uid="{4803D3E4-DB7B-4340-904F-B31B7DA09BB6}"/>
    <cellStyle name="Currency 11 5 2 3" xfId="6951" xr:uid="{00000000-0005-0000-0000-000034190000}"/>
    <cellStyle name="Currency 11 5 2 4" xfId="12114" xr:uid="{00000000-0005-0000-0000-000033040000}"/>
    <cellStyle name="Currency 11 5 2 4 2" xfId="44597" xr:uid="{92CA36FA-117E-42D1-87AC-A998074851F4}"/>
    <cellStyle name="Currency 11 5 2 5" xfId="14464" xr:uid="{757ECC98-4478-46E9-90AC-227BFD27B622}"/>
    <cellStyle name="Currency 11 5 3" xfId="1385" xr:uid="{00000000-0005-0000-0000-00007F050000}"/>
    <cellStyle name="Currency 11 5 3 2" xfId="6953" xr:uid="{00000000-0005-0000-0000-000036190000}"/>
    <cellStyle name="Currency 11 5 3 3" xfId="16848" xr:uid="{1BD777C8-0C74-4C8A-B21B-32FA73127446}"/>
    <cellStyle name="Currency 11 5 4" xfId="6950" xr:uid="{00000000-0005-0000-0000-000033190000}"/>
    <cellStyle name="Currency 11 5 5" xfId="12116" xr:uid="{00000000-0005-0000-0000-000032040000}"/>
    <cellStyle name="Currency 11 5 5 2" xfId="44599" xr:uid="{5666B958-E420-48F6-84F4-EC0923FEDB26}"/>
    <cellStyle name="Currency 11 5 6" xfId="14463" xr:uid="{FC5A2554-5179-4320-89A9-D89E64276107}"/>
    <cellStyle name="Currency 11 6" xfId="1386" xr:uid="{00000000-0005-0000-0000-000080050000}"/>
    <cellStyle name="Currency 11 6 2" xfId="1387" xr:uid="{00000000-0005-0000-0000-000081050000}"/>
    <cellStyle name="Currency 11 6 2 2" xfId="6955" xr:uid="{00000000-0005-0000-0000-000038190000}"/>
    <cellStyle name="Currency 11 6 2 3" xfId="16850" xr:uid="{E2D81434-A8AB-4C08-813D-08A8D709AECE}"/>
    <cellStyle name="Currency 11 6 3" xfId="6954" xr:uid="{00000000-0005-0000-0000-000037190000}"/>
    <cellStyle name="Currency 11 6 4" xfId="12113" xr:uid="{00000000-0005-0000-0000-000034040000}"/>
    <cellStyle name="Currency 11 6 4 2" xfId="44596" xr:uid="{89542A41-AD43-47FE-B353-4634AE707DF5}"/>
    <cellStyle name="Currency 11 6 5" xfId="14465" xr:uid="{BBEC60CA-B773-4DF8-A463-EA6949566E42}"/>
    <cellStyle name="Currency 11 7" xfId="1388" xr:uid="{00000000-0005-0000-0000-000082050000}"/>
    <cellStyle name="Currency 11 7 2" xfId="6956" xr:uid="{00000000-0005-0000-0000-000039190000}"/>
    <cellStyle name="Currency 11 7 3" xfId="16827" xr:uid="{0E4DC99E-3C3B-4A1C-A865-12C6D7422174}"/>
    <cellStyle name="Currency 11 8" xfId="6909" xr:uid="{00000000-0005-0000-0000-00000A190000}"/>
    <cellStyle name="Currency 11 9" xfId="12175" xr:uid="{00000000-0005-0000-0000-00001D040000}"/>
    <cellStyle name="Currency 11 9 2" xfId="44658" xr:uid="{B8F19E9D-8AB0-461F-99E8-949A0AD47478}"/>
    <cellStyle name="Currency 12" xfId="1389" xr:uid="{00000000-0005-0000-0000-000083050000}"/>
    <cellStyle name="Currency-- 12" xfId="48678" xr:uid="{B42AFF56-C7B6-43F1-AFA6-9CD044F71289}"/>
    <cellStyle name="Currency 12 2" xfId="1390" xr:uid="{00000000-0005-0000-0000-000084050000}"/>
    <cellStyle name="Currency 13" xfId="1391" xr:uid="{00000000-0005-0000-0000-000085050000}"/>
    <cellStyle name="Currency 13 2" xfId="1392" xr:uid="{00000000-0005-0000-0000-000086050000}"/>
    <cellStyle name="Currency 14" xfId="1393" xr:uid="{00000000-0005-0000-0000-000087050000}"/>
    <cellStyle name="Currency 14 10" xfId="12107" xr:uid="{00000000-0005-0000-0000-000037040000}"/>
    <cellStyle name="Currency 14 10 2" xfId="44590" xr:uid="{8B138EAA-B266-4A1B-9002-29FE3BD369B2}"/>
    <cellStyle name="Currency 14 11" xfId="14467" xr:uid="{C46D2EA9-9BDD-4D91-9D84-9389042D20F7}"/>
    <cellStyle name="Currency 14 2" xfId="1394" xr:uid="{00000000-0005-0000-0000-000088050000}"/>
    <cellStyle name="Currency 14 2 2" xfId="1395" xr:uid="{00000000-0005-0000-0000-000089050000}"/>
    <cellStyle name="Currency 14 2 2 2" xfId="1396" xr:uid="{00000000-0005-0000-0000-00008A050000}"/>
    <cellStyle name="Currency 14 2 2 2 2" xfId="1397" xr:uid="{00000000-0005-0000-0000-00008B050000}"/>
    <cellStyle name="Currency 14 2 2 2 2 2" xfId="1398" xr:uid="{00000000-0005-0000-0000-00008C050000}"/>
    <cellStyle name="Currency 14 2 2 2 2 2 2" xfId="6966" xr:uid="{00000000-0005-0000-0000-00003F190000}"/>
    <cellStyle name="Currency 14 2 2 2 2 2 3" xfId="16855" xr:uid="{6CFEF224-C5F1-4D2B-9B5D-7F8D23D9A66D}"/>
    <cellStyle name="Currency 14 2 2 2 2 3" xfId="6965" xr:uid="{00000000-0005-0000-0000-00003E190000}"/>
    <cellStyle name="Currency 14 2 2 2 2 4" xfId="12099" xr:uid="{00000000-0005-0000-0000-00003B040000}"/>
    <cellStyle name="Currency 14 2 2 2 2 4 2" xfId="44582" xr:uid="{A67F2148-5E93-4CCD-8387-2FF28F3A6C5A}"/>
    <cellStyle name="Currency 14 2 2 2 2 5" xfId="14471" xr:uid="{16583C2F-1780-4B3D-8CD4-DFC30E7FA2A1}"/>
    <cellStyle name="Currency 14 2 2 2 3" xfId="1399" xr:uid="{00000000-0005-0000-0000-00008D050000}"/>
    <cellStyle name="Currency 14 2 2 2 3 2" xfId="6967" xr:uid="{00000000-0005-0000-0000-000040190000}"/>
    <cellStyle name="Currency 14 2 2 2 3 3" xfId="16854" xr:uid="{6D33374B-1F07-4148-8AC9-32CBCE1AAB0E}"/>
    <cellStyle name="Currency 14 2 2 2 4" xfId="6964" xr:uid="{00000000-0005-0000-0000-00003D190000}"/>
    <cellStyle name="Currency 14 2 2 2 5" xfId="12100" xr:uid="{00000000-0005-0000-0000-00003A040000}"/>
    <cellStyle name="Currency 14 2 2 2 5 2" xfId="44583" xr:uid="{A9E57FDA-7B35-416F-9CA9-2FE3429DEBF7}"/>
    <cellStyle name="Currency 14 2 2 2 6" xfId="14470" xr:uid="{D666A556-916B-41E2-8B13-6ADBEA1E6320}"/>
    <cellStyle name="Currency 14 2 2 3" xfId="1400" xr:uid="{00000000-0005-0000-0000-00008E050000}"/>
    <cellStyle name="Currency 14 2 2 3 2" xfId="1401" xr:uid="{00000000-0005-0000-0000-00008F050000}"/>
    <cellStyle name="Currency 14 2 2 3 2 2" xfId="6969" xr:uid="{00000000-0005-0000-0000-000042190000}"/>
    <cellStyle name="Currency 14 2 2 3 2 3" xfId="16856" xr:uid="{82E161C8-9FC8-4BF6-86E8-731E75E5C003}"/>
    <cellStyle name="Currency 14 2 2 3 3" xfId="6968" xr:uid="{00000000-0005-0000-0000-000041190000}"/>
    <cellStyle name="Currency 14 2 2 3 4" xfId="12098" xr:uid="{00000000-0005-0000-0000-00003C040000}"/>
    <cellStyle name="Currency 14 2 2 3 4 2" xfId="44581" xr:uid="{20D2E2D2-3D47-482D-BA0C-099868FE3FFF}"/>
    <cellStyle name="Currency 14 2 2 3 5" xfId="14472" xr:uid="{EC95DF86-1E37-4AE1-80EE-B5E41508B5C4}"/>
    <cellStyle name="Currency 14 2 2 4" xfId="1402" xr:uid="{00000000-0005-0000-0000-000090050000}"/>
    <cellStyle name="Currency 14 2 2 4 2" xfId="6970" xr:uid="{00000000-0005-0000-0000-000043190000}"/>
    <cellStyle name="Currency 14 2 2 4 3" xfId="16853" xr:uid="{A3AE7874-8B18-4774-9124-6BBB7AAE322B}"/>
    <cellStyle name="Currency 14 2 2 5" xfId="6963" xr:uid="{00000000-0005-0000-0000-00003C190000}"/>
    <cellStyle name="Currency 14 2 2 6" xfId="12101" xr:uid="{00000000-0005-0000-0000-000039040000}"/>
    <cellStyle name="Currency 14 2 2 6 2" xfId="44584" xr:uid="{8FE696BB-24DB-41D7-B067-89E35EA12A14}"/>
    <cellStyle name="Currency 14 2 2 7" xfId="14469" xr:uid="{A73DED29-D766-4CAD-A41A-518720A44CAE}"/>
    <cellStyle name="Currency 14 2 3" xfId="1403" xr:uid="{00000000-0005-0000-0000-000091050000}"/>
    <cellStyle name="Currency 14 2 3 2" xfId="1404" xr:uid="{00000000-0005-0000-0000-000092050000}"/>
    <cellStyle name="Currency 14 2 3 2 2" xfId="1405" xr:uid="{00000000-0005-0000-0000-000093050000}"/>
    <cellStyle name="Currency 14 2 3 2 2 2" xfId="6973" xr:uid="{00000000-0005-0000-0000-000046190000}"/>
    <cellStyle name="Currency 14 2 3 2 2 3" xfId="16858" xr:uid="{CF3AF511-9972-4814-8503-AE4334BDF3FF}"/>
    <cellStyle name="Currency 14 2 3 2 3" xfId="6972" xr:uid="{00000000-0005-0000-0000-000045190000}"/>
    <cellStyle name="Currency 14 2 3 2 4" xfId="12093" xr:uid="{00000000-0005-0000-0000-00003E040000}"/>
    <cellStyle name="Currency 14 2 3 2 4 2" xfId="44576" xr:uid="{AF34D535-C273-425E-8580-23FE971B530C}"/>
    <cellStyle name="Currency 14 2 3 2 5" xfId="14474" xr:uid="{C5422072-6336-47E4-9413-D21C2C9BD30F}"/>
    <cellStyle name="Currency 14 2 3 3" xfId="1406" xr:uid="{00000000-0005-0000-0000-000094050000}"/>
    <cellStyle name="Currency 14 2 3 3 2" xfId="6974" xr:uid="{00000000-0005-0000-0000-000047190000}"/>
    <cellStyle name="Currency 14 2 3 3 3" xfId="16857" xr:uid="{C0918308-A265-47EB-A513-5C56B3A223A5}"/>
    <cellStyle name="Currency 14 2 3 4" xfId="6971" xr:uid="{00000000-0005-0000-0000-000044190000}"/>
    <cellStyle name="Currency 14 2 3 5" xfId="12094" xr:uid="{00000000-0005-0000-0000-00003D040000}"/>
    <cellStyle name="Currency 14 2 3 5 2" xfId="44577" xr:uid="{A1950CE7-6245-4EE1-BF76-2C24156CE6AB}"/>
    <cellStyle name="Currency 14 2 3 6" xfId="14473" xr:uid="{9FCDF7B7-38B7-48E1-BB27-EE99A7B5269B}"/>
    <cellStyle name="Currency 14 2 4" xfId="1407" xr:uid="{00000000-0005-0000-0000-000095050000}"/>
    <cellStyle name="Currency 14 2 4 2" xfId="1408" xr:uid="{00000000-0005-0000-0000-000096050000}"/>
    <cellStyle name="Currency 14 2 4 2 2" xfId="6976" xr:uid="{00000000-0005-0000-0000-000049190000}"/>
    <cellStyle name="Currency 14 2 4 2 3" xfId="16859" xr:uid="{09540117-45F5-49A2-B02B-0A0E84552D35}"/>
    <cellStyle name="Currency 14 2 4 3" xfId="6975" xr:uid="{00000000-0005-0000-0000-000048190000}"/>
    <cellStyle name="Currency 14 2 4 4" xfId="12092" xr:uid="{00000000-0005-0000-0000-00003F040000}"/>
    <cellStyle name="Currency 14 2 4 4 2" xfId="44575" xr:uid="{F300A9EE-26E7-4D7C-8E3A-85E8DC03CCBC}"/>
    <cellStyle name="Currency 14 2 4 5" xfId="14475" xr:uid="{0B8C3967-378C-4B86-B42E-A28B5BCA32AA}"/>
    <cellStyle name="Currency 14 2 5" xfId="1409" xr:uid="{00000000-0005-0000-0000-000097050000}"/>
    <cellStyle name="Currency 14 2 5 2" xfId="6977" xr:uid="{00000000-0005-0000-0000-00004A190000}"/>
    <cellStyle name="Currency 14 2 5 3" xfId="16852" xr:uid="{AA2529E0-743E-4905-8085-675D1D82C826}"/>
    <cellStyle name="Currency 14 2 6" xfId="6962" xr:uid="{00000000-0005-0000-0000-00003B190000}"/>
    <cellStyle name="Currency 14 2 7" xfId="12106" xr:uid="{00000000-0005-0000-0000-000038040000}"/>
    <cellStyle name="Currency 14 2 7 2" xfId="44589" xr:uid="{33764E3F-EA7F-48C8-94E7-C5109D141A3B}"/>
    <cellStyle name="Currency 14 2 8" xfId="14468" xr:uid="{CC7D04DF-0C44-47DD-877C-95B0C26C0D32}"/>
    <cellStyle name="Currency 14 3" xfId="1410" xr:uid="{00000000-0005-0000-0000-000098050000}"/>
    <cellStyle name="Currency 14 3 2" xfId="1411" xr:uid="{00000000-0005-0000-0000-000099050000}"/>
    <cellStyle name="Currency 14 3 2 2" xfId="1412" xr:uid="{00000000-0005-0000-0000-00009A050000}"/>
    <cellStyle name="Currency 14 3 2 2 2" xfId="1413" xr:uid="{00000000-0005-0000-0000-00009B050000}"/>
    <cellStyle name="Currency 14 3 2 2 2 2" xfId="1414" xr:uid="{00000000-0005-0000-0000-00009C050000}"/>
    <cellStyle name="Currency 14 3 2 2 2 2 2" xfId="6982" xr:uid="{00000000-0005-0000-0000-00004F190000}"/>
    <cellStyle name="Currency 14 3 2 2 2 2 3" xfId="16863" xr:uid="{6DE2BDF2-A013-4CD3-940F-36C7ED3083E5}"/>
    <cellStyle name="Currency 14 3 2 2 2 3" xfId="6981" xr:uid="{00000000-0005-0000-0000-00004E190000}"/>
    <cellStyle name="Currency 14 3 2 2 2 4" xfId="12085" xr:uid="{00000000-0005-0000-0000-000043040000}"/>
    <cellStyle name="Currency 14 3 2 2 2 4 2" xfId="44568" xr:uid="{EA6FCBCA-F93B-4A8A-BAC2-750153D70EFC}"/>
    <cellStyle name="Currency 14 3 2 2 2 5" xfId="14479" xr:uid="{BD3F9197-051D-463E-9DB8-6F8DCAD5C1DA}"/>
    <cellStyle name="Currency 14 3 2 2 3" xfId="1415" xr:uid="{00000000-0005-0000-0000-00009D050000}"/>
    <cellStyle name="Currency 14 3 2 2 3 2" xfId="6983" xr:uid="{00000000-0005-0000-0000-000050190000}"/>
    <cellStyle name="Currency 14 3 2 2 3 3" xfId="16862" xr:uid="{3558948D-A69E-46DC-AD81-2E5EF08E58B6}"/>
    <cellStyle name="Currency 14 3 2 2 4" xfId="6980" xr:uid="{00000000-0005-0000-0000-00004D190000}"/>
    <cellStyle name="Currency 14 3 2 2 5" xfId="12086" xr:uid="{00000000-0005-0000-0000-000042040000}"/>
    <cellStyle name="Currency 14 3 2 2 5 2" xfId="44569" xr:uid="{E309DE60-9EDD-429B-9E59-520F99364153}"/>
    <cellStyle name="Currency 14 3 2 2 6" xfId="14478" xr:uid="{DF5814C3-3B17-493E-84C1-D807E956F03F}"/>
    <cellStyle name="Currency 14 3 2 3" xfId="1416" xr:uid="{00000000-0005-0000-0000-00009E050000}"/>
    <cellStyle name="Currency 14 3 2 3 2" xfId="1417" xr:uid="{00000000-0005-0000-0000-00009F050000}"/>
    <cellStyle name="Currency 14 3 2 3 2 2" xfId="6985" xr:uid="{00000000-0005-0000-0000-000052190000}"/>
    <cellStyle name="Currency 14 3 2 3 2 3" xfId="16864" xr:uid="{370E8D9E-2F45-4CBD-B59E-CDBF409ABE75}"/>
    <cellStyle name="Currency 14 3 2 3 3" xfId="6984" xr:uid="{00000000-0005-0000-0000-000051190000}"/>
    <cellStyle name="Currency 14 3 2 3 4" xfId="12084" xr:uid="{00000000-0005-0000-0000-000044040000}"/>
    <cellStyle name="Currency 14 3 2 3 4 2" xfId="44567" xr:uid="{4A1E2626-6AC6-470D-99D2-3A759E033733}"/>
    <cellStyle name="Currency 14 3 2 3 5" xfId="14480" xr:uid="{603B3340-ABF1-4021-B6A7-D8099522CCDB}"/>
    <cellStyle name="Currency 14 3 2 4" xfId="1418" xr:uid="{00000000-0005-0000-0000-0000A0050000}"/>
    <cellStyle name="Currency 14 3 2 4 2" xfId="6986" xr:uid="{00000000-0005-0000-0000-000053190000}"/>
    <cellStyle name="Currency 14 3 2 4 3" xfId="16861" xr:uid="{9D857EC3-B5DE-4F82-9478-297B9747E68B}"/>
    <cellStyle name="Currency 14 3 2 5" xfId="6979" xr:uid="{00000000-0005-0000-0000-00004C190000}"/>
    <cellStyle name="Currency 14 3 2 6" xfId="12087" xr:uid="{00000000-0005-0000-0000-000041040000}"/>
    <cellStyle name="Currency 14 3 2 6 2" xfId="44570" xr:uid="{13CA295F-5DA4-4954-8F56-E9834D8419D0}"/>
    <cellStyle name="Currency 14 3 2 7" xfId="14477" xr:uid="{CB81A7BD-2B12-4DE4-93EE-FAC810111643}"/>
    <cellStyle name="Currency 14 3 3" xfId="1419" xr:uid="{00000000-0005-0000-0000-0000A1050000}"/>
    <cellStyle name="Currency 14 3 3 2" xfId="1420" xr:uid="{00000000-0005-0000-0000-0000A2050000}"/>
    <cellStyle name="Currency 14 3 3 2 2" xfId="1421" xr:uid="{00000000-0005-0000-0000-0000A3050000}"/>
    <cellStyle name="Currency 14 3 3 2 2 2" xfId="6989" xr:uid="{00000000-0005-0000-0000-000056190000}"/>
    <cellStyle name="Currency 14 3 3 2 2 3" xfId="16866" xr:uid="{81882CBB-E932-4073-B616-D0CC38EE3188}"/>
    <cellStyle name="Currency 14 3 3 2 3" xfId="6988" xr:uid="{00000000-0005-0000-0000-000055190000}"/>
    <cellStyle name="Currency 14 3 3 2 4" xfId="12080" xr:uid="{00000000-0005-0000-0000-000046040000}"/>
    <cellStyle name="Currency 14 3 3 2 4 2" xfId="44563" xr:uid="{D59D9FC8-CC9B-471E-9583-AD75B663AF7F}"/>
    <cellStyle name="Currency 14 3 3 2 5" xfId="14482" xr:uid="{ADB3120F-80EC-4E35-9E1D-514C0D5DEA42}"/>
    <cellStyle name="Currency 14 3 3 3" xfId="1422" xr:uid="{00000000-0005-0000-0000-0000A4050000}"/>
    <cellStyle name="Currency 14 3 3 3 2" xfId="6990" xr:uid="{00000000-0005-0000-0000-000057190000}"/>
    <cellStyle name="Currency 14 3 3 3 3" xfId="16865" xr:uid="{0A6CCFB6-0048-44D6-AFA8-833CF0CC90FC}"/>
    <cellStyle name="Currency 14 3 3 4" xfId="6987" xr:uid="{00000000-0005-0000-0000-000054190000}"/>
    <cellStyle name="Currency 14 3 3 5" xfId="12081" xr:uid="{00000000-0005-0000-0000-000045040000}"/>
    <cellStyle name="Currency 14 3 3 5 2" xfId="44564" xr:uid="{CCF7816C-9D74-4963-91DA-70F2FD1564D6}"/>
    <cellStyle name="Currency 14 3 3 6" xfId="14481" xr:uid="{78B804D8-43E6-4AB9-AAE0-335A5AAFBF28}"/>
    <cellStyle name="Currency 14 3 4" xfId="1423" xr:uid="{00000000-0005-0000-0000-0000A5050000}"/>
    <cellStyle name="Currency 14 3 4 2" xfId="1424" xr:uid="{00000000-0005-0000-0000-0000A6050000}"/>
    <cellStyle name="Currency 14 3 4 2 2" xfId="6992" xr:uid="{00000000-0005-0000-0000-000059190000}"/>
    <cellStyle name="Currency 14 3 4 2 3" xfId="16867" xr:uid="{84FCCBA8-E64E-4AC1-812C-9CAAFD298515}"/>
    <cellStyle name="Currency 14 3 4 3" xfId="6991" xr:uid="{00000000-0005-0000-0000-000058190000}"/>
    <cellStyle name="Currency 14 3 4 4" xfId="12079" xr:uid="{00000000-0005-0000-0000-000047040000}"/>
    <cellStyle name="Currency 14 3 4 4 2" xfId="44562" xr:uid="{0B40E242-D992-4FD6-A4FB-66AA98711366}"/>
    <cellStyle name="Currency 14 3 4 5" xfId="14483" xr:uid="{5F0267BE-BC96-4086-B011-8F8C49C62DBB}"/>
    <cellStyle name="Currency 14 3 5" xfId="1425" xr:uid="{00000000-0005-0000-0000-0000A7050000}"/>
    <cellStyle name="Currency 14 3 5 2" xfId="6993" xr:uid="{00000000-0005-0000-0000-00005A190000}"/>
    <cellStyle name="Currency 14 3 5 3" xfId="16860" xr:uid="{E4ACEFE2-3118-45BC-9C35-C0C17A6D2A0E}"/>
    <cellStyle name="Currency 14 3 6" xfId="6978" xr:uid="{00000000-0005-0000-0000-00004B190000}"/>
    <cellStyle name="Currency 14 3 7" xfId="12091" xr:uid="{00000000-0005-0000-0000-000040040000}"/>
    <cellStyle name="Currency 14 3 7 2" xfId="44574" xr:uid="{E0E509DE-F988-48CF-84A4-EA3F09346724}"/>
    <cellStyle name="Currency 14 3 8" xfId="14476" xr:uid="{16121954-0053-4EDD-B9F6-1D6249200B98}"/>
    <cellStyle name="Currency 14 4" xfId="1426" xr:uid="{00000000-0005-0000-0000-0000A8050000}"/>
    <cellStyle name="Currency 14 4 2" xfId="1427" xr:uid="{00000000-0005-0000-0000-0000A9050000}"/>
    <cellStyle name="Currency 14 4 2 2" xfId="1428" xr:uid="{00000000-0005-0000-0000-0000AA050000}"/>
    <cellStyle name="Currency 14 4 2 2 2" xfId="1429" xr:uid="{00000000-0005-0000-0000-0000AB050000}"/>
    <cellStyle name="Currency 14 4 2 2 2 2" xfId="1430" xr:uid="{00000000-0005-0000-0000-0000AC050000}"/>
    <cellStyle name="Currency 14 4 2 2 2 2 2" xfId="6998" xr:uid="{00000000-0005-0000-0000-00005F190000}"/>
    <cellStyle name="Currency 14 4 2 2 2 2 3" xfId="16871" xr:uid="{11C40141-84CD-4D8C-AE60-B80746963591}"/>
    <cellStyle name="Currency 14 4 2 2 2 3" xfId="6997" xr:uid="{00000000-0005-0000-0000-00005E190000}"/>
    <cellStyle name="Currency 14 4 2 2 2 4" xfId="12073" xr:uid="{00000000-0005-0000-0000-00004B040000}"/>
    <cellStyle name="Currency 14 4 2 2 2 4 2" xfId="44556" xr:uid="{6D657ED9-59A0-4D39-9732-34422CB8DFE4}"/>
    <cellStyle name="Currency 14 4 2 2 2 5" xfId="14487" xr:uid="{3865CC40-73AF-4AD9-AE50-1E8DCDD59876}"/>
    <cellStyle name="Currency 14 4 2 2 3" xfId="1431" xr:uid="{00000000-0005-0000-0000-0000AD050000}"/>
    <cellStyle name="Currency 14 4 2 2 3 2" xfId="6999" xr:uid="{00000000-0005-0000-0000-000060190000}"/>
    <cellStyle name="Currency 14 4 2 2 3 3" xfId="16870" xr:uid="{0397643E-FC06-47E5-8088-82E0F8BFB692}"/>
    <cellStyle name="Currency 14 4 2 2 4" xfId="6996" xr:uid="{00000000-0005-0000-0000-00005D190000}"/>
    <cellStyle name="Currency 14 4 2 2 5" xfId="12074" xr:uid="{00000000-0005-0000-0000-00004A040000}"/>
    <cellStyle name="Currency 14 4 2 2 5 2" xfId="44557" xr:uid="{FBCFEED8-1D15-443A-836F-2286D243830B}"/>
    <cellStyle name="Currency 14 4 2 2 6" xfId="14486" xr:uid="{F5AC145A-7D01-4CF4-8733-A8BA8827E6D4}"/>
    <cellStyle name="Currency 14 4 2 3" xfId="1432" xr:uid="{00000000-0005-0000-0000-0000AE050000}"/>
    <cellStyle name="Currency 14 4 2 3 2" xfId="1433" xr:uid="{00000000-0005-0000-0000-0000AF050000}"/>
    <cellStyle name="Currency 14 4 2 3 2 2" xfId="7001" xr:uid="{00000000-0005-0000-0000-000062190000}"/>
    <cellStyle name="Currency 14 4 2 3 2 3" xfId="16872" xr:uid="{915D90FA-290E-49E3-9848-5E935B08A72C}"/>
    <cellStyle name="Currency 14 4 2 3 3" xfId="7000" xr:uid="{00000000-0005-0000-0000-000061190000}"/>
    <cellStyle name="Currency 14 4 2 3 4" xfId="12072" xr:uid="{00000000-0005-0000-0000-00004C040000}"/>
    <cellStyle name="Currency 14 4 2 3 4 2" xfId="44555" xr:uid="{CC4EB97A-6B9C-4FB4-96C7-9CD87CD52B2C}"/>
    <cellStyle name="Currency 14 4 2 3 5" xfId="14488" xr:uid="{05A77D5C-8405-4C71-90C4-8B0E5E20196F}"/>
    <cellStyle name="Currency 14 4 2 4" xfId="1434" xr:uid="{00000000-0005-0000-0000-0000B0050000}"/>
    <cellStyle name="Currency 14 4 2 4 2" xfId="7002" xr:uid="{00000000-0005-0000-0000-000063190000}"/>
    <cellStyle name="Currency 14 4 2 4 3" xfId="16869" xr:uid="{3D79F8CD-EC6C-43E6-8A64-4D82CBD83F53}"/>
    <cellStyle name="Currency 14 4 2 5" xfId="6995" xr:uid="{00000000-0005-0000-0000-00005C190000}"/>
    <cellStyle name="Currency 14 4 2 6" xfId="12075" xr:uid="{00000000-0005-0000-0000-000049040000}"/>
    <cellStyle name="Currency 14 4 2 6 2" xfId="44558" xr:uid="{297BBF31-B9E0-40B4-A75D-8FB2D8DE5B48}"/>
    <cellStyle name="Currency 14 4 2 7" xfId="14485" xr:uid="{1520E5A8-A290-4B5F-9B9D-2A9031C3C4CB}"/>
    <cellStyle name="Currency 14 4 3" xfId="1435" xr:uid="{00000000-0005-0000-0000-0000B1050000}"/>
    <cellStyle name="Currency 14 4 3 2" xfId="1436" xr:uid="{00000000-0005-0000-0000-0000B2050000}"/>
    <cellStyle name="Currency 14 4 3 2 2" xfId="1437" xr:uid="{00000000-0005-0000-0000-0000B3050000}"/>
    <cellStyle name="Currency 14 4 3 2 2 2" xfId="7005" xr:uid="{00000000-0005-0000-0000-000066190000}"/>
    <cellStyle name="Currency 14 4 3 2 2 3" xfId="16874" xr:uid="{6925F0E1-6C87-4E39-85EF-899A554514C3}"/>
    <cellStyle name="Currency 14 4 3 2 3" xfId="7004" xr:uid="{00000000-0005-0000-0000-000065190000}"/>
    <cellStyle name="Currency 14 4 3 2 4" xfId="12068" xr:uid="{00000000-0005-0000-0000-00004E040000}"/>
    <cellStyle name="Currency 14 4 3 2 4 2" xfId="44551" xr:uid="{EAFDF92C-77A9-4D73-A393-712E5B8DCA02}"/>
    <cellStyle name="Currency 14 4 3 2 5" xfId="14490" xr:uid="{B7B69FF6-3694-4A0A-B31F-63CA530BAD0E}"/>
    <cellStyle name="Currency 14 4 3 3" xfId="1438" xr:uid="{00000000-0005-0000-0000-0000B4050000}"/>
    <cellStyle name="Currency 14 4 3 3 2" xfId="7006" xr:uid="{00000000-0005-0000-0000-000067190000}"/>
    <cellStyle name="Currency 14 4 3 3 3" xfId="16873" xr:uid="{4275572C-1E12-4A5D-B708-728E989CE500}"/>
    <cellStyle name="Currency 14 4 3 4" xfId="7003" xr:uid="{00000000-0005-0000-0000-000064190000}"/>
    <cellStyle name="Currency 14 4 3 5" xfId="12069" xr:uid="{00000000-0005-0000-0000-00004D040000}"/>
    <cellStyle name="Currency 14 4 3 5 2" xfId="44552" xr:uid="{0728CD6B-AD77-4737-8194-51159BDB07AF}"/>
    <cellStyle name="Currency 14 4 3 6" xfId="14489" xr:uid="{D824C2F6-77BC-4688-943A-664C7101B2BC}"/>
    <cellStyle name="Currency 14 4 4" xfId="1439" xr:uid="{00000000-0005-0000-0000-0000B5050000}"/>
    <cellStyle name="Currency 14 4 4 2" xfId="1440" xr:uid="{00000000-0005-0000-0000-0000B6050000}"/>
    <cellStyle name="Currency 14 4 4 2 2" xfId="7008" xr:uid="{00000000-0005-0000-0000-000069190000}"/>
    <cellStyle name="Currency 14 4 4 2 3" xfId="16875" xr:uid="{B819DED0-E3A2-4FAE-B28D-7EB6EAD474C3}"/>
    <cellStyle name="Currency 14 4 4 3" xfId="7007" xr:uid="{00000000-0005-0000-0000-000068190000}"/>
    <cellStyle name="Currency 14 4 4 4" xfId="12067" xr:uid="{00000000-0005-0000-0000-00004F040000}"/>
    <cellStyle name="Currency 14 4 4 4 2" xfId="44550" xr:uid="{A66A636E-D1DE-49D5-B8C2-B8989A557FE5}"/>
    <cellStyle name="Currency 14 4 4 5" xfId="14491" xr:uid="{5CB987FF-5ABA-437F-9E23-9EDF99F6FF22}"/>
    <cellStyle name="Currency 14 4 5" xfId="1441" xr:uid="{00000000-0005-0000-0000-0000B7050000}"/>
    <cellStyle name="Currency 14 4 5 2" xfId="7009" xr:uid="{00000000-0005-0000-0000-00006A190000}"/>
    <cellStyle name="Currency 14 4 5 3" xfId="16868" xr:uid="{C7E90FB6-BB1E-4D84-9F51-8EF426702F82}"/>
    <cellStyle name="Currency 14 4 6" xfId="6994" xr:uid="{00000000-0005-0000-0000-00005B190000}"/>
    <cellStyle name="Currency 14 4 7" xfId="12078" xr:uid="{00000000-0005-0000-0000-000048040000}"/>
    <cellStyle name="Currency 14 4 7 2" xfId="44561" xr:uid="{D572BEAF-5B20-423C-A287-DA8FE02555E1}"/>
    <cellStyle name="Currency 14 4 8" xfId="14484" xr:uid="{6B50AD11-8733-4E2E-8690-4052D4A7BB22}"/>
    <cellStyle name="Currency 14 5" xfId="1442" xr:uid="{00000000-0005-0000-0000-0000B8050000}"/>
    <cellStyle name="Currency 14 5 2" xfId="1443" xr:uid="{00000000-0005-0000-0000-0000B9050000}"/>
    <cellStyle name="Currency 14 5 2 2" xfId="1444" xr:uid="{00000000-0005-0000-0000-0000BA050000}"/>
    <cellStyle name="Currency 14 5 2 2 2" xfId="1445" xr:uid="{00000000-0005-0000-0000-0000BB050000}"/>
    <cellStyle name="Currency 14 5 2 2 2 2" xfId="7013" xr:uid="{00000000-0005-0000-0000-00006E190000}"/>
    <cellStyle name="Currency 14 5 2 2 2 3" xfId="16878" xr:uid="{CFE62AA0-C7E0-4A9C-A42A-3137DBFEB3C7}"/>
    <cellStyle name="Currency 14 5 2 2 3" xfId="7012" xr:uid="{00000000-0005-0000-0000-00006D190000}"/>
    <cellStyle name="Currency 14 5 2 2 4" xfId="12062" xr:uid="{00000000-0005-0000-0000-000052040000}"/>
    <cellStyle name="Currency 14 5 2 2 4 2" xfId="44545" xr:uid="{E78368C6-E527-47B0-9795-06F7EBA12FAD}"/>
    <cellStyle name="Currency 14 5 2 2 5" xfId="14494" xr:uid="{A74ADE60-7DFB-47C6-917E-2210A10D43F5}"/>
    <cellStyle name="Currency 14 5 2 3" xfId="1446" xr:uid="{00000000-0005-0000-0000-0000BC050000}"/>
    <cellStyle name="Currency 14 5 2 3 2" xfId="7014" xr:uid="{00000000-0005-0000-0000-00006F190000}"/>
    <cellStyle name="Currency 14 5 2 3 3" xfId="16877" xr:uid="{0BAEDD77-1AB2-46FB-83B1-C4C5B150FFB8}"/>
    <cellStyle name="Currency 14 5 2 4" xfId="7011" xr:uid="{00000000-0005-0000-0000-00006C190000}"/>
    <cellStyle name="Currency 14 5 2 5" xfId="12063" xr:uid="{00000000-0005-0000-0000-000051040000}"/>
    <cellStyle name="Currency 14 5 2 5 2" xfId="44546" xr:uid="{B8FD7CBD-7B8E-479A-94E1-681EE389044E}"/>
    <cellStyle name="Currency 14 5 2 6" xfId="14493" xr:uid="{69563FC0-B2FD-42B2-9214-FD94DFE5C14A}"/>
    <cellStyle name="Currency 14 5 3" xfId="1447" xr:uid="{00000000-0005-0000-0000-0000BD050000}"/>
    <cellStyle name="Currency 14 5 3 2" xfId="1448" xr:uid="{00000000-0005-0000-0000-0000BE050000}"/>
    <cellStyle name="Currency 14 5 3 2 2" xfId="7016" xr:uid="{00000000-0005-0000-0000-000071190000}"/>
    <cellStyle name="Currency 14 5 3 2 3" xfId="16879" xr:uid="{D798F0A6-20C2-4339-A742-6F014ACB855D}"/>
    <cellStyle name="Currency 14 5 3 3" xfId="7015" xr:uid="{00000000-0005-0000-0000-000070190000}"/>
    <cellStyle name="Currency 14 5 3 4" xfId="12061" xr:uid="{00000000-0005-0000-0000-000053040000}"/>
    <cellStyle name="Currency 14 5 3 4 2" xfId="44544" xr:uid="{7AA23613-0D14-4987-96C7-F2AF8C34F166}"/>
    <cellStyle name="Currency 14 5 3 5" xfId="14495" xr:uid="{9E433FC8-E44A-486F-B4DF-8FEABB9DF43C}"/>
    <cellStyle name="Currency 14 5 4" xfId="1449" xr:uid="{00000000-0005-0000-0000-0000BF050000}"/>
    <cellStyle name="Currency 14 5 4 2" xfId="7017" xr:uid="{00000000-0005-0000-0000-000072190000}"/>
    <cellStyle name="Currency 14 5 4 3" xfId="16876" xr:uid="{F3A89296-D089-4B7F-981C-0BD3826352FC}"/>
    <cellStyle name="Currency 14 5 5" xfId="7010" xr:uid="{00000000-0005-0000-0000-00006B190000}"/>
    <cellStyle name="Currency 14 5 6" xfId="12066" xr:uid="{00000000-0005-0000-0000-000050040000}"/>
    <cellStyle name="Currency 14 5 6 2" xfId="44549" xr:uid="{D83440E6-8287-4A7F-BA0C-F684B776B5F7}"/>
    <cellStyle name="Currency 14 5 7" xfId="14492" xr:uid="{782DFFA5-3195-404C-8F49-2101F56DC713}"/>
    <cellStyle name="Currency 14 6" xfId="1450" xr:uid="{00000000-0005-0000-0000-0000C0050000}"/>
    <cellStyle name="Currency 14 6 2" xfId="1451" xr:uid="{00000000-0005-0000-0000-0000C1050000}"/>
    <cellStyle name="Currency 14 6 2 2" xfId="1452" xr:uid="{00000000-0005-0000-0000-0000C2050000}"/>
    <cellStyle name="Currency 14 6 2 2 2" xfId="7020" xr:uid="{00000000-0005-0000-0000-000075190000}"/>
    <cellStyle name="Currency 14 6 2 2 3" xfId="16881" xr:uid="{1AECD06E-D6B4-4F4B-83BF-A01E3118B7D7}"/>
    <cellStyle name="Currency 14 6 2 3" xfId="7019" xr:uid="{00000000-0005-0000-0000-000074190000}"/>
    <cellStyle name="Currency 14 6 2 4" xfId="12059" xr:uid="{00000000-0005-0000-0000-000055040000}"/>
    <cellStyle name="Currency 14 6 2 4 2" xfId="44542" xr:uid="{8207F349-1CC4-49F5-909D-AEF4478763A7}"/>
    <cellStyle name="Currency 14 6 2 5" xfId="14497" xr:uid="{906FBB6D-FD4A-4F01-81EE-5E24EB781886}"/>
    <cellStyle name="Currency 14 6 3" xfId="1453" xr:uid="{00000000-0005-0000-0000-0000C3050000}"/>
    <cellStyle name="Currency 14 6 3 2" xfId="7021" xr:uid="{00000000-0005-0000-0000-000076190000}"/>
    <cellStyle name="Currency 14 6 3 3" xfId="16880" xr:uid="{C5F43BCF-8064-42D0-A445-F167AB9EEACA}"/>
    <cellStyle name="Currency 14 6 4" xfId="7018" xr:uid="{00000000-0005-0000-0000-000073190000}"/>
    <cellStyle name="Currency 14 6 5" xfId="12060" xr:uid="{00000000-0005-0000-0000-000054040000}"/>
    <cellStyle name="Currency 14 6 5 2" xfId="44543" xr:uid="{38A1CD8A-0F4A-4911-BC99-0518DFD9E22E}"/>
    <cellStyle name="Currency 14 6 6" xfId="14496" xr:uid="{00916747-EF2F-455E-AC8A-C94DD66F7F43}"/>
    <cellStyle name="Currency 14 7" xfId="1454" xr:uid="{00000000-0005-0000-0000-0000C4050000}"/>
    <cellStyle name="Currency 14 7 2" xfId="1455" xr:uid="{00000000-0005-0000-0000-0000C5050000}"/>
    <cellStyle name="Currency 14 7 2 2" xfId="7023" xr:uid="{00000000-0005-0000-0000-000078190000}"/>
    <cellStyle name="Currency 14 7 2 3" xfId="16882" xr:uid="{1CFDCEEB-0D15-474A-9D8E-FF1281885F7A}"/>
    <cellStyle name="Currency 14 7 3" xfId="7022" xr:uid="{00000000-0005-0000-0000-000077190000}"/>
    <cellStyle name="Currency 14 7 4" xfId="12058" xr:uid="{00000000-0005-0000-0000-000056040000}"/>
    <cellStyle name="Currency 14 7 4 2" xfId="44541" xr:uid="{0D92588E-6D81-4B3D-B7BF-C709BED2BC2E}"/>
    <cellStyle name="Currency 14 7 5" xfId="14498" xr:uid="{80904CB7-8B09-46F0-B740-318D78E69CC0}"/>
    <cellStyle name="Currency 14 8" xfId="1456" xr:uid="{00000000-0005-0000-0000-0000C6050000}"/>
    <cellStyle name="Currency 14 8 2" xfId="7024" xr:uid="{00000000-0005-0000-0000-000079190000}"/>
    <cellStyle name="Currency 14 8 3" xfId="16851" xr:uid="{13D8FA7B-3CEF-4939-B31A-F9A27CE02D8A}"/>
    <cellStyle name="Currency 14 9" xfId="6961" xr:uid="{00000000-0005-0000-0000-00003A190000}"/>
    <cellStyle name="Currency 15" xfId="1457" xr:uid="{00000000-0005-0000-0000-0000C7050000}"/>
    <cellStyle name="Currency 15 2" xfId="1458" xr:uid="{00000000-0005-0000-0000-0000C8050000}"/>
    <cellStyle name="Currency 15 2 2" xfId="1459" xr:uid="{00000000-0005-0000-0000-0000C9050000}"/>
    <cellStyle name="Currency 15 2 2 2" xfId="1460" xr:uid="{00000000-0005-0000-0000-0000CA050000}"/>
    <cellStyle name="Currency 15 2 2 2 2" xfId="1461" xr:uid="{00000000-0005-0000-0000-0000CB050000}"/>
    <cellStyle name="Currency 15 2 2 2 2 2" xfId="7029" xr:uid="{00000000-0005-0000-0000-00007E190000}"/>
    <cellStyle name="Currency 15 2 2 2 2 3" xfId="16886" xr:uid="{C6D2A8A5-30F9-484F-9AC0-65530372D396}"/>
    <cellStyle name="Currency 15 2 2 2 3" xfId="7028" xr:uid="{00000000-0005-0000-0000-00007D190000}"/>
    <cellStyle name="Currency 15 2 2 2 4" xfId="12054" xr:uid="{00000000-0005-0000-0000-00005A040000}"/>
    <cellStyle name="Currency 15 2 2 2 4 2" xfId="44537" xr:uid="{27AFAE78-DF88-4A00-8485-6C03129DBA32}"/>
    <cellStyle name="Currency 15 2 2 2 5" xfId="14502" xr:uid="{A40CB039-107B-4BF1-B8A2-0BDD8E20B1AC}"/>
    <cellStyle name="Currency 15 2 2 3" xfId="1462" xr:uid="{00000000-0005-0000-0000-0000CC050000}"/>
    <cellStyle name="Currency 15 2 2 3 2" xfId="7030" xr:uid="{00000000-0005-0000-0000-00007F190000}"/>
    <cellStyle name="Currency 15 2 2 3 3" xfId="16885" xr:uid="{112ECB91-CADE-4C81-A66D-4624C8450CFD}"/>
    <cellStyle name="Currency 15 2 2 4" xfId="7027" xr:uid="{00000000-0005-0000-0000-00007C190000}"/>
    <cellStyle name="Currency 15 2 2 5" xfId="12055" xr:uid="{00000000-0005-0000-0000-000059040000}"/>
    <cellStyle name="Currency 15 2 2 5 2" xfId="44538" xr:uid="{0F8927D2-DAC6-4FA8-98DF-6D11480ECB68}"/>
    <cellStyle name="Currency 15 2 2 6" xfId="14501" xr:uid="{43A600CE-33FA-4BBA-A656-1C9C31D53157}"/>
    <cellStyle name="Currency 15 2 3" xfId="1463" xr:uid="{00000000-0005-0000-0000-0000CD050000}"/>
    <cellStyle name="Currency 15 2 3 2" xfId="1464" xr:uid="{00000000-0005-0000-0000-0000CE050000}"/>
    <cellStyle name="Currency 15 2 3 2 2" xfId="7032" xr:uid="{00000000-0005-0000-0000-000081190000}"/>
    <cellStyle name="Currency 15 2 3 2 3" xfId="16887" xr:uid="{417227D1-AF04-42B2-89B9-F195B7874D64}"/>
    <cellStyle name="Currency 15 2 3 3" xfId="7031" xr:uid="{00000000-0005-0000-0000-000080190000}"/>
    <cellStyle name="Currency 15 2 3 4" xfId="12053" xr:uid="{00000000-0005-0000-0000-00005B040000}"/>
    <cellStyle name="Currency 15 2 3 4 2" xfId="44536" xr:uid="{29F8509C-36D8-4B17-8428-D6FCAD6C7383}"/>
    <cellStyle name="Currency 15 2 3 5" xfId="14503" xr:uid="{0BFD20A5-A2FC-43CA-82C8-F68D152B5460}"/>
    <cellStyle name="Currency 15 2 4" xfId="1465" xr:uid="{00000000-0005-0000-0000-0000CF050000}"/>
    <cellStyle name="Currency 15 2 4 2" xfId="7033" xr:uid="{00000000-0005-0000-0000-000082190000}"/>
    <cellStyle name="Currency 15 2 4 3" xfId="16884" xr:uid="{DF350AA3-12DD-4717-A9E4-96376FA4B2BC}"/>
    <cellStyle name="Currency 15 2 5" xfId="7026" xr:uid="{00000000-0005-0000-0000-00007B190000}"/>
    <cellStyle name="Currency 15 2 6" xfId="12056" xr:uid="{00000000-0005-0000-0000-000058040000}"/>
    <cellStyle name="Currency 15 2 6 2" xfId="44539" xr:uid="{C9697F2E-EE1B-44BD-9B0A-6BDB6080E103}"/>
    <cellStyle name="Currency 15 2 7" xfId="14500" xr:uid="{8FED2CBD-A7DA-4E9C-B2BF-668E05B9B866}"/>
    <cellStyle name="Currency 15 3" xfId="1466" xr:uid="{00000000-0005-0000-0000-0000D0050000}"/>
    <cellStyle name="Currency 15 3 2" xfId="1467" xr:uid="{00000000-0005-0000-0000-0000D1050000}"/>
    <cellStyle name="Currency 15 3 2 2" xfId="1468" xr:uid="{00000000-0005-0000-0000-0000D2050000}"/>
    <cellStyle name="Currency 15 3 2 2 2" xfId="7036" xr:uid="{00000000-0005-0000-0000-000085190000}"/>
    <cellStyle name="Currency 15 3 2 2 3" xfId="16889" xr:uid="{2D0B12DD-5197-46F5-80E2-D6FD06A09B74}"/>
    <cellStyle name="Currency 15 3 2 3" xfId="7035" xr:uid="{00000000-0005-0000-0000-000084190000}"/>
    <cellStyle name="Currency 15 3 2 4" xfId="12051" xr:uid="{00000000-0005-0000-0000-00005D040000}"/>
    <cellStyle name="Currency 15 3 2 4 2" xfId="44534" xr:uid="{DF4EAD0E-BC7B-47BD-8C66-7F2FC955FD54}"/>
    <cellStyle name="Currency 15 3 2 5" xfId="14505" xr:uid="{DA899F51-1169-4CFC-B962-6295A19B900B}"/>
    <cellStyle name="Currency 15 3 3" xfId="1469" xr:uid="{00000000-0005-0000-0000-0000D3050000}"/>
    <cellStyle name="Currency 15 3 3 2" xfId="7037" xr:uid="{00000000-0005-0000-0000-000086190000}"/>
    <cellStyle name="Currency 15 3 3 3" xfId="16888" xr:uid="{E17023D6-1CA5-4082-A639-3A8D2E6F229C}"/>
    <cellStyle name="Currency 15 3 4" xfId="7034" xr:uid="{00000000-0005-0000-0000-000083190000}"/>
    <cellStyle name="Currency 15 3 5" xfId="12052" xr:uid="{00000000-0005-0000-0000-00005C040000}"/>
    <cellStyle name="Currency 15 3 5 2" xfId="44535" xr:uid="{9DE64ADF-1049-4CB0-ABD0-26FD90E7A8EB}"/>
    <cellStyle name="Currency 15 3 6" xfId="14504" xr:uid="{CF43E1CE-5BAD-4858-8A70-3982B65E41E3}"/>
    <cellStyle name="Currency 15 4" xfId="1470" xr:uid="{00000000-0005-0000-0000-0000D4050000}"/>
    <cellStyle name="Currency 15 4 2" xfId="1471" xr:uid="{00000000-0005-0000-0000-0000D5050000}"/>
    <cellStyle name="Currency 15 4 2 2" xfId="7039" xr:uid="{00000000-0005-0000-0000-000088190000}"/>
    <cellStyle name="Currency 15 4 2 3" xfId="16890" xr:uid="{869DB475-2C89-4CCE-9459-C4FDDE1B99B5}"/>
    <cellStyle name="Currency 15 4 3" xfId="7038" xr:uid="{00000000-0005-0000-0000-000087190000}"/>
    <cellStyle name="Currency 15 4 4" xfId="12050" xr:uid="{00000000-0005-0000-0000-00005E040000}"/>
    <cellStyle name="Currency 15 4 4 2" xfId="44533" xr:uid="{FE9BA84E-940D-4271-B41D-CDEC8902705B}"/>
    <cellStyle name="Currency 15 4 5" xfId="14506" xr:uid="{EE67B125-749C-4B6A-91EF-8A1237592B0B}"/>
    <cellStyle name="Currency 15 5" xfId="1472" xr:uid="{00000000-0005-0000-0000-0000D6050000}"/>
    <cellStyle name="Currency 15 5 2" xfId="7040" xr:uid="{00000000-0005-0000-0000-000089190000}"/>
    <cellStyle name="Currency 15 5 3" xfId="16883" xr:uid="{BDBAFC37-2532-437F-8482-3FC6E02AB2D5}"/>
    <cellStyle name="Currency 15 6" xfId="7025" xr:uid="{00000000-0005-0000-0000-00007A190000}"/>
    <cellStyle name="Currency 15 7" xfId="12057" xr:uid="{00000000-0005-0000-0000-000057040000}"/>
    <cellStyle name="Currency 15 7 2" xfId="44540" xr:uid="{8ED1EE1B-7589-4E07-975C-B9E224AFA404}"/>
    <cellStyle name="Currency 15 8" xfId="14499" xr:uid="{9C03CB50-D901-43FC-BB2A-F704D059225D}"/>
    <cellStyle name="Currency 16" xfId="1473" xr:uid="{00000000-0005-0000-0000-0000D7050000}"/>
    <cellStyle name="Currency 16 2" xfId="1474" xr:uid="{00000000-0005-0000-0000-0000D8050000}"/>
    <cellStyle name="Currency 16 2 2" xfId="1475" xr:uid="{00000000-0005-0000-0000-0000D9050000}"/>
    <cellStyle name="Currency 16 2 2 2" xfId="7043" xr:uid="{00000000-0005-0000-0000-00008C190000}"/>
    <cellStyle name="Currency 16 2 2 3" xfId="16892" xr:uid="{E7931F7C-7A37-44E0-B93E-57E04144F48B}"/>
    <cellStyle name="Currency 16 2 3" xfId="7042" xr:uid="{00000000-0005-0000-0000-00008B190000}"/>
    <cellStyle name="Currency 16 2 4" xfId="12048" xr:uid="{00000000-0005-0000-0000-000060040000}"/>
    <cellStyle name="Currency 16 2 4 2" xfId="44531" xr:uid="{78625168-A8F1-478F-BC3E-4ECA008F677E}"/>
    <cellStyle name="Currency 16 2 5" xfId="14508" xr:uid="{B5BD59A7-CD27-4699-A41B-039E9BA158BC}"/>
    <cellStyle name="Currency 16 3" xfId="1476" xr:uid="{00000000-0005-0000-0000-0000DA050000}"/>
    <cellStyle name="Currency 16 3 2" xfId="7044" xr:uid="{00000000-0005-0000-0000-00008D190000}"/>
    <cellStyle name="Currency 16 3 3" xfId="16891" xr:uid="{6E88F681-2D9A-45D0-9188-033571D95269}"/>
    <cellStyle name="Currency 16 4" xfId="7041" xr:uid="{00000000-0005-0000-0000-00008A190000}"/>
    <cellStyle name="Currency 16 5" xfId="12049" xr:uid="{00000000-0005-0000-0000-00005F040000}"/>
    <cellStyle name="Currency 16 5 2" xfId="44532" xr:uid="{17B71C97-1C07-4763-BFC2-7344FC540979}"/>
    <cellStyle name="Currency 16 6" xfId="14507" xr:uid="{84192699-C015-43CC-8254-16DF15A90335}"/>
    <cellStyle name="Currency 17" xfId="1477" xr:uid="{00000000-0005-0000-0000-0000DB050000}"/>
    <cellStyle name="Currency 17 2" xfId="1478" xr:uid="{00000000-0005-0000-0000-0000DC050000}"/>
    <cellStyle name="Currency 17 2 2" xfId="7046" xr:uid="{00000000-0005-0000-0000-00008F190000}"/>
    <cellStyle name="Currency 17 2 3" xfId="16893" xr:uid="{4A4047E0-0D11-48A0-A522-DAE8DC1546C7}"/>
    <cellStyle name="Currency 17 3" xfId="7045" xr:uid="{00000000-0005-0000-0000-00008E190000}"/>
    <cellStyle name="Currency 17 4" xfId="12047" xr:uid="{00000000-0005-0000-0000-000061040000}"/>
    <cellStyle name="Currency 17 4 2" xfId="44530" xr:uid="{F1E27229-9569-40CE-9C40-C686FB42F6D6}"/>
    <cellStyle name="Currency 17 5" xfId="14509" xr:uid="{56791C30-3F83-448C-B51E-19DA39B98771}"/>
    <cellStyle name="Currency 18" xfId="1479" xr:uid="{00000000-0005-0000-0000-0000DD050000}"/>
    <cellStyle name="Currency 19" xfId="1480" xr:uid="{00000000-0005-0000-0000-0000DE050000}"/>
    <cellStyle name="Currency 19 10" xfId="14510" xr:uid="{C632DE91-FF1C-4F5D-990F-954FB6D7C6BE}"/>
    <cellStyle name="Currency 19 2" xfId="1481" xr:uid="{00000000-0005-0000-0000-0000DF050000}"/>
    <cellStyle name="Currency 19 2 2" xfId="1482" xr:uid="{00000000-0005-0000-0000-0000E0050000}"/>
    <cellStyle name="Currency 19 2 2 2" xfId="1483" xr:uid="{00000000-0005-0000-0000-0000E1050000}"/>
    <cellStyle name="Currency 19 2 2 2 2" xfId="1484" xr:uid="{00000000-0005-0000-0000-0000E2050000}"/>
    <cellStyle name="Currency 19 2 2 2 2 2" xfId="1485" xr:uid="{00000000-0005-0000-0000-0000E3050000}"/>
    <cellStyle name="Currency 19 2 2 2 2 2 2" xfId="7053" xr:uid="{00000000-0005-0000-0000-000095190000}"/>
    <cellStyle name="Currency 19 2 2 2 2 2 3" xfId="16898" xr:uid="{0C4A8439-2A04-4EB8-A841-6103A0548C27}"/>
    <cellStyle name="Currency 19 2 2 2 2 3" xfId="7052" xr:uid="{00000000-0005-0000-0000-000094190000}"/>
    <cellStyle name="Currency 19 2 2 2 2 4" xfId="12042" xr:uid="{00000000-0005-0000-0000-000067040000}"/>
    <cellStyle name="Currency 19 2 2 2 2 4 2" xfId="44525" xr:uid="{CC2968E2-206C-498A-AA7A-98CC831D0E5D}"/>
    <cellStyle name="Currency 19 2 2 2 2 5" xfId="14514" xr:uid="{4623D1C9-F28C-4AB3-A2B2-DFD31D8EA793}"/>
    <cellStyle name="Currency 19 2 2 2 3" xfId="1486" xr:uid="{00000000-0005-0000-0000-0000E4050000}"/>
    <cellStyle name="Currency 19 2 2 2 3 2" xfId="7054" xr:uid="{00000000-0005-0000-0000-000096190000}"/>
    <cellStyle name="Currency 19 2 2 2 3 3" xfId="16897" xr:uid="{C7ADC04F-E553-4005-A2C4-7FC7329B2A9B}"/>
    <cellStyle name="Currency 19 2 2 2 4" xfId="7051" xr:uid="{00000000-0005-0000-0000-000093190000}"/>
    <cellStyle name="Currency 19 2 2 2 5" xfId="12043" xr:uid="{00000000-0005-0000-0000-000066040000}"/>
    <cellStyle name="Currency 19 2 2 2 5 2" xfId="44526" xr:uid="{76C37301-DA93-4DC1-8CD3-BDC13845E20C}"/>
    <cellStyle name="Currency 19 2 2 2 6" xfId="14513" xr:uid="{3626029D-E662-4EA9-BEE8-8B641B469390}"/>
    <cellStyle name="Currency 19 2 2 3" xfId="1487" xr:uid="{00000000-0005-0000-0000-0000E5050000}"/>
    <cellStyle name="Currency 19 2 2 3 2" xfId="1488" xr:uid="{00000000-0005-0000-0000-0000E6050000}"/>
    <cellStyle name="Currency 19 2 2 3 2 2" xfId="7056" xr:uid="{00000000-0005-0000-0000-000098190000}"/>
    <cellStyle name="Currency 19 2 2 3 2 3" xfId="16899" xr:uid="{B85C598B-C573-416B-8089-5B48BF1C5764}"/>
    <cellStyle name="Currency 19 2 2 3 3" xfId="7055" xr:uid="{00000000-0005-0000-0000-000097190000}"/>
    <cellStyle name="Currency 19 2 2 3 4" xfId="12041" xr:uid="{00000000-0005-0000-0000-000068040000}"/>
    <cellStyle name="Currency 19 2 2 3 4 2" xfId="44524" xr:uid="{A4656326-A352-4BC3-810B-7BE961C030D1}"/>
    <cellStyle name="Currency 19 2 2 3 5" xfId="14515" xr:uid="{59CBAFAD-FA07-4416-AA2C-2D8BC2DC7071}"/>
    <cellStyle name="Currency 19 2 2 4" xfId="1489" xr:uid="{00000000-0005-0000-0000-0000E7050000}"/>
    <cellStyle name="Currency 19 2 2 4 2" xfId="7057" xr:uid="{00000000-0005-0000-0000-000099190000}"/>
    <cellStyle name="Currency 19 2 2 4 3" xfId="16896" xr:uid="{57B0A21A-B97B-48D2-8890-7E51311DBC02}"/>
    <cellStyle name="Currency 19 2 2 5" xfId="7050" xr:uid="{00000000-0005-0000-0000-000092190000}"/>
    <cellStyle name="Currency 19 2 2 6" xfId="12044" xr:uid="{00000000-0005-0000-0000-000065040000}"/>
    <cellStyle name="Currency 19 2 2 6 2" xfId="44527" xr:uid="{0141303B-143B-46F2-B6FA-79029EF75B49}"/>
    <cellStyle name="Currency 19 2 2 7" xfId="14512" xr:uid="{B1990C30-11DF-4DD6-8C9C-A33EF9685EAA}"/>
    <cellStyle name="Currency 19 2 3" xfId="1490" xr:uid="{00000000-0005-0000-0000-0000E8050000}"/>
    <cellStyle name="Currency 19 2 3 2" xfId="1491" xr:uid="{00000000-0005-0000-0000-0000E9050000}"/>
    <cellStyle name="Currency 19 2 3 2 2" xfId="1492" xr:uid="{00000000-0005-0000-0000-0000EA050000}"/>
    <cellStyle name="Currency 19 2 3 2 2 2" xfId="7060" xr:uid="{00000000-0005-0000-0000-00009C190000}"/>
    <cellStyle name="Currency 19 2 3 2 2 3" xfId="16901" xr:uid="{E10EB5F5-D63C-4A1B-858D-647FCB8F8C38}"/>
    <cellStyle name="Currency 19 2 3 2 3" xfId="7059" xr:uid="{00000000-0005-0000-0000-00009B190000}"/>
    <cellStyle name="Currency 19 2 3 2 4" xfId="12039" xr:uid="{00000000-0005-0000-0000-00006A040000}"/>
    <cellStyle name="Currency 19 2 3 2 4 2" xfId="44522" xr:uid="{9257071F-F627-4653-A2DF-6BEF6FB0DE20}"/>
    <cellStyle name="Currency 19 2 3 2 5" xfId="14517" xr:uid="{47D3EB5D-3EAA-48D4-90BF-9330DF37E167}"/>
    <cellStyle name="Currency 19 2 3 3" xfId="1493" xr:uid="{00000000-0005-0000-0000-0000EB050000}"/>
    <cellStyle name="Currency 19 2 3 3 2" xfId="7061" xr:uid="{00000000-0005-0000-0000-00009D190000}"/>
    <cellStyle name="Currency 19 2 3 3 3" xfId="16900" xr:uid="{2D3CAC38-C9B7-4253-B0FD-9AE3E8F831E7}"/>
    <cellStyle name="Currency 19 2 3 4" xfId="7058" xr:uid="{00000000-0005-0000-0000-00009A190000}"/>
    <cellStyle name="Currency 19 2 3 5" xfId="12040" xr:uid="{00000000-0005-0000-0000-000069040000}"/>
    <cellStyle name="Currency 19 2 3 5 2" xfId="44523" xr:uid="{72C12D8A-8D0F-44A5-BC50-CEFBEA641886}"/>
    <cellStyle name="Currency 19 2 3 6" xfId="14516" xr:uid="{EB3F41E1-04B7-4383-8827-620E0E0BCB7E}"/>
    <cellStyle name="Currency 19 2 4" xfId="1494" xr:uid="{00000000-0005-0000-0000-0000EC050000}"/>
    <cellStyle name="Currency 19 2 4 2" xfId="1495" xr:uid="{00000000-0005-0000-0000-0000ED050000}"/>
    <cellStyle name="Currency 19 2 4 2 2" xfId="7063" xr:uid="{00000000-0005-0000-0000-00009F190000}"/>
    <cellStyle name="Currency 19 2 4 2 3" xfId="16902" xr:uid="{DBB8C7FB-9159-45C8-BC88-CC64BC54C5D3}"/>
    <cellStyle name="Currency 19 2 4 3" xfId="7062" xr:uid="{00000000-0005-0000-0000-00009E190000}"/>
    <cellStyle name="Currency 19 2 4 4" xfId="12038" xr:uid="{00000000-0005-0000-0000-00006B040000}"/>
    <cellStyle name="Currency 19 2 4 4 2" xfId="44521" xr:uid="{D638C835-92AF-4213-8131-E104CD60333E}"/>
    <cellStyle name="Currency 19 2 4 5" xfId="14518" xr:uid="{635387F0-5877-4C41-A7AC-906E25A90C1A}"/>
    <cellStyle name="Currency 19 2 5" xfId="1496" xr:uid="{00000000-0005-0000-0000-0000EE050000}"/>
    <cellStyle name="Currency 19 2 5 2" xfId="7064" xr:uid="{00000000-0005-0000-0000-0000A0190000}"/>
    <cellStyle name="Currency 19 2 5 3" xfId="16895" xr:uid="{4A6A9827-4859-4AD7-8CFA-700CDD65F17D}"/>
    <cellStyle name="Currency 19 2 6" xfId="7049" xr:uid="{00000000-0005-0000-0000-000091190000}"/>
    <cellStyle name="Currency 19 2 7" xfId="12045" xr:uid="{00000000-0005-0000-0000-000064040000}"/>
    <cellStyle name="Currency 19 2 7 2" xfId="44528" xr:uid="{277C1345-D69D-4CEC-9A62-B4BF45452DD2}"/>
    <cellStyle name="Currency 19 2 8" xfId="14511" xr:uid="{4AC2F86B-362B-4BA9-B516-B4CD78E1EE7A}"/>
    <cellStyle name="Currency 19 3" xfId="1497" xr:uid="{00000000-0005-0000-0000-0000EF050000}"/>
    <cellStyle name="Currency 19 3 2" xfId="1498" xr:uid="{00000000-0005-0000-0000-0000F0050000}"/>
    <cellStyle name="Currency 19 3 2 2" xfId="1499" xr:uid="{00000000-0005-0000-0000-0000F1050000}"/>
    <cellStyle name="Currency 19 3 2 2 2" xfId="1500" xr:uid="{00000000-0005-0000-0000-0000F2050000}"/>
    <cellStyle name="Currency 19 3 2 2 2 2" xfId="1501" xr:uid="{00000000-0005-0000-0000-0000F3050000}"/>
    <cellStyle name="Currency 19 3 2 2 2 2 2" xfId="7069" xr:uid="{00000000-0005-0000-0000-0000A5190000}"/>
    <cellStyle name="Currency 19 3 2 2 2 2 3" xfId="16906" xr:uid="{1CFA822F-EA37-4FE2-9AE8-6CAE3057EFBD}"/>
    <cellStyle name="Currency 19 3 2 2 2 3" xfId="7068" xr:uid="{00000000-0005-0000-0000-0000A4190000}"/>
    <cellStyle name="Currency 19 3 2 2 2 4" xfId="12034" xr:uid="{00000000-0005-0000-0000-00006F040000}"/>
    <cellStyle name="Currency 19 3 2 2 2 4 2" xfId="44517" xr:uid="{758F3BC5-3EAD-44FD-BAD2-1F417998CB35}"/>
    <cellStyle name="Currency 19 3 2 2 2 5" xfId="14522" xr:uid="{172B8522-A275-4055-B668-6882ABA931EA}"/>
    <cellStyle name="Currency 19 3 2 2 3" xfId="1502" xr:uid="{00000000-0005-0000-0000-0000F4050000}"/>
    <cellStyle name="Currency 19 3 2 2 3 2" xfId="7070" xr:uid="{00000000-0005-0000-0000-0000A6190000}"/>
    <cellStyle name="Currency 19 3 2 2 3 3" xfId="16905" xr:uid="{3E4A75D2-BFEE-4D6D-A68C-FA4FFA29BFDE}"/>
    <cellStyle name="Currency 19 3 2 2 4" xfId="7067" xr:uid="{00000000-0005-0000-0000-0000A3190000}"/>
    <cellStyle name="Currency 19 3 2 2 5" xfId="12035" xr:uid="{00000000-0005-0000-0000-00006E040000}"/>
    <cellStyle name="Currency 19 3 2 2 5 2" xfId="44518" xr:uid="{20039FF3-7D9E-46B2-B7D9-C1F768938B04}"/>
    <cellStyle name="Currency 19 3 2 2 6" xfId="14521" xr:uid="{A9C4E37F-B0A2-4CBD-AC54-925BE211F3B1}"/>
    <cellStyle name="Currency 19 3 2 3" xfId="1503" xr:uid="{00000000-0005-0000-0000-0000F5050000}"/>
    <cellStyle name="Currency 19 3 2 3 2" xfId="1504" xr:uid="{00000000-0005-0000-0000-0000F6050000}"/>
    <cellStyle name="Currency 19 3 2 3 2 2" xfId="7072" xr:uid="{00000000-0005-0000-0000-0000A8190000}"/>
    <cellStyle name="Currency 19 3 2 3 2 3" xfId="16907" xr:uid="{E22EA84B-E679-40C4-953D-0BF4AC2C18F2}"/>
    <cellStyle name="Currency 19 3 2 3 3" xfId="7071" xr:uid="{00000000-0005-0000-0000-0000A7190000}"/>
    <cellStyle name="Currency 19 3 2 3 4" xfId="12033" xr:uid="{00000000-0005-0000-0000-000070040000}"/>
    <cellStyle name="Currency 19 3 2 3 4 2" xfId="44516" xr:uid="{144C5ED8-B78E-40C2-9626-669E33C2D66C}"/>
    <cellStyle name="Currency 19 3 2 3 5" xfId="14523" xr:uid="{5537AE6B-538D-4C7C-BA22-58CCC5D1FC52}"/>
    <cellStyle name="Currency 19 3 2 4" xfId="1505" xr:uid="{00000000-0005-0000-0000-0000F7050000}"/>
    <cellStyle name="Currency 19 3 2 4 2" xfId="7073" xr:uid="{00000000-0005-0000-0000-0000A9190000}"/>
    <cellStyle name="Currency 19 3 2 4 3" xfId="16904" xr:uid="{E47F2CEB-A65B-4F4B-A176-3F92432E3C21}"/>
    <cellStyle name="Currency 19 3 2 5" xfId="7066" xr:uid="{00000000-0005-0000-0000-0000A2190000}"/>
    <cellStyle name="Currency 19 3 2 6" xfId="12036" xr:uid="{00000000-0005-0000-0000-00006D040000}"/>
    <cellStyle name="Currency 19 3 2 6 2" xfId="44519" xr:uid="{12339F3F-0740-4CDA-8511-DC9C6381D01A}"/>
    <cellStyle name="Currency 19 3 2 7" xfId="14520" xr:uid="{E65DF774-EB13-449B-908C-E2B46A7E90F2}"/>
    <cellStyle name="Currency 19 3 3" xfId="1506" xr:uid="{00000000-0005-0000-0000-0000F8050000}"/>
    <cellStyle name="Currency 19 3 3 2" xfId="1507" xr:uid="{00000000-0005-0000-0000-0000F9050000}"/>
    <cellStyle name="Currency 19 3 3 2 2" xfId="1508" xr:uid="{00000000-0005-0000-0000-0000FA050000}"/>
    <cellStyle name="Currency 19 3 3 2 2 2" xfId="7076" xr:uid="{00000000-0005-0000-0000-0000AC190000}"/>
    <cellStyle name="Currency 19 3 3 2 2 3" xfId="16909" xr:uid="{BC461F58-FD8B-4F8E-870E-6367D1E223D3}"/>
    <cellStyle name="Currency 19 3 3 2 3" xfId="7075" xr:uid="{00000000-0005-0000-0000-0000AB190000}"/>
    <cellStyle name="Currency 19 3 3 2 4" xfId="12031" xr:uid="{00000000-0005-0000-0000-000072040000}"/>
    <cellStyle name="Currency 19 3 3 2 4 2" xfId="44514" xr:uid="{B3E9CF73-1242-46BE-8C25-4B5E13CAA5BF}"/>
    <cellStyle name="Currency 19 3 3 2 5" xfId="14525" xr:uid="{CDC5880C-9A24-449C-809A-7A30F9D39961}"/>
    <cellStyle name="Currency 19 3 3 3" xfId="1509" xr:uid="{00000000-0005-0000-0000-0000FB050000}"/>
    <cellStyle name="Currency 19 3 3 3 2" xfId="7077" xr:uid="{00000000-0005-0000-0000-0000AD190000}"/>
    <cellStyle name="Currency 19 3 3 3 3" xfId="16908" xr:uid="{58421CAB-F220-45EC-A1B1-FF2B744A0EA8}"/>
    <cellStyle name="Currency 19 3 3 4" xfId="7074" xr:uid="{00000000-0005-0000-0000-0000AA190000}"/>
    <cellStyle name="Currency 19 3 3 5" xfId="12032" xr:uid="{00000000-0005-0000-0000-000071040000}"/>
    <cellStyle name="Currency 19 3 3 5 2" xfId="44515" xr:uid="{1A8B61DE-EF92-41BC-B8AE-B298EF05A6C4}"/>
    <cellStyle name="Currency 19 3 3 6" xfId="14524" xr:uid="{F4B8DE78-814D-4742-A61D-BBB278DC1E19}"/>
    <cellStyle name="Currency 19 3 4" xfId="1510" xr:uid="{00000000-0005-0000-0000-0000FC050000}"/>
    <cellStyle name="Currency 19 3 4 2" xfId="1511" xr:uid="{00000000-0005-0000-0000-0000FD050000}"/>
    <cellStyle name="Currency 19 3 4 2 2" xfId="7079" xr:uid="{00000000-0005-0000-0000-0000AF190000}"/>
    <cellStyle name="Currency 19 3 4 2 3" xfId="16910" xr:uid="{FAAFB61C-06F8-4B4B-A84C-7DAC13B9C717}"/>
    <cellStyle name="Currency 19 3 4 3" xfId="7078" xr:uid="{00000000-0005-0000-0000-0000AE190000}"/>
    <cellStyle name="Currency 19 3 4 4" xfId="12030" xr:uid="{00000000-0005-0000-0000-000073040000}"/>
    <cellStyle name="Currency 19 3 4 4 2" xfId="44513" xr:uid="{C88009BF-1205-4C1F-8E33-E47C7F1440DD}"/>
    <cellStyle name="Currency 19 3 4 5" xfId="14526" xr:uid="{78DA1A7E-811D-40B9-B32C-E8CC6CDAD00C}"/>
    <cellStyle name="Currency 19 3 5" xfId="1512" xr:uid="{00000000-0005-0000-0000-0000FE050000}"/>
    <cellStyle name="Currency 19 3 5 2" xfId="7080" xr:uid="{00000000-0005-0000-0000-0000B0190000}"/>
    <cellStyle name="Currency 19 3 5 3" xfId="16903" xr:uid="{2FD0B779-E91C-4AA1-8F76-C5E319178494}"/>
    <cellStyle name="Currency 19 3 6" xfId="7065" xr:uid="{00000000-0005-0000-0000-0000A1190000}"/>
    <cellStyle name="Currency 19 3 7" xfId="12037" xr:uid="{00000000-0005-0000-0000-00006C040000}"/>
    <cellStyle name="Currency 19 3 7 2" xfId="44520" xr:uid="{A6640729-C83C-435C-B02B-A75689C907EC}"/>
    <cellStyle name="Currency 19 3 8" xfId="14519" xr:uid="{C310B215-BC1A-4F52-B2F6-1864DDA63E74}"/>
    <cellStyle name="Currency 19 4" xfId="1513" xr:uid="{00000000-0005-0000-0000-0000FF050000}"/>
    <cellStyle name="Currency 19 4 2" xfId="1514" xr:uid="{00000000-0005-0000-0000-000000060000}"/>
    <cellStyle name="Currency 19 4 2 2" xfId="1515" xr:uid="{00000000-0005-0000-0000-000001060000}"/>
    <cellStyle name="Currency 19 4 2 2 2" xfId="1516" xr:uid="{00000000-0005-0000-0000-000002060000}"/>
    <cellStyle name="Currency 19 4 2 2 2 2" xfId="7084" xr:uid="{00000000-0005-0000-0000-0000B4190000}"/>
    <cellStyle name="Currency 19 4 2 2 2 3" xfId="16913" xr:uid="{62473F28-BA14-4765-B22E-DDC3AA930EAE}"/>
    <cellStyle name="Currency 19 4 2 2 3" xfId="7083" xr:uid="{00000000-0005-0000-0000-0000B3190000}"/>
    <cellStyle name="Currency 19 4 2 2 4" xfId="12027" xr:uid="{00000000-0005-0000-0000-000076040000}"/>
    <cellStyle name="Currency 19 4 2 2 4 2" xfId="44510" xr:uid="{BFC33F41-506D-490B-A204-923767872637}"/>
    <cellStyle name="Currency 19 4 2 2 5" xfId="14529" xr:uid="{6B542C33-3ADD-4B3B-810F-8E3B9E5162A2}"/>
    <cellStyle name="Currency 19 4 2 3" xfId="1517" xr:uid="{00000000-0005-0000-0000-000003060000}"/>
    <cellStyle name="Currency 19 4 2 3 2" xfId="7085" xr:uid="{00000000-0005-0000-0000-0000B5190000}"/>
    <cellStyle name="Currency 19 4 2 3 3" xfId="16912" xr:uid="{A40BF423-4DBE-4A35-9B1D-2750EA622900}"/>
    <cellStyle name="Currency 19 4 2 4" xfId="7082" xr:uid="{00000000-0005-0000-0000-0000B2190000}"/>
    <cellStyle name="Currency 19 4 2 5" xfId="12028" xr:uid="{00000000-0005-0000-0000-000075040000}"/>
    <cellStyle name="Currency 19 4 2 5 2" xfId="44511" xr:uid="{461CCC14-8551-4A67-BAD9-D80DBA8B6E86}"/>
    <cellStyle name="Currency 19 4 2 6" xfId="14528" xr:uid="{C5606B51-4148-40F6-BAB9-D048F2C4A301}"/>
    <cellStyle name="Currency 19 4 3" xfId="1518" xr:uid="{00000000-0005-0000-0000-000004060000}"/>
    <cellStyle name="Currency 19 4 3 2" xfId="1519" xr:uid="{00000000-0005-0000-0000-000005060000}"/>
    <cellStyle name="Currency 19 4 3 2 2" xfId="7087" xr:uid="{00000000-0005-0000-0000-0000B7190000}"/>
    <cellStyle name="Currency 19 4 3 2 3" xfId="16914" xr:uid="{27322BF7-B1D1-4B51-BF8A-8BE7BC37C6EC}"/>
    <cellStyle name="Currency 19 4 3 3" xfId="7086" xr:uid="{00000000-0005-0000-0000-0000B6190000}"/>
    <cellStyle name="Currency 19 4 3 4" xfId="12026" xr:uid="{00000000-0005-0000-0000-000077040000}"/>
    <cellStyle name="Currency 19 4 3 4 2" xfId="44509" xr:uid="{EF4E548D-3AA8-4764-9030-71A582D6DF78}"/>
    <cellStyle name="Currency 19 4 3 5" xfId="14530" xr:uid="{42E79A41-C4CE-426D-A68F-AC530A8B4A7D}"/>
    <cellStyle name="Currency 19 4 4" xfId="1520" xr:uid="{00000000-0005-0000-0000-000006060000}"/>
    <cellStyle name="Currency 19 4 4 2" xfId="7088" xr:uid="{00000000-0005-0000-0000-0000B8190000}"/>
    <cellStyle name="Currency 19 4 4 3" xfId="16911" xr:uid="{74CD1CB3-3378-4C9A-93F6-C43FEB2BDDA2}"/>
    <cellStyle name="Currency 19 4 5" xfId="7081" xr:uid="{00000000-0005-0000-0000-0000B1190000}"/>
    <cellStyle name="Currency 19 4 6" xfId="12029" xr:uid="{00000000-0005-0000-0000-000074040000}"/>
    <cellStyle name="Currency 19 4 6 2" xfId="44512" xr:uid="{9440FDE6-8EC6-4623-BF29-622C9685D73F}"/>
    <cellStyle name="Currency 19 4 7" xfId="14527" xr:uid="{E3BDBB5B-0909-4365-AA16-23E6ECDB94B2}"/>
    <cellStyle name="Currency 19 5" xfId="1521" xr:uid="{00000000-0005-0000-0000-000007060000}"/>
    <cellStyle name="Currency 19 5 2" xfId="1522" xr:uid="{00000000-0005-0000-0000-000008060000}"/>
    <cellStyle name="Currency 19 5 2 2" xfId="1523" xr:uid="{00000000-0005-0000-0000-000009060000}"/>
    <cellStyle name="Currency 19 5 2 2 2" xfId="7091" xr:uid="{00000000-0005-0000-0000-0000BB190000}"/>
    <cellStyle name="Currency 19 5 2 2 3" xfId="16916" xr:uid="{E6EACFE7-0651-4921-89CB-3F34770BA730}"/>
    <cellStyle name="Currency 19 5 2 3" xfId="7090" xr:uid="{00000000-0005-0000-0000-0000BA190000}"/>
    <cellStyle name="Currency 19 5 2 4" xfId="12024" xr:uid="{00000000-0005-0000-0000-000079040000}"/>
    <cellStyle name="Currency 19 5 2 4 2" xfId="44507" xr:uid="{ED83056D-4178-450A-9510-2C21B071E148}"/>
    <cellStyle name="Currency 19 5 2 5" xfId="14532" xr:uid="{1EBC9C38-A262-4D74-A76E-37FD8FE420FB}"/>
    <cellStyle name="Currency 19 5 3" xfId="1524" xr:uid="{00000000-0005-0000-0000-00000A060000}"/>
    <cellStyle name="Currency 19 5 3 2" xfId="7092" xr:uid="{00000000-0005-0000-0000-0000BC190000}"/>
    <cellStyle name="Currency 19 5 3 3" xfId="16915" xr:uid="{E17FE263-CCA4-43D6-837D-F4C30CDD7147}"/>
    <cellStyle name="Currency 19 5 4" xfId="7089" xr:uid="{00000000-0005-0000-0000-0000B9190000}"/>
    <cellStyle name="Currency 19 5 5" xfId="12025" xr:uid="{00000000-0005-0000-0000-000078040000}"/>
    <cellStyle name="Currency 19 5 5 2" xfId="44508" xr:uid="{865B2E6C-BD49-49A6-A06D-D5A3EFCB9A91}"/>
    <cellStyle name="Currency 19 5 6" xfId="14531" xr:uid="{A1005B1C-9481-42E3-83F3-FB900414619F}"/>
    <cellStyle name="Currency 19 6" xfId="1525" xr:uid="{00000000-0005-0000-0000-00000B060000}"/>
    <cellStyle name="Currency 19 6 2" xfId="1526" xr:uid="{00000000-0005-0000-0000-00000C060000}"/>
    <cellStyle name="Currency 19 6 2 2" xfId="7094" xr:uid="{00000000-0005-0000-0000-0000BE190000}"/>
    <cellStyle name="Currency 19 6 2 3" xfId="16917" xr:uid="{1B97C803-4F3F-40AD-8A12-DAC4FA542F22}"/>
    <cellStyle name="Currency 19 6 3" xfId="7093" xr:uid="{00000000-0005-0000-0000-0000BD190000}"/>
    <cellStyle name="Currency 19 6 4" xfId="12023" xr:uid="{00000000-0005-0000-0000-00007A040000}"/>
    <cellStyle name="Currency 19 6 4 2" xfId="44506" xr:uid="{EA4E3918-FDBE-431D-B357-B895EBD52571}"/>
    <cellStyle name="Currency 19 6 5" xfId="14533" xr:uid="{74C71290-D0B0-4A62-A70D-9B21834FEEAF}"/>
    <cellStyle name="Currency 19 7" xfId="1527" xr:uid="{00000000-0005-0000-0000-00000D060000}"/>
    <cellStyle name="Currency 19 7 2" xfId="7095" xr:uid="{00000000-0005-0000-0000-0000BF190000}"/>
    <cellStyle name="Currency 19 7 3" xfId="16894" xr:uid="{839124BA-B4C1-422B-95F4-8423EB172F45}"/>
    <cellStyle name="Currency 19 8" xfId="7048" xr:uid="{00000000-0005-0000-0000-000090190000}"/>
    <cellStyle name="Currency 19 9" xfId="12046" xr:uid="{00000000-0005-0000-0000-000063040000}"/>
    <cellStyle name="Currency 19 9 2" xfId="44529" xr:uid="{0BBF8D05-1B27-436D-B4A9-03AA4B3217FA}"/>
    <cellStyle name="Currency 2" xfId="1528" xr:uid="{00000000-0005-0000-0000-00000E060000}"/>
    <cellStyle name="Currency-- 2" xfId="23478" xr:uid="{2F3029A7-4983-4635-9494-42ADCB290EBA}"/>
    <cellStyle name="Currency 2 10" xfId="1529" xr:uid="{00000000-0005-0000-0000-00000F060000}"/>
    <cellStyle name="Currency 2 10 2" xfId="1530" xr:uid="{00000000-0005-0000-0000-000010060000}"/>
    <cellStyle name="Currency 2 10 2 2" xfId="1531" xr:uid="{00000000-0005-0000-0000-000011060000}"/>
    <cellStyle name="Currency 2 10 2 2 2" xfId="1532" xr:uid="{00000000-0005-0000-0000-000012060000}"/>
    <cellStyle name="Currency 2 10 2 2 2 2" xfId="7100" xr:uid="{00000000-0005-0000-0000-0000C3190000}"/>
    <cellStyle name="Currency 2 10 2 2 2 3" xfId="16920" xr:uid="{72FA8C48-58FE-4FE4-B128-041261CAFD23}"/>
    <cellStyle name="Currency 2 10 2 2 3" xfId="7099" xr:uid="{00000000-0005-0000-0000-0000C2190000}"/>
    <cellStyle name="Currency 2 10 2 2 4" xfId="12019" xr:uid="{00000000-0005-0000-0000-00007E040000}"/>
    <cellStyle name="Currency 2 10 2 2 4 2" xfId="44502" xr:uid="{13F8A307-3362-4D67-B88C-CCDD5B830179}"/>
    <cellStyle name="Currency 2 10 2 2 5" xfId="14536" xr:uid="{A868C316-9F4B-4992-AC6F-7E8271E8DCD2}"/>
    <cellStyle name="Currency 2 10 2 3" xfId="1533" xr:uid="{00000000-0005-0000-0000-000013060000}"/>
    <cellStyle name="Currency 2 10 2 3 2" xfId="7101" xr:uid="{00000000-0005-0000-0000-0000C4190000}"/>
    <cellStyle name="Currency 2 10 2 3 3" xfId="16919" xr:uid="{8141C393-B15E-4822-865E-9C60852EDB7D}"/>
    <cellStyle name="Currency 2 10 2 4" xfId="7098" xr:uid="{00000000-0005-0000-0000-0000C1190000}"/>
    <cellStyle name="Currency 2 10 2 5" xfId="12020" xr:uid="{00000000-0005-0000-0000-00007D040000}"/>
    <cellStyle name="Currency 2 10 2 5 2" xfId="44503" xr:uid="{EF7324E3-C2A3-4C9B-BAC0-7989A02641E2}"/>
    <cellStyle name="Currency 2 10 2 6" xfId="14535" xr:uid="{87584E75-4C39-4276-9AC5-E9FCEE147159}"/>
    <cellStyle name="Currency 2 10 3" xfId="1534" xr:uid="{00000000-0005-0000-0000-000014060000}"/>
    <cellStyle name="Currency 2 10 3 2" xfId="1535" xr:uid="{00000000-0005-0000-0000-000015060000}"/>
    <cellStyle name="Currency 2 10 3 2 2" xfId="7103" xr:uid="{00000000-0005-0000-0000-0000C6190000}"/>
    <cellStyle name="Currency 2 10 3 2 3" xfId="16921" xr:uid="{CA920396-04B3-4F4D-AFAD-22A0F1D1FA05}"/>
    <cellStyle name="Currency 2 10 3 3" xfId="7102" xr:uid="{00000000-0005-0000-0000-0000C5190000}"/>
    <cellStyle name="Currency 2 10 3 4" xfId="12018" xr:uid="{00000000-0005-0000-0000-00007F040000}"/>
    <cellStyle name="Currency 2 10 3 4 2" xfId="44501" xr:uid="{5587DDAF-C6F0-42E4-83BF-11059EF9BF88}"/>
    <cellStyle name="Currency 2 10 3 5" xfId="14537" xr:uid="{841F72CC-6994-4392-8730-01646708B7E0}"/>
    <cellStyle name="Currency 2 10 4" xfId="1536" xr:uid="{00000000-0005-0000-0000-000016060000}"/>
    <cellStyle name="Currency 2 10 4 2" xfId="7104" xr:uid="{00000000-0005-0000-0000-0000C7190000}"/>
    <cellStyle name="Currency 2 10 4 3" xfId="16918" xr:uid="{6212FC5C-EAAE-4A9F-AFDF-9EF448D65105}"/>
    <cellStyle name="Currency 2 10 5" xfId="7097" xr:uid="{00000000-0005-0000-0000-0000C0190000}"/>
    <cellStyle name="Currency 2 10 6" xfId="12021" xr:uid="{00000000-0005-0000-0000-00007C040000}"/>
    <cellStyle name="Currency 2 10 6 2" xfId="44504" xr:uid="{DDD718C7-72A2-446A-ABF1-E490A7739378}"/>
    <cellStyle name="Currency 2 10 7" xfId="14534" xr:uid="{C02BED7B-3955-489F-A96C-E0FB58E1524B}"/>
    <cellStyle name="Currency 2 11" xfId="1537" xr:uid="{00000000-0005-0000-0000-000017060000}"/>
    <cellStyle name="Currency 2 11 2" xfId="1538" xr:uid="{00000000-0005-0000-0000-000018060000}"/>
    <cellStyle name="Currency 2 12" xfId="1539" xr:uid="{00000000-0005-0000-0000-000019060000}"/>
    <cellStyle name="Currency 2 12 2" xfId="1540" xr:uid="{00000000-0005-0000-0000-00001A060000}"/>
    <cellStyle name="Currency 2 12 3" xfId="1541" xr:uid="{00000000-0005-0000-0000-00001B060000}"/>
    <cellStyle name="Currency 2 13" xfId="1542" xr:uid="{00000000-0005-0000-0000-00001C060000}"/>
    <cellStyle name="Currency 2 13 2" xfId="1543" xr:uid="{00000000-0005-0000-0000-00001D060000}"/>
    <cellStyle name="Currency 2 14" xfId="1544" xr:uid="{00000000-0005-0000-0000-00001E060000}"/>
    <cellStyle name="Currency 2 14 2" xfId="1545" xr:uid="{00000000-0005-0000-0000-00001F060000}"/>
    <cellStyle name="Currency 2 15" xfId="1546" xr:uid="{00000000-0005-0000-0000-000020060000}"/>
    <cellStyle name="Currency 2 15 2" xfId="1547" xr:uid="{00000000-0005-0000-0000-000021060000}"/>
    <cellStyle name="Currency 2 16" xfId="1548" xr:uid="{00000000-0005-0000-0000-000022060000}"/>
    <cellStyle name="Currency 2 16 2" xfId="1549" xr:uid="{00000000-0005-0000-0000-000023060000}"/>
    <cellStyle name="Currency 2 17" xfId="1550" xr:uid="{00000000-0005-0000-0000-000024060000}"/>
    <cellStyle name="Currency 2 17 2" xfId="1551" xr:uid="{00000000-0005-0000-0000-000025060000}"/>
    <cellStyle name="Currency 2 18" xfId="1552" xr:uid="{00000000-0005-0000-0000-000026060000}"/>
    <cellStyle name="Currency 2 19" xfId="12022" xr:uid="{00000000-0005-0000-0000-00007B040000}"/>
    <cellStyle name="Currency 2 19 2" xfId="23479" xr:uid="{A26E7D02-D24C-4E89-B094-1A9082186905}"/>
    <cellStyle name="Currency 2 2" xfId="1553" xr:uid="{00000000-0005-0000-0000-000027060000}"/>
    <cellStyle name="Currency 2 2 10" xfId="1554" xr:uid="{00000000-0005-0000-0000-000028060000}"/>
    <cellStyle name="Currency 2 2 11" xfId="1555" xr:uid="{00000000-0005-0000-0000-000029060000}"/>
    <cellStyle name="Currency 2 2 11 2" xfId="7123" xr:uid="{00000000-0005-0000-0000-0000C8190000}"/>
    <cellStyle name="Currency 2 2 11 3" xfId="12017" xr:uid="{00000000-0005-0000-0000-00008A040000}"/>
    <cellStyle name="Currency 2 2 11 3 2" xfId="44500" xr:uid="{63728E6F-7E40-4780-ABE7-ED9BDF4D14DD}"/>
    <cellStyle name="Currency 2 2 11 4" xfId="14540" xr:uid="{9D976E95-9450-4696-8696-1E5DAAA66859}"/>
    <cellStyle name="Currency 2 2 12" xfId="1556" xr:uid="{00000000-0005-0000-0000-00002A060000}"/>
    <cellStyle name="Currency 2 2 2" xfId="1557" xr:uid="{00000000-0005-0000-0000-00002B060000}"/>
    <cellStyle name="Currency 2 2 2 2" xfId="1558" xr:uid="{00000000-0005-0000-0000-00002C060000}"/>
    <cellStyle name="Currency 2 2 2 3" xfId="12016" xr:uid="{00000000-0005-0000-0000-00008B040000}"/>
    <cellStyle name="Currency 2 2 2 4" xfId="17954" xr:uid="{682B180C-B2CE-4035-B02B-79DB4544F8E0}"/>
    <cellStyle name="Currency 2 2 2 5" xfId="17385" xr:uid="{3546F044-D909-44D1-A0C4-A5E39E527395}"/>
    <cellStyle name="Currency 2 2 3" xfId="1559" xr:uid="{00000000-0005-0000-0000-00002D060000}"/>
    <cellStyle name="Currency 2 2 3 2" xfId="1560" xr:uid="{00000000-0005-0000-0000-00002E060000}"/>
    <cellStyle name="Currency 2 2 4" xfId="1561" xr:uid="{00000000-0005-0000-0000-00002F060000}"/>
    <cellStyle name="Currency 2 2 5" xfId="1562" xr:uid="{00000000-0005-0000-0000-000030060000}"/>
    <cellStyle name="Currency 2 2 6" xfId="1563" xr:uid="{00000000-0005-0000-0000-000031060000}"/>
    <cellStyle name="Currency 2 2 7" xfId="1564" xr:uid="{00000000-0005-0000-0000-000032060000}"/>
    <cellStyle name="Currency 2 2 8" xfId="1565" xr:uid="{00000000-0005-0000-0000-000033060000}"/>
    <cellStyle name="Currency 2 2 9" xfId="1566" xr:uid="{00000000-0005-0000-0000-000034060000}"/>
    <cellStyle name="Currency 2 2 9 2" xfId="1567" xr:uid="{00000000-0005-0000-0000-000035060000}"/>
    <cellStyle name="Currency 2 20" xfId="23148" xr:uid="{D1ADA90E-236E-4F6F-BC83-043A7B261E15}"/>
    <cellStyle name="Currency 2 3" xfId="1568" xr:uid="{00000000-0005-0000-0000-000036060000}"/>
    <cellStyle name="Currency 2 3 2" xfId="1569" xr:uid="{00000000-0005-0000-0000-000037060000}"/>
    <cellStyle name="Currency 2 3 3" xfId="1570" xr:uid="{00000000-0005-0000-0000-000038060000}"/>
    <cellStyle name="Currency 2 3 4" xfId="1571" xr:uid="{00000000-0005-0000-0000-000039060000}"/>
    <cellStyle name="Currency 2 3 5" xfId="1572" xr:uid="{00000000-0005-0000-0000-00003A060000}"/>
    <cellStyle name="Currency 2 3 6" xfId="1573" xr:uid="{00000000-0005-0000-0000-00003B060000}"/>
    <cellStyle name="Currency 2 3 6 2" xfId="7141" xr:uid="{00000000-0005-0000-0000-0000C9190000}"/>
    <cellStyle name="Currency 2 3 6 2 2" xfId="23480" xr:uid="{587B49B4-F673-40A9-93A3-8DBA5087CBA2}"/>
    <cellStyle name="Currency 2 3 6 3" xfId="16928" xr:uid="{B0ADF5FB-49CC-4422-81EA-D50D0F284DFF}"/>
    <cellStyle name="Currency 2 3 7" xfId="12015" xr:uid="{00000000-0005-0000-0000-000093040000}"/>
    <cellStyle name="Currency 2 3 7 2" xfId="18732" xr:uid="{42186C21-EB13-4E1F-9782-1A86C7BE14B4}"/>
    <cellStyle name="Currency 2 3 7 3" xfId="44498" xr:uid="{BC1AEBF2-EEDE-4EC4-AFF7-0148852B6BD7}"/>
    <cellStyle name="Currency 2 3 8" xfId="17955" xr:uid="{DB97AE6E-BEE1-453A-B6C2-76BC8EAC8D0A}"/>
    <cellStyle name="Currency 2 3 9" xfId="17386" xr:uid="{B4F021E2-15D6-47D5-9EA3-F0A6CF6A6048}"/>
    <cellStyle name="Currency 2 4" xfId="1574" xr:uid="{00000000-0005-0000-0000-00003C060000}"/>
    <cellStyle name="Currency 2 4 2" xfId="1575" xr:uid="{00000000-0005-0000-0000-00003D060000}"/>
    <cellStyle name="Currency 2 5" xfId="1576" xr:uid="{00000000-0005-0000-0000-00003E060000}"/>
    <cellStyle name="Currency 2 5 2" xfId="1577" xr:uid="{00000000-0005-0000-0000-00003F060000}"/>
    <cellStyle name="Currency 2 6" xfId="1578" xr:uid="{00000000-0005-0000-0000-000040060000}"/>
    <cellStyle name="Currency 2 6 2" xfId="1579" xr:uid="{00000000-0005-0000-0000-000041060000}"/>
    <cellStyle name="Currency 2 7" xfId="1580" xr:uid="{00000000-0005-0000-0000-000042060000}"/>
    <cellStyle name="Currency 2 7 2" xfId="1581" xr:uid="{00000000-0005-0000-0000-000043060000}"/>
    <cellStyle name="Currency 2 8" xfId="1582" xr:uid="{00000000-0005-0000-0000-000044060000}"/>
    <cellStyle name="Currency 2 8 2" xfId="1583" xr:uid="{00000000-0005-0000-0000-000045060000}"/>
    <cellStyle name="Currency 2 9" xfId="1584" xr:uid="{00000000-0005-0000-0000-000046060000}"/>
    <cellStyle name="Currency 2 9 2" xfId="1585" xr:uid="{00000000-0005-0000-0000-000047060000}"/>
    <cellStyle name="Currency 2*" xfId="1586" xr:uid="{00000000-0005-0000-0000-000048060000}"/>
    <cellStyle name="Currency 2_CLdcfmodel" xfId="1587" xr:uid="{00000000-0005-0000-0000-000049060000}"/>
    <cellStyle name="Currency 20" xfId="1588" xr:uid="{00000000-0005-0000-0000-00004A060000}"/>
    <cellStyle name="Currency 20 10" xfId="14548" xr:uid="{E95CA5CC-0352-4989-ABB6-DBBCAE38CD5C}"/>
    <cellStyle name="Currency 20 2" xfId="1589" xr:uid="{00000000-0005-0000-0000-00004B060000}"/>
    <cellStyle name="Currency 20 2 2" xfId="1590" xr:uid="{00000000-0005-0000-0000-00004C060000}"/>
    <cellStyle name="Currency 20 2 2 2" xfId="1591" xr:uid="{00000000-0005-0000-0000-00004D060000}"/>
    <cellStyle name="Currency 20 2 2 2 2" xfId="1592" xr:uid="{00000000-0005-0000-0000-00004E060000}"/>
    <cellStyle name="Currency 20 2 2 2 2 2" xfId="1593" xr:uid="{00000000-0005-0000-0000-00004F060000}"/>
    <cellStyle name="Currency 20 2 2 2 2 2 2" xfId="7161" xr:uid="{00000000-0005-0000-0000-0000CF190000}"/>
    <cellStyle name="Currency 20 2 2 2 2 2 3" xfId="16934" xr:uid="{42AB4ED5-63D4-4949-8BBD-91ACB0AB4458}"/>
    <cellStyle name="Currency 20 2 2 2 2 3" xfId="7160" xr:uid="{00000000-0005-0000-0000-0000CE190000}"/>
    <cellStyle name="Currency 20 2 2 2 2 4" xfId="12010" xr:uid="{00000000-0005-0000-0000-0000A4040000}"/>
    <cellStyle name="Currency 20 2 2 2 2 4 2" xfId="44493" xr:uid="{D35ADB87-C0A3-4AEF-BD13-DECB9C188FE4}"/>
    <cellStyle name="Currency 20 2 2 2 2 5" xfId="14552" xr:uid="{7325C573-E3AF-45A9-A599-5BB0200ABE91}"/>
    <cellStyle name="Currency 20 2 2 2 3" xfId="1594" xr:uid="{00000000-0005-0000-0000-000050060000}"/>
    <cellStyle name="Currency 20 2 2 2 3 2" xfId="7162" xr:uid="{00000000-0005-0000-0000-0000D0190000}"/>
    <cellStyle name="Currency 20 2 2 2 3 3" xfId="16933" xr:uid="{32EFFC9F-C7B7-4826-A802-7B4D1CFCDA57}"/>
    <cellStyle name="Currency 20 2 2 2 4" xfId="7159" xr:uid="{00000000-0005-0000-0000-0000CD190000}"/>
    <cellStyle name="Currency 20 2 2 2 5" xfId="12011" xr:uid="{00000000-0005-0000-0000-0000A3040000}"/>
    <cellStyle name="Currency 20 2 2 2 5 2" xfId="44494" xr:uid="{A66D5955-A06E-4FE2-8FCD-4C6CECA16F35}"/>
    <cellStyle name="Currency 20 2 2 2 6" xfId="14551" xr:uid="{1C9F6A84-A4D0-43D0-A3B3-6E1C9F9637C2}"/>
    <cellStyle name="Currency 20 2 2 3" xfId="1595" xr:uid="{00000000-0005-0000-0000-000051060000}"/>
    <cellStyle name="Currency 20 2 2 3 2" xfId="1596" xr:uid="{00000000-0005-0000-0000-000052060000}"/>
    <cellStyle name="Currency 20 2 2 3 2 2" xfId="7164" xr:uid="{00000000-0005-0000-0000-0000D2190000}"/>
    <cellStyle name="Currency 20 2 2 3 2 3" xfId="16935" xr:uid="{FB4E357A-7336-4AA5-A7F4-4752AEC1E3FC}"/>
    <cellStyle name="Currency 20 2 2 3 3" xfId="7163" xr:uid="{00000000-0005-0000-0000-0000D1190000}"/>
    <cellStyle name="Currency 20 2 2 3 4" xfId="12009" xr:uid="{00000000-0005-0000-0000-0000A5040000}"/>
    <cellStyle name="Currency 20 2 2 3 4 2" xfId="44492" xr:uid="{657B38EC-991D-4BB2-B47D-1200C05E9B0D}"/>
    <cellStyle name="Currency 20 2 2 3 5" xfId="14553" xr:uid="{A2537973-6914-44EB-A340-1122D4859FFB}"/>
    <cellStyle name="Currency 20 2 2 4" xfId="1597" xr:uid="{00000000-0005-0000-0000-000053060000}"/>
    <cellStyle name="Currency 20 2 2 4 2" xfId="7165" xr:uid="{00000000-0005-0000-0000-0000D3190000}"/>
    <cellStyle name="Currency 20 2 2 4 3" xfId="16932" xr:uid="{719DE706-0D0A-448F-AFA0-6834FA1193B4}"/>
    <cellStyle name="Currency 20 2 2 5" xfId="7158" xr:uid="{00000000-0005-0000-0000-0000CC190000}"/>
    <cellStyle name="Currency 20 2 2 6" xfId="12012" xr:uid="{00000000-0005-0000-0000-0000A2040000}"/>
    <cellStyle name="Currency 20 2 2 6 2" xfId="44495" xr:uid="{1114EB8A-3808-4B13-BB90-F80E31BC2EEE}"/>
    <cellStyle name="Currency 20 2 2 7" xfId="14550" xr:uid="{8B5D2B3C-2E5C-429F-921A-0A6AA8787AFA}"/>
    <cellStyle name="Currency 20 2 3" xfId="1598" xr:uid="{00000000-0005-0000-0000-000054060000}"/>
    <cellStyle name="Currency 20 2 3 2" xfId="1599" xr:uid="{00000000-0005-0000-0000-000055060000}"/>
    <cellStyle name="Currency 20 2 3 2 2" xfId="1600" xr:uid="{00000000-0005-0000-0000-000056060000}"/>
    <cellStyle name="Currency 20 2 3 2 2 2" xfId="7168" xr:uid="{00000000-0005-0000-0000-0000D6190000}"/>
    <cellStyle name="Currency 20 2 3 2 2 3" xfId="16937" xr:uid="{6DF73129-878F-4195-A715-3881EA867A9F}"/>
    <cellStyle name="Currency 20 2 3 2 3" xfId="7167" xr:uid="{00000000-0005-0000-0000-0000D5190000}"/>
    <cellStyle name="Currency 20 2 3 2 4" xfId="12007" xr:uid="{00000000-0005-0000-0000-0000A7040000}"/>
    <cellStyle name="Currency 20 2 3 2 4 2" xfId="44490" xr:uid="{4706547D-02B7-4CFA-A11D-0C9D35A784D7}"/>
    <cellStyle name="Currency 20 2 3 2 5" xfId="14555" xr:uid="{B3C00BFA-6AF9-4489-B6E1-DD784923EC2C}"/>
    <cellStyle name="Currency 20 2 3 3" xfId="1601" xr:uid="{00000000-0005-0000-0000-000057060000}"/>
    <cellStyle name="Currency 20 2 3 3 2" xfId="7169" xr:uid="{00000000-0005-0000-0000-0000D7190000}"/>
    <cellStyle name="Currency 20 2 3 3 3" xfId="16936" xr:uid="{A821BF15-A4AA-4125-8952-CCCD421E952D}"/>
    <cellStyle name="Currency 20 2 3 4" xfId="7166" xr:uid="{00000000-0005-0000-0000-0000D4190000}"/>
    <cellStyle name="Currency 20 2 3 5" xfId="12008" xr:uid="{00000000-0005-0000-0000-0000A6040000}"/>
    <cellStyle name="Currency 20 2 3 5 2" xfId="44491" xr:uid="{D40A64DE-B66E-414F-9F11-1B3BAD2BC0A3}"/>
    <cellStyle name="Currency 20 2 3 6" xfId="14554" xr:uid="{E7099724-8D3B-4E21-80CD-6F5BE5508869}"/>
    <cellStyle name="Currency 20 2 4" xfId="1602" xr:uid="{00000000-0005-0000-0000-000058060000}"/>
    <cellStyle name="Currency 20 2 4 2" xfId="1603" xr:uid="{00000000-0005-0000-0000-000059060000}"/>
    <cellStyle name="Currency 20 2 4 2 2" xfId="7171" xr:uid="{00000000-0005-0000-0000-0000D9190000}"/>
    <cellStyle name="Currency 20 2 4 2 3" xfId="16938" xr:uid="{B393AE40-A01C-425F-AC1A-A20963011C14}"/>
    <cellStyle name="Currency 20 2 4 3" xfId="7170" xr:uid="{00000000-0005-0000-0000-0000D8190000}"/>
    <cellStyle name="Currency 20 2 4 4" xfId="12006" xr:uid="{00000000-0005-0000-0000-0000A8040000}"/>
    <cellStyle name="Currency 20 2 4 4 2" xfId="44489" xr:uid="{29BCE0E5-C8EA-45F4-8636-C807A70317EB}"/>
    <cellStyle name="Currency 20 2 4 5" xfId="14556" xr:uid="{AFD1CAC2-6FC3-4BE7-8D8E-D54D085CBE0C}"/>
    <cellStyle name="Currency 20 2 5" xfId="1604" xr:uid="{00000000-0005-0000-0000-00005A060000}"/>
    <cellStyle name="Currency 20 2 5 2" xfId="7172" xr:uid="{00000000-0005-0000-0000-0000DA190000}"/>
    <cellStyle name="Currency 20 2 5 3" xfId="16931" xr:uid="{80EC0551-A179-4349-A8C0-62FF91034036}"/>
    <cellStyle name="Currency 20 2 6" xfId="7157" xr:uid="{00000000-0005-0000-0000-0000CB190000}"/>
    <cellStyle name="Currency 20 2 7" xfId="12013" xr:uid="{00000000-0005-0000-0000-0000A1040000}"/>
    <cellStyle name="Currency 20 2 7 2" xfId="44496" xr:uid="{076401F5-4549-43E3-BEFB-4C22FEE121D1}"/>
    <cellStyle name="Currency 20 2 8" xfId="14549" xr:uid="{5023C7A6-0398-4E65-855F-A4438D441FB3}"/>
    <cellStyle name="Currency 20 3" xfId="1605" xr:uid="{00000000-0005-0000-0000-00005B060000}"/>
    <cellStyle name="Currency 20 3 2" xfId="1606" xr:uid="{00000000-0005-0000-0000-00005C060000}"/>
    <cellStyle name="Currency 20 3 2 2" xfId="1607" xr:uid="{00000000-0005-0000-0000-00005D060000}"/>
    <cellStyle name="Currency 20 3 2 2 2" xfId="1608" xr:uid="{00000000-0005-0000-0000-00005E060000}"/>
    <cellStyle name="Currency 20 3 2 2 2 2" xfId="1609" xr:uid="{00000000-0005-0000-0000-00005F060000}"/>
    <cellStyle name="Currency 20 3 2 2 2 2 2" xfId="7177" xr:uid="{00000000-0005-0000-0000-0000DF190000}"/>
    <cellStyle name="Currency 20 3 2 2 2 2 3" xfId="16942" xr:uid="{23C62B84-07E7-48B2-AAAE-681FAAEF9A81}"/>
    <cellStyle name="Currency 20 3 2 2 2 3" xfId="7176" xr:uid="{00000000-0005-0000-0000-0000DE190000}"/>
    <cellStyle name="Currency 20 3 2 2 2 4" xfId="12002" xr:uid="{00000000-0005-0000-0000-0000AC040000}"/>
    <cellStyle name="Currency 20 3 2 2 2 4 2" xfId="44485" xr:uid="{B8B6C4D1-7414-40A4-A471-8272B9A87DF8}"/>
    <cellStyle name="Currency 20 3 2 2 2 5" xfId="14560" xr:uid="{70FA6D8C-E92D-4767-B639-AFF312E80EDB}"/>
    <cellStyle name="Currency 20 3 2 2 3" xfId="1610" xr:uid="{00000000-0005-0000-0000-000060060000}"/>
    <cellStyle name="Currency 20 3 2 2 3 2" xfId="7178" xr:uid="{00000000-0005-0000-0000-0000E0190000}"/>
    <cellStyle name="Currency 20 3 2 2 3 3" xfId="16941" xr:uid="{A8246B97-0EB1-4AF9-BAD0-4ABBACDAC1DD}"/>
    <cellStyle name="Currency 20 3 2 2 4" xfId="7175" xr:uid="{00000000-0005-0000-0000-0000DD190000}"/>
    <cellStyle name="Currency 20 3 2 2 5" xfId="12003" xr:uid="{00000000-0005-0000-0000-0000AB040000}"/>
    <cellStyle name="Currency 20 3 2 2 5 2" xfId="44486" xr:uid="{C2000D0E-46E4-4CCF-A515-91795BEC7027}"/>
    <cellStyle name="Currency 20 3 2 2 6" xfId="14559" xr:uid="{9FB24EDD-D3BF-466E-8776-C2A15AB134BC}"/>
    <cellStyle name="Currency 20 3 2 3" xfId="1611" xr:uid="{00000000-0005-0000-0000-000061060000}"/>
    <cellStyle name="Currency 20 3 2 3 2" xfId="1612" xr:uid="{00000000-0005-0000-0000-000062060000}"/>
    <cellStyle name="Currency 20 3 2 3 2 2" xfId="7180" xr:uid="{00000000-0005-0000-0000-0000E2190000}"/>
    <cellStyle name="Currency 20 3 2 3 2 3" xfId="16943" xr:uid="{213010FD-DC9A-403A-9375-AE6AC97971D4}"/>
    <cellStyle name="Currency 20 3 2 3 3" xfId="7179" xr:uid="{00000000-0005-0000-0000-0000E1190000}"/>
    <cellStyle name="Currency 20 3 2 3 4" xfId="12001" xr:uid="{00000000-0005-0000-0000-0000AD040000}"/>
    <cellStyle name="Currency 20 3 2 3 4 2" xfId="44484" xr:uid="{FA625E01-B11C-4C0C-A6A6-3D025B22D524}"/>
    <cellStyle name="Currency 20 3 2 3 5" xfId="14561" xr:uid="{C736BB53-1A83-43E2-87AE-40920B2E930D}"/>
    <cellStyle name="Currency 20 3 2 4" xfId="1613" xr:uid="{00000000-0005-0000-0000-000063060000}"/>
    <cellStyle name="Currency 20 3 2 4 2" xfId="7181" xr:uid="{00000000-0005-0000-0000-0000E3190000}"/>
    <cellStyle name="Currency 20 3 2 4 3" xfId="16940" xr:uid="{2BC4311E-501F-47C7-BFDE-6E4281E17711}"/>
    <cellStyle name="Currency 20 3 2 5" xfId="7174" xr:uid="{00000000-0005-0000-0000-0000DC190000}"/>
    <cellStyle name="Currency 20 3 2 6" xfId="12004" xr:uid="{00000000-0005-0000-0000-0000AA040000}"/>
    <cellStyle name="Currency 20 3 2 6 2" xfId="44487" xr:uid="{754C9F4C-7798-42ED-8663-67AADB3FF385}"/>
    <cellStyle name="Currency 20 3 2 7" xfId="14558" xr:uid="{02ABD7EF-8BAF-4DBD-AC7F-2C18399263EE}"/>
    <cellStyle name="Currency 20 3 3" xfId="1614" xr:uid="{00000000-0005-0000-0000-000064060000}"/>
    <cellStyle name="Currency 20 3 3 2" xfId="1615" xr:uid="{00000000-0005-0000-0000-000065060000}"/>
    <cellStyle name="Currency 20 3 3 2 2" xfId="1616" xr:uid="{00000000-0005-0000-0000-000066060000}"/>
    <cellStyle name="Currency 20 3 3 2 2 2" xfId="7184" xr:uid="{00000000-0005-0000-0000-0000E6190000}"/>
    <cellStyle name="Currency 20 3 3 2 2 3" xfId="16945" xr:uid="{E90C1A2C-7D20-470D-A9C7-D90C31931A03}"/>
    <cellStyle name="Currency 20 3 3 2 3" xfId="7183" xr:uid="{00000000-0005-0000-0000-0000E5190000}"/>
    <cellStyle name="Currency 20 3 3 2 4" xfId="11999" xr:uid="{00000000-0005-0000-0000-0000AF040000}"/>
    <cellStyle name="Currency 20 3 3 2 4 2" xfId="44482" xr:uid="{40954163-F62A-4919-91DB-85235D72610B}"/>
    <cellStyle name="Currency 20 3 3 2 5" xfId="14563" xr:uid="{65037EEB-4CD3-4CEC-88F0-63C3E6480BE3}"/>
    <cellStyle name="Currency 20 3 3 3" xfId="1617" xr:uid="{00000000-0005-0000-0000-000067060000}"/>
    <cellStyle name="Currency 20 3 3 3 2" xfId="7185" xr:uid="{00000000-0005-0000-0000-0000E7190000}"/>
    <cellStyle name="Currency 20 3 3 3 3" xfId="16944" xr:uid="{192D904C-4533-4361-99A9-AD44E2850E3D}"/>
    <cellStyle name="Currency 20 3 3 4" xfId="7182" xr:uid="{00000000-0005-0000-0000-0000E4190000}"/>
    <cellStyle name="Currency 20 3 3 5" xfId="12000" xr:uid="{00000000-0005-0000-0000-0000AE040000}"/>
    <cellStyle name="Currency 20 3 3 5 2" xfId="44483" xr:uid="{A2EF9B09-CFCA-4A05-9A43-D99FD1184A8E}"/>
    <cellStyle name="Currency 20 3 3 6" xfId="14562" xr:uid="{4A67104B-9F28-4319-B776-C5D04B1448C4}"/>
    <cellStyle name="Currency 20 3 4" xfId="1618" xr:uid="{00000000-0005-0000-0000-000068060000}"/>
    <cellStyle name="Currency 20 3 4 2" xfId="1619" xr:uid="{00000000-0005-0000-0000-000069060000}"/>
    <cellStyle name="Currency 20 3 4 2 2" xfId="7187" xr:uid="{00000000-0005-0000-0000-0000E9190000}"/>
    <cellStyle name="Currency 20 3 4 2 3" xfId="16946" xr:uid="{AA587100-BC41-4868-8B71-03C991A14082}"/>
    <cellStyle name="Currency 20 3 4 3" xfId="7186" xr:uid="{00000000-0005-0000-0000-0000E8190000}"/>
    <cellStyle name="Currency 20 3 4 4" xfId="11998" xr:uid="{00000000-0005-0000-0000-0000B0040000}"/>
    <cellStyle name="Currency 20 3 4 4 2" xfId="44481" xr:uid="{E0B3C949-D4D7-491A-A8F3-E4F1EE9964C1}"/>
    <cellStyle name="Currency 20 3 4 5" xfId="14564" xr:uid="{945359FD-42E5-4006-A23F-AFF637EF121F}"/>
    <cellStyle name="Currency 20 3 5" xfId="1620" xr:uid="{00000000-0005-0000-0000-00006A060000}"/>
    <cellStyle name="Currency 20 3 5 2" xfId="7188" xr:uid="{00000000-0005-0000-0000-0000EA190000}"/>
    <cellStyle name="Currency 20 3 5 3" xfId="16939" xr:uid="{9422A763-8901-4B21-8269-6D250820380B}"/>
    <cellStyle name="Currency 20 3 6" xfId="7173" xr:uid="{00000000-0005-0000-0000-0000DB190000}"/>
    <cellStyle name="Currency 20 3 7" xfId="12005" xr:uid="{00000000-0005-0000-0000-0000A9040000}"/>
    <cellStyle name="Currency 20 3 7 2" xfId="44488" xr:uid="{A9AB7D4F-DC73-494F-855E-C0C5A13842D7}"/>
    <cellStyle name="Currency 20 3 8" xfId="14557" xr:uid="{47102F07-9FE9-4E88-AB2A-9DE4DC42F34D}"/>
    <cellStyle name="Currency 20 4" xfId="1621" xr:uid="{00000000-0005-0000-0000-00006B060000}"/>
    <cellStyle name="Currency 20 4 2" xfId="1622" xr:uid="{00000000-0005-0000-0000-00006C060000}"/>
    <cellStyle name="Currency 20 4 2 2" xfId="1623" xr:uid="{00000000-0005-0000-0000-00006D060000}"/>
    <cellStyle name="Currency 20 4 2 2 2" xfId="1624" xr:uid="{00000000-0005-0000-0000-00006E060000}"/>
    <cellStyle name="Currency 20 4 2 2 2 2" xfId="7192" xr:uid="{00000000-0005-0000-0000-0000EE190000}"/>
    <cellStyle name="Currency 20 4 2 2 2 3" xfId="16949" xr:uid="{1FD1C079-06CD-45D7-9C09-7794873E7212}"/>
    <cellStyle name="Currency 20 4 2 2 3" xfId="7191" xr:uid="{00000000-0005-0000-0000-0000ED190000}"/>
    <cellStyle name="Currency 20 4 2 2 4" xfId="11995" xr:uid="{00000000-0005-0000-0000-0000B3040000}"/>
    <cellStyle name="Currency 20 4 2 2 4 2" xfId="44478" xr:uid="{6CA42AC7-F889-4951-AAF0-99AE3A1457E4}"/>
    <cellStyle name="Currency 20 4 2 2 5" xfId="14567" xr:uid="{F74DE37E-0F7A-4A40-BC71-3FEA19CCFB64}"/>
    <cellStyle name="Currency 20 4 2 3" xfId="1625" xr:uid="{00000000-0005-0000-0000-00006F060000}"/>
    <cellStyle name="Currency 20 4 2 3 2" xfId="7193" xr:uid="{00000000-0005-0000-0000-0000EF190000}"/>
    <cellStyle name="Currency 20 4 2 3 3" xfId="16948" xr:uid="{03218A88-D502-40F4-853E-7B7CBB631CE9}"/>
    <cellStyle name="Currency 20 4 2 4" xfId="7190" xr:uid="{00000000-0005-0000-0000-0000EC190000}"/>
    <cellStyle name="Currency 20 4 2 5" xfId="11996" xr:uid="{00000000-0005-0000-0000-0000B2040000}"/>
    <cellStyle name="Currency 20 4 2 5 2" xfId="44479" xr:uid="{E8E19B1A-1DB7-4DAF-8671-3EA64CDDBB0C}"/>
    <cellStyle name="Currency 20 4 2 6" xfId="14566" xr:uid="{467BFDEE-A644-4AE8-A250-F9AA999A5321}"/>
    <cellStyle name="Currency 20 4 3" xfId="1626" xr:uid="{00000000-0005-0000-0000-000070060000}"/>
    <cellStyle name="Currency 20 4 3 2" xfId="1627" xr:uid="{00000000-0005-0000-0000-000071060000}"/>
    <cellStyle name="Currency 20 4 3 2 2" xfId="7195" xr:uid="{00000000-0005-0000-0000-0000F1190000}"/>
    <cellStyle name="Currency 20 4 3 2 3" xfId="16950" xr:uid="{CEE5ABCA-BC7D-479A-98D7-42CEE10C9BC4}"/>
    <cellStyle name="Currency 20 4 3 3" xfId="7194" xr:uid="{00000000-0005-0000-0000-0000F0190000}"/>
    <cellStyle name="Currency 20 4 3 4" xfId="11994" xr:uid="{00000000-0005-0000-0000-0000B4040000}"/>
    <cellStyle name="Currency 20 4 3 4 2" xfId="44477" xr:uid="{B7F8C69F-815A-4265-9C99-4BA6FCEFC8D4}"/>
    <cellStyle name="Currency 20 4 3 5" xfId="14568" xr:uid="{A5E3D40B-2518-4C49-9048-2348D9A91F4A}"/>
    <cellStyle name="Currency 20 4 4" xfId="1628" xr:uid="{00000000-0005-0000-0000-000072060000}"/>
    <cellStyle name="Currency 20 4 4 2" xfId="7196" xr:uid="{00000000-0005-0000-0000-0000F2190000}"/>
    <cellStyle name="Currency 20 4 4 3" xfId="16947" xr:uid="{9F0BF15E-0FE6-49D4-B7BF-7E8D98BFE476}"/>
    <cellStyle name="Currency 20 4 5" xfId="7189" xr:uid="{00000000-0005-0000-0000-0000EB190000}"/>
    <cellStyle name="Currency 20 4 6" xfId="11997" xr:uid="{00000000-0005-0000-0000-0000B1040000}"/>
    <cellStyle name="Currency 20 4 6 2" xfId="44480" xr:uid="{160F265F-5AAD-4D3F-BF54-D1161970B72B}"/>
    <cellStyle name="Currency 20 4 7" xfId="14565" xr:uid="{EAACCF30-A884-48A5-BB35-26667E2BD5AF}"/>
    <cellStyle name="Currency 20 5" xfId="1629" xr:uid="{00000000-0005-0000-0000-000073060000}"/>
    <cellStyle name="Currency 20 5 2" xfId="1630" xr:uid="{00000000-0005-0000-0000-000074060000}"/>
    <cellStyle name="Currency 20 5 2 2" xfId="1631" xr:uid="{00000000-0005-0000-0000-000075060000}"/>
    <cellStyle name="Currency 20 5 2 2 2" xfId="7199" xr:uid="{00000000-0005-0000-0000-0000F5190000}"/>
    <cellStyle name="Currency 20 5 2 2 3" xfId="16952" xr:uid="{77A35919-7943-4489-B82A-44B5BB9A3364}"/>
    <cellStyle name="Currency 20 5 2 3" xfId="7198" xr:uid="{00000000-0005-0000-0000-0000F4190000}"/>
    <cellStyle name="Currency 20 5 2 4" xfId="11992" xr:uid="{00000000-0005-0000-0000-0000B6040000}"/>
    <cellStyle name="Currency 20 5 2 4 2" xfId="44475" xr:uid="{6B44FF74-9663-4D97-899E-AB80E07B171F}"/>
    <cellStyle name="Currency 20 5 2 5" xfId="14570" xr:uid="{14F885F9-65A3-45FD-A78F-19CA4E74A906}"/>
    <cellStyle name="Currency 20 5 3" xfId="1632" xr:uid="{00000000-0005-0000-0000-000076060000}"/>
    <cellStyle name="Currency 20 5 3 2" xfId="7200" xr:uid="{00000000-0005-0000-0000-0000F6190000}"/>
    <cellStyle name="Currency 20 5 3 3" xfId="16951" xr:uid="{EB58E623-70B8-45CA-89AC-7929F25F3565}"/>
    <cellStyle name="Currency 20 5 4" xfId="7197" xr:uid="{00000000-0005-0000-0000-0000F3190000}"/>
    <cellStyle name="Currency 20 5 5" xfId="11993" xr:uid="{00000000-0005-0000-0000-0000B5040000}"/>
    <cellStyle name="Currency 20 5 5 2" xfId="44476" xr:uid="{83DDAD5A-6A6C-4772-A1F1-F03B5C63D163}"/>
    <cellStyle name="Currency 20 5 6" xfId="14569" xr:uid="{6AE10435-9D2C-4D6A-A407-A380771E96C8}"/>
    <cellStyle name="Currency 20 6" xfId="1633" xr:uid="{00000000-0005-0000-0000-000077060000}"/>
    <cellStyle name="Currency 20 6 2" xfId="1634" xr:uid="{00000000-0005-0000-0000-000078060000}"/>
    <cellStyle name="Currency 20 6 2 2" xfId="7202" xr:uid="{00000000-0005-0000-0000-0000F8190000}"/>
    <cellStyle name="Currency 20 6 2 3" xfId="16953" xr:uid="{263F65F2-B571-47F3-95C4-273F882BAD30}"/>
    <cellStyle name="Currency 20 6 3" xfId="7201" xr:uid="{00000000-0005-0000-0000-0000F7190000}"/>
    <cellStyle name="Currency 20 6 4" xfId="11991" xr:uid="{00000000-0005-0000-0000-0000B7040000}"/>
    <cellStyle name="Currency 20 6 4 2" xfId="44474" xr:uid="{676F27BD-7710-4F74-98F9-13A45209C621}"/>
    <cellStyle name="Currency 20 6 5" xfId="14571" xr:uid="{14144944-DADA-4BCA-A72D-7400AEF95F15}"/>
    <cellStyle name="Currency 20 7" xfId="1635" xr:uid="{00000000-0005-0000-0000-000079060000}"/>
    <cellStyle name="Currency 20 7 2" xfId="7203" xr:uid="{00000000-0005-0000-0000-0000F9190000}"/>
    <cellStyle name="Currency 20 7 3" xfId="16930" xr:uid="{F1CDF865-7A43-436A-8D76-4C0CA86B9759}"/>
    <cellStyle name="Currency 20 8" xfId="7156" xr:uid="{00000000-0005-0000-0000-0000CA190000}"/>
    <cellStyle name="Currency 20 9" xfId="12014" xr:uid="{00000000-0005-0000-0000-0000A0040000}"/>
    <cellStyle name="Currency 20 9 2" xfId="44497" xr:uid="{253CCA9F-629C-4400-BF63-AF73EEAE6A77}"/>
    <cellStyle name="Currency 21" xfId="1636" xr:uid="{00000000-0005-0000-0000-00007A060000}"/>
    <cellStyle name="Currency 21 10" xfId="14572" xr:uid="{53D466D7-4130-443D-9186-0F7452A0E00E}"/>
    <cellStyle name="Currency 21 2" xfId="1637" xr:uid="{00000000-0005-0000-0000-00007B060000}"/>
    <cellStyle name="Currency 21 2 2" xfId="1638" xr:uid="{00000000-0005-0000-0000-00007C060000}"/>
    <cellStyle name="Currency 21 2 2 2" xfId="1639" xr:uid="{00000000-0005-0000-0000-00007D060000}"/>
    <cellStyle name="Currency 21 2 2 2 2" xfId="1640" xr:uid="{00000000-0005-0000-0000-00007E060000}"/>
    <cellStyle name="Currency 21 2 2 2 2 2" xfId="1641" xr:uid="{00000000-0005-0000-0000-00007F060000}"/>
    <cellStyle name="Currency 21 2 2 2 2 2 2" xfId="7209" xr:uid="{00000000-0005-0000-0000-0000FF190000}"/>
    <cellStyle name="Currency 21 2 2 2 2 2 3" xfId="16958" xr:uid="{E9C744B6-48E2-472B-8DA8-3B3B834F29AD}"/>
    <cellStyle name="Currency 21 2 2 2 2 3" xfId="7208" xr:uid="{00000000-0005-0000-0000-0000FE190000}"/>
    <cellStyle name="Currency 21 2 2 2 2 4" xfId="11986" xr:uid="{00000000-0005-0000-0000-0000BC040000}"/>
    <cellStyle name="Currency 21 2 2 2 2 4 2" xfId="44469" xr:uid="{3A30022D-4666-4860-B998-AD93D161806A}"/>
    <cellStyle name="Currency 21 2 2 2 2 5" xfId="14576" xr:uid="{C28DAC2F-5104-41C8-B780-9E68A8BB5935}"/>
    <cellStyle name="Currency 21 2 2 2 3" xfId="1642" xr:uid="{00000000-0005-0000-0000-000080060000}"/>
    <cellStyle name="Currency 21 2 2 2 3 2" xfId="7210" xr:uid="{00000000-0005-0000-0000-0000001A0000}"/>
    <cellStyle name="Currency 21 2 2 2 3 3" xfId="16957" xr:uid="{9F725930-3E4C-4007-B6CF-41CF1D852846}"/>
    <cellStyle name="Currency 21 2 2 2 4" xfId="7207" xr:uid="{00000000-0005-0000-0000-0000FD190000}"/>
    <cellStyle name="Currency 21 2 2 2 5" xfId="11987" xr:uid="{00000000-0005-0000-0000-0000BB040000}"/>
    <cellStyle name="Currency 21 2 2 2 5 2" xfId="44470" xr:uid="{2D7D3C8F-7A3A-4BEC-8A65-B88F0DCD6C81}"/>
    <cellStyle name="Currency 21 2 2 2 6" xfId="14575" xr:uid="{56BB8B1D-DC42-442C-A1C0-307B0AA59E2E}"/>
    <cellStyle name="Currency 21 2 2 3" xfId="1643" xr:uid="{00000000-0005-0000-0000-000081060000}"/>
    <cellStyle name="Currency 21 2 2 3 2" xfId="1644" xr:uid="{00000000-0005-0000-0000-000082060000}"/>
    <cellStyle name="Currency 21 2 2 3 2 2" xfId="7212" xr:uid="{00000000-0005-0000-0000-0000021A0000}"/>
    <cellStyle name="Currency 21 2 2 3 2 3" xfId="16959" xr:uid="{E8157CC3-78BE-437C-86B2-961884EEBF35}"/>
    <cellStyle name="Currency 21 2 2 3 3" xfId="7211" xr:uid="{00000000-0005-0000-0000-0000011A0000}"/>
    <cellStyle name="Currency 21 2 2 3 4" xfId="11985" xr:uid="{00000000-0005-0000-0000-0000BD040000}"/>
    <cellStyle name="Currency 21 2 2 3 4 2" xfId="44468" xr:uid="{3DCEBA74-AFB1-46C9-A1F3-55A7239307F0}"/>
    <cellStyle name="Currency 21 2 2 3 5" xfId="14577" xr:uid="{508AF7B6-573A-4D39-891F-0EEDB6D05E9D}"/>
    <cellStyle name="Currency 21 2 2 4" xfId="1645" xr:uid="{00000000-0005-0000-0000-000083060000}"/>
    <cellStyle name="Currency 21 2 2 4 2" xfId="7213" xr:uid="{00000000-0005-0000-0000-0000031A0000}"/>
    <cellStyle name="Currency 21 2 2 4 3" xfId="16956" xr:uid="{D6E48334-F8A1-40A3-94CE-0B7BB7F42234}"/>
    <cellStyle name="Currency 21 2 2 5" xfId="7206" xr:uid="{00000000-0005-0000-0000-0000FC190000}"/>
    <cellStyle name="Currency 21 2 2 6" xfId="11988" xr:uid="{00000000-0005-0000-0000-0000BA040000}"/>
    <cellStyle name="Currency 21 2 2 6 2" xfId="44471" xr:uid="{749FC1E6-98DE-49ED-A4DC-BA8140239BAB}"/>
    <cellStyle name="Currency 21 2 2 7" xfId="14574" xr:uid="{451C1836-5CA2-4B9D-B6BF-F935186047C7}"/>
    <cellStyle name="Currency 21 2 3" xfId="1646" xr:uid="{00000000-0005-0000-0000-000084060000}"/>
    <cellStyle name="Currency 21 2 3 2" xfId="1647" xr:uid="{00000000-0005-0000-0000-000085060000}"/>
    <cellStyle name="Currency 21 2 3 2 2" xfId="1648" xr:uid="{00000000-0005-0000-0000-000086060000}"/>
    <cellStyle name="Currency 21 2 3 2 2 2" xfId="7216" xr:uid="{00000000-0005-0000-0000-0000061A0000}"/>
    <cellStyle name="Currency 21 2 3 2 2 3" xfId="16961" xr:uid="{5765BC11-C32B-47BF-B6BA-E6320776181F}"/>
    <cellStyle name="Currency 21 2 3 2 3" xfId="7215" xr:uid="{00000000-0005-0000-0000-0000051A0000}"/>
    <cellStyle name="Currency 21 2 3 2 4" xfId="11983" xr:uid="{00000000-0005-0000-0000-0000BF040000}"/>
    <cellStyle name="Currency 21 2 3 2 4 2" xfId="44466" xr:uid="{B4E13568-51FB-4E51-8E8C-36BA81ADC011}"/>
    <cellStyle name="Currency 21 2 3 2 5" xfId="14579" xr:uid="{704AEAF4-5051-494C-9871-62D47F67A482}"/>
    <cellStyle name="Currency 21 2 3 3" xfId="1649" xr:uid="{00000000-0005-0000-0000-000087060000}"/>
    <cellStyle name="Currency 21 2 3 3 2" xfId="7217" xr:uid="{00000000-0005-0000-0000-0000071A0000}"/>
    <cellStyle name="Currency 21 2 3 3 3" xfId="16960" xr:uid="{A9F2B230-E8F4-488A-BCA5-0F7AA26977E7}"/>
    <cellStyle name="Currency 21 2 3 4" xfId="7214" xr:uid="{00000000-0005-0000-0000-0000041A0000}"/>
    <cellStyle name="Currency 21 2 3 5" xfId="11984" xr:uid="{00000000-0005-0000-0000-0000BE040000}"/>
    <cellStyle name="Currency 21 2 3 5 2" xfId="44467" xr:uid="{90819C08-DE39-4277-9603-17DAE1372DE3}"/>
    <cellStyle name="Currency 21 2 3 6" xfId="14578" xr:uid="{EBCDBD0F-4FBA-4FC3-89D5-839A20134AD0}"/>
    <cellStyle name="Currency 21 2 4" xfId="1650" xr:uid="{00000000-0005-0000-0000-000088060000}"/>
    <cellStyle name="Currency 21 2 4 2" xfId="1651" xr:uid="{00000000-0005-0000-0000-000089060000}"/>
    <cellStyle name="Currency 21 2 4 2 2" xfId="7219" xr:uid="{00000000-0005-0000-0000-0000091A0000}"/>
    <cellStyle name="Currency 21 2 4 2 3" xfId="16962" xr:uid="{DA5BF472-B292-4003-94A4-1BF0056AB9EA}"/>
    <cellStyle name="Currency 21 2 4 3" xfId="7218" xr:uid="{00000000-0005-0000-0000-0000081A0000}"/>
    <cellStyle name="Currency 21 2 4 4" xfId="11982" xr:uid="{00000000-0005-0000-0000-0000C0040000}"/>
    <cellStyle name="Currency 21 2 4 4 2" xfId="44465" xr:uid="{089DA5C1-2A92-4E3C-881A-DCA25D0C699A}"/>
    <cellStyle name="Currency 21 2 4 5" xfId="14580" xr:uid="{BD000C06-6D62-4BA9-99FC-269A4E52FC90}"/>
    <cellStyle name="Currency 21 2 5" xfId="1652" xr:uid="{00000000-0005-0000-0000-00008A060000}"/>
    <cellStyle name="Currency 21 2 5 2" xfId="7220" xr:uid="{00000000-0005-0000-0000-00000A1A0000}"/>
    <cellStyle name="Currency 21 2 5 3" xfId="16955" xr:uid="{E0D72259-266C-4F46-9D96-611999E78CB2}"/>
    <cellStyle name="Currency 21 2 6" xfId="7205" xr:uid="{00000000-0005-0000-0000-0000FB190000}"/>
    <cellStyle name="Currency 21 2 7" xfId="11989" xr:uid="{00000000-0005-0000-0000-0000B9040000}"/>
    <cellStyle name="Currency 21 2 7 2" xfId="44472" xr:uid="{9626052F-F40F-4EA4-8EA6-18CDBB8474AA}"/>
    <cellStyle name="Currency 21 2 8" xfId="14573" xr:uid="{8B8697A7-37FB-433D-B3BD-C256C6919C27}"/>
    <cellStyle name="Currency 21 3" xfId="1653" xr:uid="{00000000-0005-0000-0000-00008B060000}"/>
    <cellStyle name="Currency 21 3 2" xfId="1654" xr:uid="{00000000-0005-0000-0000-00008C060000}"/>
    <cellStyle name="Currency 21 3 2 2" xfId="1655" xr:uid="{00000000-0005-0000-0000-00008D060000}"/>
    <cellStyle name="Currency 21 3 2 2 2" xfId="1656" xr:uid="{00000000-0005-0000-0000-00008E060000}"/>
    <cellStyle name="Currency 21 3 2 2 2 2" xfId="1657" xr:uid="{00000000-0005-0000-0000-00008F060000}"/>
    <cellStyle name="Currency 21 3 2 2 2 2 2" xfId="7225" xr:uid="{00000000-0005-0000-0000-00000F1A0000}"/>
    <cellStyle name="Currency 21 3 2 2 2 2 3" xfId="16966" xr:uid="{AB74223B-4501-4650-B7D1-4D5BE2A7DFC9}"/>
    <cellStyle name="Currency 21 3 2 2 2 3" xfId="7224" xr:uid="{00000000-0005-0000-0000-00000E1A0000}"/>
    <cellStyle name="Currency 21 3 2 2 2 4" xfId="11978" xr:uid="{00000000-0005-0000-0000-0000C4040000}"/>
    <cellStyle name="Currency 21 3 2 2 2 4 2" xfId="44461" xr:uid="{8AD05BC1-AB94-4FEF-9422-EBA88FB6D77D}"/>
    <cellStyle name="Currency 21 3 2 2 2 5" xfId="14584" xr:uid="{DCC72422-4478-4547-B5D4-47CDD654C8E5}"/>
    <cellStyle name="Currency 21 3 2 2 3" xfId="1658" xr:uid="{00000000-0005-0000-0000-000090060000}"/>
    <cellStyle name="Currency 21 3 2 2 3 2" xfId="7226" xr:uid="{00000000-0005-0000-0000-0000101A0000}"/>
    <cellStyle name="Currency 21 3 2 2 3 3" xfId="16965" xr:uid="{0F08FE6B-AF6A-49D3-ABAC-DF5D567B700B}"/>
    <cellStyle name="Currency 21 3 2 2 4" xfId="7223" xr:uid="{00000000-0005-0000-0000-00000D1A0000}"/>
    <cellStyle name="Currency 21 3 2 2 5" xfId="11979" xr:uid="{00000000-0005-0000-0000-0000C3040000}"/>
    <cellStyle name="Currency 21 3 2 2 5 2" xfId="44462" xr:uid="{FE5E6784-2B29-482C-9056-39A293CD7492}"/>
    <cellStyle name="Currency 21 3 2 2 6" xfId="14583" xr:uid="{7C4CDD0E-DA57-4374-8636-7DB0E8A5C2D2}"/>
    <cellStyle name="Currency 21 3 2 3" xfId="1659" xr:uid="{00000000-0005-0000-0000-000091060000}"/>
    <cellStyle name="Currency 21 3 2 3 2" xfId="1660" xr:uid="{00000000-0005-0000-0000-000092060000}"/>
    <cellStyle name="Currency 21 3 2 3 2 2" xfId="7228" xr:uid="{00000000-0005-0000-0000-0000121A0000}"/>
    <cellStyle name="Currency 21 3 2 3 2 3" xfId="16967" xr:uid="{36647EF6-4F04-47EE-B9F4-FA83AB20442F}"/>
    <cellStyle name="Currency 21 3 2 3 3" xfId="7227" xr:uid="{00000000-0005-0000-0000-0000111A0000}"/>
    <cellStyle name="Currency 21 3 2 3 4" xfId="11977" xr:uid="{00000000-0005-0000-0000-0000C5040000}"/>
    <cellStyle name="Currency 21 3 2 3 4 2" xfId="44460" xr:uid="{B6999332-775E-41CF-ACE7-939A221D7E2A}"/>
    <cellStyle name="Currency 21 3 2 3 5" xfId="14585" xr:uid="{7591470F-D967-4774-A935-8EBB05FCD893}"/>
    <cellStyle name="Currency 21 3 2 4" xfId="1661" xr:uid="{00000000-0005-0000-0000-000093060000}"/>
    <cellStyle name="Currency 21 3 2 4 2" xfId="7229" xr:uid="{00000000-0005-0000-0000-0000131A0000}"/>
    <cellStyle name="Currency 21 3 2 4 3" xfId="16964" xr:uid="{116C5887-FBCF-4CE5-98F7-E37FDDBC0F9E}"/>
    <cellStyle name="Currency 21 3 2 5" xfId="7222" xr:uid="{00000000-0005-0000-0000-00000C1A0000}"/>
    <cellStyle name="Currency 21 3 2 6" xfId="11980" xr:uid="{00000000-0005-0000-0000-0000C2040000}"/>
    <cellStyle name="Currency 21 3 2 6 2" xfId="44463" xr:uid="{FEC1EBEA-8CF2-4403-A324-3D3F93DBF043}"/>
    <cellStyle name="Currency 21 3 2 7" xfId="14582" xr:uid="{20A25C77-C287-44DC-BFED-951290E1097E}"/>
    <cellStyle name="Currency 21 3 3" xfId="1662" xr:uid="{00000000-0005-0000-0000-000094060000}"/>
    <cellStyle name="Currency 21 3 3 2" xfId="1663" xr:uid="{00000000-0005-0000-0000-000095060000}"/>
    <cellStyle name="Currency 21 3 3 2 2" xfId="1664" xr:uid="{00000000-0005-0000-0000-000096060000}"/>
    <cellStyle name="Currency 21 3 3 2 2 2" xfId="7232" xr:uid="{00000000-0005-0000-0000-0000161A0000}"/>
    <cellStyle name="Currency 21 3 3 2 2 3" xfId="16969" xr:uid="{67846892-32F3-497B-9786-6AF007F2971B}"/>
    <cellStyle name="Currency 21 3 3 2 3" xfId="7231" xr:uid="{00000000-0005-0000-0000-0000151A0000}"/>
    <cellStyle name="Currency 21 3 3 2 4" xfId="11975" xr:uid="{00000000-0005-0000-0000-0000C7040000}"/>
    <cellStyle name="Currency 21 3 3 2 4 2" xfId="44458" xr:uid="{253DDC8B-AA59-4E91-9BA2-DF2C05C10876}"/>
    <cellStyle name="Currency 21 3 3 2 5" xfId="14587" xr:uid="{117051D6-5B8E-4FE9-A6EA-DE5C55AFFD9A}"/>
    <cellStyle name="Currency 21 3 3 3" xfId="1665" xr:uid="{00000000-0005-0000-0000-000097060000}"/>
    <cellStyle name="Currency 21 3 3 3 2" xfId="7233" xr:uid="{00000000-0005-0000-0000-0000171A0000}"/>
    <cellStyle name="Currency 21 3 3 3 3" xfId="16968" xr:uid="{E3D170AB-B415-4EDF-8567-AD3131AAE203}"/>
    <cellStyle name="Currency 21 3 3 4" xfId="7230" xr:uid="{00000000-0005-0000-0000-0000141A0000}"/>
    <cellStyle name="Currency 21 3 3 5" xfId="11976" xr:uid="{00000000-0005-0000-0000-0000C6040000}"/>
    <cellStyle name="Currency 21 3 3 5 2" xfId="44459" xr:uid="{CF22155F-00AF-43C5-8E0A-74BA5DE465DD}"/>
    <cellStyle name="Currency 21 3 3 6" xfId="14586" xr:uid="{9B2FC9F9-1A86-487D-B0E2-4C51167AFA67}"/>
    <cellStyle name="Currency 21 3 4" xfId="1666" xr:uid="{00000000-0005-0000-0000-000098060000}"/>
    <cellStyle name="Currency 21 3 4 2" xfId="1667" xr:uid="{00000000-0005-0000-0000-000099060000}"/>
    <cellStyle name="Currency 21 3 4 2 2" xfId="7235" xr:uid="{00000000-0005-0000-0000-0000191A0000}"/>
    <cellStyle name="Currency 21 3 4 2 3" xfId="16970" xr:uid="{199C4F52-8ABA-45EF-B84D-C510225F5FDF}"/>
    <cellStyle name="Currency 21 3 4 3" xfId="7234" xr:uid="{00000000-0005-0000-0000-0000181A0000}"/>
    <cellStyle name="Currency 21 3 4 4" xfId="11974" xr:uid="{00000000-0005-0000-0000-0000C8040000}"/>
    <cellStyle name="Currency 21 3 4 4 2" xfId="44457" xr:uid="{4315F5D5-44B8-4C37-B71D-6528BC5B7D35}"/>
    <cellStyle name="Currency 21 3 4 5" xfId="14588" xr:uid="{DB133A54-F52A-4BF9-AA98-AB8947C28D44}"/>
    <cellStyle name="Currency 21 3 5" xfId="1668" xr:uid="{00000000-0005-0000-0000-00009A060000}"/>
    <cellStyle name="Currency 21 3 5 2" xfId="7236" xr:uid="{00000000-0005-0000-0000-00001A1A0000}"/>
    <cellStyle name="Currency 21 3 5 3" xfId="16963" xr:uid="{EB803D69-67B3-4811-9D2F-9BD6BDD7FCF5}"/>
    <cellStyle name="Currency 21 3 6" xfId="7221" xr:uid="{00000000-0005-0000-0000-00000B1A0000}"/>
    <cellStyle name="Currency 21 3 7" xfId="11981" xr:uid="{00000000-0005-0000-0000-0000C1040000}"/>
    <cellStyle name="Currency 21 3 7 2" xfId="44464" xr:uid="{DA1A9CD7-B343-470B-965B-719AC9769331}"/>
    <cellStyle name="Currency 21 3 8" xfId="14581" xr:uid="{567758FE-AD19-4066-8DD2-EAD66DF005EB}"/>
    <cellStyle name="Currency 21 4" xfId="1669" xr:uid="{00000000-0005-0000-0000-00009B060000}"/>
    <cellStyle name="Currency 21 4 2" xfId="1670" xr:uid="{00000000-0005-0000-0000-00009C060000}"/>
    <cellStyle name="Currency 21 4 2 2" xfId="1671" xr:uid="{00000000-0005-0000-0000-00009D060000}"/>
    <cellStyle name="Currency 21 4 2 2 2" xfId="1672" xr:uid="{00000000-0005-0000-0000-00009E060000}"/>
    <cellStyle name="Currency 21 4 2 2 2 2" xfId="7240" xr:uid="{00000000-0005-0000-0000-00001E1A0000}"/>
    <cellStyle name="Currency 21 4 2 2 2 3" xfId="16973" xr:uid="{72A9CE30-4A89-4B00-9C0A-C2A9A85333D7}"/>
    <cellStyle name="Currency 21 4 2 2 3" xfId="7239" xr:uid="{00000000-0005-0000-0000-00001D1A0000}"/>
    <cellStyle name="Currency 21 4 2 2 4" xfId="11971" xr:uid="{00000000-0005-0000-0000-0000CB040000}"/>
    <cellStyle name="Currency 21 4 2 2 4 2" xfId="44454" xr:uid="{5A330454-F038-4416-A6AD-C6F54CE676CD}"/>
    <cellStyle name="Currency 21 4 2 2 5" xfId="14591" xr:uid="{730B7A5C-2CB0-4D21-AACE-1AC05D21739C}"/>
    <cellStyle name="Currency 21 4 2 3" xfId="1673" xr:uid="{00000000-0005-0000-0000-00009F060000}"/>
    <cellStyle name="Currency 21 4 2 3 2" xfId="7241" xr:uid="{00000000-0005-0000-0000-00001F1A0000}"/>
    <cellStyle name="Currency 21 4 2 3 3" xfId="16972" xr:uid="{C9D51222-A90A-4C7E-AB18-A69B4BB46268}"/>
    <cellStyle name="Currency 21 4 2 4" xfId="7238" xr:uid="{00000000-0005-0000-0000-00001C1A0000}"/>
    <cellStyle name="Currency 21 4 2 5" xfId="11972" xr:uid="{00000000-0005-0000-0000-0000CA040000}"/>
    <cellStyle name="Currency 21 4 2 5 2" xfId="44455" xr:uid="{72FC5D4C-9F24-4D8D-B771-F05022B0E1B1}"/>
    <cellStyle name="Currency 21 4 2 6" xfId="14590" xr:uid="{7EEA2A13-3423-4C9C-BA1E-E69B240F6407}"/>
    <cellStyle name="Currency 21 4 3" xfId="1674" xr:uid="{00000000-0005-0000-0000-0000A0060000}"/>
    <cellStyle name="Currency 21 4 3 2" xfId="1675" xr:uid="{00000000-0005-0000-0000-0000A1060000}"/>
    <cellStyle name="Currency 21 4 3 2 2" xfId="7243" xr:uid="{00000000-0005-0000-0000-0000211A0000}"/>
    <cellStyle name="Currency 21 4 3 2 3" xfId="16974" xr:uid="{46AC8DA7-CDC6-4706-94BE-A74E2F53ABE2}"/>
    <cellStyle name="Currency 21 4 3 3" xfId="7242" xr:uid="{00000000-0005-0000-0000-0000201A0000}"/>
    <cellStyle name="Currency 21 4 3 4" xfId="11970" xr:uid="{00000000-0005-0000-0000-0000CC040000}"/>
    <cellStyle name="Currency 21 4 3 4 2" xfId="44453" xr:uid="{731A2CC1-15AD-4210-B690-7448A7AF5BDD}"/>
    <cellStyle name="Currency 21 4 3 5" xfId="14592" xr:uid="{F8F2FCCC-9B40-4B83-B3BC-8B9164F75AD7}"/>
    <cellStyle name="Currency 21 4 4" xfId="1676" xr:uid="{00000000-0005-0000-0000-0000A2060000}"/>
    <cellStyle name="Currency 21 4 4 2" xfId="7244" xr:uid="{00000000-0005-0000-0000-0000221A0000}"/>
    <cellStyle name="Currency 21 4 4 3" xfId="16971" xr:uid="{CFADA49D-409D-4887-AB9B-49C9D20CE550}"/>
    <cellStyle name="Currency 21 4 5" xfId="7237" xr:uid="{00000000-0005-0000-0000-00001B1A0000}"/>
    <cellStyle name="Currency 21 4 6" xfId="11973" xr:uid="{00000000-0005-0000-0000-0000C9040000}"/>
    <cellStyle name="Currency 21 4 6 2" xfId="44456" xr:uid="{0600AC5C-8322-4BE1-98FB-61079FEACAD2}"/>
    <cellStyle name="Currency 21 4 7" xfId="14589" xr:uid="{463114D3-8DDD-4E80-9193-C4469E9C21CD}"/>
    <cellStyle name="Currency 21 5" xfId="1677" xr:uid="{00000000-0005-0000-0000-0000A3060000}"/>
    <cellStyle name="Currency 21 5 2" xfId="1678" xr:uid="{00000000-0005-0000-0000-0000A4060000}"/>
    <cellStyle name="Currency 21 5 2 2" xfId="1679" xr:uid="{00000000-0005-0000-0000-0000A5060000}"/>
    <cellStyle name="Currency 21 5 2 2 2" xfId="7247" xr:uid="{00000000-0005-0000-0000-0000251A0000}"/>
    <cellStyle name="Currency 21 5 2 2 3" xfId="16976" xr:uid="{650227AC-3433-4DA6-9149-5EAF78E6CE88}"/>
    <cellStyle name="Currency 21 5 2 3" xfId="7246" xr:uid="{00000000-0005-0000-0000-0000241A0000}"/>
    <cellStyle name="Currency 21 5 2 4" xfId="11968" xr:uid="{00000000-0005-0000-0000-0000CE040000}"/>
    <cellStyle name="Currency 21 5 2 4 2" xfId="44451" xr:uid="{E4C3565C-426C-4D41-9DA7-AA08553AB018}"/>
    <cellStyle name="Currency 21 5 2 5" xfId="14594" xr:uid="{ED1820F3-9D4A-4A0E-B6C3-85D54A9DF24A}"/>
    <cellStyle name="Currency 21 5 3" xfId="1680" xr:uid="{00000000-0005-0000-0000-0000A6060000}"/>
    <cellStyle name="Currency 21 5 3 2" xfId="7248" xr:uid="{00000000-0005-0000-0000-0000261A0000}"/>
    <cellStyle name="Currency 21 5 3 3" xfId="16975" xr:uid="{09739EC3-2E77-4C06-9DEC-C8FF0436681D}"/>
    <cellStyle name="Currency 21 5 4" xfId="7245" xr:uid="{00000000-0005-0000-0000-0000231A0000}"/>
    <cellStyle name="Currency 21 5 5" xfId="11969" xr:uid="{00000000-0005-0000-0000-0000CD040000}"/>
    <cellStyle name="Currency 21 5 5 2" xfId="44452" xr:uid="{45E1B87D-9BAD-47D4-A588-BFE95955064F}"/>
    <cellStyle name="Currency 21 5 6" xfId="14593" xr:uid="{A5E59036-68BE-4D8C-966C-A21F492F5C85}"/>
    <cellStyle name="Currency 21 6" xfId="1681" xr:uid="{00000000-0005-0000-0000-0000A7060000}"/>
    <cellStyle name="Currency 21 6 2" xfId="1682" xr:uid="{00000000-0005-0000-0000-0000A8060000}"/>
    <cellStyle name="Currency 21 6 2 2" xfId="7250" xr:uid="{00000000-0005-0000-0000-0000281A0000}"/>
    <cellStyle name="Currency 21 6 2 3" xfId="16977" xr:uid="{24477947-48FC-4E24-B1AF-2EC38DF3F667}"/>
    <cellStyle name="Currency 21 6 3" xfId="7249" xr:uid="{00000000-0005-0000-0000-0000271A0000}"/>
    <cellStyle name="Currency 21 6 4" xfId="11967" xr:uid="{00000000-0005-0000-0000-0000CF040000}"/>
    <cellStyle name="Currency 21 6 4 2" xfId="44450" xr:uid="{A67CE431-DAC2-4EC1-B1F9-4948935AD038}"/>
    <cellStyle name="Currency 21 6 5" xfId="14595" xr:uid="{A0EF3227-CC78-4A66-A13B-2F55BE7DCC70}"/>
    <cellStyle name="Currency 21 7" xfId="1683" xr:uid="{00000000-0005-0000-0000-0000A9060000}"/>
    <cellStyle name="Currency 21 7 2" xfId="7251" xr:uid="{00000000-0005-0000-0000-0000291A0000}"/>
    <cellStyle name="Currency 21 7 3" xfId="16954" xr:uid="{556580AB-BA55-4557-B985-3C3A9E340B49}"/>
    <cellStyle name="Currency 21 8" xfId="7204" xr:uid="{00000000-0005-0000-0000-0000FA190000}"/>
    <cellStyle name="Currency 21 9" xfId="11990" xr:uid="{00000000-0005-0000-0000-0000B8040000}"/>
    <cellStyle name="Currency 21 9 2" xfId="44473" xr:uid="{1F5A6622-26A7-46B9-8560-7122FA12FFC2}"/>
    <cellStyle name="Currency 22" xfId="1684" xr:uid="{00000000-0005-0000-0000-0000AA060000}"/>
    <cellStyle name="Currency 22 10" xfId="14596" xr:uid="{2713C0DB-FEA6-4D8C-AF2D-17E4510376C6}"/>
    <cellStyle name="Currency 22 2" xfId="1685" xr:uid="{00000000-0005-0000-0000-0000AB060000}"/>
    <cellStyle name="Currency 22 2 2" xfId="1686" xr:uid="{00000000-0005-0000-0000-0000AC060000}"/>
    <cellStyle name="Currency 22 2 2 2" xfId="1687" xr:uid="{00000000-0005-0000-0000-0000AD060000}"/>
    <cellStyle name="Currency 22 2 2 2 2" xfId="1688" xr:uid="{00000000-0005-0000-0000-0000AE060000}"/>
    <cellStyle name="Currency 22 2 2 2 2 2" xfId="1689" xr:uid="{00000000-0005-0000-0000-0000AF060000}"/>
    <cellStyle name="Currency 22 2 2 2 2 2 2" xfId="7257" xr:uid="{00000000-0005-0000-0000-00002F1A0000}"/>
    <cellStyle name="Currency 22 2 2 2 2 2 3" xfId="16982" xr:uid="{3B962F3A-9603-449E-9FBC-233072EEB144}"/>
    <cellStyle name="Currency 22 2 2 2 2 3" xfId="7256" xr:uid="{00000000-0005-0000-0000-00002E1A0000}"/>
    <cellStyle name="Currency 22 2 2 2 2 4" xfId="11962" xr:uid="{00000000-0005-0000-0000-0000D4040000}"/>
    <cellStyle name="Currency 22 2 2 2 2 4 2" xfId="44445" xr:uid="{D156A517-9986-4BA5-8030-DD7DE7E00480}"/>
    <cellStyle name="Currency 22 2 2 2 2 5" xfId="14600" xr:uid="{F885DD2F-0A9E-45D1-BC35-DFB8410FC530}"/>
    <cellStyle name="Currency 22 2 2 2 3" xfId="1690" xr:uid="{00000000-0005-0000-0000-0000B0060000}"/>
    <cellStyle name="Currency 22 2 2 2 3 2" xfId="7258" xr:uid="{00000000-0005-0000-0000-0000301A0000}"/>
    <cellStyle name="Currency 22 2 2 2 3 3" xfId="16981" xr:uid="{71AD08F5-4751-46A4-9D2D-7B8DE15877A6}"/>
    <cellStyle name="Currency 22 2 2 2 4" xfId="7255" xr:uid="{00000000-0005-0000-0000-00002D1A0000}"/>
    <cellStyle name="Currency 22 2 2 2 5" xfId="11963" xr:uid="{00000000-0005-0000-0000-0000D3040000}"/>
    <cellStyle name="Currency 22 2 2 2 5 2" xfId="44446" xr:uid="{89BE33B5-37D4-40B0-993C-B03900B5B526}"/>
    <cellStyle name="Currency 22 2 2 2 6" xfId="14599" xr:uid="{8EC6CA91-BECB-4288-BC11-811FDB3D4483}"/>
    <cellStyle name="Currency 22 2 2 3" xfId="1691" xr:uid="{00000000-0005-0000-0000-0000B1060000}"/>
    <cellStyle name="Currency 22 2 2 3 2" xfId="1692" xr:uid="{00000000-0005-0000-0000-0000B2060000}"/>
    <cellStyle name="Currency 22 2 2 3 2 2" xfId="7260" xr:uid="{00000000-0005-0000-0000-0000321A0000}"/>
    <cellStyle name="Currency 22 2 2 3 2 3" xfId="16983" xr:uid="{8F46A646-78BB-4616-9B2D-F93BE64103FD}"/>
    <cellStyle name="Currency 22 2 2 3 3" xfId="7259" xr:uid="{00000000-0005-0000-0000-0000311A0000}"/>
    <cellStyle name="Currency 22 2 2 3 4" xfId="11961" xr:uid="{00000000-0005-0000-0000-0000D5040000}"/>
    <cellStyle name="Currency 22 2 2 3 4 2" xfId="44444" xr:uid="{9654CCAF-5CC1-4440-A406-E63AA9D6DD37}"/>
    <cellStyle name="Currency 22 2 2 3 5" xfId="14601" xr:uid="{FE91D989-72DB-4D9A-BCE8-A0D29B0CFBAC}"/>
    <cellStyle name="Currency 22 2 2 4" xfId="1693" xr:uid="{00000000-0005-0000-0000-0000B3060000}"/>
    <cellStyle name="Currency 22 2 2 4 2" xfId="7261" xr:uid="{00000000-0005-0000-0000-0000331A0000}"/>
    <cellStyle name="Currency 22 2 2 4 3" xfId="16980" xr:uid="{35771651-E2FF-4275-9E64-6671B9D94398}"/>
    <cellStyle name="Currency 22 2 2 5" xfId="7254" xr:uid="{00000000-0005-0000-0000-00002C1A0000}"/>
    <cellStyle name="Currency 22 2 2 6" xfId="11964" xr:uid="{00000000-0005-0000-0000-0000D2040000}"/>
    <cellStyle name="Currency 22 2 2 6 2" xfId="44447" xr:uid="{EF41EC81-6534-4031-8069-26316F702C62}"/>
    <cellStyle name="Currency 22 2 2 7" xfId="14598" xr:uid="{30A2DDCC-2099-418B-A9AC-93F6A365780C}"/>
    <cellStyle name="Currency 22 2 3" xfId="1694" xr:uid="{00000000-0005-0000-0000-0000B4060000}"/>
    <cellStyle name="Currency 22 2 3 2" xfId="1695" xr:uid="{00000000-0005-0000-0000-0000B5060000}"/>
    <cellStyle name="Currency 22 2 3 2 2" xfId="1696" xr:uid="{00000000-0005-0000-0000-0000B6060000}"/>
    <cellStyle name="Currency 22 2 3 2 2 2" xfId="7264" xr:uid="{00000000-0005-0000-0000-0000361A0000}"/>
    <cellStyle name="Currency 22 2 3 2 2 3" xfId="16985" xr:uid="{CAB5E6E5-F7EF-48A5-B2EA-D3929D9BCEC5}"/>
    <cellStyle name="Currency 22 2 3 2 3" xfId="7263" xr:uid="{00000000-0005-0000-0000-0000351A0000}"/>
    <cellStyle name="Currency 22 2 3 2 4" xfId="11959" xr:uid="{00000000-0005-0000-0000-0000D7040000}"/>
    <cellStyle name="Currency 22 2 3 2 4 2" xfId="44442" xr:uid="{67008374-D007-4F0E-BC03-E9F0AB10C85C}"/>
    <cellStyle name="Currency 22 2 3 2 5" xfId="14603" xr:uid="{DBDF5FF2-8A82-4ECE-98A6-25C39D7CEE2D}"/>
    <cellStyle name="Currency 22 2 3 3" xfId="1697" xr:uid="{00000000-0005-0000-0000-0000B7060000}"/>
    <cellStyle name="Currency 22 2 3 3 2" xfId="7265" xr:uid="{00000000-0005-0000-0000-0000371A0000}"/>
    <cellStyle name="Currency 22 2 3 3 3" xfId="16984" xr:uid="{4269F3CF-388B-4DC8-9067-6EF96235B12C}"/>
    <cellStyle name="Currency 22 2 3 4" xfId="7262" xr:uid="{00000000-0005-0000-0000-0000341A0000}"/>
    <cellStyle name="Currency 22 2 3 5" xfId="11960" xr:uid="{00000000-0005-0000-0000-0000D6040000}"/>
    <cellStyle name="Currency 22 2 3 5 2" xfId="44443" xr:uid="{DEEF179D-E90D-4F5B-8B57-77239A355FA8}"/>
    <cellStyle name="Currency 22 2 3 6" xfId="14602" xr:uid="{E4FDB15A-DE4B-40E7-B56A-92676F6EB0DB}"/>
    <cellStyle name="Currency 22 2 4" xfId="1698" xr:uid="{00000000-0005-0000-0000-0000B8060000}"/>
    <cellStyle name="Currency 22 2 4 2" xfId="1699" xr:uid="{00000000-0005-0000-0000-0000B9060000}"/>
    <cellStyle name="Currency 22 2 4 2 2" xfId="7267" xr:uid="{00000000-0005-0000-0000-0000391A0000}"/>
    <cellStyle name="Currency 22 2 4 2 3" xfId="16986" xr:uid="{609AD5E3-4108-47FF-8027-196F221FA0F7}"/>
    <cellStyle name="Currency 22 2 4 3" xfId="7266" xr:uid="{00000000-0005-0000-0000-0000381A0000}"/>
    <cellStyle name="Currency 22 2 4 4" xfId="11958" xr:uid="{00000000-0005-0000-0000-0000D8040000}"/>
    <cellStyle name="Currency 22 2 4 4 2" xfId="44441" xr:uid="{D53215D6-1EE6-4A66-B9C8-6A7ED8B4BA45}"/>
    <cellStyle name="Currency 22 2 4 5" xfId="14604" xr:uid="{365A293E-A525-4A33-83C8-D3593CDB7012}"/>
    <cellStyle name="Currency 22 2 5" xfId="1700" xr:uid="{00000000-0005-0000-0000-0000BA060000}"/>
    <cellStyle name="Currency 22 2 5 2" xfId="7268" xr:uid="{00000000-0005-0000-0000-00003A1A0000}"/>
    <cellStyle name="Currency 22 2 5 3" xfId="16979" xr:uid="{830405DE-5854-4D93-AB3F-F9598581D609}"/>
    <cellStyle name="Currency 22 2 6" xfId="7253" xr:uid="{00000000-0005-0000-0000-00002B1A0000}"/>
    <cellStyle name="Currency 22 2 7" xfId="11965" xr:uid="{00000000-0005-0000-0000-0000D1040000}"/>
    <cellStyle name="Currency 22 2 7 2" xfId="44448" xr:uid="{860F80AD-91C6-4D9C-9B76-70E27EAB3EA9}"/>
    <cellStyle name="Currency 22 2 8" xfId="14597" xr:uid="{5D21E41D-0A5B-4AB9-BC28-F4E5F62986D4}"/>
    <cellStyle name="Currency 22 3" xfId="1701" xr:uid="{00000000-0005-0000-0000-0000BB060000}"/>
    <cellStyle name="Currency 22 3 2" xfId="1702" xr:uid="{00000000-0005-0000-0000-0000BC060000}"/>
    <cellStyle name="Currency 22 3 2 2" xfId="1703" xr:uid="{00000000-0005-0000-0000-0000BD060000}"/>
    <cellStyle name="Currency 22 3 2 2 2" xfId="1704" xr:uid="{00000000-0005-0000-0000-0000BE060000}"/>
    <cellStyle name="Currency 22 3 2 2 2 2" xfId="1705" xr:uid="{00000000-0005-0000-0000-0000BF060000}"/>
    <cellStyle name="Currency 22 3 2 2 2 2 2" xfId="7273" xr:uid="{00000000-0005-0000-0000-00003F1A0000}"/>
    <cellStyle name="Currency 22 3 2 2 2 2 3" xfId="16990" xr:uid="{A0D5592A-5600-4CE5-A1B3-262812A3006D}"/>
    <cellStyle name="Currency 22 3 2 2 2 3" xfId="7272" xr:uid="{00000000-0005-0000-0000-00003E1A0000}"/>
    <cellStyle name="Currency 22 3 2 2 2 4" xfId="11954" xr:uid="{00000000-0005-0000-0000-0000DC040000}"/>
    <cellStyle name="Currency 22 3 2 2 2 4 2" xfId="44437" xr:uid="{E1AFF77E-AF7D-4067-A337-9F8CC06B67EF}"/>
    <cellStyle name="Currency 22 3 2 2 2 5" xfId="14608" xr:uid="{E965ECC3-E9D6-42DB-B6CE-BFC4580B44C5}"/>
    <cellStyle name="Currency 22 3 2 2 3" xfId="1706" xr:uid="{00000000-0005-0000-0000-0000C0060000}"/>
    <cellStyle name="Currency 22 3 2 2 3 2" xfId="7274" xr:uid="{00000000-0005-0000-0000-0000401A0000}"/>
    <cellStyle name="Currency 22 3 2 2 3 3" xfId="16989" xr:uid="{6ABE51B6-8498-47BB-ADB0-DB53A8125504}"/>
    <cellStyle name="Currency 22 3 2 2 4" xfId="7271" xr:uid="{00000000-0005-0000-0000-00003D1A0000}"/>
    <cellStyle name="Currency 22 3 2 2 5" xfId="11955" xr:uid="{00000000-0005-0000-0000-0000DB040000}"/>
    <cellStyle name="Currency 22 3 2 2 5 2" xfId="44438" xr:uid="{270C503C-27B6-4CF7-B83C-61B9213D170E}"/>
    <cellStyle name="Currency 22 3 2 2 6" xfId="14607" xr:uid="{B346A385-08E3-4D52-9882-E81952C96C66}"/>
    <cellStyle name="Currency 22 3 2 3" xfId="1707" xr:uid="{00000000-0005-0000-0000-0000C1060000}"/>
    <cellStyle name="Currency 22 3 2 3 2" xfId="1708" xr:uid="{00000000-0005-0000-0000-0000C2060000}"/>
    <cellStyle name="Currency 22 3 2 3 2 2" xfId="7276" xr:uid="{00000000-0005-0000-0000-0000421A0000}"/>
    <cellStyle name="Currency 22 3 2 3 2 3" xfId="16991" xr:uid="{977FEDB0-7B20-46B8-8B76-193D869956AE}"/>
    <cellStyle name="Currency 22 3 2 3 3" xfId="7275" xr:uid="{00000000-0005-0000-0000-0000411A0000}"/>
    <cellStyle name="Currency 22 3 2 3 4" xfId="11953" xr:uid="{00000000-0005-0000-0000-0000DD040000}"/>
    <cellStyle name="Currency 22 3 2 3 4 2" xfId="44436" xr:uid="{D4BA43C9-5FF6-4937-ADAB-2713B3ACAEB7}"/>
    <cellStyle name="Currency 22 3 2 3 5" xfId="14609" xr:uid="{61E2D14A-B6B1-4614-875B-C11D6F0B8BAE}"/>
    <cellStyle name="Currency 22 3 2 4" xfId="1709" xr:uid="{00000000-0005-0000-0000-0000C3060000}"/>
    <cellStyle name="Currency 22 3 2 4 2" xfId="7277" xr:uid="{00000000-0005-0000-0000-0000431A0000}"/>
    <cellStyle name="Currency 22 3 2 4 3" xfId="16988" xr:uid="{99CC8317-FC80-4D27-9E61-B578709770C5}"/>
    <cellStyle name="Currency 22 3 2 5" xfId="7270" xr:uid="{00000000-0005-0000-0000-00003C1A0000}"/>
    <cellStyle name="Currency 22 3 2 6" xfId="11956" xr:uid="{00000000-0005-0000-0000-0000DA040000}"/>
    <cellStyle name="Currency 22 3 2 6 2" xfId="44439" xr:uid="{6D0DB979-F65B-449B-A2EA-E4AD93C81442}"/>
    <cellStyle name="Currency 22 3 2 7" xfId="14606" xr:uid="{CC99B79C-29D7-456F-A7C5-9411D078B480}"/>
    <cellStyle name="Currency 22 3 3" xfId="1710" xr:uid="{00000000-0005-0000-0000-0000C4060000}"/>
    <cellStyle name="Currency 22 3 3 2" xfId="1711" xr:uid="{00000000-0005-0000-0000-0000C5060000}"/>
    <cellStyle name="Currency 22 3 3 2 2" xfId="1712" xr:uid="{00000000-0005-0000-0000-0000C6060000}"/>
    <cellStyle name="Currency 22 3 3 2 2 2" xfId="7280" xr:uid="{00000000-0005-0000-0000-0000461A0000}"/>
    <cellStyle name="Currency 22 3 3 2 2 3" xfId="16993" xr:uid="{85EE0C27-529A-4553-AB1B-BAD98A82A4A5}"/>
    <cellStyle name="Currency 22 3 3 2 3" xfId="7279" xr:uid="{00000000-0005-0000-0000-0000451A0000}"/>
    <cellStyle name="Currency 22 3 3 2 4" xfId="11951" xr:uid="{00000000-0005-0000-0000-0000DF040000}"/>
    <cellStyle name="Currency 22 3 3 2 4 2" xfId="44434" xr:uid="{877CE052-5E33-4108-A9C1-9608C3DF0977}"/>
    <cellStyle name="Currency 22 3 3 2 5" xfId="14611" xr:uid="{4C1E8092-69C1-4BAA-B3F9-3CBB12C492B2}"/>
    <cellStyle name="Currency 22 3 3 3" xfId="1713" xr:uid="{00000000-0005-0000-0000-0000C7060000}"/>
    <cellStyle name="Currency 22 3 3 3 2" xfId="7281" xr:uid="{00000000-0005-0000-0000-0000471A0000}"/>
    <cellStyle name="Currency 22 3 3 3 3" xfId="16992" xr:uid="{FACFD5BE-D470-4D83-ACB0-8FCE63A7C12D}"/>
    <cellStyle name="Currency 22 3 3 4" xfId="7278" xr:uid="{00000000-0005-0000-0000-0000441A0000}"/>
    <cellStyle name="Currency 22 3 3 5" xfId="11952" xr:uid="{00000000-0005-0000-0000-0000DE040000}"/>
    <cellStyle name="Currency 22 3 3 5 2" xfId="44435" xr:uid="{1A4F94FC-B248-4CC9-A1E1-CE7BE2ECC953}"/>
    <cellStyle name="Currency 22 3 3 6" xfId="14610" xr:uid="{B201C4D9-CDC7-4CA5-A45B-CB12296C9155}"/>
    <cellStyle name="Currency 22 3 4" xfId="1714" xr:uid="{00000000-0005-0000-0000-0000C8060000}"/>
    <cellStyle name="Currency 22 3 4 2" xfId="1715" xr:uid="{00000000-0005-0000-0000-0000C9060000}"/>
    <cellStyle name="Currency 22 3 4 2 2" xfId="7283" xr:uid="{00000000-0005-0000-0000-0000491A0000}"/>
    <cellStyle name="Currency 22 3 4 2 3" xfId="16994" xr:uid="{A18407EE-B0C9-45C0-99FA-3DF7719EEE47}"/>
    <cellStyle name="Currency 22 3 4 3" xfId="7282" xr:uid="{00000000-0005-0000-0000-0000481A0000}"/>
    <cellStyle name="Currency 22 3 4 4" xfId="11950" xr:uid="{00000000-0005-0000-0000-0000E0040000}"/>
    <cellStyle name="Currency 22 3 4 4 2" xfId="44433" xr:uid="{CCB8A682-7B8A-4806-BBF4-35326D37F6A2}"/>
    <cellStyle name="Currency 22 3 4 5" xfId="14612" xr:uid="{918E76C7-A9AC-4A16-81FE-1020B83606A3}"/>
    <cellStyle name="Currency 22 3 5" xfId="1716" xr:uid="{00000000-0005-0000-0000-0000CA060000}"/>
    <cellStyle name="Currency 22 3 5 2" xfId="7284" xr:uid="{00000000-0005-0000-0000-00004A1A0000}"/>
    <cellStyle name="Currency 22 3 5 3" xfId="16987" xr:uid="{E9E9E37B-258C-4220-A7F2-9589215C9E71}"/>
    <cellStyle name="Currency 22 3 6" xfId="7269" xr:uid="{00000000-0005-0000-0000-00003B1A0000}"/>
    <cellStyle name="Currency 22 3 7" xfId="11957" xr:uid="{00000000-0005-0000-0000-0000D9040000}"/>
    <cellStyle name="Currency 22 3 7 2" xfId="44440" xr:uid="{0193586B-E17F-4A1E-8DEB-1E084D79E5A4}"/>
    <cellStyle name="Currency 22 3 8" xfId="14605" xr:uid="{F48FC76B-8BA7-4DA7-A516-1F873510250D}"/>
    <cellStyle name="Currency 22 4" xfId="1717" xr:uid="{00000000-0005-0000-0000-0000CB060000}"/>
    <cellStyle name="Currency 22 4 2" xfId="1718" xr:uid="{00000000-0005-0000-0000-0000CC060000}"/>
    <cellStyle name="Currency 22 4 2 2" xfId="1719" xr:uid="{00000000-0005-0000-0000-0000CD060000}"/>
    <cellStyle name="Currency 22 4 2 2 2" xfId="1720" xr:uid="{00000000-0005-0000-0000-0000CE060000}"/>
    <cellStyle name="Currency 22 4 2 2 2 2" xfId="7288" xr:uid="{00000000-0005-0000-0000-00004E1A0000}"/>
    <cellStyle name="Currency 22 4 2 2 2 3" xfId="16997" xr:uid="{9891CF83-928A-4A25-8248-C7706AB3963B}"/>
    <cellStyle name="Currency 22 4 2 2 3" xfId="7287" xr:uid="{00000000-0005-0000-0000-00004D1A0000}"/>
    <cellStyle name="Currency 22 4 2 2 4" xfId="11947" xr:uid="{00000000-0005-0000-0000-0000E3040000}"/>
    <cellStyle name="Currency 22 4 2 2 4 2" xfId="44430" xr:uid="{35F8DF53-4DE7-415F-B9B7-EB85A8E3462D}"/>
    <cellStyle name="Currency 22 4 2 2 5" xfId="14615" xr:uid="{6426B09D-88EB-404A-A008-0426B7782AF0}"/>
    <cellStyle name="Currency 22 4 2 3" xfId="1721" xr:uid="{00000000-0005-0000-0000-0000CF060000}"/>
    <cellStyle name="Currency 22 4 2 3 2" xfId="7289" xr:uid="{00000000-0005-0000-0000-00004F1A0000}"/>
    <cellStyle name="Currency 22 4 2 3 3" xfId="16996" xr:uid="{E7D5385D-2D03-451F-B3FC-1CB809716BCA}"/>
    <cellStyle name="Currency 22 4 2 4" xfId="7286" xr:uid="{00000000-0005-0000-0000-00004C1A0000}"/>
    <cellStyle name="Currency 22 4 2 5" xfId="11948" xr:uid="{00000000-0005-0000-0000-0000E2040000}"/>
    <cellStyle name="Currency 22 4 2 5 2" xfId="44431" xr:uid="{D9EF0A23-BFDA-4E85-A513-BC59EF7FD28C}"/>
    <cellStyle name="Currency 22 4 2 6" xfId="14614" xr:uid="{719D0416-6407-435D-B54D-D0A8E4E92954}"/>
    <cellStyle name="Currency 22 4 3" xfId="1722" xr:uid="{00000000-0005-0000-0000-0000D0060000}"/>
    <cellStyle name="Currency 22 4 3 2" xfId="1723" xr:uid="{00000000-0005-0000-0000-0000D1060000}"/>
    <cellStyle name="Currency 22 4 3 2 2" xfId="7291" xr:uid="{00000000-0005-0000-0000-0000511A0000}"/>
    <cellStyle name="Currency 22 4 3 2 3" xfId="16998" xr:uid="{6B96FA71-3F4C-4899-B3F2-9159229E3F04}"/>
    <cellStyle name="Currency 22 4 3 3" xfId="7290" xr:uid="{00000000-0005-0000-0000-0000501A0000}"/>
    <cellStyle name="Currency 22 4 3 4" xfId="11946" xr:uid="{00000000-0005-0000-0000-0000E4040000}"/>
    <cellStyle name="Currency 22 4 3 4 2" xfId="44429" xr:uid="{5D02F9B6-53EA-4BDB-8867-2B398D54CB88}"/>
    <cellStyle name="Currency 22 4 3 5" xfId="14616" xr:uid="{77B6249F-7B15-40F2-9C9A-3ECA3DAF3E6B}"/>
    <cellStyle name="Currency 22 4 4" xfId="1724" xr:uid="{00000000-0005-0000-0000-0000D2060000}"/>
    <cellStyle name="Currency 22 4 4 2" xfId="7292" xr:uid="{00000000-0005-0000-0000-0000521A0000}"/>
    <cellStyle name="Currency 22 4 4 3" xfId="16995" xr:uid="{A4B2B41E-5E08-409C-9E78-2C846048B92A}"/>
    <cellStyle name="Currency 22 4 5" xfId="7285" xr:uid="{00000000-0005-0000-0000-00004B1A0000}"/>
    <cellStyle name="Currency 22 4 6" xfId="11949" xr:uid="{00000000-0005-0000-0000-0000E1040000}"/>
    <cellStyle name="Currency 22 4 6 2" xfId="44432" xr:uid="{4900EFE3-C408-4F90-A004-DEBEC62D364F}"/>
    <cellStyle name="Currency 22 4 7" xfId="14613" xr:uid="{EAF0032C-424C-4283-854F-91FA2152A31E}"/>
    <cellStyle name="Currency 22 5" xfId="1725" xr:uid="{00000000-0005-0000-0000-0000D3060000}"/>
    <cellStyle name="Currency 22 5 2" xfId="1726" xr:uid="{00000000-0005-0000-0000-0000D4060000}"/>
    <cellStyle name="Currency 22 5 2 2" xfId="1727" xr:uid="{00000000-0005-0000-0000-0000D5060000}"/>
    <cellStyle name="Currency 22 5 2 2 2" xfId="7295" xr:uid="{00000000-0005-0000-0000-0000551A0000}"/>
    <cellStyle name="Currency 22 5 2 2 3" xfId="17000" xr:uid="{BE013521-907E-494E-B17B-9C82E2ED6346}"/>
    <cellStyle name="Currency 22 5 2 3" xfId="7294" xr:uid="{00000000-0005-0000-0000-0000541A0000}"/>
    <cellStyle name="Currency 22 5 2 4" xfId="11944" xr:uid="{00000000-0005-0000-0000-0000E6040000}"/>
    <cellStyle name="Currency 22 5 2 4 2" xfId="44427" xr:uid="{4E7C4FA9-995D-4F0B-8896-0C666559CCC8}"/>
    <cellStyle name="Currency 22 5 2 5" xfId="14618" xr:uid="{BBE497B4-5B7A-4E23-95C8-17AC86AE7600}"/>
    <cellStyle name="Currency 22 5 3" xfId="1728" xr:uid="{00000000-0005-0000-0000-0000D6060000}"/>
    <cellStyle name="Currency 22 5 3 2" xfId="7296" xr:uid="{00000000-0005-0000-0000-0000561A0000}"/>
    <cellStyle name="Currency 22 5 3 3" xfId="16999" xr:uid="{EBB792AE-B68B-464D-AD06-2365F7A23655}"/>
    <cellStyle name="Currency 22 5 4" xfId="7293" xr:uid="{00000000-0005-0000-0000-0000531A0000}"/>
    <cellStyle name="Currency 22 5 5" xfId="11945" xr:uid="{00000000-0005-0000-0000-0000E5040000}"/>
    <cellStyle name="Currency 22 5 5 2" xfId="44428" xr:uid="{D7620687-05A2-400F-9C4C-AFE845F01A6B}"/>
    <cellStyle name="Currency 22 5 6" xfId="14617" xr:uid="{70788DAA-C223-4D85-915B-037F2DC0FBB8}"/>
    <cellStyle name="Currency 22 6" xfId="1729" xr:uid="{00000000-0005-0000-0000-0000D7060000}"/>
    <cellStyle name="Currency 22 6 2" xfId="1730" xr:uid="{00000000-0005-0000-0000-0000D8060000}"/>
    <cellStyle name="Currency 22 6 2 2" xfId="7298" xr:uid="{00000000-0005-0000-0000-0000581A0000}"/>
    <cellStyle name="Currency 22 6 2 3" xfId="17001" xr:uid="{198D9728-97DA-4EFA-ACE1-4CF6928E2531}"/>
    <cellStyle name="Currency 22 6 3" xfId="7297" xr:uid="{00000000-0005-0000-0000-0000571A0000}"/>
    <cellStyle name="Currency 22 6 4" xfId="11943" xr:uid="{00000000-0005-0000-0000-0000E7040000}"/>
    <cellStyle name="Currency 22 6 4 2" xfId="44426" xr:uid="{3FA33EE8-0C91-41A4-8FAA-183C47F00C09}"/>
    <cellStyle name="Currency 22 6 5" xfId="14619" xr:uid="{23B6399B-0E19-4073-91D1-EF78D8A199BF}"/>
    <cellStyle name="Currency 22 7" xfId="1731" xr:uid="{00000000-0005-0000-0000-0000D9060000}"/>
    <cellStyle name="Currency 22 7 2" xfId="7299" xr:uid="{00000000-0005-0000-0000-0000591A0000}"/>
    <cellStyle name="Currency 22 7 3" xfId="16978" xr:uid="{F581E7CC-2594-4A8E-A91B-5138104FD286}"/>
    <cellStyle name="Currency 22 8" xfId="7252" xr:uid="{00000000-0005-0000-0000-00002A1A0000}"/>
    <cellStyle name="Currency 22 9" xfId="11966" xr:uid="{00000000-0005-0000-0000-0000D0040000}"/>
    <cellStyle name="Currency 22 9 2" xfId="44449" xr:uid="{AB4A5F0B-ADA1-45F3-9125-24D5B3727AB2}"/>
    <cellStyle name="Currency 23" xfId="1732" xr:uid="{00000000-0005-0000-0000-0000DA060000}"/>
    <cellStyle name="Currency 23 10" xfId="14620" xr:uid="{08C36D66-796D-4B1C-9A4C-946449682103}"/>
    <cellStyle name="Currency 23 2" xfId="1733" xr:uid="{00000000-0005-0000-0000-0000DB060000}"/>
    <cellStyle name="Currency 23 2 2" xfId="1734" xr:uid="{00000000-0005-0000-0000-0000DC060000}"/>
    <cellStyle name="Currency 23 2 2 2" xfId="1735" xr:uid="{00000000-0005-0000-0000-0000DD060000}"/>
    <cellStyle name="Currency 23 2 2 2 2" xfId="1736" xr:uid="{00000000-0005-0000-0000-0000DE060000}"/>
    <cellStyle name="Currency 23 2 2 2 2 2" xfId="1737" xr:uid="{00000000-0005-0000-0000-0000DF060000}"/>
    <cellStyle name="Currency 23 2 2 2 2 2 2" xfId="7305" xr:uid="{00000000-0005-0000-0000-00005F1A0000}"/>
    <cellStyle name="Currency 23 2 2 2 2 2 3" xfId="17006" xr:uid="{698FB46C-D2A2-481C-BC85-A1F300D0469C}"/>
    <cellStyle name="Currency 23 2 2 2 2 3" xfId="7304" xr:uid="{00000000-0005-0000-0000-00005E1A0000}"/>
    <cellStyle name="Currency 23 2 2 2 2 4" xfId="11938" xr:uid="{00000000-0005-0000-0000-0000EC040000}"/>
    <cellStyle name="Currency 23 2 2 2 2 4 2" xfId="44421" xr:uid="{F8C93B5F-F2D0-473F-8895-79F5D587CB5B}"/>
    <cellStyle name="Currency 23 2 2 2 2 5" xfId="14624" xr:uid="{38C73880-EDD4-48D3-997D-9311BB0BF6C5}"/>
    <cellStyle name="Currency 23 2 2 2 3" xfId="1738" xr:uid="{00000000-0005-0000-0000-0000E0060000}"/>
    <cellStyle name="Currency 23 2 2 2 3 2" xfId="7306" xr:uid="{00000000-0005-0000-0000-0000601A0000}"/>
    <cellStyle name="Currency 23 2 2 2 3 3" xfId="17005" xr:uid="{83C3A375-2EFE-476E-8D4B-EF21ED151C09}"/>
    <cellStyle name="Currency 23 2 2 2 4" xfId="7303" xr:uid="{00000000-0005-0000-0000-00005D1A0000}"/>
    <cellStyle name="Currency 23 2 2 2 5" xfId="11939" xr:uid="{00000000-0005-0000-0000-0000EB040000}"/>
    <cellStyle name="Currency 23 2 2 2 5 2" xfId="44422" xr:uid="{0CE1F479-9879-4873-A978-9301EECB07AA}"/>
    <cellStyle name="Currency 23 2 2 2 6" xfId="14623" xr:uid="{66284193-FAB1-4640-8C31-950906D9A672}"/>
    <cellStyle name="Currency 23 2 2 3" xfId="1739" xr:uid="{00000000-0005-0000-0000-0000E1060000}"/>
    <cellStyle name="Currency 23 2 2 3 2" xfId="1740" xr:uid="{00000000-0005-0000-0000-0000E2060000}"/>
    <cellStyle name="Currency 23 2 2 3 2 2" xfId="7308" xr:uid="{00000000-0005-0000-0000-0000621A0000}"/>
    <cellStyle name="Currency 23 2 2 3 2 3" xfId="17007" xr:uid="{7A8084CE-8DF0-4DD0-AD4B-789FF6EA1527}"/>
    <cellStyle name="Currency 23 2 2 3 3" xfId="7307" xr:uid="{00000000-0005-0000-0000-0000611A0000}"/>
    <cellStyle name="Currency 23 2 2 3 4" xfId="11937" xr:uid="{00000000-0005-0000-0000-0000ED040000}"/>
    <cellStyle name="Currency 23 2 2 3 4 2" xfId="44420" xr:uid="{AF59CF3A-5F3A-4FC2-AC6C-4FFE8E4D9017}"/>
    <cellStyle name="Currency 23 2 2 3 5" xfId="14625" xr:uid="{86BA7713-AB0D-4823-953C-F92A8B43001C}"/>
    <cellStyle name="Currency 23 2 2 4" xfId="1741" xr:uid="{00000000-0005-0000-0000-0000E3060000}"/>
    <cellStyle name="Currency 23 2 2 4 2" xfId="7309" xr:uid="{00000000-0005-0000-0000-0000631A0000}"/>
    <cellStyle name="Currency 23 2 2 4 3" xfId="17004" xr:uid="{BFC3E6CE-B797-4BEF-ABD7-426CED580C00}"/>
    <cellStyle name="Currency 23 2 2 5" xfId="7302" xr:uid="{00000000-0005-0000-0000-00005C1A0000}"/>
    <cellStyle name="Currency 23 2 2 6" xfId="11940" xr:uid="{00000000-0005-0000-0000-0000EA040000}"/>
    <cellStyle name="Currency 23 2 2 6 2" xfId="44423" xr:uid="{10E9BCC3-74BD-482C-B498-248C1620D71A}"/>
    <cellStyle name="Currency 23 2 2 7" xfId="14622" xr:uid="{3C315AE0-4A9E-4ED9-96EF-D79FD052FAA5}"/>
    <cellStyle name="Currency 23 2 3" xfId="1742" xr:uid="{00000000-0005-0000-0000-0000E4060000}"/>
    <cellStyle name="Currency 23 2 3 2" xfId="1743" xr:uid="{00000000-0005-0000-0000-0000E5060000}"/>
    <cellStyle name="Currency 23 2 3 2 2" xfId="1744" xr:uid="{00000000-0005-0000-0000-0000E6060000}"/>
    <cellStyle name="Currency 23 2 3 2 2 2" xfId="7312" xr:uid="{00000000-0005-0000-0000-0000661A0000}"/>
    <cellStyle name="Currency 23 2 3 2 2 3" xfId="17009" xr:uid="{9F39DBAE-15B1-4D74-83B4-1E499DF1FA7C}"/>
    <cellStyle name="Currency 23 2 3 2 3" xfId="7311" xr:uid="{00000000-0005-0000-0000-0000651A0000}"/>
    <cellStyle name="Currency 23 2 3 2 4" xfId="11935" xr:uid="{00000000-0005-0000-0000-0000EF040000}"/>
    <cellStyle name="Currency 23 2 3 2 4 2" xfId="44418" xr:uid="{922FE418-3E73-404D-A03F-5A4DC1332D88}"/>
    <cellStyle name="Currency 23 2 3 2 5" xfId="14627" xr:uid="{4ED9D754-5F13-4AE3-B5E1-A13DFE87CC39}"/>
    <cellStyle name="Currency 23 2 3 3" xfId="1745" xr:uid="{00000000-0005-0000-0000-0000E7060000}"/>
    <cellStyle name="Currency 23 2 3 3 2" xfId="7313" xr:uid="{00000000-0005-0000-0000-0000671A0000}"/>
    <cellStyle name="Currency 23 2 3 3 3" xfId="17008" xr:uid="{6B427CE3-A301-48A3-9F37-26E501907D34}"/>
    <cellStyle name="Currency 23 2 3 4" xfId="7310" xr:uid="{00000000-0005-0000-0000-0000641A0000}"/>
    <cellStyle name="Currency 23 2 3 5" xfId="11936" xr:uid="{00000000-0005-0000-0000-0000EE040000}"/>
    <cellStyle name="Currency 23 2 3 5 2" xfId="44419" xr:uid="{E7666BEA-F97D-4A1A-A5BD-2D573AF87705}"/>
    <cellStyle name="Currency 23 2 3 6" xfId="14626" xr:uid="{A14A372B-4E7F-4D76-92E9-8BA881ACC777}"/>
    <cellStyle name="Currency 23 2 4" xfId="1746" xr:uid="{00000000-0005-0000-0000-0000E8060000}"/>
    <cellStyle name="Currency 23 2 4 2" xfId="1747" xr:uid="{00000000-0005-0000-0000-0000E9060000}"/>
    <cellStyle name="Currency 23 2 4 2 2" xfId="7315" xr:uid="{00000000-0005-0000-0000-0000691A0000}"/>
    <cellStyle name="Currency 23 2 4 2 3" xfId="17010" xr:uid="{C61DB9ED-64B8-4636-B4BE-538EE0EEAD43}"/>
    <cellStyle name="Currency 23 2 4 3" xfId="7314" xr:uid="{00000000-0005-0000-0000-0000681A0000}"/>
    <cellStyle name="Currency 23 2 4 4" xfId="11934" xr:uid="{00000000-0005-0000-0000-0000F0040000}"/>
    <cellStyle name="Currency 23 2 4 4 2" xfId="44417" xr:uid="{8B3B8AC3-51BA-4B41-9854-688EC2EF235A}"/>
    <cellStyle name="Currency 23 2 4 5" xfId="14628" xr:uid="{D78ED19F-E900-4BD3-80E4-DE04E5566DCF}"/>
    <cellStyle name="Currency 23 2 5" xfId="1748" xr:uid="{00000000-0005-0000-0000-0000EA060000}"/>
    <cellStyle name="Currency 23 2 5 2" xfId="7316" xr:uid="{00000000-0005-0000-0000-00006A1A0000}"/>
    <cellStyle name="Currency 23 2 5 3" xfId="17003" xr:uid="{17E8B1C9-A92C-4864-ACFE-323D18135825}"/>
    <cellStyle name="Currency 23 2 6" xfId="7301" xr:uid="{00000000-0005-0000-0000-00005B1A0000}"/>
    <cellStyle name="Currency 23 2 7" xfId="11941" xr:uid="{00000000-0005-0000-0000-0000E9040000}"/>
    <cellStyle name="Currency 23 2 7 2" xfId="44424" xr:uid="{C295850F-D72D-4623-8CA0-DD90C98FA286}"/>
    <cellStyle name="Currency 23 2 8" xfId="14621" xr:uid="{B82CFD9F-0FA9-442B-AFEF-E38336AFFDF0}"/>
    <cellStyle name="Currency 23 3" xfId="1749" xr:uid="{00000000-0005-0000-0000-0000EB060000}"/>
    <cellStyle name="Currency 23 3 2" xfId="1750" xr:uid="{00000000-0005-0000-0000-0000EC060000}"/>
    <cellStyle name="Currency 23 3 2 2" xfId="1751" xr:uid="{00000000-0005-0000-0000-0000ED060000}"/>
    <cellStyle name="Currency 23 3 2 2 2" xfId="1752" xr:uid="{00000000-0005-0000-0000-0000EE060000}"/>
    <cellStyle name="Currency 23 3 2 2 2 2" xfId="1753" xr:uid="{00000000-0005-0000-0000-0000EF060000}"/>
    <cellStyle name="Currency 23 3 2 2 2 2 2" xfId="7321" xr:uid="{00000000-0005-0000-0000-00006F1A0000}"/>
    <cellStyle name="Currency 23 3 2 2 2 2 3" xfId="17014" xr:uid="{17B8E86E-09DE-44A2-8ED5-F9D6254D1314}"/>
    <cellStyle name="Currency 23 3 2 2 2 3" xfId="7320" xr:uid="{00000000-0005-0000-0000-00006E1A0000}"/>
    <cellStyle name="Currency 23 3 2 2 2 4" xfId="11930" xr:uid="{00000000-0005-0000-0000-0000F4040000}"/>
    <cellStyle name="Currency 23 3 2 2 2 4 2" xfId="44413" xr:uid="{83568877-AA10-4AA4-A0EF-82B131C81821}"/>
    <cellStyle name="Currency 23 3 2 2 2 5" xfId="14632" xr:uid="{315E3863-4700-4C4B-ABA5-24C3DDEE07B1}"/>
    <cellStyle name="Currency 23 3 2 2 3" xfId="1754" xr:uid="{00000000-0005-0000-0000-0000F0060000}"/>
    <cellStyle name="Currency 23 3 2 2 3 2" xfId="7322" xr:uid="{00000000-0005-0000-0000-0000701A0000}"/>
    <cellStyle name="Currency 23 3 2 2 3 3" xfId="17013" xr:uid="{55C0F4DA-6788-4912-81E5-39B04A9942C6}"/>
    <cellStyle name="Currency 23 3 2 2 4" xfId="7319" xr:uid="{00000000-0005-0000-0000-00006D1A0000}"/>
    <cellStyle name="Currency 23 3 2 2 5" xfId="11931" xr:uid="{00000000-0005-0000-0000-0000F3040000}"/>
    <cellStyle name="Currency 23 3 2 2 5 2" xfId="44414" xr:uid="{53A77874-C132-4E1F-9D4C-F1EF039A67AF}"/>
    <cellStyle name="Currency 23 3 2 2 6" xfId="14631" xr:uid="{6237D3C3-08B0-4CFC-A1DA-FD6F746B5B01}"/>
    <cellStyle name="Currency 23 3 2 3" xfId="1755" xr:uid="{00000000-0005-0000-0000-0000F1060000}"/>
    <cellStyle name="Currency 23 3 2 3 2" xfId="1756" xr:uid="{00000000-0005-0000-0000-0000F2060000}"/>
    <cellStyle name="Currency 23 3 2 3 2 2" xfId="7324" xr:uid="{00000000-0005-0000-0000-0000721A0000}"/>
    <cellStyle name="Currency 23 3 2 3 2 3" xfId="17015" xr:uid="{94C74B64-D22B-4FFB-8281-F8AF513870D7}"/>
    <cellStyle name="Currency 23 3 2 3 3" xfId="7323" xr:uid="{00000000-0005-0000-0000-0000711A0000}"/>
    <cellStyle name="Currency 23 3 2 3 4" xfId="11929" xr:uid="{00000000-0005-0000-0000-0000F5040000}"/>
    <cellStyle name="Currency 23 3 2 3 4 2" xfId="44412" xr:uid="{9D00D11E-E467-4832-B7E2-6BDB6EF00B9A}"/>
    <cellStyle name="Currency 23 3 2 3 5" xfId="14633" xr:uid="{71BD61CA-A4FE-4954-B0CE-ADBD4AF7E0DA}"/>
    <cellStyle name="Currency 23 3 2 4" xfId="1757" xr:uid="{00000000-0005-0000-0000-0000F3060000}"/>
    <cellStyle name="Currency 23 3 2 4 2" xfId="7325" xr:uid="{00000000-0005-0000-0000-0000731A0000}"/>
    <cellStyle name="Currency 23 3 2 4 3" xfId="17012" xr:uid="{6A51A8EC-6708-46F8-A262-DEC1B4FCC12B}"/>
    <cellStyle name="Currency 23 3 2 5" xfId="7318" xr:uid="{00000000-0005-0000-0000-00006C1A0000}"/>
    <cellStyle name="Currency 23 3 2 6" xfId="11932" xr:uid="{00000000-0005-0000-0000-0000F2040000}"/>
    <cellStyle name="Currency 23 3 2 6 2" xfId="44415" xr:uid="{A6DEC65A-BF88-42E7-9C22-D779ACD96F61}"/>
    <cellStyle name="Currency 23 3 2 7" xfId="14630" xr:uid="{D7CDA3DC-7707-4D1F-B11D-1C96262295C5}"/>
    <cellStyle name="Currency 23 3 3" xfId="1758" xr:uid="{00000000-0005-0000-0000-0000F4060000}"/>
    <cellStyle name="Currency 23 3 3 2" xfId="1759" xr:uid="{00000000-0005-0000-0000-0000F5060000}"/>
    <cellStyle name="Currency 23 3 3 2 2" xfId="1760" xr:uid="{00000000-0005-0000-0000-0000F6060000}"/>
    <cellStyle name="Currency 23 3 3 2 2 2" xfId="7328" xr:uid="{00000000-0005-0000-0000-0000761A0000}"/>
    <cellStyle name="Currency 23 3 3 2 2 3" xfId="17017" xr:uid="{58E06B35-4A87-48D1-AD15-52E1F56B667B}"/>
    <cellStyle name="Currency 23 3 3 2 3" xfId="7327" xr:uid="{00000000-0005-0000-0000-0000751A0000}"/>
    <cellStyle name="Currency 23 3 3 2 4" xfId="11927" xr:uid="{00000000-0005-0000-0000-0000F7040000}"/>
    <cellStyle name="Currency 23 3 3 2 4 2" xfId="44410" xr:uid="{CB6CEAA2-DA71-4573-B4D2-AF02996B3CE9}"/>
    <cellStyle name="Currency 23 3 3 2 5" xfId="14635" xr:uid="{EE999232-D341-46BF-907F-D3E0E4CE8052}"/>
    <cellStyle name="Currency 23 3 3 3" xfId="1761" xr:uid="{00000000-0005-0000-0000-0000F7060000}"/>
    <cellStyle name="Currency 23 3 3 3 2" xfId="7329" xr:uid="{00000000-0005-0000-0000-0000771A0000}"/>
    <cellStyle name="Currency 23 3 3 3 3" xfId="17016" xr:uid="{11450B03-224C-4269-9B90-AD181083401D}"/>
    <cellStyle name="Currency 23 3 3 4" xfId="7326" xr:uid="{00000000-0005-0000-0000-0000741A0000}"/>
    <cellStyle name="Currency 23 3 3 5" xfId="11928" xr:uid="{00000000-0005-0000-0000-0000F6040000}"/>
    <cellStyle name="Currency 23 3 3 5 2" xfId="44411" xr:uid="{C4C7F21A-3492-4F85-8731-7EDD78F0BA7A}"/>
    <cellStyle name="Currency 23 3 3 6" xfId="14634" xr:uid="{30590052-6AA1-4855-8A47-C69198C2F98C}"/>
    <cellStyle name="Currency 23 3 4" xfId="1762" xr:uid="{00000000-0005-0000-0000-0000F8060000}"/>
    <cellStyle name="Currency 23 3 4 2" xfId="1763" xr:uid="{00000000-0005-0000-0000-0000F9060000}"/>
    <cellStyle name="Currency 23 3 4 2 2" xfId="7331" xr:uid="{00000000-0005-0000-0000-0000791A0000}"/>
    <cellStyle name="Currency 23 3 4 2 3" xfId="17018" xr:uid="{DA5015DD-5BE4-4461-B323-203FD4A8508C}"/>
    <cellStyle name="Currency 23 3 4 3" xfId="7330" xr:uid="{00000000-0005-0000-0000-0000781A0000}"/>
    <cellStyle name="Currency 23 3 4 4" xfId="11926" xr:uid="{00000000-0005-0000-0000-0000F8040000}"/>
    <cellStyle name="Currency 23 3 4 4 2" xfId="44409" xr:uid="{34F5808F-72DC-43B3-9A91-4C5C167A8C84}"/>
    <cellStyle name="Currency 23 3 4 5" xfId="14636" xr:uid="{6A37FD8B-3913-40B3-8A3E-A060B5E3BB9B}"/>
    <cellStyle name="Currency 23 3 5" xfId="1764" xr:uid="{00000000-0005-0000-0000-0000FA060000}"/>
    <cellStyle name="Currency 23 3 5 2" xfId="7332" xr:uid="{00000000-0005-0000-0000-00007A1A0000}"/>
    <cellStyle name="Currency 23 3 5 3" xfId="17011" xr:uid="{39449DD4-1E46-4EC2-AA1B-C6B21FAAA5D2}"/>
    <cellStyle name="Currency 23 3 6" xfId="7317" xr:uid="{00000000-0005-0000-0000-00006B1A0000}"/>
    <cellStyle name="Currency 23 3 7" xfId="11933" xr:uid="{00000000-0005-0000-0000-0000F1040000}"/>
    <cellStyle name="Currency 23 3 7 2" xfId="44416" xr:uid="{B8F3AF36-7E05-4775-8FD7-7E7EC25D5346}"/>
    <cellStyle name="Currency 23 3 8" xfId="14629" xr:uid="{10853F7D-8C04-4393-869E-78EC6AE0305B}"/>
    <cellStyle name="Currency 23 4" xfId="1765" xr:uid="{00000000-0005-0000-0000-0000FB060000}"/>
    <cellStyle name="Currency 23 4 2" xfId="1766" xr:uid="{00000000-0005-0000-0000-0000FC060000}"/>
    <cellStyle name="Currency 23 4 2 2" xfId="1767" xr:uid="{00000000-0005-0000-0000-0000FD060000}"/>
    <cellStyle name="Currency 23 4 2 2 2" xfId="1768" xr:uid="{00000000-0005-0000-0000-0000FE060000}"/>
    <cellStyle name="Currency 23 4 2 2 2 2" xfId="7336" xr:uid="{00000000-0005-0000-0000-00007E1A0000}"/>
    <cellStyle name="Currency 23 4 2 2 2 3" xfId="17021" xr:uid="{4223FBF7-741B-4FF3-ABE4-1526DE7419AB}"/>
    <cellStyle name="Currency 23 4 2 2 3" xfId="7335" xr:uid="{00000000-0005-0000-0000-00007D1A0000}"/>
    <cellStyle name="Currency 23 4 2 2 4" xfId="11923" xr:uid="{00000000-0005-0000-0000-0000FB040000}"/>
    <cellStyle name="Currency 23 4 2 2 4 2" xfId="44406" xr:uid="{EF1C6BDB-FB7B-4380-B8F0-F24C7EA066DC}"/>
    <cellStyle name="Currency 23 4 2 2 5" xfId="14639" xr:uid="{AA1AD94C-0602-4D1D-83F2-1067CAD7E9AA}"/>
    <cellStyle name="Currency 23 4 2 3" xfId="1769" xr:uid="{00000000-0005-0000-0000-0000FF060000}"/>
    <cellStyle name="Currency 23 4 2 3 2" xfId="7337" xr:uid="{00000000-0005-0000-0000-00007F1A0000}"/>
    <cellStyle name="Currency 23 4 2 3 3" xfId="17020" xr:uid="{DD3C3C55-DAA8-483B-877E-3D822F5E77A1}"/>
    <cellStyle name="Currency 23 4 2 4" xfId="7334" xr:uid="{00000000-0005-0000-0000-00007C1A0000}"/>
    <cellStyle name="Currency 23 4 2 5" xfId="11924" xr:uid="{00000000-0005-0000-0000-0000FA040000}"/>
    <cellStyle name="Currency 23 4 2 5 2" xfId="44407" xr:uid="{0B1A33AD-966B-451F-80E6-C5C0B84C8657}"/>
    <cellStyle name="Currency 23 4 2 6" xfId="14638" xr:uid="{D8FB4E89-0B08-45C7-A508-A1C788A3B096}"/>
    <cellStyle name="Currency 23 4 3" xfId="1770" xr:uid="{00000000-0005-0000-0000-000000070000}"/>
    <cellStyle name="Currency 23 4 3 2" xfId="1771" xr:uid="{00000000-0005-0000-0000-000001070000}"/>
    <cellStyle name="Currency 23 4 3 2 2" xfId="7339" xr:uid="{00000000-0005-0000-0000-0000811A0000}"/>
    <cellStyle name="Currency 23 4 3 2 3" xfId="17022" xr:uid="{D02223E5-79B9-4C66-B012-6C6138582DE3}"/>
    <cellStyle name="Currency 23 4 3 3" xfId="7338" xr:uid="{00000000-0005-0000-0000-0000801A0000}"/>
    <cellStyle name="Currency 23 4 3 4" xfId="11922" xr:uid="{00000000-0005-0000-0000-0000FC040000}"/>
    <cellStyle name="Currency 23 4 3 4 2" xfId="44405" xr:uid="{7A53374B-D1F5-43FB-BDC8-B0A23693C65C}"/>
    <cellStyle name="Currency 23 4 3 5" xfId="14640" xr:uid="{98C1682E-B7FB-4EB1-8456-5C1E226812FD}"/>
    <cellStyle name="Currency 23 4 4" xfId="1772" xr:uid="{00000000-0005-0000-0000-000002070000}"/>
    <cellStyle name="Currency 23 4 4 2" xfId="7340" xr:uid="{00000000-0005-0000-0000-0000821A0000}"/>
    <cellStyle name="Currency 23 4 4 3" xfId="17019" xr:uid="{2A531D23-5B60-4FFB-8BF6-6FD990441AB5}"/>
    <cellStyle name="Currency 23 4 5" xfId="7333" xr:uid="{00000000-0005-0000-0000-00007B1A0000}"/>
    <cellStyle name="Currency 23 4 6" xfId="11925" xr:uid="{00000000-0005-0000-0000-0000F9040000}"/>
    <cellStyle name="Currency 23 4 6 2" xfId="44408" xr:uid="{FBC9156A-2F46-46D1-86AB-B83881813935}"/>
    <cellStyle name="Currency 23 4 7" xfId="14637" xr:uid="{A4177072-E4A5-4417-AD7D-2023F3EAB1E2}"/>
    <cellStyle name="Currency 23 5" xfId="1773" xr:uid="{00000000-0005-0000-0000-000003070000}"/>
    <cellStyle name="Currency 23 5 2" xfId="1774" xr:uid="{00000000-0005-0000-0000-000004070000}"/>
    <cellStyle name="Currency 23 5 2 2" xfId="1775" xr:uid="{00000000-0005-0000-0000-000005070000}"/>
    <cellStyle name="Currency 23 5 2 2 2" xfId="7343" xr:uid="{00000000-0005-0000-0000-0000851A0000}"/>
    <cellStyle name="Currency 23 5 2 2 3" xfId="17024" xr:uid="{D4CD1431-CB5D-4755-9F77-7C01B99C5416}"/>
    <cellStyle name="Currency 23 5 2 3" xfId="7342" xr:uid="{00000000-0005-0000-0000-0000841A0000}"/>
    <cellStyle name="Currency 23 5 2 4" xfId="11920" xr:uid="{00000000-0005-0000-0000-0000FE040000}"/>
    <cellStyle name="Currency 23 5 2 4 2" xfId="44403" xr:uid="{01CCD0CF-F1BF-4A17-B1BA-F24EAFCBABA3}"/>
    <cellStyle name="Currency 23 5 2 5" xfId="14642" xr:uid="{5861BA34-8F8E-4B24-B1E5-98A748D67893}"/>
    <cellStyle name="Currency 23 5 3" xfId="1776" xr:uid="{00000000-0005-0000-0000-000006070000}"/>
    <cellStyle name="Currency 23 5 3 2" xfId="7344" xr:uid="{00000000-0005-0000-0000-0000861A0000}"/>
    <cellStyle name="Currency 23 5 3 3" xfId="17023" xr:uid="{07D50020-8176-44D3-8F68-9688255E4922}"/>
    <cellStyle name="Currency 23 5 4" xfId="7341" xr:uid="{00000000-0005-0000-0000-0000831A0000}"/>
    <cellStyle name="Currency 23 5 5" xfId="11921" xr:uid="{00000000-0005-0000-0000-0000FD040000}"/>
    <cellStyle name="Currency 23 5 5 2" xfId="44404" xr:uid="{80F19DAB-A360-4D3A-A0B5-E9F10A3075CA}"/>
    <cellStyle name="Currency 23 5 6" xfId="14641" xr:uid="{E5DDBEF4-DF8A-4B3B-854E-3024DB91C007}"/>
    <cellStyle name="Currency 23 6" xfId="1777" xr:uid="{00000000-0005-0000-0000-000007070000}"/>
    <cellStyle name="Currency 23 6 2" xfId="1778" xr:uid="{00000000-0005-0000-0000-000008070000}"/>
    <cellStyle name="Currency 23 6 2 2" xfId="7346" xr:uid="{00000000-0005-0000-0000-0000881A0000}"/>
    <cellStyle name="Currency 23 6 2 3" xfId="17025" xr:uid="{D7FF3289-48E0-4E3A-825C-356EEB27AEDC}"/>
    <cellStyle name="Currency 23 6 3" xfId="7345" xr:uid="{00000000-0005-0000-0000-0000871A0000}"/>
    <cellStyle name="Currency 23 6 4" xfId="11919" xr:uid="{00000000-0005-0000-0000-0000FF040000}"/>
    <cellStyle name="Currency 23 6 4 2" xfId="44402" xr:uid="{7D5724F3-C7DE-45C0-9799-3FE4F92FCAF8}"/>
    <cellStyle name="Currency 23 6 5" xfId="14643" xr:uid="{4037C770-ADFA-4CEE-87A1-A40DA33531AE}"/>
    <cellStyle name="Currency 23 7" xfId="1779" xr:uid="{00000000-0005-0000-0000-000009070000}"/>
    <cellStyle name="Currency 23 7 2" xfId="7347" xr:uid="{00000000-0005-0000-0000-0000891A0000}"/>
    <cellStyle name="Currency 23 7 3" xfId="17002" xr:uid="{4065342B-1ADD-46AE-B538-0402A412B168}"/>
    <cellStyle name="Currency 23 8" xfId="7300" xr:uid="{00000000-0005-0000-0000-00005A1A0000}"/>
    <cellStyle name="Currency 23 9" xfId="11942" xr:uid="{00000000-0005-0000-0000-0000E8040000}"/>
    <cellStyle name="Currency 23 9 2" xfId="44425" xr:uid="{B4087094-E353-4EBF-980C-2E8C6509A78D}"/>
    <cellStyle name="Currency 24" xfId="1780" xr:uid="{00000000-0005-0000-0000-00000A070000}"/>
    <cellStyle name="Currency 24 10" xfId="14644" xr:uid="{B64A14F3-1E5C-4813-ADD4-0EF8B58C22FB}"/>
    <cellStyle name="Currency 24 2" xfId="1781" xr:uid="{00000000-0005-0000-0000-00000B070000}"/>
    <cellStyle name="Currency 24 2 2" xfId="1782" xr:uid="{00000000-0005-0000-0000-00000C070000}"/>
    <cellStyle name="Currency 24 2 2 2" xfId="1783" xr:uid="{00000000-0005-0000-0000-00000D070000}"/>
    <cellStyle name="Currency 24 2 2 2 2" xfId="1784" xr:uid="{00000000-0005-0000-0000-00000E070000}"/>
    <cellStyle name="Currency 24 2 2 2 2 2" xfId="1785" xr:uid="{00000000-0005-0000-0000-00000F070000}"/>
    <cellStyle name="Currency 24 2 2 2 2 2 2" xfId="7353" xr:uid="{00000000-0005-0000-0000-00008F1A0000}"/>
    <cellStyle name="Currency 24 2 2 2 2 2 3" xfId="17030" xr:uid="{BFFFBBC4-2F5A-4970-8E7D-F5C2A50B6BE1}"/>
    <cellStyle name="Currency 24 2 2 2 2 3" xfId="7352" xr:uid="{00000000-0005-0000-0000-00008E1A0000}"/>
    <cellStyle name="Currency 24 2 2 2 2 4" xfId="11914" xr:uid="{00000000-0005-0000-0000-000004050000}"/>
    <cellStyle name="Currency 24 2 2 2 2 4 2" xfId="44397" xr:uid="{246F01B2-369B-46D4-83C4-86C503562809}"/>
    <cellStyle name="Currency 24 2 2 2 2 5" xfId="14648" xr:uid="{4743D069-E265-4437-86C2-015E7B3D436E}"/>
    <cellStyle name="Currency 24 2 2 2 3" xfId="1786" xr:uid="{00000000-0005-0000-0000-000010070000}"/>
    <cellStyle name="Currency 24 2 2 2 3 2" xfId="7354" xr:uid="{00000000-0005-0000-0000-0000901A0000}"/>
    <cellStyle name="Currency 24 2 2 2 3 3" xfId="17029" xr:uid="{43F400D8-BA03-441D-8030-1893BD25DA7D}"/>
    <cellStyle name="Currency 24 2 2 2 4" xfId="7351" xr:uid="{00000000-0005-0000-0000-00008D1A0000}"/>
    <cellStyle name="Currency 24 2 2 2 5" xfId="11915" xr:uid="{00000000-0005-0000-0000-000003050000}"/>
    <cellStyle name="Currency 24 2 2 2 5 2" xfId="44398" xr:uid="{A8E50093-9901-45FC-B7F3-EB02743747F9}"/>
    <cellStyle name="Currency 24 2 2 2 6" xfId="14647" xr:uid="{B37A9A29-2C95-4092-B729-5A01511688C6}"/>
    <cellStyle name="Currency 24 2 2 3" xfId="1787" xr:uid="{00000000-0005-0000-0000-000011070000}"/>
    <cellStyle name="Currency 24 2 2 3 2" xfId="1788" xr:uid="{00000000-0005-0000-0000-000012070000}"/>
    <cellStyle name="Currency 24 2 2 3 2 2" xfId="7356" xr:uid="{00000000-0005-0000-0000-0000921A0000}"/>
    <cellStyle name="Currency 24 2 2 3 2 3" xfId="17031" xr:uid="{82EA163E-FBFB-4219-97EC-C675C23A54AD}"/>
    <cellStyle name="Currency 24 2 2 3 3" xfId="7355" xr:uid="{00000000-0005-0000-0000-0000911A0000}"/>
    <cellStyle name="Currency 24 2 2 3 4" xfId="11913" xr:uid="{00000000-0005-0000-0000-000005050000}"/>
    <cellStyle name="Currency 24 2 2 3 4 2" xfId="44396" xr:uid="{B4638DE4-865C-433D-BE63-3346DE2D14CB}"/>
    <cellStyle name="Currency 24 2 2 3 5" xfId="14649" xr:uid="{07137E6C-F1C9-4607-89A0-B5D54F48A7FE}"/>
    <cellStyle name="Currency 24 2 2 4" xfId="1789" xr:uid="{00000000-0005-0000-0000-000013070000}"/>
    <cellStyle name="Currency 24 2 2 4 2" xfId="7357" xr:uid="{00000000-0005-0000-0000-0000931A0000}"/>
    <cellStyle name="Currency 24 2 2 4 3" xfId="17028" xr:uid="{DE4D9D4E-EF4C-4C92-B5FC-EEA2B0833074}"/>
    <cellStyle name="Currency 24 2 2 5" xfId="7350" xr:uid="{00000000-0005-0000-0000-00008C1A0000}"/>
    <cellStyle name="Currency 24 2 2 6" xfId="11916" xr:uid="{00000000-0005-0000-0000-000002050000}"/>
    <cellStyle name="Currency 24 2 2 6 2" xfId="44399" xr:uid="{BF20D635-D26B-4409-ADED-6B9B53D77255}"/>
    <cellStyle name="Currency 24 2 2 7" xfId="14646" xr:uid="{8D39E8EB-3F8B-491B-A630-84F3A9940983}"/>
    <cellStyle name="Currency 24 2 3" xfId="1790" xr:uid="{00000000-0005-0000-0000-000014070000}"/>
    <cellStyle name="Currency 24 2 3 2" xfId="1791" xr:uid="{00000000-0005-0000-0000-000015070000}"/>
    <cellStyle name="Currency 24 2 3 2 2" xfId="1792" xr:uid="{00000000-0005-0000-0000-000016070000}"/>
    <cellStyle name="Currency 24 2 3 2 2 2" xfId="7360" xr:uid="{00000000-0005-0000-0000-0000961A0000}"/>
    <cellStyle name="Currency 24 2 3 2 2 3" xfId="17033" xr:uid="{B42D1BCB-18C2-48F8-B77E-7DD7031AA87E}"/>
    <cellStyle name="Currency 24 2 3 2 3" xfId="7359" xr:uid="{00000000-0005-0000-0000-0000951A0000}"/>
    <cellStyle name="Currency 24 2 3 2 4" xfId="11911" xr:uid="{00000000-0005-0000-0000-000007050000}"/>
    <cellStyle name="Currency 24 2 3 2 4 2" xfId="44394" xr:uid="{BFC363A0-779D-4221-991D-05EFCE890DB8}"/>
    <cellStyle name="Currency 24 2 3 2 5" xfId="14651" xr:uid="{BA4A3B0D-8574-431F-8C04-EB779D5669ED}"/>
    <cellStyle name="Currency 24 2 3 3" xfId="1793" xr:uid="{00000000-0005-0000-0000-000017070000}"/>
    <cellStyle name="Currency 24 2 3 3 2" xfId="7361" xr:uid="{00000000-0005-0000-0000-0000971A0000}"/>
    <cellStyle name="Currency 24 2 3 3 3" xfId="17032" xr:uid="{2F9777C0-1EBE-4634-BA88-891D6E5064E1}"/>
    <cellStyle name="Currency 24 2 3 4" xfId="7358" xr:uid="{00000000-0005-0000-0000-0000941A0000}"/>
    <cellStyle name="Currency 24 2 3 5" xfId="11912" xr:uid="{00000000-0005-0000-0000-000006050000}"/>
    <cellStyle name="Currency 24 2 3 5 2" xfId="44395" xr:uid="{3417408D-F8E6-4751-B54A-2FE9C76CF614}"/>
    <cellStyle name="Currency 24 2 3 6" xfId="14650" xr:uid="{7F7F0A74-E4A4-4E7A-B09E-C3579442C6B7}"/>
    <cellStyle name="Currency 24 2 4" xfId="1794" xr:uid="{00000000-0005-0000-0000-000018070000}"/>
    <cellStyle name="Currency 24 2 4 2" xfId="1795" xr:uid="{00000000-0005-0000-0000-000019070000}"/>
    <cellStyle name="Currency 24 2 4 2 2" xfId="7363" xr:uid="{00000000-0005-0000-0000-0000991A0000}"/>
    <cellStyle name="Currency 24 2 4 2 3" xfId="17034" xr:uid="{9D0CF774-6D9B-4196-BCCD-698BD235A441}"/>
    <cellStyle name="Currency 24 2 4 3" xfId="7362" xr:uid="{00000000-0005-0000-0000-0000981A0000}"/>
    <cellStyle name="Currency 24 2 4 4" xfId="11910" xr:uid="{00000000-0005-0000-0000-000008050000}"/>
    <cellStyle name="Currency 24 2 4 4 2" xfId="44393" xr:uid="{38FEFD3E-508B-48F7-8B51-5638EF6FF5DF}"/>
    <cellStyle name="Currency 24 2 4 5" xfId="14652" xr:uid="{D950B0CC-59E0-467F-8501-17E8E6E34820}"/>
    <cellStyle name="Currency 24 2 5" xfId="1796" xr:uid="{00000000-0005-0000-0000-00001A070000}"/>
    <cellStyle name="Currency 24 2 5 2" xfId="7364" xr:uid="{00000000-0005-0000-0000-00009A1A0000}"/>
    <cellStyle name="Currency 24 2 5 3" xfId="17027" xr:uid="{19D12514-9AAE-4616-B738-6E1747C8267E}"/>
    <cellStyle name="Currency 24 2 6" xfId="7349" xr:uid="{00000000-0005-0000-0000-00008B1A0000}"/>
    <cellStyle name="Currency 24 2 7" xfId="11917" xr:uid="{00000000-0005-0000-0000-000001050000}"/>
    <cellStyle name="Currency 24 2 7 2" xfId="44400" xr:uid="{66285067-E621-405A-87C6-42306E8DBC63}"/>
    <cellStyle name="Currency 24 2 8" xfId="14645" xr:uid="{DC93EF3D-752A-4DAA-92CD-40AED0C8A575}"/>
    <cellStyle name="Currency 24 3" xfId="1797" xr:uid="{00000000-0005-0000-0000-00001B070000}"/>
    <cellStyle name="Currency 24 3 2" xfId="1798" xr:uid="{00000000-0005-0000-0000-00001C070000}"/>
    <cellStyle name="Currency 24 3 2 2" xfId="1799" xr:uid="{00000000-0005-0000-0000-00001D070000}"/>
    <cellStyle name="Currency 24 3 2 2 2" xfId="1800" xr:uid="{00000000-0005-0000-0000-00001E070000}"/>
    <cellStyle name="Currency 24 3 2 2 2 2" xfId="1801" xr:uid="{00000000-0005-0000-0000-00001F070000}"/>
    <cellStyle name="Currency 24 3 2 2 2 2 2" xfId="7369" xr:uid="{00000000-0005-0000-0000-00009F1A0000}"/>
    <cellStyle name="Currency 24 3 2 2 2 2 3" xfId="17038" xr:uid="{FFB8AB70-FE48-47FA-8665-DF67B5E3EE74}"/>
    <cellStyle name="Currency 24 3 2 2 2 3" xfId="7368" xr:uid="{00000000-0005-0000-0000-00009E1A0000}"/>
    <cellStyle name="Currency 24 3 2 2 2 4" xfId="11906" xr:uid="{00000000-0005-0000-0000-00000C050000}"/>
    <cellStyle name="Currency 24 3 2 2 2 4 2" xfId="44389" xr:uid="{6B6359DD-53AD-4FB6-91FC-3028FE817D64}"/>
    <cellStyle name="Currency 24 3 2 2 2 5" xfId="14656" xr:uid="{E8092EA9-3BA9-4618-9C6F-6B72F31BE7BE}"/>
    <cellStyle name="Currency 24 3 2 2 3" xfId="1802" xr:uid="{00000000-0005-0000-0000-000020070000}"/>
    <cellStyle name="Currency 24 3 2 2 3 2" xfId="7370" xr:uid="{00000000-0005-0000-0000-0000A01A0000}"/>
    <cellStyle name="Currency 24 3 2 2 3 3" xfId="17037" xr:uid="{D35312F0-D1C1-4A6D-B355-0AC255F1E03A}"/>
    <cellStyle name="Currency 24 3 2 2 4" xfId="7367" xr:uid="{00000000-0005-0000-0000-00009D1A0000}"/>
    <cellStyle name="Currency 24 3 2 2 5" xfId="11907" xr:uid="{00000000-0005-0000-0000-00000B050000}"/>
    <cellStyle name="Currency 24 3 2 2 5 2" xfId="44390" xr:uid="{688A52E3-8965-4AF6-AE65-BCEA217C78A1}"/>
    <cellStyle name="Currency 24 3 2 2 6" xfId="14655" xr:uid="{000679F9-5CC9-4F92-96DD-EB8D7790DB91}"/>
    <cellStyle name="Currency 24 3 2 3" xfId="1803" xr:uid="{00000000-0005-0000-0000-000021070000}"/>
    <cellStyle name="Currency 24 3 2 3 2" xfId="1804" xr:uid="{00000000-0005-0000-0000-000022070000}"/>
    <cellStyle name="Currency 24 3 2 3 2 2" xfId="7372" xr:uid="{00000000-0005-0000-0000-0000A21A0000}"/>
    <cellStyle name="Currency 24 3 2 3 2 3" xfId="17039" xr:uid="{43C4C32B-DFD7-4B07-B6D5-CD8D9ED138A9}"/>
    <cellStyle name="Currency 24 3 2 3 3" xfId="7371" xr:uid="{00000000-0005-0000-0000-0000A11A0000}"/>
    <cellStyle name="Currency 24 3 2 3 4" xfId="11905" xr:uid="{00000000-0005-0000-0000-00000D050000}"/>
    <cellStyle name="Currency 24 3 2 3 4 2" xfId="44388" xr:uid="{D8C727A7-C5AD-48AF-8679-E576FB238B3B}"/>
    <cellStyle name="Currency 24 3 2 3 5" xfId="14657" xr:uid="{12119829-73B9-48E4-A576-0113CCB77B50}"/>
    <cellStyle name="Currency 24 3 2 4" xfId="1805" xr:uid="{00000000-0005-0000-0000-000023070000}"/>
    <cellStyle name="Currency 24 3 2 4 2" xfId="7373" xr:uid="{00000000-0005-0000-0000-0000A31A0000}"/>
    <cellStyle name="Currency 24 3 2 4 3" xfId="17036" xr:uid="{B89A4E6F-912E-4E4F-BFBC-4D573CE2D43D}"/>
    <cellStyle name="Currency 24 3 2 5" xfId="7366" xr:uid="{00000000-0005-0000-0000-00009C1A0000}"/>
    <cellStyle name="Currency 24 3 2 6" xfId="11908" xr:uid="{00000000-0005-0000-0000-00000A050000}"/>
    <cellStyle name="Currency 24 3 2 6 2" xfId="44391" xr:uid="{A6FFB7FE-EE2C-4062-896A-2EF2E032DA0F}"/>
    <cellStyle name="Currency 24 3 2 7" xfId="14654" xr:uid="{A6A336AD-F057-4B11-AE78-6467CA95A98F}"/>
    <cellStyle name="Currency 24 3 3" xfId="1806" xr:uid="{00000000-0005-0000-0000-000024070000}"/>
    <cellStyle name="Currency 24 3 3 2" xfId="1807" xr:uid="{00000000-0005-0000-0000-000025070000}"/>
    <cellStyle name="Currency 24 3 3 2 2" xfId="1808" xr:uid="{00000000-0005-0000-0000-000026070000}"/>
    <cellStyle name="Currency 24 3 3 2 2 2" xfId="7376" xr:uid="{00000000-0005-0000-0000-0000A61A0000}"/>
    <cellStyle name="Currency 24 3 3 2 2 3" xfId="17041" xr:uid="{1DD0247A-0230-48D3-AC16-43C4EAB43387}"/>
    <cellStyle name="Currency 24 3 3 2 3" xfId="7375" xr:uid="{00000000-0005-0000-0000-0000A51A0000}"/>
    <cellStyle name="Currency 24 3 3 2 4" xfId="11903" xr:uid="{00000000-0005-0000-0000-00000F050000}"/>
    <cellStyle name="Currency 24 3 3 2 4 2" xfId="44386" xr:uid="{E869462A-7AC6-4158-B37D-E5C48665BF4C}"/>
    <cellStyle name="Currency 24 3 3 2 5" xfId="14659" xr:uid="{BEFF09BF-F85F-43E3-B5C9-CA74398544F4}"/>
    <cellStyle name="Currency 24 3 3 3" xfId="1809" xr:uid="{00000000-0005-0000-0000-000027070000}"/>
    <cellStyle name="Currency 24 3 3 3 2" xfId="7377" xr:uid="{00000000-0005-0000-0000-0000A71A0000}"/>
    <cellStyle name="Currency 24 3 3 3 3" xfId="17040" xr:uid="{099661AB-8F15-40D4-875D-839056CC7F57}"/>
    <cellStyle name="Currency 24 3 3 4" xfId="7374" xr:uid="{00000000-0005-0000-0000-0000A41A0000}"/>
    <cellStyle name="Currency 24 3 3 5" xfId="11904" xr:uid="{00000000-0005-0000-0000-00000E050000}"/>
    <cellStyle name="Currency 24 3 3 5 2" xfId="44387" xr:uid="{7C4AEEAE-1C57-4678-B11B-7E43835796BF}"/>
    <cellStyle name="Currency 24 3 3 6" xfId="14658" xr:uid="{F5CE3EE3-2F0E-4A6F-A2D4-17D788E2619A}"/>
    <cellStyle name="Currency 24 3 4" xfId="1810" xr:uid="{00000000-0005-0000-0000-000028070000}"/>
    <cellStyle name="Currency 24 3 4 2" xfId="1811" xr:uid="{00000000-0005-0000-0000-000029070000}"/>
    <cellStyle name="Currency 24 3 4 2 2" xfId="7379" xr:uid="{00000000-0005-0000-0000-0000A91A0000}"/>
    <cellStyle name="Currency 24 3 4 2 3" xfId="17042" xr:uid="{5F240B83-F80C-4EE2-A0C0-3C080A50F98F}"/>
    <cellStyle name="Currency 24 3 4 3" xfId="7378" xr:uid="{00000000-0005-0000-0000-0000A81A0000}"/>
    <cellStyle name="Currency 24 3 4 4" xfId="11902" xr:uid="{00000000-0005-0000-0000-000010050000}"/>
    <cellStyle name="Currency 24 3 4 4 2" xfId="44385" xr:uid="{BDB92102-2668-41F8-A003-768605041E81}"/>
    <cellStyle name="Currency 24 3 4 5" xfId="14660" xr:uid="{41DD6670-4486-4719-A754-253B2BF659BC}"/>
    <cellStyle name="Currency 24 3 5" xfId="1812" xr:uid="{00000000-0005-0000-0000-00002A070000}"/>
    <cellStyle name="Currency 24 3 5 2" xfId="7380" xr:uid="{00000000-0005-0000-0000-0000AA1A0000}"/>
    <cellStyle name="Currency 24 3 5 3" xfId="17035" xr:uid="{082730A5-1EBE-45AE-A2C0-D45F7CDA9AD8}"/>
    <cellStyle name="Currency 24 3 6" xfId="7365" xr:uid="{00000000-0005-0000-0000-00009B1A0000}"/>
    <cellStyle name="Currency 24 3 7" xfId="11909" xr:uid="{00000000-0005-0000-0000-000009050000}"/>
    <cellStyle name="Currency 24 3 7 2" xfId="44392" xr:uid="{0F25C470-14FA-47D6-BCB8-5EDE1368AA62}"/>
    <cellStyle name="Currency 24 3 8" xfId="14653" xr:uid="{FCEF6D69-E584-4408-9D10-C9AC5F43C375}"/>
    <cellStyle name="Currency 24 4" xfId="1813" xr:uid="{00000000-0005-0000-0000-00002B070000}"/>
    <cellStyle name="Currency 24 4 2" xfId="1814" xr:uid="{00000000-0005-0000-0000-00002C070000}"/>
    <cellStyle name="Currency 24 4 2 2" xfId="1815" xr:uid="{00000000-0005-0000-0000-00002D070000}"/>
    <cellStyle name="Currency 24 4 2 2 2" xfId="1816" xr:uid="{00000000-0005-0000-0000-00002E070000}"/>
    <cellStyle name="Currency 24 4 2 2 2 2" xfId="7384" xr:uid="{00000000-0005-0000-0000-0000AE1A0000}"/>
    <cellStyle name="Currency 24 4 2 2 2 3" xfId="17045" xr:uid="{51888301-9A9B-4420-BD21-F423A3EA0927}"/>
    <cellStyle name="Currency 24 4 2 2 3" xfId="7383" xr:uid="{00000000-0005-0000-0000-0000AD1A0000}"/>
    <cellStyle name="Currency 24 4 2 2 4" xfId="11899" xr:uid="{00000000-0005-0000-0000-000013050000}"/>
    <cellStyle name="Currency 24 4 2 2 4 2" xfId="44382" xr:uid="{0A5F1E58-C181-4998-8011-8F2C770630FB}"/>
    <cellStyle name="Currency 24 4 2 2 5" xfId="14663" xr:uid="{F7F108DB-0273-4987-A83B-1C6E74934A19}"/>
    <cellStyle name="Currency 24 4 2 3" xfId="1817" xr:uid="{00000000-0005-0000-0000-00002F070000}"/>
    <cellStyle name="Currency 24 4 2 3 2" xfId="7385" xr:uid="{00000000-0005-0000-0000-0000AF1A0000}"/>
    <cellStyle name="Currency 24 4 2 3 3" xfId="17044" xr:uid="{E1F99A12-0D7A-424D-91DA-933B362EF149}"/>
    <cellStyle name="Currency 24 4 2 4" xfId="7382" xr:uid="{00000000-0005-0000-0000-0000AC1A0000}"/>
    <cellStyle name="Currency 24 4 2 5" xfId="11900" xr:uid="{00000000-0005-0000-0000-000012050000}"/>
    <cellStyle name="Currency 24 4 2 5 2" xfId="44383" xr:uid="{FC13ECFB-2253-46E6-B74D-D51F118346CB}"/>
    <cellStyle name="Currency 24 4 2 6" xfId="14662" xr:uid="{B60D6056-1554-4CAD-AAFB-16CDE2F832A1}"/>
    <cellStyle name="Currency 24 4 3" xfId="1818" xr:uid="{00000000-0005-0000-0000-000030070000}"/>
    <cellStyle name="Currency 24 4 3 2" xfId="1819" xr:uid="{00000000-0005-0000-0000-000031070000}"/>
    <cellStyle name="Currency 24 4 3 2 2" xfId="7387" xr:uid="{00000000-0005-0000-0000-0000B11A0000}"/>
    <cellStyle name="Currency 24 4 3 2 3" xfId="17046" xr:uid="{74DA990D-C2E7-45F3-8A8E-F6D9031B7316}"/>
    <cellStyle name="Currency 24 4 3 3" xfId="7386" xr:uid="{00000000-0005-0000-0000-0000B01A0000}"/>
    <cellStyle name="Currency 24 4 3 4" xfId="11898" xr:uid="{00000000-0005-0000-0000-000014050000}"/>
    <cellStyle name="Currency 24 4 3 4 2" xfId="44381" xr:uid="{51856A64-110B-4028-A735-0B48E35B0ECF}"/>
    <cellStyle name="Currency 24 4 3 5" xfId="14664" xr:uid="{AF7168B0-1C25-4CFC-ACF9-885C3F89BD89}"/>
    <cellStyle name="Currency 24 4 4" xfId="1820" xr:uid="{00000000-0005-0000-0000-000032070000}"/>
    <cellStyle name="Currency 24 4 4 2" xfId="7388" xr:uid="{00000000-0005-0000-0000-0000B21A0000}"/>
    <cellStyle name="Currency 24 4 4 3" xfId="17043" xr:uid="{6EF370E8-7ED8-4B3B-A3BE-B1613E9BE357}"/>
    <cellStyle name="Currency 24 4 5" xfId="7381" xr:uid="{00000000-0005-0000-0000-0000AB1A0000}"/>
    <cellStyle name="Currency 24 4 6" xfId="11901" xr:uid="{00000000-0005-0000-0000-000011050000}"/>
    <cellStyle name="Currency 24 4 6 2" xfId="44384" xr:uid="{1B2099D5-C9CF-4424-8028-7C36419F1271}"/>
    <cellStyle name="Currency 24 4 7" xfId="14661" xr:uid="{BD09543C-14CE-4ABE-A867-7EFEB9458E9D}"/>
    <cellStyle name="Currency 24 5" xfId="1821" xr:uid="{00000000-0005-0000-0000-000033070000}"/>
    <cellStyle name="Currency 24 5 2" xfId="1822" xr:uid="{00000000-0005-0000-0000-000034070000}"/>
    <cellStyle name="Currency 24 5 2 2" xfId="1823" xr:uid="{00000000-0005-0000-0000-000035070000}"/>
    <cellStyle name="Currency 24 5 2 2 2" xfId="7391" xr:uid="{00000000-0005-0000-0000-0000B51A0000}"/>
    <cellStyle name="Currency 24 5 2 2 3" xfId="17048" xr:uid="{6900AECD-8462-4826-BC9A-EF808F4AEF0B}"/>
    <cellStyle name="Currency 24 5 2 3" xfId="7390" xr:uid="{00000000-0005-0000-0000-0000B41A0000}"/>
    <cellStyle name="Currency 24 5 2 4" xfId="11896" xr:uid="{00000000-0005-0000-0000-000016050000}"/>
    <cellStyle name="Currency 24 5 2 4 2" xfId="44379" xr:uid="{30997AF9-C082-4C79-9AA8-A8F80A0554E7}"/>
    <cellStyle name="Currency 24 5 2 5" xfId="14666" xr:uid="{D4585D38-259E-48D8-8DF8-FE7A5BA62F9A}"/>
    <cellStyle name="Currency 24 5 3" xfId="1824" xr:uid="{00000000-0005-0000-0000-000036070000}"/>
    <cellStyle name="Currency 24 5 3 2" xfId="7392" xr:uid="{00000000-0005-0000-0000-0000B61A0000}"/>
    <cellStyle name="Currency 24 5 3 3" xfId="17047" xr:uid="{D261AE27-7DCD-4833-9E94-48A3C3CEEAB3}"/>
    <cellStyle name="Currency 24 5 4" xfId="7389" xr:uid="{00000000-0005-0000-0000-0000B31A0000}"/>
    <cellStyle name="Currency 24 5 5" xfId="11897" xr:uid="{00000000-0005-0000-0000-000015050000}"/>
    <cellStyle name="Currency 24 5 5 2" xfId="44380" xr:uid="{CF43B732-5583-434E-9C80-5D9308E84D89}"/>
    <cellStyle name="Currency 24 5 6" xfId="14665" xr:uid="{AEE91BFC-BD0D-433A-9260-33CE4C40C61D}"/>
    <cellStyle name="Currency 24 6" xfId="1825" xr:uid="{00000000-0005-0000-0000-000037070000}"/>
    <cellStyle name="Currency 24 6 2" xfId="1826" xr:uid="{00000000-0005-0000-0000-000038070000}"/>
    <cellStyle name="Currency 24 6 2 2" xfId="7394" xr:uid="{00000000-0005-0000-0000-0000B81A0000}"/>
    <cellStyle name="Currency 24 6 2 3" xfId="17049" xr:uid="{F69AE446-9763-4FF6-980F-A3566ADC9CA3}"/>
    <cellStyle name="Currency 24 6 3" xfId="7393" xr:uid="{00000000-0005-0000-0000-0000B71A0000}"/>
    <cellStyle name="Currency 24 6 4" xfId="11895" xr:uid="{00000000-0005-0000-0000-000017050000}"/>
    <cellStyle name="Currency 24 6 4 2" xfId="44378" xr:uid="{C19209A8-1E2D-45A8-AE75-9E32935B0A11}"/>
    <cellStyle name="Currency 24 6 5" xfId="14667" xr:uid="{8C476411-48A7-4370-81A5-B3D8F7F7DB4D}"/>
    <cellStyle name="Currency 24 7" xfId="1827" xr:uid="{00000000-0005-0000-0000-000039070000}"/>
    <cellStyle name="Currency 24 7 2" xfId="7395" xr:uid="{00000000-0005-0000-0000-0000B91A0000}"/>
    <cellStyle name="Currency 24 7 3" xfId="17026" xr:uid="{DB06ED0E-EF07-49C1-B98C-0E8B5989B330}"/>
    <cellStyle name="Currency 24 8" xfId="7348" xr:uid="{00000000-0005-0000-0000-00008A1A0000}"/>
    <cellStyle name="Currency 24 9" xfId="11918" xr:uid="{00000000-0005-0000-0000-000000050000}"/>
    <cellStyle name="Currency 24 9 2" xfId="44401" xr:uid="{ACFBB176-12EC-4713-B9C7-85665E65B67C}"/>
    <cellStyle name="Currency 25" xfId="1828" xr:uid="{00000000-0005-0000-0000-00003A070000}"/>
    <cellStyle name="Currency 25 2" xfId="1829" xr:uid="{00000000-0005-0000-0000-00003B070000}"/>
    <cellStyle name="Currency 25 2 2" xfId="7397" xr:uid="{00000000-0005-0000-0000-0000BB1A0000}"/>
    <cellStyle name="Currency 25 2 3" xfId="17050" xr:uid="{CD0DD6FE-CE8C-418D-A91B-78FBE2AEB529}"/>
    <cellStyle name="Currency 25 3" xfId="7396" xr:uid="{00000000-0005-0000-0000-0000BA1A0000}"/>
    <cellStyle name="Currency 25 4" xfId="11894" xr:uid="{00000000-0005-0000-0000-000018050000}"/>
    <cellStyle name="Currency 25 4 2" xfId="44377" xr:uid="{DD99FB92-ABF3-4121-9D3F-547C72D9199C}"/>
    <cellStyle name="Currency 25 5" xfId="16617" xr:uid="{5775E40E-8A4F-4871-8398-0480FE076131}"/>
    <cellStyle name="Currency 26" xfId="1830" xr:uid="{00000000-0005-0000-0000-00003C070000}"/>
    <cellStyle name="Currency 26 10" xfId="14668" xr:uid="{4FDE1BBE-1C71-4A48-BFB2-79FA24405821}"/>
    <cellStyle name="Currency 26 2" xfId="1831" xr:uid="{00000000-0005-0000-0000-00003D070000}"/>
    <cellStyle name="Currency 26 2 2" xfId="1832" xr:uid="{00000000-0005-0000-0000-00003E070000}"/>
    <cellStyle name="Currency 26 2 2 2" xfId="1833" xr:uid="{00000000-0005-0000-0000-00003F070000}"/>
    <cellStyle name="Currency 26 2 2 2 2" xfId="1834" xr:uid="{00000000-0005-0000-0000-000040070000}"/>
    <cellStyle name="Currency 26 2 2 2 2 2" xfId="1835" xr:uid="{00000000-0005-0000-0000-000041070000}"/>
    <cellStyle name="Currency 26 2 2 2 2 2 2" xfId="7403" xr:uid="{00000000-0005-0000-0000-0000C11A0000}"/>
    <cellStyle name="Currency 26 2 2 2 2 2 3" xfId="17055" xr:uid="{A002EE64-E343-49CD-8FDC-115C362357CA}"/>
    <cellStyle name="Currency 26 2 2 2 2 3" xfId="7402" xr:uid="{00000000-0005-0000-0000-0000C01A0000}"/>
    <cellStyle name="Currency 26 2 2 2 2 4" xfId="11889" xr:uid="{00000000-0005-0000-0000-00001D050000}"/>
    <cellStyle name="Currency 26 2 2 2 2 4 2" xfId="44372" xr:uid="{CA28D4AA-47AC-42EA-B2DF-BCBA2239A0A9}"/>
    <cellStyle name="Currency 26 2 2 2 2 5" xfId="14672" xr:uid="{E15CF621-E494-46F7-BDC4-C2906283C22C}"/>
    <cellStyle name="Currency 26 2 2 2 3" xfId="1836" xr:uid="{00000000-0005-0000-0000-000042070000}"/>
    <cellStyle name="Currency 26 2 2 2 3 2" xfId="7404" xr:uid="{00000000-0005-0000-0000-0000C21A0000}"/>
    <cellStyle name="Currency 26 2 2 2 3 3" xfId="17054" xr:uid="{9B24E668-CEA1-499B-ACE7-92B61BA873F9}"/>
    <cellStyle name="Currency 26 2 2 2 4" xfId="7401" xr:uid="{00000000-0005-0000-0000-0000BF1A0000}"/>
    <cellStyle name="Currency 26 2 2 2 5" xfId="11890" xr:uid="{00000000-0005-0000-0000-00001C050000}"/>
    <cellStyle name="Currency 26 2 2 2 5 2" xfId="44373" xr:uid="{6B03F1E9-D7DD-4E27-B5C4-B9F79DA36023}"/>
    <cellStyle name="Currency 26 2 2 2 6" xfId="14671" xr:uid="{B93D5394-9FDC-428B-9A80-8512F0D2D0C1}"/>
    <cellStyle name="Currency 26 2 2 3" xfId="1837" xr:uid="{00000000-0005-0000-0000-000043070000}"/>
    <cellStyle name="Currency 26 2 2 3 2" xfId="1838" xr:uid="{00000000-0005-0000-0000-000044070000}"/>
    <cellStyle name="Currency 26 2 2 3 2 2" xfId="7406" xr:uid="{00000000-0005-0000-0000-0000C41A0000}"/>
    <cellStyle name="Currency 26 2 2 3 2 3" xfId="17056" xr:uid="{E792D46B-BA81-4313-9E70-6466AE6101D7}"/>
    <cellStyle name="Currency 26 2 2 3 3" xfId="7405" xr:uid="{00000000-0005-0000-0000-0000C31A0000}"/>
    <cellStyle name="Currency 26 2 2 3 4" xfId="11888" xr:uid="{00000000-0005-0000-0000-00001E050000}"/>
    <cellStyle name="Currency 26 2 2 3 4 2" xfId="44371" xr:uid="{5107AD4C-BC6C-4C8F-8B90-8789A6198879}"/>
    <cellStyle name="Currency 26 2 2 3 5" xfId="14673" xr:uid="{EA243D58-B6E1-4D99-A98E-E1F5AD187052}"/>
    <cellStyle name="Currency 26 2 2 4" xfId="1839" xr:uid="{00000000-0005-0000-0000-000045070000}"/>
    <cellStyle name="Currency 26 2 2 4 2" xfId="7407" xr:uid="{00000000-0005-0000-0000-0000C51A0000}"/>
    <cellStyle name="Currency 26 2 2 4 3" xfId="17053" xr:uid="{D1D36094-951F-4146-B73E-32804160739F}"/>
    <cellStyle name="Currency 26 2 2 5" xfId="7400" xr:uid="{00000000-0005-0000-0000-0000BE1A0000}"/>
    <cellStyle name="Currency 26 2 2 6" xfId="11891" xr:uid="{00000000-0005-0000-0000-00001B050000}"/>
    <cellStyle name="Currency 26 2 2 6 2" xfId="44374" xr:uid="{77933A02-5EDF-49BA-B0BF-E96628B17AD0}"/>
    <cellStyle name="Currency 26 2 2 7" xfId="14670" xr:uid="{A8443D4C-17A9-4739-AFE0-19DA5F3D6112}"/>
    <cellStyle name="Currency 26 2 3" xfId="1840" xr:uid="{00000000-0005-0000-0000-000046070000}"/>
    <cellStyle name="Currency 26 2 3 2" xfId="1841" xr:uid="{00000000-0005-0000-0000-000047070000}"/>
    <cellStyle name="Currency 26 2 3 2 2" xfId="1842" xr:uid="{00000000-0005-0000-0000-000048070000}"/>
    <cellStyle name="Currency 26 2 3 2 2 2" xfId="7410" xr:uid="{00000000-0005-0000-0000-0000C81A0000}"/>
    <cellStyle name="Currency 26 2 3 2 2 3" xfId="17058" xr:uid="{E644C4A9-F9FA-4A2F-BD94-9BF237A6614B}"/>
    <cellStyle name="Currency 26 2 3 2 3" xfId="7409" xr:uid="{00000000-0005-0000-0000-0000C71A0000}"/>
    <cellStyle name="Currency 26 2 3 2 4" xfId="11886" xr:uid="{00000000-0005-0000-0000-000020050000}"/>
    <cellStyle name="Currency 26 2 3 2 4 2" xfId="44369" xr:uid="{483FC72C-2036-4888-91D9-D541AA934E18}"/>
    <cellStyle name="Currency 26 2 3 2 5" xfId="14675" xr:uid="{1A843343-E68B-47BD-9904-C8FEEC6D2A34}"/>
    <cellStyle name="Currency 26 2 3 3" xfId="1843" xr:uid="{00000000-0005-0000-0000-000049070000}"/>
    <cellStyle name="Currency 26 2 3 3 2" xfId="7411" xr:uid="{00000000-0005-0000-0000-0000C91A0000}"/>
    <cellStyle name="Currency 26 2 3 3 3" xfId="17057" xr:uid="{D272BFFB-05C9-4BD2-9A7B-CA691687891C}"/>
    <cellStyle name="Currency 26 2 3 4" xfId="7408" xr:uid="{00000000-0005-0000-0000-0000C61A0000}"/>
    <cellStyle name="Currency 26 2 3 5" xfId="11887" xr:uid="{00000000-0005-0000-0000-00001F050000}"/>
    <cellStyle name="Currency 26 2 3 5 2" xfId="44370" xr:uid="{9E351A85-78E7-4AC2-B314-E4649D9C7DDD}"/>
    <cellStyle name="Currency 26 2 3 6" xfId="14674" xr:uid="{A1BBC644-2E5E-4C38-B0F4-91FEF622B3D6}"/>
    <cellStyle name="Currency 26 2 4" xfId="1844" xr:uid="{00000000-0005-0000-0000-00004A070000}"/>
    <cellStyle name="Currency 26 2 4 2" xfId="1845" xr:uid="{00000000-0005-0000-0000-00004B070000}"/>
    <cellStyle name="Currency 26 2 4 2 2" xfId="7413" xr:uid="{00000000-0005-0000-0000-0000CB1A0000}"/>
    <cellStyle name="Currency 26 2 4 2 3" xfId="17059" xr:uid="{3D4D7E8A-388F-4889-B500-59F4F0E05675}"/>
    <cellStyle name="Currency 26 2 4 3" xfId="7412" xr:uid="{00000000-0005-0000-0000-0000CA1A0000}"/>
    <cellStyle name="Currency 26 2 4 4" xfId="11885" xr:uid="{00000000-0005-0000-0000-000021050000}"/>
    <cellStyle name="Currency 26 2 4 4 2" xfId="44368" xr:uid="{A42AD9CC-D2F1-4BE0-94B4-A75BF6A85FB0}"/>
    <cellStyle name="Currency 26 2 4 5" xfId="14676" xr:uid="{FC09548D-D869-4412-B739-0D649F0F6B49}"/>
    <cellStyle name="Currency 26 2 5" xfId="1846" xr:uid="{00000000-0005-0000-0000-00004C070000}"/>
    <cellStyle name="Currency 26 2 5 2" xfId="7414" xr:uid="{00000000-0005-0000-0000-0000CC1A0000}"/>
    <cellStyle name="Currency 26 2 5 3" xfId="17052" xr:uid="{65246793-1A26-4184-9009-B29D6CA30305}"/>
    <cellStyle name="Currency 26 2 6" xfId="7399" xr:uid="{00000000-0005-0000-0000-0000BD1A0000}"/>
    <cellStyle name="Currency 26 2 7" xfId="11892" xr:uid="{00000000-0005-0000-0000-00001A050000}"/>
    <cellStyle name="Currency 26 2 7 2" xfId="44375" xr:uid="{3920CCBB-45AA-4188-BFB4-B27D279EB9E4}"/>
    <cellStyle name="Currency 26 2 8" xfId="14669" xr:uid="{0095EA74-08A5-4C4F-A64F-BB18830E861D}"/>
    <cellStyle name="Currency 26 3" xfId="1847" xr:uid="{00000000-0005-0000-0000-00004D070000}"/>
    <cellStyle name="Currency 26 3 2" xfId="1848" xr:uid="{00000000-0005-0000-0000-00004E070000}"/>
    <cellStyle name="Currency 26 3 2 2" xfId="1849" xr:uid="{00000000-0005-0000-0000-00004F070000}"/>
    <cellStyle name="Currency 26 3 2 2 2" xfId="1850" xr:uid="{00000000-0005-0000-0000-000050070000}"/>
    <cellStyle name="Currency 26 3 2 2 2 2" xfId="1851" xr:uid="{00000000-0005-0000-0000-000051070000}"/>
    <cellStyle name="Currency 26 3 2 2 2 2 2" xfId="7419" xr:uid="{00000000-0005-0000-0000-0000D11A0000}"/>
    <cellStyle name="Currency 26 3 2 2 2 2 3" xfId="17063" xr:uid="{2B6DBDF3-4215-47AE-A927-AFA5A45F7A05}"/>
    <cellStyle name="Currency 26 3 2 2 2 3" xfId="7418" xr:uid="{00000000-0005-0000-0000-0000D01A0000}"/>
    <cellStyle name="Currency 26 3 2 2 2 4" xfId="11881" xr:uid="{00000000-0005-0000-0000-000025050000}"/>
    <cellStyle name="Currency 26 3 2 2 2 4 2" xfId="44364" xr:uid="{66A6BAA8-5F81-4F10-8EB3-346832EA6F52}"/>
    <cellStyle name="Currency 26 3 2 2 2 5" xfId="14680" xr:uid="{E6F4B129-A1C4-418D-B0AE-11BFC035BA62}"/>
    <cellStyle name="Currency 26 3 2 2 3" xfId="1852" xr:uid="{00000000-0005-0000-0000-000052070000}"/>
    <cellStyle name="Currency 26 3 2 2 3 2" xfId="7420" xr:uid="{00000000-0005-0000-0000-0000D21A0000}"/>
    <cellStyle name="Currency 26 3 2 2 3 3" xfId="17062" xr:uid="{4067DB44-2ECF-4038-B12D-C30B2BD459AC}"/>
    <cellStyle name="Currency 26 3 2 2 4" xfId="7417" xr:uid="{00000000-0005-0000-0000-0000CF1A0000}"/>
    <cellStyle name="Currency 26 3 2 2 5" xfId="11882" xr:uid="{00000000-0005-0000-0000-000024050000}"/>
    <cellStyle name="Currency 26 3 2 2 5 2" xfId="44365" xr:uid="{608AA9DB-59F7-4F0F-9CC9-9CC1E45FEB4E}"/>
    <cellStyle name="Currency 26 3 2 2 6" xfId="14679" xr:uid="{4D31AAE5-0312-49B8-B438-5973E7A08366}"/>
    <cellStyle name="Currency 26 3 2 3" xfId="1853" xr:uid="{00000000-0005-0000-0000-000053070000}"/>
    <cellStyle name="Currency 26 3 2 3 2" xfId="1854" xr:uid="{00000000-0005-0000-0000-000054070000}"/>
    <cellStyle name="Currency 26 3 2 3 2 2" xfId="7422" xr:uid="{00000000-0005-0000-0000-0000D41A0000}"/>
    <cellStyle name="Currency 26 3 2 3 2 3" xfId="17064" xr:uid="{C612FE7A-1410-462C-9664-488614339E02}"/>
    <cellStyle name="Currency 26 3 2 3 3" xfId="7421" xr:uid="{00000000-0005-0000-0000-0000D31A0000}"/>
    <cellStyle name="Currency 26 3 2 3 4" xfId="11880" xr:uid="{00000000-0005-0000-0000-000026050000}"/>
    <cellStyle name="Currency 26 3 2 3 4 2" xfId="44363" xr:uid="{086B2ED5-D4D0-489E-9371-F32CD1987B48}"/>
    <cellStyle name="Currency 26 3 2 3 5" xfId="14681" xr:uid="{3A836927-1937-4AD5-9CB5-A7E9A10E80D1}"/>
    <cellStyle name="Currency 26 3 2 4" xfId="1855" xr:uid="{00000000-0005-0000-0000-000055070000}"/>
    <cellStyle name="Currency 26 3 2 4 2" xfId="7423" xr:uid="{00000000-0005-0000-0000-0000D51A0000}"/>
    <cellStyle name="Currency 26 3 2 4 3" xfId="17061" xr:uid="{011A9D0D-034F-457E-8E87-CF88172CE9F8}"/>
    <cellStyle name="Currency 26 3 2 5" xfId="7416" xr:uid="{00000000-0005-0000-0000-0000CE1A0000}"/>
    <cellStyle name="Currency 26 3 2 6" xfId="11883" xr:uid="{00000000-0005-0000-0000-000023050000}"/>
    <cellStyle name="Currency 26 3 2 6 2" xfId="44366" xr:uid="{0537FC02-4753-4AE3-AFB0-3A88A968173B}"/>
    <cellStyle name="Currency 26 3 2 7" xfId="14678" xr:uid="{2D5C10F4-9C37-4201-9A86-2796159D32F6}"/>
    <cellStyle name="Currency 26 3 3" xfId="1856" xr:uid="{00000000-0005-0000-0000-000056070000}"/>
    <cellStyle name="Currency 26 3 3 2" xfId="1857" xr:uid="{00000000-0005-0000-0000-000057070000}"/>
    <cellStyle name="Currency 26 3 3 2 2" xfId="1858" xr:uid="{00000000-0005-0000-0000-000058070000}"/>
    <cellStyle name="Currency 26 3 3 2 2 2" xfId="7426" xr:uid="{00000000-0005-0000-0000-0000D81A0000}"/>
    <cellStyle name="Currency 26 3 3 2 2 3" xfId="17066" xr:uid="{71532912-0A70-48FE-B9D6-F400713651AD}"/>
    <cellStyle name="Currency 26 3 3 2 3" xfId="7425" xr:uid="{00000000-0005-0000-0000-0000D71A0000}"/>
    <cellStyle name="Currency 26 3 3 2 4" xfId="11878" xr:uid="{00000000-0005-0000-0000-000028050000}"/>
    <cellStyle name="Currency 26 3 3 2 4 2" xfId="44361" xr:uid="{1A5841A3-0747-4296-A9FE-B5444162C17B}"/>
    <cellStyle name="Currency 26 3 3 2 5" xfId="14683" xr:uid="{604E5341-179D-4CCF-943E-6B747004EBBD}"/>
    <cellStyle name="Currency 26 3 3 3" xfId="1859" xr:uid="{00000000-0005-0000-0000-000059070000}"/>
    <cellStyle name="Currency 26 3 3 3 2" xfId="7427" xr:uid="{00000000-0005-0000-0000-0000D91A0000}"/>
    <cellStyle name="Currency 26 3 3 3 3" xfId="17065" xr:uid="{5215EA32-EF8A-424B-8873-E489F1E12EA8}"/>
    <cellStyle name="Currency 26 3 3 4" xfId="7424" xr:uid="{00000000-0005-0000-0000-0000D61A0000}"/>
    <cellStyle name="Currency 26 3 3 5" xfId="11879" xr:uid="{00000000-0005-0000-0000-000027050000}"/>
    <cellStyle name="Currency 26 3 3 5 2" xfId="44362" xr:uid="{ECD3DEF1-9E01-4C25-B6C6-E23CD5BB39EB}"/>
    <cellStyle name="Currency 26 3 3 6" xfId="14682" xr:uid="{DA0CFBEE-FFAE-4118-BCEE-5A5218CE8D39}"/>
    <cellStyle name="Currency 26 3 4" xfId="1860" xr:uid="{00000000-0005-0000-0000-00005A070000}"/>
    <cellStyle name="Currency 26 3 4 2" xfId="1861" xr:uid="{00000000-0005-0000-0000-00005B070000}"/>
    <cellStyle name="Currency 26 3 4 2 2" xfId="7429" xr:uid="{00000000-0005-0000-0000-0000DB1A0000}"/>
    <cellStyle name="Currency 26 3 4 2 3" xfId="17067" xr:uid="{9170FD8B-2027-4A7F-B4A2-542930025F92}"/>
    <cellStyle name="Currency 26 3 4 3" xfId="7428" xr:uid="{00000000-0005-0000-0000-0000DA1A0000}"/>
    <cellStyle name="Currency 26 3 4 4" xfId="11877" xr:uid="{00000000-0005-0000-0000-000029050000}"/>
    <cellStyle name="Currency 26 3 4 4 2" xfId="44360" xr:uid="{96260F10-0992-448D-B9F0-80218237DE6C}"/>
    <cellStyle name="Currency 26 3 4 5" xfId="14684" xr:uid="{903399F1-5F42-43D9-8EF9-D5CA6FA205A5}"/>
    <cellStyle name="Currency 26 3 5" xfId="1862" xr:uid="{00000000-0005-0000-0000-00005C070000}"/>
    <cellStyle name="Currency 26 3 5 2" xfId="7430" xr:uid="{00000000-0005-0000-0000-0000DC1A0000}"/>
    <cellStyle name="Currency 26 3 5 3" xfId="17060" xr:uid="{681016BD-5107-4C4A-8209-8EB77445ED72}"/>
    <cellStyle name="Currency 26 3 6" xfId="7415" xr:uid="{00000000-0005-0000-0000-0000CD1A0000}"/>
    <cellStyle name="Currency 26 3 7" xfId="11884" xr:uid="{00000000-0005-0000-0000-000022050000}"/>
    <cellStyle name="Currency 26 3 7 2" xfId="44367" xr:uid="{49B6C615-11B7-48ED-BA4F-2A0684420AC0}"/>
    <cellStyle name="Currency 26 3 8" xfId="14677" xr:uid="{695FEE3C-C754-4D74-9A47-C453075C3771}"/>
    <cellStyle name="Currency 26 4" xfId="1863" xr:uid="{00000000-0005-0000-0000-00005D070000}"/>
    <cellStyle name="Currency 26 4 2" xfId="1864" xr:uid="{00000000-0005-0000-0000-00005E070000}"/>
    <cellStyle name="Currency 26 4 2 2" xfId="1865" xr:uid="{00000000-0005-0000-0000-00005F070000}"/>
    <cellStyle name="Currency 26 4 2 2 2" xfId="1866" xr:uid="{00000000-0005-0000-0000-000060070000}"/>
    <cellStyle name="Currency 26 4 2 2 2 2" xfId="7434" xr:uid="{00000000-0005-0000-0000-0000E01A0000}"/>
    <cellStyle name="Currency 26 4 2 2 2 3" xfId="17070" xr:uid="{75CD7222-E8A3-48A4-974D-A8FE2AD3CBD6}"/>
    <cellStyle name="Currency 26 4 2 2 3" xfId="7433" xr:uid="{00000000-0005-0000-0000-0000DF1A0000}"/>
    <cellStyle name="Currency 26 4 2 2 4" xfId="11874" xr:uid="{00000000-0005-0000-0000-00002C050000}"/>
    <cellStyle name="Currency 26 4 2 2 4 2" xfId="44357" xr:uid="{5FEE2FF6-2B81-43B5-AEBC-4DBEA866D345}"/>
    <cellStyle name="Currency 26 4 2 2 5" xfId="14687" xr:uid="{F1C1A80A-55EA-4ABA-9422-69495DA7CFFB}"/>
    <cellStyle name="Currency 26 4 2 3" xfId="1867" xr:uid="{00000000-0005-0000-0000-000061070000}"/>
    <cellStyle name="Currency 26 4 2 3 2" xfId="7435" xr:uid="{00000000-0005-0000-0000-0000E11A0000}"/>
    <cellStyle name="Currency 26 4 2 3 3" xfId="17069" xr:uid="{096A749E-1133-4211-81AD-B5ABE4560262}"/>
    <cellStyle name="Currency 26 4 2 4" xfId="7432" xr:uid="{00000000-0005-0000-0000-0000DE1A0000}"/>
    <cellStyle name="Currency 26 4 2 5" xfId="11875" xr:uid="{00000000-0005-0000-0000-00002B050000}"/>
    <cellStyle name="Currency 26 4 2 5 2" xfId="44358" xr:uid="{C30BECE4-C520-4B5B-A5DF-E16822B5D5E8}"/>
    <cellStyle name="Currency 26 4 2 6" xfId="14686" xr:uid="{558FCC99-505A-44FE-B811-767C9EF51109}"/>
    <cellStyle name="Currency 26 4 3" xfId="1868" xr:uid="{00000000-0005-0000-0000-000062070000}"/>
    <cellStyle name="Currency 26 4 3 2" xfId="1869" xr:uid="{00000000-0005-0000-0000-000063070000}"/>
    <cellStyle name="Currency 26 4 3 2 2" xfId="7437" xr:uid="{00000000-0005-0000-0000-0000E31A0000}"/>
    <cellStyle name="Currency 26 4 3 2 3" xfId="17071" xr:uid="{7751F2E1-C22A-40CF-9B34-1B665B25DF36}"/>
    <cellStyle name="Currency 26 4 3 3" xfId="7436" xr:uid="{00000000-0005-0000-0000-0000E21A0000}"/>
    <cellStyle name="Currency 26 4 3 4" xfId="11873" xr:uid="{00000000-0005-0000-0000-00002D050000}"/>
    <cellStyle name="Currency 26 4 3 4 2" xfId="44356" xr:uid="{7E94651F-C5AC-4680-9609-B05990230F71}"/>
    <cellStyle name="Currency 26 4 3 5" xfId="14688" xr:uid="{4FD64252-2A66-4F40-A002-9136D65EED62}"/>
    <cellStyle name="Currency 26 4 4" xfId="1870" xr:uid="{00000000-0005-0000-0000-000064070000}"/>
    <cellStyle name="Currency 26 4 4 2" xfId="7438" xr:uid="{00000000-0005-0000-0000-0000E41A0000}"/>
    <cellStyle name="Currency 26 4 4 3" xfId="17068" xr:uid="{EF597A04-6D30-4135-ABA2-7EE9437C4749}"/>
    <cellStyle name="Currency 26 4 5" xfId="7431" xr:uid="{00000000-0005-0000-0000-0000DD1A0000}"/>
    <cellStyle name="Currency 26 4 6" xfId="11876" xr:uid="{00000000-0005-0000-0000-00002A050000}"/>
    <cellStyle name="Currency 26 4 6 2" xfId="44359" xr:uid="{21FFF534-EA02-492E-A17C-DD09CC740F8C}"/>
    <cellStyle name="Currency 26 4 7" xfId="14685" xr:uid="{C134E808-EE95-4F38-888F-D7EBF9CA6DF6}"/>
    <cellStyle name="Currency 26 5" xfId="1871" xr:uid="{00000000-0005-0000-0000-000065070000}"/>
    <cellStyle name="Currency 26 5 2" xfId="1872" xr:uid="{00000000-0005-0000-0000-000066070000}"/>
    <cellStyle name="Currency 26 5 2 2" xfId="1873" xr:uid="{00000000-0005-0000-0000-000067070000}"/>
    <cellStyle name="Currency 26 5 2 2 2" xfId="7441" xr:uid="{00000000-0005-0000-0000-0000E71A0000}"/>
    <cellStyle name="Currency 26 5 2 2 3" xfId="17073" xr:uid="{BFB968DD-A6AC-401A-B331-8AE491A79262}"/>
    <cellStyle name="Currency 26 5 2 3" xfId="7440" xr:uid="{00000000-0005-0000-0000-0000E61A0000}"/>
    <cellStyle name="Currency 26 5 2 4" xfId="11871" xr:uid="{00000000-0005-0000-0000-00002F050000}"/>
    <cellStyle name="Currency 26 5 2 4 2" xfId="44354" xr:uid="{B8F3E30C-9309-4C10-A1E2-E3394BE03A92}"/>
    <cellStyle name="Currency 26 5 2 5" xfId="14690" xr:uid="{41DEFCB0-2F29-4B62-A1CF-4F66A7F710F8}"/>
    <cellStyle name="Currency 26 5 3" xfId="1874" xr:uid="{00000000-0005-0000-0000-000068070000}"/>
    <cellStyle name="Currency 26 5 3 2" xfId="7442" xr:uid="{00000000-0005-0000-0000-0000E81A0000}"/>
    <cellStyle name="Currency 26 5 3 3" xfId="17072" xr:uid="{F1D834E3-D26D-4E6E-BC47-3089FF3A7917}"/>
    <cellStyle name="Currency 26 5 4" xfId="7439" xr:uid="{00000000-0005-0000-0000-0000E51A0000}"/>
    <cellStyle name="Currency 26 5 5" xfId="11872" xr:uid="{00000000-0005-0000-0000-00002E050000}"/>
    <cellStyle name="Currency 26 5 5 2" xfId="44355" xr:uid="{D9A4EBAF-D049-4A95-A50D-40C87B208098}"/>
    <cellStyle name="Currency 26 5 6" xfId="14689" xr:uid="{6F38A6D8-7B06-4A0B-AE14-66511791887F}"/>
    <cellStyle name="Currency 26 6" xfId="1875" xr:uid="{00000000-0005-0000-0000-000069070000}"/>
    <cellStyle name="Currency 26 6 2" xfId="1876" xr:uid="{00000000-0005-0000-0000-00006A070000}"/>
    <cellStyle name="Currency 26 6 2 2" xfId="7444" xr:uid="{00000000-0005-0000-0000-0000EA1A0000}"/>
    <cellStyle name="Currency 26 6 2 3" xfId="17074" xr:uid="{6C965E26-C813-49EB-86D8-9F838855F227}"/>
    <cellStyle name="Currency 26 6 3" xfId="7443" xr:uid="{00000000-0005-0000-0000-0000E91A0000}"/>
    <cellStyle name="Currency 26 6 4" xfId="11870" xr:uid="{00000000-0005-0000-0000-000030050000}"/>
    <cellStyle name="Currency 26 6 4 2" xfId="44353" xr:uid="{1E1BD77D-0A28-499D-86AB-6D5B0A9BBD24}"/>
    <cellStyle name="Currency 26 6 5" xfId="14691" xr:uid="{7B0DC809-209E-4F1F-A88A-1046E03DFD68}"/>
    <cellStyle name="Currency 26 7" xfId="1877" xr:uid="{00000000-0005-0000-0000-00006B070000}"/>
    <cellStyle name="Currency 26 7 2" xfId="7445" xr:uid="{00000000-0005-0000-0000-0000EB1A0000}"/>
    <cellStyle name="Currency 26 7 3" xfId="17051" xr:uid="{4ED1D9A2-9FF1-4B3F-BB3E-FE2BA53B33BC}"/>
    <cellStyle name="Currency 26 8" xfId="7398" xr:uid="{00000000-0005-0000-0000-0000BC1A0000}"/>
    <cellStyle name="Currency 26 9" xfId="11893" xr:uid="{00000000-0005-0000-0000-000019050000}"/>
    <cellStyle name="Currency 26 9 2" xfId="44376" xr:uid="{97A03082-9388-4677-8103-BF96035EF3F0}"/>
    <cellStyle name="Currency 27" xfId="1878" xr:uid="{00000000-0005-0000-0000-00006C070000}"/>
    <cellStyle name="Currency 27 10" xfId="14692" xr:uid="{3748ACD7-0975-49AB-865B-21EB6883D326}"/>
    <cellStyle name="Currency 27 2" xfId="1879" xr:uid="{00000000-0005-0000-0000-00006D070000}"/>
    <cellStyle name="Currency 27 2 2" xfId="1880" xr:uid="{00000000-0005-0000-0000-00006E070000}"/>
    <cellStyle name="Currency 27 2 2 2" xfId="1881" xr:uid="{00000000-0005-0000-0000-00006F070000}"/>
    <cellStyle name="Currency 27 2 2 2 2" xfId="1882" xr:uid="{00000000-0005-0000-0000-000070070000}"/>
    <cellStyle name="Currency 27 2 2 2 2 2" xfId="1883" xr:uid="{00000000-0005-0000-0000-000071070000}"/>
    <cellStyle name="Currency 27 2 2 2 2 2 2" xfId="7451" xr:uid="{00000000-0005-0000-0000-0000F11A0000}"/>
    <cellStyle name="Currency 27 2 2 2 2 2 3" xfId="17079" xr:uid="{57EA4728-7654-4BF1-BA8B-682A005E2E45}"/>
    <cellStyle name="Currency 27 2 2 2 2 3" xfId="7450" xr:uid="{00000000-0005-0000-0000-0000F01A0000}"/>
    <cellStyle name="Currency 27 2 2 2 2 4" xfId="11865" xr:uid="{00000000-0005-0000-0000-000035050000}"/>
    <cellStyle name="Currency 27 2 2 2 2 4 2" xfId="44348" xr:uid="{9D90A693-C158-454F-8148-5924E17E397B}"/>
    <cellStyle name="Currency 27 2 2 2 2 5" xfId="14696" xr:uid="{81674316-0BDD-4F50-9912-2D6FF2FD9DC7}"/>
    <cellStyle name="Currency 27 2 2 2 3" xfId="1884" xr:uid="{00000000-0005-0000-0000-000072070000}"/>
    <cellStyle name="Currency 27 2 2 2 3 2" xfId="7452" xr:uid="{00000000-0005-0000-0000-0000F21A0000}"/>
    <cellStyle name="Currency 27 2 2 2 3 3" xfId="17078" xr:uid="{A2181497-22B2-47BB-A5AC-6A27DC41F867}"/>
    <cellStyle name="Currency 27 2 2 2 4" xfId="7449" xr:uid="{00000000-0005-0000-0000-0000EF1A0000}"/>
    <cellStyle name="Currency 27 2 2 2 5" xfId="11866" xr:uid="{00000000-0005-0000-0000-000034050000}"/>
    <cellStyle name="Currency 27 2 2 2 5 2" xfId="44349" xr:uid="{961BBA2F-4C4A-4262-AD1E-683A56A5D31B}"/>
    <cellStyle name="Currency 27 2 2 2 6" xfId="14695" xr:uid="{2A9A1DB2-E37B-4294-8180-9D112D5024D1}"/>
    <cellStyle name="Currency 27 2 2 3" xfId="1885" xr:uid="{00000000-0005-0000-0000-000073070000}"/>
    <cellStyle name="Currency 27 2 2 3 2" xfId="1886" xr:uid="{00000000-0005-0000-0000-000074070000}"/>
    <cellStyle name="Currency 27 2 2 3 2 2" xfId="7454" xr:uid="{00000000-0005-0000-0000-0000F41A0000}"/>
    <cellStyle name="Currency 27 2 2 3 2 3" xfId="17080" xr:uid="{A8F56082-F99F-420D-8434-EDE72FF8B367}"/>
    <cellStyle name="Currency 27 2 2 3 3" xfId="7453" xr:uid="{00000000-0005-0000-0000-0000F31A0000}"/>
    <cellStyle name="Currency 27 2 2 3 4" xfId="11864" xr:uid="{00000000-0005-0000-0000-000036050000}"/>
    <cellStyle name="Currency 27 2 2 3 4 2" xfId="44347" xr:uid="{36EE068B-7A47-4A69-8503-C5E00565BB94}"/>
    <cellStyle name="Currency 27 2 2 3 5" xfId="14697" xr:uid="{8364921F-0E4A-4609-8C25-F6257A4491F4}"/>
    <cellStyle name="Currency 27 2 2 4" xfId="1887" xr:uid="{00000000-0005-0000-0000-000075070000}"/>
    <cellStyle name="Currency 27 2 2 4 2" xfId="7455" xr:uid="{00000000-0005-0000-0000-0000F51A0000}"/>
    <cellStyle name="Currency 27 2 2 4 3" xfId="17077" xr:uid="{6A87D9FF-A770-436F-9473-1C9A68CE0BD9}"/>
    <cellStyle name="Currency 27 2 2 5" xfId="7448" xr:uid="{00000000-0005-0000-0000-0000EE1A0000}"/>
    <cellStyle name="Currency 27 2 2 6" xfId="11867" xr:uid="{00000000-0005-0000-0000-000033050000}"/>
    <cellStyle name="Currency 27 2 2 6 2" xfId="44350" xr:uid="{F6EF9E2F-8102-4B5E-BB03-549552341011}"/>
    <cellStyle name="Currency 27 2 2 7" xfId="14694" xr:uid="{5A092A59-CE18-4D7D-97A9-5D1D19414E84}"/>
    <cellStyle name="Currency 27 2 3" xfId="1888" xr:uid="{00000000-0005-0000-0000-000076070000}"/>
    <cellStyle name="Currency 27 2 3 2" xfId="1889" xr:uid="{00000000-0005-0000-0000-000077070000}"/>
    <cellStyle name="Currency 27 2 3 2 2" xfId="1890" xr:uid="{00000000-0005-0000-0000-000078070000}"/>
    <cellStyle name="Currency 27 2 3 2 2 2" xfId="7458" xr:uid="{00000000-0005-0000-0000-0000F81A0000}"/>
    <cellStyle name="Currency 27 2 3 2 2 3" xfId="17082" xr:uid="{922879F2-B54E-4624-B368-453B17271B9B}"/>
    <cellStyle name="Currency 27 2 3 2 3" xfId="7457" xr:uid="{00000000-0005-0000-0000-0000F71A0000}"/>
    <cellStyle name="Currency 27 2 3 2 4" xfId="11862" xr:uid="{00000000-0005-0000-0000-000038050000}"/>
    <cellStyle name="Currency 27 2 3 2 4 2" xfId="44345" xr:uid="{08666A68-22EA-4A6C-BC1F-222416F2ACD0}"/>
    <cellStyle name="Currency 27 2 3 2 5" xfId="14699" xr:uid="{B5B080E4-0DB5-4480-89CB-1332C8D20D25}"/>
    <cellStyle name="Currency 27 2 3 3" xfId="1891" xr:uid="{00000000-0005-0000-0000-000079070000}"/>
    <cellStyle name="Currency 27 2 3 3 2" xfId="7459" xr:uid="{00000000-0005-0000-0000-0000F91A0000}"/>
    <cellStyle name="Currency 27 2 3 3 3" xfId="17081" xr:uid="{44B3F9E0-17DA-485D-86E2-054671C5B24A}"/>
    <cellStyle name="Currency 27 2 3 4" xfId="7456" xr:uid="{00000000-0005-0000-0000-0000F61A0000}"/>
    <cellStyle name="Currency 27 2 3 5" xfId="11863" xr:uid="{00000000-0005-0000-0000-000037050000}"/>
    <cellStyle name="Currency 27 2 3 5 2" xfId="44346" xr:uid="{33A50A2E-8AFE-4E85-BC17-16AD3A2EC9D7}"/>
    <cellStyle name="Currency 27 2 3 6" xfId="14698" xr:uid="{1B79613E-078F-46C9-8EE5-3CF1F21F213C}"/>
    <cellStyle name="Currency 27 2 4" xfId="1892" xr:uid="{00000000-0005-0000-0000-00007A070000}"/>
    <cellStyle name="Currency 27 2 4 2" xfId="1893" xr:uid="{00000000-0005-0000-0000-00007B070000}"/>
    <cellStyle name="Currency 27 2 4 2 2" xfId="7461" xr:uid="{00000000-0005-0000-0000-0000FB1A0000}"/>
    <cellStyle name="Currency 27 2 4 2 3" xfId="17083" xr:uid="{F3D8965E-638E-4DC1-99CC-4E1A040B4272}"/>
    <cellStyle name="Currency 27 2 4 3" xfId="7460" xr:uid="{00000000-0005-0000-0000-0000FA1A0000}"/>
    <cellStyle name="Currency 27 2 4 4" xfId="11861" xr:uid="{00000000-0005-0000-0000-000039050000}"/>
    <cellStyle name="Currency 27 2 4 4 2" xfId="44344" xr:uid="{9EFACA19-1798-4647-A630-C5307163F51A}"/>
    <cellStyle name="Currency 27 2 4 5" xfId="14700" xr:uid="{5ADA26E8-F3D0-45BE-ABDA-55FBF2C8137B}"/>
    <cellStyle name="Currency 27 2 5" xfId="1894" xr:uid="{00000000-0005-0000-0000-00007C070000}"/>
    <cellStyle name="Currency 27 2 5 2" xfId="7462" xr:uid="{00000000-0005-0000-0000-0000FC1A0000}"/>
    <cellStyle name="Currency 27 2 5 3" xfId="17076" xr:uid="{6E1129E4-180F-47C4-90F7-EAF1B043F2C4}"/>
    <cellStyle name="Currency 27 2 6" xfId="7447" xr:uid="{00000000-0005-0000-0000-0000ED1A0000}"/>
    <cellStyle name="Currency 27 2 7" xfId="11868" xr:uid="{00000000-0005-0000-0000-000032050000}"/>
    <cellStyle name="Currency 27 2 7 2" xfId="44351" xr:uid="{39F752AB-7759-4F55-BE4C-31DD7B04BBEE}"/>
    <cellStyle name="Currency 27 2 8" xfId="14693" xr:uid="{1427C4DD-00AA-472A-8364-89E7C4AFAEED}"/>
    <cellStyle name="Currency 27 3" xfId="1895" xr:uid="{00000000-0005-0000-0000-00007D070000}"/>
    <cellStyle name="Currency 27 3 2" xfId="1896" xr:uid="{00000000-0005-0000-0000-00007E070000}"/>
    <cellStyle name="Currency 27 3 2 2" xfId="1897" xr:uid="{00000000-0005-0000-0000-00007F070000}"/>
    <cellStyle name="Currency 27 3 2 2 2" xfId="1898" xr:uid="{00000000-0005-0000-0000-000080070000}"/>
    <cellStyle name="Currency 27 3 2 2 2 2" xfId="1899" xr:uid="{00000000-0005-0000-0000-000081070000}"/>
    <cellStyle name="Currency 27 3 2 2 2 2 2" xfId="7467" xr:uid="{00000000-0005-0000-0000-0000011B0000}"/>
    <cellStyle name="Currency 27 3 2 2 2 2 3" xfId="17087" xr:uid="{19199987-B6D0-4E9B-B45A-790FFD751E43}"/>
    <cellStyle name="Currency 27 3 2 2 2 3" xfId="7466" xr:uid="{00000000-0005-0000-0000-0000001B0000}"/>
    <cellStyle name="Currency 27 3 2 2 2 4" xfId="11857" xr:uid="{00000000-0005-0000-0000-00003D050000}"/>
    <cellStyle name="Currency 27 3 2 2 2 4 2" xfId="44340" xr:uid="{B1FA0C82-0DC2-4948-9F84-D9AFC276B763}"/>
    <cellStyle name="Currency 27 3 2 2 2 5" xfId="14704" xr:uid="{C82446A3-21D3-4296-B9D9-130AEB4AD67B}"/>
    <cellStyle name="Currency 27 3 2 2 3" xfId="1900" xr:uid="{00000000-0005-0000-0000-000082070000}"/>
    <cellStyle name="Currency 27 3 2 2 3 2" xfId="7468" xr:uid="{00000000-0005-0000-0000-0000021B0000}"/>
    <cellStyle name="Currency 27 3 2 2 3 3" xfId="17086" xr:uid="{F50E8D66-4382-4B75-AE74-4A1BD9C19398}"/>
    <cellStyle name="Currency 27 3 2 2 4" xfId="7465" xr:uid="{00000000-0005-0000-0000-0000FF1A0000}"/>
    <cellStyle name="Currency 27 3 2 2 5" xfId="11858" xr:uid="{00000000-0005-0000-0000-00003C050000}"/>
    <cellStyle name="Currency 27 3 2 2 5 2" xfId="44341" xr:uid="{D1867B94-E433-448C-9FE9-FD14C1535998}"/>
    <cellStyle name="Currency 27 3 2 2 6" xfId="14703" xr:uid="{D04866D7-EC9B-45E0-8F07-DCB7427EC463}"/>
    <cellStyle name="Currency 27 3 2 3" xfId="1901" xr:uid="{00000000-0005-0000-0000-000083070000}"/>
    <cellStyle name="Currency 27 3 2 3 2" xfId="1902" xr:uid="{00000000-0005-0000-0000-000084070000}"/>
    <cellStyle name="Currency 27 3 2 3 2 2" xfId="7470" xr:uid="{00000000-0005-0000-0000-0000041B0000}"/>
    <cellStyle name="Currency 27 3 2 3 2 3" xfId="17088" xr:uid="{0230C761-EAA7-499D-9AD5-75F129F1CE85}"/>
    <cellStyle name="Currency 27 3 2 3 3" xfId="7469" xr:uid="{00000000-0005-0000-0000-0000031B0000}"/>
    <cellStyle name="Currency 27 3 2 3 4" xfId="11856" xr:uid="{00000000-0005-0000-0000-00003E050000}"/>
    <cellStyle name="Currency 27 3 2 3 4 2" xfId="44339" xr:uid="{7760E5EC-99F3-4EBC-BE55-895622C9591E}"/>
    <cellStyle name="Currency 27 3 2 3 5" xfId="14705" xr:uid="{18C4BB08-7A1C-4280-A4B0-116D373F58A3}"/>
    <cellStyle name="Currency 27 3 2 4" xfId="1903" xr:uid="{00000000-0005-0000-0000-000085070000}"/>
    <cellStyle name="Currency 27 3 2 4 2" xfId="7471" xr:uid="{00000000-0005-0000-0000-0000051B0000}"/>
    <cellStyle name="Currency 27 3 2 4 3" xfId="17085" xr:uid="{4C110B49-2C29-42B8-BDE7-01E205EDF944}"/>
    <cellStyle name="Currency 27 3 2 5" xfId="7464" xr:uid="{00000000-0005-0000-0000-0000FE1A0000}"/>
    <cellStyle name="Currency 27 3 2 6" xfId="11859" xr:uid="{00000000-0005-0000-0000-00003B050000}"/>
    <cellStyle name="Currency 27 3 2 6 2" xfId="44342" xr:uid="{0DB7029B-0DC5-44EC-ADEA-4DF0E0EDBAE8}"/>
    <cellStyle name="Currency 27 3 2 7" xfId="14702" xr:uid="{7A952EAF-7AD6-41ED-B6EB-3378E1DAA2B2}"/>
    <cellStyle name="Currency 27 3 3" xfId="1904" xr:uid="{00000000-0005-0000-0000-000086070000}"/>
    <cellStyle name="Currency 27 3 3 2" xfId="1905" xr:uid="{00000000-0005-0000-0000-000087070000}"/>
    <cellStyle name="Currency 27 3 3 2 2" xfId="1906" xr:uid="{00000000-0005-0000-0000-000088070000}"/>
    <cellStyle name="Currency 27 3 3 2 2 2" xfId="7474" xr:uid="{00000000-0005-0000-0000-0000081B0000}"/>
    <cellStyle name="Currency 27 3 3 2 2 3" xfId="17090" xr:uid="{CAD5415D-F7B2-4AFF-A23D-EF6D15E9E21D}"/>
    <cellStyle name="Currency 27 3 3 2 3" xfId="7473" xr:uid="{00000000-0005-0000-0000-0000071B0000}"/>
    <cellStyle name="Currency 27 3 3 2 4" xfId="11854" xr:uid="{00000000-0005-0000-0000-000040050000}"/>
    <cellStyle name="Currency 27 3 3 2 4 2" xfId="44337" xr:uid="{C9E63A80-90BC-414A-AD8A-B4AF5E2E1154}"/>
    <cellStyle name="Currency 27 3 3 2 5" xfId="14707" xr:uid="{B9C8A9BA-E81D-44B1-B1F7-34147A26F5F9}"/>
    <cellStyle name="Currency 27 3 3 3" xfId="1907" xr:uid="{00000000-0005-0000-0000-000089070000}"/>
    <cellStyle name="Currency 27 3 3 3 2" xfId="7475" xr:uid="{00000000-0005-0000-0000-0000091B0000}"/>
    <cellStyle name="Currency 27 3 3 3 3" xfId="17089" xr:uid="{70E839DF-2563-468C-AD61-02D18192D513}"/>
    <cellStyle name="Currency 27 3 3 4" xfId="7472" xr:uid="{00000000-0005-0000-0000-0000061B0000}"/>
    <cellStyle name="Currency 27 3 3 5" xfId="11855" xr:uid="{00000000-0005-0000-0000-00003F050000}"/>
    <cellStyle name="Currency 27 3 3 5 2" xfId="44338" xr:uid="{10FC3831-FE11-4001-9220-2327B7EB634C}"/>
    <cellStyle name="Currency 27 3 3 6" xfId="14706" xr:uid="{1E30DE35-24C1-4D1B-84C9-1DFC2680E6B6}"/>
    <cellStyle name="Currency 27 3 4" xfId="1908" xr:uid="{00000000-0005-0000-0000-00008A070000}"/>
    <cellStyle name="Currency 27 3 4 2" xfId="1909" xr:uid="{00000000-0005-0000-0000-00008B070000}"/>
    <cellStyle name="Currency 27 3 4 2 2" xfId="7477" xr:uid="{00000000-0005-0000-0000-00000B1B0000}"/>
    <cellStyle name="Currency 27 3 4 2 3" xfId="17091" xr:uid="{4D344911-4E5E-4EAD-A11A-E7F24A8FEA60}"/>
    <cellStyle name="Currency 27 3 4 3" xfId="7476" xr:uid="{00000000-0005-0000-0000-00000A1B0000}"/>
    <cellStyle name="Currency 27 3 4 4" xfId="11853" xr:uid="{00000000-0005-0000-0000-000041050000}"/>
    <cellStyle name="Currency 27 3 4 4 2" xfId="44336" xr:uid="{5E6990B4-E395-4FE5-BBF1-7F341DACB0C7}"/>
    <cellStyle name="Currency 27 3 4 5" xfId="14708" xr:uid="{C509F050-DABE-4D00-9317-F35AFFE8F990}"/>
    <cellStyle name="Currency 27 3 5" xfId="1910" xr:uid="{00000000-0005-0000-0000-00008C070000}"/>
    <cellStyle name="Currency 27 3 5 2" xfId="7478" xr:uid="{00000000-0005-0000-0000-00000C1B0000}"/>
    <cellStyle name="Currency 27 3 5 3" xfId="17084" xr:uid="{2EFB091A-504A-4930-A2BA-E156C1970FC8}"/>
    <cellStyle name="Currency 27 3 6" xfId="7463" xr:uid="{00000000-0005-0000-0000-0000FD1A0000}"/>
    <cellStyle name="Currency 27 3 7" xfId="11860" xr:uid="{00000000-0005-0000-0000-00003A050000}"/>
    <cellStyle name="Currency 27 3 7 2" xfId="44343" xr:uid="{FD85AE44-52AB-4D15-8AA2-F614D1B6D1BA}"/>
    <cellStyle name="Currency 27 3 8" xfId="14701" xr:uid="{05A5D668-FA28-499F-8276-474DD6DBF967}"/>
    <cellStyle name="Currency 27 4" xfId="1911" xr:uid="{00000000-0005-0000-0000-00008D070000}"/>
    <cellStyle name="Currency 27 4 2" xfId="1912" xr:uid="{00000000-0005-0000-0000-00008E070000}"/>
    <cellStyle name="Currency 27 4 2 2" xfId="1913" xr:uid="{00000000-0005-0000-0000-00008F070000}"/>
    <cellStyle name="Currency 27 4 2 2 2" xfId="1914" xr:uid="{00000000-0005-0000-0000-000090070000}"/>
    <cellStyle name="Currency 27 4 2 2 2 2" xfId="7482" xr:uid="{00000000-0005-0000-0000-0000101B0000}"/>
    <cellStyle name="Currency 27 4 2 2 2 3" xfId="17094" xr:uid="{B5B2D40E-B41C-4E12-97C8-44E8618BCDAC}"/>
    <cellStyle name="Currency 27 4 2 2 3" xfId="7481" xr:uid="{00000000-0005-0000-0000-00000F1B0000}"/>
    <cellStyle name="Currency 27 4 2 2 4" xfId="11850" xr:uid="{00000000-0005-0000-0000-000044050000}"/>
    <cellStyle name="Currency 27 4 2 2 4 2" xfId="44333" xr:uid="{97871168-6768-4852-B3B9-AD4B1668CA07}"/>
    <cellStyle name="Currency 27 4 2 2 5" xfId="14711" xr:uid="{4B43CA0C-64DE-4FA4-9EDB-FA4DE631D5B3}"/>
    <cellStyle name="Currency 27 4 2 3" xfId="1915" xr:uid="{00000000-0005-0000-0000-000091070000}"/>
    <cellStyle name="Currency 27 4 2 3 2" xfId="7483" xr:uid="{00000000-0005-0000-0000-0000111B0000}"/>
    <cellStyle name="Currency 27 4 2 3 3" xfId="17093" xr:uid="{FE9DDBB3-9AD0-4934-A474-CE94A94281B8}"/>
    <cellStyle name="Currency 27 4 2 4" xfId="7480" xr:uid="{00000000-0005-0000-0000-00000E1B0000}"/>
    <cellStyle name="Currency 27 4 2 5" xfId="11851" xr:uid="{00000000-0005-0000-0000-000043050000}"/>
    <cellStyle name="Currency 27 4 2 5 2" xfId="44334" xr:uid="{D00399FD-C5AF-45E4-A595-2D01756F477A}"/>
    <cellStyle name="Currency 27 4 2 6" xfId="14710" xr:uid="{4E3EA946-D358-484E-AC34-92E19252CC9B}"/>
    <cellStyle name="Currency 27 4 3" xfId="1916" xr:uid="{00000000-0005-0000-0000-000092070000}"/>
    <cellStyle name="Currency 27 4 3 2" xfId="1917" xr:uid="{00000000-0005-0000-0000-000093070000}"/>
    <cellStyle name="Currency 27 4 3 2 2" xfId="7485" xr:uid="{00000000-0005-0000-0000-0000131B0000}"/>
    <cellStyle name="Currency 27 4 3 2 3" xfId="17095" xr:uid="{9A889E93-18D0-45BE-BD9F-BA17B036DED7}"/>
    <cellStyle name="Currency 27 4 3 3" xfId="7484" xr:uid="{00000000-0005-0000-0000-0000121B0000}"/>
    <cellStyle name="Currency 27 4 3 4" xfId="11849" xr:uid="{00000000-0005-0000-0000-000045050000}"/>
    <cellStyle name="Currency 27 4 3 4 2" xfId="44332" xr:uid="{E063C8C4-E7F1-4FF9-9593-72223F7B300D}"/>
    <cellStyle name="Currency 27 4 3 5" xfId="14712" xr:uid="{B2D37436-12C4-42A4-A056-2B90FF59D12A}"/>
    <cellStyle name="Currency 27 4 4" xfId="1918" xr:uid="{00000000-0005-0000-0000-000094070000}"/>
    <cellStyle name="Currency 27 4 4 2" xfId="7486" xr:uid="{00000000-0005-0000-0000-0000141B0000}"/>
    <cellStyle name="Currency 27 4 4 3" xfId="17092" xr:uid="{520232B5-DE33-4AA7-884D-25B543B50B5E}"/>
    <cellStyle name="Currency 27 4 5" xfId="7479" xr:uid="{00000000-0005-0000-0000-00000D1B0000}"/>
    <cellStyle name="Currency 27 4 6" xfId="11852" xr:uid="{00000000-0005-0000-0000-000042050000}"/>
    <cellStyle name="Currency 27 4 6 2" xfId="44335" xr:uid="{2C389FFF-3D0F-42EE-90A7-93C76958C152}"/>
    <cellStyle name="Currency 27 4 7" xfId="14709" xr:uid="{51D780C3-3CE2-4164-91E7-8617C58C57CE}"/>
    <cellStyle name="Currency 27 5" xfId="1919" xr:uid="{00000000-0005-0000-0000-000095070000}"/>
    <cellStyle name="Currency 27 5 2" xfId="1920" xr:uid="{00000000-0005-0000-0000-000096070000}"/>
    <cellStyle name="Currency 27 5 2 2" xfId="1921" xr:uid="{00000000-0005-0000-0000-000097070000}"/>
    <cellStyle name="Currency 27 5 2 2 2" xfId="7489" xr:uid="{00000000-0005-0000-0000-0000171B0000}"/>
    <cellStyle name="Currency 27 5 2 2 3" xfId="17097" xr:uid="{B964239D-C241-4C26-ADC1-B4D550367A90}"/>
    <cellStyle name="Currency 27 5 2 3" xfId="7488" xr:uid="{00000000-0005-0000-0000-0000161B0000}"/>
    <cellStyle name="Currency 27 5 2 4" xfId="11847" xr:uid="{00000000-0005-0000-0000-000047050000}"/>
    <cellStyle name="Currency 27 5 2 4 2" xfId="44330" xr:uid="{EFEEE396-51C5-4312-8605-5CD077A31480}"/>
    <cellStyle name="Currency 27 5 2 5" xfId="14714" xr:uid="{577BCF56-2EBA-427E-9B97-5DE532AB549E}"/>
    <cellStyle name="Currency 27 5 3" xfId="1922" xr:uid="{00000000-0005-0000-0000-000098070000}"/>
    <cellStyle name="Currency 27 5 3 2" xfId="7490" xr:uid="{00000000-0005-0000-0000-0000181B0000}"/>
    <cellStyle name="Currency 27 5 3 3" xfId="17096" xr:uid="{7ADE9911-E2C9-4FF8-B7D9-4AD026E4976E}"/>
    <cellStyle name="Currency 27 5 4" xfId="7487" xr:uid="{00000000-0005-0000-0000-0000151B0000}"/>
    <cellStyle name="Currency 27 5 5" xfId="11848" xr:uid="{00000000-0005-0000-0000-000046050000}"/>
    <cellStyle name="Currency 27 5 5 2" xfId="44331" xr:uid="{0505225F-6B4C-4959-9B24-D5F6B98D53C9}"/>
    <cellStyle name="Currency 27 5 6" xfId="14713" xr:uid="{268A5F59-9D88-4044-966D-A191A0607660}"/>
    <cellStyle name="Currency 27 6" xfId="1923" xr:uid="{00000000-0005-0000-0000-000099070000}"/>
    <cellStyle name="Currency 27 6 2" xfId="1924" xr:uid="{00000000-0005-0000-0000-00009A070000}"/>
    <cellStyle name="Currency 27 6 2 2" xfId="7492" xr:uid="{00000000-0005-0000-0000-00001A1B0000}"/>
    <cellStyle name="Currency 27 6 2 3" xfId="17098" xr:uid="{6D817C60-6ABE-426B-A25E-861290747205}"/>
    <cellStyle name="Currency 27 6 3" xfId="7491" xr:uid="{00000000-0005-0000-0000-0000191B0000}"/>
    <cellStyle name="Currency 27 6 4" xfId="11846" xr:uid="{00000000-0005-0000-0000-000048050000}"/>
    <cellStyle name="Currency 27 6 4 2" xfId="44329" xr:uid="{6A4858C9-6B98-4DD2-8423-032077011337}"/>
    <cellStyle name="Currency 27 6 5" xfId="14715" xr:uid="{6D6472F2-0335-4A73-A2CD-1DBD48FD1862}"/>
    <cellStyle name="Currency 27 7" xfId="1925" xr:uid="{00000000-0005-0000-0000-00009B070000}"/>
    <cellStyle name="Currency 27 7 2" xfId="7493" xr:uid="{00000000-0005-0000-0000-00001B1B0000}"/>
    <cellStyle name="Currency 27 7 3" xfId="17075" xr:uid="{69761471-61E1-44C6-AC3D-658213A931A4}"/>
    <cellStyle name="Currency 27 8" xfId="7446" xr:uid="{00000000-0005-0000-0000-0000EC1A0000}"/>
    <cellStyle name="Currency 27 9" xfId="11869" xr:uid="{00000000-0005-0000-0000-000031050000}"/>
    <cellStyle name="Currency 27 9 2" xfId="44352" xr:uid="{59F08655-6EE6-4ED1-86EA-D70B4EB793C7}"/>
    <cellStyle name="Currency 28" xfId="1926" xr:uid="{00000000-0005-0000-0000-00009C070000}"/>
    <cellStyle name="Currency 28 10" xfId="14716" xr:uid="{37DC11B5-8421-4E77-A01C-B4313CFBCD54}"/>
    <cellStyle name="Currency 28 2" xfId="1927" xr:uid="{00000000-0005-0000-0000-00009D070000}"/>
    <cellStyle name="Currency 28 2 2" xfId="1928" xr:uid="{00000000-0005-0000-0000-00009E070000}"/>
    <cellStyle name="Currency 28 2 2 2" xfId="1929" xr:uid="{00000000-0005-0000-0000-00009F070000}"/>
    <cellStyle name="Currency 28 2 2 2 2" xfId="1930" xr:uid="{00000000-0005-0000-0000-0000A0070000}"/>
    <cellStyle name="Currency 28 2 2 2 2 2" xfId="1931" xr:uid="{00000000-0005-0000-0000-0000A1070000}"/>
    <cellStyle name="Currency 28 2 2 2 2 2 2" xfId="7499" xr:uid="{00000000-0005-0000-0000-0000211B0000}"/>
    <cellStyle name="Currency 28 2 2 2 2 2 3" xfId="17103" xr:uid="{75807662-896A-4685-921A-13ED28B46951}"/>
    <cellStyle name="Currency 28 2 2 2 2 3" xfId="7498" xr:uid="{00000000-0005-0000-0000-0000201B0000}"/>
    <cellStyle name="Currency 28 2 2 2 2 4" xfId="11841" xr:uid="{00000000-0005-0000-0000-00004D050000}"/>
    <cellStyle name="Currency 28 2 2 2 2 4 2" xfId="44324" xr:uid="{5FDD5320-F921-4D8D-8DCF-7D2C8C6A44DD}"/>
    <cellStyle name="Currency 28 2 2 2 2 5" xfId="14720" xr:uid="{49F797FE-43FE-4E3D-B04E-CDD635DFFEE9}"/>
    <cellStyle name="Currency 28 2 2 2 3" xfId="1932" xr:uid="{00000000-0005-0000-0000-0000A2070000}"/>
    <cellStyle name="Currency 28 2 2 2 3 2" xfId="7500" xr:uid="{00000000-0005-0000-0000-0000221B0000}"/>
    <cellStyle name="Currency 28 2 2 2 3 3" xfId="17102" xr:uid="{98A71264-02A0-47F3-90F2-4A1195BD037C}"/>
    <cellStyle name="Currency 28 2 2 2 4" xfId="7497" xr:uid="{00000000-0005-0000-0000-00001F1B0000}"/>
    <cellStyle name="Currency 28 2 2 2 5" xfId="11842" xr:uid="{00000000-0005-0000-0000-00004C050000}"/>
    <cellStyle name="Currency 28 2 2 2 5 2" xfId="44325" xr:uid="{55C57E37-DD60-4D1B-B297-72CADC752536}"/>
    <cellStyle name="Currency 28 2 2 2 6" xfId="14719" xr:uid="{4C00856A-B655-42B5-9EB5-90DBC8415076}"/>
    <cellStyle name="Currency 28 2 2 3" xfId="1933" xr:uid="{00000000-0005-0000-0000-0000A3070000}"/>
    <cellStyle name="Currency 28 2 2 3 2" xfId="1934" xr:uid="{00000000-0005-0000-0000-0000A4070000}"/>
    <cellStyle name="Currency 28 2 2 3 2 2" xfId="7502" xr:uid="{00000000-0005-0000-0000-0000241B0000}"/>
    <cellStyle name="Currency 28 2 2 3 2 3" xfId="17104" xr:uid="{0DED41A9-96B2-4AD4-94A0-A1A721DADF5A}"/>
    <cellStyle name="Currency 28 2 2 3 3" xfId="7501" xr:uid="{00000000-0005-0000-0000-0000231B0000}"/>
    <cellStyle name="Currency 28 2 2 3 4" xfId="11840" xr:uid="{00000000-0005-0000-0000-00004E050000}"/>
    <cellStyle name="Currency 28 2 2 3 4 2" xfId="44323" xr:uid="{DF9903D7-CCA0-4F10-B498-5E7EBDEFE5FB}"/>
    <cellStyle name="Currency 28 2 2 3 5" xfId="14721" xr:uid="{57C0E0DB-821E-4458-B66A-D6D08635C20F}"/>
    <cellStyle name="Currency 28 2 2 4" xfId="1935" xr:uid="{00000000-0005-0000-0000-0000A5070000}"/>
    <cellStyle name="Currency 28 2 2 4 2" xfId="7503" xr:uid="{00000000-0005-0000-0000-0000251B0000}"/>
    <cellStyle name="Currency 28 2 2 4 3" xfId="17101" xr:uid="{26B4A9B6-F7C4-4096-9C51-D839C0498EA1}"/>
    <cellStyle name="Currency 28 2 2 5" xfId="7496" xr:uid="{00000000-0005-0000-0000-00001E1B0000}"/>
    <cellStyle name="Currency 28 2 2 6" xfId="11843" xr:uid="{00000000-0005-0000-0000-00004B050000}"/>
    <cellStyle name="Currency 28 2 2 6 2" xfId="44326" xr:uid="{7E1FFF64-28D8-418B-B627-8C1F4E571A2C}"/>
    <cellStyle name="Currency 28 2 2 7" xfId="14718" xr:uid="{FD52DBEB-4A23-498F-A2D1-B51A4999AA51}"/>
    <cellStyle name="Currency 28 2 3" xfId="1936" xr:uid="{00000000-0005-0000-0000-0000A6070000}"/>
    <cellStyle name="Currency 28 2 3 2" xfId="1937" xr:uid="{00000000-0005-0000-0000-0000A7070000}"/>
    <cellStyle name="Currency 28 2 3 2 2" xfId="1938" xr:uid="{00000000-0005-0000-0000-0000A8070000}"/>
    <cellStyle name="Currency 28 2 3 2 2 2" xfId="7506" xr:uid="{00000000-0005-0000-0000-0000281B0000}"/>
    <cellStyle name="Currency 28 2 3 2 2 3" xfId="17106" xr:uid="{762EE50B-9769-4D8B-A4E6-71C66530F42C}"/>
    <cellStyle name="Currency 28 2 3 2 3" xfId="7505" xr:uid="{00000000-0005-0000-0000-0000271B0000}"/>
    <cellStyle name="Currency 28 2 3 2 4" xfId="11838" xr:uid="{00000000-0005-0000-0000-000050050000}"/>
    <cellStyle name="Currency 28 2 3 2 4 2" xfId="44321" xr:uid="{61F2811F-EDD3-46FF-93FE-646524584EA6}"/>
    <cellStyle name="Currency 28 2 3 2 5" xfId="14723" xr:uid="{8A0F3CB7-6C8D-4EF0-A1D7-74A8CA8B74F1}"/>
    <cellStyle name="Currency 28 2 3 3" xfId="1939" xr:uid="{00000000-0005-0000-0000-0000A9070000}"/>
    <cellStyle name="Currency 28 2 3 3 2" xfId="7507" xr:uid="{00000000-0005-0000-0000-0000291B0000}"/>
    <cellStyle name="Currency 28 2 3 3 3" xfId="17105" xr:uid="{32F02F75-F665-4010-8882-51B6BF7F011C}"/>
    <cellStyle name="Currency 28 2 3 4" xfId="7504" xr:uid="{00000000-0005-0000-0000-0000261B0000}"/>
    <cellStyle name="Currency 28 2 3 5" xfId="11839" xr:uid="{00000000-0005-0000-0000-00004F050000}"/>
    <cellStyle name="Currency 28 2 3 5 2" xfId="44322" xr:uid="{30782DC1-78F4-40E0-9B5D-5AE16D90C8B9}"/>
    <cellStyle name="Currency 28 2 3 6" xfId="14722" xr:uid="{CA9FA2C7-E9FC-473C-8C79-7BA970ECB77D}"/>
    <cellStyle name="Currency 28 2 4" xfId="1940" xr:uid="{00000000-0005-0000-0000-0000AA070000}"/>
    <cellStyle name="Currency 28 2 4 2" xfId="1941" xr:uid="{00000000-0005-0000-0000-0000AB070000}"/>
    <cellStyle name="Currency 28 2 4 2 2" xfId="7509" xr:uid="{00000000-0005-0000-0000-00002B1B0000}"/>
    <cellStyle name="Currency 28 2 4 2 3" xfId="17107" xr:uid="{446B916D-F19A-42CE-B05A-82B168BB5134}"/>
    <cellStyle name="Currency 28 2 4 3" xfId="7508" xr:uid="{00000000-0005-0000-0000-00002A1B0000}"/>
    <cellStyle name="Currency 28 2 4 4" xfId="11837" xr:uid="{00000000-0005-0000-0000-000051050000}"/>
    <cellStyle name="Currency 28 2 4 4 2" xfId="44320" xr:uid="{03E9949F-AB05-4C21-80F3-90B776B39921}"/>
    <cellStyle name="Currency 28 2 4 5" xfId="14724" xr:uid="{D10AD383-B7EA-4F6C-8E69-8E9811A69C8F}"/>
    <cellStyle name="Currency 28 2 5" xfId="1942" xr:uid="{00000000-0005-0000-0000-0000AC070000}"/>
    <cellStyle name="Currency 28 2 5 2" xfId="7510" xr:uid="{00000000-0005-0000-0000-00002C1B0000}"/>
    <cellStyle name="Currency 28 2 5 3" xfId="17100" xr:uid="{C1CFBEFB-5EB7-43D4-8F4D-EC3D700F4B28}"/>
    <cellStyle name="Currency 28 2 6" xfId="7495" xr:uid="{00000000-0005-0000-0000-00001D1B0000}"/>
    <cellStyle name="Currency 28 2 7" xfId="11844" xr:uid="{00000000-0005-0000-0000-00004A050000}"/>
    <cellStyle name="Currency 28 2 7 2" xfId="44327" xr:uid="{3515E5C8-3230-49DE-916F-E0E29C13B975}"/>
    <cellStyle name="Currency 28 2 8" xfId="14717" xr:uid="{46E3DE6C-6801-4C9E-9AA4-BDE856C53538}"/>
    <cellStyle name="Currency 28 3" xfId="1943" xr:uid="{00000000-0005-0000-0000-0000AD070000}"/>
    <cellStyle name="Currency 28 3 2" xfId="1944" xr:uid="{00000000-0005-0000-0000-0000AE070000}"/>
    <cellStyle name="Currency 28 3 2 2" xfId="1945" xr:uid="{00000000-0005-0000-0000-0000AF070000}"/>
    <cellStyle name="Currency 28 3 2 2 2" xfId="1946" xr:uid="{00000000-0005-0000-0000-0000B0070000}"/>
    <cellStyle name="Currency 28 3 2 2 2 2" xfId="1947" xr:uid="{00000000-0005-0000-0000-0000B1070000}"/>
    <cellStyle name="Currency 28 3 2 2 2 2 2" xfId="7515" xr:uid="{00000000-0005-0000-0000-0000311B0000}"/>
    <cellStyle name="Currency 28 3 2 2 2 2 3" xfId="17111" xr:uid="{EC19D660-9BC4-457C-B483-67B90C79EB79}"/>
    <cellStyle name="Currency 28 3 2 2 2 3" xfId="7514" xr:uid="{00000000-0005-0000-0000-0000301B0000}"/>
    <cellStyle name="Currency 28 3 2 2 2 4" xfId="11833" xr:uid="{00000000-0005-0000-0000-000055050000}"/>
    <cellStyle name="Currency 28 3 2 2 2 4 2" xfId="44316" xr:uid="{81AF0D9A-A928-4163-B495-DDB11755F3EB}"/>
    <cellStyle name="Currency 28 3 2 2 2 5" xfId="14728" xr:uid="{0F39A088-6D50-426A-8EE6-942C3978D7AB}"/>
    <cellStyle name="Currency 28 3 2 2 3" xfId="1948" xr:uid="{00000000-0005-0000-0000-0000B2070000}"/>
    <cellStyle name="Currency 28 3 2 2 3 2" xfId="7516" xr:uid="{00000000-0005-0000-0000-0000321B0000}"/>
    <cellStyle name="Currency 28 3 2 2 3 3" xfId="17110" xr:uid="{58740467-DAFB-4BE5-93E4-164ACE99B227}"/>
    <cellStyle name="Currency 28 3 2 2 4" xfId="7513" xr:uid="{00000000-0005-0000-0000-00002F1B0000}"/>
    <cellStyle name="Currency 28 3 2 2 5" xfId="11834" xr:uid="{00000000-0005-0000-0000-000054050000}"/>
    <cellStyle name="Currency 28 3 2 2 5 2" xfId="44317" xr:uid="{EAB736CC-0F3D-49B2-BD08-D3149E327F36}"/>
    <cellStyle name="Currency 28 3 2 2 6" xfId="14727" xr:uid="{CC009BCB-36F8-47D2-8ABC-A94516E7E20C}"/>
    <cellStyle name="Currency 28 3 2 3" xfId="1949" xr:uid="{00000000-0005-0000-0000-0000B3070000}"/>
    <cellStyle name="Currency 28 3 2 3 2" xfId="1950" xr:uid="{00000000-0005-0000-0000-0000B4070000}"/>
    <cellStyle name="Currency 28 3 2 3 2 2" xfId="7518" xr:uid="{00000000-0005-0000-0000-0000341B0000}"/>
    <cellStyle name="Currency 28 3 2 3 2 3" xfId="17112" xr:uid="{601ED895-2D1A-460C-998B-79746D7A8ED9}"/>
    <cellStyle name="Currency 28 3 2 3 3" xfId="7517" xr:uid="{00000000-0005-0000-0000-0000331B0000}"/>
    <cellStyle name="Currency 28 3 2 3 4" xfId="11832" xr:uid="{00000000-0005-0000-0000-000056050000}"/>
    <cellStyle name="Currency 28 3 2 3 4 2" xfId="44315" xr:uid="{FD96FA66-3294-4F9F-91C4-544DAF9E9C1D}"/>
    <cellStyle name="Currency 28 3 2 3 5" xfId="14729" xr:uid="{16474A4B-BA94-4417-A44A-D903EB611918}"/>
    <cellStyle name="Currency 28 3 2 4" xfId="1951" xr:uid="{00000000-0005-0000-0000-0000B5070000}"/>
    <cellStyle name="Currency 28 3 2 4 2" xfId="7519" xr:uid="{00000000-0005-0000-0000-0000351B0000}"/>
    <cellStyle name="Currency 28 3 2 4 3" xfId="17109" xr:uid="{13F570A5-2CFE-47DE-BFF0-E4BEBE5E5382}"/>
    <cellStyle name="Currency 28 3 2 5" xfId="7512" xr:uid="{00000000-0005-0000-0000-00002E1B0000}"/>
    <cellStyle name="Currency 28 3 2 6" xfId="11835" xr:uid="{00000000-0005-0000-0000-000053050000}"/>
    <cellStyle name="Currency 28 3 2 6 2" xfId="44318" xr:uid="{84C6817B-971F-4A7D-AF8E-E0ACB5259B19}"/>
    <cellStyle name="Currency 28 3 2 7" xfId="14726" xr:uid="{570111FA-0964-4F49-A215-4ED0AF63ED6C}"/>
    <cellStyle name="Currency 28 3 3" xfId="1952" xr:uid="{00000000-0005-0000-0000-0000B6070000}"/>
    <cellStyle name="Currency 28 3 3 2" xfId="1953" xr:uid="{00000000-0005-0000-0000-0000B7070000}"/>
    <cellStyle name="Currency 28 3 3 2 2" xfId="1954" xr:uid="{00000000-0005-0000-0000-0000B8070000}"/>
    <cellStyle name="Currency 28 3 3 2 2 2" xfId="7522" xr:uid="{00000000-0005-0000-0000-0000381B0000}"/>
    <cellStyle name="Currency 28 3 3 2 2 3" xfId="17114" xr:uid="{5C485B63-CB26-448A-B9C6-919E3CA62C01}"/>
    <cellStyle name="Currency 28 3 3 2 3" xfId="7521" xr:uid="{00000000-0005-0000-0000-0000371B0000}"/>
    <cellStyle name="Currency 28 3 3 2 4" xfId="11830" xr:uid="{00000000-0005-0000-0000-000058050000}"/>
    <cellStyle name="Currency 28 3 3 2 4 2" xfId="44313" xr:uid="{5CE9731B-EB34-4993-8B4B-567C18160568}"/>
    <cellStyle name="Currency 28 3 3 2 5" xfId="14731" xr:uid="{981F3232-DCA4-4867-A02B-5CB1488452B2}"/>
    <cellStyle name="Currency 28 3 3 3" xfId="1955" xr:uid="{00000000-0005-0000-0000-0000B9070000}"/>
    <cellStyle name="Currency 28 3 3 3 2" xfId="7523" xr:uid="{00000000-0005-0000-0000-0000391B0000}"/>
    <cellStyle name="Currency 28 3 3 3 3" xfId="17113" xr:uid="{037F5B15-A8A3-4A10-A702-5EC38E538509}"/>
    <cellStyle name="Currency 28 3 3 4" xfId="7520" xr:uid="{00000000-0005-0000-0000-0000361B0000}"/>
    <cellStyle name="Currency 28 3 3 5" xfId="11831" xr:uid="{00000000-0005-0000-0000-000057050000}"/>
    <cellStyle name="Currency 28 3 3 5 2" xfId="44314" xr:uid="{B83B4BA5-27BA-4B7A-AEF5-59D9B064E730}"/>
    <cellStyle name="Currency 28 3 3 6" xfId="14730" xr:uid="{4A02269B-4521-48BF-A7E6-554655F46FAD}"/>
    <cellStyle name="Currency 28 3 4" xfId="1956" xr:uid="{00000000-0005-0000-0000-0000BA070000}"/>
    <cellStyle name="Currency 28 3 4 2" xfId="1957" xr:uid="{00000000-0005-0000-0000-0000BB070000}"/>
    <cellStyle name="Currency 28 3 4 2 2" xfId="7525" xr:uid="{00000000-0005-0000-0000-00003B1B0000}"/>
    <cellStyle name="Currency 28 3 4 2 3" xfId="17115" xr:uid="{23289FD2-C319-4593-AF5A-7AABF8E9CFCE}"/>
    <cellStyle name="Currency 28 3 4 3" xfId="7524" xr:uid="{00000000-0005-0000-0000-00003A1B0000}"/>
    <cellStyle name="Currency 28 3 4 4" xfId="11829" xr:uid="{00000000-0005-0000-0000-000059050000}"/>
    <cellStyle name="Currency 28 3 4 4 2" xfId="44312" xr:uid="{51A1ECF1-F450-4B82-B5A1-00579602FC36}"/>
    <cellStyle name="Currency 28 3 4 5" xfId="14732" xr:uid="{30FA5260-DCCF-43CF-BE0F-D4CAF2FBB4FA}"/>
    <cellStyle name="Currency 28 3 5" xfId="1958" xr:uid="{00000000-0005-0000-0000-0000BC070000}"/>
    <cellStyle name="Currency 28 3 5 2" xfId="7526" xr:uid="{00000000-0005-0000-0000-00003C1B0000}"/>
    <cellStyle name="Currency 28 3 5 3" xfId="17108" xr:uid="{F454C0F8-F09E-4484-A8EB-3B19FCD3EBD0}"/>
    <cellStyle name="Currency 28 3 6" xfId="7511" xr:uid="{00000000-0005-0000-0000-00002D1B0000}"/>
    <cellStyle name="Currency 28 3 7" xfId="11836" xr:uid="{00000000-0005-0000-0000-000052050000}"/>
    <cellStyle name="Currency 28 3 7 2" xfId="44319" xr:uid="{A986E18E-8E11-47FD-A09C-1D92379BF2C1}"/>
    <cellStyle name="Currency 28 3 8" xfId="14725" xr:uid="{A724FF80-79BA-4518-856F-E394EF742B31}"/>
    <cellStyle name="Currency 28 4" xfId="1959" xr:uid="{00000000-0005-0000-0000-0000BD070000}"/>
    <cellStyle name="Currency 28 4 2" xfId="1960" xr:uid="{00000000-0005-0000-0000-0000BE070000}"/>
    <cellStyle name="Currency 28 4 2 2" xfId="1961" xr:uid="{00000000-0005-0000-0000-0000BF070000}"/>
    <cellStyle name="Currency 28 4 2 2 2" xfId="1962" xr:uid="{00000000-0005-0000-0000-0000C0070000}"/>
    <cellStyle name="Currency 28 4 2 2 2 2" xfId="7530" xr:uid="{00000000-0005-0000-0000-0000401B0000}"/>
    <cellStyle name="Currency 28 4 2 2 2 3" xfId="17118" xr:uid="{0DCEF8C1-2E91-410A-855F-C4224197CDF9}"/>
    <cellStyle name="Currency 28 4 2 2 3" xfId="7529" xr:uid="{00000000-0005-0000-0000-00003F1B0000}"/>
    <cellStyle name="Currency 28 4 2 2 4" xfId="11826" xr:uid="{00000000-0005-0000-0000-00005C050000}"/>
    <cellStyle name="Currency 28 4 2 2 4 2" xfId="44309" xr:uid="{7E2482C6-B5E2-4736-8A92-14836FDEEB6F}"/>
    <cellStyle name="Currency 28 4 2 2 5" xfId="14735" xr:uid="{45BB9A8F-7064-430A-A3A3-C5B02649DB40}"/>
    <cellStyle name="Currency 28 4 2 3" xfId="1963" xr:uid="{00000000-0005-0000-0000-0000C1070000}"/>
    <cellStyle name="Currency 28 4 2 3 2" xfId="7531" xr:uid="{00000000-0005-0000-0000-0000411B0000}"/>
    <cellStyle name="Currency 28 4 2 3 3" xfId="17117" xr:uid="{C81BEFE5-3341-4E1D-9A9B-379BE4DD6133}"/>
    <cellStyle name="Currency 28 4 2 4" xfId="7528" xr:uid="{00000000-0005-0000-0000-00003E1B0000}"/>
    <cellStyle name="Currency 28 4 2 5" xfId="11827" xr:uid="{00000000-0005-0000-0000-00005B050000}"/>
    <cellStyle name="Currency 28 4 2 5 2" xfId="44310" xr:uid="{ACD29E49-028E-41DE-8DA5-F7FAAB3A5A42}"/>
    <cellStyle name="Currency 28 4 2 6" xfId="14734" xr:uid="{E43E95E3-A896-436C-98AC-1DC12FE01A80}"/>
    <cellStyle name="Currency 28 4 3" xfId="1964" xr:uid="{00000000-0005-0000-0000-0000C2070000}"/>
    <cellStyle name="Currency 28 4 3 2" xfId="1965" xr:uid="{00000000-0005-0000-0000-0000C3070000}"/>
    <cellStyle name="Currency 28 4 3 2 2" xfId="7533" xr:uid="{00000000-0005-0000-0000-0000431B0000}"/>
    <cellStyle name="Currency 28 4 3 2 3" xfId="17119" xr:uid="{4DC9D9D4-9D53-47D6-B0BD-819FB22F66EE}"/>
    <cellStyle name="Currency 28 4 3 3" xfId="7532" xr:uid="{00000000-0005-0000-0000-0000421B0000}"/>
    <cellStyle name="Currency 28 4 3 4" xfId="11825" xr:uid="{00000000-0005-0000-0000-00005D050000}"/>
    <cellStyle name="Currency 28 4 3 4 2" xfId="44308" xr:uid="{1A4898A6-14DD-437F-A246-2629EB532A70}"/>
    <cellStyle name="Currency 28 4 3 5" xfId="14736" xr:uid="{C3642EAC-F471-415C-B4CA-B107B2EC04E3}"/>
    <cellStyle name="Currency 28 4 4" xfId="1966" xr:uid="{00000000-0005-0000-0000-0000C4070000}"/>
    <cellStyle name="Currency 28 4 4 2" xfId="7534" xr:uid="{00000000-0005-0000-0000-0000441B0000}"/>
    <cellStyle name="Currency 28 4 4 3" xfId="17116" xr:uid="{852FDC00-603F-4F30-9453-33455F5AC121}"/>
    <cellStyle name="Currency 28 4 5" xfId="7527" xr:uid="{00000000-0005-0000-0000-00003D1B0000}"/>
    <cellStyle name="Currency 28 4 6" xfId="11828" xr:uid="{00000000-0005-0000-0000-00005A050000}"/>
    <cellStyle name="Currency 28 4 6 2" xfId="44311" xr:uid="{66B0FC5D-2554-4439-813C-58CB26D8E5FE}"/>
    <cellStyle name="Currency 28 4 7" xfId="14733" xr:uid="{284864CF-AEAC-4A0E-8C80-43F4DBDABE98}"/>
    <cellStyle name="Currency 28 5" xfId="1967" xr:uid="{00000000-0005-0000-0000-0000C5070000}"/>
    <cellStyle name="Currency 28 5 2" xfId="1968" xr:uid="{00000000-0005-0000-0000-0000C6070000}"/>
    <cellStyle name="Currency 28 5 2 2" xfId="1969" xr:uid="{00000000-0005-0000-0000-0000C7070000}"/>
    <cellStyle name="Currency 28 5 2 2 2" xfId="7537" xr:uid="{00000000-0005-0000-0000-0000471B0000}"/>
    <cellStyle name="Currency 28 5 2 2 3" xfId="17121" xr:uid="{710A6CD9-DBEF-4E89-B3ED-78C0552E6A0E}"/>
    <cellStyle name="Currency 28 5 2 3" xfId="7536" xr:uid="{00000000-0005-0000-0000-0000461B0000}"/>
    <cellStyle name="Currency 28 5 2 4" xfId="11823" xr:uid="{00000000-0005-0000-0000-00005F050000}"/>
    <cellStyle name="Currency 28 5 2 4 2" xfId="44306" xr:uid="{10A87D22-006C-4DF1-9D2A-E2F220729AD9}"/>
    <cellStyle name="Currency 28 5 2 5" xfId="14738" xr:uid="{C48782F0-1FAF-4AD3-A992-7F3A339638BD}"/>
    <cellStyle name="Currency 28 5 3" xfId="1970" xr:uid="{00000000-0005-0000-0000-0000C8070000}"/>
    <cellStyle name="Currency 28 5 3 2" xfId="7538" xr:uid="{00000000-0005-0000-0000-0000481B0000}"/>
    <cellStyle name="Currency 28 5 3 3" xfId="17120" xr:uid="{68922B02-EB98-4AB4-AE41-D4B7D32CD8FF}"/>
    <cellStyle name="Currency 28 5 4" xfId="7535" xr:uid="{00000000-0005-0000-0000-0000451B0000}"/>
    <cellStyle name="Currency 28 5 5" xfId="11824" xr:uid="{00000000-0005-0000-0000-00005E050000}"/>
    <cellStyle name="Currency 28 5 5 2" xfId="44307" xr:uid="{3354FC60-D9F3-4CB2-B07C-2D33033D7F06}"/>
    <cellStyle name="Currency 28 5 6" xfId="14737" xr:uid="{71858E8C-339F-4823-9420-D0BEA2BB46E7}"/>
    <cellStyle name="Currency 28 6" xfId="1971" xr:uid="{00000000-0005-0000-0000-0000C9070000}"/>
    <cellStyle name="Currency 28 6 2" xfId="1972" xr:uid="{00000000-0005-0000-0000-0000CA070000}"/>
    <cellStyle name="Currency 28 6 2 2" xfId="7540" xr:uid="{00000000-0005-0000-0000-00004A1B0000}"/>
    <cellStyle name="Currency 28 6 2 3" xfId="17122" xr:uid="{2AED242D-2005-47FB-80C9-9B430340131A}"/>
    <cellStyle name="Currency 28 6 3" xfId="7539" xr:uid="{00000000-0005-0000-0000-0000491B0000}"/>
    <cellStyle name="Currency 28 6 4" xfId="11822" xr:uid="{00000000-0005-0000-0000-000060050000}"/>
    <cellStyle name="Currency 28 6 4 2" xfId="44305" xr:uid="{8226EB86-D9C2-48E6-BCED-E606C859F28F}"/>
    <cellStyle name="Currency 28 6 5" xfId="14739" xr:uid="{27C928C3-38BB-4837-B60B-3A2C46177227}"/>
    <cellStyle name="Currency 28 7" xfId="1973" xr:uid="{00000000-0005-0000-0000-0000CB070000}"/>
    <cellStyle name="Currency 28 7 2" xfId="7541" xr:uid="{00000000-0005-0000-0000-00004B1B0000}"/>
    <cellStyle name="Currency 28 7 3" xfId="17099" xr:uid="{A91788F0-6187-464E-9083-90C716C70F95}"/>
    <cellStyle name="Currency 28 8" xfId="7494" xr:uid="{00000000-0005-0000-0000-00001C1B0000}"/>
    <cellStyle name="Currency 28 9" xfId="11845" xr:uid="{00000000-0005-0000-0000-000049050000}"/>
    <cellStyle name="Currency 28 9 2" xfId="44328" xr:uid="{5EDB88C7-BCB3-45B2-83B2-2D5DD1679A89}"/>
    <cellStyle name="Currency 29" xfId="1974" xr:uid="{00000000-0005-0000-0000-0000CC070000}"/>
    <cellStyle name="Currency 29 10" xfId="14740" xr:uid="{CEE1DBEE-969D-40F5-968A-0F0C3CEBC2F8}"/>
    <cellStyle name="Currency 29 2" xfId="1975" xr:uid="{00000000-0005-0000-0000-0000CD070000}"/>
    <cellStyle name="Currency 29 2 2" xfId="1976" xr:uid="{00000000-0005-0000-0000-0000CE070000}"/>
    <cellStyle name="Currency 29 2 2 2" xfId="1977" xr:uid="{00000000-0005-0000-0000-0000CF070000}"/>
    <cellStyle name="Currency 29 2 2 2 2" xfId="1978" xr:uid="{00000000-0005-0000-0000-0000D0070000}"/>
    <cellStyle name="Currency 29 2 2 2 2 2" xfId="1979" xr:uid="{00000000-0005-0000-0000-0000D1070000}"/>
    <cellStyle name="Currency 29 2 2 2 2 2 2" xfId="7547" xr:uid="{00000000-0005-0000-0000-0000511B0000}"/>
    <cellStyle name="Currency 29 2 2 2 2 2 3" xfId="17127" xr:uid="{4F94A586-5C6A-4347-BC72-80DA8B1ABE4C}"/>
    <cellStyle name="Currency 29 2 2 2 2 3" xfId="7546" xr:uid="{00000000-0005-0000-0000-0000501B0000}"/>
    <cellStyle name="Currency 29 2 2 2 2 4" xfId="11817" xr:uid="{00000000-0005-0000-0000-000065050000}"/>
    <cellStyle name="Currency 29 2 2 2 2 4 2" xfId="44300" xr:uid="{1CA37F88-F409-4F7D-9B7C-DB62616D67CE}"/>
    <cellStyle name="Currency 29 2 2 2 2 5" xfId="14744" xr:uid="{6B75D5D1-60EF-4B6C-8A9D-A447F661F272}"/>
    <cellStyle name="Currency 29 2 2 2 3" xfId="1980" xr:uid="{00000000-0005-0000-0000-0000D2070000}"/>
    <cellStyle name="Currency 29 2 2 2 3 2" xfId="7548" xr:uid="{00000000-0005-0000-0000-0000521B0000}"/>
    <cellStyle name="Currency 29 2 2 2 3 3" xfId="17126" xr:uid="{F055C041-7B85-43B4-B814-796A294112E4}"/>
    <cellStyle name="Currency 29 2 2 2 4" xfId="7545" xr:uid="{00000000-0005-0000-0000-00004F1B0000}"/>
    <cellStyle name="Currency 29 2 2 2 5" xfId="11818" xr:uid="{00000000-0005-0000-0000-000064050000}"/>
    <cellStyle name="Currency 29 2 2 2 5 2" xfId="44301" xr:uid="{73E88FE6-71A8-4418-80ED-359DB7ABF042}"/>
    <cellStyle name="Currency 29 2 2 2 6" xfId="14743" xr:uid="{C348A96D-111E-49AD-B81F-3C20889C5154}"/>
    <cellStyle name="Currency 29 2 2 3" xfId="1981" xr:uid="{00000000-0005-0000-0000-0000D3070000}"/>
    <cellStyle name="Currency 29 2 2 3 2" xfId="1982" xr:uid="{00000000-0005-0000-0000-0000D4070000}"/>
    <cellStyle name="Currency 29 2 2 3 2 2" xfId="7550" xr:uid="{00000000-0005-0000-0000-0000541B0000}"/>
    <cellStyle name="Currency 29 2 2 3 2 3" xfId="17128" xr:uid="{7C8AD0B5-2ED1-4489-87EA-06FFB2D4DEF1}"/>
    <cellStyle name="Currency 29 2 2 3 3" xfId="7549" xr:uid="{00000000-0005-0000-0000-0000531B0000}"/>
    <cellStyle name="Currency 29 2 2 3 4" xfId="11816" xr:uid="{00000000-0005-0000-0000-000066050000}"/>
    <cellStyle name="Currency 29 2 2 3 4 2" xfId="44299" xr:uid="{6E36AB54-8E5C-4112-B299-AA12A243DA33}"/>
    <cellStyle name="Currency 29 2 2 3 5" xfId="14745" xr:uid="{787354E7-EC4D-4942-8793-7364C6E007EA}"/>
    <cellStyle name="Currency 29 2 2 4" xfId="1983" xr:uid="{00000000-0005-0000-0000-0000D5070000}"/>
    <cellStyle name="Currency 29 2 2 4 2" xfId="7551" xr:uid="{00000000-0005-0000-0000-0000551B0000}"/>
    <cellStyle name="Currency 29 2 2 4 3" xfId="17125" xr:uid="{6CEA7430-12A7-4F07-8275-27ED56978DAB}"/>
    <cellStyle name="Currency 29 2 2 5" xfId="7544" xr:uid="{00000000-0005-0000-0000-00004E1B0000}"/>
    <cellStyle name="Currency 29 2 2 6" xfId="11819" xr:uid="{00000000-0005-0000-0000-000063050000}"/>
    <cellStyle name="Currency 29 2 2 6 2" xfId="44302" xr:uid="{CC60BC7B-4EE0-4C13-9461-BD7D271553C6}"/>
    <cellStyle name="Currency 29 2 2 7" xfId="14742" xr:uid="{7E69EB09-C793-4B06-AB7C-9DBE97203049}"/>
    <cellStyle name="Currency 29 2 3" xfId="1984" xr:uid="{00000000-0005-0000-0000-0000D6070000}"/>
    <cellStyle name="Currency 29 2 3 2" xfId="1985" xr:uid="{00000000-0005-0000-0000-0000D7070000}"/>
    <cellStyle name="Currency 29 2 3 2 2" xfId="1986" xr:uid="{00000000-0005-0000-0000-0000D8070000}"/>
    <cellStyle name="Currency 29 2 3 2 2 2" xfId="7554" xr:uid="{00000000-0005-0000-0000-0000581B0000}"/>
    <cellStyle name="Currency 29 2 3 2 2 3" xfId="17130" xr:uid="{FAEA30AE-C3BB-43D2-960A-420615322E51}"/>
    <cellStyle name="Currency 29 2 3 2 3" xfId="7553" xr:uid="{00000000-0005-0000-0000-0000571B0000}"/>
    <cellStyle name="Currency 29 2 3 2 4" xfId="11814" xr:uid="{00000000-0005-0000-0000-000068050000}"/>
    <cellStyle name="Currency 29 2 3 2 4 2" xfId="44297" xr:uid="{8D75C074-5090-4A7E-A405-68F3DBAB2297}"/>
    <cellStyle name="Currency 29 2 3 2 5" xfId="14747" xr:uid="{3F203015-9458-4737-AAF9-A097B989A643}"/>
    <cellStyle name="Currency 29 2 3 3" xfId="1987" xr:uid="{00000000-0005-0000-0000-0000D9070000}"/>
    <cellStyle name="Currency 29 2 3 3 2" xfId="7555" xr:uid="{00000000-0005-0000-0000-0000591B0000}"/>
    <cellStyle name="Currency 29 2 3 3 3" xfId="17129" xr:uid="{09F1D193-258B-4C1C-825D-5A59796381B1}"/>
    <cellStyle name="Currency 29 2 3 4" xfId="7552" xr:uid="{00000000-0005-0000-0000-0000561B0000}"/>
    <cellStyle name="Currency 29 2 3 5" xfId="11815" xr:uid="{00000000-0005-0000-0000-000067050000}"/>
    <cellStyle name="Currency 29 2 3 5 2" xfId="44298" xr:uid="{56BDE699-7279-42F6-A957-34BEE5BBC418}"/>
    <cellStyle name="Currency 29 2 3 6" xfId="14746" xr:uid="{F9899A9F-5C5B-431D-8DD9-FB135A79CCB4}"/>
    <cellStyle name="Currency 29 2 4" xfId="1988" xr:uid="{00000000-0005-0000-0000-0000DA070000}"/>
    <cellStyle name="Currency 29 2 4 2" xfId="1989" xr:uid="{00000000-0005-0000-0000-0000DB070000}"/>
    <cellStyle name="Currency 29 2 4 2 2" xfId="7557" xr:uid="{00000000-0005-0000-0000-00005B1B0000}"/>
    <cellStyle name="Currency 29 2 4 2 3" xfId="17131" xr:uid="{6CBAE941-A4AB-43C7-8108-CA0C3799C23D}"/>
    <cellStyle name="Currency 29 2 4 3" xfId="7556" xr:uid="{00000000-0005-0000-0000-00005A1B0000}"/>
    <cellStyle name="Currency 29 2 4 4" xfId="11813" xr:uid="{00000000-0005-0000-0000-000069050000}"/>
    <cellStyle name="Currency 29 2 4 4 2" xfId="44296" xr:uid="{9C5DA684-DD3B-4CBF-9005-A8D9D1FA1D79}"/>
    <cellStyle name="Currency 29 2 4 5" xfId="14748" xr:uid="{1190EFD8-5A67-422B-9E57-319D6684FD6D}"/>
    <cellStyle name="Currency 29 2 5" xfId="1990" xr:uid="{00000000-0005-0000-0000-0000DC070000}"/>
    <cellStyle name="Currency 29 2 5 2" xfId="7558" xr:uid="{00000000-0005-0000-0000-00005C1B0000}"/>
    <cellStyle name="Currency 29 2 5 3" xfId="17124" xr:uid="{D94E50B7-3586-473A-BFB8-4E8A1648E071}"/>
    <cellStyle name="Currency 29 2 6" xfId="7543" xr:uid="{00000000-0005-0000-0000-00004D1B0000}"/>
    <cellStyle name="Currency 29 2 7" xfId="11820" xr:uid="{00000000-0005-0000-0000-000062050000}"/>
    <cellStyle name="Currency 29 2 7 2" xfId="44303" xr:uid="{8638A3C4-063D-459F-8561-5DC7A98A968F}"/>
    <cellStyle name="Currency 29 2 8" xfId="14741" xr:uid="{0470A298-5AB8-4D6F-A2F1-D1AC827F31A3}"/>
    <cellStyle name="Currency 29 3" xfId="1991" xr:uid="{00000000-0005-0000-0000-0000DD070000}"/>
    <cellStyle name="Currency 29 3 2" xfId="1992" xr:uid="{00000000-0005-0000-0000-0000DE070000}"/>
    <cellStyle name="Currency 29 3 2 2" xfId="1993" xr:uid="{00000000-0005-0000-0000-0000DF070000}"/>
    <cellStyle name="Currency 29 3 2 2 2" xfId="1994" xr:uid="{00000000-0005-0000-0000-0000E0070000}"/>
    <cellStyle name="Currency 29 3 2 2 2 2" xfId="1995" xr:uid="{00000000-0005-0000-0000-0000E1070000}"/>
    <cellStyle name="Currency 29 3 2 2 2 2 2" xfId="7563" xr:uid="{00000000-0005-0000-0000-0000611B0000}"/>
    <cellStyle name="Currency 29 3 2 2 2 2 3" xfId="17135" xr:uid="{7892D9B7-DF8F-41F5-916E-E7AE08AD8C18}"/>
    <cellStyle name="Currency 29 3 2 2 2 3" xfId="7562" xr:uid="{00000000-0005-0000-0000-0000601B0000}"/>
    <cellStyle name="Currency 29 3 2 2 2 4" xfId="11809" xr:uid="{00000000-0005-0000-0000-00006D050000}"/>
    <cellStyle name="Currency 29 3 2 2 2 4 2" xfId="44292" xr:uid="{CFE117B3-23B7-4BA1-AF16-6CC94041A5B9}"/>
    <cellStyle name="Currency 29 3 2 2 2 5" xfId="14752" xr:uid="{A5D91FE3-041D-44D7-9BE4-81CC15745878}"/>
    <cellStyle name="Currency 29 3 2 2 3" xfId="1996" xr:uid="{00000000-0005-0000-0000-0000E2070000}"/>
    <cellStyle name="Currency 29 3 2 2 3 2" xfId="7564" xr:uid="{00000000-0005-0000-0000-0000621B0000}"/>
    <cellStyle name="Currency 29 3 2 2 3 3" xfId="17134" xr:uid="{200AB5F0-37E9-4060-AE1B-CE57B2118BCF}"/>
    <cellStyle name="Currency 29 3 2 2 4" xfId="7561" xr:uid="{00000000-0005-0000-0000-00005F1B0000}"/>
    <cellStyle name="Currency 29 3 2 2 5" xfId="11810" xr:uid="{00000000-0005-0000-0000-00006C050000}"/>
    <cellStyle name="Currency 29 3 2 2 5 2" xfId="44293" xr:uid="{EA6B0764-9569-4BD9-8CCD-881D37A6235B}"/>
    <cellStyle name="Currency 29 3 2 2 6" xfId="14751" xr:uid="{348D2540-37B1-4660-9389-8E76B31CC23D}"/>
    <cellStyle name="Currency 29 3 2 3" xfId="1997" xr:uid="{00000000-0005-0000-0000-0000E3070000}"/>
    <cellStyle name="Currency 29 3 2 3 2" xfId="1998" xr:uid="{00000000-0005-0000-0000-0000E4070000}"/>
    <cellStyle name="Currency 29 3 2 3 2 2" xfId="7566" xr:uid="{00000000-0005-0000-0000-0000641B0000}"/>
    <cellStyle name="Currency 29 3 2 3 2 3" xfId="17136" xr:uid="{41454B87-4AB9-408E-AC3A-B336E40871CF}"/>
    <cellStyle name="Currency 29 3 2 3 3" xfId="7565" xr:uid="{00000000-0005-0000-0000-0000631B0000}"/>
    <cellStyle name="Currency 29 3 2 3 4" xfId="11808" xr:uid="{00000000-0005-0000-0000-00006E050000}"/>
    <cellStyle name="Currency 29 3 2 3 4 2" xfId="44291" xr:uid="{911718AC-AE10-4CE4-9CC1-7A9D4F7D0381}"/>
    <cellStyle name="Currency 29 3 2 3 5" xfId="14753" xr:uid="{9852AD87-0AF5-4D05-95C9-87C1280B1C3D}"/>
    <cellStyle name="Currency 29 3 2 4" xfId="1999" xr:uid="{00000000-0005-0000-0000-0000E5070000}"/>
    <cellStyle name="Currency 29 3 2 4 2" xfId="7567" xr:uid="{00000000-0005-0000-0000-0000651B0000}"/>
    <cellStyle name="Currency 29 3 2 4 3" xfId="17133" xr:uid="{EA9ADEE3-978E-423F-9237-32169F61E28D}"/>
    <cellStyle name="Currency 29 3 2 5" xfId="7560" xr:uid="{00000000-0005-0000-0000-00005E1B0000}"/>
    <cellStyle name="Currency 29 3 2 6" xfId="11811" xr:uid="{00000000-0005-0000-0000-00006B050000}"/>
    <cellStyle name="Currency 29 3 2 6 2" xfId="44294" xr:uid="{8E0412E1-82B5-48E9-9D85-4AB35A88D6A1}"/>
    <cellStyle name="Currency 29 3 2 7" xfId="14750" xr:uid="{DA0C4182-E867-446E-BB28-65F8890129F4}"/>
    <cellStyle name="Currency 29 3 3" xfId="2000" xr:uid="{00000000-0005-0000-0000-0000E6070000}"/>
    <cellStyle name="Currency 29 3 3 2" xfId="2001" xr:uid="{00000000-0005-0000-0000-0000E7070000}"/>
    <cellStyle name="Currency 29 3 3 2 2" xfId="2002" xr:uid="{00000000-0005-0000-0000-0000E8070000}"/>
    <cellStyle name="Currency 29 3 3 2 2 2" xfId="7570" xr:uid="{00000000-0005-0000-0000-0000681B0000}"/>
    <cellStyle name="Currency 29 3 3 2 2 3" xfId="17138" xr:uid="{584AF39B-8E4B-475D-8298-9531234CF9B3}"/>
    <cellStyle name="Currency 29 3 3 2 3" xfId="7569" xr:uid="{00000000-0005-0000-0000-0000671B0000}"/>
    <cellStyle name="Currency 29 3 3 2 4" xfId="11806" xr:uid="{00000000-0005-0000-0000-000070050000}"/>
    <cellStyle name="Currency 29 3 3 2 4 2" xfId="44289" xr:uid="{49BB2D55-46C4-4FD7-9616-3305A6B69087}"/>
    <cellStyle name="Currency 29 3 3 2 5" xfId="14755" xr:uid="{605330C2-2C3C-4C93-9A37-1D8AAFE6E6F0}"/>
    <cellStyle name="Currency 29 3 3 3" xfId="2003" xr:uid="{00000000-0005-0000-0000-0000E9070000}"/>
    <cellStyle name="Currency 29 3 3 3 2" xfId="7571" xr:uid="{00000000-0005-0000-0000-0000691B0000}"/>
    <cellStyle name="Currency 29 3 3 3 3" xfId="17137" xr:uid="{C26E74E0-DC80-429B-BDEE-84E06BEB8D23}"/>
    <cellStyle name="Currency 29 3 3 4" xfId="7568" xr:uid="{00000000-0005-0000-0000-0000661B0000}"/>
    <cellStyle name="Currency 29 3 3 5" xfId="11807" xr:uid="{00000000-0005-0000-0000-00006F050000}"/>
    <cellStyle name="Currency 29 3 3 5 2" xfId="44290" xr:uid="{1C273877-459B-4D3D-A0BE-6EAF6BCAFE4A}"/>
    <cellStyle name="Currency 29 3 3 6" xfId="14754" xr:uid="{157EDE46-71D0-43F5-BD9F-1810A5FE90E1}"/>
    <cellStyle name="Currency 29 3 4" xfId="2004" xr:uid="{00000000-0005-0000-0000-0000EA070000}"/>
    <cellStyle name="Currency 29 3 4 2" xfId="2005" xr:uid="{00000000-0005-0000-0000-0000EB070000}"/>
    <cellStyle name="Currency 29 3 4 2 2" xfId="7573" xr:uid="{00000000-0005-0000-0000-00006B1B0000}"/>
    <cellStyle name="Currency 29 3 4 2 3" xfId="17139" xr:uid="{95F07B51-F5A4-4CA2-8BE1-1DA79B6E1363}"/>
    <cellStyle name="Currency 29 3 4 3" xfId="7572" xr:uid="{00000000-0005-0000-0000-00006A1B0000}"/>
    <cellStyle name="Currency 29 3 4 4" xfId="11805" xr:uid="{00000000-0005-0000-0000-000071050000}"/>
    <cellStyle name="Currency 29 3 4 4 2" xfId="44288" xr:uid="{70E41275-57CA-4E17-83BA-BB1019EC032F}"/>
    <cellStyle name="Currency 29 3 4 5" xfId="14756" xr:uid="{E6556F82-748D-4E00-B4EC-AFD8723DDDC4}"/>
    <cellStyle name="Currency 29 3 5" xfId="2006" xr:uid="{00000000-0005-0000-0000-0000EC070000}"/>
    <cellStyle name="Currency 29 3 5 2" xfId="7574" xr:uid="{00000000-0005-0000-0000-00006C1B0000}"/>
    <cellStyle name="Currency 29 3 5 3" xfId="17132" xr:uid="{72701BA9-6D6F-429D-AEBD-92931DD495EA}"/>
    <cellStyle name="Currency 29 3 6" xfId="7559" xr:uid="{00000000-0005-0000-0000-00005D1B0000}"/>
    <cellStyle name="Currency 29 3 7" xfId="11812" xr:uid="{00000000-0005-0000-0000-00006A050000}"/>
    <cellStyle name="Currency 29 3 7 2" xfId="44295" xr:uid="{A639225A-5120-4CF0-BE24-D9D7B8800585}"/>
    <cellStyle name="Currency 29 3 8" xfId="14749" xr:uid="{C7FD99FA-0F33-4CE4-B07B-8C67670CAAAF}"/>
    <cellStyle name="Currency 29 4" xfId="2007" xr:uid="{00000000-0005-0000-0000-0000ED070000}"/>
    <cellStyle name="Currency 29 4 2" xfId="2008" xr:uid="{00000000-0005-0000-0000-0000EE070000}"/>
    <cellStyle name="Currency 29 4 2 2" xfId="2009" xr:uid="{00000000-0005-0000-0000-0000EF070000}"/>
    <cellStyle name="Currency 29 4 2 2 2" xfId="2010" xr:uid="{00000000-0005-0000-0000-0000F0070000}"/>
    <cellStyle name="Currency 29 4 2 2 2 2" xfId="7578" xr:uid="{00000000-0005-0000-0000-0000701B0000}"/>
    <cellStyle name="Currency 29 4 2 2 2 3" xfId="17142" xr:uid="{84C53593-58E9-40E6-B828-61C9ECD48405}"/>
    <cellStyle name="Currency 29 4 2 2 3" xfId="7577" xr:uid="{00000000-0005-0000-0000-00006F1B0000}"/>
    <cellStyle name="Currency 29 4 2 2 4" xfId="11802" xr:uid="{00000000-0005-0000-0000-000074050000}"/>
    <cellStyle name="Currency 29 4 2 2 4 2" xfId="44285" xr:uid="{8D374FAF-E9DC-4FA4-BE95-3E8247666C46}"/>
    <cellStyle name="Currency 29 4 2 2 5" xfId="14759" xr:uid="{4E109D81-E966-47E6-B3B6-3210C93B9046}"/>
    <cellStyle name="Currency 29 4 2 3" xfId="2011" xr:uid="{00000000-0005-0000-0000-0000F1070000}"/>
    <cellStyle name="Currency 29 4 2 3 2" xfId="7579" xr:uid="{00000000-0005-0000-0000-0000711B0000}"/>
    <cellStyle name="Currency 29 4 2 3 3" xfId="17141" xr:uid="{9EE9364F-E340-4DE6-89A0-09860B53CDC8}"/>
    <cellStyle name="Currency 29 4 2 4" xfId="7576" xr:uid="{00000000-0005-0000-0000-00006E1B0000}"/>
    <cellStyle name="Currency 29 4 2 5" xfId="11803" xr:uid="{00000000-0005-0000-0000-000073050000}"/>
    <cellStyle name="Currency 29 4 2 5 2" xfId="44286" xr:uid="{66FB58CC-D072-441A-B3CD-5C007B378D91}"/>
    <cellStyle name="Currency 29 4 2 6" xfId="14758" xr:uid="{FEE3BD90-7FF0-461C-888A-520B78F5D64C}"/>
    <cellStyle name="Currency 29 4 3" xfId="2012" xr:uid="{00000000-0005-0000-0000-0000F2070000}"/>
    <cellStyle name="Currency 29 4 3 2" xfId="2013" xr:uid="{00000000-0005-0000-0000-0000F3070000}"/>
    <cellStyle name="Currency 29 4 3 2 2" xfId="7581" xr:uid="{00000000-0005-0000-0000-0000731B0000}"/>
    <cellStyle name="Currency 29 4 3 2 3" xfId="17143" xr:uid="{3165D44B-A388-45CA-9F8D-C0DB0EA9E239}"/>
    <cellStyle name="Currency 29 4 3 3" xfId="7580" xr:uid="{00000000-0005-0000-0000-0000721B0000}"/>
    <cellStyle name="Currency 29 4 3 4" xfId="11801" xr:uid="{00000000-0005-0000-0000-000075050000}"/>
    <cellStyle name="Currency 29 4 3 4 2" xfId="44284" xr:uid="{1BD67D10-64BE-4DDF-AB39-3DA7A565C0CA}"/>
    <cellStyle name="Currency 29 4 3 5" xfId="14760" xr:uid="{45B9B79F-231D-4286-B4E2-969E9E563FE8}"/>
    <cellStyle name="Currency 29 4 4" xfId="2014" xr:uid="{00000000-0005-0000-0000-0000F4070000}"/>
    <cellStyle name="Currency 29 4 4 2" xfId="7582" xr:uid="{00000000-0005-0000-0000-0000741B0000}"/>
    <cellStyle name="Currency 29 4 4 3" xfId="17140" xr:uid="{C81F9203-7CBB-470D-8C70-D550CBCB0434}"/>
    <cellStyle name="Currency 29 4 5" xfId="7575" xr:uid="{00000000-0005-0000-0000-00006D1B0000}"/>
    <cellStyle name="Currency 29 4 6" xfId="11804" xr:uid="{00000000-0005-0000-0000-000072050000}"/>
    <cellStyle name="Currency 29 4 6 2" xfId="44287" xr:uid="{65CFA45D-55EF-4831-BAFC-5C3E730BED35}"/>
    <cellStyle name="Currency 29 4 7" xfId="14757" xr:uid="{55412BB4-B0E3-454F-A8DD-7999E7DF71A7}"/>
    <cellStyle name="Currency 29 5" xfId="2015" xr:uid="{00000000-0005-0000-0000-0000F5070000}"/>
    <cellStyle name="Currency 29 5 2" xfId="2016" xr:uid="{00000000-0005-0000-0000-0000F6070000}"/>
    <cellStyle name="Currency 29 5 2 2" xfId="2017" xr:uid="{00000000-0005-0000-0000-0000F7070000}"/>
    <cellStyle name="Currency 29 5 2 2 2" xfId="7585" xr:uid="{00000000-0005-0000-0000-0000771B0000}"/>
    <cellStyle name="Currency 29 5 2 2 3" xfId="17145" xr:uid="{3304268C-3B41-4F29-B3D6-0AD33224FA59}"/>
    <cellStyle name="Currency 29 5 2 3" xfId="7584" xr:uid="{00000000-0005-0000-0000-0000761B0000}"/>
    <cellStyle name="Currency 29 5 2 4" xfId="11799" xr:uid="{00000000-0005-0000-0000-000077050000}"/>
    <cellStyle name="Currency 29 5 2 4 2" xfId="44282" xr:uid="{64A7A4E1-254A-4683-A829-803A1CD07B43}"/>
    <cellStyle name="Currency 29 5 2 5" xfId="14762" xr:uid="{BD069FD8-DCF6-4830-9990-4A966C514D3B}"/>
    <cellStyle name="Currency 29 5 3" xfId="2018" xr:uid="{00000000-0005-0000-0000-0000F8070000}"/>
    <cellStyle name="Currency 29 5 3 2" xfId="7586" xr:uid="{00000000-0005-0000-0000-0000781B0000}"/>
    <cellStyle name="Currency 29 5 3 3" xfId="17144" xr:uid="{D151031A-B0FE-40DC-8CE5-FBAA4217FB0D}"/>
    <cellStyle name="Currency 29 5 4" xfId="7583" xr:uid="{00000000-0005-0000-0000-0000751B0000}"/>
    <cellStyle name="Currency 29 5 5" xfId="11800" xr:uid="{00000000-0005-0000-0000-000076050000}"/>
    <cellStyle name="Currency 29 5 5 2" xfId="44283" xr:uid="{C5D3FC7A-856A-4B64-A61C-517E2B24EA52}"/>
    <cellStyle name="Currency 29 5 6" xfId="14761" xr:uid="{75D41682-DADF-460D-B723-97ECCB128D01}"/>
    <cellStyle name="Currency 29 6" xfId="2019" xr:uid="{00000000-0005-0000-0000-0000F9070000}"/>
    <cellStyle name="Currency 29 6 2" xfId="2020" xr:uid="{00000000-0005-0000-0000-0000FA070000}"/>
    <cellStyle name="Currency 29 6 2 2" xfId="7588" xr:uid="{00000000-0005-0000-0000-00007A1B0000}"/>
    <cellStyle name="Currency 29 6 2 3" xfId="17146" xr:uid="{E6B6A2CE-AC7F-4C0B-BEBD-E12AD59A4BD3}"/>
    <cellStyle name="Currency 29 6 3" xfId="7587" xr:uid="{00000000-0005-0000-0000-0000791B0000}"/>
    <cellStyle name="Currency 29 6 4" xfId="11798" xr:uid="{00000000-0005-0000-0000-000078050000}"/>
    <cellStyle name="Currency 29 6 4 2" xfId="44281" xr:uid="{5D71AA17-2D2B-4C7E-8537-ABDEE1B7CFAC}"/>
    <cellStyle name="Currency 29 6 5" xfId="14763" xr:uid="{095A941F-134B-42EF-93E3-AD77061499B8}"/>
    <cellStyle name="Currency 29 7" xfId="2021" xr:uid="{00000000-0005-0000-0000-0000FB070000}"/>
    <cellStyle name="Currency 29 7 2" xfId="7589" xr:uid="{00000000-0005-0000-0000-00007B1B0000}"/>
    <cellStyle name="Currency 29 7 3" xfId="17123" xr:uid="{754D7724-13C1-4D66-8012-633002B79340}"/>
    <cellStyle name="Currency 29 8" xfId="7542" xr:uid="{00000000-0005-0000-0000-00004C1B0000}"/>
    <cellStyle name="Currency 29 9" xfId="11821" xr:uid="{00000000-0005-0000-0000-000061050000}"/>
    <cellStyle name="Currency 29 9 2" xfId="44304" xr:uid="{087F77D1-B197-4F58-8027-98AE83A396AE}"/>
    <cellStyle name="Currency 3" xfId="2022" xr:uid="{00000000-0005-0000-0000-0000FC070000}"/>
    <cellStyle name="Currency-- 3" xfId="23016" xr:uid="{67518A55-6CB3-4DD7-8A37-1F565AC93B67}"/>
    <cellStyle name="Currency 3 10" xfId="14764" xr:uid="{1D37FF02-489A-46DB-A52A-D5D75EB2AA85}"/>
    <cellStyle name="Currency 3 11" xfId="15023" xr:uid="{61114B10-F823-494B-BA64-C5F006E2DEE2}"/>
    <cellStyle name="Currency 3 12" xfId="37669" xr:uid="{A5FE3700-1465-45A6-B91A-128FEBA4D050}"/>
    <cellStyle name="Currency 3 13" xfId="47614" xr:uid="{8DC00D9A-F324-4CD1-AB59-6EF44B7F858B}"/>
    <cellStyle name="Currency 3 14" xfId="46091" xr:uid="{D63BD840-E3BC-4792-9A29-CE3A708166CE}"/>
    <cellStyle name="Currency 3 15" xfId="15395" xr:uid="{34292001-F73F-4CF2-8A7D-CDFFB568FB5E}"/>
    <cellStyle name="Currency 3 16" xfId="41149" xr:uid="{172F5643-539A-4348-A2A5-5B27AF05FAE2}"/>
    <cellStyle name="Currency 3 17" xfId="14956" xr:uid="{952E191D-911D-41D7-9B3D-7E6B47A8593B}"/>
    <cellStyle name="Currency 3 18" xfId="15915" xr:uid="{D14CF882-793C-46EB-865E-A5FFB92C13B0}"/>
    <cellStyle name="Currency 3 2" xfId="2023" xr:uid="{00000000-0005-0000-0000-0000FD070000}"/>
    <cellStyle name="Currency 3 2 2" xfId="2024" xr:uid="{00000000-0005-0000-0000-0000FE070000}"/>
    <cellStyle name="Currency 3 2 2 2" xfId="2025" xr:uid="{00000000-0005-0000-0000-0000FF070000}"/>
    <cellStyle name="Currency 3 2 2 2 2" xfId="2026" xr:uid="{00000000-0005-0000-0000-000000080000}"/>
    <cellStyle name="Currency 3 2 2 2 2 2" xfId="7594" xr:uid="{00000000-0005-0000-0000-00007F1B0000}"/>
    <cellStyle name="Currency 3 2 2 2 2 3" xfId="17148" xr:uid="{2690F2E5-4D40-4ED7-BCEA-274D968D0FA8}"/>
    <cellStyle name="Currency 3 2 2 2 3" xfId="7593" xr:uid="{00000000-0005-0000-0000-00007E1B0000}"/>
    <cellStyle name="Currency 3 2 2 2 4" xfId="11794" xr:uid="{00000000-0005-0000-0000-00007C050000}"/>
    <cellStyle name="Currency 3 2 2 2 4 2" xfId="44277" xr:uid="{AAA0CBCE-B3FB-4D59-8216-108969FF891C}"/>
    <cellStyle name="Currency 3 2 2 2 5" xfId="14766" xr:uid="{7F4AED27-6D1F-46A4-AF7D-4BD08308F766}"/>
    <cellStyle name="Currency 3 2 2 3" xfId="2027" xr:uid="{00000000-0005-0000-0000-000001080000}"/>
    <cellStyle name="Currency 3 2 2 3 2" xfId="7595" xr:uid="{00000000-0005-0000-0000-0000801B0000}"/>
    <cellStyle name="Currency 3 2 2 3 3" xfId="17147" xr:uid="{31C1CEE2-D0AA-4658-996D-E75A757E5133}"/>
    <cellStyle name="Currency 3 2 2 4" xfId="7592" xr:uid="{00000000-0005-0000-0000-00007D1B0000}"/>
    <cellStyle name="Currency 3 2 2 5" xfId="11795" xr:uid="{00000000-0005-0000-0000-00007B050000}"/>
    <cellStyle name="Currency 3 2 2 5 2" xfId="44278" xr:uid="{FDA66021-6D53-4204-B876-5D6A488544B4}"/>
    <cellStyle name="Currency 3 2 2 6" xfId="14765" xr:uid="{B10D0F31-25C0-4F0B-8BB1-EA406A807261}"/>
    <cellStyle name="Currency 3 2 3" xfId="2028" xr:uid="{00000000-0005-0000-0000-000002080000}"/>
    <cellStyle name="Currency 3 2 3 2" xfId="2029" xr:uid="{00000000-0005-0000-0000-000003080000}"/>
    <cellStyle name="Currency 3 2 3 2 2" xfId="7597" xr:uid="{00000000-0005-0000-0000-0000821B0000}"/>
    <cellStyle name="Currency 3 2 3 2 3" xfId="17149" xr:uid="{5468E9B3-9D89-4C2A-AE72-AF6822084F2E}"/>
    <cellStyle name="Currency 3 2 3 3" xfId="7596" xr:uid="{00000000-0005-0000-0000-0000811B0000}"/>
    <cellStyle name="Currency 3 2 3 4" xfId="11793" xr:uid="{00000000-0005-0000-0000-00007D050000}"/>
    <cellStyle name="Currency 3 2 3 4 2" xfId="44276" xr:uid="{7EEE75D8-FC6F-4DD8-BA3E-53C23C05DA4F}"/>
    <cellStyle name="Currency 3 2 3 5" xfId="14767" xr:uid="{7F6E7B39-1C93-4A21-90C9-70C27D6BAA3B}"/>
    <cellStyle name="Currency 3 2 4" xfId="2030" xr:uid="{00000000-0005-0000-0000-000004080000}"/>
    <cellStyle name="Currency 3 2 4 2" xfId="2031" xr:uid="{00000000-0005-0000-0000-000005080000}"/>
    <cellStyle name="Currency 3 2 5" xfId="2032" xr:uid="{00000000-0005-0000-0000-000006080000}"/>
    <cellStyle name="Currency 3 2 5 2" xfId="2033" xr:uid="{00000000-0005-0000-0000-000007080000}"/>
    <cellStyle name="Currency 3 2 5 2 2" xfId="7601" xr:uid="{00000000-0005-0000-0000-0000841B0000}"/>
    <cellStyle name="Currency 3 2 5 2 3" xfId="17150" xr:uid="{CB4F7E3C-0F29-48E9-B697-EB714540CD7B}"/>
    <cellStyle name="Currency 3 2 5 3" xfId="7600" xr:uid="{00000000-0005-0000-0000-0000831B0000}"/>
    <cellStyle name="Currency 3 2 5 4" xfId="11792" xr:uid="{00000000-0005-0000-0000-00007F050000}"/>
    <cellStyle name="Currency 3 2 5 4 2" xfId="44275" xr:uid="{74E6E0EE-602C-4D47-83A4-497BEEEF12C8}"/>
    <cellStyle name="Currency 3 2 5 5" xfId="14769" xr:uid="{1B1624D4-7860-4010-93D7-0ACC8C54CDB5}"/>
    <cellStyle name="Currency 3 2 6" xfId="2034" xr:uid="{00000000-0005-0000-0000-000008080000}"/>
    <cellStyle name="Currency 3 2 7" xfId="11796" xr:uid="{00000000-0005-0000-0000-00007A050000}"/>
    <cellStyle name="Currency 3 3" xfId="2035" xr:uid="{00000000-0005-0000-0000-000009080000}"/>
    <cellStyle name="Currency 3 3 2" xfId="2036" xr:uid="{00000000-0005-0000-0000-00000A080000}"/>
    <cellStyle name="Currency 3 4" xfId="2037" xr:uid="{00000000-0005-0000-0000-00000B080000}"/>
    <cellStyle name="Currency 3 4 2" xfId="7605" xr:uid="{00000000-0005-0000-0000-0000851B0000}"/>
    <cellStyle name="Currency 3 4 3" xfId="11791" xr:uid="{00000000-0005-0000-0000-000081050000}"/>
    <cellStyle name="Currency 3 4 3 2" xfId="44274" xr:uid="{70CA7B1F-6FD7-4BD1-A1F1-F939CEDFFD9F}"/>
    <cellStyle name="Currency 3 4 4" xfId="14770" xr:uid="{03F5E8B5-5CF8-46E0-9F82-55F7FD1E3B0E}"/>
    <cellStyle name="Currency 3 5" xfId="2038" xr:uid="{00000000-0005-0000-0000-00000C080000}"/>
    <cellStyle name="Currency 3 5 2" xfId="2039" xr:uid="{00000000-0005-0000-0000-00000D080000}"/>
    <cellStyle name="Currency 3 6" xfId="2040" xr:uid="{00000000-0005-0000-0000-00000E080000}"/>
    <cellStyle name="Currency 3 6 2" xfId="7608" xr:uid="{00000000-0005-0000-0000-0000861B0000}"/>
    <cellStyle name="Currency 3 6 3" xfId="11790" xr:uid="{00000000-0005-0000-0000-000083050000}"/>
    <cellStyle name="Currency 3 6 3 2" xfId="44273" xr:uid="{90954B70-240B-4133-949A-5502152491F5}"/>
    <cellStyle name="Currency 3 6 4" xfId="14771" xr:uid="{122A68C2-7932-4992-82A3-1A684D395FCD}"/>
    <cellStyle name="Currency 3 7" xfId="2041" xr:uid="{00000000-0005-0000-0000-00000F080000}"/>
    <cellStyle name="Currency 3 7 2" xfId="7609" xr:uid="{00000000-0005-0000-0000-0000871B0000}"/>
    <cellStyle name="Currency 3 7 2 2" xfId="23481" xr:uid="{0635E8DA-F002-4E18-8408-979B5D2EB961}"/>
    <cellStyle name="Currency 3 7 3" xfId="17346" xr:uid="{64179D6D-31E7-46B1-8773-7180C8A4D9E9}"/>
    <cellStyle name="Currency 3 8" xfId="7590" xr:uid="{00000000-0005-0000-0000-00007C1B0000}"/>
    <cellStyle name="Currency 3 8 2" xfId="17956" xr:uid="{0B08D83B-D1F0-4F4D-938B-F5FDC22E136E}"/>
    <cellStyle name="Currency 3 9" xfId="11797" xr:uid="{00000000-0005-0000-0000-000079050000}"/>
    <cellStyle name="Currency 3 9 2" xfId="44280" xr:uid="{105F3238-74BB-467B-A754-14FC8EC038C3}"/>
    <cellStyle name="Currency 30" xfId="2042" xr:uid="{00000000-0005-0000-0000-000010080000}"/>
    <cellStyle name="Currency 30 2" xfId="7610" xr:uid="{00000000-0005-0000-0000-0000881B0000}"/>
    <cellStyle name="Currency 30 2 2" xfId="23013" xr:uid="{FA976A24-5F2D-4000-B95D-54D21A26DBDE}"/>
    <cellStyle name="Currency 30 3" xfId="9339" xr:uid="{00000000-0005-0000-0000-000050120000}"/>
    <cellStyle name="Currency 30 3 2" xfId="41860" xr:uid="{04A7C2CE-022F-40F5-9C7C-4DA8F6D32D6C}"/>
    <cellStyle name="Currency 30 4" xfId="17351" xr:uid="{E5E6F783-FE6A-42FB-8A23-21263A94A904}"/>
    <cellStyle name="Currency 31" xfId="2043" xr:uid="{00000000-0005-0000-0000-000011080000}"/>
    <cellStyle name="Currency 31 2" xfId="7611" xr:uid="{00000000-0005-0000-0000-0000891B0000}"/>
    <cellStyle name="Currency 31 3" xfId="18811" xr:uid="{D9E0C4FD-C009-4D6E-85E6-1E8238E7D6BC}"/>
    <cellStyle name="Currency 32" xfId="18574" xr:uid="{07BC3B78-A04F-4FF7-A3C8-F866A839C856}"/>
    <cellStyle name="Currency 33" xfId="17371" xr:uid="{EC61F945-62CE-4B02-9E70-285FB7263C50}"/>
    <cellStyle name="Currency 34" xfId="18831" xr:uid="{54380F6B-392C-47E5-A09C-ACB9142D1CF7}"/>
    <cellStyle name="Currency 35" xfId="21274" xr:uid="{423D965D-6355-458A-8344-EDB1E7E0547B}"/>
    <cellStyle name="Currency 36" xfId="20208" xr:uid="{3806E42C-3416-4DA1-B745-62FBD55F5116}"/>
    <cellStyle name="Currency 37" xfId="20867" xr:uid="{1AD6455A-9466-4554-93DF-1A042EA0457D}"/>
    <cellStyle name="Currency 38" xfId="19081" xr:uid="{8B5D35F7-A90C-4B9D-9E55-E079F95F17A6}"/>
    <cellStyle name="Currency 39" xfId="19595" xr:uid="{B4CFBC56-E82B-4042-8E5F-03362EF395B8}"/>
    <cellStyle name="Currency 4" xfId="2044" xr:uid="{00000000-0005-0000-0000-000012080000}"/>
    <cellStyle name="Currency-- 4" xfId="14413" xr:uid="{D33AE13B-B78A-4642-9580-9803CDFC5DC7}"/>
    <cellStyle name="Currency 4 10" xfId="2045" xr:uid="{00000000-0005-0000-0000-000013080000}"/>
    <cellStyle name="Currency 4 10 2" xfId="2046" xr:uid="{00000000-0005-0000-0000-000014080000}"/>
    <cellStyle name="Currency 4 11" xfId="2047" xr:uid="{00000000-0005-0000-0000-000015080000}"/>
    <cellStyle name="Currency 4 11 2" xfId="7615" xr:uid="{00000000-0005-0000-0000-00008B1B0000}"/>
    <cellStyle name="Currency 4 11 3" xfId="17338" xr:uid="{30C59D46-1638-46B9-9DCB-48083F24C71E}"/>
    <cellStyle name="Currency 4 12" xfId="2048" xr:uid="{00000000-0005-0000-0000-000016080000}"/>
    <cellStyle name="Currency 4 13" xfId="7612" xr:uid="{00000000-0005-0000-0000-00008A1B0000}"/>
    <cellStyle name="Currency 4 13 2" xfId="18731" xr:uid="{76323C38-43A9-4DBF-9013-EDB04794BE27}"/>
    <cellStyle name="Currency 4 14" xfId="11789" xr:uid="{00000000-0005-0000-0000-000084050000}"/>
    <cellStyle name="Currency 4 14 2" xfId="17957" xr:uid="{3A4F5EA6-BEE4-48D9-97C2-45F6EB6298D3}"/>
    <cellStyle name="Currency 4 15" xfId="17387" xr:uid="{53C62504-758D-4A9C-B223-E2FE96DCF74A}"/>
    <cellStyle name="Currency 4 16" xfId="14772" xr:uid="{E31C8130-7E95-480D-A612-1C7E92803F38}"/>
    <cellStyle name="Currency 4 17" xfId="17279" xr:uid="{79024A95-EF96-4F98-B35E-F641BAD3FEAA}"/>
    <cellStyle name="Currency 4 18" xfId="37659" xr:uid="{60655A7A-6EF6-4969-9E40-54F40528A63D}"/>
    <cellStyle name="Currency 4 19" xfId="47610" xr:uid="{4223CA28-299C-4C46-B1C3-28E57816B950}"/>
    <cellStyle name="Currency 4 2" xfId="2049" xr:uid="{00000000-0005-0000-0000-000017080000}"/>
    <cellStyle name="Currency 4 2 2" xfId="2050" xr:uid="{00000000-0005-0000-0000-000018080000}"/>
    <cellStyle name="Currency 4 2 2 2" xfId="2051" xr:uid="{00000000-0005-0000-0000-000019080000}"/>
    <cellStyle name="Currency 4 2 2 2 2" xfId="2052" xr:uid="{00000000-0005-0000-0000-00001A080000}"/>
    <cellStyle name="Currency 4 2 2 2 2 2" xfId="2053" xr:uid="{00000000-0005-0000-0000-00001B080000}"/>
    <cellStyle name="Currency 4 2 2 2 2 2 2" xfId="7621" xr:uid="{00000000-0005-0000-0000-0000901B0000}"/>
    <cellStyle name="Currency 4 2 2 2 2 2 3" xfId="17153" xr:uid="{6213C105-55CB-4606-9529-C21320F59DD3}"/>
    <cellStyle name="Currency 4 2 2 2 2 3" xfId="7620" xr:uid="{00000000-0005-0000-0000-00008F1B0000}"/>
    <cellStyle name="Currency 4 2 2 2 2 4" xfId="11785" xr:uid="{00000000-0005-0000-0000-000089050000}"/>
    <cellStyle name="Currency 4 2 2 2 2 4 2" xfId="44270" xr:uid="{0E443FF4-8B19-450F-AA92-E4048BD91B54}"/>
    <cellStyle name="Currency 4 2 2 2 2 5" xfId="14776" xr:uid="{BEC1801B-29E1-4C38-BE2F-9E9BCAE436AC}"/>
    <cellStyle name="Currency 4 2 2 2 3" xfId="2054" xr:uid="{00000000-0005-0000-0000-00001C080000}"/>
    <cellStyle name="Currency 4 2 2 2 3 2" xfId="7622" xr:uid="{00000000-0005-0000-0000-0000911B0000}"/>
    <cellStyle name="Currency 4 2 2 2 3 3" xfId="17152" xr:uid="{964A59FC-E185-447B-9EA7-3BBB5D9E55A5}"/>
    <cellStyle name="Currency 4 2 2 2 4" xfId="7619" xr:uid="{00000000-0005-0000-0000-00008E1B0000}"/>
    <cellStyle name="Currency 4 2 2 2 5" xfId="11786" xr:uid="{00000000-0005-0000-0000-000088050000}"/>
    <cellStyle name="Currency 4 2 2 2 5 2" xfId="44271" xr:uid="{BA9EE6D9-E136-467B-AC0C-69782A38382C}"/>
    <cellStyle name="Currency 4 2 2 2 6" xfId="14775" xr:uid="{6CAAA427-C883-42B6-8298-71D9FDA13789}"/>
    <cellStyle name="Currency 4 2 2 3" xfId="2055" xr:uid="{00000000-0005-0000-0000-00001D080000}"/>
    <cellStyle name="Currency 4 2 2 3 2" xfId="2056" xr:uid="{00000000-0005-0000-0000-00001E080000}"/>
    <cellStyle name="Currency 4 2 2 3 2 2" xfId="7624" xr:uid="{00000000-0005-0000-0000-0000931B0000}"/>
    <cellStyle name="Currency 4 2 2 3 2 3" xfId="17154" xr:uid="{1C3E37A6-BDF6-4647-9D24-98A8C4A69282}"/>
    <cellStyle name="Currency 4 2 2 3 3" xfId="7623" xr:uid="{00000000-0005-0000-0000-0000921B0000}"/>
    <cellStyle name="Currency 4 2 2 3 4" xfId="11784" xr:uid="{00000000-0005-0000-0000-00008A050000}"/>
    <cellStyle name="Currency 4 2 2 3 4 2" xfId="44269" xr:uid="{B851AACC-E60E-43A2-8080-D68F81345D02}"/>
    <cellStyle name="Currency 4 2 2 3 5" xfId="14777" xr:uid="{C60A73D5-1F65-4C0E-94B2-F96AC36F81F9}"/>
    <cellStyle name="Currency 4 2 2 4" xfId="2057" xr:uid="{00000000-0005-0000-0000-00001F080000}"/>
    <cellStyle name="Currency 4 2 2 4 2" xfId="7625" xr:uid="{00000000-0005-0000-0000-0000941B0000}"/>
    <cellStyle name="Currency 4 2 2 4 3" xfId="17151" xr:uid="{F6E8639F-8B14-4BE4-8292-4D00DEFBABBA}"/>
    <cellStyle name="Currency 4 2 2 5" xfId="7618" xr:uid="{00000000-0005-0000-0000-00008D1B0000}"/>
    <cellStyle name="Currency 4 2 2 6" xfId="11787" xr:uid="{00000000-0005-0000-0000-000087050000}"/>
    <cellStyle name="Currency 4 2 2 6 2" xfId="44272" xr:uid="{60A49079-6ABA-4255-824C-E8D9EDC7229D}"/>
    <cellStyle name="Currency 4 2 2 7" xfId="14774" xr:uid="{CAAE457F-A015-4400-8BDA-6F6D4D51BC8C}"/>
    <cellStyle name="Currency 4 2 3" xfId="2058" xr:uid="{00000000-0005-0000-0000-000020080000}"/>
    <cellStyle name="Currency 4 2 3 2" xfId="2059" xr:uid="{00000000-0005-0000-0000-000021080000}"/>
    <cellStyle name="Currency 4 2 3 2 2" xfId="2060" xr:uid="{00000000-0005-0000-0000-000022080000}"/>
    <cellStyle name="Currency 4 2 3 2 2 2" xfId="7628" xr:uid="{00000000-0005-0000-0000-0000971B0000}"/>
    <cellStyle name="Currency 4 2 3 2 2 3" xfId="17156" xr:uid="{8A3998EC-62A5-4DE5-8164-DEDFDA1BC154}"/>
    <cellStyle name="Currency 4 2 3 2 3" xfId="7627" xr:uid="{00000000-0005-0000-0000-0000961B0000}"/>
    <cellStyle name="Currency 4 2 3 2 4" xfId="11782" xr:uid="{00000000-0005-0000-0000-00008C050000}"/>
    <cellStyle name="Currency 4 2 3 2 4 2" xfId="44267" xr:uid="{6D343B46-8835-469D-AD56-040B821860A7}"/>
    <cellStyle name="Currency 4 2 3 2 5" xfId="14779" xr:uid="{20F888AF-E571-429D-B722-9D3805B802A7}"/>
    <cellStyle name="Currency 4 2 3 3" xfId="2061" xr:uid="{00000000-0005-0000-0000-000023080000}"/>
    <cellStyle name="Currency 4 2 3 3 2" xfId="7629" xr:uid="{00000000-0005-0000-0000-0000981B0000}"/>
    <cellStyle name="Currency 4 2 3 3 3" xfId="17155" xr:uid="{0E1CB0BA-BCC8-4A9F-9715-B279577D7570}"/>
    <cellStyle name="Currency 4 2 3 4" xfId="7626" xr:uid="{00000000-0005-0000-0000-0000951B0000}"/>
    <cellStyle name="Currency 4 2 3 5" xfId="11783" xr:uid="{00000000-0005-0000-0000-00008B050000}"/>
    <cellStyle name="Currency 4 2 3 5 2" xfId="44268" xr:uid="{17D7C558-A815-4825-9F84-7A8DD4F1F4CA}"/>
    <cellStyle name="Currency 4 2 3 6" xfId="14778" xr:uid="{5D700768-1B80-481F-A6F4-2BC5C15437AA}"/>
    <cellStyle name="Currency 4 2 4" xfId="2062" xr:uid="{00000000-0005-0000-0000-000024080000}"/>
    <cellStyle name="Currency 4 2 4 2" xfId="2063" xr:uid="{00000000-0005-0000-0000-000025080000}"/>
    <cellStyle name="Currency 4 2 4 2 2" xfId="7631" xr:uid="{00000000-0005-0000-0000-00009A1B0000}"/>
    <cellStyle name="Currency 4 2 4 2 3" xfId="17157" xr:uid="{E711D5EB-82F3-49E2-ACAF-FAF008485795}"/>
    <cellStyle name="Currency 4 2 4 3" xfId="7630" xr:uid="{00000000-0005-0000-0000-0000991B0000}"/>
    <cellStyle name="Currency 4 2 4 4" xfId="11781" xr:uid="{00000000-0005-0000-0000-00008D050000}"/>
    <cellStyle name="Currency 4 2 4 4 2" xfId="44266" xr:uid="{6F0D986D-CE28-45BC-A037-3DEE237B50CA}"/>
    <cellStyle name="Currency 4 2 4 5" xfId="14780" xr:uid="{C3D72B1F-8FCE-4DE0-A06C-EB0269A48F4D}"/>
    <cellStyle name="Currency 4 2 5" xfId="2064" xr:uid="{00000000-0005-0000-0000-000026080000}"/>
    <cellStyle name="Currency 4 2 6" xfId="7617" xr:uid="{00000000-0005-0000-0000-00008C1B0000}"/>
    <cellStyle name="Currency 4 2 6 2" xfId="18730" xr:uid="{9E4868C5-B384-42AF-B296-4B939FF9BE4B}"/>
    <cellStyle name="Currency 4 2 7" xfId="11788" xr:uid="{00000000-0005-0000-0000-000086050000}"/>
    <cellStyle name="Currency 4 2 7 2" xfId="17958" xr:uid="{2048F7F9-8B80-4563-A686-557895C84800}"/>
    <cellStyle name="Currency 4 2 8" xfId="17388" xr:uid="{9D628A94-D569-4F85-821E-29BA26A31D56}"/>
    <cellStyle name="Currency 4 2 9" xfId="14773" xr:uid="{B17DDBFA-9D4C-4EE2-90C7-52950E01AE88}"/>
    <cellStyle name="Currency 4 20" xfId="14210" xr:uid="{4AE1DB6D-07F0-4DFD-85EB-73B22EAC18C5}"/>
    <cellStyle name="Currency 4 21" xfId="47677" xr:uid="{9F25C962-BA37-4796-A0E9-7CF5F85AF7DE}"/>
    <cellStyle name="Currency 4 22" xfId="14093" xr:uid="{05B507F3-9CC8-4FD0-9E94-E64481B8636F}"/>
    <cellStyle name="Currency 4 23" xfId="16516" xr:uid="{68486CC2-D8D5-4E72-95DC-4B0F8EB47263}"/>
    <cellStyle name="Currency 4 24" xfId="47892" xr:uid="{8F965C37-32C6-4BE4-98C8-D71BECEC0591}"/>
    <cellStyle name="Currency 4 3" xfId="2065" xr:uid="{00000000-0005-0000-0000-000027080000}"/>
    <cellStyle name="Currency 4 3 2" xfId="2066" xr:uid="{00000000-0005-0000-0000-000028080000}"/>
    <cellStyle name="Currency 4 3 2 2" xfId="2067" xr:uid="{00000000-0005-0000-0000-000029080000}"/>
    <cellStyle name="Currency 4 3 2 2 2" xfId="2068" xr:uid="{00000000-0005-0000-0000-00002A080000}"/>
    <cellStyle name="Currency 4 3 2 2 2 2" xfId="2069" xr:uid="{00000000-0005-0000-0000-00002B080000}"/>
    <cellStyle name="Currency 4 3 2 2 2 2 2" xfId="7637" xr:uid="{00000000-0005-0000-0000-00009F1B0000}"/>
    <cellStyle name="Currency 4 3 2 2 2 2 3" xfId="17160" xr:uid="{8AEEBC8F-6137-4EC7-A0F6-EE734876F4EC}"/>
    <cellStyle name="Currency 4 3 2 2 2 3" xfId="7636" xr:uid="{00000000-0005-0000-0000-00009E1B0000}"/>
    <cellStyle name="Currency 4 3 2 2 2 4" xfId="11777" xr:uid="{00000000-0005-0000-0000-000091050000}"/>
    <cellStyle name="Currency 4 3 2 2 2 4 2" xfId="44263" xr:uid="{F9447762-931F-4FE3-9322-0B10BA58330B}"/>
    <cellStyle name="Currency 4 3 2 2 2 5" xfId="14784" xr:uid="{68B2E617-85B5-46C2-8B52-12B48CA831B7}"/>
    <cellStyle name="Currency 4 3 2 2 3" xfId="2070" xr:uid="{00000000-0005-0000-0000-00002C080000}"/>
    <cellStyle name="Currency 4 3 2 2 3 2" xfId="7638" xr:uid="{00000000-0005-0000-0000-0000A01B0000}"/>
    <cellStyle name="Currency 4 3 2 2 3 3" xfId="17159" xr:uid="{C530E4E4-2302-446F-AA00-BC7665CACDEB}"/>
    <cellStyle name="Currency 4 3 2 2 4" xfId="7635" xr:uid="{00000000-0005-0000-0000-00009D1B0000}"/>
    <cellStyle name="Currency 4 3 2 2 5" xfId="11778" xr:uid="{00000000-0005-0000-0000-000090050000}"/>
    <cellStyle name="Currency 4 3 2 2 5 2" xfId="44264" xr:uid="{A86CEA13-411F-49A2-8A4E-FA9CD5570444}"/>
    <cellStyle name="Currency 4 3 2 2 6" xfId="14783" xr:uid="{32055B23-9035-4424-928F-F8A5341E519C}"/>
    <cellStyle name="Currency 4 3 2 3" xfId="2071" xr:uid="{00000000-0005-0000-0000-00002D080000}"/>
    <cellStyle name="Currency 4 3 2 3 2" xfId="2072" xr:uid="{00000000-0005-0000-0000-00002E080000}"/>
    <cellStyle name="Currency 4 3 2 3 2 2" xfId="7640" xr:uid="{00000000-0005-0000-0000-0000A21B0000}"/>
    <cellStyle name="Currency 4 3 2 3 2 3" xfId="17161" xr:uid="{F24D1C3C-1E77-45B9-8656-F1FA2CDCB21C}"/>
    <cellStyle name="Currency 4 3 2 3 3" xfId="7639" xr:uid="{00000000-0005-0000-0000-0000A11B0000}"/>
    <cellStyle name="Currency 4 3 2 3 4" xfId="11776" xr:uid="{00000000-0005-0000-0000-000092050000}"/>
    <cellStyle name="Currency 4 3 2 3 4 2" xfId="44262" xr:uid="{ED7405EC-76AB-45F4-9866-33B6C1C0FF2E}"/>
    <cellStyle name="Currency 4 3 2 3 5" xfId="14785" xr:uid="{E3D48750-D24F-4723-8662-F6BAE8C80350}"/>
    <cellStyle name="Currency 4 3 2 4" xfId="2073" xr:uid="{00000000-0005-0000-0000-00002F080000}"/>
    <cellStyle name="Currency 4 3 2 4 2" xfId="7641" xr:uid="{00000000-0005-0000-0000-0000A31B0000}"/>
    <cellStyle name="Currency 4 3 2 4 3" xfId="17158" xr:uid="{A90B3400-AA9B-4584-A99F-A97711D39C63}"/>
    <cellStyle name="Currency 4 3 2 5" xfId="7634" xr:uid="{00000000-0005-0000-0000-00009C1B0000}"/>
    <cellStyle name="Currency 4 3 2 6" xfId="11779" xr:uid="{00000000-0005-0000-0000-00008F050000}"/>
    <cellStyle name="Currency 4 3 2 6 2" xfId="44265" xr:uid="{C37D6205-FCA2-478E-9470-3D33F21EDA06}"/>
    <cellStyle name="Currency 4 3 2 7" xfId="14782" xr:uid="{924F42E8-19A4-410D-9EEF-3D750B692252}"/>
    <cellStyle name="Currency 4 3 3" xfId="2074" xr:uid="{00000000-0005-0000-0000-000030080000}"/>
    <cellStyle name="Currency 4 3 3 2" xfId="2075" xr:uid="{00000000-0005-0000-0000-000031080000}"/>
    <cellStyle name="Currency 4 3 3 2 2" xfId="2076" xr:uid="{00000000-0005-0000-0000-000032080000}"/>
    <cellStyle name="Currency 4 3 3 2 2 2" xfId="7644" xr:uid="{00000000-0005-0000-0000-0000A61B0000}"/>
    <cellStyle name="Currency 4 3 3 2 2 3" xfId="17163" xr:uid="{411BEAE8-A3BA-40F7-B4AE-BB4B3BFAA3CC}"/>
    <cellStyle name="Currency 4 3 3 2 3" xfId="7643" xr:uid="{00000000-0005-0000-0000-0000A51B0000}"/>
    <cellStyle name="Currency 4 3 3 2 4" xfId="11774" xr:uid="{00000000-0005-0000-0000-000094050000}"/>
    <cellStyle name="Currency 4 3 3 2 4 2" xfId="44260" xr:uid="{8B1FBA2C-D79D-40A9-A202-4BEF3460ADAC}"/>
    <cellStyle name="Currency 4 3 3 2 5" xfId="14787" xr:uid="{342DCF5E-230B-4EA0-8331-44464FA97275}"/>
    <cellStyle name="Currency 4 3 3 3" xfId="2077" xr:uid="{00000000-0005-0000-0000-000033080000}"/>
    <cellStyle name="Currency 4 3 3 3 2" xfId="7645" xr:uid="{00000000-0005-0000-0000-0000A71B0000}"/>
    <cellStyle name="Currency 4 3 3 3 3" xfId="17162" xr:uid="{250D81D0-5D86-43D3-B351-BFC2BF39C5E3}"/>
    <cellStyle name="Currency 4 3 3 4" xfId="7642" xr:uid="{00000000-0005-0000-0000-0000A41B0000}"/>
    <cellStyle name="Currency 4 3 3 5" xfId="11775" xr:uid="{00000000-0005-0000-0000-000093050000}"/>
    <cellStyle name="Currency 4 3 3 5 2" xfId="44261" xr:uid="{46841C64-E7FC-4A33-830B-6A8DC38B7B09}"/>
    <cellStyle name="Currency 4 3 3 6" xfId="14786" xr:uid="{F8D6D2D9-CFCF-40AB-9E24-8330CA56A09D}"/>
    <cellStyle name="Currency 4 3 4" xfId="2078" xr:uid="{00000000-0005-0000-0000-000034080000}"/>
    <cellStyle name="Currency 4 3 4 2" xfId="2079" xr:uid="{00000000-0005-0000-0000-000035080000}"/>
    <cellStyle name="Currency 4 3 4 2 2" xfId="7647" xr:uid="{00000000-0005-0000-0000-0000A91B0000}"/>
    <cellStyle name="Currency 4 3 4 2 3" xfId="17164" xr:uid="{CA3E2865-B678-44E7-A0FB-8EF91ED49E8B}"/>
    <cellStyle name="Currency 4 3 4 3" xfId="7646" xr:uid="{00000000-0005-0000-0000-0000A81B0000}"/>
    <cellStyle name="Currency 4 3 4 4" xfId="11773" xr:uid="{00000000-0005-0000-0000-000095050000}"/>
    <cellStyle name="Currency 4 3 4 4 2" xfId="44259" xr:uid="{BA1EB066-2983-4294-BFF1-DAE0C1DC428E}"/>
    <cellStyle name="Currency 4 3 4 5" xfId="14788" xr:uid="{EE59DDF7-10AF-4C2D-B446-5C3EC68AE737}"/>
    <cellStyle name="Currency 4 3 5" xfId="2080" xr:uid="{00000000-0005-0000-0000-000036080000}"/>
    <cellStyle name="Currency 4 3 6" xfId="7633" xr:uid="{00000000-0005-0000-0000-00009B1B0000}"/>
    <cellStyle name="Currency 4 3 6 2" xfId="18729" xr:uid="{E88A2488-2F5E-4AD1-8174-089D7905DD38}"/>
    <cellStyle name="Currency 4 3 7" xfId="11780" xr:uid="{00000000-0005-0000-0000-00008E050000}"/>
    <cellStyle name="Currency 4 3 7 2" xfId="17959" xr:uid="{1362D8C2-B759-4477-989D-4245772DB4A6}"/>
    <cellStyle name="Currency 4 3 8" xfId="17389" xr:uid="{1819E7C9-3E97-44A1-BF85-A456AA140293}"/>
    <cellStyle name="Currency 4 3 9" xfId="14781" xr:uid="{DC142EC4-B5A7-4044-8668-E3ACCB0BBAE4}"/>
    <cellStyle name="Currency 4 4" xfId="2081" xr:uid="{00000000-0005-0000-0000-000037080000}"/>
    <cellStyle name="Currency 4 4 2" xfId="2082" xr:uid="{00000000-0005-0000-0000-000038080000}"/>
    <cellStyle name="Currency 4 4 2 2" xfId="2083" xr:uid="{00000000-0005-0000-0000-000039080000}"/>
    <cellStyle name="Currency 4 4 2 2 2" xfId="2084" xr:uid="{00000000-0005-0000-0000-00003A080000}"/>
    <cellStyle name="Currency 4 4 2 2 2 2" xfId="7652" xr:uid="{00000000-0005-0000-0000-0000AD1B0000}"/>
    <cellStyle name="Currency 4 4 2 2 2 3" xfId="17167" xr:uid="{C6B204BA-7B5A-438C-8AAE-5AB47D10D2B2}"/>
    <cellStyle name="Currency 4 4 2 2 3" xfId="7651" xr:uid="{00000000-0005-0000-0000-0000AC1B0000}"/>
    <cellStyle name="Currency 4 4 2 2 4" xfId="11770" xr:uid="{00000000-0005-0000-0000-000098050000}"/>
    <cellStyle name="Currency 4 4 2 2 4 2" xfId="44256" xr:uid="{24BB5DB5-1E52-4F53-B355-83EE05BC1B92}"/>
    <cellStyle name="Currency 4 4 2 2 5" xfId="14791" xr:uid="{24D50F26-C2F5-48B8-8CF8-B62A9DB8E27E}"/>
    <cellStyle name="Currency 4 4 2 3" xfId="2085" xr:uid="{00000000-0005-0000-0000-00003B080000}"/>
    <cellStyle name="Currency 4 4 2 3 2" xfId="7653" xr:uid="{00000000-0005-0000-0000-0000AE1B0000}"/>
    <cellStyle name="Currency 4 4 2 3 3" xfId="17166" xr:uid="{7256C946-1B54-46AE-8A90-DA885E9BCC1A}"/>
    <cellStyle name="Currency 4 4 2 4" xfId="7650" xr:uid="{00000000-0005-0000-0000-0000AB1B0000}"/>
    <cellStyle name="Currency 4 4 2 5" xfId="11771" xr:uid="{00000000-0005-0000-0000-000097050000}"/>
    <cellStyle name="Currency 4 4 2 5 2" xfId="44257" xr:uid="{063C5053-BCD4-4CC7-9AD0-09AFDDF43244}"/>
    <cellStyle name="Currency 4 4 2 6" xfId="14790" xr:uid="{DC6C90A9-8F8B-478C-9A6A-4E39DBA161DC}"/>
    <cellStyle name="Currency 4 4 3" xfId="2086" xr:uid="{00000000-0005-0000-0000-00003C080000}"/>
    <cellStyle name="Currency 4 4 3 2" xfId="2087" xr:uid="{00000000-0005-0000-0000-00003D080000}"/>
    <cellStyle name="Currency 4 4 3 2 2" xfId="7655" xr:uid="{00000000-0005-0000-0000-0000B01B0000}"/>
    <cellStyle name="Currency 4 4 3 2 3" xfId="17168" xr:uid="{FB8331D4-3D8E-4C87-969B-883E1DC13449}"/>
    <cellStyle name="Currency 4 4 3 3" xfId="7654" xr:uid="{00000000-0005-0000-0000-0000AF1B0000}"/>
    <cellStyle name="Currency 4 4 3 4" xfId="11769" xr:uid="{00000000-0005-0000-0000-000099050000}"/>
    <cellStyle name="Currency 4 4 3 4 2" xfId="44255" xr:uid="{101DA4DA-DA97-4310-8F2D-3C09FAABC225}"/>
    <cellStyle name="Currency 4 4 3 5" xfId="14792" xr:uid="{9719DC40-9740-418B-9285-6E9A2E9B364F}"/>
    <cellStyle name="Currency 4 4 4" xfId="2088" xr:uid="{00000000-0005-0000-0000-00003E080000}"/>
    <cellStyle name="Currency 4 4 4 2" xfId="7656" xr:uid="{00000000-0005-0000-0000-0000B11B0000}"/>
    <cellStyle name="Currency 4 4 4 3" xfId="17165" xr:uid="{865B6E6E-5675-4E23-BBAC-1261A32AD3DF}"/>
    <cellStyle name="Currency 4 4 5" xfId="7649" xr:uid="{00000000-0005-0000-0000-0000AA1B0000}"/>
    <cellStyle name="Currency 4 4 6" xfId="11772" xr:uid="{00000000-0005-0000-0000-000096050000}"/>
    <cellStyle name="Currency 4 4 6 2" xfId="44258" xr:uid="{2E5C71C0-CEA4-49E9-8A5D-7BC7EA690123}"/>
    <cellStyle name="Currency 4 4 7" xfId="14789" xr:uid="{7C10B9CF-4E8B-4615-89B2-D381D584B42F}"/>
    <cellStyle name="Currency 4 5" xfId="2089" xr:uid="{00000000-0005-0000-0000-00003F080000}"/>
    <cellStyle name="Currency 4 5 2" xfId="2090" xr:uid="{00000000-0005-0000-0000-000040080000}"/>
    <cellStyle name="Currency 4 5 2 2" xfId="2091" xr:uid="{00000000-0005-0000-0000-000041080000}"/>
    <cellStyle name="Currency 4 5 2 2 2" xfId="2092" xr:uid="{00000000-0005-0000-0000-000042080000}"/>
    <cellStyle name="Currency 4 5 2 2 2 2" xfId="7660" xr:uid="{00000000-0005-0000-0000-0000B51B0000}"/>
    <cellStyle name="Currency 4 5 2 2 2 3" xfId="17171" xr:uid="{3ABB024C-BE16-47E7-81EC-E21E003F046C}"/>
    <cellStyle name="Currency 4 5 2 2 3" xfId="7659" xr:uid="{00000000-0005-0000-0000-0000B41B0000}"/>
    <cellStyle name="Currency 4 5 2 2 4" xfId="11766" xr:uid="{00000000-0005-0000-0000-00009C050000}"/>
    <cellStyle name="Currency 4 5 2 2 4 2" xfId="44252" xr:uid="{7D1E037A-595D-4C3A-8978-A5E04FF47485}"/>
    <cellStyle name="Currency 4 5 2 2 5" xfId="14795" xr:uid="{6EB50115-7A5A-4E11-8607-20BE8A7B7807}"/>
    <cellStyle name="Currency 4 5 2 3" xfId="2093" xr:uid="{00000000-0005-0000-0000-000043080000}"/>
    <cellStyle name="Currency 4 5 2 3 2" xfId="7661" xr:uid="{00000000-0005-0000-0000-0000B61B0000}"/>
    <cellStyle name="Currency 4 5 2 3 3" xfId="17170" xr:uid="{22C9906F-1331-4DE8-935D-5EEB60D878C2}"/>
    <cellStyle name="Currency 4 5 2 4" xfId="7658" xr:uid="{00000000-0005-0000-0000-0000B31B0000}"/>
    <cellStyle name="Currency 4 5 2 5" xfId="11767" xr:uid="{00000000-0005-0000-0000-00009B050000}"/>
    <cellStyle name="Currency 4 5 2 5 2" xfId="44253" xr:uid="{F59FB4D5-513C-4BC6-A315-FA3D7F7CDA9E}"/>
    <cellStyle name="Currency 4 5 2 6" xfId="14794" xr:uid="{60434FDE-E8E5-4C2C-A860-5BCDBD89067C}"/>
    <cellStyle name="Currency 4 5 3" xfId="2094" xr:uid="{00000000-0005-0000-0000-000044080000}"/>
    <cellStyle name="Currency 4 5 3 2" xfId="2095" xr:uid="{00000000-0005-0000-0000-000045080000}"/>
    <cellStyle name="Currency 4 5 3 2 2" xfId="7663" xr:uid="{00000000-0005-0000-0000-0000B81B0000}"/>
    <cellStyle name="Currency 4 5 3 2 3" xfId="17172" xr:uid="{EF7D4F65-AD39-4A77-B99C-BE37C56E3DB5}"/>
    <cellStyle name="Currency 4 5 3 3" xfId="7662" xr:uid="{00000000-0005-0000-0000-0000B71B0000}"/>
    <cellStyle name="Currency 4 5 3 4" xfId="11765" xr:uid="{00000000-0005-0000-0000-00009D050000}"/>
    <cellStyle name="Currency 4 5 3 4 2" xfId="44251" xr:uid="{35F22BBE-700B-4E5F-A833-01CC0A084AB0}"/>
    <cellStyle name="Currency 4 5 3 5" xfId="14796" xr:uid="{C97A0FBB-2797-4A65-87C7-38EFC15A2D36}"/>
    <cellStyle name="Currency 4 5 4" xfId="2096" xr:uid="{00000000-0005-0000-0000-000046080000}"/>
    <cellStyle name="Currency 4 5 4 2" xfId="7664" xr:uid="{00000000-0005-0000-0000-0000B91B0000}"/>
    <cellStyle name="Currency 4 5 4 3" xfId="17169" xr:uid="{608FC010-F5F8-4DC6-B919-8ADE10549D6C}"/>
    <cellStyle name="Currency 4 5 5" xfId="7657" xr:uid="{00000000-0005-0000-0000-0000B21B0000}"/>
    <cellStyle name="Currency 4 5 6" xfId="11768" xr:uid="{00000000-0005-0000-0000-00009A050000}"/>
    <cellStyle name="Currency 4 5 6 2" xfId="44254" xr:uid="{F6BC7DEC-10A7-44CE-A7D5-143A178CEED9}"/>
    <cellStyle name="Currency 4 5 7" xfId="14793" xr:uid="{AE6B28A2-7F3B-4050-99D1-5F96C34AEF80}"/>
    <cellStyle name="Currency 4 6" xfId="2097" xr:uid="{00000000-0005-0000-0000-000047080000}"/>
    <cellStyle name="Currency 4 6 2" xfId="2098" xr:uid="{00000000-0005-0000-0000-000048080000}"/>
    <cellStyle name="Currency 4 6 2 2" xfId="2099" xr:uid="{00000000-0005-0000-0000-000049080000}"/>
    <cellStyle name="Currency 4 6 2 2 2" xfId="2100" xr:uid="{00000000-0005-0000-0000-00004A080000}"/>
    <cellStyle name="Currency 4 6 2 2 2 2" xfId="7668" xr:uid="{00000000-0005-0000-0000-0000BD1B0000}"/>
    <cellStyle name="Currency 4 6 2 2 2 3" xfId="17175" xr:uid="{BAE7EAB4-45DB-4328-AD91-C612EC3664FD}"/>
    <cellStyle name="Currency 4 6 2 2 3" xfId="7667" xr:uid="{00000000-0005-0000-0000-0000BC1B0000}"/>
    <cellStyle name="Currency 4 6 2 2 4" xfId="11762" xr:uid="{00000000-0005-0000-0000-0000A0050000}"/>
    <cellStyle name="Currency 4 6 2 2 4 2" xfId="44248" xr:uid="{A3461FFF-DF57-46B7-B5E4-F6E67ABA7BCA}"/>
    <cellStyle name="Currency 4 6 2 2 5" xfId="14799" xr:uid="{2E6AD769-1C69-4E94-B5E1-4923E975EB91}"/>
    <cellStyle name="Currency 4 6 2 3" xfId="2101" xr:uid="{00000000-0005-0000-0000-00004B080000}"/>
    <cellStyle name="Currency 4 6 2 3 2" xfId="7669" xr:uid="{00000000-0005-0000-0000-0000BE1B0000}"/>
    <cellStyle name="Currency 4 6 2 3 3" xfId="17174" xr:uid="{A81304C1-D014-4E2D-9C3F-1506F72FC659}"/>
    <cellStyle name="Currency 4 6 2 4" xfId="7666" xr:uid="{00000000-0005-0000-0000-0000BB1B0000}"/>
    <cellStyle name="Currency 4 6 2 5" xfId="11763" xr:uid="{00000000-0005-0000-0000-00009F050000}"/>
    <cellStyle name="Currency 4 6 2 5 2" xfId="44249" xr:uid="{2E9EBFBE-3756-4727-8CDC-99199A84308C}"/>
    <cellStyle name="Currency 4 6 2 6" xfId="14798" xr:uid="{8BBA4ACD-3F76-474E-B98D-71588BA0847E}"/>
    <cellStyle name="Currency 4 6 3" xfId="2102" xr:uid="{00000000-0005-0000-0000-00004C080000}"/>
    <cellStyle name="Currency 4 6 3 2" xfId="2103" xr:uid="{00000000-0005-0000-0000-00004D080000}"/>
    <cellStyle name="Currency 4 6 3 2 2" xfId="7671" xr:uid="{00000000-0005-0000-0000-0000C01B0000}"/>
    <cellStyle name="Currency 4 6 3 2 3" xfId="17176" xr:uid="{180520E4-A853-4175-95FE-2166656CA02B}"/>
    <cellStyle name="Currency 4 6 3 3" xfId="7670" xr:uid="{00000000-0005-0000-0000-0000BF1B0000}"/>
    <cellStyle name="Currency 4 6 3 4" xfId="11761" xr:uid="{00000000-0005-0000-0000-0000A1050000}"/>
    <cellStyle name="Currency 4 6 3 4 2" xfId="44247" xr:uid="{33D8F7A4-F7F0-4407-9EBE-D3CF2D21BFAB}"/>
    <cellStyle name="Currency 4 6 3 5" xfId="14800" xr:uid="{19A29076-A694-4B47-94A8-391549DEA8B8}"/>
    <cellStyle name="Currency 4 6 4" xfId="2104" xr:uid="{00000000-0005-0000-0000-00004E080000}"/>
    <cellStyle name="Currency 4 6 4 2" xfId="7672" xr:uid="{00000000-0005-0000-0000-0000C11B0000}"/>
    <cellStyle name="Currency 4 6 4 3" xfId="17173" xr:uid="{930DE46F-B51B-4FFE-9EC8-294D1CD66700}"/>
    <cellStyle name="Currency 4 6 5" xfId="7665" xr:uid="{00000000-0005-0000-0000-0000BA1B0000}"/>
    <cellStyle name="Currency 4 6 6" xfId="11764" xr:uid="{00000000-0005-0000-0000-00009E050000}"/>
    <cellStyle name="Currency 4 6 6 2" xfId="44250" xr:uid="{F3EB007E-B96E-4F71-A24A-DC6C3244A400}"/>
    <cellStyle name="Currency 4 6 7" xfId="14797" xr:uid="{02A75AE5-2596-46E5-9C66-D75B857BE639}"/>
    <cellStyle name="Currency 4 7" xfId="2105" xr:uid="{00000000-0005-0000-0000-00004F080000}"/>
    <cellStyle name="Currency 4 7 2" xfId="2106" xr:uid="{00000000-0005-0000-0000-000050080000}"/>
    <cellStyle name="Currency 4 7 2 2" xfId="2107" xr:uid="{00000000-0005-0000-0000-000051080000}"/>
    <cellStyle name="Currency 4 7 2 2 2" xfId="7675" xr:uid="{00000000-0005-0000-0000-0000C41B0000}"/>
    <cellStyle name="Currency 4 7 2 2 3" xfId="17178" xr:uid="{191D22F0-D689-4335-AB03-CF325AC9FCEF}"/>
    <cellStyle name="Currency 4 7 2 3" xfId="7674" xr:uid="{00000000-0005-0000-0000-0000C31B0000}"/>
    <cellStyle name="Currency 4 7 2 4" xfId="11759" xr:uid="{00000000-0005-0000-0000-0000A3050000}"/>
    <cellStyle name="Currency 4 7 2 4 2" xfId="44245" xr:uid="{593D0ED3-00BA-427E-BF90-25C4C7F6A479}"/>
    <cellStyle name="Currency 4 7 2 5" xfId="14802" xr:uid="{573C0A3C-7334-443E-930C-21F816775991}"/>
    <cellStyle name="Currency 4 7 3" xfId="2108" xr:uid="{00000000-0005-0000-0000-000052080000}"/>
    <cellStyle name="Currency 4 7 3 2" xfId="7676" xr:uid="{00000000-0005-0000-0000-0000C51B0000}"/>
    <cellStyle name="Currency 4 7 3 3" xfId="17177" xr:uid="{B26F98E2-FA43-4D35-9950-23E5CE893E17}"/>
    <cellStyle name="Currency 4 7 4" xfId="7673" xr:uid="{00000000-0005-0000-0000-0000C21B0000}"/>
    <cellStyle name="Currency 4 7 5" xfId="11760" xr:uid="{00000000-0005-0000-0000-0000A2050000}"/>
    <cellStyle name="Currency 4 7 5 2" xfId="44246" xr:uid="{7BA8A597-A97F-4F31-9229-2D9B9F94A1C7}"/>
    <cellStyle name="Currency 4 7 6" xfId="14801" xr:uid="{C5F2F54D-559A-4A92-8636-2BB19AC6B121}"/>
    <cellStyle name="Currency 4 8" xfId="2109" xr:uid="{00000000-0005-0000-0000-000053080000}"/>
    <cellStyle name="Currency 4 8 2" xfId="2110" xr:uid="{00000000-0005-0000-0000-000054080000}"/>
    <cellStyle name="Currency 4 8 2 2" xfId="7678" xr:uid="{00000000-0005-0000-0000-0000C71B0000}"/>
    <cellStyle name="Currency 4 8 2 3" xfId="17179" xr:uid="{CAB2DBD6-16BC-40B8-9542-018C67BEF0BC}"/>
    <cellStyle name="Currency 4 8 3" xfId="7677" xr:uid="{00000000-0005-0000-0000-0000C61B0000}"/>
    <cellStyle name="Currency 4 8 4" xfId="11758" xr:uid="{00000000-0005-0000-0000-0000A4050000}"/>
    <cellStyle name="Currency 4 8 4 2" xfId="44244" xr:uid="{7BBB4ADE-0A1D-4B63-86FF-087A8AE72EEB}"/>
    <cellStyle name="Currency 4 8 5" xfId="14803" xr:uid="{FCEF2B2C-ED86-4B5B-91C5-5D8A12AECAC9}"/>
    <cellStyle name="Currency 4 9" xfId="2111" xr:uid="{00000000-0005-0000-0000-000055080000}"/>
    <cellStyle name="Currency 4 9 2" xfId="7679" xr:uid="{00000000-0005-0000-0000-0000C81B0000}"/>
    <cellStyle name="Currency 4 9 3" xfId="11757" xr:uid="{00000000-0005-0000-0000-0000A5050000}"/>
    <cellStyle name="Currency 4 9 3 2" xfId="44243" xr:uid="{F7A563EB-CA53-40CB-8F9B-8D9C473D5DCE}"/>
    <cellStyle name="Currency 4 9 4" xfId="14804" xr:uid="{A635BB7D-817B-412A-9A3B-C539E5232948}"/>
    <cellStyle name="Currency 40" xfId="21568" xr:uid="{07236E78-6342-4342-A367-64DE98578765}"/>
    <cellStyle name="Currency 41" xfId="20537" xr:uid="{96715E69-63F0-438A-8BD9-CC7BB4AAB699}"/>
    <cellStyle name="Currency 42" xfId="20786" xr:uid="{C22E4AF7-70ED-4513-A577-214D2E63CCE8}"/>
    <cellStyle name="Currency 43" xfId="21969" xr:uid="{7427A0F7-F23B-4F22-9071-AEDDCC72DCC4}"/>
    <cellStyle name="Currency 44" xfId="21511" xr:uid="{EFA9C0D2-40CD-4694-8D4E-585649B3FC59}"/>
    <cellStyle name="Currency 45" xfId="19536" xr:uid="{71893326-18CB-4445-AA26-530F1B7DB194}"/>
    <cellStyle name="Currency 46" xfId="20213" xr:uid="{A250EE47-67B4-42E8-A4D2-D7D4AD8D4F96}"/>
    <cellStyle name="Currency 47" xfId="20671" xr:uid="{4C81CDD0-14ED-4D17-BF26-A80B4329CF78}"/>
    <cellStyle name="Currency 48" xfId="21017" xr:uid="{1F8A462A-B498-4C5B-8C11-0CD0DF7B8CAA}"/>
    <cellStyle name="Currency 49" xfId="19267" xr:uid="{83A91C06-BAD9-4709-9C62-123C8E890A4C}"/>
    <cellStyle name="Currency 5" xfId="2112" xr:uid="{00000000-0005-0000-0000-000056080000}"/>
    <cellStyle name="Currency-- 5" xfId="15350" xr:uid="{C8F74DF5-14DF-470A-9AD4-11270251D2AF}"/>
    <cellStyle name="Currency 5 10" xfId="17390" xr:uid="{80C7E80C-A60C-4537-B482-AD14F0147A1B}"/>
    <cellStyle name="Currency 5 11" xfId="14805" xr:uid="{3D25C41E-2ADB-4C47-8E86-C8F1DDF14B35}"/>
    <cellStyle name="Currency 5 12" xfId="37632" xr:uid="{AE110E48-3DD6-417D-9989-6EE70CF02E13}"/>
    <cellStyle name="Currency 5 13" xfId="47604" xr:uid="{FDFFFD3C-078A-4F0E-97E3-7056088D1289}"/>
    <cellStyle name="Currency 5 14" xfId="48897" xr:uid="{005A0719-8DFF-452F-A0F9-32480D95C426}"/>
    <cellStyle name="Currency 5 15" xfId="47269" xr:uid="{32A7FF8E-29FC-47AF-8513-F7F52BC0F95D}"/>
    <cellStyle name="Currency 5 16" xfId="48029" xr:uid="{CBC5B656-6F92-4E5D-8CC3-640B8B69B0DA}"/>
    <cellStyle name="Currency 5 17" xfId="37921" xr:uid="{8B3014D5-A8A0-4759-8428-A3C0BCA93F20}"/>
    <cellStyle name="Currency 5 18" xfId="46791" xr:uid="{36CE1B4B-1158-43A1-9BC3-3F867A9B95E6}"/>
    <cellStyle name="Currency 5 2" xfId="2113" xr:uid="{00000000-0005-0000-0000-000057080000}"/>
    <cellStyle name="Currency 5 2 2" xfId="2114" xr:uid="{00000000-0005-0000-0000-000058080000}"/>
    <cellStyle name="Currency 5 2 2 2" xfId="2115" xr:uid="{00000000-0005-0000-0000-000059080000}"/>
    <cellStyle name="Currency 5 2 2 2 2" xfId="2116" xr:uid="{00000000-0005-0000-0000-00005A080000}"/>
    <cellStyle name="Currency 5 2 2 2 2 2" xfId="2117" xr:uid="{00000000-0005-0000-0000-00005B080000}"/>
    <cellStyle name="Currency 5 2 2 2 2 2 2" xfId="7685" xr:uid="{00000000-0005-0000-0000-0000CE1B0000}"/>
    <cellStyle name="Currency 5 2 2 2 2 2 3" xfId="17183" xr:uid="{11786D18-578D-4D64-9534-A99DAA70D046}"/>
    <cellStyle name="Currency 5 2 2 2 2 3" xfId="7684" xr:uid="{00000000-0005-0000-0000-0000CD1B0000}"/>
    <cellStyle name="Currency 5 2 2 2 2 4" xfId="11752" xr:uid="{00000000-0005-0000-0000-0000AA050000}"/>
    <cellStyle name="Currency 5 2 2 2 2 4 2" xfId="44239" xr:uid="{AA5B6291-E078-4C96-B6AB-E40B82056AF4}"/>
    <cellStyle name="Currency 5 2 2 2 2 5" xfId="14809" xr:uid="{0D925A3B-3959-4D4C-B43D-ACDBAFF04350}"/>
    <cellStyle name="Currency 5 2 2 2 3" xfId="2118" xr:uid="{00000000-0005-0000-0000-00005C080000}"/>
    <cellStyle name="Currency 5 2 2 2 3 2" xfId="7686" xr:uid="{00000000-0005-0000-0000-0000CF1B0000}"/>
    <cellStyle name="Currency 5 2 2 2 3 3" xfId="17182" xr:uid="{E63E49DD-127A-4C62-B199-D9396443DBC7}"/>
    <cellStyle name="Currency 5 2 2 2 4" xfId="7683" xr:uid="{00000000-0005-0000-0000-0000CC1B0000}"/>
    <cellStyle name="Currency 5 2 2 2 5" xfId="11753" xr:uid="{00000000-0005-0000-0000-0000A9050000}"/>
    <cellStyle name="Currency 5 2 2 2 5 2" xfId="44240" xr:uid="{7582AEA2-85A5-470F-90EC-4E4BCAB73515}"/>
    <cellStyle name="Currency 5 2 2 2 6" xfId="14808" xr:uid="{1F96F1C4-89F1-4204-9721-E6D33B882360}"/>
    <cellStyle name="Currency 5 2 2 3" xfId="2119" xr:uid="{00000000-0005-0000-0000-00005D080000}"/>
    <cellStyle name="Currency 5 2 2 3 2" xfId="2120" xr:uid="{00000000-0005-0000-0000-00005E080000}"/>
    <cellStyle name="Currency 5 2 2 3 2 2" xfId="7688" xr:uid="{00000000-0005-0000-0000-0000D11B0000}"/>
    <cellStyle name="Currency 5 2 2 3 2 3" xfId="17184" xr:uid="{E8EDF783-F68B-44C8-9564-AF4F9198CF61}"/>
    <cellStyle name="Currency 5 2 2 3 3" xfId="7687" xr:uid="{00000000-0005-0000-0000-0000D01B0000}"/>
    <cellStyle name="Currency 5 2 2 3 4" xfId="11751" xr:uid="{00000000-0005-0000-0000-0000AB050000}"/>
    <cellStyle name="Currency 5 2 2 3 4 2" xfId="44238" xr:uid="{AF9936A2-4927-42A9-8BCE-044F0B75E16D}"/>
    <cellStyle name="Currency 5 2 2 3 5" xfId="14810" xr:uid="{F593E996-1203-4408-A32E-46E9010AEAAC}"/>
    <cellStyle name="Currency 5 2 2 4" xfId="2121" xr:uid="{00000000-0005-0000-0000-00005F080000}"/>
    <cellStyle name="Currency 5 2 2 4 2" xfId="7689" xr:uid="{00000000-0005-0000-0000-0000D21B0000}"/>
    <cellStyle name="Currency 5 2 2 4 3" xfId="17181" xr:uid="{95E28AF3-1210-41FE-846D-0672529F3868}"/>
    <cellStyle name="Currency 5 2 2 5" xfId="7682" xr:uid="{00000000-0005-0000-0000-0000CB1B0000}"/>
    <cellStyle name="Currency 5 2 2 6" xfId="11754" xr:uid="{00000000-0005-0000-0000-0000A8050000}"/>
    <cellStyle name="Currency 5 2 2 6 2" xfId="44241" xr:uid="{E54CBA1D-8E27-412F-A537-24A2EAD33A2B}"/>
    <cellStyle name="Currency 5 2 2 7" xfId="14807" xr:uid="{BFABB847-427A-4E23-B9D3-04949B979F43}"/>
    <cellStyle name="Currency 5 2 3" xfId="2122" xr:uid="{00000000-0005-0000-0000-000060080000}"/>
    <cellStyle name="Currency 5 2 3 2" xfId="2123" xr:uid="{00000000-0005-0000-0000-000061080000}"/>
    <cellStyle name="Currency 5 2 3 2 2" xfId="2124" xr:uid="{00000000-0005-0000-0000-000062080000}"/>
    <cellStyle name="Currency 5 2 3 2 2 2" xfId="7692" xr:uid="{00000000-0005-0000-0000-0000D51B0000}"/>
    <cellStyle name="Currency 5 2 3 2 2 3" xfId="17186" xr:uid="{D9EE2ED2-D471-4DCC-AB55-EBE285214401}"/>
    <cellStyle name="Currency 5 2 3 2 3" xfId="7691" xr:uid="{00000000-0005-0000-0000-0000D41B0000}"/>
    <cellStyle name="Currency 5 2 3 2 4" xfId="11749" xr:uid="{00000000-0005-0000-0000-0000AD050000}"/>
    <cellStyle name="Currency 5 2 3 2 4 2" xfId="44236" xr:uid="{34E9AC76-F559-432A-8FEA-BBCEB96AD170}"/>
    <cellStyle name="Currency 5 2 3 2 5" xfId="14812" xr:uid="{24D7AF24-D129-448C-AE3D-AC76E2C654FA}"/>
    <cellStyle name="Currency 5 2 3 3" xfId="2125" xr:uid="{00000000-0005-0000-0000-000063080000}"/>
    <cellStyle name="Currency 5 2 3 3 2" xfId="7693" xr:uid="{00000000-0005-0000-0000-0000D61B0000}"/>
    <cellStyle name="Currency 5 2 3 3 3" xfId="17185" xr:uid="{C26C12B8-E120-4749-B313-B0A0B3D33EE8}"/>
    <cellStyle name="Currency 5 2 3 4" xfId="7690" xr:uid="{00000000-0005-0000-0000-0000D31B0000}"/>
    <cellStyle name="Currency 5 2 3 5" xfId="11750" xr:uid="{00000000-0005-0000-0000-0000AC050000}"/>
    <cellStyle name="Currency 5 2 3 5 2" xfId="44237" xr:uid="{A3CC6C05-9D9C-4399-B11D-90DF0794A0DB}"/>
    <cellStyle name="Currency 5 2 3 6" xfId="14811" xr:uid="{F9AA4903-30B1-42EA-9E3F-E68CF9F40F39}"/>
    <cellStyle name="Currency 5 2 4" xfId="2126" xr:uid="{00000000-0005-0000-0000-000064080000}"/>
    <cellStyle name="Currency 5 2 4 2" xfId="2127" xr:uid="{00000000-0005-0000-0000-000065080000}"/>
    <cellStyle name="Currency 5 2 4 2 2" xfId="7695" xr:uid="{00000000-0005-0000-0000-0000D81B0000}"/>
    <cellStyle name="Currency 5 2 4 2 3" xfId="17187" xr:uid="{1A505487-2190-4327-B082-8A725A92E9A0}"/>
    <cellStyle name="Currency 5 2 4 3" xfId="7694" xr:uid="{00000000-0005-0000-0000-0000D71B0000}"/>
    <cellStyle name="Currency 5 2 4 4" xfId="11748" xr:uid="{00000000-0005-0000-0000-0000AE050000}"/>
    <cellStyle name="Currency 5 2 4 4 2" xfId="44235" xr:uid="{4B2DF6D3-9FAA-4EB1-B364-5505100012AD}"/>
    <cellStyle name="Currency 5 2 4 5" xfId="14813" xr:uid="{7BBC78B5-07E2-4987-AF58-7578674A3326}"/>
    <cellStyle name="Currency 5 2 5" xfId="2128" xr:uid="{00000000-0005-0000-0000-000066080000}"/>
    <cellStyle name="Currency 5 2 6" xfId="7681" xr:uid="{00000000-0005-0000-0000-0000CA1B0000}"/>
    <cellStyle name="Currency 5 2 6 2" xfId="18822" xr:uid="{261B53D4-926A-4797-83AB-D28F7695DEF1}"/>
    <cellStyle name="Currency 5 2 7" xfId="11755" xr:uid="{00000000-0005-0000-0000-0000A7050000}"/>
    <cellStyle name="Currency 5 2 7 2" xfId="17961" xr:uid="{8BA58FF2-EC09-4484-BAD4-062DE4FB4EC5}"/>
    <cellStyle name="Currency 5 2 8" xfId="17391" xr:uid="{DB848BBC-FEAF-49FA-922A-8916BE63B444}"/>
    <cellStyle name="Currency 5 2 9" xfId="14806" xr:uid="{22F0BFF0-0950-4C59-9741-EFB8DE1F7F2A}"/>
    <cellStyle name="Currency 5 3" xfId="2129" xr:uid="{00000000-0005-0000-0000-000067080000}"/>
    <cellStyle name="Currency 5 3 2" xfId="2130" xr:uid="{00000000-0005-0000-0000-000068080000}"/>
    <cellStyle name="Currency 5 3 2 2" xfId="2131" xr:uid="{00000000-0005-0000-0000-000069080000}"/>
    <cellStyle name="Currency 5 3 2 2 2" xfId="2132" xr:uid="{00000000-0005-0000-0000-00006A080000}"/>
    <cellStyle name="Currency 5 3 2 2 2 2" xfId="2133" xr:uid="{00000000-0005-0000-0000-00006B080000}"/>
    <cellStyle name="Currency 5 3 2 2 2 2 2" xfId="7701" xr:uid="{00000000-0005-0000-0000-0000DD1B0000}"/>
    <cellStyle name="Currency 5 3 2 2 2 2 3" xfId="17191" xr:uid="{FB208D40-0786-4D52-9EA3-709EA682A303}"/>
    <cellStyle name="Currency 5 3 2 2 2 3" xfId="7700" xr:uid="{00000000-0005-0000-0000-0000DC1B0000}"/>
    <cellStyle name="Currency 5 3 2 2 2 4" xfId="11744" xr:uid="{00000000-0005-0000-0000-0000B2050000}"/>
    <cellStyle name="Currency 5 3 2 2 2 4 2" xfId="44231" xr:uid="{0D8E022D-EB67-4B33-BA1F-6FEC435D2DCF}"/>
    <cellStyle name="Currency 5 3 2 2 2 5" xfId="14817" xr:uid="{1125E6B1-8E05-4B19-B07B-5F06843023C0}"/>
    <cellStyle name="Currency 5 3 2 2 3" xfId="2134" xr:uid="{00000000-0005-0000-0000-00006C080000}"/>
    <cellStyle name="Currency 5 3 2 2 3 2" xfId="7702" xr:uid="{00000000-0005-0000-0000-0000DE1B0000}"/>
    <cellStyle name="Currency 5 3 2 2 3 3" xfId="17190" xr:uid="{CDD10AA4-2DDE-4CF1-A492-A54160793E2E}"/>
    <cellStyle name="Currency 5 3 2 2 4" xfId="7699" xr:uid="{00000000-0005-0000-0000-0000DB1B0000}"/>
    <cellStyle name="Currency 5 3 2 2 5" xfId="11745" xr:uid="{00000000-0005-0000-0000-0000B1050000}"/>
    <cellStyle name="Currency 5 3 2 2 5 2" xfId="44232" xr:uid="{95D66291-3BF9-4951-995E-4E5E18677FEC}"/>
    <cellStyle name="Currency 5 3 2 2 6" xfId="14816" xr:uid="{934E1FB8-CDB6-445B-B7D2-0A98B859E052}"/>
    <cellStyle name="Currency 5 3 2 3" xfId="2135" xr:uid="{00000000-0005-0000-0000-00006D080000}"/>
    <cellStyle name="Currency 5 3 2 3 2" xfId="2136" xr:uid="{00000000-0005-0000-0000-00006E080000}"/>
    <cellStyle name="Currency 5 3 2 3 2 2" xfId="7704" xr:uid="{00000000-0005-0000-0000-0000E01B0000}"/>
    <cellStyle name="Currency 5 3 2 3 2 3" xfId="17192" xr:uid="{352FB3C4-F01D-4985-BBC5-454271BB2BEA}"/>
    <cellStyle name="Currency 5 3 2 3 3" xfId="7703" xr:uid="{00000000-0005-0000-0000-0000DF1B0000}"/>
    <cellStyle name="Currency 5 3 2 3 4" xfId="11743" xr:uid="{00000000-0005-0000-0000-0000B3050000}"/>
    <cellStyle name="Currency 5 3 2 3 4 2" xfId="44230" xr:uid="{FFB3E84D-C6A3-4B77-AF36-348781BBAF8B}"/>
    <cellStyle name="Currency 5 3 2 3 5" xfId="14818" xr:uid="{C51DDC6E-46E9-4849-8D72-0A11C0FB91C6}"/>
    <cellStyle name="Currency 5 3 2 4" xfId="2137" xr:uid="{00000000-0005-0000-0000-00006F080000}"/>
    <cellStyle name="Currency 5 3 2 4 2" xfId="7705" xr:uid="{00000000-0005-0000-0000-0000E11B0000}"/>
    <cellStyle name="Currency 5 3 2 4 3" xfId="17189" xr:uid="{B2A030A4-8D89-47D9-A742-402B4C8B05CB}"/>
    <cellStyle name="Currency 5 3 2 5" xfId="7698" xr:uid="{00000000-0005-0000-0000-0000DA1B0000}"/>
    <cellStyle name="Currency 5 3 2 6" xfId="11746" xr:uid="{00000000-0005-0000-0000-0000B0050000}"/>
    <cellStyle name="Currency 5 3 2 6 2" xfId="44233" xr:uid="{9BF08DB0-D600-4D10-8513-FE198873AA6D}"/>
    <cellStyle name="Currency 5 3 2 7" xfId="14815" xr:uid="{C9034149-C0A4-4DB9-8CC2-6248D11D2E47}"/>
    <cellStyle name="Currency 5 3 3" xfId="2138" xr:uid="{00000000-0005-0000-0000-000070080000}"/>
    <cellStyle name="Currency 5 3 3 2" xfId="2139" xr:uid="{00000000-0005-0000-0000-000071080000}"/>
    <cellStyle name="Currency 5 3 3 2 2" xfId="2140" xr:uid="{00000000-0005-0000-0000-000072080000}"/>
    <cellStyle name="Currency 5 3 3 2 2 2" xfId="7708" xr:uid="{00000000-0005-0000-0000-0000E41B0000}"/>
    <cellStyle name="Currency 5 3 3 2 2 3" xfId="17194" xr:uid="{7AA276F6-B564-4BF1-A939-76BD3BFDDD51}"/>
    <cellStyle name="Currency 5 3 3 2 3" xfId="7707" xr:uid="{00000000-0005-0000-0000-0000E31B0000}"/>
    <cellStyle name="Currency 5 3 3 2 4" xfId="11741" xr:uid="{00000000-0005-0000-0000-0000B5050000}"/>
    <cellStyle name="Currency 5 3 3 2 4 2" xfId="44228" xr:uid="{F800A1BF-C6FC-499D-8FF4-3F366F12925D}"/>
    <cellStyle name="Currency 5 3 3 2 5" xfId="14820" xr:uid="{C0352FDA-38C1-43EC-A6EB-D450056D1B62}"/>
    <cellStyle name="Currency 5 3 3 3" xfId="2141" xr:uid="{00000000-0005-0000-0000-000073080000}"/>
    <cellStyle name="Currency 5 3 3 3 2" xfId="7709" xr:uid="{00000000-0005-0000-0000-0000E51B0000}"/>
    <cellStyle name="Currency 5 3 3 3 3" xfId="17193" xr:uid="{BBD7D599-A5B1-422F-9A92-6CE06C0A6022}"/>
    <cellStyle name="Currency 5 3 3 4" xfId="7706" xr:uid="{00000000-0005-0000-0000-0000E21B0000}"/>
    <cellStyle name="Currency 5 3 3 5" xfId="11742" xr:uid="{00000000-0005-0000-0000-0000B4050000}"/>
    <cellStyle name="Currency 5 3 3 5 2" xfId="44229" xr:uid="{86F65932-5FAF-42FD-9278-4A08A1252ED7}"/>
    <cellStyle name="Currency 5 3 3 6" xfId="14819" xr:uid="{4646A3F0-BFB5-4B3A-ACF1-08A5CD0536C9}"/>
    <cellStyle name="Currency 5 3 4" xfId="2142" xr:uid="{00000000-0005-0000-0000-000074080000}"/>
    <cellStyle name="Currency 5 3 4 2" xfId="2143" xr:uid="{00000000-0005-0000-0000-000075080000}"/>
    <cellStyle name="Currency 5 3 4 2 2" xfId="7711" xr:uid="{00000000-0005-0000-0000-0000E71B0000}"/>
    <cellStyle name="Currency 5 3 4 2 3" xfId="17195" xr:uid="{D15C84EC-FA4D-4CAC-BB5F-0C3E79C3CE50}"/>
    <cellStyle name="Currency 5 3 4 3" xfId="7710" xr:uid="{00000000-0005-0000-0000-0000E61B0000}"/>
    <cellStyle name="Currency 5 3 4 4" xfId="11740" xr:uid="{00000000-0005-0000-0000-0000B6050000}"/>
    <cellStyle name="Currency 5 3 4 4 2" xfId="44227" xr:uid="{18403E94-3AD9-4B0F-8E4F-6DDA7EEDD3E0}"/>
    <cellStyle name="Currency 5 3 4 5" xfId="14821" xr:uid="{F59C23B5-ED1C-4CFF-B3FA-8FE469B2D008}"/>
    <cellStyle name="Currency 5 3 5" xfId="2144" xr:uid="{00000000-0005-0000-0000-000076080000}"/>
    <cellStyle name="Currency 5 3 5 2" xfId="7712" xr:uid="{00000000-0005-0000-0000-0000E81B0000}"/>
    <cellStyle name="Currency 5 3 5 3" xfId="17188" xr:uid="{3F126DB7-2A07-4A7E-BD85-FA21ED50E460}"/>
    <cellStyle name="Currency 5 3 6" xfId="7697" xr:uid="{00000000-0005-0000-0000-0000D91B0000}"/>
    <cellStyle name="Currency 5 3 7" xfId="11747" xr:uid="{00000000-0005-0000-0000-0000AF050000}"/>
    <cellStyle name="Currency 5 3 7 2" xfId="44234" xr:uid="{CCABA252-CD47-4E54-A18D-8238C8B3B00C}"/>
    <cellStyle name="Currency 5 3 8" xfId="14814" xr:uid="{1FA9A195-FEC1-4178-B0FB-435C58BA3240}"/>
    <cellStyle name="Currency 5 4" xfId="2145" xr:uid="{00000000-0005-0000-0000-000077080000}"/>
    <cellStyle name="Currency 5 4 2" xfId="2146" xr:uid="{00000000-0005-0000-0000-000078080000}"/>
    <cellStyle name="Currency 5 4 2 2" xfId="2147" xr:uid="{00000000-0005-0000-0000-000079080000}"/>
    <cellStyle name="Currency 5 4 2 2 2" xfId="2148" xr:uid="{00000000-0005-0000-0000-00007A080000}"/>
    <cellStyle name="Currency 5 4 2 2 2 2" xfId="7716" xr:uid="{00000000-0005-0000-0000-0000EC1B0000}"/>
    <cellStyle name="Currency 5 4 2 2 2 3" xfId="17198" xr:uid="{39E710CD-3B54-46C5-814B-3E73DEB81CB6}"/>
    <cellStyle name="Currency 5 4 2 2 3" xfId="7715" xr:uid="{00000000-0005-0000-0000-0000EB1B0000}"/>
    <cellStyle name="Currency 5 4 2 2 4" xfId="11737" xr:uid="{00000000-0005-0000-0000-0000B9050000}"/>
    <cellStyle name="Currency 5 4 2 2 4 2" xfId="44224" xr:uid="{35BD4E93-1C26-413D-95B6-74792A7D624F}"/>
    <cellStyle name="Currency 5 4 2 2 5" xfId="14824" xr:uid="{76602809-D731-4C45-B71A-0123B2097B37}"/>
    <cellStyle name="Currency 5 4 2 3" xfId="2149" xr:uid="{00000000-0005-0000-0000-00007B080000}"/>
    <cellStyle name="Currency 5 4 2 3 2" xfId="7717" xr:uid="{00000000-0005-0000-0000-0000ED1B0000}"/>
    <cellStyle name="Currency 5 4 2 3 3" xfId="17197" xr:uid="{640C4069-A891-447F-B2B7-799124F6F9C6}"/>
    <cellStyle name="Currency 5 4 2 4" xfId="7714" xr:uid="{00000000-0005-0000-0000-0000EA1B0000}"/>
    <cellStyle name="Currency 5 4 2 5" xfId="11738" xr:uid="{00000000-0005-0000-0000-0000B8050000}"/>
    <cellStyle name="Currency 5 4 2 5 2" xfId="44225" xr:uid="{2114BA04-2317-457B-BA7C-F135F16802EF}"/>
    <cellStyle name="Currency 5 4 2 6" xfId="14823" xr:uid="{CBA0308C-B1A8-4D62-9B1F-06F270C538E2}"/>
    <cellStyle name="Currency 5 4 3" xfId="2150" xr:uid="{00000000-0005-0000-0000-00007C080000}"/>
    <cellStyle name="Currency 5 4 3 2" xfId="2151" xr:uid="{00000000-0005-0000-0000-00007D080000}"/>
    <cellStyle name="Currency 5 4 3 2 2" xfId="7719" xr:uid="{00000000-0005-0000-0000-0000EF1B0000}"/>
    <cellStyle name="Currency 5 4 3 2 3" xfId="17199" xr:uid="{C92C7B82-E1B2-4CC6-9171-36D7DA555CC7}"/>
    <cellStyle name="Currency 5 4 3 3" xfId="7718" xr:uid="{00000000-0005-0000-0000-0000EE1B0000}"/>
    <cellStyle name="Currency 5 4 3 4" xfId="11736" xr:uid="{00000000-0005-0000-0000-0000BA050000}"/>
    <cellStyle name="Currency 5 4 3 4 2" xfId="44223" xr:uid="{6518A8A1-1B0F-4C4D-9648-35EB950E86CD}"/>
    <cellStyle name="Currency 5 4 3 5" xfId="14825" xr:uid="{71B0AEC5-FE49-41E6-A8E8-66147D837328}"/>
    <cellStyle name="Currency 5 4 4" xfId="2152" xr:uid="{00000000-0005-0000-0000-00007E080000}"/>
    <cellStyle name="Currency 5 4 4 2" xfId="7720" xr:uid="{00000000-0005-0000-0000-0000F01B0000}"/>
    <cellStyle name="Currency 5 4 4 3" xfId="17196" xr:uid="{573B1B9F-E309-406B-82DB-150083292FFA}"/>
    <cellStyle name="Currency 5 4 5" xfId="7713" xr:uid="{00000000-0005-0000-0000-0000E91B0000}"/>
    <cellStyle name="Currency 5 4 6" xfId="11739" xr:uid="{00000000-0005-0000-0000-0000B7050000}"/>
    <cellStyle name="Currency 5 4 6 2" xfId="44226" xr:uid="{9FE8C97D-1167-4384-97B2-FBFAEAD38895}"/>
    <cellStyle name="Currency 5 4 7" xfId="14822" xr:uid="{C1F41337-0370-4212-94F9-7C2D849A424E}"/>
    <cellStyle name="Currency 5 5" xfId="2153" xr:uid="{00000000-0005-0000-0000-00007F080000}"/>
    <cellStyle name="Currency 5 5 2" xfId="2154" xr:uid="{00000000-0005-0000-0000-000080080000}"/>
    <cellStyle name="Currency 5 5 2 2" xfId="2155" xr:uid="{00000000-0005-0000-0000-000081080000}"/>
    <cellStyle name="Currency 5 5 2 2 2" xfId="7723" xr:uid="{00000000-0005-0000-0000-0000F31B0000}"/>
    <cellStyle name="Currency 5 5 2 2 3" xfId="17201" xr:uid="{5EE20307-06BE-4393-A5C9-C004E85D9899}"/>
    <cellStyle name="Currency 5 5 2 3" xfId="7722" xr:uid="{00000000-0005-0000-0000-0000F21B0000}"/>
    <cellStyle name="Currency 5 5 2 4" xfId="11734" xr:uid="{00000000-0005-0000-0000-0000BC050000}"/>
    <cellStyle name="Currency 5 5 2 4 2" xfId="44221" xr:uid="{4DEF7CF3-2CDB-4DA2-A8FE-EBB7A0040C06}"/>
    <cellStyle name="Currency 5 5 2 5" xfId="14827" xr:uid="{CFFD1958-2082-40EF-8A81-5E7371066583}"/>
    <cellStyle name="Currency 5 5 3" xfId="2156" xr:uid="{00000000-0005-0000-0000-000082080000}"/>
    <cellStyle name="Currency 5 5 3 2" xfId="7724" xr:uid="{00000000-0005-0000-0000-0000F41B0000}"/>
    <cellStyle name="Currency 5 5 3 3" xfId="17200" xr:uid="{36F4F39F-F609-46FE-82CD-A326F1FB2CF2}"/>
    <cellStyle name="Currency 5 5 4" xfId="7721" xr:uid="{00000000-0005-0000-0000-0000F11B0000}"/>
    <cellStyle name="Currency 5 5 5" xfId="11735" xr:uid="{00000000-0005-0000-0000-0000BB050000}"/>
    <cellStyle name="Currency 5 5 5 2" xfId="44222" xr:uid="{7AB0D7A3-79C0-45C3-9649-0A8EFF83D0A4}"/>
    <cellStyle name="Currency 5 5 6" xfId="14826" xr:uid="{53731439-A0DC-4DBC-B463-DA8DBCC5A21A}"/>
    <cellStyle name="Currency 5 6" xfId="2157" xr:uid="{00000000-0005-0000-0000-000083080000}"/>
    <cellStyle name="Currency 5 6 2" xfId="2158" xr:uid="{00000000-0005-0000-0000-000084080000}"/>
    <cellStyle name="Currency 5 6 2 2" xfId="7726" xr:uid="{00000000-0005-0000-0000-0000F61B0000}"/>
    <cellStyle name="Currency 5 6 2 3" xfId="17202" xr:uid="{08012D0A-CE38-41C8-A3E0-0B367F130F27}"/>
    <cellStyle name="Currency 5 6 3" xfId="7725" xr:uid="{00000000-0005-0000-0000-0000F51B0000}"/>
    <cellStyle name="Currency 5 6 4" xfId="11733" xr:uid="{00000000-0005-0000-0000-0000BD050000}"/>
    <cellStyle name="Currency 5 6 4 2" xfId="44220" xr:uid="{F991EF85-276A-4BD0-95C4-6C1945335819}"/>
    <cellStyle name="Currency 5 6 5" xfId="14828" xr:uid="{E3476CF6-D1E5-4FC4-8D41-5394E0B15F0C}"/>
    <cellStyle name="Currency 5 7" xfId="2159" xr:uid="{00000000-0005-0000-0000-000085080000}"/>
    <cellStyle name="Currency 5 8" xfId="7680" xr:uid="{00000000-0005-0000-0000-0000C91B0000}"/>
    <cellStyle name="Currency 5 8 2" xfId="18728" xr:uid="{258032AE-1936-42F0-8C48-141B0572B0E1}"/>
    <cellStyle name="Currency 5 9" xfId="11756" xr:uid="{00000000-0005-0000-0000-0000A6050000}"/>
    <cellStyle name="Currency 5 9 2" xfId="17960" xr:uid="{7D7EE665-D164-4110-9C31-9E59442F5020}"/>
    <cellStyle name="Currency 50" xfId="20287" xr:uid="{1BC3AF63-1664-4C94-9CBA-AB5619806113}"/>
    <cellStyle name="Currency 51" xfId="22158" xr:uid="{A9EC7279-2101-48D7-98A2-B6817F95FCC9}"/>
    <cellStyle name="Currency 52" xfId="22064" xr:uid="{1F83C8B6-E6FC-43E5-9E03-3FC29A172E1C}"/>
    <cellStyle name="Currency 53" xfId="20197" xr:uid="{42EF8F92-941D-4ECC-B652-86767FBDB594}"/>
    <cellStyle name="Currency 54" xfId="19379" xr:uid="{E7F49E8A-504C-4141-B337-022F248C04A5}"/>
    <cellStyle name="Currency 55" xfId="18875" xr:uid="{9CF73915-D1BC-4B26-89BE-2A80575C5FB9}"/>
    <cellStyle name="Currency 56" xfId="21172" xr:uid="{BBBD1051-BD6E-4EF9-898E-670CC5F7A7C4}"/>
    <cellStyle name="Currency 57" xfId="21996" xr:uid="{646B39A9-C1F3-4636-BDFF-F0D59DC37FE7}"/>
    <cellStyle name="Currency 58" xfId="21206" xr:uid="{F383F096-7652-477B-9B58-D22FDFCC793F}"/>
    <cellStyle name="Currency 59" xfId="19735" xr:uid="{AFA0E547-79B1-4CA6-A392-66C4F00C18DD}"/>
    <cellStyle name="Currency 6" xfId="2160" xr:uid="{00000000-0005-0000-0000-000086080000}"/>
    <cellStyle name="Currency-- 6" xfId="37957" xr:uid="{BE124892-BC66-4F35-9E6E-169FF4417F25}"/>
    <cellStyle name="Currency 6 10" xfId="47122" xr:uid="{DFF94363-1983-47FA-963B-4842C60DD181}"/>
    <cellStyle name="Currency 6 11" xfId="46541" xr:uid="{484A208F-7D79-4F05-929F-541CB2223D71}"/>
    <cellStyle name="Currency 6 12" xfId="46845" xr:uid="{407ECB8A-39FF-4DB0-A854-A446221D5D93}"/>
    <cellStyle name="Currency 6 13" xfId="46701" xr:uid="{95856612-D80E-4859-9B62-0DBE600740BF}"/>
    <cellStyle name="Currency 6 14" xfId="46249" xr:uid="{04BEA0E6-DAD8-4CC7-935B-861021E43FBD}"/>
    <cellStyle name="Currency 6 15" xfId="47501" xr:uid="{517DF0F3-8050-4D84-AC56-FE50B9EEB119}"/>
    <cellStyle name="Currency 6 2" xfId="2161" xr:uid="{00000000-0005-0000-0000-000087080000}"/>
    <cellStyle name="Currency 6 2 2" xfId="2162" xr:uid="{00000000-0005-0000-0000-000088080000}"/>
    <cellStyle name="Currency 6 2 2 2" xfId="2163" xr:uid="{00000000-0005-0000-0000-000089080000}"/>
    <cellStyle name="Currency 6 2 2 2 2" xfId="2164" xr:uid="{00000000-0005-0000-0000-00008A080000}"/>
    <cellStyle name="Currency 6 2 2 2 2 2" xfId="2165" xr:uid="{00000000-0005-0000-0000-00008B080000}"/>
    <cellStyle name="Currency 6 2 2 2 2 2 2" xfId="7733" xr:uid="{00000000-0005-0000-0000-0000FC1B0000}"/>
    <cellStyle name="Currency 6 2 2 2 2 2 3" xfId="17206" xr:uid="{AB60C8C3-C273-4768-B735-10D0BDC63B42}"/>
    <cellStyle name="Currency 6 2 2 2 2 3" xfId="7732" xr:uid="{00000000-0005-0000-0000-0000FB1B0000}"/>
    <cellStyle name="Currency 6 2 2 2 2 4" xfId="11729" xr:uid="{00000000-0005-0000-0000-0000C2050000}"/>
    <cellStyle name="Currency 6 2 2 2 2 4 2" xfId="44216" xr:uid="{0B4907EC-5518-444F-A89E-791FAD3C8EB5}"/>
    <cellStyle name="Currency 6 2 2 2 2 5" xfId="14833" xr:uid="{86D781FA-6716-4185-B665-9C8472A6D55D}"/>
    <cellStyle name="Currency 6 2 2 2 3" xfId="2166" xr:uid="{00000000-0005-0000-0000-00008C080000}"/>
    <cellStyle name="Currency 6 2 2 2 3 2" xfId="7734" xr:uid="{00000000-0005-0000-0000-0000FD1B0000}"/>
    <cellStyle name="Currency 6 2 2 2 3 3" xfId="17205" xr:uid="{93865C0F-7F69-4147-BF52-3C6134A78CDD}"/>
    <cellStyle name="Currency 6 2 2 2 4" xfId="7731" xr:uid="{00000000-0005-0000-0000-0000FA1B0000}"/>
    <cellStyle name="Currency 6 2 2 2 5" xfId="11730" xr:uid="{00000000-0005-0000-0000-0000C1050000}"/>
    <cellStyle name="Currency 6 2 2 2 5 2" xfId="44217" xr:uid="{3DB27D9B-947A-42AB-8E19-029851604072}"/>
    <cellStyle name="Currency 6 2 2 2 6" xfId="14832" xr:uid="{F284BFAB-9AD6-4924-8971-99F851A9E96F}"/>
    <cellStyle name="Currency 6 2 2 3" xfId="2167" xr:uid="{00000000-0005-0000-0000-00008D080000}"/>
    <cellStyle name="Currency 6 2 2 3 2" xfId="2168" xr:uid="{00000000-0005-0000-0000-00008E080000}"/>
    <cellStyle name="Currency 6 2 2 3 2 2" xfId="7736" xr:uid="{00000000-0005-0000-0000-0000FF1B0000}"/>
    <cellStyle name="Currency 6 2 2 3 2 3" xfId="17207" xr:uid="{CF7A4CCE-3E5E-422F-A158-127369026B08}"/>
    <cellStyle name="Currency 6 2 2 3 3" xfId="7735" xr:uid="{00000000-0005-0000-0000-0000FE1B0000}"/>
    <cellStyle name="Currency 6 2 2 3 4" xfId="11728" xr:uid="{00000000-0005-0000-0000-0000C3050000}"/>
    <cellStyle name="Currency 6 2 2 3 4 2" xfId="44215" xr:uid="{456BE18F-0DB6-4C74-BF10-0F48886D56AD}"/>
    <cellStyle name="Currency 6 2 2 3 5" xfId="14834" xr:uid="{E93FC25F-CBFA-4A64-91DA-1306F43E6067}"/>
    <cellStyle name="Currency 6 2 2 4" xfId="2169" xr:uid="{00000000-0005-0000-0000-00008F080000}"/>
    <cellStyle name="Currency 6 2 2 4 2" xfId="7737" xr:uid="{00000000-0005-0000-0000-0000001C0000}"/>
    <cellStyle name="Currency 6 2 2 4 3" xfId="17204" xr:uid="{EF590CFC-2F0C-471D-A3C2-66B66C9C81AB}"/>
    <cellStyle name="Currency 6 2 2 5" xfId="7730" xr:uid="{00000000-0005-0000-0000-0000F91B0000}"/>
    <cellStyle name="Currency 6 2 2 6" xfId="11731" xr:uid="{00000000-0005-0000-0000-0000C0050000}"/>
    <cellStyle name="Currency 6 2 2 6 2" xfId="44218" xr:uid="{F51203D7-9709-4B06-AB71-F883AD16ED29}"/>
    <cellStyle name="Currency 6 2 2 7" xfId="14831" xr:uid="{D93EB59B-4AA3-4B58-98FE-D05DC4440E7F}"/>
    <cellStyle name="Currency 6 2 3" xfId="2170" xr:uid="{00000000-0005-0000-0000-000090080000}"/>
    <cellStyle name="Currency 6 2 3 2" xfId="2171" xr:uid="{00000000-0005-0000-0000-000091080000}"/>
    <cellStyle name="Currency 6 2 3 2 2" xfId="2172" xr:uid="{00000000-0005-0000-0000-000092080000}"/>
    <cellStyle name="Currency 6 2 3 2 2 2" xfId="7740" xr:uid="{00000000-0005-0000-0000-0000031C0000}"/>
    <cellStyle name="Currency 6 2 3 2 2 3" xfId="17209" xr:uid="{AA7723B2-6F45-4503-A8C8-08EFBB4AF214}"/>
    <cellStyle name="Currency 6 2 3 2 3" xfId="7739" xr:uid="{00000000-0005-0000-0000-0000021C0000}"/>
    <cellStyle name="Currency 6 2 3 2 4" xfId="11726" xr:uid="{00000000-0005-0000-0000-0000C5050000}"/>
    <cellStyle name="Currency 6 2 3 2 4 2" xfId="44213" xr:uid="{75EC5A6C-06EB-4F19-8F18-304DBFEF3D9C}"/>
    <cellStyle name="Currency 6 2 3 2 5" xfId="14836" xr:uid="{076F4FAB-4C27-440C-B87B-6AD8D555CF14}"/>
    <cellStyle name="Currency 6 2 3 3" xfId="2173" xr:uid="{00000000-0005-0000-0000-000093080000}"/>
    <cellStyle name="Currency 6 2 3 3 2" xfId="7741" xr:uid="{00000000-0005-0000-0000-0000041C0000}"/>
    <cellStyle name="Currency 6 2 3 3 3" xfId="17208" xr:uid="{27AB8D1F-CD40-41EB-A5E8-4190DB1D80D7}"/>
    <cellStyle name="Currency 6 2 3 4" xfId="7738" xr:uid="{00000000-0005-0000-0000-0000011C0000}"/>
    <cellStyle name="Currency 6 2 3 5" xfId="11727" xr:uid="{00000000-0005-0000-0000-0000C4050000}"/>
    <cellStyle name="Currency 6 2 3 5 2" xfId="44214" xr:uid="{8E081FC4-9C74-485B-BFF4-00D35541E95F}"/>
    <cellStyle name="Currency 6 2 3 6" xfId="14835" xr:uid="{0EA76D2F-C25D-4A85-8AB2-D7ED5EB210CC}"/>
    <cellStyle name="Currency 6 2 4" xfId="2174" xr:uid="{00000000-0005-0000-0000-000094080000}"/>
    <cellStyle name="Currency 6 2 4 2" xfId="2175" xr:uid="{00000000-0005-0000-0000-000095080000}"/>
    <cellStyle name="Currency 6 2 4 2 2" xfId="7743" xr:uid="{00000000-0005-0000-0000-0000061C0000}"/>
    <cellStyle name="Currency 6 2 4 2 3" xfId="17210" xr:uid="{B7FA2F54-8C64-4200-BCF1-03AE7B34C62B}"/>
    <cellStyle name="Currency 6 2 4 3" xfId="7742" xr:uid="{00000000-0005-0000-0000-0000051C0000}"/>
    <cellStyle name="Currency 6 2 4 4" xfId="11725" xr:uid="{00000000-0005-0000-0000-0000C6050000}"/>
    <cellStyle name="Currency 6 2 4 4 2" xfId="44212" xr:uid="{99F5CFD6-BFC7-49C5-9F35-5856593E0F5D}"/>
    <cellStyle name="Currency 6 2 4 5" xfId="14837" xr:uid="{6BFE6CE4-678D-4152-8988-235813542ABC}"/>
    <cellStyle name="Currency 6 2 5" xfId="2176" xr:uid="{00000000-0005-0000-0000-000096080000}"/>
    <cellStyle name="Currency 6 2 5 2" xfId="7744" xr:uid="{00000000-0005-0000-0000-0000071C0000}"/>
    <cellStyle name="Currency 6 2 5 3" xfId="17203" xr:uid="{C5448B74-42EF-4DC0-B057-BFD43864BF31}"/>
    <cellStyle name="Currency 6 2 6" xfId="7729" xr:uid="{00000000-0005-0000-0000-0000F81B0000}"/>
    <cellStyle name="Currency 6 2 7" xfId="11732" xr:uid="{00000000-0005-0000-0000-0000BF050000}"/>
    <cellStyle name="Currency 6 2 7 2" xfId="44219" xr:uid="{4B42CD1D-5094-483B-BD7C-E403C12C7999}"/>
    <cellStyle name="Currency 6 2 8" xfId="14830" xr:uid="{4B569D00-5C95-4A77-A148-C81E05A0B424}"/>
    <cellStyle name="Currency 6 3" xfId="2177" xr:uid="{00000000-0005-0000-0000-000097080000}"/>
    <cellStyle name="Currency 6 3 2" xfId="2178" xr:uid="{00000000-0005-0000-0000-000098080000}"/>
    <cellStyle name="Currency 6 3 2 2" xfId="2179" xr:uid="{00000000-0005-0000-0000-000099080000}"/>
    <cellStyle name="Currency 6 3 2 2 2" xfId="2180" xr:uid="{00000000-0005-0000-0000-00009A080000}"/>
    <cellStyle name="Currency 6 3 2 2 2 2" xfId="2181" xr:uid="{00000000-0005-0000-0000-00009B080000}"/>
    <cellStyle name="Currency 6 3 2 2 2 2 2" xfId="7749" xr:uid="{00000000-0005-0000-0000-00000C1C0000}"/>
    <cellStyle name="Currency 6 3 2 2 2 2 3" xfId="17214" xr:uid="{756F9509-D520-4B98-9534-E4E0AB65D319}"/>
    <cellStyle name="Currency 6 3 2 2 2 3" xfId="7748" xr:uid="{00000000-0005-0000-0000-00000B1C0000}"/>
    <cellStyle name="Currency 6 3 2 2 2 4" xfId="11721" xr:uid="{00000000-0005-0000-0000-0000CA050000}"/>
    <cellStyle name="Currency 6 3 2 2 2 4 2" xfId="44208" xr:uid="{C3368B58-B4F3-4526-ABEB-214AF027CEF8}"/>
    <cellStyle name="Currency 6 3 2 2 2 5" xfId="14841" xr:uid="{61BF1562-43DE-422D-B8AA-BD938112FDDF}"/>
    <cellStyle name="Currency 6 3 2 2 3" xfId="2182" xr:uid="{00000000-0005-0000-0000-00009C080000}"/>
    <cellStyle name="Currency 6 3 2 2 3 2" xfId="7750" xr:uid="{00000000-0005-0000-0000-00000D1C0000}"/>
    <cellStyle name="Currency 6 3 2 2 3 3" xfId="17213" xr:uid="{67E5B35E-B9BE-4BE0-8B23-A8145D95B66F}"/>
    <cellStyle name="Currency 6 3 2 2 4" xfId="7747" xr:uid="{00000000-0005-0000-0000-00000A1C0000}"/>
    <cellStyle name="Currency 6 3 2 2 5" xfId="11722" xr:uid="{00000000-0005-0000-0000-0000C9050000}"/>
    <cellStyle name="Currency 6 3 2 2 5 2" xfId="44209" xr:uid="{437D48CE-5CF1-4D1C-9EC6-9E02D0573E5C}"/>
    <cellStyle name="Currency 6 3 2 2 6" xfId="14840" xr:uid="{2D1E2E1E-56B3-45EA-8FC7-CB07731FE8E1}"/>
    <cellStyle name="Currency 6 3 2 3" xfId="2183" xr:uid="{00000000-0005-0000-0000-00009D080000}"/>
    <cellStyle name="Currency 6 3 2 3 2" xfId="2184" xr:uid="{00000000-0005-0000-0000-00009E080000}"/>
    <cellStyle name="Currency 6 3 2 3 2 2" xfId="7752" xr:uid="{00000000-0005-0000-0000-00000F1C0000}"/>
    <cellStyle name="Currency 6 3 2 3 2 3" xfId="17215" xr:uid="{8B6B9098-50D5-4B51-AFA5-AFCF1F62FC01}"/>
    <cellStyle name="Currency 6 3 2 3 3" xfId="7751" xr:uid="{00000000-0005-0000-0000-00000E1C0000}"/>
    <cellStyle name="Currency 6 3 2 3 4" xfId="11720" xr:uid="{00000000-0005-0000-0000-0000CB050000}"/>
    <cellStyle name="Currency 6 3 2 3 4 2" xfId="44207" xr:uid="{58495EB7-52BC-425C-9AF9-C55C126D1FF2}"/>
    <cellStyle name="Currency 6 3 2 3 5" xfId="14842" xr:uid="{138DD9D1-08D7-4F0A-B070-8F3EA58F8318}"/>
    <cellStyle name="Currency 6 3 2 4" xfId="2185" xr:uid="{00000000-0005-0000-0000-00009F080000}"/>
    <cellStyle name="Currency 6 3 2 4 2" xfId="7753" xr:uid="{00000000-0005-0000-0000-0000101C0000}"/>
    <cellStyle name="Currency 6 3 2 4 3" xfId="17212" xr:uid="{2D77AD1E-196A-4225-BF6C-8F3079BA1069}"/>
    <cellStyle name="Currency 6 3 2 5" xfId="7746" xr:uid="{00000000-0005-0000-0000-0000091C0000}"/>
    <cellStyle name="Currency 6 3 2 6" xfId="11723" xr:uid="{00000000-0005-0000-0000-0000C8050000}"/>
    <cellStyle name="Currency 6 3 2 6 2" xfId="44210" xr:uid="{8B26540F-6B65-4204-8958-0450941F6582}"/>
    <cellStyle name="Currency 6 3 2 7" xfId="14839" xr:uid="{78ED7030-C36D-40C8-B23E-EAB531322787}"/>
    <cellStyle name="Currency 6 3 3" xfId="2186" xr:uid="{00000000-0005-0000-0000-0000A0080000}"/>
    <cellStyle name="Currency 6 3 3 2" xfId="2187" xr:uid="{00000000-0005-0000-0000-0000A1080000}"/>
    <cellStyle name="Currency 6 3 3 2 2" xfId="2188" xr:uid="{00000000-0005-0000-0000-0000A2080000}"/>
    <cellStyle name="Currency 6 3 3 2 2 2" xfId="7756" xr:uid="{00000000-0005-0000-0000-0000131C0000}"/>
    <cellStyle name="Currency 6 3 3 2 2 3" xfId="17217" xr:uid="{7958D253-7492-4A95-B99D-87C38AA94810}"/>
    <cellStyle name="Currency 6 3 3 2 3" xfId="7755" xr:uid="{00000000-0005-0000-0000-0000121C0000}"/>
    <cellStyle name="Currency 6 3 3 2 4" xfId="11718" xr:uid="{00000000-0005-0000-0000-0000CD050000}"/>
    <cellStyle name="Currency 6 3 3 2 4 2" xfId="44205" xr:uid="{6DFBBCEA-F3C2-4392-AD7A-131B24F53CE7}"/>
    <cellStyle name="Currency 6 3 3 2 5" xfId="14844" xr:uid="{08A801E7-CEC9-43FA-AA5B-0E1878D70493}"/>
    <cellStyle name="Currency 6 3 3 3" xfId="2189" xr:uid="{00000000-0005-0000-0000-0000A3080000}"/>
    <cellStyle name="Currency 6 3 3 3 2" xfId="7757" xr:uid="{00000000-0005-0000-0000-0000141C0000}"/>
    <cellStyle name="Currency 6 3 3 3 3" xfId="17216" xr:uid="{7657630C-3B10-455F-AE82-139DDCD7684C}"/>
    <cellStyle name="Currency 6 3 3 4" xfId="7754" xr:uid="{00000000-0005-0000-0000-0000111C0000}"/>
    <cellStyle name="Currency 6 3 3 5" xfId="11719" xr:uid="{00000000-0005-0000-0000-0000CC050000}"/>
    <cellStyle name="Currency 6 3 3 5 2" xfId="44206" xr:uid="{2CFC491F-11B7-4237-9702-48BB5378F526}"/>
    <cellStyle name="Currency 6 3 3 6" xfId="14843" xr:uid="{332FF007-EE44-4B0A-A6CA-4C21836988A9}"/>
    <cellStyle name="Currency 6 3 4" xfId="2190" xr:uid="{00000000-0005-0000-0000-0000A4080000}"/>
    <cellStyle name="Currency 6 3 4 2" xfId="2191" xr:uid="{00000000-0005-0000-0000-0000A5080000}"/>
    <cellStyle name="Currency 6 3 4 2 2" xfId="7759" xr:uid="{00000000-0005-0000-0000-0000161C0000}"/>
    <cellStyle name="Currency 6 3 4 2 3" xfId="17218" xr:uid="{4C6C5294-D431-46A4-B993-671B67499668}"/>
    <cellStyle name="Currency 6 3 4 3" xfId="7758" xr:uid="{00000000-0005-0000-0000-0000151C0000}"/>
    <cellStyle name="Currency 6 3 4 4" xfId="11717" xr:uid="{00000000-0005-0000-0000-0000CE050000}"/>
    <cellStyle name="Currency 6 3 4 4 2" xfId="44204" xr:uid="{35DD9A44-E903-41A7-9EC3-99024B2FEB5D}"/>
    <cellStyle name="Currency 6 3 4 5" xfId="14845" xr:uid="{19EE4CA6-6C14-4792-B2D9-4FD145F862C1}"/>
    <cellStyle name="Currency 6 3 5" xfId="2192" xr:uid="{00000000-0005-0000-0000-0000A6080000}"/>
    <cellStyle name="Currency 6 3 5 2" xfId="7760" xr:uid="{00000000-0005-0000-0000-0000171C0000}"/>
    <cellStyle name="Currency 6 3 5 3" xfId="17211" xr:uid="{6D109626-6213-41C5-9FDB-9339C1B776B8}"/>
    <cellStyle name="Currency 6 3 6" xfId="7745" xr:uid="{00000000-0005-0000-0000-0000081C0000}"/>
    <cellStyle name="Currency 6 3 7" xfId="11724" xr:uid="{00000000-0005-0000-0000-0000C7050000}"/>
    <cellStyle name="Currency 6 3 7 2" xfId="44211" xr:uid="{8B2D1711-FC91-48FD-8EC1-284C704BBF1B}"/>
    <cellStyle name="Currency 6 3 8" xfId="14838" xr:uid="{F5F50D04-6CE8-43B1-AB4F-BEEE6F10FE04}"/>
    <cellStyle name="Currency 6 4" xfId="2193" xr:uid="{00000000-0005-0000-0000-0000A7080000}"/>
    <cellStyle name="Currency 6 4 2" xfId="2194" xr:uid="{00000000-0005-0000-0000-0000A8080000}"/>
    <cellStyle name="Currency 6 4 2 2" xfId="2195" xr:uid="{00000000-0005-0000-0000-0000A9080000}"/>
    <cellStyle name="Currency 6 4 2 2 2" xfId="2196" xr:uid="{00000000-0005-0000-0000-0000AA080000}"/>
    <cellStyle name="Currency 6 4 2 2 2 2" xfId="7764" xr:uid="{00000000-0005-0000-0000-00001B1C0000}"/>
    <cellStyle name="Currency 6 4 2 2 2 3" xfId="17221" xr:uid="{E29E0460-B544-40AE-BCC9-E6D24B8E99A2}"/>
    <cellStyle name="Currency 6 4 2 2 3" xfId="7763" xr:uid="{00000000-0005-0000-0000-00001A1C0000}"/>
    <cellStyle name="Currency 6 4 2 2 4" xfId="11714" xr:uid="{00000000-0005-0000-0000-0000D1050000}"/>
    <cellStyle name="Currency 6 4 2 2 4 2" xfId="44201" xr:uid="{D3E7133D-3CAE-4982-95C3-2FCE5315BD15}"/>
    <cellStyle name="Currency 6 4 2 2 5" xfId="14848" xr:uid="{DB3B1CF8-C2C0-4A8E-9AE8-66125191C471}"/>
    <cellStyle name="Currency 6 4 2 3" xfId="2197" xr:uid="{00000000-0005-0000-0000-0000AB080000}"/>
    <cellStyle name="Currency 6 4 2 3 2" xfId="7765" xr:uid="{00000000-0005-0000-0000-00001C1C0000}"/>
    <cellStyle name="Currency 6 4 2 3 3" xfId="17220" xr:uid="{B73A966C-8A76-4A7C-B4D3-35AD4031B4D3}"/>
    <cellStyle name="Currency 6 4 2 4" xfId="7762" xr:uid="{00000000-0005-0000-0000-0000191C0000}"/>
    <cellStyle name="Currency 6 4 2 5" xfId="11715" xr:uid="{00000000-0005-0000-0000-0000D0050000}"/>
    <cellStyle name="Currency 6 4 2 5 2" xfId="44202" xr:uid="{D4BF616E-2CD2-4ACC-94DB-45F678F97B83}"/>
    <cellStyle name="Currency 6 4 2 6" xfId="14847" xr:uid="{B8C9B9E1-3DF0-4AD4-B1FC-D6F26BAD7D94}"/>
    <cellStyle name="Currency 6 4 3" xfId="2198" xr:uid="{00000000-0005-0000-0000-0000AC080000}"/>
    <cellStyle name="Currency 6 4 3 2" xfId="2199" xr:uid="{00000000-0005-0000-0000-0000AD080000}"/>
    <cellStyle name="Currency 6 4 3 2 2" xfId="7767" xr:uid="{00000000-0005-0000-0000-00001E1C0000}"/>
    <cellStyle name="Currency 6 4 3 2 3" xfId="17222" xr:uid="{30F7E1B1-0214-4322-94B1-CBBD97F7B5AA}"/>
    <cellStyle name="Currency 6 4 3 3" xfId="7766" xr:uid="{00000000-0005-0000-0000-00001D1C0000}"/>
    <cellStyle name="Currency 6 4 3 4" xfId="11713" xr:uid="{00000000-0005-0000-0000-0000D2050000}"/>
    <cellStyle name="Currency 6 4 3 4 2" xfId="44200" xr:uid="{A45B37CE-7CA2-4066-BA9B-A5912F3B4D2B}"/>
    <cellStyle name="Currency 6 4 3 5" xfId="14849" xr:uid="{051E8B6C-843C-4B72-8FF2-E6B6EF81357B}"/>
    <cellStyle name="Currency 6 4 4" xfId="2200" xr:uid="{00000000-0005-0000-0000-0000AE080000}"/>
    <cellStyle name="Currency 6 4 4 2" xfId="7768" xr:uid="{00000000-0005-0000-0000-00001F1C0000}"/>
    <cellStyle name="Currency 6 4 4 3" xfId="17219" xr:uid="{9598CB8A-42F4-4AE5-BC93-8D7F20B8AF90}"/>
    <cellStyle name="Currency 6 4 5" xfId="7761" xr:uid="{00000000-0005-0000-0000-0000181C0000}"/>
    <cellStyle name="Currency 6 4 6" xfId="11716" xr:uid="{00000000-0005-0000-0000-0000CF050000}"/>
    <cellStyle name="Currency 6 4 6 2" xfId="44203" xr:uid="{7C8719E1-F99E-4F58-B355-A7CE25871C76}"/>
    <cellStyle name="Currency 6 4 7" xfId="14846" xr:uid="{8542B534-07FD-4A1D-A1E4-26A6A26F4E24}"/>
    <cellStyle name="Currency 6 5" xfId="2201" xr:uid="{00000000-0005-0000-0000-0000AF080000}"/>
    <cellStyle name="Currency 6 5 2" xfId="2202" xr:uid="{00000000-0005-0000-0000-0000B0080000}"/>
    <cellStyle name="Currency 6 5 2 2" xfId="2203" xr:uid="{00000000-0005-0000-0000-0000B1080000}"/>
    <cellStyle name="Currency 6 5 2 2 2" xfId="7771" xr:uid="{00000000-0005-0000-0000-0000221C0000}"/>
    <cellStyle name="Currency 6 5 2 2 3" xfId="17224" xr:uid="{A1803E3A-BED9-4B37-91EC-FB5FEEC3A863}"/>
    <cellStyle name="Currency 6 5 2 3" xfId="7770" xr:uid="{00000000-0005-0000-0000-0000211C0000}"/>
    <cellStyle name="Currency 6 5 2 4" xfId="11711" xr:uid="{00000000-0005-0000-0000-0000D4050000}"/>
    <cellStyle name="Currency 6 5 2 4 2" xfId="44198" xr:uid="{A910B851-F707-4589-868C-C1F5EAD37EED}"/>
    <cellStyle name="Currency 6 5 2 5" xfId="14851" xr:uid="{642BAAFD-6A82-4A18-BF96-14A10FFCC754}"/>
    <cellStyle name="Currency 6 5 3" xfId="2204" xr:uid="{00000000-0005-0000-0000-0000B2080000}"/>
    <cellStyle name="Currency 6 5 3 2" xfId="7772" xr:uid="{00000000-0005-0000-0000-0000231C0000}"/>
    <cellStyle name="Currency 6 5 3 3" xfId="17223" xr:uid="{4A303634-8533-463C-BDB2-67C5FA2FD646}"/>
    <cellStyle name="Currency 6 5 4" xfId="7769" xr:uid="{00000000-0005-0000-0000-0000201C0000}"/>
    <cellStyle name="Currency 6 5 5" xfId="11712" xr:uid="{00000000-0005-0000-0000-0000D3050000}"/>
    <cellStyle name="Currency 6 5 5 2" xfId="44199" xr:uid="{0DC9846C-DD22-4657-88EE-A86FEECDA144}"/>
    <cellStyle name="Currency 6 5 6" xfId="14850" xr:uid="{44B8EA04-BDA8-485C-9925-766EAFA4520A}"/>
    <cellStyle name="Currency 6 6" xfId="2205" xr:uid="{00000000-0005-0000-0000-0000B3080000}"/>
    <cellStyle name="Currency 6 6 2" xfId="2206" xr:uid="{00000000-0005-0000-0000-0000B4080000}"/>
    <cellStyle name="Currency 6 6 2 2" xfId="7774" xr:uid="{00000000-0005-0000-0000-0000251C0000}"/>
    <cellStyle name="Currency 6 6 2 3" xfId="17225" xr:uid="{A8CD379A-88A9-4E48-9457-2ABB576DFB97}"/>
    <cellStyle name="Currency 6 6 3" xfId="7773" xr:uid="{00000000-0005-0000-0000-0000241C0000}"/>
    <cellStyle name="Currency 6 6 4" xfId="11710" xr:uid="{00000000-0005-0000-0000-0000D5050000}"/>
    <cellStyle name="Currency 6 6 4 2" xfId="44197" xr:uid="{DF687298-E00F-49F0-8E29-C608DE2C76DA}"/>
    <cellStyle name="Currency 6 6 5" xfId="14852" xr:uid="{9DB75A46-AA44-4806-B31F-6FBD8EBC9D6E}"/>
    <cellStyle name="Currency 6 7" xfId="2207" xr:uid="{00000000-0005-0000-0000-0000B5080000}"/>
    <cellStyle name="Currency 6 8" xfId="7728" xr:uid="{00000000-0005-0000-0000-0000F71B0000}"/>
    <cellStyle name="Currency 6 8 2" xfId="17962" xr:uid="{56C8E078-5812-4CF2-A967-665650CDACB6}"/>
    <cellStyle name="Currency 6 9" xfId="14829" xr:uid="{14DFDEBF-81A0-4F9F-B5A8-6BC8F222BC13}"/>
    <cellStyle name="Currency 60" xfId="19016" xr:uid="{98AF8A07-823B-467E-A922-BA877BEEAA62}"/>
    <cellStyle name="Currency 61" xfId="22004" xr:uid="{F61BAE6A-60CF-4EA2-B01F-7EB1DE94EDA1}"/>
    <cellStyle name="Currency 62" xfId="20872" xr:uid="{9B5AC88E-B5C4-4333-815B-BDC70FEE2C52}"/>
    <cellStyle name="Currency 63" xfId="20776" xr:uid="{D1706A3B-C0BD-4AEE-BCCA-637A7203B35D}"/>
    <cellStyle name="Currency 64" xfId="19485" xr:uid="{4C17EABA-FF2A-480D-A53A-2F299F92C427}"/>
    <cellStyle name="Currency 65" xfId="22452" xr:uid="{8FF13499-814D-4928-8D56-DCC4ACB3CE40}"/>
    <cellStyle name="Currency 66" xfId="21830" xr:uid="{C580DBCF-8B97-4147-84C0-D1D81A1D41DF}"/>
    <cellStyle name="Currency 67" xfId="22673" xr:uid="{2AA49C8B-BBE7-4576-9274-23C9E61A274F}"/>
    <cellStyle name="Currency 68" xfId="19715" xr:uid="{2896F54F-7FB8-4A15-B625-4A7D8362A0E1}"/>
    <cellStyle name="Currency 69" xfId="21603" xr:uid="{5C3E14F2-4CC3-4D94-A951-7D5EFA7CE3E3}"/>
    <cellStyle name="Currency 7" xfId="2208" xr:uid="{00000000-0005-0000-0000-0000B6080000}"/>
    <cellStyle name="Currency-- 7" xfId="46862" xr:uid="{18FF8CD6-4628-4995-98A6-9D51A4F1D4B5}"/>
    <cellStyle name="Currency 7 2" xfId="2209" xr:uid="{00000000-0005-0000-0000-0000B7080000}"/>
    <cellStyle name="Currency 7 2 2" xfId="2210" xr:uid="{00000000-0005-0000-0000-0000B8080000}"/>
    <cellStyle name="Currency 7 2 2 2" xfId="7778" xr:uid="{00000000-0005-0000-0000-0000271C0000}"/>
    <cellStyle name="Currency 7 2 2 3" xfId="17227" xr:uid="{F4EE24E7-8899-43AF-B03D-F10C942B7708}"/>
    <cellStyle name="Currency 7 2 3" xfId="7777" xr:uid="{00000000-0005-0000-0000-0000261C0000}"/>
    <cellStyle name="Currency 7 2 4" xfId="11709" xr:uid="{00000000-0005-0000-0000-0000D7050000}"/>
    <cellStyle name="Currency 7 2 4 2" xfId="44196" xr:uid="{5697C68F-5418-44FD-B481-1ACAD3029D1A}"/>
    <cellStyle name="Currency 7 2 5" xfId="14853" xr:uid="{89F374F2-B442-44A8-B2C6-A45D396882E6}"/>
    <cellStyle name="Currency 7 3" xfId="2211" xr:uid="{00000000-0005-0000-0000-0000B9080000}"/>
    <cellStyle name="Currency 7 4" xfId="17963" xr:uid="{C025E15B-AEF9-4BF3-AD06-144762395615}"/>
    <cellStyle name="Currency 8" xfId="2212" xr:uid="{00000000-0005-0000-0000-0000BA080000}"/>
    <cellStyle name="Currency-- 8" xfId="46656" xr:uid="{30CBEE3F-0919-49BE-BEF7-2347F7353C13}"/>
    <cellStyle name="Currency 8 10" xfId="11708" xr:uid="{00000000-0005-0000-0000-0000D8050000}"/>
    <cellStyle name="Currency 8 10 2" xfId="17964" xr:uid="{FDBE69BA-C526-4102-949F-E388279B810B}"/>
    <cellStyle name="Currency 8 10 3" xfId="44195" xr:uid="{B343B655-837A-49A9-BD71-A1C95346F3A4}"/>
    <cellStyle name="Currency 8 11" xfId="17416" xr:uid="{C5133D5E-501D-49D2-B989-197AD80E6D73}"/>
    <cellStyle name="Currency 8 12" xfId="14854" xr:uid="{DF3D23BB-EF24-4E7B-804F-0D1EFD3B4F74}"/>
    <cellStyle name="Currency 8 13" xfId="49199" xr:uid="{77E70CC1-154E-42B2-A001-0C9838E045DD}"/>
    <cellStyle name="Currency 8 14" xfId="14165" xr:uid="{1A3C585D-20DC-4E00-BAEB-1B9CCBC4306E}"/>
    <cellStyle name="Currency 8 15" xfId="49646" xr:uid="{5EFFC08B-5A24-4FB9-BE90-10704DA5C2BD}"/>
    <cellStyle name="Currency 8 16" xfId="41785" xr:uid="{4C547E51-7D0C-4D86-A4EC-3329992F8E85}"/>
    <cellStyle name="Currency 8 2" xfId="2213" xr:uid="{00000000-0005-0000-0000-0000BB080000}"/>
    <cellStyle name="Currency 8 2 2" xfId="2214" xr:uid="{00000000-0005-0000-0000-0000BC080000}"/>
    <cellStyle name="Currency 8 2 2 2" xfId="2215" xr:uid="{00000000-0005-0000-0000-0000BD080000}"/>
    <cellStyle name="Currency 8 2 2 2 2" xfId="2216" xr:uid="{00000000-0005-0000-0000-0000BE080000}"/>
    <cellStyle name="Currency 8 2 2 2 2 2" xfId="2217" xr:uid="{00000000-0005-0000-0000-0000BF080000}"/>
    <cellStyle name="Currency 8 2 2 2 2 2 2" xfId="7785" xr:uid="{00000000-0005-0000-0000-00002D1C0000}"/>
    <cellStyle name="Currency 8 2 2 2 2 2 3" xfId="17232" xr:uid="{B391DB37-A4B9-4821-90F4-D1FB9878AC13}"/>
    <cellStyle name="Currency 8 2 2 2 2 3" xfId="7784" xr:uid="{00000000-0005-0000-0000-00002C1C0000}"/>
    <cellStyle name="Currency 8 2 2 2 2 4" xfId="11704" xr:uid="{00000000-0005-0000-0000-0000DC050000}"/>
    <cellStyle name="Currency 8 2 2 2 2 4 2" xfId="44191" xr:uid="{584F0867-B065-484B-A2D8-C87C59461384}"/>
    <cellStyle name="Currency 8 2 2 2 2 5" xfId="14858" xr:uid="{870ADD98-D38C-41D7-A8E6-DA33E3BD4215}"/>
    <cellStyle name="Currency 8 2 2 2 3" xfId="2218" xr:uid="{00000000-0005-0000-0000-0000C0080000}"/>
    <cellStyle name="Currency 8 2 2 2 3 2" xfId="7786" xr:uid="{00000000-0005-0000-0000-00002E1C0000}"/>
    <cellStyle name="Currency 8 2 2 2 3 3" xfId="17231" xr:uid="{73354927-2E9F-4E3B-AD85-459EEED4981D}"/>
    <cellStyle name="Currency 8 2 2 2 4" xfId="7783" xr:uid="{00000000-0005-0000-0000-00002B1C0000}"/>
    <cellStyle name="Currency 8 2 2 2 5" xfId="11705" xr:uid="{00000000-0005-0000-0000-0000DB050000}"/>
    <cellStyle name="Currency 8 2 2 2 5 2" xfId="44192" xr:uid="{F1DA37FD-1949-459D-A485-49C2006B75ED}"/>
    <cellStyle name="Currency 8 2 2 2 6" xfId="14857" xr:uid="{0D16D49F-BE1E-41F0-B4F1-6BDA9F048F4F}"/>
    <cellStyle name="Currency 8 2 2 3" xfId="2219" xr:uid="{00000000-0005-0000-0000-0000C1080000}"/>
    <cellStyle name="Currency 8 2 2 3 2" xfId="2220" xr:uid="{00000000-0005-0000-0000-0000C2080000}"/>
    <cellStyle name="Currency 8 2 2 3 2 2" xfId="7788" xr:uid="{00000000-0005-0000-0000-0000301C0000}"/>
    <cellStyle name="Currency 8 2 2 3 2 3" xfId="17233" xr:uid="{56BCE6F7-B66D-4A4A-98B4-8ED954671FDC}"/>
    <cellStyle name="Currency 8 2 2 3 3" xfId="7787" xr:uid="{00000000-0005-0000-0000-00002F1C0000}"/>
    <cellStyle name="Currency 8 2 2 3 4" xfId="11703" xr:uid="{00000000-0005-0000-0000-0000DD050000}"/>
    <cellStyle name="Currency 8 2 2 3 4 2" xfId="44190" xr:uid="{2CB8FF85-881A-4E71-8E31-D9D1BD72535F}"/>
    <cellStyle name="Currency 8 2 2 3 5" xfId="14859" xr:uid="{F63F2F7E-4D1D-4E49-97CE-AD4A1B3EE8F6}"/>
    <cellStyle name="Currency 8 2 2 4" xfId="2221" xr:uid="{00000000-0005-0000-0000-0000C3080000}"/>
    <cellStyle name="Currency 8 2 2 4 2" xfId="7789" xr:uid="{00000000-0005-0000-0000-0000311C0000}"/>
    <cellStyle name="Currency 8 2 2 4 3" xfId="17230" xr:uid="{FD089971-9783-462F-9ECF-24CC469767F0}"/>
    <cellStyle name="Currency 8 2 2 5" xfId="7782" xr:uid="{00000000-0005-0000-0000-00002A1C0000}"/>
    <cellStyle name="Currency 8 2 2 6" xfId="11706" xr:uid="{00000000-0005-0000-0000-0000DA050000}"/>
    <cellStyle name="Currency 8 2 2 6 2" xfId="44193" xr:uid="{B9C3525A-F7C5-4929-9066-C9A473808B01}"/>
    <cellStyle name="Currency 8 2 2 7" xfId="14856" xr:uid="{29FB210D-CF2D-404E-BC82-7B313F6BBF9B}"/>
    <cellStyle name="Currency 8 2 3" xfId="2222" xr:uid="{00000000-0005-0000-0000-0000C4080000}"/>
    <cellStyle name="Currency 8 2 3 2" xfId="2223" xr:uid="{00000000-0005-0000-0000-0000C5080000}"/>
    <cellStyle name="Currency 8 2 3 2 2" xfId="2224" xr:uid="{00000000-0005-0000-0000-0000C6080000}"/>
    <cellStyle name="Currency 8 2 3 2 2 2" xfId="7792" xr:uid="{00000000-0005-0000-0000-0000341C0000}"/>
    <cellStyle name="Currency 8 2 3 2 2 3" xfId="17235" xr:uid="{2286A647-6F18-4333-BFE9-76FAE81B4C8C}"/>
    <cellStyle name="Currency 8 2 3 2 3" xfId="7791" xr:uid="{00000000-0005-0000-0000-0000331C0000}"/>
    <cellStyle name="Currency 8 2 3 2 4" xfId="11701" xr:uid="{00000000-0005-0000-0000-0000DF050000}"/>
    <cellStyle name="Currency 8 2 3 2 4 2" xfId="44188" xr:uid="{BA4D367B-FD08-4E61-ABAE-3C1B003575DB}"/>
    <cellStyle name="Currency 8 2 3 2 5" xfId="14861" xr:uid="{6A6AD86D-2ABD-4B51-8D67-A30960FE98B3}"/>
    <cellStyle name="Currency 8 2 3 3" xfId="2225" xr:uid="{00000000-0005-0000-0000-0000C7080000}"/>
    <cellStyle name="Currency 8 2 3 3 2" xfId="7793" xr:uid="{00000000-0005-0000-0000-0000351C0000}"/>
    <cellStyle name="Currency 8 2 3 3 3" xfId="17234" xr:uid="{A98B2363-40EE-4FF3-9757-B4FD272FCBBC}"/>
    <cellStyle name="Currency 8 2 3 4" xfId="7790" xr:uid="{00000000-0005-0000-0000-0000321C0000}"/>
    <cellStyle name="Currency 8 2 3 5" xfId="11702" xr:uid="{00000000-0005-0000-0000-0000DE050000}"/>
    <cellStyle name="Currency 8 2 3 5 2" xfId="44189" xr:uid="{B0F48893-1AFF-4F51-A8F0-7F3992502AEC}"/>
    <cellStyle name="Currency 8 2 3 6" xfId="14860" xr:uid="{F709B228-7C0E-4CC5-9CF2-4B87D870FC6D}"/>
    <cellStyle name="Currency 8 2 4" xfId="2226" xr:uid="{00000000-0005-0000-0000-0000C8080000}"/>
    <cellStyle name="Currency 8 2 4 2" xfId="2227" xr:uid="{00000000-0005-0000-0000-0000C9080000}"/>
    <cellStyle name="Currency 8 2 4 2 2" xfId="7795" xr:uid="{00000000-0005-0000-0000-0000371C0000}"/>
    <cellStyle name="Currency 8 2 4 2 3" xfId="17236" xr:uid="{95551B7F-30DE-4901-BAD1-5EDED069F5D1}"/>
    <cellStyle name="Currency 8 2 4 3" xfId="7794" xr:uid="{00000000-0005-0000-0000-0000361C0000}"/>
    <cellStyle name="Currency 8 2 4 4" xfId="11700" xr:uid="{00000000-0005-0000-0000-0000E0050000}"/>
    <cellStyle name="Currency 8 2 4 4 2" xfId="44187" xr:uid="{395977E7-9BD6-40C8-A3FA-D698717F9B15}"/>
    <cellStyle name="Currency 8 2 4 5" xfId="14862" xr:uid="{95528713-C616-4CDD-BC85-757A41F9F6F0}"/>
    <cellStyle name="Currency 8 2 5" xfId="2228" xr:uid="{00000000-0005-0000-0000-0000CA080000}"/>
    <cellStyle name="Currency 8 2 5 2" xfId="7796" xr:uid="{00000000-0005-0000-0000-0000381C0000}"/>
    <cellStyle name="Currency 8 2 5 3" xfId="17229" xr:uid="{A660216C-384E-4415-AD0D-B4499006F8EA}"/>
    <cellStyle name="Currency 8 2 6" xfId="7781" xr:uid="{00000000-0005-0000-0000-0000291C0000}"/>
    <cellStyle name="Currency 8 2 7" xfId="11707" xr:uid="{00000000-0005-0000-0000-0000D9050000}"/>
    <cellStyle name="Currency 8 2 7 2" xfId="44194" xr:uid="{2AA73D98-3897-420A-8664-8157B2B4F6AD}"/>
    <cellStyle name="Currency 8 2 8" xfId="14855" xr:uid="{D2E32F50-6D45-475F-9CD4-F98AA861D13E}"/>
    <cellStyle name="Currency 8 3" xfId="2229" xr:uid="{00000000-0005-0000-0000-0000CB080000}"/>
    <cellStyle name="Currency 8 3 2" xfId="2230" xr:uid="{00000000-0005-0000-0000-0000CC080000}"/>
    <cellStyle name="Currency 8 3 2 2" xfId="2231" xr:uid="{00000000-0005-0000-0000-0000CD080000}"/>
    <cellStyle name="Currency 8 3 2 2 2" xfId="2232" xr:uid="{00000000-0005-0000-0000-0000CE080000}"/>
    <cellStyle name="Currency 8 3 2 2 2 2" xfId="2233" xr:uid="{00000000-0005-0000-0000-0000CF080000}"/>
    <cellStyle name="Currency 8 3 2 2 2 2 2" xfId="7801" xr:uid="{00000000-0005-0000-0000-00003D1C0000}"/>
    <cellStyle name="Currency 8 3 2 2 2 2 3" xfId="17240" xr:uid="{C633A07C-581E-40D2-AAC6-25C80D8606C9}"/>
    <cellStyle name="Currency 8 3 2 2 2 3" xfId="7800" xr:uid="{00000000-0005-0000-0000-00003C1C0000}"/>
    <cellStyle name="Currency 8 3 2 2 2 4" xfId="11696" xr:uid="{00000000-0005-0000-0000-0000E4050000}"/>
    <cellStyle name="Currency 8 3 2 2 2 4 2" xfId="44183" xr:uid="{013EABCB-C5B2-485D-81B6-C08B4FAC4A5F}"/>
    <cellStyle name="Currency 8 3 2 2 2 5" xfId="14866" xr:uid="{C499FB1A-F74C-440C-AA9B-83B2CFDF5E1A}"/>
    <cellStyle name="Currency 8 3 2 2 3" xfId="2234" xr:uid="{00000000-0005-0000-0000-0000D0080000}"/>
    <cellStyle name="Currency 8 3 2 2 3 2" xfId="7802" xr:uid="{00000000-0005-0000-0000-00003E1C0000}"/>
    <cellStyle name="Currency 8 3 2 2 3 3" xfId="17239" xr:uid="{DDD07E81-E4EF-4C69-8E4D-CA75AD285C8B}"/>
    <cellStyle name="Currency 8 3 2 2 4" xfId="7799" xr:uid="{00000000-0005-0000-0000-00003B1C0000}"/>
    <cellStyle name="Currency 8 3 2 2 5" xfId="11697" xr:uid="{00000000-0005-0000-0000-0000E3050000}"/>
    <cellStyle name="Currency 8 3 2 2 5 2" xfId="44184" xr:uid="{DB25306E-CD00-4E18-A7FF-60510775EC23}"/>
    <cellStyle name="Currency 8 3 2 2 6" xfId="14865" xr:uid="{61DEE671-1654-4EFB-8A33-C6D7EF58894F}"/>
    <cellStyle name="Currency 8 3 2 3" xfId="2235" xr:uid="{00000000-0005-0000-0000-0000D1080000}"/>
    <cellStyle name="Currency 8 3 2 3 2" xfId="2236" xr:uid="{00000000-0005-0000-0000-0000D2080000}"/>
    <cellStyle name="Currency 8 3 2 3 2 2" xfId="7804" xr:uid="{00000000-0005-0000-0000-0000401C0000}"/>
    <cellStyle name="Currency 8 3 2 3 2 3" xfId="17241" xr:uid="{DD71EF93-EB68-4699-8CD8-544E26AE6B7F}"/>
    <cellStyle name="Currency 8 3 2 3 3" xfId="7803" xr:uid="{00000000-0005-0000-0000-00003F1C0000}"/>
    <cellStyle name="Currency 8 3 2 3 4" xfId="11695" xr:uid="{00000000-0005-0000-0000-0000E5050000}"/>
    <cellStyle name="Currency 8 3 2 3 4 2" xfId="44182" xr:uid="{1B1AC0ED-8520-4FC4-BFAC-BE0215001A40}"/>
    <cellStyle name="Currency 8 3 2 3 5" xfId="14867" xr:uid="{4A5EFBEF-9301-4FFE-8BD6-E509352C7E86}"/>
    <cellStyle name="Currency 8 3 2 4" xfId="2237" xr:uid="{00000000-0005-0000-0000-0000D3080000}"/>
    <cellStyle name="Currency 8 3 2 4 2" xfId="7805" xr:uid="{00000000-0005-0000-0000-0000411C0000}"/>
    <cellStyle name="Currency 8 3 2 4 3" xfId="17238" xr:uid="{2D8E26EA-0C70-41F7-B5E7-444555606BDA}"/>
    <cellStyle name="Currency 8 3 2 5" xfId="7798" xr:uid="{00000000-0005-0000-0000-00003A1C0000}"/>
    <cellStyle name="Currency 8 3 2 6" xfId="11698" xr:uid="{00000000-0005-0000-0000-0000E2050000}"/>
    <cellStyle name="Currency 8 3 2 6 2" xfId="44185" xr:uid="{0884F4FB-3127-4706-8285-859BD56A342D}"/>
    <cellStyle name="Currency 8 3 2 7" xfId="14864" xr:uid="{D355B152-EF1E-4516-91BA-03ADF39E7F7D}"/>
    <cellStyle name="Currency 8 3 3" xfId="2238" xr:uid="{00000000-0005-0000-0000-0000D4080000}"/>
    <cellStyle name="Currency 8 3 3 2" xfId="2239" xr:uid="{00000000-0005-0000-0000-0000D5080000}"/>
    <cellStyle name="Currency 8 3 3 2 2" xfId="2240" xr:uid="{00000000-0005-0000-0000-0000D6080000}"/>
    <cellStyle name="Currency 8 3 3 2 2 2" xfId="7808" xr:uid="{00000000-0005-0000-0000-0000441C0000}"/>
    <cellStyle name="Currency 8 3 3 2 2 3" xfId="17243" xr:uid="{E9CE89E3-C20D-4FD8-8447-796A18B507A5}"/>
    <cellStyle name="Currency 8 3 3 2 3" xfId="7807" xr:uid="{00000000-0005-0000-0000-0000431C0000}"/>
    <cellStyle name="Currency 8 3 3 2 4" xfId="11693" xr:uid="{00000000-0005-0000-0000-0000E7050000}"/>
    <cellStyle name="Currency 8 3 3 2 4 2" xfId="44180" xr:uid="{4E759CEE-28DC-4741-9E5E-8FCA99224293}"/>
    <cellStyle name="Currency 8 3 3 2 5" xfId="14869" xr:uid="{8ABC61D3-0AFD-48D3-8236-C04B0731D2D9}"/>
    <cellStyle name="Currency 8 3 3 3" xfId="2241" xr:uid="{00000000-0005-0000-0000-0000D7080000}"/>
    <cellStyle name="Currency 8 3 3 3 2" xfId="7809" xr:uid="{00000000-0005-0000-0000-0000451C0000}"/>
    <cellStyle name="Currency 8 3 3 3 3" xfId="17242" xr:uid="{57AB2C19-F738-436D-AF39-33F547756DCF}"/>
    <cellStyle name="Currency 8 3 3 4" xfId="7806" xr:uid="{00000000-0005-0000-0000-0000421C0000}"/>
    <cellStyle name="Currency 8 3 3 5" xfId="11694" xr:uid="{00000000-0005-0000-0000-0000E6050000}"/>
    <cellStyle name="Currency 8 3 3 5 2" xfId="44181" xr:uid="{148BC699-BCB4-4125-B791-C1E8CDC80C81}"/>
    <cellStyle name="Currency 8 3 3 6" xfId="14868" xr:uid="{90BE15D8-877B-4479-B9A4-6BF1DF8F3164}"/>
    <cellStyle name="Currency 8 3 4" xfId="2242" xr:uid="{00000000-0005-0000-0000-0000D8080000}"/>
    <cellStyle name="Currency 8 3 4 2" xfId="2243" xr:uid="{00000000-0005-0000-0000-0000D9080000}"/>
    <cellStyle name="Currency 8 3 4 2 2" xfId="7811" xr:uid="{00000000-0005-0000-0000-0000471C0000}"/>
    <cellStyle name="Currency 8 3 4 2 3" xfId="17244" xr:uid="{76CB720E-388E-40AD-ABE7-14D0C07019A9}"/>
    <cellStyle name="Currency 8 3 4 3" xfId="7810" xr:uid="{00000000-0005-0000-0000-0000461C0000}"/>
    <cellStyle name="Currency 8 3 4 4" xfId="11692" xr:uid="{00000000-0005-0000-0000-0000E8050000}"/>
    <cellStyle name="Currency 8 3 4 4 2" xfId="44179" xr:uid="{2F788D3F-6A7D-4C3F-AC37-8261F163F440}"/>
    <cellStyle name="Currency 8 3 4 5" xfId="14870" xr:uid="{DC57E3DB-7B33-4073-A821-2466756F2A63}"/>
    <cellStyle name="Currency 8 3 5" xfId="2244" xr:uid="{00000000-0005-0000-0000-0000DA080000}"/>
    <cellStyle name="Currency 8 3 5 2" xfId="7812" xr:uid="{00000000-0005-0000-0000-0000481C0000}"/>
    <cellStyle name="Currency 8 3 5 3" xfId="17237" xr:uid="{70590871-7A33-42F9-A380-EB2830506B5E}"/>
    <cellStyle name="Currency 8 3 6" xfId="7797" xr:uid="{00000000-0005-0000-0000-0000391C0000}"/>
    <cellStyle name="Currency 8 3 7" xfId="11699" xr:uid="{00000000-0005-0000-0000-0000E1050000}"/>
    <cellStyle name="Currency 8 3 7 2" xfId="44186" xr:uid="{C20EB073-8C31-4764-BBAD-2DA869BB963F}"/>
    <cellStyle name="Currency 8 3 8" xfId="14863" xr:uid="{55F9F2DD-A7F6-4A16-BAE5-EBCE9DFECFFA}"/>
    <cellStyle name="Currency 8 4" xfId="2245" xr:uid="{00000000-0005-0000-0000-0000DB080000}"/>
    <cellStyle name="Currency 8 4 2" xfId="2246" xr:uid="{00000000-0005-0000-0000-0000DC080000}"/>
    <cellStyle name="Currency 8 4 2 2" xfId="2247" xr:uid="{00000000-0005-0000-0000-0000DD080000}"/>
    <cellStyle name="Currency 8 4 2 2 2" xfId="2248" xr:uid="{00000000-0005-0000-0000-0000DE080000}"/>
    <cellStyle name="Currency 8 4 2 2 2 2" xfId="7816" xr:uid="{00000000-0005-0000-0000-00004C1C0000}"/>
    <cellStyle name="Currency 8 4 2 2 2 3" xfId="17247" xr:uid="{499622CF-B130-4081-825B-84FA62ABABEF}"/>
    <cellStyle name="Currency 8 4 2 2 3" xfId="7815" xr:uid="{00000000-0005-0000-0000-00004B1C0000}"/>
    <cellStyle name="Currency 8 4 2 2 4" xfId="11689" xr:uid="{00000000-0005-0000-0000-0000EB050000}"/>
    <cellStyle name="Currency 8 4 2 2 4 2" xfId="44176" xr:uid="{EBB15BE7-147F-47E9-B3FB-8852C1647AC6}"/>
    <cellStyle name="Currency 8 4 2 2 5" xfId="14873" xr:uid="{16F41D50-BB3E-41B0-9E47-35E5FB696913}"/>
    <cellStyle name="Currency 8 4 2 3" xfId="2249" xr:uid="{00000000-0005-0000-0000-0000DF080000}"/>
    <cellStyle name="Currency 8 4 2 3 2" xfId="7817" xr:uid="{00000000-0005-0000-0000-00004D1C0000}"/>
    <cellStyle name="Currency 8 4 2 3 3" xfId="17246" xr:uid="{E1CCF5B0-4D9A-4BA2-8C4F-76D7D9BB7CCD}"/>
    <cellStyle name="Currency 8 4 2 4" xfId="7814" xr:uid="{00000000-0005-0000-0000-00004A1C0000}"/>
    <cellStyle name="Currency 8 4 2 5" xfId="11690" xr:uid="{00000000-0005-0000-0000-0000EA050000}"/>
    <cellStyle name="Currency 8 4 2 5 2" xfId="44177" xr:uid="{4B9DD523-731B-4A72-B99F-5C80E026247C}"/>
    <cellStyle name="Currency 8 4 2 6" xfId="14872" xr:uid="{D31D1D0E-1597-477E-BA44-1344470FCB8B}"/>
    <cellStyle name="Currency 8 4 3" xfId="2250" xr:uid="{00000000-0005-0000-0000-0000E0080000}"/>
    <cellStyle name="Currency 8 4 3 2" xfId="2251" xr:uid="{00000000-0005-0000-0000-0000E1080000}"/>
    <cellStyle name="Currency 8 4 3 2 2" xfId="7819" xr:uid="{00000000-0005-0000-0000-00004F1C0000}"/>
    <cellStyle name="Currency 8 4 3 2 3" xfId="17248" xr:uid="{2DEA3D76-2ABA-47FF-91B0-4927AD95A2B5}"/>
    <cellStyle name="Currency 8 4 3 3" xfId="7818" xr:uid="{00000000-0005-0000-0000-00004E1C0000}"/>
    <cellStyle name="Currency 8 4 3 4" xfId="11688" xr:uid="{00000000-0005-0000-0000-0000EC050000}"/>
    <cellStyle name="Currency 8 4 3 4 2" xfId="44175" xr:uid="{4F2E4D44-25B0-41C9-9CD3-7CB3E87FECD3}"/>
    <cellStyle name="Currency 8 4 3 5" xfId="14874" xr:uid="{C7B9833D-5E25-455C-8C01-A1B7506A8999}"/>
    <cellStyle name="Currency 8 4 4" xfId="2252" xr:uid="{00000000-0005-0000-0000-0000E2080000}"/>
    <cellStyle name="Currency 8 4 4 2" xfId="7820" xr:uid="{00000000-0005-0000-0000-0000501C0000}"/>
    <cellStyle name="Currency 8 4 4 3" xfId="17245" xr:uid="{78C712F3-1748-4F93-84FE-883E4E2514DB}"/>
    <cellStyle name="Currency 8 4 5" xfId="7813" xr:uid="{00000000-0005-0000-0000-0000491C0000}"/>
    <cellStyle name="Currency 8 4 6" xfId="11691" xr:uid="{00000000-0005-0000-0000-0000E9050000}"/>
    <cellStyle name="Currency 8 4 6 2" xfId="44178" xr:uid="{EBEB1DD8-93DE-4693-A48C-12A1779E8B09}"/>
    <cellStyle name="Currency 8 4 7" xfId="14871" xr:uid="{F365BA7E-B695-410D-BA4D-4B001B46D771}"/>
    <cellStyle name="Currency 8 5" xfId="2253" xr:uid="{00000000-0005-0000-0000-0000E3080000}"/>
    <cellStyle name="Currency 8 5 2" xfId="2254" xr:uid="{00000000-0005-0000-0000-0000E4080000}"/>
    <cellStyle name="Currency 8 5 2 2" xfId="2255" xr:uid="{00000000-0005-0000-0000-0000E5080000}"/>
    <cellStyle name="Currency 8 5 2 2 2" xfId="7823" xr:uid="{00000000-0005-0000-0000-0000531C0000}"/>
    <cellStyle name="Currency 8 5 2 2 3" xfId="17250" xr:uid="{DC456319-0406-4CC6-B869-B2A4BC758ECF}"/>
    <cellStyle name="Currency 8 5 2 3" xfId="7822" xr:uid="{00000000-0005-0000-0000-0000521C0000}"/>
    <cellStyle name="Currency 8 5 2 4" xfId="11686" xr:uid="{00000000-0005-0000-0000-0000EE050000}"/>
    <cellStyle name="Currency 8 5 2 4 2" xfId="44173" xr:uid="{BC69C608-9D1E-4D13-84F9-121F288BF6CD}"/>
    <cellStyle name="Currency 8 5 2 5" xfId="14876" xr:uid="{6AE8EF37-ED8D-471B-8D98-4890D34FC50B}"/>
    <cellStyle name="Currency 8 5 3" xfId="2256" xr:uid="{00000000-0005-0000-0000-0000E6080000}"/>
    <cellStyle name="Currency 8 5 3 2" xfId="7824" xr:uid="{00000000-0005-0000-0000-0000541C0000}"/>
    <cellStyle name="Currency 8 5 3 3" xfId="17249" xr:uid="{BE07D6B6-F579-4852-AB72-B273D585F414}"/>
    <cellStyle name="Currency 8 5 4" xfId="7821" xr:uid="{00000000-0005-0000-0000-0000511C0000}"/>
    <cellStyle name="Currency 8 5 5" xfId="11687" xr:uid="{00000000-0005-0000-0000-0000ED050000}"/>
    <cellStyle name="Currency 8 5 5 2" xfId="44174" xr:uid="{627B3F3D-1396-4138-B3AA-387EC4C870E3}"/>
    <cellStyle name="Currency 8 5 6" xfId="14875" xr:uid="{5B99F602-ECA3-4906-806A-8ABD9778F650}"/>
    <cellStyle name="Currency 8 6" xfId="2257" xr:uid="{00000000-0005-0000-0000-0000E7080000}"/>
    <cellStyle name="Currency 8 6 2" xfId="2258" xr:uid="{00000000-0005-0000-0000-0000E8080000}"/>
    <cellStyle name="Currency 8 6 2 2" xfId="7826" xr:uid="{00000000-0005-0000-0000-0000561C0000}"/>
    <cellStyle name="Currency 8 6 2 3" xfId="17251" xr:uid="{5925B687-B1C8-42A1-9AAA-0275865B57A8}"/>
    <cellStyle name="Currency 8 6 3" xfId="7825" xr:uid="{00000000-0005-0000-0000-0000551C0000}"/>
    <cellStyle name="Currency 8 6 4" xfId="11685" xr:uid="{00000000-0005-0000-0000-0000EF050000}"/>
    <cellStyle name="Currency 8 6 4 2" xfId="44172" xr:uid="{30F3CFA9-F004-4D09-80FB-AD3B9AEB85D6}"/>
    <cellStyle name="Currency 8 6 5" xfId="14877" xr:uid="{FABC1DD7-2764-441E-B46D-4B22F8188608}"/>
    <cellStyle name="Currency 8 7" xfId="2259" xr:uid="{00000000-0005-0000-0000-0000E9080000}"/>
    <cellStyle name="Currency 8 7 2" xfId="2260" xr:uid="{00000000-0005-0000-0000-0000EA080000}"/>
    <cellStyle name="Currency 8 8" xfId="2261" xr:uid="{00000000-0005-0000-0000-0000EB080000}"/>
    <cellStyle name="Currency 8 8 2" xfId="7829" xr:uid="{00000000-0005-0000-0000-0000571C0000}"/>
    <cellStyle name="Currency 8 8 3" xfId="17228" xr:uid="{59EE6E3A-F79F-44A0-B06B-7AE02FE02A82}"/>
    <cellStyle name="Currency 8 9" xfId="7780" xr:uid="{00000000-0005-0000-0000-0000281C0000}"/>
    <cellStyle name="Currency 8 9 2" xfId="18716" xr:uid="{040CCDB9-A25E-4696-B146-12EB672BD583}"/>
    <cellStyle name="Currency 9" xfId="2262" xr:uid="{00000000-0005-0000-0000-0000EC080000}"/>
    <cellStyle name="Currency-- 9" xfId="47915" xr:uid="{C8F4C9CA-D456-4761-B9E2-20B57119090A}"/>
    <cellStyle name="Currency 9 10" xfId="17457" xr:uid="{02C6450D-62FD-41BE-9ABC-E0F68E6B16A4}"/>
    <cellStyle name="Currency 9 11" xfId="14878" xr:uid="{E7DDB90E-E45B-4E1C-A3E3-7A24BD651FCC}"/>
    <cellStyle name="Currency 9 12" xfId="15675" xr:uid="{22E065F4-F056-41EB-8B96-07CB797A3D03}"/>
    <cellStyle name="Currency 9 13" xfId="46584" xr:uid="{64C5F4CE-A0AE-4CEA-A961-E4043F1FDE2F}"/>
    <cellStyle name="Currency 9 14" xfId="48466" xr:uid="{4962A882-10C7-48E2-B9FF-2DDD2E1E8B1B}"/>
    <cellStyle name="Currency 9 2" xfId="2263" xr:uid="{00000000-0005-0000-0000-0000ED080000}"/>
    <cellStyle name="Currency 9 2 2" xfId="2264" xr:uid="{00000000-0005-0000-0000-0000EE080000}"/>
    <cellStyle name="Currency 9 2 2 2" xfId="2265" xr:uid="{00000000-0005-0000-0000-0000EF080000}"/>
    <cellStyle name="Currency 9 2 2 2 2" xfId="2266" xr:uid="{00000000-0005-0000-0000-0000F0080000}"/>
    <cellStyle name="Currency 9 2 2 2 2 2" xfId="2267" xr:uid="{00000000-0005-0000-0000-0000F1080000}"/>
    <cellStyle name="Currency 9 2 2 2 2 2 2" xfId="7835" xr:uid="{00000000-0005-0000-0000-00005D1C0000}"/>
    <cellStyle name="Currency 9 2 2 2 2 2 3" xfId="17256" xr:uid="{D5E837DC-B0C2-4292-B964-F1430711FB08}"/>
    <cellStyle name="Currency 9 2 2 2 2 3" xfId="7834" xr:uid="{00000000-0005-0000-0000-00005C1C0000}"/>
    <cellStyle name="Currency 9 2 2 2 2 4" xfId="11680" xr:uid="{00000000-0005-0000-0000-0000F5050000}"/>
    <cellStyle name="Currency 9 2 2 2 2 4 2" xfId="44167" xr:uid="{A042012A-6B86-41C1-B10B-259591B2DFDD}"/>
    <cellStyle name="Currency 9 2 2 2 2 5" xfId="14882" xr:uid="{33011880-F905-48FA-B51D-B238D72AD0C6}"/>
    <cellStyle name="Currency 9 2 2 2 3" xfId="2268" xr:uid="{00000000-0005-0000-0000-0000F2080000}"/>
    <cellStyle name="Currency 9 2 2 2 3 2" xfId="7836" xr:uid="{00000000-0005-0000-0000-00005E1C0000}"/>
    <cellStyle name="Currency 9 2 2 2 3 3" xfId="17255" xr:uid="{2D311890-8CBE-4CD4-B4B2-2EADADC87A87}"/>
    <cellStyle name="Currency 9 2 2 2 4" xfId="7833" xr:uid="{00000000-0005-0000-0000-00005B1C0000}"/>
    <cellStyle name="Currency 9 2 2 2 5" xfId="11681" xr:uid="{00000000-0005-0000-0000-0000F4050000}"/>
    <cellStyle name="Currency 9 2 2 2 5 2" xfId="44168" xr:uid="{DC1EDF55-D6C6-46E4-990F-FB582F265DC4}"/>
    <cellStyle name="Currency 9 2 2 2 6" xfId="14881" xr:uid="{17811EE1-D8B8-4858-9356-0AE9644DE0C3}"/>
    <cellStyle name="Currency 9 2 2 3" xfId="2269" xr:uid="{00000000-0005-0000-0000-0000F3080000}"/>
    <cellStyle name="Currency 9 2 2 3 2" xfId="2270" xr:uid="{00000000-0005-0000-0000-0000F4080000}"/>
    <cellStyle name="Currency 9 2 2 3 2 2" xfId="7838" xr:uid="{00000000-0005-0000-0000-0000601C0000}"/>
    <cellStyle name="Currency 9 2 2 3 2 3" xfId="17257" xr:uid="{75AEEE79-AC5B-4C21-AB61-1DE259B51C23}"/>
    <cellStyle name="Currency 9 2 2 3 3" xfId="7837" xr:uid="{00000000-0005-0000-0000-00005F1C0000}"/>
    <cellStyle name="Currency 9 2 2 3 4" xfId="11679" xr:uid="{00000000-0005-0000-0000-0000F6050000}"/>
    <cellStyle name="Currency 9 2 2 3 4 2" xfId="44166" xr:uid="{64438788-07F8-470E-A3B0-A50FDFC5AE1E}"/>
    <cellStyle name="Currency 9 2 2 3 5" xfId="14883" xr:uid="{886808EE-52EC-4546-8BA1-E812787FF91C}"/>
    <cellStyle name="Currency 9 2 2 4" xfId="2271" xr:uid="{00000000-0005-0000-0000-0000F5080000}"/>
    <cellStyle name="Currency 9 2 2 4 2" xfId="7839" xr:uid="{00000000-0005-0000-0000-0000611C0000}"/>
    <cellStyle name="Currency 9 2 2 4 3" xfId="17254" xr:uid="{81B6D36F-1925-4CDE-967F-190E51644324}"/>
    <cellStyle name="Currency 9 2 2 5" xfId="7832" xr:uid="{00000000-0005-0000-0000-00005A1C0000}"/>
    <cellStyle name="Currency 9 2 2 6" xfId="11682" xr:uid="{00000000-0005-0000-0000-0000F3050000}"/>
    <cellStyle name="Currency 9 2 2 6 2" xfId="44169" xr:uid="{1EFF49A0-9F82-4E3E-A639-14260D60BBD2}"/>
    <cellStyle name="Currency 9 2 2 7" xfId="14880" xr:uid="{1771A2FB-58E5-4722-8CBC-D244024DCA45}"/>
    <cellStyle name="Currency 9 2 3" xfId="2272" xr:uid="{00000000-0005-0000-0000-0000F6080000}"/>
    <cellStyle name="Currency 9 2 3 2" xfId="2273" xr:uid="{00000000-0005-0000-0000-0000F7080000}"/>
    <cellStyle name="Currency 9 2 3 2 2" xfId="2274" xr:uid="{00000000-0005-0000-0000-0000F8080000}"/>
    <cellStyle name="Currency 9 2 3 2 2 2" xfId="7842" xr:uid="{00000000-0005-0000-0000-0000641C0000}"/>
    <cellStyle name="Currency 9 2 3 2 2 3" xfId="17259" xr:uid="{035670A8-A3BD-49AD-B56E-B46559531D4A}"/>
    <cellStyle name="Currency 9 2 3 2 3" xfId="7841" xr:uid="{00000000-0005-0000-0000-0000631C0000}"/>
    <cellStyle name="Currency 9 2 3 2 4" xfId="11677" xr:uid="{00000000-0005-0000-0000-0000F8050000}"/>
    <cellStyle name="Currency 9 2 3 2 4 2" xfId="44164" xr:uid="{1A591FBA-4D0A-46B0-8326-DF812697A73C}"/>
    <cellStyle name="Currency 9 2 3 2 5" xfId="14885" xr:uid="{B1F01EB0-9577-4253-A1D6-CFA03B1B99F1}"/>
    <cellStyle name="Currency 9 2 3 3" xfId="2275" xr:uid="{00000000-0005-0000-0000-0000F9080000}"/>
    <cellStyle name="Currency 9 2 3 3 2" xfId="7843" xr:uid="{00000000-0005-0000-0000-0000651C0000}"/>
    <cellStyle name="Currency 9 2 3 3 3" xfId="17258" xr:uid="{9EFC6A7B-D177-45F2-8087-3474CFF0057B}"/>
    <cellStyle name="Currency 9 2 3 4" xfId="7840" xr:uid="{00000000-0005-0000-0000-0000621C0000}"/>
    <cellStyle name="Currency 9 2 3 5" xfId="11678" xr:uid="{00000000-0005-0000-0000-0000F7050000}"/>
    <cellStyle name="Currency 9 2 3 5 2" xfId="44165" xr:uid="{4D57C7EA-4FC7-42FE-AA5A-905A4A7DE99F}"/>
    <cellStyle name="Currency 9 2 3 6" xfId="14884" xr:uid="{59842732-9B79-4394-A971-30C6CF33D996}"/>
    <cellStyle name="Currency 9 2 4" xfId="2276" xr:uid="{00000000-0005-0000-0000-0000FA080000}"/>
    <cellStyle name="Currency 9 2 4 2" xfId="2277" xr:uid="{00000000-0005-0000-0000-0000FB080000}"/>
    <cellStyle name="Currency 9 2 4 2 2" xfId="7845" xr:uid="{00000000-0005-0000-0000-0000671C0000}"/>
    <cellStyle name="Currency 9 2 4 2 3" xfId="17260" xr:uid="{6F2BDA61-CFE2-4849-8817-8DD1C8D875D3}"/>
    <cellStyle name="Currency 9 2 4 3" xfId="7844" xr:uid="{00000000-0005-0000-0000-0000661C0000}"/>
    <cellStyle name="Currency 9 2 4 4" xfId="11676" xr:uid="{00000000-0005-0000-0000-0000F9050000}"/>
    <cellStyle name="Currency 9 2 4 4 2" xfId="44163" xr:uid="{58253D3D-BCC3-4101-80C3-2CDB5B6E5434}"/>
    <cellStyle name="Currency 9 2 4 5" xfId="14886" xr:uid="{6954AC04-31E7-4D71-86D1-6BC24C700D00}"/>
    <cellStyle name="Currency 9 2 5" xfId="2278" xr:uid="{00000000-0005-0000-0000-0000FC080000}"/>
    <cellStyle name="Currency 9 2 5 2" xfId="7846" xr:uid="{00000000-0005-0000-0000-0000681C0000}"/>
    <cellStyle name="Currency 9 2 5 3" xfId="17253" xr:uid="{81957EB6-1CA8-4D84-8A9D-52FA304ABF5C}"/>
    <cellStyle name="Currency 9 2 6" xfId="7831" xr:uid="{00000000-0005-0000-0000-0000591C0000}"/>
    <cellStyle name="Currency 9 2 7" xfId="11683" xr:uid="{00000000-0005-0000-0000-0000F2050000}"/>
    <cellStyle name="Currency 9 2 7 2" xfId="44170" xr:uid="{8C3C80F7-6381-49C2-BB63-6775B16F338D}"/>
    <cellStyle name="Currency 9 2 8" xfId="14879" xr:uid="{06105D98-7CD7-4999-9A2E-FE435AB51061}"/>
    <cellStyle name="Currency 9 3" xfId="2279" xr:uid="{00000000-0005-0000-0000-0000FD080000}"/>
    <cellStyle name="Currency 9 3 2" xfId="2280" xr:uid="{00000000-0005-0000-0000-0000FE080000}"/>
    <cellStyle name="Currency 9 3 2 2" xfId="2281" xr:uid="{00000000-0005-0000-0000-0000FF080000}"/>
    <cellStyle name="Currency 9 3 2 2 2" xfId="2282" xr:uid="{00000000-0005-0000-0000-000000090000}"/>
    <cellStyle name="Currency 9 3 2 2 2 2" xfId="2283" xr:uid="{00000000-0005-0000-0000-000001090000}"/>
    <cellStyle name="Currency 9 3 2 2 2 2 2" xfId="7851" xr:uid="{00000000-0005-0000-0000-00006D1C0000}"/>
    <cellStyle name="Currency 9 3 2 2 2 2 3" xfId="17264" xr:uid="{D1B1E370-D87E-4DCC-A72E-ABB2CF5902C3}"/>
    <cellStyle name="Currency 9 3 2 2 2 3" xfId="7850" xr:uid="{00000000-0005-0000-0000-00006C1C0000}"/>
    <cellStyle name="Currency 9 3 2 2 2 4" xfId="11672" xr:uid="{00000000-0005-0000-0000-0000FD050000}"/>
    <cellStyle name="Currency 9 3 2 2 2 4 2" xfId="44159" xr:uid="{62314DF2-101D-4830-BB1B-943F026ACE3C}"/>
    <cellStyle name="Currency 9 3 2 2 2 5" xfId="14890" xr:uid="{FB69B45C-D670-4264-8FC0-09C8BF396AD1}"/>
    <cellStyle name="Currency 9 3 2 2 3" xfId="2284" xr:uid="{00000000-0005-0000-0000-000002090000}"/>
    <cellStyle name="Currency 9 3 2 2 3 2" xfId="7852" xr:uid="{00000000-0005-0000-0000-00006E1C0000}"/>
    <cellStyle name="Currency 9 3 2 2 3 3" xfId="17263" xr:uid="{6D4F0650-53CC-4D83-A383-5C288F407E72}"/>
    <cellStyle name="Currency 9 3 2 2 4" xfId="7849" xr:uid="{00000000-0005-0000-0000-00006B1C0000}"/>
    <cellStyle name="Currency 9 3 2 2 5" xfId="11673" xr:uid="{00000000-0005-0000-0000-0000FC050000}"/>
    <cellStyle name="Currency 9 3 2 2 5 2" xfId="44160" xr:uid="{E0A03C34-0D13-4E58-A8CB-7A26F4F08BFB}"/>
    <cellStyle name="Currency 9 3 2 2 6" xfId="14889" xr:uid="{F9D97FC5-CCC1-4755-B4AF-417605067953}"/>
    <cellStyle name="Currency 9 3 2 3" xfId="2285" xr:uid="{00000000-0005-0000-0000-000003090000}"/>
    <cellStyle name="Currency 9 3 2 3 2" xfId="2286" xr:uid="{00000000-0005-0000-0000-000004090000}"/>
    <cellStyle name="Currency 9 3 2 3 2 2" xfId="7854" xr:uid="{00000000-0005-0000-0000-0000701C0000}"/>
    <cellStyle name="Currency 9 3 2 3 2 3" xfId="17265" xr:uid="{AFB14BA9-A99B-4995-994C-94499D72B7F9}"/>
    <cellStyle name="Currency 9 3 2 3 3" xfId="7853" xr:uid="{00000000-0005-0000-0000-00006F1C0000}"/>
    <cellStyle name="Currency 9 3 2 3 4" xfId="11671" xr:uid="{00000000-0005-0000-0000-0000FE050000}"/>
    <cellStyle name="Currency 9 3 2 3 4 2" xfId="44158" xr:uid="{D0CD744B-D5BB-4431-BF9E-F61FCA054132}"/>
    <cellStyle name="Currency 9 3 2 3 5" xfId="14891" xr:uid="{3EEE6AB4-A820-4A51-9029-66B84B2620D5}"/>
    <cellStyle name="Currency 9 3 2 4" xfId="2287" xr:uid="{00000000-0005-0000-0000-000005090000}"/>
    <cellStyle name="Currency 9 3 2 4 2" xfId="7855" xr:uid="{00000000-0005-0000-0000-0000711C0000}"/>
    <cellStyle name="Currency 9 3 2 4 3" xfId="17262" xr:uid="{23DBDD53-F794-4C3F-8738-11E652DF356B}"/>
    <cellStyle name="Currency 9 3 2 5" xfId="7848" xr:uid="{00000000-0005-0000-0000-00006A1C0000}"/>
    <cellStyle name="Currency 9 3 2 6" xfId="11674" xr:uid="{00000000-0005-0000-0000-0000FB050000}"/>
    <cellStyle name="Currency 9 3 2 6 2" xfId="44161" xr:uid="{36F9145D-7112-4138-A107-AD0152D9B294}"/>
    <cellStyle name="Currency 9 3 2 7" xfId="14888" xr:uid="{61952A88-954E-4497-989C-B01C8E80F3FB}"/>
    <cellStyle name="Currency 9 3 3" xfId="2288" xr:uid="{00000000-0005-0000-0000-000006090000}"/>
    <cellStyle name="Currency 9 3 3 2" xfId="2289" xr:uid="{00000000-0005-0000-0000-000007090000}"/>
    <cellStyle name="Currency 9 3 3 2 2" xfId="2290" xr:uid="{00000000-0005-0000-0000-000008090000}"/>
    <cellStyle name="Currency 9 3 3 2 2 2" xfId="7858" xr:uid="{00000000-0005-0000-0000-0000741C0000}"/>
    <cellStyle name="Currency 9 3 3 2 2 3" xfId="17267" xr:uid="{808AD36E-8A1F-4EB6-B803-73A7C4E6B31E}"/>
    <cellStyle name="Currency 9 3 3 2 3" xfId="7857" xr:uid="{00000000-0005-0000-0000-0000731C0000}"/>
    <cellStyle name="Currency 9 3 3 2 4" xfId="11669" xr:uid="{00000000-0005-0000-0000-000000060000}"/>
    <cellStyle name="Currency 9 3 3 2 4 2" xfId="44156" xr:uid="{3969EE5E-FA5C-4845-A011-2D5395025E20}"/>
    <cellStyle name="Currency 9 3 3 2 5" xfId="14893" xr:uid="{75461F07-9C88-4DAF-B0F7-FC9A0D28758F}"/>
    <cellStyle name="Currency 9 3 3 3" xfId="2291" xr:uid="{00000000-0005-0000-0000-000009090000}"/>
    <cellStyle name="Currency 9 3 3 3 2" xfId="7859" xr:uid="{00000000-0005-0000-0000-0000751C0000}"/>
    <cellStyle name="Currency 9 3 3 3 3" xfId="17266" xr:uid="{0BC00E69-23B4-45BF-8385-F20133BB6956}"/>
    <cellStyle name="Currency 9 3 3 4" xfId="7856" xr:uid="{00000000-0005-0000-0000-0000721C0000}"/>
    <cellStyle name="Currency 9 3 3 5" xfId="11670" xr:uid="{00000000-0005-0000-0000-0000FF050000}"/>
    <cellStyle name="Currency 9 3 3 5 2" xfId="44157" xr:uid="{4F1181D4-5924-4044-BAEA-E99A0CA67BDA}"/>
    <cellStyle name="Currency 9 3 3 6" xfId="14892" xr:uid="{0B6EC71D-CF40-44A1-B935-98950AE13A2A}"/>
    <cellStyle name="Currency 9 3 4" xfId="2292" xr:uid="{00000000-0005-0000-0000-00000A090000}"/>
    <cellStyle name="Currency 9 3 4 2" xfId="2293" xr:uid="{00000000-0005-0000-0000-00000B090000}"/>
    <cellStyle name="Currency 9 3 4 2 2" xfId="7861" xr:uid="{00000000-0005-0000-0000-0000771C0000}"/>
    <cellStyle name="Currency 9 3 4 2 3" xfId="17268" xr:uid="{2671CE83-4B10-40B9-9D2D-48A9CFB3E465}"/>
    <cellStyle name="Currency 9 3 4 3" xfId="7860" xr:uid="{00000000-0005-0000-0000-0000761C0000}"/>
    <cellStyle name="Currency 9 3 4 4" xfId="11668" xr:uid="{00000000-0005-0000-0000-000001060000}"/>
    <cellStyle name="Currency 9 3 4 4 2" xfId="44155" xr:uid="{CE664A74-1534-449C-8355-6BAA062CB156}"/>
    <cellStyle name="Currency 9 3 4 5" xfId="14894" xr:uid="{66BED199-E08E-47ED-866D-239648BC8EED}"/>
    <cellStyle name="Currency 9 3 5" xfId="2294" xr:uid="{00000000-0005-0000-0000-00000C090000}"/>
    <cellStyle name="Currency 9 3 5 2" xfId="7862" xr:uid="{00000000-0005-0000-0000-0000781C0000}"/>
    <cellStyle name="Currency 9 3 5 3" xfId="17261" xr:uid="{9B88E689-042C-4994-A60A-441AA3472FC4}"/>
    <cellStyle name="Currency 9 3 6" xfId="7847" xr:uid="{00000000-0005-0000-0000-0000691C0000}"/>
    <cellStyle name="Currency 9 3 7" xfId="11675" xr:uid="{00000000-0005-0000-0000-0000FA050000}"/>
    <cellStyle name="Currency 9 3 7 2" xfId="44162" xr:uid="{5F2DA4B3-695B-4502-87F4-C38DC147FB4A}"/>
    <cellStyle name="Currency 9 3 8" xfId="14887" xr:uid="{E556C346-4179-41A3-83AD-52D1AC57106B}"/>
    <cellStyle name="Currency 9 4" xfId="2295" xr:uid="{00000000-0005-0000-0000-00000D090000}"/>
    <cellStyle name="Currency 9 4 2" xfId="2296" xr:uid="{00000000-0005-0000-0000-00000E090000}"/>
    <cellStyle name="Currency 9 4 2 2" xfId="2297" xr:uid="{00000000-0005-0000-0000-00000F090000}"/>
    <cellStyle name="Currency 9 4 2 2 2" xfId="2298" xr:uid="{00000000-0005-0000-0000-000010090000}"/>
    <cellStyle name="Currency 9 4 2 2 2 2" xfId="7866" xr:uid="{00000000-0005-0000-0000-00007C1C0000}"/>
    <cellStyle name="Currency 9 4 2 2 2 3" xfId="17271" xr:uid="{6A18B8B9-F5FF-43AD-BE9F-A660A20E9CDF}"/>
    <cellStyle name="Currency 9 4 2 2 3" xfId="7865" xr:uid="{00000000-0005-0000-0000-00007B1C0000}"/>
    <cellStyle name="Currency 9 4 2 2 4" xfId="11665" xr:uid="{00000000-0005-0000-0000-000004060000}"/>
    <cellStyle name="Currency 9 4 2 2 4 2" xfId="44152" xr:uid="{2EE7ECD8-922D-484A-BF62-5B68582EC78B}"/>
    <cellStyle name="Currency 9 4 2 2 5" xfId="14897" xr:uid="{FDDE8E4B-A1C0-466A-A982-241F7BF7EE93}"/>
    <cellStyle name="Currency 9 4 2 3" xfId="2299" xr:uid="{00000000-0005-0000-0000-000011090000}"/>
    <cellStyle name="Currency 9 4 2 3 2" xfId="7867" xr:uid="{00000000-0005-0000-0000-00007D1C0000}"/>
    <cellStyle name="Currency 9 4 2 3 3" xfId="17270" xr:uid="{7DC81486-45A0-4535-8302-656F853479C9}"/>
    <cellStyle name="Currency 9 4 2 4" xfId="7864" xr:uid="{00000000-0005-0000-0000-00007A1C0000}"/>
    <cellStyle name="Currency 9 4 2 5" xfId="11666" xr:uid="{00000000-0005-0000-0000-000003060000}"/>
    <cellStyle name="Currency 9 4 2 5 2" xfId="44153" xr:uid="{702CB07D-2F59-4EC0-83DC-A6E41F8C1A9B}"/>
    <cellStyle name="Currency 9 4 2 6" xfId="14896" xr:uid="{766AD643-9B78-461E-A250-CFC7B49B5AF7}"/>
    <cellStyle name="Currency 9 4 3" xfId="2300" xr:uid="{00000000-0005-0000-0000-000012090000}"/>
    <cellStyle name="Currency 9 4 3 2" xfId="2301" xr:uid="{00000000-0005-0000-0000-000013090000}"/>
    <cellStyle name="Currency 9 4 3 2 2" xfId="7869" xr:uid="{00000000-0005-0000-0000-00007F1C0000}"/>
    <cellStyle name="Currency 9 4 3 2 3" xfId="17272" xr:uid="{D32AEA3C-8C83-4332-8097-2680FA46DE10}"/>
    <cellStyle name="Currency 9 4 3 3" xfId="7868" xr:uid="{00000000-0005-0000-0000-00007E1C0000}"/>
    <cellStyle name="Currency 9 4 3 4" xfId="11664" xr:uid="{00000000-0005-0000-0000-000005060000}"/>
    <cellStyle name="Currency 9 4 3 4 2" xfId="44151" xr:uid="{BD8F239E-D11E-4714-B34E-14FB6331591E}"/>
    <cellStyle name="Currency 9 4 3 5" xfId="14898" xr:uid="{7EE9D880-DF16-4157-A0EB-7363468DB037}"/>
    <cellStyle name="Currency 9 4 4" xfId="2302" xr:uid="{00000000-0005-0000-0000-000014090000}"/>
    <cellStyle name="Currency 9 4 4 2" xfId="7870" xr:uid="{00000000-0005-0000-0000-0000801C0000}"/>
    <cellStyle name="Currency 9 4 4 3" xfId="17269" xr:uid="{ACE58408-EA83-4842-9DBD-BD70323B3229}"/>
    <cellStyle name="Currency 9 4 5" xfId="7863" xr:uid="{00000000-0005-0000-0000-0000791C0000}"/>
    <cellStyle name="Currency 9 4 6" xfId="11667" xr:uid="{00000000-0005-0000-0000-000002060000}"/>
    <cellStyle name="Currency 9 4 6 2" xfId="44154" xr:uid="{C54136ED-3F54-47CF-8348-643C49565194}"/>
    <cellStyle name="Currency 9 4 7" xfId="14895" xr:uid="{AA4DC309-C0AB-440C-A56F-EB49AD9D8451}"/>
    <cellStyle name="Currency 9 5" xfId="2303" xr:uid="{00000000-0005-0000-0000-000015090000}"/>
    <cellStyle name="Currency 9 5 2" xfId="2304" xr:uid="{00000000-0005-0000-0000-000016090000}"/>
    <cellStyle name="Currency 9 5 2 2" xfId="2305" xr:uid="{00000000-0005-0000-0000-000017090000}"/>
    <cellStyle name="Currency 9 5 2 2 2" xfId="7873" xr:uid="{00000000-0005-0000-0000-0000831C0000}"/>
    <cellStyle name="Currency 9 5 2 2 3" xfId="17274" xr:uid="{2CE1FE4F-2945-4F39-954B-BBC6B6D1A8AF}"/>
    <cellStyle name="Currency 9 5 2 3" xfId="7872" xr:uid="{00000000-0005-0000-0000-0000821C0000}"/>
    <cellStyle name="Currency 9 5 2 4" xfId="11662" xr:uid="{00000000-0005-0000-0000-000007060000}"/>
    <cellStyle name="Currency 9 5 2 4 2" xfId="44149" xr:uid="{A9F9FCBB-D141-4508-B21D-3E10D9E96791}"/>
    <cellStyle name="Currency 9 5 2 5" xfId="14900" xr:uid="{864E19F7-9C74-44C0-BEA7-AAECA1B49CCA}"/>
    <cellStyle name="Currency 9 5 3" xfId="2306" xr:uid="{00000000-0005-0000-0000-000018090000}"/>
    <cellStyle name="Currency 9 5 3 2" xfId="7874" xr:uid="{00000000-0005-0000-0000-0000841C0000}"/>
    <cellStyle name="Currency 9 5 3 3" xfId="17273" xr:uid="{6D83B1EE-790A-4F94-849E-BA5F1710DDB0}"/>
    <cellStyle name="Currency 9 5 4" xfId="7871" xr:uid="{00000000-0005-0000-0000-0000811C0000}"/>
    <cellStyle name="Currency 9 5 5" xfId="11663" xr:uid="{00000000-0005-0000-0000-000006060000}"/>
    <cellStyle name="Currency 9 5 5 2" xfId="44150" xr:uid="{7E1FC8A1-81F3-4039-82E6-BD385CE7F280}"/>
    <cellStyle name="Currency 9 5 6" xfId="14899" xr:uid="{81F78079-1C8E-4633-887A-0D7E11746C6B}"/>
    <cellStyle name="Currency 9 6" xfId="2307" xr:uid="{00000000-0005-0000-0000-000019090000}"/>
    <cellStyle name="Currency 9 6 2" xfId="2308" xr:uid="{00000000-0005-0000-0000-00001A090000}"/>
    <cellStyle name="Currency 9 6 2 2" xfId="7876" xr:uid="{00000000-0005-0000-0000-0000861C0000}"/>
    <cellStyle name="Currency 9 6 2 3" xfId="17275" xr:uid="{0E55B0B3-12DE-464A-97D2-DAD643722E3E}"/>
    <cellStyle name="Currency 9 6 3" xfId="7875" xr:uid="{00000000-0005-0000-0000-0000851C0000}"/>
    <cellStyle name="Currency 9 6 4" xfId="11661" xr:uid="{00000000-0005-0000-0000-000008060000}"/>
    <cellStyle name="Currency 9 6 4 2" xfId="44148" xr:uid="{260307BB-F0E8-4588-BEBF-322D58AF9467}"/>
    <cellStyle name="Currency 9 6 5" xfId="14901" xr:uid="{71B66F2F-E2F7-4E63-BEC3-021B2F1E9C26}"/>
    <cellStyle name="Currency 9 7" xfId="2309" xr:uid="{00000000-0005-0000-0000-00001B090000}"/>
    <cellStyle name="Currency 9 7 2" xfId="7877" xr:uid="{00000000-0005-0000-0000-0000871C0000}"/>
    <cellStyle name="Currency 9 7 3" xfId="17252" xr:uid="{24758A70-A9D5-42D5-B7BD-5C11D847A299}"/>
    <cellStyle name="Currency 9 8" xfId="7830" xr:uid="{00000000-0005-0000-0000-0000581C0000}"/>
    <cellStyle name="Currency 9 8 2" xfId="18685" xr:uid="{6B9AD5EA-FDC5-4C5D-996D-2C3CE8E50FEF}"/>
    <cellStyle name="Currency 9 9" xfId="11684" xr:uid="{00000000-0005-0000-0000-0000F1050000}"/>
    <cellStyle name="Currency 9 9 2" xfId="17965" xr:uid="{B11A537C-4722-4EEB-9FA2-2B588A859105}"/>
    <cellStyle name="Currency 9 9 3" xfId="44171" xr:uid="{BBA85AF3-CFA9-40E2-8CF0-544A0E0BAD48}"/>
    <cellStyle name="Currency Per Share" xfId="2310" xr:uid="{00000000-0005-0000-0000-00001C090000}"/>
    <cellStyle name="Currency Per Share 2" xfId="7878" xr:uid="{00000000-0005-0000-0000-0000881C0000}"/>
    <cellStyle name="Currency0" xfId="2311" xr:uid="{00000000-0005-0000-0000-00001D090000}"/>
    <cellStyle name="Currency2" xfId="2312" xr:uid="{00000000-0005-0000-0000-00001E090000}"/>
    <cellStyle name="CUS.Work.Area" xfId="2313" xr:uid="{00000000-0005-0000-0000-00001F090000}"/>
    <cellStyle name="Dash" xfId="2314" xr:uid="{00000000-0005-0000-0000-000020090000}"/>
    <cellStyle name="Data" xfId="2315" xr:uid="{00000000-0005-0000-0000-000021090000}"/>
    <cellStyle name="Data 2" xfId="2316" xr:uid="{00000000-0005-0000-0000-000022090000}"/>
    <cellStyle name="Data 2 2" xfId="9273" xr:uid="{00000000-0005-0000-0000-00000F060000}"/>
    <cellStyle name="Data 2 3" xfId="9291" xr:uid="{00000000-0005-0000-0000-000025060000}"/>
    <cellStyle name="Data 2 3 2" xfId="23488" xr:uid="{0DEE6F58-10EC-4F92-929C-96C879627D92}"/>
    <cellStyle name="Data 3" xfId="2317" xr:uid="{00000000-0005-0000-0000-000023090000}"/>
    <cellStyle name="Data 4" xfId="9272" xr:uid="{00000000-0005-0000-0000-00000E060000}"/>
    <cellStyle name="Data 5" xfId="9292" xr:uid="{00000000-0005-0000-0000-000024060000}"/>
    <cellStyle name="Data 5 2" xfId="23487" xr:uid="{CA1447B9-71BF-4F5D-B0F4-B7853C0AFD37}"/>
    <cellStyle name="Date" xfId="2318" xr:uid="{00000000-0005-0000-0000-000024090000}"/>
    <cellStyle name="Date [mm-dd-yyyy]" xfId="2319" xr:uid="{00000000-0005-0000-0000-000025090000}"/>
    <cellStyle name="Date [mm-dd-yyyy] 2" xfId="2320" xr:uid="{00000000-0005-0000-0000-000026090000}"/>
    <cellStyle name="Date [mm-d-yyyy]" xfId="2321" xr:uid="{00000000-0005-0000-0000-000027090000}"/>
    <cellStyle name="Date [mm-d-yyyy] 2" xfId="9412" xr:uid="{00000000-0005-0000-0000-00002B060000}"/>
    <cellStyle name="Date [mm-d-yyyy] 2 2" xfId="21744" xr:uid="{969C8C37-4731-4413-AED0-E2E42F298D6B}"/>
    <cellStyle name="Date [mm-d-yyyy] 3" xfId="9290" xr:uid="{00000000-0005-0000-0000-00002A060000}"/>
    <cellStyle name="Date [mmm-yyyy]" xfId="2322" xr:uid="{00000000-0005-0000-0000-000028090000}"/>
    <cellStyle name="Date [mmm-yyyy] 2" xfId="2323" xr:uid="{00000000-0005-0000-0000-000029090000}"/>
    <cellStyle name="Date [mmm-yyyy] 3" xfId="9289" xr:uid="{00000000-0005-0000-0000-00002C060000}"/>
    <cellStyle name="Date Aligned" xfId="2324" xr:uid="{00000000-0005-0000-0000-00002A090000}"/>
    <cellStyle name="Date Aligned*" xfId="2325" xr:uid="{00000000-0005-0000-0000-00002B090000}"/>
    <cellStyle name="Date Aligned_comp_Integrateds" xfId="2326" xr:uid="{00000000-0005-0000-0000-00002C090000}"/>
    <cellStyle name="Date Short" xfId="2327" xr:uid="{00000000-0005-0000-0000-00002D090000}"/>
    <cellStyle name="date_ Pies " xfId="2328" xr:uid="{00000000-0005-0000-0000-00002E090000}"/>
    <cellStyle name="DblLineDollarAcct" xfId="2329" xr:uid="{00000000-0005-0000-0000-00002F090000}"/>
    <cellStyle name="DblLineDollarAcct 2" xfId="2330" xr:uid="{00000000-0005-0000-0000-000030090000}"/>
    <cellStyle name="DblLinePercent" xfId="2331" xr:uid="{00000000-0005-0000-0000-000031090000}"/>
    <cellStyle name="Dezimal [0]_A17 - 31.03.1998" xfId="2332" xr:uid="{00000000-0005-0000-0000-000032090000}"/>
    <cellStyle name="Dezimal_A17 - 31.03.1998" xfId="2333" xr:uid="{00000000-0005-0000-0000-000033090000}"/>
    <cellStyle name="Dia" xfId="2334" xr:uid="{00000000-0005-0000-0000-000034090000}"/>
    <cellStyle name="Dollar_ Pies " xfId="2335" xr:uid="{00000000-0005-0000-0000-000035090000}"/>
    <cellStyle name="DollarAccounting" xfId="2336" xr:uid="{00000000-0005-0000-0000-000036090000}"/>
    <cellStyle name="DollarAccounting 2" xfId="2337" xr:uid="{00000000-0005-0000-0000-000037090000}"/>
    <cellStyle name="DollarAccounting 2 2" xfId="7905" xr:uid="{00000000-0005-0000-0000-00008A1C0000}"/>
    <cellStyle name="DollarAccounting 3" xfId="7904" xr:uid="{00000000-0005-0000-0000-0000891C0000}"/>
    <cellStyle name="Dotted Line" xfId="2338" xr:uid="{00000000-0005-0000-0000-000038090000}"/>
    <cellStyle name="Dotted Line 2" xfId="2339" xr:uid="{00000000-0005-0000-0000-000039090000}"/>
    <cellStyle name="Dotted Line 3" xfId="2340" xr:uid="{00000000-0005-0000-0000-00003A090000}"/>
    <cellStyle name="Double Accounting" xfId="2341" xr:uid="{00000000-0005-0000-0000-00003B090000}"/>
    <cellStyle name="Double Accounting 2" xfId="2342" xr:uid="{00000000-0005-0000-0000-00003C090000}"/>
    <cellStyle name="Duizenden" xfId="2343" xr:uid="{00000000-0005-0000-0000-00003D090000}"/>
    <cellStyle name="Encabez1" xfId="2344" xr:uid="{00000000-0005-0000-0000-00003E090000}"/>
    <cellStyle name="Encabez2" xfId="2345" xr:uid="{00000000-0005-0000-0000-00003F090000}"/>
    <cellStyle name="Enter Currency (0)" xfId="2346" xr:uid="{00000000-0005-0000-0000-000040090000}"/>
    <cellStyle name="Enter Currency (0) 2" xfId="7914" xr:uid="{00000000-0005-0000-0000-00008B1C0000}"/>
    <cellStyle name="Enter Currency (2)" xfId="2347" xr:uid="{00000000-0005-0000-0000-000041090000}"/>
    <cellStyle name="Enter Currency (2) 2" xfId="7915" xr:uid="{00000000-0005-0000-0000-00008C1C0000}"/>
    <cellStyle name="Enter Units (0)" xfId="2348" xr:uid="{00000000-0005-0000-0000-000042090000}"/>
    <cellStyle name="Enter Units (0) 2" xfId="7916" xr:uid="{00000000-0005-0000-0000-00008D1C0000}"/>
    <cellStyle name="Enter Units (1)" xfId="2349" xr:uid="{00000000-0005-0000-0000-000043090000}"/>
    <cellStyle name="Enter Units (2)" xfId="2350" xr:uid="{00000000-0005-0000-0000-000044090000}"/>
    <cellStyle name="Enter Units (2) 2" xfId="7918" xr:uid="{00000000-0005-0000-0000-00008E1C0000}"/>
    <cellStyle name="Entrée" xfId="2351" xr:uid="{00000000-0005-0000-0000-000045090000}"/>
    <cellStyle name="Entrée 10" xfId="24856" xr:uid="{1D5273B4-1F46-4AE1-8B2E-AE3C83BDFECE}"/>
    <cellStyle name="Entrée 10 2" xfId="27518" xr:uid="{17C03DDE-7783-4355-A276-370599BD4DEC}"/>
    <cellStyle name="Entrée 10 2 2" xfId="34362" xr:uid="{FE2AB291-1B56-487E-AB3F-761E62D82DBF}"/>
    <cellStyle name="Entrée 10 3" xfId="29598" xr:uid="{BB44F74B-0E9E-42BF-9A89-F067D49E833C}"/>
    <cellStyle name="Entrée 10 3 2" xfId="36443" xr:uid="{70C6F791-6D0C-4FE8-8576-84B27AE973B6}"/>
    <cellStyle name="Entrée 10 4" xfId="31680" xr:uid="{AF167CCE-799E-4643-B9F1-2CD24F108612}"/>
    <cellStyle name="Entrée 11" xfId="24797" xr:uid="{E494707C-D0B2-47FE-8D3E-FC4A689DF869}"/>
    <cellStyle name="Entrée 11 2" xfId="27450" xr:uid="{F9EB5B67-2063-4F85-B263-B096ABC73FFF}"/>
    <cellStyle name="Entrée 11 2 2" xfId="34294" xr:uid="{23131EDF-C7BB-46D9-AB07-54C639DEDBEA}"/>
    <cellStyle name="Entrée 11 3" xfId="29530" xr:uid="{74D284C4-2AD4-4CC0-AD18-3A59AD27B93F}"/>
    <cellStyle name="Entrée 11 3 2" xfId="36375" xr:uid="{B3F51837-3B9F-45D8-B840-8A30C13B9925}"/>
    <cellStyle name="Entrée 11 4" xfId="31612" xr:uid="{560BF801-8C75-49C6-B794-288D481BE1D1}"/>
    <cellStyle name="Entrée 12" xfId="25574" xr:uid="{A09609E2-FE0C-4B70-928D-09954E707BAB}"/>
    <cellStyle name="Entrée 12 2" xfId="28241" xr:uid="{E12A5ECA-BD2B-4A60-932E-0B4BBF4D0140}"/>
    <cellStyle name="Entrée 12 2 2" xfId="35086" xr:uid="{77923B5C-DF57-47B0-A3D5-62CD6DE39D74}"/>
    <cellStyle name="Entrée 12 3" xfId="30322" xr:uid="{FF5C3B98-14CF-42B3-9319-4C688C536F30}"/>
    <cellStyle name="Entrée 12 3 2" xfId="37167" xr:uid="{9A007A6E-408A-4DBB-A02A-753CA3B6F553}"/>
    <cellStyle name="Entrée 12 4" xfId="32404" xr:uid="{6F9684C9-CAE6-4DA3-B725-F7E959845B06}"/>
    <cellStyle name="Entrée 13" xfId="24040" xr:uid="{709C09EA-B96B-42E0-B49A-826A5193B700}"/>
    <cellStyle name="Entrée 13 2" xfId="26654" xr:uid="{F5F68EBE-3D26-422B-BA68-EAE0A085ED0F}"/>
    <cellStyle name="Entrée 13 2 2" xfId="33494" xr:uid="{86D57DFD-281C-4433-ABE6-E23E399EEAAD}"/>
    <cellStyle name="Entrée 13 3" xfId="28730" xr:uid="{748D0BC5-7051-4ECC-A542-8109E1993472}"/>
    <cellStyle name="Entrée 13 3 2" xfId="35575" xr:uid="{8100424C-B78C-4964-A8CF-2CD535B76C5F}"/>
    <cellStyle name="Entrée 13 4" xfId="30812" xr:uid="{34E1AA10-0203-4526-9138-DF06C4253392}"/>
    <cellStyle name="Entrée 14" xfId="24124" xr:uid="{69483F97-D3E7-4001-9601-11795FD5B3F9}"/>
    <cellStyle name="Entrée 14 2" xfId="26736" xr:uid="{D6ADA2E1-C493-4899-A7B9-884453DBEE9B}"/>
    <cellStyle name="Entrée 14 2 2" xfId="33576" xr:uid="{F68E49CD-4A20-4C1B-8AE7-971E51389C94}"/>
    <cellStyle name="Entrée 14 3" xfId="28812" xr:uid="{A848E815-AD52-442D-8593-B053E99A90EA}"/>
    <cellStyle name="Entrée 14 3 2" xfId="35657" xr:uid="{6B7E34E7-7198-4128-B18C-E0953A29F3A5}"/>
    <cellStyle name="Entrée 14 4" xfId="30894" xr:uid="{809B393D-3BF3-43B4-8012-8D51FBE749A6}"/>
    <cellStyle name="Entrée 15" xfId="25533" xr:uid="{D74DA969-2EF2-4A77-9654-23EAD0A11DC8}"/>
    <cellStyle name="Entrée 15 2" xfId="28200" xr:uid="{D0A72BC9-5BA5-4668-BFF1-E6B7F26F1019}"/>
    <cellStyle name="Entrée 15 2 2" xfId="35045" xr:uid="{0B8F010F-2D62-41B9-B0D8-930A906D4B62}"/>
    <cellStyle name="Entrée 15 3" xfId="30281" xr:uid="{D205482F-0E2D-43CB-A2CD-0DB7E3958AF6}"/>
    <cellStyle name="Entrée 15 3 2" xfId="37126" xr:uid="{6ED53F3B-9E47-43C4-B7C0-4740562A64C6}"/>
    <cellStyle name="Entrée 15 4" xfId="32363" xr:uid="{7C01F4F9-0410-40C0-8CDE-E37E93B2C700}"/>
    <cellStyle name="Entrée 16" xfId="24463" xr:uid="{2A563F1D-4669-4AE9-A60F-956138670504}"/>
    <cellStyle name="Entrée 16 2" xfId="27079" xr:uid="{A869F236-1D5D-4FB6-96F5-DB27831B1DF7}"/>
    <cellStyle name="Entrée 16 2 2" xfId="33919" xr:uid="{4A871A8A-4465-4D54-8011-1C996BE2D3CF}"/>
    <cellStyle name="Entrée 16 3" xfId="29155" xr:uid="{D9174E3F-5C95-4CF3-A54C-08F8D20FEFCB}"/>
    <cellStyle name="Entrée 16 3 2" xfId="36000" xr:uid="{CD5EC217-F0B4-4F5D-BDA4-46682F5908D8}"/>
    <cellStyle name="Entrée 16 4" xfId="31237" xr:uid="{F2150085-6AB2-48CF-9B49-D58C8D99C8B1}"/>
    <cellStyle name="Entrée 17" xfId="25916" xr:uid="{DA3273A9-1BAF-44F2-9442-BE3C29C085F2}"/>
    <cellStyle name="Entrée 17 2" xfId="28582" xr:uid="{BD1140A4-1CC6-43CC-82DC-FC6D57CB94E2}"/>
    <cellStyle name="Entrée 17 2 2" xfId="35427" xr:uid="{A3FCF6F0-91C9-4D33-ADBC-13E9638DC41F}"/>
    <cellStyle name="Entrée 17 3" xfId="30663" xr:uid="{B4555414-A383-45DA-AE96-1BD1B5B88896}"/>
    <cellStyle name="Entrée 17 3 2" xfId="37508" xr:uid="{971A38BC-7561-475B-8BF6-77BB21C1610D}"/>
    <cellStyle name="Entrée 17 4" xfId="32745" xr:uid="{AB802799-EBFB-420B-9CEA-C8573036C9FE}"/>
    <cellStyle name="Entrée 18" xfId="23695" xr:uid="{29A8D9DC-28EF-49F5-AB7D-80596E4FAC58}"/>
    <cellStyle name="Entrée 19" xfId="16618" xr:uid="{D0090456-464A-45DC-9C46-9F88A4C1C685}"/>
    <cellStyle name="Entrée 2" xfId="9275" xr:uid="{00000000-0005-0000-0000-00002E060000}"/>
    <cellStyle name="Entrée 2 10" xfId="23940" xr:uid="{AE4E4D40-91CD-45AB-AE10-A2C3AB14CCC6}"/>
    <cellStyle name="Entrée 2 10 2" xfId="26558" xr:uid="{B81ABA27-B865-487F-B2AC-A86B0C48A1E2}"/>
    <cellStyle name="Entrée 2 10 2 2" xfId="33398" xr:uid="{DC5771F2-FBFB-47A5-8680-44AC6F7660A8}"/>
    <cellStyle name="Entrée 2 10 3" xfId="26127" xr:uid="{514D315B-56D4-4D4D-9617-B40D2DDE61BA}"/>
    <cellStyle name="Entrée 2 10 3 2" xfId="32955" xr:uid="{04BE3C5F-4456-4401-877A-9E52CD51685C}"/>
    <cellStyle name="Entrée 2 10 4" xfId="23249" xr:uid="{8BCFBA1E-8F14-49C9-BDCC-2C88F209025B}"/>
    <cellStyle name="Entrée 2 11" xfId="25268" xr:uid="{FF80B08C-A910-4602-8413-00E045E20D6A}"/>
    <cellStyle name="Entrée 2 11 2" xfId="27939" xr:uid="{6B36E915-53B8-4A89-9DB3-D872ACB882FF}"/>
    <cellStyle name="Entrée 2 11 2 2" xfId="34784" xr:uid="{A5F1FD55-6029-4183-A901-B895B3730841}"/>
    <cellStyle name="Entrée 2 11 3" xfId="30020" xr:uid="{D946EFF7-2781-4738-B948-B9A6B0816215}"/>
    <cellStyle name="Entrée 2 11 3 2" xfId="36865" xr:uid="{B6206A0B-B089-4655-B2F4-B9AAF391DCFD}"/>
    <cellStyle name="Entrée 2 11 4" xfId="32102" xr:uid="{F7B80700-D207-4056-AC9F-8425CC226CF2}"/>
    <cellStyle name="Entrée 2 12" xfId="25571" xr:uid="{0A76E66A-58CD-4636-BC9C-A8C75D097FC4}"/>
    <cellStyle name="Entrée 2 12 2" xfId="28238" xr:uid="{D8E519CD-2A5E-492F-B14F-1ADB70FBC559}"/>
    <cellStyle name="Entrée 2 12 2 2" xfId="35083" xr:uid="{858D1704-3A68-4E2A-AB4F-74E2461E540E}"/>
    <cellStyle name="Entrée 2 12 3" xfId="30319" xr:uid="{5251C939-12EF-43CD-A038-C27204E2AF69}"/>
    <cellStyle name="Entrée 2 12 3 2" xfId="37164" xr:uid="{830C1318-CA3C-406D-B0C1-EF43C4893DCD}"/>
    <cellStyle name="Entrée 2 12 4" xfId="32401" xr:uid="{EAD74A09-B68A-4FE2-B6D3-C3120A0F9EE2}"/>
    <cellStyle name="Entrée 2 13" xfId="25348" xr:uid="{031BE19D-31CF-4891-BAC4-EF7450535DD4}"/>
    <cellStyle name="Entrée 2 13 2" xfId="28015" xr:uid="{E503C01B-7BF0-4918-9DDA-578A055FE738}"/>
    <cellStyle name="Entrée 2 13 2 2" xfId="34860" xr:uid="{2CDBA03F-3A2A-4AAC-9C1F-78F2C140CBB6}"/>
    <cellStyle name="Entrée 2 13 3" xfId="30096" xr:uid="{8AE6FFB7-1523-4867-AE2E-0D3C76CAAE6B}"/>
    <cellStyle name="Entrée 2 13 3 2" xfId="36941" xr:uid="{00C7EF77-F04B-467B-9853-9D8B64BCA2AE}"/>
    <cellStyle name="Entrée 2 13 4" xfId="32178" xr:uid="{418D85F7-C774-4AEC-9AFC-964376EEE57C}"/>
    <cellStyle name="Entrée 2 14" xfId="24959" xr:uid="{3220BCC5-5BC6-47AF-B651-EC554E9E6807}"/>
    <cellStyle name="Entrée 2 14 2" xfId="27629" xr:uid="{1CC86CC0-C768-41C3-A9DA-9719B13CA48C}"/>
    <cellStyle name="Entrée 2 14 2 2" xfId="34474" xr:uid="{8ACFC2DC-9237-420D-B6D0-9D360BDDEC9C}"/>
    <cellStyle name="Entrée 2 14 3" xfId="29710" xr:uid="{2A7A7582-2A7F-4EF7-8D4D-CC1F95968FB3}"/>
    <cellStyle name="Entrée 2 14 3 2" xfId="36555" xr:uid="{59659C85-3AE2-4B6B-B5C5-E06C991D3073}"/>
    <cellStyle name="Entrée 2 14 4" xfId="31792" xr:uid="{549EA945-F63B-4DC2-BE84-72BDFB7A02D7}"/>
    <cellStyle name="Entrée 2 15" xfId="25707" xr:uid="{937EFBE9-DDD8-4859-8158-315ADD4DBCCB}"/>
    <cellStyle name="Entrée 2 15 2" xfId="28374" xr:uid="{0258DAD4-6F93-4A82-9854-3A992CFC17AF}"/>
    <cellStyle name="Entrée 2 15 2 2" xfId="35219" xr:uid="{E8B9E109-E71E-406F-9254-ACEE393FB22B}"/>
    <cellStyle name="Entrée 2 15 3" xfId="30455" xr:uid="{BA0B6D18-D742-4266-BFE1-4EEC3573B109}"/>
    <cellStyle name="Entrée 2 15 3 2" xfId="37300" xr:uid="{BA1C171A-98D5-47C8-8D29-6B1F962234AD}"/>
    <cellStyle name="Entrée 2 15 4" xfId="32537" xr:uid="{6B66A6A9-059B-4D66-B3B4-5881C6F70B16}"/>
    <cellStyle name="Entrée 2 16" xfId="25223" xr:uid="{D6157354-57F2-4D7E-8A42-7414BF267A80}"/>
    <cellStyle name="Entrée 2 16 2" xfId="27895" xr:uid="{810030D8-EEC8-4252-89C2-AE546C7E9C46}"/>
    <cellStyle name="Entrée 2 16 2 2" xfId="34740" xr:uid="{88B49AD5-2CBE-4371-8551-7DDC8CD49409}"/>
    <cellStyle name="Entrée 2 16 3" xfId="29976" xr:uid="{5C3B6DD4-24BB-41E2-AB8D-FB4DC5A95703}"/>
    <cellStyle name="Entrée 2 16 3 2" xfId="36821" xr:uid="{18AD4594-ED06-4664-998D-0C436DA322F3}"/>
    <cellStyle name="Entrée 2 16 4" xfId="32058" xr:uid="{929A1B95-E617-4FE2-8490-25DDC9BDDE35}"/>
    <cellStyle name="Entrée 2 17" xfId="23139" xr:uid="{EFF0ED65-581E-4D61-BDCE-E010E90275C4}"/>
    <cellStyle name="Entrée 2 18" xfId="17425" xr:uid="{3BC34AC8-D749-47AB-908C-533A12A3CDBC}"/>
    <cellStyle name="Entrée 2 19" xfId="41809" xr:uid="{3FB6286D-1F89-4143-A2EB-4E29CACAB0EB}"/>
    <cellStyle name="Entrée 2 2" xfId="17678" xr:uid="{598F3204-CF74-4494-96DB-9DD39F845A53}"/>
    <cellStyle name="Entrée 2 2 10" xfId="23904" xr:uid="{E15BBF1E-D332-4009-90AC-4ED50A5438E3}"/>
    <cellStyle name="Entrée 2 2 10 2" xfId="26522" xr:uid="{D6ACE864-41B4-49AC-AAD7-53ADEFCD3D59}"/>
    <cellStyle name="Entrée 2 2 10 2 2" xfId="33362" xr:uid="{FD3A1742-72F3-4DC0-9971-A9211B1B1DC6}"/>
    <cellStyle name="Entrée 2 2 10 3" xfId="26162" xr:uid="{B2B0BAB2-55AE-447C-9D8E-6F5C90BD02D8}"/>
    <cellStyle name="Entrée 2 2 10 3 2" xfId="32990" xr:uid="{0498C8CB-B320-4238-BA93-F10BDA531952}"/>
    <cellStyle name="Entrée 2 2 10 4" xfId="23284" xr:uid="{463EA8A6-7D0E-4232-B942-EA6D1FDB883D}"/>
    <cellStyle name="Entrée 2 2 11" xfId="25367" xr:uid="{06A01F7D-8C7A-43EF-8DD0-085DFFF92F26}"/>
    <cellStyle name="Entrée 2 2 11 2" xfId="28034" xr:uid="{060FEE22-BCA8-4D48-9AA8-CCAF9D0B4E1D}"/>
    <cellStyle name="Entrée 2 2 11 2 2" xfId="34879" xr:uid="{D01BE66C-1F29-4906-823D-7F59AC8B9AEE}"/>
    <cellStyle name="Entrée 2 2 11 3" xfId="30115" xr:uid="{472368EA-0A5B-47A0-B5CD-0CA86F49A079}"/>
    <cellStyle name="Entrée 2 2 11 3 2" xfId="36960" xr:uid="{E8931E6D-033C-46D3-8FD3-3A3FDB43F1CA}"/>
    <cellStyle name="Entrée 2 2 11 4" xfId="32197" xr:uid="{B2FA51A9-6248-4B49-860E-4BEC15611113}"/>
    <cellStyle name="Entrée 2 2 12" xfId="25144" xr:uid="{BAA98EF8-1A20-475C-8143-6FDD30AA2FA6}"/>
    <cellStyle name="Entrée 2 2 12 2" xfId="27816" xr:uid="{591DE6B4-DB3A-4DF2-899F-B3597D64649C}"/>
    <cellStyle name="Entrée 2 2 12 2 2" xfId="34661" xr:uid="{9D07DE98-1A1D-44D8-A2F1-9EE6E795D58C}"/>
    <cellStyle name="Entrée 2 2 12 3" xfId="29897" xr:uid="{8E10BD7C-D809-4D8B-9246-EB84777BB41F}"/>
    <cellStyle name="Entrée 2 2 12 3 2" xfId="36742" xr:uid="{A99DA934-C0BC-465C-B29A-A499E8166FEB}"/>
    <cellStyle name="Entrée 2 2 12 4" xfId="31979" xr:uid="{1B17D2FE-9946-48F1-A767-CF5323571018}"/>
    <cellStyle name="Entrée 2 2 13" xfId="25866" xr:uid="{F7FC8C50-906D-4AF9-A7B2-9E6C2DF9CC38}"/>
    <cellStyle name="Entrée 2 2 13 2" xfId="28532" xr:uid="{B4EDA4A1-913B-4A7C-8F59-748992EE25A9}"/>
    <cellStyle name="Entrée 2 2 13 2 2" xfId="35377" xr:uid="{A80BC052-9BEE-4C2E-856F-CCA55AFF66E1}"/>
    <cellStyle name="Entrée 2 2 13 3" xfId="30613" xr:uid="{75FA5976-9912-42D9-A174-E79EC0E703BD}"/>
    <cellStyle name="Entrée 2 2 13 3 2" xfId="37458" xr:uid="{1E53A8C1-5613-41B8-B9C0-C8D974AB269C}"/>
    <cellStyle name="Entrée 2 2 13 4" xfId="32695" xr:uid="{77866379-744D-4E96-A8D4-3616FAF74DB7}"/>
    <cellStyle name="Entrée 2 2 14" xfId="25795" xr:uid="{CE0590C1-F646-40D4-BF1B-0953FFDB52E3}"/>
    <cellStyle name="Entrée 2 2 14 2" xfId="28461" xr:uid="{4BFE9C6D-35E0-4B2D-AA37-A9879A4B6419}"/>
    <cellStyle name="Entrée 2 2 14 2 2" xfId="35306" xr:uid="{136DF161-1369-4AF3-BA86-8E4EA55BEA6C}"/>
    <cellStyle name="Entrée 2 2 14 3" xfId="30542" xr:uid="{EA7DEA27-42C4-49D8-B57B-0E4563126C5B}"/>
    <cellStyle name="Entrée 2 2 14 3 2" xfId="37387" xr:uid="{4029478D-4F56-446E-9303-34EEFCDB5A8A}"/>
    <cellStyle name="Entrée 2 2 14 4" xfId="32624" xr:uid="{51EAAD30-1625-415C-A35A-C2A80C2F5A35}"/>
    <cellStyle name="Entrée 2 2 15" xfId="25901" xr:uid="{59B89FB6-53A0-4578-AC5F-5CA9C3D0A3C7}"/>
    <cellStyle name="Entrée 2 2 15 2" xfId="28567" xr:uid="{1A94A6CC-3854-4B17-BB11-2E6A973FAB6C}"/>
    <cellStyle name="Entrée 2 2 15 2 2" xfId="35412" xr:uid="{2E16E7BD-FF76-4360-840A-C630460EA160}"/>
    <cellStyle name="Entrée 2 2 15 3" xfId="30648" xr:uid="{26C44596-D29F-48BC-B236-E3046BA2F3D3}"/>
    <cellStyle name="Entrée 2 2 15 3 2" xfId="37493" xr:uid="{4440D5E7-6E71-421A-B11D-3698692B130D}"/>
    <cellStyle name="Entrée 2 2 15 4" xfId="32730" xr:uid="{4376B53B-5831-4465-BF67-B01363055A5D}"/>
    <cellStyle name="Entrée 2 2 16" xfId="23074" xr:uid="{B8E8C4DD-815C-4FC0-8078-E0951FD3770A}"/>
    <cellStyle name="Entrée 2 2 2" xfId="18538" xr:uid="{1C659935-3E99-4626-8B13-75C02E1D5720}"/>
    <cellStyle name="Entrée 2 2 2 10" xfId="22227" xr:uid="{793157F0-AF33-4748-A066-6ACFB685609C}"/>
    <cellStyle name="Entrée 2 2 2 11" xfId="22324" xr:uid="{5D20FAED-2AEB-4C70-BF83-2C9A437C4138}"/>
    <cellStyle name="Entrée 2 2 2 12" xfId="22113" xr:uid="{F3279155-B4E7-4C1C-9D19-FB1BC91AE287}"/>
    <cellStyle name="Entrée 2 2 2 13" xfId="20174" xr:uid="{989BABB1-3323-41BD-917C-C28F77374451}"/>
    <cellStyle name="Entrée 2 2 2 14" xfId="21570" xr:uid="{15600079-EFBD-48DA-A49C-3BD96789B8A9}"/>
    <cellStyle name="Entrée 2 2 2 15" xfId="22866" xr:uid="{313A70FB-E790-41F4-9FA9-19289A8A6835}"/>
    <cellStyle name="Entrée 2 2 2 16" xfId="31180" xr:uid="{CDF343A7-59E7-40BA-9793-0F0196EED8E9}"/>
    <cellStyle name="Entrée 2 2 2 2" xfId="19883" xr:uid="{5739F897-8CDC-4D55-A8F7-C3EBAA4ACDF2}"/>
    <cellStyle name="Entrée 2 2 2 2 2" xfId="27022" xr:uid="{9950C30A-D6F0-4320-B91F-B6B839596072}"/>
    <cellStyle name="Entrée 2 2 2 2 3" xfId="33862" xr:uid="{0EF44975-43F8-45CF-B9BA-8B90C3F289E3}"/>
    <cellStyle name="Entrée 2 2 2 3" xfId="21053" xr:uid="{6D499614-BAC7-4294-9C86-558B9722904A}"/>
    <cellStyle name="Entrée 2 2 2 3 2" xfId="29098" xr:uid="{46EAA0D7-72FF-4096-AA27-CA1E50616954}"/>
    <cellStyle name="Entrée 2 2 2 3 3" xfId="35943" xr:uid="{EAC6E3AC-67B3-4A93-8A02-66493F0F6D2F}"/>
    <cellStyle name="Entrée 2 2 2 4" xfId="19240" xr:uid="{D6EA681D-8A48-4189-BC32-17687F5095CC}"/>
    <cellStyle name="Entrée 2 2 2 5" xfId="22150" xr:uid="{7664920F-2345-44CE-AE7C-3BD29DECF3B9}"/>
    <cellStyle name="Entrée 2 2 2 6" xfId="19646" xr:uid="{F2A93201-4586-435A-AFB2-8085AF67C62B}"/>
    <cellStyle name="Entrée 2 2 2 7" xfId="20220" xr:uid="{D2114566-A79E-48BA-B2C2-29319FFEA855}"/>
    <cellStyle name="Entrée 2 2 2 8" xfId="21202" xr:uid="{A7D4B47B-71B3-4F9D-BF07-BCBC47A7F671}"/>
    <cellStyle name="Entrée 2 2 2 9" xfId="20631" xr:uid="{765B76B3-CF06-4F4E-B636-2949F10BA999}"/>
    <cellStyle name="Entrée 2 2 3" xfId="24595" xr:uid="{FE711E25-9DD9-4067-A61E-13F8BC2D3BAC}"/>
    <cellStyle name="Entrée 2 2 3 2" xfId="27178" xr:uid="{511A72F5-9D0A-4393-BB3A-B869212C9085}"/>
    <cellStyle name="Entrée 2 2 3 2 2" xfId="34019" xr:uid="{9444EF59-0006-4B16-8019-68D12BCB2FE7}"/>
    <cellStyle name="Entrée 2 2 3 3" xfId="29255" xr:uid="{30D0C10F-B992-41AA-8396-56E693CF56C9}"/>
    <cellStyle name="Entrée 2 2 3 3 2" xfId="36100" xr:uid="{DA6C3977-AACF-403A-BCEE-A2E04922AAFB}"/>
    <cellStyle name="Entrée 2 2 3 4" xfId="31337" xr:uid="{252CBABC-CEBB-434B-ADDA-9FD0E36C0FA0}"/>
    <cellStyle name="Entrée 2 2 4" xfId="24871" xr:uid="{8DF366F8-3C2D-458A-B331-11B048A5B71F}"/>
    <cellStyle name="Entrée 2 2 4 2" xfId="27537" xr:uid="{1CEE1129-69B3-4A46-96C1-29A992326845}"/>
    <cellStyle name="Entrée 2 2 4 2 2" xfId="34381" xr:uid="{6EC3F873-9637-4FB4-86DC-AC5F7E6F8FA5}"/>
    <cellStyle name="Entrée 2 2 4 3" xfId="29617" xr:uid="{610FE71F-F434-453A-9CA3-9E4F441D05E4}"/>
    <cellStyle name="Entrée 2 2 4 3 2" xfId="36462" xr:uid="{0BCB3AC5-8591-48D8-BECB-93D454EB4A57}"/>
    <cellStyle name="Entrée 2 2 4 4" xfId="31699" xr:uid="{EB7292B9-BB4C-4E75-8ABC-831194D2CCFE}"/>
    <cellStyle name="Entrée 2 2 5" xfId="23745" xr:uid="{378BA09F-A231-43C4-8F46-F5E39591EACA}"/>
    <cellStyle name="Entrée 2 2 5 2" xfId="26356" xr:uid="{0E53B191-954D-4F49-BC6B-89814A2678D4}"/>
    <cellStyle name="Entrée 2 2 5 2 2" xfId="33195" xr:uid="{A3C9B9AC-9D9F-41D5-BD56-67AF094DA1F6}"/>
    <cellStyle name="Entrée 2 2 5 3" xfId="26325" xr:uid="{30A5260F-ABBB-4F9F-80F7-4CAE361109F0}"/>
    <cellStyle name="Entrée 2 2 5 3 2" xfId="33153" xr:uid="{43255BAB-454A-4165-8109-E5973C7482DC}"/>
    <cellStyle name="Entrée 2 2 5 4" xfId="23447" xr:uid="{B44DE631-1E2E-48B7-B764-DF1002F0670A}"/>
    <cellStyle name="Entrée 2 2 6" xfId="23895" xr:uid="{76E4F0C5-0B0C-423B-91DD-A71740098839}"/>
    <cellStyle name="Entrée 2 2 6 2" xfId="26513" xr:uid="{EA471168-D419-47D5-BD8A-F18DDF537E0C}"/>
    <cellStyle name="Entrée 2 2 6 2 2" xfId="33353" xr:uid="{594040A5-24C5-4902-AA7A-CA35AC7C1211}"/>
    <cellStyle name="Entrée 2 2 6 3" xfId="26171" xr:uid="{33689FC4-16FE-4B32-BFAA-8B1570DF5A60}"/>
    <cellStyle name="Entrée 2 2 6 3 2" xfId="32999" xr:uid="{5834043D-6FA0-47A5-B82B-15411B67FEE2}"/>
    <cellStyle name="Entrée 2 2 6 4" xfId="23293" xr:uid="{5AEF440E-C927-47A9-9A66-2BF5C20BFA67}"/>
    <cellStyle name="Entrée 2 2 7" xfId="25327" xr:uid="{8A963B6C-5D1D-4E2D-A5FD-8740BB17C6C8}"/>
    <cellStyle name="Entrée 2 2 7 2" xfId="27996" xr:uid="{F71C1E84-0CFF-4817-AA4B-B55409D2DA2C}"/>
    <cellStyle name="Entrée 2 2 7 2 2" xfId="34841" xr:uid="{1D15F789-3E9F-4CB6-BB30-48422D81A4D7}"/>
    <cellStyle name="Entrée 2 2 7 3" xfId="30077" xr:uid="{1BB1199E-3F17-44D3-B5E5-6A954D9BA4F6}"/>
    <cellStyle name="Entrée 2 2 7 3 2" xfId="36922" xr:uid="{A3AA7E2F-157F-47C5-AF69-42A723AB4F87}"/>
    <cellStyle name="Entrée 2 2 7 4" xfId="32159" xr:uid="{257FD728-7B06-42D3-BFB9-AA4145955424}"/>
    <cellStyle name="Entrée 2 2 8" xfId="23992" xr:uid="{2C4AC3AA-3A1B-41B6-9426-A03870D1316B}"/>
    <cellStyle name="Entrée 2 2 8 2" xfId="26609" xr:uid="{E1566840-2AF4-435E-AF5E-DA08291DF456}"/>
    <cellStyle name="Entrée 2 2 8 2 2" xfId="33449" xr:uid="{AB167005-38B0-4F64-9BF7-A32D9F57D1C7}"/>
    <cellStyle name="Entrée 2 2 8 3" xfId="26084" xr:uid="{5490E966-87EA-4751-AE76-7DA62E6540A5}"/>
    <cellStyle name="Entrée 2 2 8 3 2" xfId="32912" xr:uid="{FDB194FA-46CF-4EA7-A8EF-EC8B475B759B}"/>
    <cellStyle name="Entrée 2 2 8 4" xfId="23206" xr:uid="{3A3AA5FA-E11E-4FB0-BB28-BA7114CA62D3}"/>
    <cellStyle name="Entrée 2 2 9" xfId="25023" xr:uid="{6467622E-9EE3-486E-89D2-2F25FBD0E9A7}"/>
    <cellStyle name="Entrée 2 2 9 2" xfId="27696" xr:uid="{CB773C6A-E2A5-4D78-8F76-703F8A34AA68}"/>
    <cellStyle name="Entrée 2 2 9 2 2" xfId="34541" xr:uid="{99586D68-7A11-4BC4-AD34-D6CF8EAA938E}"/>
    <cellStyle name="Entrée 2 2 9 3" xfId="29777" xr:uid="{A87E223C-F74F-48A7-887B-F7AD732B5BC4}"/>
    <cellStyle name="Entrée 2 2 9 3 2" xfId="36622" xr:uid="{388BDCD2-5F58-4E27-BA6A-A23738612434}"/>
    <cellStyle name="Entrée 2 2 9 4" xfId="31859" xr:uid="{4721A89B-9AD5-4103-8E65-0E818894A772}"/>
    <cellStyle name="Entrée 2 20" xfId="46534" xr:uid="{5D42F19C-FAC0-46B8-88CE-69A1465622E3}"/>
    <cellStyle name="Entrée 2 21" xfId="37911" xr:uid="{82C1E333-AA77-483B-8163-686171BA665E}"/>
    <cellStyle name="Entrée 2 22" xfId="49232" xr:uid="{A840EF14-F65E-408E-B108-288158EA6ECB}"/>
    <cellStyle name="Entrée 2 23" xfId="47493" xr:uid="{35E21EC4-5286-4054-A5D3-47610167B738}"/>
    <cellStyle name="Entrée 2 3" xfId="18810" xr:uid="{C3A60712-673E-4FC3-94D6-7F686EE55813}"/>
    <cellStyle name="Entrée 2 3 10" xfId="22232" xr:uid="{4EFB6A06-0F1B-4FAD-B1B4-2AA60FA562C6}"/>
    <cellStyle name="Entrée 2 3 11" xfId="22376" xr:uid="{E59DFE11-383F-465C-8B38-E50577A2C617}"/>
    <cellStyle name="Entrée 2 3 12" xfId="22844" xr:uid="{C799A924-A4B3-47B6-A127-10E5F51D2D8F}"/>
    <cellStyle name="Entrée 2 3 13" xfId="22182" xr:uid="{A42E5CBA-827F-4127-A59B-A6C815270BC2}"/>
    <cellStyle name="Entrée 2 3 14" xfId="22978" xr:uid="{6B5C800C-C2A9-4D88-85E1-F7EF59624228}"/>
    <cellStyle name="Entrée 2 3 15" xfId="20049" xr:uid="{2DD613D1-AEF4-4CA4-9DA6-C849BD6CF7FA}"/>
    <cellStyle name="Entrée 2 3 16" xfId="31145" xr:uid="{76DA6B39-E3FD-4475-A9C1-C4720117B442}"/>
    <cellStyle name="Entrée 2 3 2" xfId="19747" xr:uid="{1FD3FCBA-5BBA-49D2-9FAD-82412116856D}"/>
    <cellStyle name="Entrée 2 3 2 2" xfId="26987" xr:uid="{9F597D40-504C-4C26-8E35-EA5949F05CF3}"/>
    <cellStyle name="Entrée 2 3 2 3" xfId="33827" xr:uid="{9A35CB80-1057-4DE7-B763-5D9FCC9D7EDE}"/>
    <cellStyle name="Entrée 2 3 3" xfId="20657" xr:uid="{71DB847F-C236-4A37-A3CD-D85FECCECFC6}"/>
    <cellStyle name="Entrée 2 3 3 2" xfId="29063" xr:uid="{0BC9CDFB-AE7E-47FA-81B3-BCC3832BBAE5}"/>
    <cellStyle name="Entrée 2 3 3 3" xfId="35908" xr:uid="{D1515D3F-7741-4460-85E3-7B3B220FC419}"/>
    <cellStyle name="Entrée 2 3 4" xfId="20723" xr:uid="{079AFD7C-E968-4B52-8C8E-BB17EE39A2AF}"/>
    <cellStyle name="Entrée 2 3 5" xfId="20882" xr:uid="{EF440562-01EA-4E82-BCFD-B15C4F3660F5}"/>
    <cellStyle name="Entrée 2 3 6" xfId="19952" xr:uid="{A7E1AEEC-8E5B-45F7-95A9-C16DEF1B19E9}"/>
    <cellStyle name="Entrée 2 3 7" xfId="21451" xr:uid="{1B14BF04-A77F-4951-9EA3-7FC847534AAD}"/>
    <cellStyle name="Entrée 2 3 8" xfId="19259" xr:uid="{13B277F8-913C-4958-8E35-60DC3A9FE001}"/>
    <cellStyle name="Entrée 2 3 9" xfId="22600" xr:uid="{E7B0FFE0-7778-41AC-A3CB-417879CC977B}"/>
    <cellStyle name="Entrée 2 4" xfId="24429" xr:uid="{D6178375-EB73-41F3-B9D9-486FFA9D0DCD}"/>
    <cellStyle name="Entrée 2 4 2" xfId="27048" xr:uid="{1EA3AC26-070E-4C4E-84E3-1B7D5EA4ACC2}"/>
    <cellStyle name="Entrée 2 4 2 2" xfId="33888" xr:uid="{14DFEB53-8EEE-4EC6-98D7-65E9E9FD1B22}"/>
    <cellStyle name="Entrée 2 4 3" xfId="29124" xr:uid="{3A832992-C4AA-4EE3-BF87-72A4C1EB5E35}"/>
    <cellStyle name="Entrée 2 4 3 2" xfId="35969" xr:uid="{75D76812-5F64-4B9E-8BBD-C90681C41BDF}"/>
    <cellStyle name="Entrée 2 4 4" xfId="31206" xr:uid="{4C616DAE-1BD1-4F00-B083-DBED91A2E4EE}"/>
    <cellStyle name="Entrée 2 5" xfId="24483" xr:uid="{8A8FD4F2-1BEC-41EF-BE23-6CD1CD390A78}"/>
    <cellStyle name="Entrée 2 5 2" xfId="27096" xr:uid="{0D4F8086-B0B4-45D4-BD1B-EBAB9574CB66}"/>
    <cellStyle name="Entrée 2 5 2 2" xfId="33936" xr:uid="{FB82737E-7707-46FA-97F0-8F4CDE3783AE}"/>
    <cellStyle name="Entrée 2 5 3" xfId="29172" xr:uid="{3F274E78-04EC-4A57-9006-FAC25BFA65ED}"/>
    <cellStyle name="Entrée 2 5 3 2" xfId="36017" xr:uid="{C7ABE363-FCB3-4317-AD17-039D9A7A3224}"/>
    <cellStyle name="Entrée 2 5 4" xfId="31254" xr:uid="{B36C6893-211E-4BBB-B2AE-F8C8987C585B}"/>
    <cellStyle name="Entrée 2 6" xfId="24428" xr:uid="{8D89E415-39AD-4E73-AAEC-213163137A49}"/>
    <cellStyle name="Entrée 2 6 2" xfId="27047" xr:uid="{177AC61C-E09A-48A9-B1DD-5ECD5120EB0C}"/>
    <cellStyle name="Entrée 2 6 2 2" xfId="33887" xr:uid="{89BE3481-2CF3-45C5-9565-6A3C75729DEA}"/>
    <cellStyle name="Entrée 2 6 3" xfId="29123" xr:uid="{E592D1D5-AF47-48EB-9CEC-0958949F056E}"/>
    <cellStyle name="Entrée 2 6 3 2" xfId="35968" xr:uid="{D4A3085D-A3B5-45C1-81B0-D3BAADD1F1FD}"/>
    <cellStyle name="Entrée 2 6 4" xfId="31205" xr:uid="{B2465200-446E-4A32-8A9B-0FEF89812AD3}"/>
    <cellStyle name="Entrée 2 7" xfId="24223" xr:uid="{10F63F37-7BF8-4B95-8609-576CACA82C51}"/>
    <cellStyle name="Entrée 2 7 2" xfId="26832" xr:uid="{581CAE0F-8A0F-4E18-AA5D-1DC3C88E7312}"/>
    <cellStyle name="Entrée 2 7 2 2" xfId="33672" xr:uid="{E022DD6A-C871-4E62-AC01-BF64706A822F}"/>
    <cellStyle name="Entrée 2 7 3" xfId="28908" xr:uid="{06DD7CFA-4C37-41A5-B77B-74323777F373}"/>
    <cellStyle name="Entrée 2 7 3 2" xfId="35753" xr:uid="{B99EDDCA-7225-42CE-B8F5-F528D286560C}"/>
    <cellStyle name="Entrée 2 7 4" xfId="30990" xr:uid="{CC06D320-3E41-4C46-B498-D751F2F42E1C}"/>
    <cellStyle name="Entrée 2 8" xfId="24146" xr:uid="{20FC3D86-4874-4167-B76C-E242D15D691A}"/>
    <cellStyle name="Entrée 2 8 2" xfId="26758" xr:uid="{F94C53A8-EF56-4A98-A840-442312DCD0B6}"/>
    <cellStyle name="Entrée 2 8 2 2" xfId="33598" xr:uid="{C9EBEBF6-84EB-4A8E-8B2A-2BF8640ABD3F}"/>
    <cellStyle name="Entrée 2 8 3" xfId="28834" xr:uid="{AD05A779-5C61-46E8-863F-6E5667C45FF1}"/>
    <cellStyle name="Entrée 2 8 3 2" xfId="35679" xr:uid="{7A4F6A5E-72DD-4800-86B9-0D102B249816}"/>
    <cellStyle name="Entrée 2 8 4" xfId="30916" xr:uid="{3579AD74-849A-4A7C-AA10-01CD81A83343}"/>
    <cellStyle name="Entrée 2 9" xfId="25394" xr:uid="{FAFE21E8-5C03-4231-A82F-E91003646A91}"/>
    <cellStyle name="Entrée 2 9 2" xfId="28061" xr:uid="{E143465B-D08D-4E07-806E-60BD8FB13F9F}"/>
    <cellStyle name="Entrée 2 9 2 2" xfId="34906" xr:uid="{8FA9DB66-BE8C-42E6-B52E-7CEF52E3509C}"/>
    <cellStyle name="Entrée 2 9 3" xfId="30142" xr:uid="{66FA3696-686C-4F29-99E1-C46139DC0DB7}"/>
    <cellStyle name="Entrée 2 9 3 2" xfId="36987" xr:uid="{8B9A6546-0CC4-407F-A192-8170829B9433}"/>
    <cellStyle name="Entrée 2 9 4" xfId="32224" xr:uid="{BC417909-2687-416F-B912-37DE5D5755E5}"/>
    <cellStyle name="Entrée 20" xfId="14541" xr:uid="{0BED8E1F-5F2F-4245-AF68-B10372A89718}"/>
    <cellStyle name="Entrée 21" xfId="46733" xr:uid="{53CAD91C-4F35-41C7-8055-22EC6E3D5A2A}"/>
    <cellStyle name="Entrée 22" xfId="48992" xr:uid="{B2DE3C0A-F789-4345-BBB0-3989F04F3D1A}"/>
    <cellStyle name="Entrée 23" xfId="47693" xr:uid="{24598958-92AA-4532-91D2-DC78EFB74690}"/>
    <cellStyle name="Entrée 24" xfId="14999" xr:uid="{220885FF-0EEB-41D6-B9F3-DFC242245687}"/>
    <cellStyle name="Entrée 3" xfId="17531" xr:uid="{18EF155E-2E0E-43AB-BE65-C4A6067E99D3}"/>
    <cellStyle name="Entrée 3 10" xfId="24174" xr:uid="{A1D40BE3-BAF8-431F-B212-5A8528B2AC2E}"/>
    <cellStyle name="Entrée 3 10 2" xfId="26785" xr:uid="{478B8C1B-7FC7-407D-B413-115C1A983002}"/>
    <cellStyle name="Entrée 3 10 2 2" xfId="33625" xr:uid="{1CEA2137-0F2C-430C-BDA6-52E250F49F75}"/>
    <cellStyle name="Entrée 3 10 3" xfId="28861" xr:uid="{94225C62-F551-4C9E-8006-467F8E725CB0}"/>
    <cellStyle name="Entrée 3 10 3 2" xfId="35706" xr:uid="{F093EA3B-7413-49EE-B6E4-50C8C02334BF}"/>
    <cellStyle name="Entrée 3 10 4" xfId="30943" xr:uid="{5E2BE5E3-32C5-4A7C-8D3E-020CDDE8530F}"/>
    <cellStyle name="Entrée 3 11" xfId="23934" xr:uid="{A8E7024A-FBE1-4AED-A62A-DB98EA815038}"/>
    <cellStyle name="Entrée 3 11 2" xfId="26552" xr:uid="{3A5153DB-EA0E-4474-A387-1875D736B4C4}"/>
    <cellStyle name="Entrée 3 11 2 2" xfId="33392" xr:uid="{99E0B910-1989-403A-A634-B65DF090FCED}"/>
    <cellStyle name="Entrée 3 11 3" xfId="26133" xr:uid="{F9241C2D-EF0C-4C59-9F32-01C9E8CC7AB6}"/>
    <cellStyle name="Entrée 3 11 3 2" xfId="32961" xr:uid="{FF19B632-B5C4-441A-8259-7A517B8F028D}"/>
    <cellStyle name="Entrée 3 11 4" xfId="23255" xr:uid="{289C9ECE-F7DD-414B-B74C-C7FF7F2DF451}"/>
    <cellStyle name="Entrée 3 12" xfId="25525" xr:uid="{4B98007D-DB61-43FC-A12A-268DA0BCB444}"/>
    <cellStyle name="Entrée 3 12 2" xfId="28192" xr:uid="{C9841674-8E91-42EC-84D1-B038D3790FCB}"/>
    <cellStyle name="Entrée 3 12 2 2" xfId="35037" xr:uid="{14618424-74DE-4FFA-B10E-D4CFCA10F8F5}"/>
    <cellStyle name="Entrée 3 12 3" xfId="30273" xr:uid="{C63DD1E5-77ED-469A-B98B-73AEF87DF76D}"/>
    <cellStyle name="Entrée 3 12 3 2" xfId="37118" xr:uid="{57486061-23F7-4791-9C92-56D8B9AA63F5}"/>
    <cellStyle name="Entrée 3 12 4" xfId="32355" xr:uid="{719A9FFE-6692-4BA1-B267-6C3066A8A789}"/>
    <cellStyle name="Entrée 3 13" xfId="25680" xr:uid="{4979EB9F-4BDF-46D1-AE71-85944A1BC250}"/>
    <cellStyle name="Entrée 3 13 2" xfId="28347" xr:uid="{8E5DAAB8-2702-4506-AB27-58E706F98B38}"/>
    <cellStyle name="Entrée 3 13 2 2" xfId="35192" xr:uid="{C5ED8CE0-7B3F-4700-BB56-5BF75D25BD62}"/>
    <cellStyle name="Entrée 3 13 3" xfId="30428" xr:uid="{691EEC25-77EC-4D3F-9169-1ED983631971}"/>
    <cellStyle name="Entrée 3 13 3 2" xfId="37273" xr:uid="{469610AA-A65B-4715-94B5-6F9B6F6F077D}"/>
    <cellStyle name="Entrée 3 13 4" xfId="32510" xr:uid="{506CE729-DB61-4BFB-A37E-F97630D62C07}"/>
    <cellStyle name="Entrée 3 14" xfId="25704" xr:uid="{4CFCA060-A330-4389-9AB4-4527A935586B}"/>
    <cellStyle name="Entrée 3 14 2" xfId="28371" xr:uid="{6DB70189-9FE7-4F8D-A22C-3C6C824944B5}"/>
    <cellStyle name="Entrée 3 14 2 2" xfId="35216" xr:uid="{11D600A4-629B-49D5-85DD-3FA651FC1BF2}"/>
    <cellStyle name="Entrée 3 14 3" xfId="30452" xr:uid="{2D694E1F-C637-469F-983F-E40226EBB0C8}"/>
    <cellStyle name="Entrée 3 14 3 2" xfId="37297" xr:uid="{AD9C016F-5BCE-4586-9F2D-33C3DFEB2245}"/>
    <cellStyle name="Entrée 3 14 4" xfId="32534" xr:uid="{797689F7-FE06-4B9B-B0E8-8F15695E45FE}"/>
    <cellStyle name="Entrée 3 15" xfId="25369" xr:uid="{F50B6327-541E-4F8A-A704-757E1905F956}"/>
    <cellStyle name="Entrée 3 15 2" xfId="28036" xr:uid="{57048E47-7E9F-4000-8803-1F3458B123E2}"/>
    <cellStyle name="Entrée 3 15 2 2" xfId="34881" xr:uid="{782E063E-8DCE-42B2-98D7-8956F9A8EA65}"/>
    <cellStyle name="Entrée 3 15 3" xfId="30117" xr:uid="{1A834628-E051-44B3-9E16-9D1BF80429D0}"/>
    <cellStyle name="Entrée 3 15 3 2" xfId="36962" xr:uid="{7EDB3B16-E32F-49DE-B9CE-38EE6382A957}"/>
    <cellStyle name="Entrée 3 15 4" xfId="32199" xr:uid="{A77752A7-9249-4902-A4D8-A407BDA5C1FB}"/>
    <cellStyle name="Entrée 3 16" xfId="23994" xr:uid="{8AE391D9-DA99-4B62-8B0E-12777D909B02}"/>
    <cellStyle name="Entrée 3 16 2" xfId="26611" xr:uid="{9F34F14E-EB80-4217-9211-902AFE2D8467}"/>
    <cellStyle name="Entrée 3 16 2 2" xfId="33451" xr:uid="{1AB165B0-651E-4C2B-A5D3-E7222325E932}"/>
    <cellStyle name="Entrée 3 16 3" xfId="26082" xr:uid="{62899014-5F6D-4E61-819C-08178EB1EC3F}"/>
    <cellStyle name="Entrée 3 16 3 2" xfId="32910" xr:uid="{48C924F2-3B19-4EC8-BDA0-CAD5ABCA8CEC}"/>
    <cellStyle name="Entrée 3 16 4" xfId="23204" xr:uid="{190D80AB-2F0D-4CB4-B516-3414A7CD042A}"/>
    <cellStyle name="Entrée 3 17" xfId="25869" xr:uid="{2620B125-3E29-4D56-AF1E-B851295050F6}"/>
    <cellStyle name="Entrée 3 17 2" xfId="28535" xr:uid="{376FE26D-CEB1-42F7-8AD1-1E5ADD2464CB}"/>
    <cellStyle name="Entrée 3 17 2 2" xfId="35380" xr:uid="{55E354AF-5093-4C7E-9167-DD7D3DCFF8EA}"/>
    <cellStyle name="Entrée 3 17 3" xfId="30616" xr:uid="{FAFFF473-F816-44A6-A02C-EF2111883DBF}"/>
    <cellStyle name="Entrée 3 17 3 2" xfId="37461" xr:uid="{23BE6923-C00C-400A-9E21-FA0DE131403C}"/>
    <cellStyle name="Entrée 3 17 4" xfId="32698" xr:uid="{06959368-8E66-4B5D-B4DD-C85ADBBE550B}"/>
    <cellStyle name="Entrée 3 18" xfId="23094" xr:uid="{E083EC5E-4341-416F-8DBA-019D99F5E585}"/>
    <cellStyle name="Entrée 3 2" xfId="17568" xr:uid="{FEE09D73-40D9-473C-8DE2-EA61EA237203}"/>
    <cellStyle name="Entrée 3 2 10" xfId="25503" xr:uid="{D190778D-7612-4FC4-B54A-829503F8CC04}"/>
    <cellStyle name="Entrée 3 2 10 2" xfId="28170" xr:uid="{C22094C9-BEEE-4CB8-AD17-69147388BC49}"/>
    <cellStyle name="Entrée 3 2 10 2 2" xfId="35015" xr:uid="{8FF1AE2B-43E1-4A68-A54D-6AF57E8EE1C3}"/>
    <cellStyle name="Entrée 3 2 10 3" xfId="30251" xr:uid="{8B956020-5269-4EE0-A7EB-529CCA1AEFC0}"/>
    <cellStyle name="Entrée 3 2 10 3 2" xfId="37096" xr:uid="{CB9391A0-28F1-49C9-AE4A-F50BFBE65DDD}"/>
    <cellStyle name="Entrée 3 2 10 4" xfId="32333" xr:uid="{3B110953-291F-49E8-847B-B58161C92ABF}"/>
    <cellStyle name="Entrée 3 2 11" xfId="25497" xr:uid="{41147CBA-CCEC-4355-B2F7-0D47F0175E10}"/>
    <cellStyle name="Entrée 3 2 11 2" xfId="28164" xr:uid="{FFDAD5F4-1080-4786-BEDA-A90765BBCC6A}"/>
    <cellStyle name="Entrée 3 2 11 2 2" xfId="35009" xr:uid="{BDA1B7B4-ABB2-462A-B3F9-7BC6013B66A2}"/>
    <cellStyle name="Entrée 3 2 11 3" xfId="30245" xr:uid="{981B4E3E-25E9-4694-857C-EDC2A4B95DD1}"/>
    <cellStyle name="Entrée 3 2 11 3 2" xfId="37090" xr:uid="{17AC1136-2A68-4D53-8520-331DEA8CAC2F}"/>
    <cellStyle name="Entrée 3 2 11 4" xfId="32327" xr:uid="{7567D16A-7E28-4574-BAD8-1B6AE20233DC}"/>
    <cellStyle name="Entrée 3 2 12" xfId="25605" xr:uid="{16F8CFE6-7E6B-47F7-BF6D-E6C2056EF0A6}"/>
    <cellStyle name="Entrée 3 2 12 2" xfId="28272" xr:uid="{2BA0621C-DEC4-4865-92C0-8F122EEFA312}"/>
    <cellStyle name="Entrée 3 2 12 2 2" xfId="35117" xr:uid="{83A7BA7B-E539-4730-9EE1-449FC69B1BA0}"/>
    <cellStyle name="Entrée 3 2 12 3" xfId="30353" xr:uid="{9A3B995A-2705-42C4-8BAB-04CA4477CC5D}"/>
    <cellStyle name="Entrée 3 2 12 3 2" xfId="37198" xr:uid="{60051FAC-08EF-454C-BCDB-37B5233B9E0D}"/>
    <cellStyle name="Entrée 3 2 12 4" xfId="32435" xr:uid="{E083151A-B876-4E39-BBFF-82B6D880006D}"/>
    <cellStyle name="Entrée 3 2 13" xfId="25530" xr:uid="{497EC69D-0C76-4C32-9917-18AF7F1AFA92}"/>
    <cellStyle name="Entrée 3 2 13 2" xfId="28197" xr:uid="{477E38B3-56D6-43A2-9C20-76C674248EB0}"/>
    <cellStyle name="Entrée 3 2 13 2 2" xfId="35042" xr:uid="{E99865D5-3F1A-401C-947D-3B385EA06D35}"/>
    <cellStyle name="Entrée 3 2 13 3" xfId="30278" xr:uid="{D0569DE0-E5C6-4A3C-B430-DCD52344A4AB}"/>
    <cellStyle name="Entrée 3 2 13 3 2" xfId="37123" xr:uid="{845A9776-74B4-4E31-B192-AEDEC7018824}"/>
    <cellStyle name="Entrée 3 2 13 4" xfId="32360" xr:uid="{604F7480-1978-49E7-A938-7E4C4A915C93}"/>
    <cellStyle name="Entrée 3 2 14" xfId="24063" xr:uid="{1A74D3B4-2BB6-43CF-B058-3D13A08210D8}"/>
    <cellStyle name="Entrée 3 2 14 2" xfId="26676" xr:uid="{3B47F4FD-DB75-49F8-9AD2-BDE97DD0B7B0}"/>
    <cellStyle name="Entrée 3 2 14 2 2" xfId="33516" xr:uid="{1B3A2346-F585-4710-A7E2-1D57C3C6495F}"/>
    <cellStyle name="Entrée 3 2 14 3" xfId="28752" xr:uid="{344D8497-2D9B-4EBC-A339-0DE8FFF3F5AB}"/>
    <cellStyle name="Entrée 3 2 14 3 2" xfId="35597" xr:uid="{923FABD9-0CBF-4343-B3AC-2C7AE4E98C3B}"/>
    <cellStyle name="Entrée 3 2 14 4" xfId="30834" xr:uid="{96608A96-2EC9-47D6-8BA9-9430B7F5A01C}"/>
    <cellStyle name="Entrée 3 2 15" xfId="24783" xr:uid="{9FC972DB-8C19-41BE-A77E-1D0769486907}"/>
    <cellStyle name="Entrée 3 2 15 2" xfId="27436" xr:uid="{38740C71-0D5E-40D9-B210-812D1F890315}"/>
    <cellStyle name="Entrée 3 2 15 2 2" xfId="34280" xr:uid="{601BA374-304A-4223-BBEF-FE12CBF97CAE}"/>
    <cellStyle name="Entrée 3 2 15 3" xfId="29516" xr:uid="{891A9E97-4D4F-4822-ACB7-8F26661894DB}"/>
    <cellStyle name="Entrée 3 2 15 3 2" xfId="36361" xr:uid="{8AB0763B-2FBE-478F-B369-F1CDCBE56BEB}"/>
    <cellStyle name="Entrée 3 2 15 4" xfId="31598" xr:uid="{352A6FE5-9A42-41DD-9BF5-09BE345A450F}"/>
    <cellStyle name="Entrée 3 2 16" xfId="25720" xr:uid="{28F5C308-52D8-40F7-ACC5-8F2E52C864D4}"/>
    <cellStyle name="Entrée 3 2 16 2" xfId="28387" xr:uid="{76FAA40B-2662-48EF-B19F-21E724640DDE}"/>
    <cellStyle name="Entrée 3 2 16 2 2" xfId="35232" xr:uid="{78839008-3867-492E-9396-40A2CB91CAFD}"/>
    <cellStyle name="Entrée 3 2 16 3" xfId="30468" xr:uid="{9C613DAC-1967-4625-B026-644AE7AF7FD3}"/>
    <cellStyle name="Entrée 3 2 16 3 2" xfId="37313" xr:uid="{5E474C7F-A43B-41E8-98D6-EB8A06D61327}"/>
    <cellStyle name="Entrée 3 2 16 4" xfId="32550" xr:uid="{B77B5305-32FC-4C55-91D5-B8AA973D37C1}"/>
    <cellStyle name="Entrée 3 2 17" xfId="23634" xr:uid="{1EF849F4-D892-4C13-B664-6C4D52029F9E}"/>
    <cellStyle name="Entrée 3 2 2" xfId="17839" xr:uid="{55DCBE48-2A07-4202-B3DB-41E3AD2D4BC6}"/>
    <cellStyle name="Entrée 3 2 2 10" xfId="25663" xr:uid="{D457D8E7-5B57-4A67-9B14-2E370CC701C5}"/>
    <cellStyle name="Entrée 3 2 2 10 2" xfId="28330" xr:uid="{D9D4BC93-623F-44D0-A5F6-2FF16D3BF504}"/>
    <cellStyle name="Entrée 3 2 2 10 2 2" xfId="35175" xr:uid="{826C420B-FD9C-43D2-9C8C-EBDDB6B74E8B}"/>
    <cellStyle name="Entrée 3 2 2 10 3" xfId="30411" xr:uid="{220138E8-D44E-41B4-A247-87754B290501}"/>
    <cellStyle name="Entrée 3 2 2 10 3 2" xfId="37256" xr:uid="{A9ED4506-6183-44E4-A0B9-7DDBD505AE60}"/>
    <cellStyle name="Entrée 3 2 2 10 4" xfId="32493" xr:uid="{E44327D4-C192-43B4-97AB-96841931A55E}"/>
    <cellStyle name="Entrée 3 2 2 11" xfId="25768" xr:uid="{949318E3-6E0D-49FC-9679-192A3737942B}"/>
    <cellStyle name="Entrée 3 2 2 11 2" xfId="28434" xr:uid="{7DC5F0D5-A52A-4BC1-90C6-BF9882B5AC9C}"/>
    <cellStyle name="Entrée 3 2 2 11 2 2" xfId="35279" xr:uid="{7788E77E-DF7F-403F-A6CD-6ACC9112DEC5}"/>
    <cellStyle name="Entrée 3 2 2 11 3" xfId="30515" xr:uid="{B6F44BEF-78AF-4DA0-920A-D0B2D137B545}"/>
    <cellStyle name="Entrée 3 2 2 11 3 2" xfId="37360" xr:uid="{11B79477-B69E-4EB2-BEDF-D7CA8541BB23}"/>
    <cellStyle name="Entrée 3 2 2 11 4" xfId="32597" xr:uid="{EB7BFBEC-CC4C-41E7-AFD3-D1EAC95BDCC9}"/>
    <cellStyle name="Entrée 3 2 2 12" xfId="25845" xr:uid="{F9B34CB2-E362-4821-8BC1-C393589403C5}"/>
    <cellStyle name="Entrée 3 2 2 12 2" xfId="28511" xr:uid="{8071CF7A-06E4-4BDB-920B-1456ECEF90AC}"/>
    <cellStyle name="Entrée 3 2 2 12 2 2" xfId="35356" xr:uid="{1213DE50-4C2D-410F-A04D-643A3540E813}"/>
    <cellStyle name="Entrée 3 2 2 12 3" xfId="30592" xr:uid="{C16DDE46-BA05-4272-8B5C-F31617B37E9D}"/>
    <cellStyle name="Entrée 3 2 2 12 3 2" xfId="37437" xr:uid="{8F0B5F6B-8F21-4010-A244-6711AD7CDC4C}"/>
    <cellStyle name="Entrée 3 2 2 12 4" xfId="32674" xr:uid="{0F0BF1BA-6ADE-415C-8CD3-C19EB894BA8B}"/>
    <cellStyle name="Entrée 3 2 2 13" xfId="23871" xr:uid="{FB975698-9973-4560-B587-08FCEC29F3F6}"/>
    <cellStyle name="Entrée 3 2 2 13 2" xfId="26490" xr:uid="{15A8B3BA-C05E-49E9-9198-4332A935C829}"/>
    <cellStyle name="Entrée 3 2 2 13 2 2" xfId="33330" xr:uid="{2E355EB7-DAC7-4BF0-9D1F-1B7E3D617835}"/>
    <cellStyle name="Entrée 3 2 2 13 3" xfId="26194" xr:uid="{0A1130B3-7E2B-4E60-A8E4-AFC04DCE1296}"/>
    <cellStyle name="Entrée 3 2 2 13 3 2" xfId="33022" xr:uid="{366D6585-A5B7-42CC-901E-DC7E33133757}"/>
    <cellStyle name="Entrée 3 2 2 13 4" xfId="23316" xr:uid="{11C706CB-CD66-46F9-BB27-32818682DACB}"/>
    <cellStyle name="Entrée 3 2 2 14" xfId="25973" xr:uid="{F2DD2A24-655C-4044-A3A0-40AC0FA60695}"/>
    <cellStyle name="Entrée 3 2 2 14 2" xfId="28639" xr:uid="{C18630A6-5984-4DE2-8AE1-40FC283AEE2C}"/>
    <cellStyle name="Entrée 3 2 2 14 2 2" xfId="35484" xr:uid="{06472442-0B30-49C0-9AC4-4DD354844C24}"/>
    <cellStyle name="Entrée 3 2 2 14 3" xfId="30720" xr:uid="{87EDF7DC-9494-470B-855D-DAFAD001FF0F}"/>
    <cellStyle name="Entrée 3 2 2 14 3 2" xfId="37565" xr:uid="{FCDA2ADE-3CB8-47BF-AE58-0CC88EF68276}"/>
    <cellStyle name="Entrée 3 2 2 14 4" xfId="32802" xr:uid="{177A8177-D745-4A05-9147-638C30BCC83F}"/>
    <cellStyle name="Entrée 3 2 2 15" xfId="26027" xr:uid="{0F7F91EB-3C7D-4B91-93B0-445D4FEB8D87}"/>
    <cellStyle name="Entrée 3 2 2 15 2" xfId="28693" xr:uid="{50E12603-ECBA-4E1A-98BB-6F3F4BA0415E}"/>
    <cellStyle name="Entrée 3 2 2 15 2 2" xfId="35538" xr:uid="{2EA57E29-7CEB-4A29-9290-3FA655EA8459}"/>
    <cellStyle name="Entrée 3 2 2 15 3" xfId="30774" xr:uid="{AFFC9D12-390E-4D0E-9A07-CDD13D502704}"/>
    <cellStyle name="Entrée 3 2 2 15 3 2" xfId="37619" xr:uid="{EBBF8393-CA4F-4877-91D3-B783BB3477A3}"/>
    <cellStyle name="Entrée 3 2 2 15 4" xfId="32856" xr:uid="{AFA378D6-6AF1-4894-9774-4902437B96CB}"/>
    <cellStyle name="Entrée 3 2 2 16" xfId="23545" xr:uid="{4435C6ED-DCBD-402E-A544-A14B521791D1}"/>
    <cellStyle name="Entrée 3 2 2 2" xfId="18435" xr:uid="{43B02DB3-6283-49F3-90B6-3E86803C8A11}"/>
    <cellStyle name="Entrée 3 2 2 2 10" xfId="21229" xr:uid="{EC62AED8-3149-45DD-977A-596BBE49D606}"/>
    <cellStyle name="Entrée 3 2 2 2 11" xfId="19361" xr:uid="{FA2EA8B4-F9E1-4908-A1C8-593AFF5145EE}"/>
    <cellStyle name="Entrée 3 2 2 2 12" xfId="21393" xr:uid="{7C56D9C1-6E70-439F-BFA7-E8666BC3045D}"/>
    <cellStyle name="Entrée 3 2 2 2 13" xfId="21780" xr:uid="{EF739EB7-79D4-4B41-AF31-0959C79409E6}"/>
    <cellStyle name="Entrée 3 2 2 2 14" xfId="20489" xr:uid="{436E1126-022C-4102-B126-27A6C07CA4EF}"/>
    <cellStyle name="Entrée 3 2 2 2 15" xfId="21061" xr:uid="{A0A9D1C9-7C90-46BF-94D8-9CD9496C5E4D}"/>
    <cellStyle name="Entrée 3 2 2 2 16" xfId="23375" xr:uid="{6D448EC2-0C09-4B05-8F6E-9387F90770AA}"/>
    <cellStyle name="Entrée 3 2 2 2 2" xfId="19938" xr:uid="{49E8F22D-31C4-4D34-94B8-75D82FBAF31E}"/>
    <cellStyle name="Entrée 3 2 2 2 2 2" xfId="26429" xr:uid="{1E39F1AA-4B14-4442-BF84-FDB9956AF603}"/>
    <cellStyle name="Entrée 3 2 2 2 2 3" xfId="33269" xr:uid="{AF2B5236-C159-4831-A829-1FC4B9F58AF6}"/>
    <cellStyle name="Entrée 3 2 2 2 3" xfId="21086" xr:uid="{1E67BF9D-0526-4D4E-9187-6B9C92BD396C}"/>
    <cellStyle name="Entrée 3 2 2 2 3 2" xfId="26253" xr:uid="{AC67FC6A-C323-4170-AD8A-8340B916D0B2}"/>
    <cellStyle name="Entrée 3 2 2 2 3 3" xfId="33081" xr:uid="{50C3059E-D5A3-4BF4-95D6-6E6E825BD239}"/>
    <cellStyle name="Entrée 3 2 2 2 4" xfId="18906" xr:uid="{39157E46-F071-4883-BB57-4F2FFB58B30C}"/>
    <cellStyle name="Entrée 3 2 2 2 5" xfId="20660" xr:uid="{72902E4B-4FBD-42F5-8D94-FDA7DC105E68}"/>
    <cellStyle name="Entrée 3 2 2 2 6" xfId="18832" xr:uid="{CF0EA9E1-5AB6-4023-A0E5-AB49CBF38840}"/>
    <cellStyle name="Entrée 3 2 2 2 7" xfId="21934" xr:uid="{8C44CB81-3E94-4C09-B312-6CCAFEDD9B4F}"/>
    <cellStyle name="Entrée 3 2 2 2 8" xfId="22290" xr:uid="{7EDC6F72-94F4-41EE-94C1-3AD9469F4572}"/>
    <cellStyle name="Entrée 3 2 2 2 9" xfId="20782" xr:uid="{F8F9DC6B-EC21-4467-9317-09B75F987AD6}"/>
    <cellStyle name="Entrée 3 2 2 3" xfId="24189" xr:uid="{3A425581-D546-411E-8D1C-6996EB872689}"/>
    <cellStyle name="Entrée 3 2 2 3 2" xfId="26799" xr:uid="{711C65A4-E928-4C82-B65E-E76D25C0AA34}"/>
    <cellStyle name="Entrée 3 2 2 3 2 2" xfId="33639" xr:uid="{489B9B5C-D854-4928-94A9-41F6058F77B4}"/>
    <cellStyle name="Entrée 3 2 2 3 3" xfId="28875" xr:uid="{98839232-318E-4F82-94D4-4960162918CF}"/>
    <cellStyle name="Entrée 3 2 2 3 3 2" xfId="35720" xr:uid="{07DE5A12-90F4-42C8-B89B-46A5B34400DE}"/>
    <cellStyle name="Entrée 3 2 2 3 4" xfId="30957" xr:uid="{78EB70CE-86B6-4023-8D0B-9F9EC677DCD6}"/>
    <cellStyle name="Entrée 3 2 2 4" xfId="25119" xr:uid="{38FF554F-4E0E-4B34-9718-5035C0535E3B}"/>
    <cellStyle name="Entrée 3 2 2 4 2" xfId="27791" xr:uid="{151CE177-DBE6-4BB9-928B-645C10968135}"/>
    <cellStyle name="Entrée 3 2 2 4 2 2" xfId="34636" xr:uid="{B755CB07-BD38-4D16-84D5-B10CEA78E853}"/>
    <cellStyle name="Entrée 3 2 2 4 3" xfId="29872" xr:uid="{EED927D6-E506-432E-8AD8-B595663B0A68}"/>
    <cellStyle name="Entrée 3 2 2 4 3 2" xfId="36717" xr:uid="{81082AEB-9BBF-4191-A32D-88D0E4A71CEA}"/>
    <cellStyle name="Entrée 3 2 2 4 4" xfId="31954" xr:uid="{531C1A90-7A80-47EB-A707-9327BB7417EB}"/>
    <cellStyle name="Entrée 3 2 2 5" xfId="24221" xr:uid="{9AC929AC-D5B8-451E-8BB9-72F0C3C00906}"/>
    <cellStyle name="Entrée 3 2 2 5 2" xfId="26830" xr:uid="{9F92FB31-1B17-4A5D-AFE0-F88CA6BC6769}"/>
    <cellStyle name="Entrée 3 2 2 5 2 2" xfId="33670" xr:uid="{A92849B5-6C39-4663-939F-4E387AE364CE}"/>
    <cellStyle name="Entrée 3 2 2 5 3" xfId="28906" xr:uid="{5977BE45-E446-44C1-864C-F4C1BF1D2E36}"/>
    <cellStyle name="Entrée 3 2 2 5 3 2" xfId="35751" xr:uid="{D523CC86-BF81-49B8-81D2-34704CC0D309}"/>
    <cellStyle name="Entrée 3 2 2 5 4" xfId="30988" xr:uid="{5E084424-0710-478E-94AA-0FC394A07606}"/>
    <cellStyle name="Entrée 3 2 2 6" xfId="25284" xr:uid="{24253AD6-D38A-4BC9-8A94-7134C771F5F8}"/>
    <cellStyle name="Entrée 3 2 2 6 2" xfId="27955" xr:uid="{4D892154-7E03-4081-A995-C3E8AEDADF1D}"/>
    <cellStyle name="Entrée 3 2 2 6 2 2" xfId="34800" xr:uid="{B1D0F8D6-E4E4-4B35-95BA-D9A1C9269AA7}"/>
    <cellStyle name="Entrée 3 2 2 6 3" xfId="30036" xr:uid="{97BF93E5-4F63-471A-8703-D4C736E84066}"/>
    <cellStyle name="Entrée 3 2 2 6 3 2" xfId="36881" xr:uid="{6ECF9465-CE84-440B-A250-239AAFA482AB}"/>
    <cellStyle name="Entrée 3 2 2 6 4" xfId="32118" xr:uid="{9DA1A03A-D26F-4A35-A1B1-99E758BD87FA}"/>
    <cellStyle name="Entrée 3 2 2 7" xfId="23967" xr:uid="{2B789012-71C5-4D7F-ABFE-A64DACD10E03}"/>
    <cellStyle name="Entrée 3 2 2 7 2" xfId="26585" xr:uid="{75AA641E-F390-4E84-B5C4-51F054747BFC}"/>
    <cellStyle name="Entrée 3 2 2 7 2 2" xfId="33425" xr:uid="{59BD68CA-D1B7-49A6-BBCB-E3DA7287BE91}"/>
    <cellStyle name="Entrée 3 2 2 7 3" xfId="26108" xr:uid="{5841753B-0A45-453D-B779-3ABF6187B0B3}"/>
    <cellStyle name="Entrée 3 2 2 7 3 2" xfId="32936" xr:uid="{D228321D-5456-4A9D-AEFD-F59F89630AA8}"/>
    <cellStyle name="Entrée 3 2 2 7 4" xfId="23230" xr:uid="{1459C69A-8D75-4F9A-B74B-50A995596ED9}"/>
    <cellStyle name="Entrée 3 2 2 8" xfId="24144" xr:uid="{DA42D565-7CF5-469F-BD0A-D193289C9F8A}"/>
    <cellStyle name="Entrée 3 2 2 8 2" xfId="26756" xr:uid="{FD805F7B-F5D3-4294-AECA-073EDC5B7AB6}"/>
    <cellStyle name="Entrée 3 2 2 8 2 2" xfId="33596" xr:uid="{D17C2C9C-A6B8-49D7-BEBF-8E17F8E5AAA2}"/>
    <cellStyle name="Entrée 3 2 2 8 3" xfId="28832" xr:uid="{43C28215-5F5A-4112-9951-0E7C7252DF35}"/>
    <cellStyle name="Entrée 3 2 2 8 3 2" xfId="35677" xr:uid="{B515109D-24A7-4B86-B39F-61C78970FE93}"/>
    <cellStyle name="Entrée 3 2 2 8 4" xfId="30914" xr:uid="{F388FC20-024D-4BBB-A717-471CD7734269}"/>
    <cellStyle name="Entrée 3 2 2 9" xfId="25496" xr:uid="{C90A58F3-345C-4694-AF4D-86686C64DE77}"/>
    <cellStyle name="Entrée 3 2 2 9 2" xfId="28163" xr:uid="{2BF4C5CB-566B-4F93-97BD-CBD4142B4BB2}"/>
    <cellStyle name="Entrée 3 2 2 9 2 2" xfId="35008" xr:uid="{5594D0DF-7BD0-468B-A999-57E2AA601C91}"/>
    <cellStyle name="Entrée 3 2 2 9 3" xfId="30244" xr:uid="{C09C2B14-2A6C-4602-8915-7380B9570AC3}"/>
    <cellStyle name="Entrée 3 2 2 9 3 2" xfId="37089" xr:uid="{732C42F5-C019-4CBC-888E-368270550CCE}"/>
    <cellStyle name="Entrée 3 2 2 9 4" xfId="32326" xr:uid="{D68F0818-593F-42D7-9401-2789BF487844}"/>
    <cellStyle name="Entrée 3 2 3" xfId="18611" xr:uid="{E4F6CB21-49A7-4319-9037-9278EC6EAA5D}"/>
    <cellStyle name="Entrée 3 2 3 10" xfId="19705" xr:uid="{9C59F5E2-ED7C-4607-A470-ED710400F578}"/>
    <cellStyle name="Entrée 3 2 3 11" xfId="22525" xr:uid="{0F0DA220-E0D0-41CB-B096-E5E024777020}"/>
    <cellStyle name="Entrée 3 2 3 12" xfId="22747" xr:uid="{870374E5-765B-4407-AC5E-918C255CE9C7}"/>
    <cellStyle name="Entrée 3 2 3 13" xfId="21139" xr:uid="{9C341A56-0B11-4F56-A78B-56933806DBB2}"/>
    <cellStyle name="Entrée 3 2 3 14" xfId="22883" xr:uid="{55104341-4D0A-4F0D-BA6D-A8C7BA336EB2}"/>
    <cellStyle name="Entrée 3 2 3 15" xfId="20022" xr:uid="{4E8632BB-C775-4BCF-BF04-B9CE62749C23}"/>
    <cellStyle name="Entrée 3 2 3 16" xfId="31421" xr:uid="{E99B88F1-D8C7-45CB-8767-B9438DCA7B2D}"/>
    <cellStyle name="Entrée 3 2 3 2" xfId="19856" xr:uid="{ECC13958-8E8D-4E2F-AA16-39C858FDEB1F}"/>
    <cellStyle name="Entrée 3 2 3 2 2" xfId="27259" xr:uid="{79239104-A34D-4701-9BCF-DB55DC2A1200}"/>
    <cellStyle name="Entrée 3 2 3 2 3" xfId="34103" xr:uid="{4A80AE83-9A62-4813-9FFA-FD4F869D9394}"/>
    <cellStyle name="Entrée 3 2 3 3" xfId="21663" xr:uid="{FE953BCA-5AA6-4542-A1D8-21E7CE7D3D20}"/>
    <cellStyle name="Entrée 3 2 3 3 2" xfId="29339" xr:uid="{A7B0F3F0-0A9E-4811-9ADD-73B2DE2616C7}"/>
    <cellStyle name="Entrée 3 2 3 3 3" xfId="36184" xr:uid="{FDA50D72-CA40-4A41-BE6B-EE080625F038}"/>
    <cellStyle name="Entrée 3 2 3 4" xfId="18974" xr:uid="{E77A68FC-4C0D-4652-B36D-5CF531B4D9AC}"/>
    <cellStyle name="Entrée 3 2 3 5" xfId="21554" xr:uid="{31DC3D43-C838-44F7-BF76-F4CE3DE65FED}"/>
    <cellStyle name="Entrée 3 2 3 6" xfId="20316" xr:uid="{FFDD6111-BF6C-4D8B-AC11-3601431C3C12}"/>
    <cellStyle name="Entrée 3 2 3 7" xfId="20234" xr:uid="{A0662076-8789-4802-BA8F-91C94A4E1FDD}"/>
    <cellStyle name="Entrée 3 2 3 8" xfId="20235" xr:uid="{3A6E5F1A-D81C-4C6E-A5FA-E4517D622777}"/>
    <cellStyle name="Entrée 3 2 3 9" xfId="22484" xr:uid="{81730672-63CC-41FE-BE0B-B160E01E199D}"/>
    <cellStyle name="Entrée 3 2 4" xfId="24298" xr:uid="{27350479-AE9A-4701-BBE1-699F3CFDBD8E}"/>
    <cellStyle name="Entrée 3 2 4 2" xfId="26905" xr:uid="{9C5F907A-2FA6-4B06-97E0-7FD48585F84D}"/>
    <cellStyle name="Entrée 3 2 4 2 2" xfId="33745" xr:uid="{A25FD9DB-4D20-4565-B380-B37E7EE63FC2}"/>
    <cellStyle name="Entrée 3 2 4 3" xfId="28981" xr:uid="{88A80B6D-DD82-4307-B704-5F897DD58175}"/>
    <cellStyle name="Entrée 3 2 4 3 2" xfId="35826" xr:uid="{B55E6FAA-200D-4A5B-AAFD-376C567588A9}"/>
    <cellStyle name="Entrée 3 2 4 4" xfId="31063" xr:uid="{1A14C940-B4B4-4CA9-B43D-567949398785}"/>
    <cellStyle name="Entrée 3 2 5" xfId="24276" xr:uid="{8B0CCB80-4C20-435F-8476-2D50A574B26D}"/>
    <cellStyle name="Entrée 3 2 5 2" xfId="26883" xr:uid="{A213FB40-0A70-49E8-B42A-37A99B2A9725}"/>
    <cellStyle name="Entrée 3 2 5 2 2" xfId="33723" xr:uid="{C8A75DE9-F20D-462B-B8D3-6E9EFF632538}"/>
    <cellStyle name="Entrée 3 2 5 3" xfId="28959" xr:uid="{6E3C40FC-4705-41AF-86EF-1D4218807569}"/>
    <cellStyle name="Entrée 3 2 5 3 2" xfId="35804" xr:uid="{E8A517E0-62C7-4260-93D7-0F40370C4747}"/>
    <cellStyle name="Entrée 3 2 5 4" xfId="31041" xr:uid="{22C42974-A9AE-462C-9F8C-364EF4C5643D}"/>
    <cellStyle name="Entrée 3 2 6" xfId="24195" xr:uid="{04873270-9CC1-409C-84FF-FB494CD06F35}"/>
    <cellStyle name="Entrée 3 2 6 2" xfId="26805" xr:uid="{0C9CA73C-8C62-4DA6-9F91-B4B79248C92F}"/>
    <cellStyle name="Entrée 3 2 6 2 2" xfId="33645" xr:uid="{1F39DDB7-CE3C-41F6-B78C-F7026048C230}"/>
    <cellStyle name="Entrée 3 2 6 3" xfId="28881" xr:uid="{020BBE89-CF01-4A97-BF01-2ADC9DB7E052}"/>
    <cellStyle name="Entrée 3 2 6 3 2" xfId="35726" xr:uid="{4181A6F7-FCC8-4827-9870-5F85B55C428A}"/>
    <cellStyle name="Entrée 3 2 6 4" xfId="30963" xr:uid="{21767F7C-D9CF-45B7-AD7E-BD80A8F0F904}"/>
    <cellStyle name="Entrée 3 2 7" xfId="25313" xr:uid="{56485740-9086-441A-B87B-F2E4B3386F90}"/>
    <cellStyle name="Entrée 3 2 7 2" xfId="27983" xr:uid="{693BF8DB-B6ED-43F2-A60D-111BA54FE1CF}"/>
    <cellStyle name="Entrée 3 2 7 2 2" xfId="34828" xr:uid="{8606A85A-FD43-4FC1-9D6D-9C7A72DDB0FE}"/>
    <cellStyle name="Entrée 3 2 7 3" xfId="30064" xr:uid="{B76253C3-E3ED-4D94-B477-B3118B9100AC}"/>
    <cellStyle name="Entrée 3 2 7 3 2" xfId="36909" xr:uid="{0EF5D4CF-1376-42C7-9328-42BB4163B0A3}"/>
    <cellStyle name="Entrée 3 2 7 4" xfId="32146" xr:uid="{C27D2B05-E37E-4606-B5FD-1CD7B4739D86}"/>
    <cellStyle name="Entrée 3 2 8" xfId="25000" xr:uid="{CE246171-7C52-4FFD-AB2B-54C751EC4008}"/>
    <cellStyle name="Entrée 3 2 8 2" xfId="27670" xr:uid="{DA9EFC47-E0B2-4691-ABD6-52C06E796579}"/>
    <cellStyle name="Entrée 3 2 8 2 2" xfId="34515" xr:uid="{15C39133-0877-4313-ABB0-9B29032F7F0A}"/>
    <cellStyle name="Entrée 3 2 8 3" xfId="29751" xr:uid="{6920873E-CB84-4B2B-9DB8-8C6828570427}"/>
    <cellStyle name="Entrée 3 2 8 3 2" xfId="36596" xr:uid="{5C282A49-4167-45AA-9914-40555474803A}"/>
    <cellStyle name="Entrée 3 2 8 4" xfId="31833" xr:uid="{B5386CF5-E7B1-467F-BC78-BEB3B274CE35}"/>
    <cellStyle name="Entrée 3 2 9" xfId="25146" xr:uid="{76DA48C7-D008-4831-A360-7D27582D0B3B}"/>
    <cellStyle name="Entrée 3 2 9 2" xfId="27818" xr:uid="{C8299D5D-3106-4B51-95B0-B784CE360F48}"/>
    <cellStyle name="Entrée 3 2 9 2 2" xfId="34663" xr:uid="{54E09AF4-7F0F-4103-A0F6-8C52C4E68DA3}"/>
    <cellStyle name="Entrée 3 2 9 3" xfId="29899" xr:uid="{C670D911-2B7F-4B8B-B79D-5F1AA84C2A1D}"/>
    <cellStyle name="Entrée 3 2 9 3 2" xfId="36744" xr:uid="{588C467A-7E3E-471E-AFEF-5BE3D1E30140}"/>
    <cellStyle name="Entrée 3 2 9 4" xfId="31981" xr:uid="{E4F2AA77-FB3B-4A95-9FBE-DC057D88EFDD}"/>
    <cellStyle name="Entrée 3 3" xfId="17802" xr:uid="{C517F7F3-68DC-4414-89B5-FFCC3B2274D7}"/>
    <cellStyle name="Entrée 3 3 10" xfId="25633" xr:uid="{9CB5E1E0-DBCA-4E93-AC7C-5FEB1913AF5F}"/>
    <cellStyle name="Entrée 3 3 10 2" xfId="28300" xr:uid="{F23F7103-D3A8-435C-921D-4281587435C1}"/>
    <cellStyle name="Entrée 3 3 10 2 2" xfId="35145" xr:uid="{0FB5C4A1-68ED-42D0-868C-3DDB0595F8FD}"/>
    <cellStyle name="Entrée 3 3 10 3" xfId="30381" xr:uid="{45C46F85-3F51-4C57-B757-0131C78BE46A}"/>
    <cellStyle name="Entrée 3 3 10 3 2" xfId="37226" xr:uid="{16F7CE9A-DECB-4173-B190-41207EEB561A}"/>
    <cellStyle name="Entrée 3 3 10 4" xfId="32463" xr:uid="{2A900658-0CFE-4DEF-BDA8-E90E7CDC45FB}"/>
    <cellStyle name="Entrée 3 3 11" xfId="25738" xr:uid="{BD373CD5-0916-4F1E-9BE2-F8779569048F}"/>
    <cellStyle name="Entrée 3 3 11 2" xfId="28405" xr:uid="{A2C9916A-18A8-4253-9E82-019D5651C90F}"/>
    <cellStyle name="Entrée 3 3 11 2 2" xfId="35250" xr:uid="{A439D26B-3B51-4D3F-93EE-97AB22BA1AAD}"/>
    <cellStyle name="Entrée 3 3 11 3" xfId="30486" xr:uid="{C1CB9D8B-E279-4033-8CA9-F5A0AFFF8C95}"/>
    <cellStyle name="Entrée 3 3 11 3 2" xfId="37331" xr:uid="{9397CDE9-1C22-4F8C-8CC9-2BC1190BA6D1}"/>
    <cellStyle name="Entrée 3 3 11 4" xfId="32568" xr:uid="{5BDC0674-EE55-472B-A83C-CEDC1FE61573}"/>
    <cellStyle name="Entrée 3 3 12" xfId="25812" xr:uid="{D90317AF-8AC0-4C8A-87C7-54A78965A3DD}"/>
    <cellStyle name="Entrée 3 3 12 2" xfId="28478" xr:uid="{1FF864AE-B24F-4D9A-AC24-87BDF84CA291}"/>
    <cellStyle name="Entrée 3 3 12 2 2" xfId="35323" xr:uid="{69A300D5-8F09-4780-A20F-62E1394F8924}"/>
    <cellStyle name="Entrée 3 3 12 3" xfId="30559" xr:uid="{29CBE2DF-F241-4E06-B1CC-4F7C8674B204}"/>
    <cellStyle name="Entrée 3 3 12 3 2" xfId="37404" xr:uid="{30AD5EA4-5B73-4742-AB55-0A51B198A145}"/>
    <cellStyle name="Entrée 3 3 12 4" xfId="32641" xr:uid="{5F857617-53F6-47A1-AAE8-29596C604EBD}"/>
    <cellStyle name="Entrée 3 3 13" xfId="24701" xr:uid="{B55FDB94-790B-45B4-9389-1838E0841BA4}"/>
    <cellStyle name="Entrée 3 3 13 2" xfId="27344" xr:uid="{6B16C297-EC1B-4708-844F-E99D337E6652}"/>
    <cellStyle name="Entrée 3 3 13 2 2" xfId="34188" xr:uid="{0DC8F464-3D46-492F-B423-E867A4697F29}"/>
    <cellStyle name="Entrée 3 3 13 3" xfId="29424" xr:uid="{C422D5A2-49BD-4B83-9602-DB238FD8896B}"/>
    <cellStyle name="Entrée 3 3 13 3 2" xfId="36269" xr:uid="{FBB07AD0-F0FC-47E2-876B-B33FB461723E}"/>
    <cellStyle name="Entrée 3 3 13 4" xfId="31506" xr:uid="{23AAEBDB-BCA1-45CF-B564-170177D1FBAA}"/>
    <cellStyle name="Entrée 3 3 14" xfId="25944" xr:uid="{846B94CD-8CB9-46D5-99FD-3DA86BFA204E}"/>
    <cellStyle name="Entrée 3 3 14 2" xfId="28610" xr:uid="{11B4E2B8-59C6-4C7E-A234-3CFBD90C5F88}"/>
    <cellStyle name="Entrée 3 3 14 2 2" xfId="35455" xr:uid="{F3C2BC6F-641F-4CE6-AF6A-DE6018C6E930}"/>
    <cellStyle name="Entrée 3 3 14 3" xfId="30691" xr:uid="{B463EB20-A691-48BE-A60D-8B4BC3AAA31A}"/>
    <cellStyle name="Entrée 3 3 14 3 2" xfId="37536" xr:uid="{FDFB490F-E2A1-4107-A784-18E6970A5601}"/>
    <cellStyle name="Entrée 3 3 14 4" xfId="32773" xr:uid="{815F7AE5-7716-4780-B824-E7F49B126336}"/>
    <cellStyle name="Entrée 3 3 15" xfId="25998" xr:uid="{D44CFE65-7633-4CE5-913A-C646793DA19B}"/>
    <cellStyle name="Entrée 3 3 15 2" xfId="28664" xr:uid="{80D2EFEB-486D-41C6-BA07-B3FA12979E84}"/>
    <cellStyle name="Entrée 3 3 15 2 2" xfId="35509" xr:uid="{CC227673-030C-4308-9A12-4C5679307283}"/>
    <cellStyle name="Entrée 3 3 15 3" xfId="30745" xr:uid="{721A1E85-EC0A-43E5-AB50-204B81BB826E}"/>
    <cellStyle name="Entrée 3 3 15 3 2" xfId="37590" xr:uid="{72939728-E494-415A-8867-3364B1AD3765}"/>
    <cellStyle name="Entrée 3 3 15 4" xfId="32827" xr:uid="{1B2F4B31-6454-4A78-845A-126DB3FBF91C}"/>
    <cellStyle name="Entrée 3 3 16" xfId="24706" xr:uid="{EF8B0F01-93DD-4E38-AF10-CEAF7BAAB4C2}"/>
    <cellStyle name="Entrée 3 3 2" xfId="18458" xr:uid="{72BAE430-59FE-4ADA-9FBD-9DEA5F08A20D}"/>
    <cellStyle name="Entrée 3 3 2 10" xfId="21163" xr:uid="{B82EABCE-7B83-4813-9C5E-AAF1ECCBF971}"/>
    <cellStyle name="Entrée 3 3 2 11" xfId="22266" xr:uid="{9CD2C982-8B3C-4DA6-A2E9-41965BCAF3FD}"/>
    <cellStyle name="Entrée 3 3 2 12" xfId="21046" xr:uid="{60FA8F2A-163D-4271-89A1-E87A1028F62C}"/>
    <cellStyle name="Entrée 3 3 2 13" xfId="22606" xr:uid="{C4D4B567-41B8-410C-9711-491446890EB7}"/>
    <cellStyle name="Entrée 3 3 2 14" xfId="22533" xr:uid="{B2957EC3-1C66-4E66-9CDA-DF1B8949634E}"/>
    <cellStyle name="Entrée 3 3 2 15" xfId="23002" xr:uid="{FA5DBC62-6D67-41F7-B5F2-443029AAB194}"/>
    <cellStyle name="Entrée 3 3 2 16" xfId="31622" xr:uid="{947DAE9B-7EEA-4B3E-B197-22C5AF062AB7}"/>
    <cellStyle name="Entrée 3 3 2 2" xfId="19918" xr:uid="{BB632F57-E4E3-4488-B087-CBD06FE681CC}"/>
    <cellStyle name="Entrée 3 3 2 2 2" xfId="27460" xr:uid="{C18401DE-EC47-4CD3-9EE2-40A23D708B04}"/>
    <cellStyle name="Entrée 3 3 2 2 3" xfId="34304" xr:uid="{C2CAEBFB-7C2F-4B3C-81BA-C2F43F55B1F4}"/>
    <cellStyle name="Entrée 3 3 2 3" xfId="19611" xr:uid="{0868FA24-E605-4A98-A243-9BF2F8C24B22}"/>
    <cellStyle name="Entrée 3 3 2 3 2" xfId="29540" xr:uid="{DBC55C3E-865C-4625-BE7F-7ED763240FF8}"/>
    <cellStyle name="Entrée 3 3 2 3 3" xfId="36385" xr:uid="{AAD6F988-A32F-4D54-95F5-507EC9ED863E}"/>
    <cellStyle name="Entrée 3 3 2 4" xfId="19713" xr:uid="{BC131D4A-269F-4C71-AEA5-D2E6EB8291A9}"/>
    <cellStyle name="Entrée 3 3 2 5" xfId="20091" xr:uid="{7BF16A6F-C4D3-4640-98A1-85F5D9B5F57F}"/>
    <cellStyle name="Entrée 3 3 2 6" xfId="21905" xr:uid="{A8675D2A-5F62-40C4-97EB-149A29EF5BE9}"/>
    <cellStyle name="Entrée 3 3 2 7" xfId="22014" xr:uid="{2851C0D4-D0F8-41B0-AAF7-003FE52CA778}"/>
    <cellStyle name="Entrée 3 3 2 8" xfId="19689" xr:uid="{98BDC7A7-ADC6-4CE0-A170-74E3271EE7ED}"/>
    <cellStyle name="Entrée 3 3 2 9" xfId="18886" xr:uid="{44F281EB-B8C0-4F96-823D-811646D4D67B}"/>
    <cellStyle name="Entrée 3 3 3" xfId="24739" xr:uid="{1C68EBA2-6D92-4479-B446-A5660EC81533}"/>
    <cellStyle name="Entrée 3 3 3 2" xfId="27388" xr:uid="{2095A8FC-5F36-4AD4-B30E-DA1938C43C84}"/>
    <cellStyle name="Entrée 3 3 3 2 2" xfId="34232" xr:uid="{0630E4A5-729E-4EF9-AAA2-107491C1CD91}"/>
    <cellStyle name="Entrée 3 3 3 3" xfId="29468" xr:uid="{F1261B40-43D3-4293-A964-3543054C5D7B}"/>
    <cellStyle name="Entrée 3 3 3 3 2" xfId="36313" xr:uid="{9684373C-4BDC-4E0C-93D8-114ED4267CB0}"/>
    <cellStyle name="Entrée 3 3 3 4" xfId="31550" xr:uid="{4CA8D1DB-5469-4C68-8BA9-3355EAAAD370}"/>
    <cellStyle name="Entrée 3 3 4" xfId="25086" xr:uid="{3278ECE1-44F0-433F-A704-2D446407143C}"/>
    <cellStyle name="Entrée 3 3 4 2" xfId="27758" xr:uid="{CF630DA4-3CF8-4382-86CF-FF4C77790B95}"/>
    <cellStyle name="Entrée 3 3 4 2 2" xfId="34603" xr:uid="{37B7C2DC-9790-442F-A031-96DAD7ED3294}"/>
    <cellStyle name="Entrée 3 3 4 3" xfId="29839" xr:uid="{A35E2B38-FDFE-4595-ABDC-0740E148462B}"/>
    <cellStyle name="Entrée 3 3 4 3 2" xfId="36684" xr:uid="{511C3F5C-6C93-4A2F-8524-19669C748D08}"/>
    <cellStyle name="Entrée 3 3 4 4" xfId="31921" xr:uid="{C604B9C4-17DD-4D9D-9801-00E7C44C001D}"/>
    <cellStyle name="Entrée 3 3 5" xfId="24486" xr:uid="{53EEAB6D-951B-4D36-8E72-EE5AA516F99C}"/>
    <cellStyle name="Entrée 3 3 5 2" xfId="27098" xr:uid="{8D27397C-4FB4-416D-9D38-694DA2C188F1}"/>
    <cellStyle name="Entrée 3 3 5 2 2" xfId="33938" xr:uid="{6FD678F2-30B3-4C11-B35F-245730B22BC9}"/>
    <cellStyle name="Entrée 3 3 5 3" xfId="29174" xr:uid="{4AE17BAF-E0E5-4370-A14B-0B56BF9A3F73}"/>
    <cellStyle name="Entrée 3 3 5 3 2" xfId="36019" xr:uid="{8ECE9C7F-639B-445C-B196-10BAD5248AC7}"/>
    <cellStyle name="Entrée 3 3 5 4" xfId="31256" xr:uid="{CC42A240-44F4-4C0A-8752-C8B5AEB1BF60}"/>
    <cellStyle name="Entrée 3 3 6" xfId="24509" xr:uid="{5F58EDE8-9F80-4631-8865-31871DA39682}"/>
    <cellStyle name="Entrée 3 3 6 2" xfId="27118" xr:uid="{AF36C548-D1BB-4537-89A3-15BF75F51651}"/>
    <cellStyle name="Entrée 3 3 6 2 2" xfId="33958" xr:uid="{505DC711-5DF1-4571-8EC7-A82F22CA7E6F}"/>
    <cellStyle name="Entrée 3 3 6 3" xfId="29194" xr:uid="{96F3A56A-7F71-4A4B-B5B7-32090D251783}"/>
    <cellStyle name="Entrée 3 3 6 3 2" xfId="36039" xr:uid="{1720C241-8760-45A4-A401-B67361BCF72F}"/>
    <cellStyle name="Entrée 3 3 6 4" xfId="31276" xr:uid="{BD9B139D-22C6-4D8C-8D39-E62954A4D003}"/>
    <cellStyle name="Entrée 3 3 7" xfId="24893" xr:uid="{3B3049F3-3430-4398-B48D-D77EE9445521}"/>
    <cellStyle name="Entrée 3 3 7 2" xfId="27561" xr:uid="{E05A6F30-0A6D-4466-9014-F37C26C93151}"/>
    <cellStyle name="Entrée 3 3 7 2 2" xfId="34405" xr:uid="{19239783-9D9A-4F38-9C61-C34E0A808A78}"/>
    <cellStyle name="Entrée 3 3 7 3" xfId="29641" xr:uid="{FC3244D7-888B-4495-AC9A-77F69F37A248}"/>
    <cellStyle name="Entrée 3 3 7 3 2" xfId="36486" xr:uid="{30B81D5A-930A-4FC2-9DD9-6514BFC56FC3}"/>
    <cellStyle name="Entrée 3 3 7 4" xfId="31723" xr:uid="{71176B52-9F46-4FEC-8BFA-4FCE171787CC}"/>
    <cellStyle name="Entrée 3 3 8" xfId="25295" xr:uid="{C1BC89DF-61DD-42F2-8A07-A854FD7DFB8B}"/>
    <cellStyle name="Entrée 3 3 8 2" xfId="27966" xr:uid="{B7EE73C4-2C35-4BEF-A1CA-1A3E37E17241}"/>
    <cellStyle name="Entrée 3 3 8 2 2" xfId="34811" xr:uid="{764C0BD9-63D0-429A-8F07-F61132817932}"/>
    <cellStyle name="Entrée 3 3 8 3" xfId="30047" xr:uid="{AD56BA4D-99CA-43BB-B253-634788E2B31B}"/>
    <cellStyle name="Entrée 3 3 8 3 2" xfId="36892" xr:uid="{B74151DD-A552-41E3-B6AB-5BBDD199AEEA}"/>
    <cellStyle name="Entrée 3 3 8 4" xfId="32129" xr:uid="{E89E444E-154B-48DA-9EB9-A47A0ED6BC50}"/>
    <cellStyle name="Entrée 3 3 9" xfId="24043" xr:uid="{8ED0AE45-E4D2-45BE-A936-9A59C3592341}"/>
    <cellStyle name="Entrée 3 3 9 2" xfId="26657" xr:uid="{560F9B2A-7342-421C-A92A-F3B73411FA02}"/>
    <cellStyle name="Entrée 3 3 9 2 2" xfId="33497" xr:uid="{1A92EB21-CC88-4A6A-9ABF-B35DFA5105A7}"/>
    <cellStyle name="Entrée 3 3 9 3" xfId="28733" xr:uid="{6476F9C6-636D-45F4-A68A-50DE1E20ECFF}"/>
    <cellStyle name="Entrée 3 3 9 3 2" xfId="35578" xr:uid="{F9975D61-119A-40E6-A632-50D5034109A4}"/>
    <cellStyle name="Entrée 3 3 9 4" xfId="30815" xr:uid="{B077EBF4-4A59-4894-8437-9794D8CBE0C8}"/>
    <cellStyle name="Entrée 3 4" xfId="18631" xr:uid="{F6C9F9DF-B749-4DFE-8C43-B8C1F11F0963}"/>
    <cellStyle name="Entrée 3 4 10" xfId="20751" xr:uid="{6FB237E9-AB05-4190-BB9C-2F72DEFB19C5}"/>
    <cellStyle name="Entrée 3 4 11" xfId="20702" xr:uid="{092E7BFB-30B9-4ED2-9525-58E32BA0C7C5}"/>
    <cellStyle name="Entrée 3 4 12" xfId="22765" xr:uid="{4D9069B8-EDD3-4D9D-A36E-980DB5FDA823}"/>
    <cellStyle name="Entrée 3 4 13" xfId="19616" xr:uid="{0C757313-8E3A-4E06-B33F-00CBF3313FF6}"/>
    <cellStyle name="Entrée 3 4 14" xfId="22901" xr:uid="{463F7CEC-9124-47F4-8AD9-CFB7721A1AFB}"/>
    <cellStyle name="Entrée 3 4 15" xfId="20743" xr:uid="{28758BBE-F406-425A-A839-3A1C85FC515E}"/>
    <cellStyle name="Entrée 3 4 16" xfId="31490" xr:uid="{CC067D63-7534-4DA2-95A4-6AB39BB99D57}"/>
    <cellStyle name="Entrée 3 4 2" xfId="19839" xr:uid="{7DD5A90B-B530-4B02-A950-D2B33424D320}"/>
    <cellStyle name="Entrée 3 4 2 2" xfId="27328" xr:uid="{39842E87-6814-41B0-9843-702F251F4E86}"/>
    <cellStyle name="Entrée 3 4 2 3" xfId="34172" xr:uid="{901D7D2F-77AB-4EB3-B01D-F87D7459FAA8}"/>
    <cellStyle name="Entrée 3 4 3" xfId="19471" xr:uid="{CA7344E1-801E-434C-A13B-D64A002A6CFD}"/>
    <cellStyle name="Entrée 3 4 3 2" xfId="29408" xr:uid="{96CA84A0-12B1-4038-B251-A6C843970E2E}"/>
    <cellStyle name="Entrée 3 4 3 3" xfId="36253" xr:uid="{E05E5B82-83AF-4FD3-9DCD-BC8B7B17CFA3}"/>
    <cellStyle name="Entrée 3 4 4" xfId="21680" xr:uid="{44915190-0D16-48C7-8F33-5BA7BD6B81D3}"/>
    <cellStyle name="Entrée 3 4 5" xfId="20763" xr:uid="{CF3AD248-883B-4191-A0FB-01E64F6DE295}"/>
    <cellStyle name="Entrée 3 4 6" xfId="19958" xr:uid="{DB3500EF-E881-4181-B3DB-8C92FC586D92}"/>
    <cellStyle name="Entrée 3 4 7" xfId="19481" xr:uid="{963549C4-69F1-4863-84AD-DE28DDBB8F2D}"/>
    <cellStyle name="Entrée 3 4 8" xfId="20722" xr:uid="{CF40B5A4-CC78-452A-B406-F190620C96A7}"/>
    <cellStyle name="Entrée 3 4 9" xfId="22502" xr:uid="{157C0BEC-4DAE-48B3-845D-853F03BA3206}"/>
    <cellStyle name="Entrée 3 5" xfId="24576" xr:uid="{1A0EA0E8-9DBC-4DF7-9D44-0A32A056E6AE}"/>
    <cellStyle name="Entrée 3 5 2" xfId="27167" xr:uid="{C4A433F8-F8D1-4A23-BCE9-4FEE32AF14C7}"/>
    <cellStyle name="Entrée 3 5 2 2" xfId="34008" xr:uid="{E5BEB9E3-CDA9-4742-8359-93839464A2F5}"/>
    <cellStyle name="Entrée 3 5 3" xfId="29244" xr:uid="{FF5482D0-AE5C-4C99-904B-7C88E4E7F95A}"/>
    <cellStyle name="Entrée 3 5 3 2" xfId="36089" xr:uid="{DE475939-1E09-4CFE-8E34-50F07FDF3259}"/>
    <cellStyle name="Entrée 3 5 4" xfId="31326" xr:uid="{84F2DD24-71B7-4416-9E1E-EB38A9009E08}"/>
    <cellStyle name="Entrée 3 6" xfId="24366" xr:uid="{CBEAE010-A1A7-48D6-8217-41813DCF9D93}"/>
    <cellStyle name="Entrée 3 6 2" xfId="26973" xr:uid="{5C90FD92-9EA5-4B11-9AF1-5E5046CA5A9B}"/>
    <cellStyle name="Entrée 3 6 2 2" xfId="33813" xr:uid="{93A75BE4-B6ED-42ED-A09E-EBDA8FD5970E}"/>
    <cellStyle name="Entrée 3 6 3" xfId="29049" xr:uid="{23FF0029-2DC2-4996-A9D3-B4C9E4373CAD}"/>
    <cellStyle name="Entrée 3 6 3 2" xfId="35894" xr:uid="{D284464C-2AF6-48D8-B6F3-A8F90A14CA3F}"/>
    <cellStyle name="Entrée 3 6 4" xfId="31131" xr:uid="{05D2CD60-E58E-4039-9D3C-9125330DC294}"/>
    <cellStyle name="Entrée 3 7" xfId="23815" xr:uid="{8AD62FCA-7B6B-4FD4-8BF7-B024E0C3D781}"/>
    <cellStyle name="Entrée 3 7 2" xfId="26434" xr:uid="{2490AFD9-3EB5-41C8-9813-BE25B85C6BDF}"/>
    <cellStyle name="Entrée 3 7 2 2" xfId="33274" xr:uid="{E40C9A76-BC2E-402F-9004-593861B5D51B}"/>
    <cellStyle name="Entrée 3 7 3" xfId="26248" xr:uid="{643E2D47-34C2-45A5-B211-B82A38174393}"/>
    <cellStyle name="Entrée 3 7 3 2" xfId="33076" xr:uid="{5F74BD5B-9544-4F75-BADE-D5BD76D2D79F}"/>
    <cellStyle name="Entrée 3 7 4" xfId="23370" xr:uid="{BC0C9A90-6808-4366-8A4C-1CF712C153CB}"/>
    <cellStyle name="Entrée 3 8" xfId="24517" xr:uid="{26A1CD65-4CFB-4AB0-B2CB-4DBC553D5918}"/>
    <cellStyle name="Entrée 3 8 2" xfId="27122" xr:uid="{CF1C1F0E-FB43-4070-85A3-9D6217017A3E}"/>
    <cellStyle name="Entrée 3 8 2 2" xfId="33962" xr:uid="{5B877EFC-9F5A-49A4-8299-93575F4B5DDC}"/>
    <cellStyle name="Entrée 3 8 3" xfId="29198" xr:uid="{59E2F89B-97E8-46E4-BCC2-EEDEC18468C5}"/>
    <cellStyle name="Entrée 3 8 3 2" xfId="36043" xr:uid="{542BAAF1-650E-46CE-8B31-C6EE165C826F}"/>
    <cellStyle name="Entrée 3 8 4" xfId="31280" xr:uid="{CF00E8AE-79DB-4C36-92A0-1ADC669DB34F}"/>
    <cellStyle name="Entrée 3 9" xfId="23919" xr:uid="{8318A11D-0637-4AAB-BC74-C7E2CE25425A}"/>
    <cellStyle name="Entrée 3 9 2" xfId="26537" xr:uid="{8F4B534C-8D7D-4890-8EB8-6B87851D4545}"/>
    <cellStyle name="Entrée 3 9 2 2" xfId="33377" xr:uid="{C4D580FA-04E6-4F33-B296-82E5BDA9534C}"/>
    <cellStyle name="Entrée 3 9 3" xfId="26148" xr:uid="{7961E283-3991-4D0D-BBFC-2A3065EB355E}"/>
    <cellStyle name="Entrée 3 9 3 2" xfId="32976" xr:uid="{F5BE654A-5FD4-44FE-BE3C-BF7EC18B0EC8}"/>
    <cellStyle name="Entrée 3 9 4" xfId="23270" xr:uid="{744D94D7-8AA0-4B3F-9AB9-DAB84DE373B1}"/>
    <cellStyle name="Entrée 4" xfId="17592" xr:uid="{95DF3AFC-7495-4F6D-9C32-CA6C8C25A3BE}"/>
    <cellStyle name="Entrée 4 10" xfId="23768" xr:uid="{A53B1705-0BC0-4021-92B8-96BD37F037D1}"/>
    <cellStyle name="Entrée 4 10 2" xfId="26379" xr:uid="{471F63C4-CC45-48A7-A2CB-D1577745B875}"/>
    <cellStyle name="Entrée 4 10 2 2" xfId="33218" xr:uid="{16528758-829A-474D-B941-D2BC75154A5D}"/>
    <cellStyle name="Entrée 4 10 3" xfId="26303" xr:uid="{EA207CAA-86BC-4524-BC88-6FCFF1834962}"/>
    <cellStyle name="Entrée 4 10 3 2" xfId="33131" xr:uid="{D4918395-E7E1-4982-BC3E-74CF366DB65A}"/>
    <cellStyle name="Entrée 4 10 4" xfId="23425" xr:uid="{6DC44D5F-61DF-40FB-BEBB-EBE87884536B}"/>
    <cellStyle name="Entrée 4 11" xfId="25550" xr:uid="{026F1A48-63CA-44A6-B639-E6168C72755F}"/>
    <cellStyle name="Entrée 4 11 2" xfId="28217" xr:uid="{B747C580-F5DF-4678-BB63-A02AD6B38602}"/>
    <cellStyle name="Entrée 4 11 2 2" xfId="35062" xr:uid="{E4B1C055-B14D-4E5E-A0B2-893198710C35}"/>
    <cellStyle name="Entrée 4 11 3" xfId="30298" xr:uid="{D2D5179D-1907-489F-93AB-B33F3718786A}"/>
    <cellStyle name="Entrée 4 11 3 2" xfId="37143" xr:uid="{79737A7D-620B-4EBA-B7EE-F702C45DEF98}"/>
    <cellStyle name="Entrée 4 11 4" xfId="32380" xr:uid="{1042EC43-C83F-456A-834B-B133920C4911}"/>
    <cellStyle name="Entrée 4 12" xfId="25710" xr:uid="{4FAD4B3F-5266-4A09-92B8-9B6C75030FE5}"/>
    <cellStyle name="Entrée 4 12 2" xfId="28377" xr:uid="{A11B0263-02EB-4B10-9EA2-018A85ECF261}"/>
    <cellStyle name="Entrée 4 12 2 2" xfId="35222" xr:uid="{2AD70BE8-3F99-45CC-AAAE-9439DC731D3C}"/>
    <cellStyle name="Entrée 4 12 3" xfId="30458" xr:uid="{6FC75E97-1A37-4C32-BF41-A314B3E8C995}"/>
    <cellStyle name="Entrée 4 12 3 2" xfId="37303" xr:uid="{CD965A8D-845A-4469-90A2-4CE01393C700}"/>
    <cellStyle name="Entrée 4 12 4" xfId="32540" xr:uid="{716E2317-8B91-4D81-A054-30F26803C09C}"/>
    <cellStyle name="Entrée 4 13" xfId="25793" xr:uid="{FF379C18-AB38-4A59-BB96-5E49FB9DAC8C}"/>
    <cellStyle name="Entrée 4 13 2" xfId="28459" xr:uid="{ED7A696E-809D-411B-A936-F5B0A543D022}"/>
    <cellStyle name="Entrée 4 13 2 2" xfId="35304" xr:uid="{4F78F127-564A-48D0-92A6-0D7A6E36D816}"/>
    <cellStyle name="Entrée 4 13 3" xfId="30540" xr:uid="{4B38907A-B791-4267-97B6-2365D521C8E3}"/>
    <cellStyle name="Entrée 4 13 3 2" xfId="37385" xr:uid="{D9D69ACC-FA78-47B3-8BD6-5FF767A38BB0}"/>
    <cellStyle name="Entrée 4 13 4" xfId="32622" xr:uid="{3AEB3641-BCBD-4355-BF35-2E89CFD12684}"/>
    <cellStyle name="Entrée 4 14" xfId="25782" xr:uid="{0E51DAC8-65FD-490F-B501-6909DF549E86}"/>
    <cellStyle name="Entrée 4 14 2" xfId="28448" xr:uid="{D39CB316-F8C7-49CC-80A7-78D7C2AFC171}"/>
    <cellStyle name="Entrée 4 14 2 2" xfId="35293" xr:uid="{D7C2C08D-52FF-4204-B2B1-9F0E91CB73EB}"/>
    <cellStyle name="Entrée 4 14 3" xfId="30529" xr:uid="{F292BD05-C50E-4ED0-BDA8-22F436B79D8A}"/>
    <cellStyle name="Entrée 4 14 3 2" xfId="37374" xr:uid="{5B3B1F65-0346-4545-9D10-281C37510839}"/>
    <cellStyle name="Entrée 4 14 4" xfId="32611" xr:uid="{830E918B-B779-4132-B434-A00D508AC121}"/>
    <cellStyle name="Entrée 4 15" xfId="23905" xr:uid="{EB7F1996-A661-481F-B1E0-33C7609A954E}"/>
    <cellStyle name="Entrée 4 15 2" xfId="26523" xr:uid="{0BE8E138-3362-4611-B458-F4BA85B9AE4A}"/>
    <cellStyle name="Entrée 4 15 2 2" xfId="33363" xr:uid="{58076EA3-44F2-44B1-A86D-CB51E8D2CE7B}"/>
    <cellStyle name="Entrée 4 15 3" xfId="26161" xr:uid="{8235A98E-C9DB-4ED2-BF6D-AC57351E93AA}"/>
    <cellStyle name="Entrée 4 15 3 2" xfId="32989" xr:uid="{D78374F3-F061-468B-8FF8-231381FE0296}"/>
    <cellStyle name="Entrée 4 15 4" xfId="23283" xr:uid="{B232BD6D-E7AF-4749-87A0-49FB89C2728A}"/>
    <cellStyle name="Entrée 4 16" xfId="23618" xr:uid="{F87361BF-EA89-4BD6-93DB-737109296D32}"/>
    <cellStyle name="Entrée 4 2" xfId="18593" xr:uid="{4870E8BC-2C73-4A11-B439-2B1EB7D50883}"/>
    <cellStyle name="Entrée 4 2 10" xfId="21140" xr:uid="{A6E104AC-E0DD-47EA-9F6F-904F1B8E8357}"/>
    <cellStyle name="Entrée 4 2 11" xfId="22520" xr:uid="{BA88E35E-3E3B-4FEE-B60B-B732ECCDD4BE}"/>
    <cellStyle name="Entrée 4 2 12" xfId="22738" xr:uid="{0261459F-2604-4848-A4C4-024DD6B99582}"/>
    <cellStyle name="Entrée 4 2 13" xfId="19351" xr:uid="{4B199A57-C0A9-45F6-8783-CD9EE1F71316}"/>
    <cellStyle name="Entrée 4 2 14" xfId="22874" xr:uid="{326C641A-B51E-463E-A275-0367AB6CCE56}"/>
    <cellStyle name="Entrée 4 2 15" xfId="19506" xr:uid="{1306A315-C8A6-44DB-AED2-AD0535D49094}"/>
    <cellStyle name="Entrée 4 2 16" xfId="31290" xr:uid="{D8DCEE76-B086-49CD-B9AC-470BD994202C}"/>
    <cellStyle name="Entrée 4 2 2" xfId="19866" xr:uid="{5537CC37-AA08-45C0-890F-9DFCA803CEA0}"/>
    <cellStyle name="Entrée 4 2 2 2" xfId="27132" xr:uid="{BF3ED958-527E-4CB3-B866-8FC2F1EE8641}"/>
    <cellStyle name="Entrée 4 2 2 3" xfId="33972" xr:uid="{E09EE6AD-B414-4CFD-A123-547C5D50FD87}"/>
    <cellStyle name="Entrée 4 2 3" xfId="21043" xr:uid="{63CA334A-0870-4103-84C9-9E0C7F6CB674}"/>
    <cellStyle name="Entrée 4 2 3 2" xfId="29208" xr:uid="{D7D188BB-1990-4F18-A13A-8CD5B730CDFA}"/>
    <cellStyle name="Entrée 4 2 3 3" xfId="36053" xr:uid="{BC9121B3-7C2C-4115-A854-FF47CE551BA4}"/>
    <cellStyle name="Entrée 4 2 4" xfId="20406" xr:uid="{8153C3FB-4C82-4292-A5D9-CF848D913236}"/>
    <cellStyle name="Entrée 4 2 5" xfId="18955" xr:uid="{7197A902-3DDA-4E2F-AB8E-F049C65A2D1A}"/>
    <cellStyle name="Entrée 4 2 6" xfId="20371" xr:uid="{F42AFDBE-0AD9-4FAD-9F8F-0A0B2B1858B8}"/>
    <cellStyle name="Entrée 4 2 7" xfId="19305" xr:uid="{B9770C6B-6313-4754-BAF8-975BAE4D0264}"/>
    <cellStyle name="Entrée 4 2 8" xfId="20504" xr:uid="{A182676A-3F14-4057-85FC-054D52605FED}"/>
    <cellStyle name="Entrée 4 2 9" xfId="22473" xr:uid="{B5E52728-DBA6-4137-81D1-286D71F49E5D}"/>
    <cellStyle name="Entrée 4 3" xfId="24380" xr:uid="{1F96AA85-57B1-4751-88CB-412FAAEB3084}"/>
    <cellStyle name="Entrée 4 3 2" xfId="26995" xr:uid="{DC87F3E7-4D1C-431C-9AAC-D0F801760696}"/>
    <cellStyle name="Entrée 4 3 2 2" xfId="33835" xr:uid="{41050C78-0165-4E67-A341-6406BE2C9FCD}"/>
    <cellStyle name="Entrée 4 3 3" xfId="29071" xr:uid="{24668209-5B68-41B8-95A4-2730EDFE70D0}"/>
    <cellStyle name="Entrée 4 3 3 2" xfId="35916" xr:uid="{7BBA445F-4D3A-4073-B9DE-3CB18F747436}"/>
    <cellStyle name="Entrée 4 3 4" xfId="31153" xr:uid="{B54727A9-61B0-4636-B104-6A383A0A3185}"/>
    <cellStyle name="Entrée 4 4" xfId="24316" xr:uid="{CB3AFCBD-5489-4796-BAEE-6ECC8DE0A5B1}"/>
    <cellStyle name="Entrée 4 4 2" xfId="26922" xr:uid="{62265ACF-991B-4A50-BE52-43FFDA4F0015}"/>
    <cellStyle name="Entrée 4 4 2 2" xfId="33762" xr:uid="{7E87CD39-4894-49F1-97D0-E9024CA84501}"/>
    <cellStyle name="Entrée 4 4 3" xfId="28998" xr:uid="{13E05015-C416-4BCB-86B8-14928D7FC16A}"/>
    <cellStyle name="Entrée 4 4 3 2" xfId="35843" xr:uid="{E90619FC-1377-411D-98F9-09032DFA012E}"/>
    <cellStyle name="Entrée 4 4 4" xfId="31080" xr:uid="{44192E76-4F0A-4DF5-9EC0-BE4DEE7026FA}"/>
    <cellStyle name="Entrée 4 5" xfId="23869" xr:uid="{5B5D886B-617B-4CDC-9722-AF765358EC83}"/>
    <cellStyle name="Entrée 4 5 2" xfId="26488" xr:uid="{7D73E276-925E-4A25-B981-CB85CFA64B91}"/>
    <cellStyle name="Entrée 4 5 2 2" xfId="33328" xr:uid="{DE5E4514-37C4-40CC-AE51-95AC1B4CD2CC}"/>
    <cellStyle name="Entrée 4 5 3" xfId="26057" xr:uid="{A8529BEF-AD4F-4AB9-B8A6-7AD0F7F715DB}"/>
    <cellStyle name="Entrée 4 5 3 2" xfId="32886" xr:uid="{9A018EFD-AB5E-4029-8824-D3B6F44135EB}"/>
    <cellStyle name="Entrée 4 5 4" xfId="23318" xr:uid="{3EECA08D-2DA2-44EB-A446-B80E85E3B4B0}"/>
    <cellStyle name="Entrée 4 6" xfId="24162" xr:uid="{A912B232-E9DB-4860-9D80-776FFFBFD9A0}"/>
    <cellStyle name="Entrée 4 6 2" xfId="26774" xr:uid="{C6A7A959-C33C-4820-92C2-A0943F1B1D84}"/>
    <cellStyle name="Entrée 4 6 2 2" xfId="33614" xr:uid="{5F79D415-8C57-4783-9142-008957732693}"/>
    <cellStyle name="Entrée 4 6 3" xfId="28850" xr:uid="{D66F070D-435E-410C-8C62-32C14BAED6E0}"/>
    <cellStyle name="Entrée 4 6 3 2" xfId="35695" xr:uid="{22E4947C-78A4-44A7-BAEA-EB8427AFCCB7}"/>
    <cellStyle name="Entrée 4 6 4" xfId="30932" xr:uid="{4981AB9C-8FF6-4296-B0D6-E80F79E60468}"/>
    <cellStyle name="Entrée 4 7" xfId="24859" xr:uid="{B69AB62C-3130-4F21-96B8-AD9658EC4889}"/>
    <cellStyle name="Entrée 4 7 2" xfId="27522" xr:uid="{858E4FD8-8749-4E39-A361-D66E8B051533}"/>
    <cellStyle name="Entrée 4 7 2 2" xfId="34366" xr:uid="{2E053BDB-E03A-4F52-8205-C9C8FB5DB37D}"/>
    <cellStyle name="Entrée 4 7 3" xfId="29602" xr:uid="{6F569EAD-ADD8-4C46-9F38-C56ECE0229B7}"/>
    <cellStyle name="Entrée 4 7 3 2" xfId="36447" xr:uid="{5F50E10E-A45E-4B7E-9AE9-96F47322C844}"/>
    <cellStyle name="Entrée 4 7 4" xfId="31684" xr:uid="{3D7E6C30-AE09-434D-A4A0-C4A7526DA6D7}"/>
    <cellStyle name="Entrée 4 8" xfId="23910" xr:uid="{157AED82-F22B-4FDC-AFAD-273A448B037C}"/>
    <cellStyle name="Entrée 4 8 2" xfId="26528" xr:uid="{8B400A5F-F629-446D-B68A-A4BA1326FC90}"/>
    <cellStyle name="Entrée 4 8 2 2" xfId="33368" xr:uid="{C99D0D17-6EAB-4508-92E4-563D34996194}"/>
    <cellStyle name="Entrée 4 8 3" xfId="26156" xr:uid="{2FE23038-DEA6-4694-A8B8-226A6D138B2C}"/>
    <cellStyle name="Entrée 4 8 3 2" xfId="32984" xr:uid="{DD621413-8A9E-4965-BE18-9E2289A29E5E}"/>
    <cellStyle name="Entrée 4 8 4" xfId="23279" xr:uid="{8E22D734-1791-4F1D-ABCE-5AD93BFB467B}"/>
    <cellStyle name="Entrée 4 9" xfId="23952" xr:uid="{28C89527-8819-49EB-ACF7-F54187056289}"/>
    <cellStyle name="Entrée 4 9 2" xfId="26570" xr:uid="{73B55D2B-7B8C-45E8-8B52-4CBC0886F1A1}"/>
    <cellStyle name="Entrée 4 9 2 2" xfId="33410" xr:uid="{FFCFDA33-89B8-409F-8D1A-87DEF2BAF140}"/>
    <cellStyle name="Entrée 4 9 3" xfId="26115" xr:uid="{ABA7B0A8-F0B2-4551-8498-C93DA486B0E7}"/>
    <cellStyle name="Entrée 4 9 3 2" xfId="32943" xr:uid="{01AFE600-86B3-47AD-9DD3-4FE0D724EFC2}"/>
    <cellStyle name="Entrée 4 9 4" xfId="23157" xr:uid="{C13F5F92-C1F5-4D7E-956D-0FAFD5A614C1}"/>
    <cellStyle name="Entrée 5" xfId="17392" xr:uid="{476052C1-8A6F-41CE-95BC-A1FA3063B90A}"/>
    <cellStyle name="Entrée 5 2" xfId="26344" xr:uid="{5230D165-F44C-4720-B1F4-ECEA048C9AEC}"/>
    <cellStyle name="Entrée 5 2 2" xfId="33175" xr:uid="{6D19C583-8237-4FD0-BBC2-02909CED6AD9}"/>
    <cellStyle name="Entrée 5 3" xfId="26347" xr:uid="{0E1510A5-D9FA-445F-B55A-31297A4C44A9}"/>
    <cellStyle name="Entrée 5 3 2" xfId="33178" xr:uid="{391CD547-8708-47A5-B33D-D03A3C7A577D}"/>
    <cellStyle name="Entrée 5 4" xfId="23489" xr:uid="{CB2FBE6E-A225-4E11-B1B6-9D0F7F6726C5}"/>
    <cellStyle name="Entrée 5 5" xfId="23166" xr:uid="{0F5E0B77-330A-45D4-A3CA-BB7F3FB3BB76}"/>
    <cellStyle name="Entrée 6" xfId="24306" xr:uid="{048A6538-0E7A-4B46-B500-2530E8552DAC}"/>
    <cellStyle name="Entrée 6 2" xfId="26912" xr:uid="{B93A7485-9024-48E0-AA36-4201E389EE88}"/>
    <cellStyle name="Entrée 6 2 2" xfId="33752" xr:uid="{F89317A4-D711-45C1-90EB-DC32A84FB575}"/>
    <cellStyle name="Entrée 6 3" xfId="28988" xr:uid="{F0925733-B94C-46DB-8C7C-270A95BC5E5F}"/>
    <cellStyle name="Entrée 6 3 2" xfId="35833" xr:uid="{ED3E823C-A1D2-4A42-B413-853B2CB7E649}"/>
    <cellStyle name="Entrée 6 4" xfId="31070" xr:uid="{243B327F-4330-486E-88B7-B04D8AC91B49}"/>
    <cellStyle name="Entrée 7" xfId="24892" xr:uid="{1C1D961D-D725-46F1-851A-3D7F707524A3}"/>
    <cellStyle name="Entrée 7 2" xfId="27560" xr:uid="{7C35B8FE-75FE-45E2-8F7F-3936433E3E1B}"/>
    <cellStyle name="Entrée 7 2 2" xfId="34404" xr:uid="{5FD371DE-C82F-40FF-A3C0-AADEB7F3FD9F}"/>
    <cellStyle name="Entrée 7 3" xfId="29640" xr:uid="{1F905E08-C6B2-49F9-9D2D-098C44DFCFA6}"/>
    <cellStyle name="Entrée 7 3 2" xfId="36485" xr:uid="{850D76E2-03F4-416E-98B4-0796E782126D}"/>
    <cellStyle name="Entrée 7 4" xfId="31722" xr:uid="{C5B017A8-B0B9-4922-9CC0-EFAD5D1E411D}"/>
    <cellStyle name="Entrée 8" xfId="24938" xr:uid="{CDF49E21-80A4-40F5-B9C2-1836B5A0895A}"/>
    <cellStyle name="Entrée 8 2" xfId="27608" xr:uid="{7CED8C7C-EC9D-4438-BCA5-F474DDB61046}"/>
    <cellStyle name="Entrée 8 2 2" xfId="34452" xr:uid="{1177B3E2-1783-4485-A972-FC75461A47C4}"/>
    <cellStyle name="Entrée 8 3" xfId="29688" xr:uid="{0CE55D30-57A7-43EF-8D03-0CD7BF39BA6F}"/>
    <cellStyle name="Entrée 8 3 2" xfId="36533" xr:uid="{2A84F77D-E040-4273-8314-920B98E421A3}"/>
    <cellStyle name="Entrée 8 4" xfId="31770" xr:uid="{17218570-FB6F-4A77-9A1A-38C323448391}"/>
    <cellStyle name="Entrée 9" xfId="24844" xr:uid="{4C535C9A-E7FB-4A26-B6FC-6CEFF98B6D83}"/>
    <cellStyle name="Entrée 9 2" xfId="27504" xr:uid="{1D486686-9384-47B2-B811-DEDC10D1AE3B}"/>
    <cellStyle name="Entrée 9 2 2" xfId="34348" xr:uid="{E5D8DE90-2F0C-4210-87F9-09CDD6AF4FF6}"/>
    <cellStyle name="Entrée 9 3" xfId="29584" xr:uid="{A8FE4F03-999E-44A5-8343-AFC0D0571FAC}"/>
    <cellStyle name="Entrée 9 3 2" xfId="36429" xr:uid="{FCF89074-4182-47EE-A047-D6C3B867843A}"/>
    <cellStyle name="Entrée 9 4" xfId="31666" xr:uid="{837FDDFE-8C20-4B7C-9BBE-D693F55F5F37}"/>
    <cellStyle name="Euro" xfId="2352" xr:uid="{00000000-0005-0000-0000-000046090000}"/>
    <cellStyle name="Explanatory Text" xfId="5541" builtinId="53" customBuiltin="1"/>
    <cellStyle name="Explanatory Text 2" xfId="2353" xr:uid="{00000000-0005-0000-0000-000048090000}"/>
    <cellStyle name="Explanatory Text 2 2" xfId="2354" xr:uid="{00000000-0005-0000-0000-000049090000}"/>
    <cellStyle name="Explanatory Text 2 3" xfId="2355" xr:uid="{00000000-0005-0000-0000-00004A090000}"/>
    <cellStyle name="Explanatory Text 2 4" xfId="2356" xr:uid="{00000000-0005-0000-0000-00004B090000}"/>
    <cellStyle name="Explanatory Text 2 5" xfId="2357" xr:uid="{00000000-0005-0000-0000-00004C090000}"/>
    <cellStyle name="Explanatory Text 2 6" xfId="2358" xr:uid="{00000000-0005-0000-0000-00004D090000}"/>
    <cellStyle name="Explanatory Text 2 7" xfId="2359" xr:uid="{00000000-0005-0000-0000-00004E090000}"/>
    <cellStyle name="Explanatory Text 2 8" xfId="2360" xr:uid="{00000000-0005-0000-0000-00004F090000}"/>
    <cellStyle name="Explanatory Text 2 9" xfId="2361" xr:uid="{00000000-0005-0000-0000-000050090000}"/>
    <cellStyle name="Explanatory Text 3" xfId="2362" xr:uid="{00000000-0005-0000-0000-000051090000}"/>
    <cellStyle name="fact" xfId="2363" xr:uid="{00000000-0005-0000-0000-000052090000}"/>
    <cellStyle name="fact 2" xfId="9413" xr:uid="{00000000-0005-0000-0000-000052060000}"/>
    <cellStyle name="fact 3" xfId="23493" xr:uid="{7FA2395D-004D-4346-B70D-A04C51E92AF6}"/>
    <cellStyle name="FieldName" xfId="2364" xr:uid="{00000000-0005-0000-0000-000053090000}"/>
    <cellStyle name="FieldName 10" xfId="20312" xr:uid="{61589DB0-5E94-4311-B2C5-15BAE35145FF}"/>
    <cellStyle name="FieldName 11" xfId="21849" xr:uid="{D94E1F3A-E48C-4C27-9845-57D444595773}"/>
    <cellStyle name="FieldName 12" xfId="20675" xr:uid="{5F3B4E10-8935-49B0-A80A-2A34A9EBF6E4}"/>
    <cellStyle name="FieldName 13" xfId="22415" xr:uid="{CC1E1FD4-2D51-4371-B4FB-3364DCC6FCA0}"/>
    <cellStyle name="FieldName 14" xfId="22354" xr:uid="{A80EAD21-6276-4F3B-B8CB-0940945556FB}"/>
    <cellStyle name="FieldName 15" xfId="22661" xr:uid="{AD4B438D-9B23-4FF6-98CA-1D192DA40E46}"/>
    <cellStyle name="FieldName 16" xfId="19015" xr:uid="{7B80A017-3E82-4CCE-BE64-55FC9B08F057}"/>
    <cellStyle name="FieldName 17" xfId="21507" xr:uid="{205475B0-13BB-42D0-9B62-79798F216C4C}"/>
    <cellStyle name="FieldName 18" xfId="20757" xr:uid="{1B5E3E76-1554-4018-8FBA-1931797F80D9}"/>
    <cellStyle name="FieldName 19" xfId="17966" xr:uid="{A32F77BC-465E-43C5-90FB-6D74D3F29644}"/>
    <cellStyle name="FieldName 2" xfId="2365" xr:uid="{00000000-0005-0000-0000-000054090000}"/>
    <cellStyle name="FieldName 2 10" xfId="19659" xr:uid="{DB4A6DC2-87D2-4C96-AC51-57CA1B296139}"/>
    <cellStyle name="FieldName 2 11" xfId="22472" xr:uid="{AFC243B1-1C12-41CE-9A0E-F075216C1837}"/>
    <cellStyle name="FieldName 2 12" xfId="19956" xr:uid="{61CAC088-46D5-4A38-B924-266FC75CCBA9}"/>
    <cellStyle name="FieldName 2 13" xfId="22414" xr:uid="{FE239585-DAA4-479D-B1DA-4BCCCE3C945B}"/>
    <cellStyle name="FieldName 2 14" xfId="22737" xr:uid="{8255A942-6CC1-4A55-9BF0-D6D04CFE53FE}"/>
    <cellStyle name="FieldName 2 15" xfId="22125" xr:uid="{2AA9A7AD-26B8-43FA-9E1A-9B7C13A3895E}"/>
    <cellStyle name="FieldName 2 16" xfId="19334" xr:uid="{E2108EA7-665A-406D-A0AC-915A2F4847DE}"/>
    <cellStyle name="FieldName 2 17" xfId="17967" xr:uid="{819EBB54-A987-462F-9126-1C5B630A27A6}"/>
    <cellStyle name="FieldName 2 18" xfId="26346" xr:uid="{61C25EF6-FD53-4C89-8E2E-8DE8F4493B2B}"/>
    <cellStyle name="FieldName 2 19" xfId="33177" xr:uid="{4DAE9B17-CB41-4671-9EC9-07426B4B245F}"/>
    <cellStyle name="FieldName 2 2" xfId="18373" xr:uid="{0D34C572-7C16-44B6-9AB3-A0E12E113108}"/>
    <cellStyle name="FieldName 2 2 10" xfId="22245" xr:uid="{A3287F8C-417A-478A-898D-F94E513B9D68}"/>
    <cellStyle name="FieldName 2 2 11" xfId="19459" xr:uid="{14095E3A-C9E7-4EC6-B63B-2C34720D77BF}"/>
    <cellStyle name="FieldName 2 2 12" xfId="18993" xr:uid="{D90ACD16-CD7A-4A61-80DC-1DC36CE1B33B}"/>
    <cellStyle name="FieldName 2 2 13" xfId="20216" xr:uid="{11CC2B65-81E6-4463-9FC9-32A43F99676B}"/>
    <cellStyle name="FieldName 2 2 14" xfId="20984" xr:uid="{AB6D8C63-1A17-4107-9786-339C216BD3D9}"/>
    <cellStyle name="FieldName 2 2 15" xfId="23010" xr:uid="{B37E827B-1D4E-4FDE-8B71-210466E6B7D8}"/>
    <cellStyle name="FieldName 2 2 2" xfId="19986" xr:uid="{3A906043-E680-4C64-A593-6285CFA7B329}"/>
    <cellStyle name="FieldName 2 2 3" xfId="19556" xr:uid="{DE38D2B1-B685-4352-932D-FACE4E2EE875}"/>
    <cellStyle name="FieldName 2 2 4" xfId="21007" xr:uid="{78A3F5C8-83CB-4024-947A-E19272EEC408}"/>
    <cellStyle name="FieldName 2 2 5" xfId="21322" xr:uid="{934C6A80-E365-40E2-AF45-D0DFB16C92C6}"/>
    <cellStyle name="FieldName 2 2 6" xfId="19671" xr:uid="{49171B70-580A-4B67-8CE8-3F5E4F2A1220}"/>
    <cellStyle name="FieldName 2 2 7" xfId="20157" xr:uid="{BC4F1075-B46C-4DC3-899F-F9CB18657D4C}"/>
    <cellStyle name="FieldName 2 2 8" xfId="21095" xr:uid="{0227E6A1-A07C-4623-8D0F-ADABC8583326}"/>
    <cellStyle name="FieldName 2 2 9" xfId="19448" xr:uid="{4BC0D5C3-DB3A-4E7E-8F9B-80C788A63712}"/>
    <cellStyle name="FieldName 2 20" xfId="14918" xr:uid="{C21F57C2-FE55-4B12-B5E9-45DE0361A95A}"/>
    <cellStyle name="FieldName 2 21" xfId="14538" xr:uid="{287FD7B9-8BAE-445E-BDB0-29449C9A4D6A}"/>
    <cellStyle name="FieldName 2 22" xfId="48791" xr:uid="{D119EEAA-DA16-4C0C-AB34-42ADAA33AB02}"/>
    <cellStyle name="FieldName 2 23" xfId="40675" xr:uid="{0F1398BC-5392-43C5-A6B4-93712A339D7C}"/>
    <cellStyle name="FieldName 2 24" xfId="41112" xr:uid="{04A1A17B-0ACD-4C48-B256-8B59148202AC}"/>
    <cellStyle name="FieldName 2 25" xfId="49912" xr:uid="{70C9D72F-B76C-422D-8BB0-0655CF109089}"/>
    <cellStyle name="FieldName 2 3" xfId="20495" xr:uid="{7F236578-AF54-4D80-A516-738C0AEC331A}"/>
    <cellStyle name="FieldName 2 4" xfId="21727" xr:uid="{82097E57-96D0-432C-8270-9B27287B225C}"/>
    <cellStyle name="FieldName 2 5" xfId="19589" xr:uid="{FDC96BBD-7323-4E95-83EE-FF014A42B0C4}"/>
    <cellStyle name="FieldName 2 6" xfId="19079" xr:uid="{B3CB871C-2AB2-48E1-A852-49537075D18F}"/>
    <cellStyle name="FieldName 2 7" xfId="19214" xr:uid="{BADAF077-514C-4644-980F-9D041CDF06FE}"/>
    <cellStyle name="FieldName 2 8" xfId="21956" xr:uid="{5D3E1A30-185A-408A-875D-63D299E69958}"/>
    <cellStyle name="FieldName 2 9" xfId="21231" xr:uid="{A76D60F2-333B-4E32-8F77-75FBF44BD341}"/>
    <cellStyle name="FieldName 20" xfId="23492" xr:uid="{B58AA32F-092B-4484-B249-3822FB2B5874}"/>
    <cellStyle name="FieldName 21" xfId="14917" xr:uid="{A14EE5B0-4E89-4349-BFDC-5B67D98A23A7}"/>
    <cellStyle name="FieldName 22" xfId="16923" xr:uid="{B4971ABB-CC4F-4DEE-A8F6-ADCA712BE22E}"/>
    <cellStyle name="FieldName 23" xfId="47839" xr:uid="{A6C3B6EF-4CE9-49D9-944D-EDB94F173EA0}"/>
    <cellStyle name="FieldName 24" xfId="15393" xr:uid="{5C6133FA-9D4F-4F9A-9CA8-5EF687CBBC12}"/>
    <cellStyle name="FieldName 25" xfId="49672" xr:uid="{D24E43C7-4E7F-4970-8BB0-F44D920F2CF1}"/>
    <cellStyle name="FieldName 26" xfId="46994" xr:uid="{A18460AD-0A9C-462D-B840-13A6EE7C04AA}"/>
    <cellStyle name="FieldName 3" xfId="2366" xr:uid="{00000000-0005-0000-0000-000055090000}"/>
    <cellStyle name="FieldName 3 10" xfId="21692" xr:uid="{44CFF534-FCB9-412F-8CBC-6ECC2EA4157D}"/>
    <cellStyle name="FieldName 3 11" xfId="21597" xr:uid="{7AA98BD1-3031-43A8-B8F8-ABAF2B4CA8C6}"/>
    <cellStyle name="FieldName 3 12" xfId="22424" xr:uid="{1155EA65-FEED-4F4C-89BC-2834172E7860}"/>
    <cellStyle name="FieldName 3 13" xfId="20378" xr:uid="{844D0722-9944-4261-B0C9-6C5D74AD5287}"/>
    <cellStyle name="FieldName 3 14" xfId="20295" xr:uid="{18D91847-F41C-4EAF-9A79-529A39E00080}"/>
    <cellStyle name="FieldName 3 15" xfId="20290" xr:uid="{2AD8257F-3AFE-464A-818E-0590BEEBAE1F}"/>
    <cellStyle name="FieldName 3 16" xfId="18836" xr:uid="{BC9D0782-6111-4D53-A092-85133FDBD6A7}"/>
    <cellStyle name="FieldName 3 17" xfId="17968" xr:uid="{C9D692ED-B993-402F-8505-B9DE2EBF144D}"/>
    <cellStyle name="FieldName 3 18" xfId="14919" xr:uid="{F3F87A54-B87D-4573-B71D-50C5383B0A42}"/>
    <cellStyle name="FieldName 3 19" xfId="16922" xr:uid="{DFCBB5AF-C079-45F0-93C5-A47E3C4FA3C4}"/>
    <cellStyle name="FieldName 3 2" xfId="18374" xr:uid="{BA03F879-6F25-4515-88CF-0EA98EAEBE4E}"/>
    <cellStyle name="FieldName 3 2 10" xfId="21457" xr:uid="{6E366DC6-E8C6-4C22-A194-D225C9B7F6EB}"/>
    <cellStyle name="FieldName 3 2 11" xfId="19309" xr:uid="{AC3C6CBD-62B6-4C1D-9C11-CD9D0BDB6292}"/>
    <cellStyle name="FieldName 3 2 12" xfId="19010" xr:uid="{367BCAB4-F36D-4A7F-A802-3AF2EC2020E7}"/>
    <cellStyle name="FieldName 3 2 13" xfId="20945" xr:uid="{01EE5C60-646F-4308-BF61-2DEF6AB840EC}"/>
    <cellStyle name="FieldName 3 2 14" xfId="20996" xr:uid="{7609BBCD-4629-448D-ABCD-9580BBEA3C3D}"/>
    <cellStyle name="FieldName 3 2 15" xfId="18842" xr:uid="{760F7517-2464-4ECA-971B-E10F635FC58D}"/>
    <cellStyle name="FieldName 3 2 2" xfId="19985" xr:uid="{4DDC7DDF-E356-4548-8752-D3E8BC75512E}"/>
    <cellStyle name="FieldName 3 2 3" xfId="19514" xr:uid="{B642B4C1-1B02-44C7-966E-7332D8F05030}"/>
    <cellStyle name="FieldName 3 2 4" xfId="19149" xr:uid="{65E96CE6-0ED2-41CE-92DD-18C2109F6F3B}"/>
    <cellStyle name="FieldName 3 2 5" xfId="20858" xr:uid="{BFCE64A4-A700-4F84-9FEE-DA8E27E9816A}"/>
    <cellStyle name="FieldName 3 2 6" xfId="21972" xr:uid="{7B1047A3-0E2C-4147-A99F-46E7AB424A1E}"/>
    <cellStyle name="FieldName 3 2 7" xfId="19679" xr:uid="{9639306D-D93D-4786-A1FB-75EA629974C4}"/>
    <cellStyle name="FieldName 3 2 8" xfId="20204" xr:uid="{571379BF-5374-4128-80F5-0E742BA0F16B}"/>
    <cellStyle name="FieldName 3 2 9" xfId="21896" xr:uid="{3862FC62-57B4-4AE0-AB35-60910472C024}"/>
    <cellStyle name="FieldName 3 20" xfId="46728" xr:uid="{07162AFB-016C-4B6F-98C7-6DCE2AD1CC7A}"/>
    <cellStyle name="FieldName 3 21" xfId="16929" xr:uid="{B141623E-1336-4669-9BB2-D28C5E43EFC8}"/>
    <cellStyle name="FieldName 3 22" xfId="49662" xr:uid="{AB064D95-6235-4F6F-973F-61EE5D3E0D1A}"/>
    <cellStyle name="FieldName 3 23" xfId="15065" xr:uid="{7C5A1C6E-1D62-4539-BC82-B2E56986367F}"/>
    <cellStyle name="FieldName 3 3" xfId="20496" xr:uid="{93264BE3-3A4C-4A37-9F28-3E9CF61FBD63}"/>
    <cellStyle name="FieldName 3 4" xfId="21654" xr:uid="{17FB1485-C6E6-4065-803F-C9AD5B8B9763}"/>
    <cellStyle name="FieldName 3 5" xfId="21094" xr:uid="{4555E9B2-9A35-456B-A663-FBBA24D33B9E}"/>
    <cellStyle name="FieldName 3 6" xfId="20759" xr:uid="{17E8921F-7219-4C73-B053-82C176D67D16}"/>
    <cellStyle name="FieldName 3 7" xfId="21848" xr:uid="{9CAAAC9F-3FD6-4C2B-9DF0-AD4669085AA4}"/>
    <cellStyle name="FieldName 3 8" xfId="21189" xr:uid="{41FBA921-00D9-44DF-9A61-C4B2F7C87E9B}"/>
    <cellStyle name="FieldName 3 9" xfId="19337" xr:uid="{F1A29C1B-5EA2-4131-8731-266D8D2F2CC3}"/>
    <cellStyle name="FieldName 4" xfId="18372" xr:uid="{F971F4B3-ECF4-4772-A327-A5C2E6098CED}"/>
    <cellStyle name="FieldName 4 10" xfId="19239" xr:uid="{96951E26-9514-4997-A5B3-33C5D5CCACF5}"/>
    <cellStyle name="FieldName 4 11" xfId="19171" xr:uid="{C415D557-8B62-4E19-8CBE-532E2A3567D2}"/>
    <cellStyle name="FieldName 4 12" xfId="18833" xr:uid="{9FB247DB-89D9-4F3E-8986-EFFE82699A7A}"/>
    <cellStyle name="FieldName 4 13" xfId="22090" xr:uid="{176E69D7-355C-4D31-8CC8-8CA08B30F865}"/>
    <cellStyle name="FieldName 4 14" xfId="21886" xr:uid="{2F8577C1-1C82-4E9E-B6F8-9B6BAF21BD22}"/>
    <cellStyle name="FieldName 4 15" xfId="19196" xr:uid="{79CDD774-9163-4D1A-AF34-BB708EFC16DB}"/>
    <cellStyle name="FieldName 4 2" xfId="19987" xr:uid="{12B01E36-E50C-4DED-93F0-A828D39A3E9D}"/>
    <cellStyle name="FieldName 4 3" xfId="19691" xr:uid="{9E8F7BF5-05F8-40A0-A929-B372387ADC6E}"/>
    <cellStyle name="FieldName 4 4" xfId="21790" xr:uid="{5958802F-CF15-475E-ADEF-EFC73F173452}"/>
    <cellStyle name="FieldName 4 5" xfId="19033" xr:uid="{2A5861D6-1655-428B-8728-E10C68E9B52C}"/>
    <cellStyle name="FieldName 4 6" xfId="20648" xr:uid="{6FE016F0-2846-43C5-AE33-C7B45150999B}"/>
    <cellStyle name="FieldName 4 7" xfId="20884" xr:uid="{63E600E0-312A-4776-AB1A-56303B849331}"/>
    <cellStyle name="FieldName 4 8" xfId="19362" xr:uid="{96E9857A-A885-4EFA-84C6-20CD1A5F8D62}"/>
    <cellStyle name="FieldName 4 9" xfId="21371" xr:uid="{72A78464-B9EC-4BB6-86E1-730BD61C3FC4}"/>
    <cellStyle name="FieldName 5" xfId="20494" xr:uid="{1AAF9C69-D8BB-4B39-9FB5-D169E3E656F3}"/>
    <cellStyle name="FieldName 6" xfId="19639" xr:uid="{41590B6B-6B1F-47C2-A1B2-B866195495E9}"/>
    <cellStyle name="FieldName 7" xfId="21497" xr:uid="{ED01981B-48C3-42E7-8217-985E9C323735}"/>
    <cellStyle name="FieldName 8" xfId="20592" xr:uid="{993470AE-10D9-4F16-86A9-8A20A8A06923}"/>
    <cellStyle name="FieldName 9" xfId="18855" xr:uid="{3F0ACBE1-24B0-4841-98C4-AC910FEFDD83}"/>
    <cellStyle name="Fijo" xfId="2367" xr:uid="{00000000-0005-0000-0000-000056090000}"/>
    <cellStyle name="Financiero" xfId="2368" xr:uid="{00000000-0005-0000-0000-000057090000}"/>
    <cellStyle name="Fixed" xfId="2369" xr:uid="{00000000-0005-0000-0000-000058090000}"/>
    <cellStyle name="Followed Hyperlink 2" xfId="2370" xr:uid="{00000000-0005-0000-0000-000059090000}"/>
    <cellStyle name="Footnote" xfId="2371" xr:uid="{00000000-0005-0000-0000-00005A090000}"/>
    <cellStyle name="Good" xfId="5533" builtinId="26" customBuiltin="1"/>
    <cellStyle name="Good 2" xfId="2372" xr:uid="{00000000-0005-0000-0000-00005C090000}"/>
    <cellStyle name="Good 2 2" xfId="2373" xr:uid="{00000000-0005-0000-0000-00005D090000}"/>
    <cellStyle name="Good 2 3" xfId="2374" xr:uid="{00000000-0005-0000-0000-00005E090000}"/>
    <cellStyle name="Good 2 4" xfId="2375" xr:uid="{00000000-0005-0000-0000-00005F090000}"/>
    <cellStyle name="Good 2 5" xfId="2376" xr:uid="{00000000-0005-0000-0000-000060090000}"/>
    <cellStyle name="Good 2 6" xfId="2377" xr:uid="{00000000-0005-0000-0000-000061090000}"/>
    <cellStyle name="Good 2 7" xfId="2378" xr:uid="{00000000-0005-0000-0000-000062090000}"/>
    <cellStyle name="Good 2 8" xfId="2379" xr:uid="{00000000-0005-0000-0000-000063090000}"/>
    <cellStyle name="Good 2 9" xfId="2380" xr:uid="{00000000-0005-0000-0000-000064090000}"/>
    <cellStyle name="Good 3" xfId="2381" xr:uid="{00000000-0005-0000-0000-000065090000}"/>
    <cellStyle name="Grey" xfId="2382" xr:uid="{00000000-0005-0000-0000-000066090000}"/>
    <cellStyle name="GWN Table Body" xfId="2383" xr:uid="{00000000-0005-0000-0000-000067090000}"/>
    <cellStyle name="GWN Table Header" xfId="2384" xr:uid="{00000000-0005-0000-0000-000068090000}"/>
    <cellStyle name="GWN Table Left Header" xfId="2385" xr:uid="{00000000-0005-0000-0000-000069090000}"/>
    <cellStyle name="GWN Table Note" xfId="2386" xr:uid="{00000000-0005-0000-0000-00006A090000}"/>
    <cellStyle name="GWN Table Title" xfId="2387" xr:uid="{00000000-0005-0000-0000-00006B090000}"/>
    <cellStyle name="hard no" xfId="2388" xr:uid="{00000000-0005-0000-0000-00006C090000}"/>
    <cellStyle name="hard no 2" xfId="9276" xr:uid="{00000000-0005-0000-0000-000051060000}"/>
    <cellStyle name="hard no 2 2" xfId="18375" xr:uid="{18A51BC4-EFE4-4892-9E99-8553C92FA506}"/>
    <cellStyle name="hard no 2 3" xfId="41810" xr:uid="{40690390-75AD-4C3B-A797-E86F95466B34}"/>
    <cellStyle name="hard no 2 4" xfId="37701" xr:uid="{D215F1DE-E5AF-43E5-A2BA-BE99DC6FD4B9}"/>
    <cellStyle name="hard no 2 5" xfId="14157" xr:uid="{56E9A2C6-86A8-400C-A897-D05933E59408}"/>
    <cellStyle name="hard no 2 6" xfId="40550" xr:uid="{8A457774-56AC-4753-A2B3-BAE68117CCF6}"/>
    <cellStyle name="hard no 2 7" xfId="46592" xr:uid="{64CAC23B-F78F-48AB-BDD6-282E6C48EC78}"/>
    <cellStyle name="hard no 3" xfId="9288" xr:uid="{00000000-0005-0000-0000-0000A01A0000}"/>
    <cellStyle name="hard no 3 2" xfId="23491" xr:uid="{F21DEF55-7FFA-4F0F-8A42-117E0772D831}"/>
    <cellStyle name="hard no 3 3" xfId="41820" xr:uid="{3B321C33-2C79-42E7-9754-BD1979628924}"/>
    <cellStyle name="hard no 3 4" xfId="47161" xr:uid="{E560C1D2-BE2E-4CB0-B3AC-AAFE412E4F85}"/>
    <cellStyle name="hard no 3 5" xfId="46531" xr:uid="{1F6F8BC7-D6A2-45A3-847B-B4592D03A3A2}"/>
    <cellStyle name="hard no 3 6" xfId="47875" xr:uid="{BD46C956-9CAF-4EE8-B0E1-23104A1071E9}"/>
    <cellStyle name="hard no 3 7" xfId="37988" xr:uid="{92C23ACA-141C-4F82-895D-55D6B9FD7D76}"/>
    <cellStyle name="hard no 3 8" xfId="40270" xr:uid="{45353AE9-95C9-4348-B7B2-AC950C843949}"/>
    <cellStyle name="hard no 4" xfId="14929" xr:uid="{41A13852-C3AD-4B48-961C-3C1B3BF2D36C}"/>
    <cellStyle name="hard no 5" xfId="16795" xr:uid="{37574865-3731-49CD-AC0B-359BBE5F9F37}"/>
    <cellStyle name="hard no 6" xfId="48751" xr:uid="{93C50E16-A642-4699-8BB3-EBC9B0D2A639}"/>
    <cellStyle name="hard no 7" xfId="47224" xr:uid="{1883EF59-7461-4A64-8616-9637BF82A420}"/>
    <cellStyle name="hard no 8" xfId="49461" xr:uid="{DCB15A6A-1312-4CFF-9BF6-0E50ECFA8355}"/>
    <cellStyle name="hard no 9" xfId="40521" xr:uid="{0B1DE8DE-478F-4919-8685-A8F3B86C82DC}"/>
    <cellStyle name="Hard Percent" xfId="2389" xr:uid="{00000000-0005-0000-0000-00006D090000}"/>
    <cellStyle name="hardno" xfId="2390" xr:uid="{00000000-0005-0000-0000-00006E090000}"/>
    <cellStyle name="Header" xfId="2391" xr:uid="{00000000-0005-0000-0000-00006F090000}"/>
    <cellStyle name="Header1" xfId="2392" xr:uid="{00000000-0005-0000-0000-000070090000}"/>
    <cellStyle name="Header2" xfId="2393" xr:uid="{00000000-0005-0000-0000-000071090000}"/>
    <cellStyle name="Header2 10" xfId="22255" xr:uid="{62F26F32-3540-4ED9-85C7-016C7C81FCF5}"/>
    <cellStyle name="Header2 11" xfId="21873" xr:uid="{78FC1F57-F646-497C-B3D1-112DDD44C3DE}"/>
    <cellStyle name="Header2 12" xfId="21926" xr:uid="{CE377CED-E649-4347-8997-FD1A09ABAE7D}"/>
    <cellStyle name="Header2 13" xfId="22639" xr:uid="{0A6AB612-E0D8-4D63-A55E-B24129621F35}"/>
    <cellStyle name="Header2 14" xfId="20249" xr:uid="{2EAC3D2E-DC76-4BB0-806A-9175DB2B1830}"/>
    <cellStyle name="Header2 15" xfId="20492" xr:uid="{6F51E1D5-4045-482D-8EEB-CB77E7F81D61}"/>
    <cellStyle name="Header2 16" xfId="21756" xr:uid="{9205CBE0-CCDB-4131-A0E4-CC58995D251F}"/>
    <cellStyle name="Header2 17" xfId="21293" xr:uid="{ED4069E3-729E-4F0C-81AE-D55EFF3AF020}"/>
    <cellStyle name="Header2 18" xfId="23490" xr:uid="{2F5BF8F7-D63B-4A15-A5E7-312A25E5CE92}"/>
    <cellStyle name="Header2 19" xfId="14931" xr:uid="{B84328FF-727C-41DB-9D0D-389741E1F020}"/>
    <cellStyle name="Header2 2" xfId="2394" xr:uid="{00000000-0005-0000-0000-000072090000}"/>
    <cellStyle name="Header2 2 10" xfId="19682" xr:uid="{3C09EC31-0037-4416-8139-7567074A60D7}"/>
    <cellStyle name="Header2 2 11" xfId="22518" xr:uid="{204B2FB0-EC1E-43DE-97E9-FD8176797CFB}"/>
    <cellStyle name="Header2 2 12" xfId="20435" xr:uid="{38B05D44-247F-4A67-BEAB-67B1502CECAB}"/>
    <cellStyle name="Header2 2 13" xfId="22022" xr:uid="{81F5FFB3-CA35-4E49-9144-758B25D265A2}"/>
    <cellStyle name="Header2 2 14" xfId="22777" xr:uid="{B1406228-30E1-4571-A267-3BB34BED3851}"/>
    <cellStyle name="Header2 2 15" xfId="20463" xr:uid="{C566EF3D-DDA9-4509-B4B7-FC194A9A0534}"/>
    <cellStyle name="Header2 2 16" xfId="22095" xr:uid="{318B7D07-3423-466F-B991-8327B6C8D4C1}"/>
    <cellStyle name="Header2 2 17" xfId="26345" xr:uid="{1AB9E4D7-73BD-49D9-9AF5-C5530E4E901E}"/>
    <cellStyle name="Header2 2 18" xfId="33176" xr:uid="{A3E939E6-45DC-4D39-A1D8-044025BDA6D6}"/>
    <cellStyle name="Header2 2 19" xfId="14932" xr:uid="{DEC7278C-7458-472C-AB98-214302BDDAAF}"/>
    <cellStyle name="Header2 2 2" xfId="2395" xr:uid="{00000000-0005-0000-0000-000073090000}"/>
    <cellStyle name="Header2 2 2 10" xfId="48997" xr:uid="{01C9D832-D5A9-4BFD-B2F3-DB13B9FFBE18}"/>
    <cellStyle name="Header2 2 2 11" xfId="46439" xr:uid="{CD41F1DE-2D21-49AC-A149-BCFDD5F21DC3}"/>
    <cellStyle name="Header2 2 2 12" xfId="49899" xr:uid="{5B670F5C-CEF5-48BB-892B-8C9143183F1C}"/>
    <cellStyle name="Header2 2 2 2" xfId="19983" xr:uid="{6675FB9F-99F0-40B7-A2DF-01011A439A4C}"/>
    <cellStyle name="Header2 2 2 3" xfId="19150" xr:uid="{D5A5AFB5-BB6D-413D-B14B-F70CBFDBEC29}"/>
    <cellStyle name="Header2 2 2 4" xfId="20562" xr:uid="{A70024BF-4F3B-4CE8-9385-AD8FEA7DFC75}"/>
    <cellStyle name="Header2 2 2 5" xfId="20795" xr:uid="{652CDFF6-7769-46A4-931B-0929A39446F2}"/>
    <cellStyle name="Header2 2 2 6" xfId="19825" xr:uid="{603C664A-A7A0-49E2-AE24-5A5FFC3B0FAC}"/>
    <cellStyle name="Header2 2 2 7" xfId="17365" xr:uid="{5E4A6470-87EF-4B29-B214-DA8FC3C77E34}"/>
    <cellStyle name="Header2 2 2 8" xfId="16779" xr:uid="{30C347F1-2822-40A0-ABC8-3248513E56E9}"/>
    <cellStyle name="Header2 2 2 9" xfId="47146" xr:uid="{BDEDC267-AE05-4EA9-B56E-7F7E8C989B6C}"/>
    <cellStyle name="Header2 2 20" xfId="16774" xr:uid="{BC7FBE6A-3A2A-43C8-8535-9AAC585A51FC}"/>
    <cellStyle name="Header2 2 21" xfId="48511" xr:uid="{D8D18C5A-6164-4530-88D0-0A3F17F7F51E}"/>
    <cellStyle name="Header2 2 22" xfId="46729" xr:uid="{65C94C23-0A93-40CF-8D1B-D96350185FFE}"/>
    <cellStyle name="Header2 2 23" xfId="49671" xr:uid="{1879AD88-C434-49F9-8C41-F829A5ABCB1A}"/>
    <cellStyle name="Header2 2 24" xfId="15620" xr:uid="{7CADFD64-9F03-4471-AED4-3E6394E587CB}"/>
    <cellStyle name="Header2 2 3" xfId="20503" xr:uid="{059A0A0B-B656-4E22-BCAD-6AD861760FB9}"/>
    <cellStyle name="Header2 2 4" xfId="20214" xr:uid="{FD1519F9-906F-4E04-9639-75AA4EB27E63}"/>
    <cellStyle name="Header2 2 5" xfId="20728" xr:uid="{BA32637E-8FDA-4F5D-AA53-E46BBB77DA79}"/>
    <cellStyle name="Header2 2 6" xfId="21895" xr:uid="{C91AA95E-02DB-4AE8-9805-DC7A57C9200C}"/>
    <cellStyle name="Header2 2 7" xfId="21786" xr:uid="{C68FDACD-F19C-4025-9B16-C3DE23702716}"/>
    <cellStyle name="Header2 2 8" xfId="19198" xr:uid="{A9B9D64C-8555-43D1-9697-A38B6F7E0436}"/>
    <cellStyle name="Header2 2 9" xfId="21760" xr:uid="{3B170D87-A521-4EEC-859C-A43AF7F97C9F}"/>
    <cellStyle name="Header2 20" xfId="14405" xr:uid="{4C8EA0CE-B746-4F82-BF7C-3D445209F6A7}"/>
    <cellStyle name="Header2 21" xfId="46725" xr:uid="{CE1C8D8A-F0FE-4798-9AE1-1021C1AFC2E9}"/>
    <cellStyle name="Header2 22" xfId="49154" xr:uid="{337C5720-EAF8-4A47-8FCA-DBB87176E650}"/>
    <cellStyle name="Header2 23" xfId="40644" xr:uid="{0A0AF1A9-6A12-4A2A-AD91-93636E209884}"/>
    <cellStyle name="Header2 24" xfId="49911" xr:uid="{87751FFE-5DA9-4078-9502-47F5BED31698}"/>
    <cellStyle name="Header2 3" xfId="2396" xr:uid="{00000000-0005-0000-0000-000074090000}"/>
    <cellStyle name="Header2 3 10" xfId="14995" xr:uid="{4BAB0324-807B-42DF-8C2E-C23C82D2A9B4}"/>
    <cellStyle name="Header2 3 11" xfId="15799" xr:uid="{8E565601-6C5C-4DC9-AF0A-DC532C7FF71D}"/>
    <cellStyle name="Header2 3 12" xfId="47199" xr:uid="{E83917BD-D3EB-45AD-B951-399550B18E47}"/>
    <cellStyle name="Header2 3 2" xfId="19984" xr:uid="{8201AC77-B7DD-46D1-B027-068F2F9CF622}"/>
    <cellStyle name="Header2 3 3" xfId="21825" xr:uid="{45AF0272-7757-4482-A3E0-9F3A0646ACB3}"/>
    <cellStyle name="Header2 3 4" xfId="19032" xr:uid="{19393EC5-B528-4CEB-9C98-496BAE73A343}"/>
    <cellStyle name="Header2 3 5" xfId="20284" xr:uid="{E4070EDA-3992-4C65-B674-06232809BEC1}"/>
    <cellStyle name="Header2 3 6" xfId="22713" xr:uid="{9C0DDFFD-DA13-463F-A306-8A499DA5CE98}"/>
    <cellStyle name="Header2 3 7" xfId="17364" xr:uid="{5B74ED95-9635-4B8B-9EC3-7DA5AB785B88}"/>
    <cellStyle name="Header2 3 8" xfId="14389" xr:uid="{34C9EF36-2BF0-4271-8A88-4F3833E1B848}"/>
    <cellStyle name="Header2 3 9" xfId="48505" xr:uid="{A007BFFD-C05B-4EDD-BDB3-67C748862636}"/>
    <cellStyle name="Header2 4" xfId="20502" xr:uid="{72670A8F-6FC6-417A-A0FF-DAFC5AD2DB82}"/>
    <cellStyle name="Header2 5" xfId="19663" xr:uid="{69591231-B8E9-4907-B9B2-8C37B873F389}"/>
    <cellStyle name="Header2 6" xfId="21919" xr:uid="{7D1B34A9-E967-4DF6-AB79-8BC96F71229E}"/>
    <cellStyle name="Header2 7" xfId="19260" xr:uid="{B251F4C7-2AD5-438F-9785-0B4E0FA70242}"/>
    <cellStyle name="Header2 8" xfId="19046" xr:uid="{AEDC71E7-AFD7-44B5-B4CC-455AAB347221}"/>
    <cellStyle name="Header2 9" xfId="21134" xr:uid="{2CAE85C4-52E6-4C1C-A31B-C39FE1E0B86B}"/>
    <cellStyle name="Heading" xfId="2397" xr:uid="{00000000-0005-0000-0000-000075090000}"/>
    <cellStyle name="Heading 1" xfId="5529" builtinId="16" customBuiltin="1"/>
    <cellStyle name="Heading 1 2" xfId="2398" xr:uid="{00000000-0005-0000-0000-000077090000}"/>
    <cellStyle name="Heading 1 2 2" xfId="2399" xr:uid="{00000000-0005-0000-0000-000078090000}"/>
    <cellStyle name="Heading 1 2 3" xfId="2400" xr:uid="{00000000-0005-0000-0000-000079090000}"/>
    <cellStyle name="Heading 1 2 4" xfId="2401" xr:uid="{00000000-0005-0000-0000-00007A090000}"/>
    <cellStyle name="Heading 1 2 5" xfId="2402" xr:uid="{00000000-0005-0000-0000-00007B090000}"/>
    <cellStyle name="Heading 1 2 6" xfId="2403" xr:uid="{00000000-0005-0000-0000-00007C090000}"/>
    <cellStyle name="Heading 1 3" xfId="2404" xr:uid="{00000000-0005-0000-0000-00007D090000}"/>
    <cellStyle name="Heading 2" xfId="5530" builtinId="17" customBuiltin="1"/>
    <cellStyle name="Heading 2 2" xfId="2405" xr:uid="{00000000-0005-0000-0000-00007F090000}"/>
    <cellStyle name="Heading 2 2 2" xfId="2406" xr:uid="{00000000-0005-0000-0000-000080090000}"/>
    <cellStyle name="Heading 2 2 2 2" xfId="23494" xr:uid="{C27BB204-B76C-4C23-8B8B-BB767F269D29}"/>
    <cellStyle name="Heading 2 2 3" xfId="2407" xr:uid="{00000000-0005-0000-0000-000081090000}"/>
    <cellStyle name="Heading 2 2 3 2" xfId="23495" xr:uid="{73BA6203-33D7-446A-AD7E-E9C0817A197C}"/>
    <cellStyle name="Heading 2 2 4" xfId="2408" xr:uid="{00000000-0005-0000-0000-000082090000}"/>
    <cellStyle name="Heading 2 2 4 2" xfId="23496" xr:uid="{024E8D33-4533-4F53-97B6-D5A63D0FAE29}"/>
    <cellStyle name="Heading 2 2 5" xfId="2409" xr:uid="{00000000-0005-0000-0000-000083090000}"/>
    <cellStyle name="Heading 2 2 5 2" xfId="23497" xr:uid="{7C453321-476F-4C33-9085-527ED9F0FBD4}"/>
    <cellStyle name="Heading 2 2 6" xfId="2410" xr:uid="{00000000-0005-0000-0000-000084090000}"/>
    <cellStyle name="Heading 2 3" xfId="2411" xr:uid="{00000000-0005-0000-0000-000085090000}"/>
    <cellStyle name="Heading 2 3 2" xfId="23498" xr:uid="{5F199C03-C903-4CF5-AEFF-A7152CB2BF03}"/>
    <cellStyle name="Heading 3" xfId="5531" builtinId="18" customBuiltin="1"/>
    <cellStyle name="Heading 3 2" xfId="2412" xr:uid="{00000000-0005-0000-0000-000087090000}"/>
    <cellStyle name="Heading 3 2 2" xfId="2413" xr:uid="{00000000-0005-0000-0000-000088090000}"/>
    <cellStyle name="Heading 3 2 3" xfId="2414" xr:uid="{00000000-0005-0000-0000-000089090000}"/>
    <cellStyle name="Heading 3 2 4" xfId="2415" xr:uid="{00000000-0005-0000-0000-00008A090000}"/>
    <cellStyle name="Heading 3 2 5" xfId="2416" xr:uid="{00000000-0005-0000-0000-00008B090000}"/>
    <cellStyle name="Heading 3 2 6" xfId="2417" xr:uid="{00000000-0005-0000-0000-00008C090000}"/>
    <cellStyle name="Heading 3 2 7" xfId="2418" xr:uid="{00000000-0005-0000-0000-00008D090000}"/>
    <cellStyle name="Heading 3 2 8" xfId="9469" xr:uid="{00000000-0005-0000-0000-0000BC1A0000}"/>
    <cellStyle name="Heading 3 3" xfId="2419" xr:uid="{00000000-0005-0000-0000-00008E090000}"/>
    <cellStyle name="Heading 4" xfId="5532" builtinId="19" customBuiltin="1"/>
    <cellStyle name="Heading 4 2" xfId="2420" xr:uid="{00000000-0005-0000-0000-000090090000}"/>
    <cellStyle name="Heading 4 2 2" xfId="2421" xr:uid="{00000000-0005-0000-0000-000091090000}"/>
    <cellStyle name="Heading 4 3" xfId="2422" xr:uid="{00000000-0005-0000-0000-000092090000}"/>
    <cellStyle name="Heading2" xfId="2423" xr:uid="{00000000-0005-0000-0000-000093090000}"/>
    <cellStyle name="Heading3" xfId="2424" xr:uid="{00000000-0005-0000-0000-000094090000}"/>
    <cellStyle name="HeadingColumn" xfId="2425" xr:uid="{00000000-0005-0000-0000-000095090000}"/>
    <cellStyle name="HeadingS" xfId="2426" xr:uid="{00000000-0005-0000-0000-000096090000}"/>
    <cellStyle name="HeadingS 2" xfId="9287" xr:uid="{00000000-0005-0000-0000-0000C41A0000}"/>
    <cellStyle name="HeadingYear" xfId="2427" xr:uid="{00000000-0005-0000-0000-000097090000}"/>
    <cellStyle name="HeadingYear 2" xfId="9277" xr:uid="{00000000-0005-0000-0000-000075060000}"/>
    <cellStyle name="HeadingYear 3" xfId="9286" xr:uid="{00000000-0005-0000-0000-0000C51A0000}"/>
    <cellStyle name="HeadlineStyle" xfId="2428" xr:uid="{00000000-0005-0000-0000-000098090000}"/>
    <cellStyle name="HeadlineStyleJustified" xfId="2429" xr:uid="{00000000-0005-0000-0000-000099090000}"/>
    <cellStyle name="Hed Side_Sheet1" xfId="2430" xr:uid="{00000000-0005-0000-0000-00009A090000}"/>
    <cellStyle name="Hed Top" xfId="2431" xr:uid="{00000000-0005-0000-0000-00009B090000}"/>
    <cellStyle name="Hyperlink 2" xfId="2432" xr:uid="{00000000-0005-0000-0000-00009C090000}"/>
    <cellStyle name="Hyperlink 2 10" xfId="2433" xr:uid="{00000000-0005-0000-0000-00009D090000}"/>
    <cellStyle name="Hyperlink 2 11" xfId="2434" xr:uid="{00000000-0005-0000-0000-00009E090000}"/>
    <cellStyle name="Hyperlink 2 12" xfId="2435" xr:uid="{00000000-0005-0000-0000-00009F090000}"/>
    <cellStyle name="Hyperlink 2 13" xfId="2436" xr:uid="{00000000-0005-0000-0000-0000A0090000}"/>
    <cellStyle name="Hyperlink 2 14" xfId="2437" xr:uid="{00000000-0005-0000-0000-0000A1090000}"/>
    <cellStyle name="Hyperlink 2 14 2" xfId="23500" xr:uid="{CBCC6A3B-D293-4BE0-BD99-C63558770069}"/>
    <cellStyle name="Hyperlink 2 15" xfId="2438" xr:uid="{00000000-0005-0000-0000-0000A2090000}"/>
    <cellStyle name="Hyperlink 2 2" xfId="2439" xr:uid="{00000000-0005-0000-0000-0000A3090000}"/>
    <cellStyle name="Hyperlink 2 2 2" xfId="2440" xr:uid="{00000000-0005-0000-0000-0000A4090000}"/>
    <cellStyle name="Hyperlink 2 3" xfId="2441" xr:uid="{00000000-0005-0000-0000-0000A5090000}"/>
    <cellStyle name="Hyperlink 2 3 2" xfId="2442" xr:uid="{00000000-0005-0000-0000-0000A6090000}"/>
    <cellStyle name="Hyperlink 2 3 3" xfId="17969" xr:uid="{BE81BED7-9EEC-498D-97C9-6C92C6F76A47}"/>
    <cellStyle name="Hyperlink 2 4" xfId="2443" xr:uid="{00000000-0005-0000-0000-0000A7090000}"/>
    <cellStyle name="Hyperlink 2 4 2" xfId="2444" xr:uid="{00000000-0005-0000-0000-0000A8090000}"/>
    <cellStyle name="Hyperlink 2 4 3" xfId="17970" xr:uid="{9F78F71F-7D2F-4894-A79E-BB3EA8BD6DF6}"/>
    <cellStyle name="Hyperlink 2 5" xfId="2445" xr:uid="{00000000-0005-0000-0000-0000A9090000}"/>
    <cellStyle name="Hyperlink 2 6" xfId="2446" xr:uid="{00000000-0005-0000-0000-0000AA090000}"/>
    <cellStyle name="Hyperlink 2 7" xfId="2447" xr:uid="{00000000-0005-0000-0000-0000AB090000}"/>
    <cellStyle name="Hyperlink 2 8" xfId="2448" xr:uid="{00000000-0005-0000-0000-0000AC090000}"/>
    <cellStyle name="Hyperlink 2 9" xfId="2449" xr:uid="{00000000-0005-0000-0000-0000AD090000}"/>
    <cellStyle name="Hyperlink 3" xfId="2450" xr:uid="{00000000-0005-0000-0000-0000AE090000}"/>
    <cellStyle name="Hyperlink 3 10" xfId="2451" xr:uid="{00000000-0005-0000-0000-0000AF090000}"/>
    <cellStyle name="Hyperlink 3 11" xfId="2452" xr:uid="{00000000-0005-0000-0000-0000B0090000}"/>
    <cellStyle name="Hyperlink 3 12" xfId="2453" xr:uid="{00000000-0005-0000-0000-0000B1090000}"/>
    <cellStyle name="Hyperlink 3 2" xfId="2454" xr:uid="{00000000-0005-0000-0000-0000B2090000}"/>
    <cellStyle name="Hyperlink 3 3" xfId="2455" xr:uid="{00000000-0005-0000-0000-0000B3090000}"/>
    <cellStyle name="Hyperlink 3 4" xfId="2456" xr:uid="{00000000-0005-0000-0000-0000B4090000}"/>
    <cellStyle name="Hyperlink 3 5" xfId="2457" xr:uid="{00000000-0005-0000-0000-0000B5090000}"/>
    <cellStyle name="Hyperlink 3 6" xfId="2458" xr:uid="{00000000-0005-0000-0000-0000B6090000}"/>
    <cellStyle name="Hyperlink 3 7" xfId="2459" xr:uid="{00000000-0005-0000-0000-0000B7090000}"/>
    <cellStyle name="Hyperlink 3 8" xfId="2460" xr:uid="{00000000-0005-0000-0000-0000B8090000}"/>
    <cellStyle name="Hyperlink 3 9" xfId="2461" xr:uid="{00000000-0005-0000-0000-0000B9090000}"/>
    <cellStyle name="Hyperlink 4" xfId="2462" xr:uid="{00000000-0005-0000-0000-0000BA090000}"/>
    <cellStyle name="Hyperlink 5" xfId="2463" xr:uid="{00000000-0005-0000-0000-0000BB090000}"/>
    <cellStyle name="Hyperlink 6" xfId="18720" xr:uid="{919C777C-C206-47D2-ACB5-442CB3237C98}"/>
    <cellStyle name="InLink_Acquis_CapitalCost " xfId="2464" xr:uid="{00000000-0005-0000-0000-0000BC090000}"/>
    <cellStyle name="Input" xfId="5535" builtinId="20" customBuiltin="1"/>
    <cellStyle name="Input (1dp#)_ Pies " xfId="2465" xr:uid="{00000000-0005-0000-0000-0000BE090000}"/>
    <cellStyle name="Input [yellow]" xfId="2466" xr:uid="{00000000-0005-0000-0000-0000BF090000}"/>
    <cellStyle name="Input [yellow] 2" xfId="9278" xr:uid="{00000000-0005-0000-0000-00009A060000}"/>
    <cellStyle name="Input [yellow] 2 2" xfId="18376" xr:uid="{ABA6E4F4-3AB6-400E-8CF3-308DED93974A}"/>
    <cellStyle name="Input [yellow] 2 3" xfId="41812" xr:uid="{71C12627-386B-474C-9ED4-C56DACF513B9}"/>
    <cellStyle name="Input [yellow] 2 4" xfId="46532" xr:uid="{29CACD30-78E3-48C8-BFF9-5CDC717731B3}"/>
    <cellStyle name="Input [yellow] 2 5" xfId="47768" xr:uid="{48987442-F714-4E05-991D-505BD78B7970}"/>
    <cellStyle name="Input [yellow] 2 6" xfId="16510" xr:uid="{4AF42C9F-B5F5-4B22-9352-4C24DC0A7ADB}"/>
    <cellStyle name="Input [yellow] 2 7" xfId="37952" xr:uid="{EC5D8FFC-4E9D-41BE-9802-59B046F71A5F}"/>
    <cellStyle name="Input [yellow] 3" xfId="9285" xr:uid="{00000000-0005-0000-0000-0000EA1A0000}"/>
    <cellStyle name="Input [yellow] 3 2" xfId="23486" xr:uid="{ED9A1535-C1A5-4EAD-B43F-A2D6B8105B31}"/>
    <cellStyle name="Input [yellow] 3 3" xfId="41819" xr:uid="{AFB05407-6EDE-44BC-BFD9-DFFA3F7E4BB7}"/>
    <cellStyle name="Input [yellow] 3 4" xfId="47158" xr:uid="{C9D46E01-3CBA-4860-AF64-43B1B70A6953}"/>
    <cellStyle name="Input [yellow] 3 5" xfId="37704" xr:uid="{1BA5DC12-0AAB-4777-B9D4-EE9ED11856E7}"/>
    <cellStyle name="Input [yellow] 3 6" xfId="46080" xr:uid="{E4732AC8-BBD4-411D-A425-1F475ADCD4C5}"/>
    <cellStyle name="Input [yellow] 3 7" xfId="48734" xr:uid="{2183AB06-28E0-47E7-BF1E-251A6EBE798B}"/>
    <cellStyle name="Input [yellow] 3 8" xfId="47940" xr:uid="{6B158EBD-DB3F-4849-8D69-6E979C2F53BB}"/>
    <cellStyle name="Input [yellow] 4" xfId="14958" xr:uid="{6E28DAE6-4A2E-4C31-A911-B585A0600841}"/>
    <cellStyle name="Input [yellow] 5" xfId="16630" xr:uid="{7F487491-1F2F-4404-8210-65FC7866BA83}"/>
    <cellStyle name="Input [yellow] 6" xfId="47899" xr:uid="{510A0C04-7151-4DF7-A76A-3E5906BA2093}"/>
    <cellStyle name="Input [yellow] 7" xfId="46726" xr:uid="{17AA361F-1584-498B-98DA-490656C8EBCE}"/>
    <cellStyle name="Input [yellow] 8" xfId="46755" xr:uid="{FF32E039-6E12-4148-85C0-62FD7B217A09}"/>
    <cellStyle name="Input [yellow] 9" xfId="49878" xr:uid="{427E5FED-0A49-42C2-8539-28A90109BEBA}"/>
    <cellStyle name="Input 2" xfId="2467" xr:uid="{00000000-0005-0000-0000-0000C0090000}"/>
    <cellStyle name="Input 2 10" xfId="2468" xr:uid="{00000000-0005-0000-0000-0000C1090000}"/>
    <cellStyle name="Input 2 10 10" xfId="47363" xr:uid="{26F7D2EA-3B9A-474A-8813-854C62394963}"/>
    <cellStyle name="Input 2 10 2" xfId="9470" xr:uid="{00000000-0005-0000-0000-0000EC1A0000}"/>
    <cellStyle name="Input 2 10 2 10" xfId="20841" xr:uid="{D7569491-0C16-4D06-A678-7EF0CC4F3D9F}"/>
    <cellStyle name="Input 2 10 2 11" xfId="20891" xr:uid="{ECE0827C-7BCD-43B7-9751-04FE6B1F14EB}"/>
    <cellStyle name="Input 2 10 2 12" xfId="21988" xr:uid="{03C3E5EE-3145-4823-8976-2225585CACB1}"/>
    <cellStyle name="Input 2 10 2 13" xfId="18859" xr:uid="{AE72AD3E-7EC7-4F92-9E5E-FD07C6FC947F}"/>
    <cellStyle name="Input 2 10 2 14" xfId="19386" xr:uid="{F0346775-3CBA-4A98-B140-B5C59E859E01}"/>
    <cellStyle name="Input 2 10 2 15" xfId="19048" xr:uid="{2B4BECDF-8D78-4416-9222-5E562E18D086}"/>
    <cellStyle name="Input 2 10 2 16" xfId="33179" xr:uid="{C9E7D988-45A2-4BFE-B1DD-35CFEF50F448}"/>
    <cellStyle name="Input 2 10 2 17" xfId="18378" xr:uid="{0D5DC8A4-5A48-45CD-B852-9648125C7B12}"/>
    <cellStyle name="Input 2 10 2 18" xfId="41959" xr:uid="{BF72E8A1-D5FB-47CB-BBDD-0BFF7AAF3B95}"/>
    <cellStyle name="Input 2 10 2 19" xfId="37741" xr:uid="{D92273D5-6444-451C-AB90-45F8D1EDA3B9}"/>
    <cellStyle name="Input 2 10 2 2" xfId="19981" xr:uid="{C6355902-B009-47D7-A36A-47EAB1A691D7}"/>
    <cellStyle name="Input 2 10 2 20" xfId="47849" xr:uid="{50DBDC01-65E6-4524-B740-E3DDB815A946}"/>
    <cellStyle name="Input 2 10 2 21" xfId="46363" xr:uid="{76FB47F8-F811-4876-8C8C-D6BCB36E8B2F}"/>
    <cellStyle name="Input 2 10 2 22" xfId="48102" xr:uid="{297F8B4F-F42C-466A-8172-19848B76672B}"/>
    <cellStyle name="Input 2 10 2 3" xfId="21118" xr:uid="{2120ABEC-AEC3-4DB8-AEA7-A9E0C01A5049}"/>
    <cellStyle name="Input 2 10 2 4" xfId="19574" xr:uid="{4AE0DA78-6E86-40B9-BDE9-AD4A8615AC24}"/>
    <cellStyle name="Input 2 10 2 5" xfId="20181" xr:uid="{35F2CA66-593B-479E-B1AD-BF685FE5BC0D}"/>
    <cellStyle name="Input 2 10 2 6" xfId="21701" xr:uid="{83062F6A-211E-4A62-BD3E-5D58B27669CD}"/>
    <cellStyle name="Input 2 10 2 7" xfId="22155" xr:uid="{FBA228E0-E6B3-4100-98F1-466E642ED042}"/>
    <cellStyle name="Input 2 10 2 8" xfId="21308" xr:uid="{54868257-8F37-4103-9EF9-9A4285EAE65C}"/>
    <cellStyle name="Input 2 10 2 9" xfId="21918" xr:uid="{65B5B250-BAA3-4B60-9D40-B6E56080E986}"/>
    <cellStyle name="Input 2 10 3" xfId="17971" xr:uid="{5A02F548-973E-434C-8F51-DE174E632A67}"/>
    <cellStyle name="Input 2 10 3 2" xfId="26343" xr:uid="{6FE60494-7133-4ECC-9BD6-16DAE9CC9E33}"/>
    <cellStyle name="Input 2 10 3 3" xfId="33174" xr:uid="{7D19B9D9-711C-4397-BC6F-40C8ACA67185}"/>
    <cellStyle name="Input 2 10 4" xfId="23485" xr:uid="{1EFDFF5C-0A45-4EC0-B8B2-1A27E1E87AC9}"/>
    <cellStyle name="Input 2 10 5" xfId="14959" xr:uid="{9CA1E3D6-989F-49A5-A6D9-80DCC232899C}"/>
    <cellStyle name="Input 2 10 6" xfId="16629" xr:uid="{3B70E2F4-CC9C-4119-AD7B-6711450D5BDB}"/>
    <cellStyle name="Input 2 10 7" xfId="47921" xr:uid="{01643DA0-CE8F-4034-8F41-85CA19C0F0E9}"/>
    <cellStyle name="Input 2 10 8" xfId="47675" xr:uid="{92E50983-E5FD-4E02-9E69-2C44FF02D466}"/>
    <cellStyle name="Input 2 10 9" xfId="49124" xr:uid="{004C67A6-9AF8-4B0A-823F-0F8FC51E8198}"/>
    <cellStyle name="Input 2 11" xfId="18377" xr:uid="{103128F3-763C-44E1-8F04-B1448B584814}"/>
    <cellStyle name="Input 2 11 10" xfId="18996" xr:uid="{845F9DFD-A9B1-4B19-B82F-4B2A7BCBE5B2}"/>
    <cellStyle name="Input 2 11 11" xfId="21131" xr:uid="{967F28CF-1C75-4F3C-86C5-7568BF2C7048}"/>
    <cellStyle name="Input 2 11 12" xfId="20793" xr:uid="{C58BB3E0-E705-4AD7-BD87-908197DD4DC1}"/>
    <cellStyle name="Input 2 11 13" xfId="19553" xr:uid="{8B3C0371-DD96-4A31-811A-351855FC3900}"/>
    <cellStyle name="Input 2 11 14" xfId="19818" xr:uid="{3D3AE07B-4109-41DB-8896-59D259AAE412}"/>
    <cellStyle name="Input 2 11 15" xfId="20395" xr:uid="{9BF47232-522D-47C2-92E9-42B97CB413EA}"/>
    <cellStyle name="Input 2 11 16" xfId="31674" xr:uid="{21666D71-E0D1-45AA-8123-5FCBE2CA7E03}"/>
    <cellStyle name="Input 2 11 2" xfId="19982" xr:uid="{9D33A2D7-E7C5-4F68-8C6A-3D6E9AB27807}"/>
    <cellStyle name="Input 2 11 2 2" xfId="27512" xr:uid="{E624EA18-3B8E-4763-88EF-087573ABA38F}"/>
    <cellStyle name="Input 2 11 2 3" xfId="34356" xr:uid="{5F1E7CD6-7D64-4D7C-A6CA-3060FD57E94E}"/>
    <cellStyle name="Input 2 11 3" xfId="21119" xr:uid="{FFBC4831-9315-4555-8D8E-00027D448001}"/>
    <cellStyle name="Input 2 11 3 2" xfId="29592" xr:uid="{21E65489-C447-42CA-A890-43BD670ED43A}"/>
    <cellStyle name="Input 2 11 3 3" xfId="36437" xr:uid="{D2ECF9A8-E088-4C3F-AE80-D628D2A03EE7}"/>
    <cellStyle name="Input 2 11 4" xfId="21250" xr:uid="{9D872A02-84F3-43F9-AD2D-B9949C77E62D}"/>
    <cellStyle name="Input 2 11 5" xfId="19222" xr:uid="{2ED7F26A-BDCD-43E0-A284-3050C2C67392}"/>
    <cellStyle name="Input 2 11 6" xfId="20175" xr:uid="{2BDC7BC5-C43C-498D-A454-B5F9E23B470D}"/>
    <cellStyle name="Input 2 11 7" xfId="19114" xr:uid="{333A5454-80A3-4A15-9689-2D0D0C473190}"/>
    <cellStyle name="Input 2 11 8" xfId="20679" xr:uid="{322DE253-4291-451E-A24B-C49B864CEDB8}"/>
    <cellStyle name="Input 2 11 9" xfId="22359" xr:uid="{AC254BBB-E037-4049-89E1-D8E0B0FB9A5C}"/>
    <cellStyle name="Input 2 12" xfId="17393" xr:uid="{D1A18510-093D-468B-9DF8-5951C61FFFA0}"/>
    <cellStyle name="Input 2 12 2" xfId="26890" xr:uid="{82CF6DDB-4B9F-4C28-93F0-4B2D06BC55CB}"/>
    <cellStyle name="Input 2 12 2 2" xfId="33730" xr:uid="{3B848D13-6811-447B-8C9B-C3D0A1A5272C}"/>
    <cellStyle name="Input 2 12 3" xfId="28966" xr:uid="{0D7EB37A-33F8-49AF-9C38-EB9D275A8722}"/>
    <cellStyle name="Input 2 12 3 2" xfId="35811" xr:uid="{0914955C-00EA-4AA7-B0B3-47FDFC21C4B4}"/>
    <cellStyle name="Input 2 12 4" xfId="24283" xr:uid="{A997A7DE-F50B-4713-A176-363AEEF0941D}"/>
    <cellStyle name="Input 2 12 5" xfId="31048" xr:uid="{F418C98A-9113-4E65-B372-FF7B65ED5E3A}"/>
    <cellStyle name="Input 2 13" xfId="23801" xr:uid="{09C071F3-836A-4F5E-93E4-356D0D211D2A}"/>
    <cellStyle name="Input 2 13 2" xfId="26415" xr:uid="{F660373C-E5E2-4C60-86DF-D5B65D7D7C39}"/>
    <cellStyle name="Input 2 13 2 2" xfId="33255" xr:uid="{E5A63149-6A7C-4E91-ADBA-3B8CAE89FF30}"/>
    <cellStyle name="Input 2 13 3" xfId="26267" xr:uid="{FD029E5D-375F-442B-A25B-823651D05ADC}"/>
    <cellStyle name="Input 2 13 3 2" xfId="33095" xr:uid="{0AF9AB93-9534-43B7-9E37-4B201D130EBD}"/>
    <cellStyle name="Input 2 13 4" xfId="23389" xr:uid="{9EAA9924-3C6D-4AB8-A611-01AF3AFBB106}"/>
    <cellStyle name="Input 2 14" xfId="23931" xr:uid="{D0EC2B4E-5B9D-427C-A60C-A1690232478F}"/>
    <cellStyle name="Input 2 14 2" xfId="26549" xr:uid="{F653BDCA-16D7-40BC-8A78-44959781569A}"/>
    <cellStyle name="Input 2 14 2 2" xfId="33389" xr:uid="{F4B1D948-09FB-4865-9654-B7EEA550CDC7}"/>
    <cellStyle name="Input 2 14 3" xfId="26136" xr:uid="{386EEFDE-9507-48EE-8E41-99B500BE99CB}"/>
    <cellStyle name="Input 2 14 3 2" xfId="32964" xr:uid="{09857C36-1784-483D-92C9-427C0566F9C0}"/>
    <cellStyle name="Input 2 14 4" xfId="23258" xr:uid="{6F0EFABA-F755-4B97-9410-5271E3414991}"/>
    <cellStyle name="Input 2 15" xfId="24293" xr:uid="{EB82AEDA-92DB-4BC1-BAE0-A42591B1A4B0}"/>
    <cellStyle name="Input 2 15 2" xfId="26900" xr:uid="{B264D963-0132-43D5-9992-D7D10CE73B3A}"/>
    <cellStyle name="Input 2 15 2 2" xfId="33740" xr:uid="{1BA75582-1CB3-47BC-9255-5E5EF3B0547F}"/>
    <cellStyle name="Input 2 15 3" xfId="28976" xr:uid="{8546A84F-4147-40FA-8EF8-BC925B35770D}"/>
    <cellStyle name="Input 2 15 3 2" xfId="35821" xr:uid="{2C140A47-7CEF-4767-89BB-34C382EB29AA}"/>
    <cellStyle name="Input 2 15 4" xfId="31058" xr:uid="{CF3AF559-E2CA-423D-99F7-7C4D540DC757}"/>
    <cellStyle name="Input 2 16" xfId="24069" xr:uid="{0DF5BF6F-9229-442B-9CA6-552EA940453A}"/>
    <cellStyle name="Input 2 16 2" xfId="26682" xr:uid="{1F616423-2BBC-48CE-B572-5107B24B35FC}"/>
    <cellStyle name="Input 2 16 2 2" xfId="33522" xr:uid="{537C1833-E990-474E-BB52-560463812E5D}"/>
    <cellStyle name="Input 2 16 3" xfId="28758" xr:uid="{9CBCAEFC-D24B-48BD-ACD2-0BA1425AE63B}"/>
    <cellStyle name="Input 2 16 3 2" xfId="35603" xr:uid="{CBF66E72-7CD5-4890-8B12-0F951E1F7EC8}"/>
    <cellStyle name="Input 2 16 4" xfId="30840" xr:uid="{5EC12D61-1527-49BD-A845-6CD0EF1EE6EF}"/>
    <cellStyle name="Input 2 17" xfId="25215" xr:uid="{8B7E8D56-2B48-4C7F-BDA9-D923DC362796}"/>
    <cellStyle name="Input 2 17 2" xfId="27887" xr:uid="{434237D7-AAFA-448F-B7FA-A4BB9568A320}"/>
    <cellStyle name="Input 2 17 2 2" xfId="34732" xr:uid="{FDDECB23-8549-43FC-83F0-309776008909}"/>
    <cellStyle name="Input 2 17 3" xfId="29968" xr:uid="{9E0E81B0-038C-4335-AF21-EBC448856C95}"/>
    <cellStyle name="Input 2 17 3 2" xfId="36813" xr:uid="{108FB66F-3098-4E95-8453-F911E60FD1D0}"/>
    <cellStyle name="Input 2 17 4" xfId="32050" xr:uid="{BF821892-B8E7-47D1-9285-4F978F741215}"/>
    <cellStyle name="Input 2 18" xfId="24086" xr:uid="{71BF511F-284A-40C4-97E5-330BB9675F31}"/>
    <cellStyle name="Input 2 18 2" xfId="26699" xr:uid="{EC4D0F5A-B687-444A-9D9B-87478F400070}"/>
    <cellStyle name="Input 2 18 2 2" xfId="33539" xr:uid="{40E5E68F-6D7E-4DEE-BA79-E2AC0EEFCCD2}"/>
    <cellStyle name="Input 2 18 3" xfId="28775" xr:uid="{A413A066-B882-4B38-A68D-AF4D66D87D02}"/>
    <cellStyle name="Input 2 18 3 2" xfId="35620" xr:uid="{1A5EE514-5459-4512-9A86-FCF11B959F60}"/>
    <cellStyle name="Input 2 18 4" xfId="30857" xr:uid="{97F00FFE-B406-43CC-BF02-5B2DCF67F2D0}"/>
    <cellStyle name="Input 2 19" xfId="25602" xr:uid="{B6C82D36-A7BE-402D-9806-DD05679C6F8C}"/>
    <cellStyle name="Input 2 19 2" xfId="28269" xr:uid="{F8761B96-5C81-4988-B78D-BEB2E830AB91}"/>
    <cellStyle name="Input 2 19 2 2" xfId="35114" xr:uid="{DAEDEBE7-8152-41D3-88ED-13042BB96355}"/>
    <cellStyle name="Input 2 19 3" xfId="30350" xr:uid="{C014CDF9-4F4F-471A-BC53-3F5D247EE90B}"/>
    <cellStyle name="Input 2 19 3 2" xfId="37195" xr:uid="{CF008B55-FE51-4A03-928E-F3F3926B4DCD}"/>
    <cellStyle name="Input 2 19 4" xfId="32432" xr:uid="{1032ED64-456D-436D-98A0-34E15E694159}"/>
    <cellStyle name="Input 2 2" xfId="2469" xr:uid="{00000000-0005-0000-0000-0000C2090000}"/>
    <cellStyle name="Input 2 2 10" xfId="25377" xr:uid="{06C62892-0D28-4CCF-AB22-E051424B785D}"/>
    <cellStyle name="Input 2 2 10 2" xfId="28044" xr:uid="{8A61A41C-8B65-4DE3-91AC-C209B0A19016}"/>
    <cellStyle name="Input 2 2 10 2 2" xfId="34889" xr:uid="{F3CCA422-E6BF-4B2D-A497-2D7A6BBD811A}"/>
    <cellStyle name="Input 2 2 10 3" xfId="30125" xr:uid="{D48E6305-CF14-4E1A-8A73-D0A8F7CB8D1C}"/>
    <cellStyle name="Input 2 2 10 3 2" xfId="36970" xr:uid="{C8466E33-4688-4BDF-8432-6832DABD1BC0}"/>
    <cellStyle name="Input 2 2 10 4" xfId="32207" xr:uid="{27817893-5D91-43DA-A2AA-23B23C320F52}"/>
    <cellStyle name="Input 2 2 11" xfId="24070" xr:uid="{9E78986D-3871-4B08-8C23-82EE445A6784}"/>
    <cellStyle name="Input 2 2 11 2" xfId="26683" xr:uid="{3ECF5F50-046E-4410-B996-77EB69F2EAB1}"/>
    <cellStyle name="Input 2 2 11 2 2" xfId="33523" xr:uid="{8A04C0B9-51A5-4546-A7AA-91F18CEB0681}"/>
    <cellStyle name="Input 2 2 11 3" xfId="28759" xr:uid="{A452DDC9-213E-4693-9B2A-EE1762E94AFF}"/>
    <cellStyle name="Input 2 2 11 3 2" xfId="35604" xr:uid="{CBC39E92-DEFD-4B24-B6DA-4DC9171BE9BF}"/>
    <cellStyle name="Input 2 2 11 4" xfId="30841" xr:uid="{7538ED23-D120-409B-B645-FD2FD24F1EE3}"/>
    <cellStyle name="Input 2 2 12" xfId="25416" xr:uid="{9EC39508-DEA3-4F37-9139-49687545D4D2}"/>
    <cellStyle name="Input 2 2 12 2" xfId="28083" xr:uid="{5A9BC0C5-35B9-475A-9929-41B469227943}"/>
    <cellStyle name="Input 2 2 12 2 2" xfId="34928" xr:uid="{BC67AAE6-C25B-4F29-9054-9B231DAC795A}"/>
    <cellStyle name="Input 2 2 12 3" xfId="30164" xr:uid="{BB72E9EC-9907-4C43-837A-561620A3A4B3}"/>
    <cellStyle name="Input 2 2 12 3 2" xfId="37009" xr:uid="{4C602C4B-4C42-4EFE-BAC5-61E6C6714B3C}"/>
    <cellStyle name="Input 2 2 12 4" xfId="32246" xr:uid="{BEFAF21D-2127-49FE-9F53-B1944E03EACA}"/>
    <cellStyle name="Input 2 2 13" xfId="24033" xr:uid="{30304E29-04BE-44CF-9FCA-A1A3B807CE25}"/>
    <cellStyle name="Input 2 2 13 2" xfId="26647" xr:uid="{5FF1BD89-B853-4C7B-B728-8D046CF80CE4}"/>
    <cellStyle name="Input 2 2 13 2 2" xfId="33487" xr:uid="{94A793D4-78D4-449A-A5EB-3F475582691A}"/>
    <cellStyle name="Input 2 2 13 3" xfId="28723" xr:uid="{C5AD2AFD-A7E0-4430-A8C2-0DD0B91F8AE3}"/>
    <cellStyle name="Input 2 2 13 3 2" xfId="35568" xr:uid="{6F7EDE3F-63D1-43C9-99BF-BC84C424A6B3}"/>
    <cellStyle name="Input 2 2 13 4" xfId="30805" xr:uid="{C3F033AD-A6ED-4817-B2E7-FF137F8F3E95}"/>
    <cellStyle name="Input 2 2 14" xfId="24136" xr:uid="{81FF7A11-61A7-41C6-BA5C-12ECCDC9735B}"/>
    <cellStyle name="Input 2 2 14 2" xfId="26748" xr:uid="{9AAD23E7-5E7B-4031-9F73-359DA316B052}"/>
    <cellStyle name="Input 2 2 14 2 2" xfId="33588" xr:uid="{1AC375CE-7E49-4C1C-94E3-F33CFA54EEC6}"/>
    <cellStyle name="Input 2 2 14 3" xfId="28824" xr:uid="{89A71FFE-02EA-4897-BF6E-EA8380B6BB82}"/>
    <cellStyle name="Input 2 2 14 3 2" xfId="35669" xr:uid="{02393706-4914-44B8-AC22-CE47013F84C7}"/>
    <cellStyle name="Input 2 2 14 4" xfId="30906" xr:uid="{453B9480-1552-41C2-9850-67BB34A0A295}"/>
    <cellStyle name="Input 2 2 15" xfId="25859" xr:uid="{0B470455-07E3-4741-94D6-614E59A75F12}"/>
    <cellStyle name="Input 2 2 15 2" xfId="28525" xr:uid="{895F2203-160C-41A4-A81B-929309609685}"/>
    <cellStyle name="Input 2 2 15 2 2" xfId="35370" xr:uid="{546A2174-9F0C-4D4F-9093-AB3518463246}"/>
    <cellStyle name="Input 2 2 15 3" xfId="30606" xr:uid="{9AAD8E63-4378-437C-AE10-074D697E14A4}"/>
    <cellStyle name="Input 2 2 15 3 2" xfId="37451" xr:uid="{F0B26443-8F98-483E-8F90-8EB26898662A}"/>
    <cellStyle name="Input 2 2 15 4" xfId="32688" xr:uid="{5A31135E-8807-4C2C-95D6-30CFA98D6F28}"/>
    <cellStyle name="Input 2 2 16" xfId="25798" xr:uid="{D4013B8C-66B3-4B87-B566-73AF3942C9C2}"/>
    <cellStyle name="Input 2 2 16 2" xfId="28464" xr:uid="{20D6D7A3-4FD1-4CBE-80F6-E44D5733D2A6}"/>
    <cellStyle name="Input 2 2 16 2 2" xfId="35309" xr:uid="{7F277BFA-BFEF-4989-95EA-86D06305950F}"/>
    <cellStyle name="Input 2 2 16 3" xfId="30545" xr:uid="{0A95FEFB-5C8F-4C5D-B00C-4F6A2E9F6033}"/>
    <cellStyle name="Input 2 2 16 3 2" xfId="37390" xr:uid="{76886741-7F2F-4491-AA86-1F044DBEFED3}"/>
    <cellStyle name="Input 2 2 16 4" xfId="32627" xr:uid="{1E8CBECA-133A-43FB-8318-50B22431E17D}"/>
    <cellStyle name="Input 2 2 17" xfId="24890" xr:uid="{AC5BD4C9-F428-4137-9157-11E1E6C9F675}"/>
    <cellStyle name="Input 2 2 17 2" xfId="27558" xr:uid="{84C324A8-991B-495A-8307-06BB6C36833E}"/>
    <cellStyle name="Input 2 2 17 2 2" xfId="34402" xr:uid="{A06F43EA-4068-418A-87C7-6E00B7798251}"/>
    <cellStyle name="Input 2 2 17 3" xfId="29638" xr:uid="{1A7621A0-3448-4F41-93EF-8479B2509D1F}"/>
    <cellStyle name="Input 2 2 17 3 2" xfId="36483" xr:uid="{493ACE76-C7F8-46E5-8A4C-2F4634E622D9}"/>
    <cellStyle name="Input 2 2 17 4" xfId="31720" xr:uid="{DC9B4863-5D12-4124-93F4-87B5ACA30087}"/>
    <cellStyle name="Input 2 2 18" xfId="23146" xr:uid="{DC128C07-8373-4588-A516-C6C168FD377C}"/>
    <cellStyle name="Input 2 2 19" xfId="13638" xr:uid="{A4710069-B230-47DA-803C-9171DB6061AF}"/>
    <cellStyle name="Input 2 2 2" xfId="2470" xr:uid="{00000000-0005-0000-0000-0000C3090000}"/>
    <cellStyle name="Input 2 2 2 10" xfId="23963" xr:uid="{E7E97E46-465A-4706-AE6D-5218E5D58531}"/>
    <cellStyle name="Input 2 2 2 10 2" xfId="26581" xr:uid="{B478BD40-193E-46F0-AEF6-5A412F577673}"/>
    <cellStyle name="Input 2 2 2 10 2 2" xfId="33421" xr:uid="{9FE0B024-32B5-4BF7-9FE5-4F2E7FC4397A}"/>
    <cellStyle name="Input 2 2 2 10 3" xfId="26111" xr:uid="{E30D2BF9-FAA0-4208-B20C-1DCD5BEDBE31}"/>
    <cellStyle name="Input 2 2 2 10 3 2" xfId="32939" xr:uid="{3D8D4227-44F2-4195-9CAD-FF9F1B9C68B8}"/>
    <cellStyle name="Input 2 2 2 10 4" xfId="23150" xr:uid="{2B42D74A-EE88-4CF7-9BDF-CB57DEE33509}"/>
    <cellStyle name="Input 2 2 2 11" xfId="24131" xr:uid="{0E53D85D-805A-44A8-96B9-873E462B2F08}"/>
    <cellStyle name="Input 2 2 2 11 2" xfId="26743" xr:uid="{5EDD321F-DDAF-4C4E-B6BA-7DDE9FFE99E6}"/>
    <cellStyle name="Input 2 2 2 11 2 2" xfId="33583" xr:uid="{1F1FF92B-CC8F-4069-B645-4111EC902F4B}"/>
    <cellStyle name="Input 2 2 2 11 3" xfId="28819" xr:uid="{7A44FFA0-ED8B-4C8C-9CAC-FB4A1E090DF5}"/>
    <cellStyle name="Input 2 2 2 11 3 2" xfId="35664" xr:uid="{5F882DF8-A462-453E-9DFA-71E8FCDB749D}"/>
    <cellStyle name="Input 2 2 2 11 4" xfId="30901" xr:uid="{727A72E1-E64C-43C4-9B11-676B1BE6B64D}"/>
    <cellStyle name="Input 2 2 2 12" xfId="23896" xr:uid="{150EB5D1-A6B1-4368-A290-E7509D3D9FFE}"/>
    <cellStyle name="Input 2 2 2 12 2" xfId="26514" xr:uid="{8885AB6A-8A73-4F7F-8617-0551CB0EF614}"/>
    <cellStyle name="Input 2 2 2 12 2 2" xfId="33354" xr:uid="{908FC8C0-072F-497B-B467-0381C5FF082A}"/>
    <cellStyle name="Input 2 2 2 12 3" xfId="26170" xr:uid="{92CA9FF0-9979-44F5-A3AE-BB9C3CAA8E10}"/>
    <cellStyle name="Input 2 2 2 12 3 2" xfId="32998" xr:uid="{2FD86EC1-5549-440C-B7A4-F7F0BD8DFECB}"/>
    <cellStyle name="Input 2 2 2 12 4" xfId="23292" xr:uid="{D0F9EA71-D426-4F3B-B010-D885658FA8E7}"/>
    <cellStyle name="Input 2 2 2 13" xfId="25505" xr:uid="{4936A234-6490-4149-9CD8-53BE3CEFBA38}"/>
    <cellStyle name="Input 2 2 2 13 2" xfId="28172" xr:uid="{E70E5982-9862-4B8E-8F18-F1926C58FF73}"/>
    <cellStyle name="Input 2 2 2 13 2 2" xfId="35017" xr:uid="{D8D8A87F-9202-424A-9770-0176ABC12655}"/>
    <cellStyle name="Input 2 2 2 13 3" xfId="30253" xr:uid="{BAF5B6BD-4AFB-4082-B3CB-B6319FA718D0}"/>
    <cellStyle name="Input 2 2 2 13 3 2" xfId="37098" xr:uid="{2E4BD1C4-4FEE-4432-942E-DC98A33BC262}"/>
    <cellStyle name="Input 2 2 2 13 4" xfId="32335" xr:uid="{A92E357C-D3FE-48BB-A837-21125A47AB75}"/>
    <cellStyle name="Input 2 2 2 14" xfId="25400" xr:uid="{140E1A04-0F70-4BD2-9563-C10799F6CBA2}"/>
    <cellStyle name="Input 2 2 2 14 2" xfId="28067" xr:uid="{F48A3497-3916-4389-8586-BBF28159212C}"/>
    <cellStyle name="Input 2 2 2 14 2 2" xfId="34912" xr:uid="{8CFFCD13-FD7C-4493-AF98-AD6CF414D1A2}"/>
    <cellStyle name="Input 2 2 2 14 3" xfId="30148" xr:uid="{6C98B6F5-16E3-478E-95AA-FE4FF4D9A2BB}"/>
    <cellStyle name="Input 2 2 2 14 3 2" xfId="36993" xr:uid="{A5892BDB-2FB3-47BA-9390-276BCCD0715E}"/>
    <cellStyle name="Input 2 2 2 14 4" xfId="32230" xr:uid="{0490BC78-8A63-4B06-AEE8-70DBEDDC0E4C}"/>
    <cellStyle name="Input 2 2 2 15" xfId="25880" xr:uid="{93C3C848-3D4C-4C88-A686-717A2B321352}"/>
    <cellStyle name="Input 2 2 2 15 2" xfId="28546" xr:uid="{2A4D4CCB-970B-4C56-A543-5F3C03D4D8F9}"/>
    <cellStyle name="Input 2 2 2 15 2 2" xfId="35391" xr:uid="{5C6910C9-2CE7-4ADC-9BB6-689D0B1247DD}"/>
    <cellStyle name="Input 2 2 2 15 3" xfId="30627" xr:uid="{19370595-7B4D-458D-965A-D76280C476D0}"/>
    <cellStyle name="Input 2 2 2 15 3 2" xfId="37472" xr:uid="{BC51E13A-1B6E-401C-92BB-7A3E49E5138D}"/>
    <cellStyle name="Input 2 2 2 15 4" xfId="32709" xr:uid="{8685D0E0-0B71-464B-A797-B8463C235245}"/>
    <cellStyle name="Input 2 2 2 16" xfId="24939" xr:uid="{F1D271FE-3EB5-47B5-9096-B98802AD473B}"/>
    <cellStyle name="Input 2 2 2 16 2" xfId="27609" xr:uid="{0B6D3E43-1B84-443F-89F0-6B41E184A881}"/>
    <cellStyle name="Input 2 2 2 16 2 2" xfId="34453" xr:uid="{2C6A0236-2369-4115-B10E-2E7298895E1F}"/>
    <cellStyle name="Input 2 2 2 16 3" xfId="29689" xr:uid="{9E168B7A-F70F-44D9-9880-EE3164E2A9DA}"/>
    <cellStyle name="Input 2 2 2 16 3 2" xfId="36534" xr:uid="{5AB19F76-0A44-4026-9E18-EAD9DFF858E9}"/>
    <cellStyle name="Input 2 2 2 16 4" xfId="31771" xr:uid="{D1464835-3B8F-4DFC-827B-AE3DBFD4A2F4}"/>
    <cellStyle name="Input 2 2 2 17" xfId="25188" xr:uid="{C093DF11-F4BA-4FE9-812B-06C21986AB30}"/>
    <cellStyle name="Input 2 2 2 17 2" xfId="27860" xr:uid="{22658844-FCB0-4085-9AF5-BF5B2E196B90}"/>
    <cellStyle name="Input 2 2 2 17 2 2" xfId="34705" xr:uid="{75491556-B7BB-481B-9282-11A0552C3781}"/>
    <cellStyle name="Input 2 2 2 17 3" xfId="29941" xr:uid="{2E8211F7-6490-45CE-8236-AEC4928B3245}"/>
    <cellStyle name="Input 2 2 2 17 3 2" xfId="36786" xr:uid="{EE6E8774-3A6B-4494-B94D-83E82876FEB8}"/>
    <cellStyle name="Input 2 2 2 17 4" xfId="32023" xr:uid="{39DE64CD-F8F8-4B53-BB41-6A698893F624}"/>
    <cellStyle name="Input 2 2 2 18" xfId="23137" xr:uid="{D5D65BD7-C435-4B8B-868D-795B18C24E9A}"/>
    <cellStyle name="Input 2 2 2 19" xfId="13639" xr:uid="{55B80A4F-35C9-4E93-9CBC-C23C4412EB70}"/>
    <cellStyle name="Input 2 2 2 2" xfId="2471" xr:uid="{00000000-0005-0000-0000-0000C4090000}"/>
    <cellStyle name="Input 2 2 2 2 10" xfId="25405" xr:uid="{F4DBD41C-4CD8-4A98-A974-8A4422BE7683}"/>
    <cellStyle name="Input 2 2 2 2 10 2" xfId="28072" xr:uid="{177064A9-0BAD-46C8-9192-BA71C38DE65B}"/>
    <cellStyle name="Input 2 2 2 2 10 2 2" xfId="34917" xr:uid="{90C4A980-0947-49C9-9030-0E004302FCE7}"/>
    <cellStyle name="Input 2 2 2 2 10 3" xfId="30153" xr:uid="{1F65350A-2BFA-40BC-9B51-7A3575023DC6}"/>
    <cellStyle name="Input 2 2 2 2 10 3 2" xfId="36998" xr:uid="{DA0814B4-F384-43C4-A96E-AAD1CCFB9528}"/>
    <cellStyle name="Input 2 2 2 2 10 4" xfId="32235" xr:uid="{2EA30988-F4D2-4BD1-B035-BE869F722D2F}"/>
    <cellStyle name="Input 2 2 2 2 11" xfId="25198" xr:uid="{9CE21F15-0159-483A-8CDF-0E1E74260A95}"/>
    <cellStyle name="Input 2 2 2 2 11 2" xfId="27870" xr:uid="{A3CD6B2D-4515-4F26-928F-023528861C2F}"/>
    <cellStyle name="Input 2 2 2 2 11 2 2" xfId="34715" xr:uid="{72CBAE1D-C25B-4B52-B742-F1A91254A112}"/>
    <cellStyle name="Input 2 2 2 2 11 3" xfId="29951" xr:uid="{A397F2E4-3A6B-48F4-80DC-3DC7C548A0A6}"/>
    <cellStyle name="Input 2 2 2 2 11 3 2" xfId="36796" xr:uid="{47871D7F-786B-45C0-A559-A7464997603D}"/>
    <cellStyle name="Input 2 2 2 2 11 4" xfId="32033" xr:uid="{9626F12E-FA6F-45F2-8362-910405A837AA}"/>
    <cellStyle name="Input 2 2 2 2 12" xfId="25336" xr:uid="{99B819A8-1EC2-49B2-BCBF-E33297676224}"/>
    <cellStyle name="Input 2 2 2 2 12 2" xfId="28004" xr:uid="{7C5FBB98-D8EA-4746-AE02-7257E8C1F57C}"/>
    <cellStyle name="Input 2 2 2 2 12 2 2" xfId="34849" xr:uid="{0AC61D02-46ED-4169-B6EA-4F0081AE35A1}"/>
    <cellStyle name="Input 2 2 2 2 12 3" xfId="30085" xr:uid="{E158BA12-E16C-4261-A7D1-17976D34B645}"/>
    <cellStyle name="Input 2 2 2 2 12 3 2" xfId="36930" xr:uid="{0A9D27A4-E278-426F-8631-76B1CA410BD7}"/>
    <cellStyle name="Input 2 2 2 2 12 4" xfId="32167" xr:uid="{8F5B6E05-A261-4D7A-8146-485A2E466A6F}"/>
    <cellStyle name="Input 2 2 2 2 13" xfId="23877" xr:uid="{A01ADC4C-2316-485F-B6B3-666CD7C30521}"/>
    <cellStyle name="Input 2 2 2 2 13 2" xfId="26495" xr:uid="{5EB17C6E-9842-4AA7-BDE2-261E7F087338}"/>
    <cellStyle name="Input 2 2 2 2 13 2 2" xfId="33335" xr:uid="{5F5F5796-FDEB-49D3-91E4-185763E2DF4C}"/>
    <cellStyle name="Input 2 2 2 2 13 3" xfId="26189" xr:uid="{CC708599-80D2-4864-B0ED-AE1E35622AFE}"/>
    <cellStyle name="Input 2 2 2 2 13 3 2" xfId="33017" xr:uid="{C9516B54-4A24-4BC8-BCEB-8EFCC1D7A0B8}"/>
    <cellStyle name="Input 2 2 2 2 13 4" xfId="23311" xr:uid="{FE663AE8-307B-46C7-B5A0-FA3413E080C3}"/>
    <cellStyle name="Input 2 2 2 2 14" xfId="25918" xr:uid="{5BFF8372-E418-4258-A518-48D3B991E811}"/>
    <cellStyle name="Input 2 2 2 2 14 2" xfId="28584" xr:uid="{8F6BBEF9-FA8A-4D84-9978-C334B5E3A4F7}"/>
    <cellStyle name="Input 2 2 2 2 14 2 2" xfId="35429" xr:uid="{D53132CF-01F9-442D-82BE-74B7F4883A2F}"/>
    <cellStyle name="Input 2 2 2 2 14 3" xfId="30665" xr:uid="{532F5FD1-4578-4D9D-A2E6-9A317CECFFF9}"/>
    <cellStyle name="Input 2 2 2 2 14 3 2" xfId="37510" xr:uid="{2BE49E77-C721-4846-B02B-9C19AD4C8EF3}"/>
    <cellStyle name="Input 2 2 2 2 14 4" xfId="32747" xr:uid="{A9382FFB-6D5C-494E-9A8E-1C1C6CBCF95B}"/>
    <cellStyle name="Input 2 2 2 2 15" xfId="24108" xr:uid="{798BC1D9-4689-4B1B-BB70-822A1DBA3F91}"/>
    <cellStyle name="Input 2 2 2 2 15 2" xfId="26720" xr:uid="{17062C2C-A190-483C-B63E-70D5751C1D58}"/>
    <cellStyle name="Input 2 2 2 2 15 2 2" xfId="33560" xr:uid="{E9F725C4-63B7-44B0-B650-EC44CD184B48}"/>
    <cellStyle name="Input 2 2 2 2 15 3" xfId="28796" xr:uid="{CF28B2AE-00A8-457F-9D90-D7818929B410}"/>
    <cellStyle name="Input 2 2 2 2 15 3 2" xfId="35641" xr:uid="{0189BA2D-EF0D-472A-93ED-740AB7421BDB}"/>
    <cellStyle name="Input 2 2 2 2 15 4" xfId="30878" xr:uid="{AAE84C1B-FA5F-4327-85B4-E2B394074827}"/>
    <cellStyle name="Input 2 2 2 2 16" xfId="23072" xr:uid="{778610CA-01F5-4E19-8EAB-2C4E86583EFE}"/>
    <cellStyle name="Input 2 2 2 2 17" xfId="14960" xr:uid="{7B42CD0D-0A09-456C-A534-EF80C3F4BE3F}"/>
    <cellStyle name="Input 2 2 2 2 18" xfId="14224" xr:uid="{45FF781C-2E17-4C4B-9307-CA11D93BE07F}"/>
    <cellStyle name="Input 2 2 2 2 19" xfId="47576" xr:uid="{52837D74-ABF5-491C-9F4E-205308EDE9FD}"/>
    <cellStyle name="Input 2 2 2 2 2" xfId="18381" xr:uid="{988E5551-8409-497E-B546-BE33AB9D9152}"/>
    <cellStyle name="Input 2 2 2 2 2 10" xfId="18961" xr:uid="{7B54F8F2-009C-41D0-97D8-E9DC3016DB2C}"/>
    <cellStyle name="Input 2 2 2 2 2 11" xfId="22647" xr:uid="{6675EC68-937A-4D68-8525-73D470CC526A}"/>
    <cellStyle name="Input 2 2 2 2 2 12" xfId="19073" xr:uid="{9D09F2C6-6D07-46BC-9EA6-BC15DF7DADD4}"/>
    <cellStyle name="Input 2 2 2 2 2 13" xfId="21050" xr:uid="{FB2301A0-04B8-4445-A5B9-C2BF4A68B7C4}"/>
    <cellStyle name="Input 2 2 2 2 2 14" xfId="21155" xr:uid="{1BF61D5B-9CE1-4EDC-A5BB-4C9C4DABC8FE}"/>
    <cellStyle name="Input 2 2 2 2 2 15" xfId="21675" xr:uid="{60304D78-0B83-410B-812A-19C80033FB04}"/>
    <cellStyle name="Input 2 2 2 2 2 16" xfId="31508" xr:uid="{1B5B6A4F-C772-45AC-A97D-99F3C4B004EC}"/>
    <cellStyle name="Input 2 2 2 2 2 2" xfId="19978" xr:uid="{E1C9AA18-83DC-47D8-847F-F1E1795D59D6}"/>
    <cellStyle name="Input 2 2 2 2 2 2 2" xfId="27346" xr:uid="{70EB195B-D1F9-4257-9B90-9B67FBFFA91E}"/>
    <cellStyle name="Input 2 2 2 2 2 2 3" xfId="34190" xr:uid="{E6E65467-1FC7-47E8-A976-DE524FE0EA0E}"/>
    <cellStyle name="Input 2 2 2 2 2 3" xfId="21115" xr:uid="{5527BD49-83F0-420F-9D8E-A7C14320241C}"/>
    <cellStyle name="Input 2 2 2 2 2 3 2" xfId="29426" xr:uid="{792C2229-5F4C-42DE-8ED8-461083CE1A96}"/>
    <cellStyle name="Input 2 2 2 2 2 3 3" xfId="36271" xr:uid="{E7091EEE-204B-4726-B423-73097C67986A}"/>
    <cellStyle name="Input 2 2 2 2 2 4" xfId="19590" xr:uid="{2C7D8A50-E9BF-42CD-BDF7-7E1EFD856174}"/>
    <cellStyle name="Input 2 2 2 2 2 5" xfId="20764" xr:uid="{763353C6-7143-4F53-9109-842A0EE78EB6}"/>
    <cellStyle name="Input 2 2 2 2 2 6" xfId="20367" xr:uid="{05137224-7FD8-4553-9530-0CCF396236F1}"/>
    <cellStyle name="Input 2 2 2 2 2 7" xfId="19174" xr:uid="{BA71AC9D-806C-429C-909A-036BDA635CD2}"/>
    <cellStyle name="Input 2 2 2 2 2 8" xfId="21219" xr:uid="{4E70C0C7-344C-4E53-9DD3-B20E1B82FB41}"/>
    <cellStyle name="Input 2 2 2 2 2 9" xfId="22267" xr:uid="{3AE08010-7E24-4406-B978-D8F4645E5BED}"/>
    <cellStyle name="Input 2 2 2 2 20" xfId="47858" xr:uid="{C8F24B06-8576-4FF4-85CA-AD7BBE38BCD9}"/>
    <cellStyle name="Input 2 2 2 2 21" xfId="46551" xr:uid="{8A3CEB09-B8F7-479C-827C-405406CE7D74}"/>
    <cellStyle name="Input 2 2 2 2 22" xfId="49910" xr:uid="{5E9EDCA8-85D0-4450-A9C8-4636C8D4DD4C}"/>
    <cellStyle name="Input 2 2 2 2 3" xfId="17680" xr:uid="{9D4898F0-D068-4006-B0A4-63CB80F4CCAA}"/>
    <cellStyle name="Input 2 2 2 2 3 2" xfId="27153" xr:uid="{98103ACE-2791-4210-BDF3-4194D573CA76}"/>
    <cellStyle name="Input 2 2 2 2 3 2 2" xfId="33994" xr:uid="{A8E9F73B-AA9B-4F8E-B881-0F646D86270A}"/>
    <cellStyle name="Input 2 2 2 2 3 3" xfId="29230" xr:uid="{F39714B7-4B1F-479E-BC81-C28BBC29E60B}"/>
    <cellStyle name="Input 2 2 2 2 3 3 2" xfId="36075" xr:uid="{14E59EA5-68D8-4D9C-A4DE-D3354315D363}"/>
    <cellStyle name="Input 2 2 2 2 3 4" xfId="24553" xr:uid="{74BE1CC5-A94C-413E-B7AD-1E28B6479D95}"/>
    <cellStyle name="Input 2 2 2 2 3 5" xfId="31312" xr:uid="{A3DC052B-A953-4B6B-AC53-AE3A952F18DA}"/>
    <cellStyle name="Input 2 2 2 2 4" xfId="23819" xr:uid="{0C3CF63F-7839-4A65-8092-3585D5B8E3FD}"/>
    <cellStyle name="Input 2 2 2 2 4 2" xfId="26438" xr:uid="{53F423CC-D829-408D-B56C-20046367F3F0}"/>
    <cellStyle name="Input 2 2 2 2 4 2 2" xfId="33278" xr:uid="{56CF8BC4-C01F-4CA1-BBD7-D0C5AD085157}"/>
    <cellStyle name="Input 2 2 2 2 4 3" xfId="26244" xr:uid="{2D6473DF-8162-41BC-82AC-B3F276FE1412}"/>
    <cellStyle name="Input 2 2 2 2 4 3 2" xfId="33072" xr:uid="{180ECF80-507B-42DC-B0AF-261904BE98AA}"/>
    <cellStyle name="Input 2 2 2 2 4 4" xfId="23366" xr:uid="{6DB7F453-5ABF-4A58-9C73-B64C68D12186}"/>
    <cellStyle name="Input 2 2 2 2 5" xfId="25004" xr:uid="{2B67EC87-2D9D-4959-A06D-20106C609654}"/>
    <cellStyle name="Input 2 2 2 2 5 2" xfId="27676" xr:uid="{B6D14D18-7649-4713-A355-F80F21A08989}"/>
    <cellStyle name="Input 2 2 2 2 5 2 2" xfId="34521" xr:uid="{70636EDC-9069-4066-8121-C6D1E3B81435}"/>
    <cellStyle name="Input 2 2 2 2 5 3" xfId="29757" xr:uid="{BD65913B-A049-4D76-96EE-EC5047C08F77}"/>
    <cellStyle name="Input 2 2 2 2 5 3 2" xfId="36602" xr:uid="{A94B3C9F-2EF4-498E-8031-7191F396BEDC}"/>
    <cellStyle name="Input 2 2 2 2 5 4" xfId="31839" xr:uid="{427E4953-FDF9-41B6-A0D7-FB7504B7503F}"/>
    <cellStyle name="Input 2 2 2 2 6" xfId="25270" xr:uid="{885F2DB5-C6F0-4A1D-A089-3F5F87D6412F}"/>
    <cellStyle name="Input 2 2 2 2 6 2" xfId="27941" xr:uid="{EA47759A-04AE-41DF-93DF-155CF2A90C69}"/>
    <cellStyle name="Input 2 2 2 2 6 2 2" xfId="34786" xr:uid="{9F787499-5D09-4ED1-B228-9AB06F9D76E2}"/>
    <cellStyle name="Input 2 2 2 2 6 3" xfId="30022" xr:uid="{B9AFB0D0-8D1E-4415-BBA3-4B3C2BB0AA51}"/>
    <cellStyle name="Input 2 2 2 2 6 3 2" xfId="36867" xr:uid="{3AB9552D-12A0-4327-9EA0-6CDFD1985D25}"/>
    <cellStyle name="Input 2 2 2 2 6 4" xfId="32104" xr:uid="{44E03776-F470-4FBD-8F1A-674C6D0BC0F0}"/>
    <cellStyle name="Input 2 2 2 2 7" xfId="25200" xr:uid="{5595A289-08C6-498E-80B4-789F2D620AA3}"/>
    <cellStyle name="Input 2 2 2 2 7 2" xfId="27872" xr:uid="{ADD8706E-D3A0-46C0-8FEC-61572E756350}"/>
    <cellStyle name="Input 2 2 2 2 7 2 2" xfId="34717" xr:uid="{E8152BD2-1340-4E81-9FFE-5BDBFE9CF406}"/>
    <cellStyle name="Input 2 2 2 2 7 3" xfId="29953" xr:uid="{BD7255D5-AA5B-4EDD-AC9A-BC36F6838793}"/>
    <cellStyle name="Input 2 2 2 2 7 3 2" xfId="36798" xr:uid="{93638140-3010-4CFF-9211-22ACA44F81EB}"/>
    <cellStyle name="Input 2 2 2 2 7 4" xfId="32035" xr:uid="{EC4866C8-5744-4038-A410-4F93445CEEB9}"/>
    <cellStyle name="Input 2 2 2 2 8" xfId="24821" xr:uid="{EB581E19-4738-4FC2-97D0-CAA8507DA57E}"/>
    <cellStyle name="Input 2 2 2 2 8 2" xfId="27480" xr:uid="{407C14B1-0A65-4C3D-ADF4-3DAFB1C6399A}"/>
    <cellStyle name="Input 2 2 2 2 8 2 2" xfId="34324" xr:uid="{DC0D22D5-41A9-4AB3-A4DC-3B422443F268}"/>
    <cellStyle name="Input 2 2 2 2 8 3" xfId="29560" xr:uid="{1001F906-CCEB-4C8C-99F1-C3D33883DA8A}"/>
    <cellStyle name="Input 2 2 2 2 8 3 2" xfId="36405" xr:uid="{16FFCD27-AF13-4E0A-A7AA-5A8B99C2559F}"/>
    <cellStyle name="Input 2 2 2 2 8 4" xfId="31642" xr:uid="{503C3C4C-9A87-4D24-92C8-C57C2F9679CA}"/>
    <cellStyle name="Input 2 2 2 2 9" xfId="24289" xr:uid="{7E2A3362-FB76-47B5-AF92-2940B1BB37EC}"/>
    <cellStyle name="Input 2 2 2 2 9 2" xfId="26896" xr:uid="{DF03CD8E-D430-469C-AD44-016000C9EB66}"/>
    <cellStyle name="Input 2 2 2 2 9 2 2" xfId="33736" xr:uid="{AF06D45A-D160-4B11-B916-B83A72B1D8AA}"/>
    <cellStyle name="Input 2 2 2 2 9 3" xfId="28972" xr:uid="{ADDD2A77-B461-4DBF-894E-ACD7DF923537}"/>
    <cellStyle name="Input 2 2 2 2 9 3 2" xfId="35817" xr:uid="{B80B7C2B-131C-4C32-AC49-BB9AA8A106B9}"/>
    <cellStyle name="Input 2 2 2 2 9 4" xfId="31054" xr:uid="{25DF8B49-646B-4B88-825B-055F02EAA295}"/>
    <cellStyle name="Input 2 2 2 20" xfId="14226" xr:uid="{66EC012B-48BA-468A-A18A-1D478A8AE227}"/>
    <cellStyle name="Input 2 2 2 21" xfId="46722" xr:uid="{3A334E61-55A0-4720-A564-975E98363309}"/>
    <cellStyle name="Input 2 2 2 22" xfId="40616" xr:uid="{2988A064-917E-4BC7-B32F-44085864A5A6}"/>
    <cellStyle name="Input 2 2 2 23" xfId="49669" xr:uid="{A42C6745-FDF6-4586-A12C-B5EF0C4CC759}"/>
    <cellStyle name="Input 2 2 2 24" xfId="40513" xr:uid="{0578FCF5-5B73-478D-A27B-5BA7FB0C260A}"/>
    <cellStyle name="Input 2 2 2 3" xfId="2472" xr:uid="{00000000-0005-0000-0000-0000C5090000}"/>
    <cellStyle name="Input 2 2 2 3 2" xfId="9333" xr:uid="{00000000-0005-0000-0000-0000EE1A0000}"/>
    <cellStyle name="Input 2 2 2 3 2 2" xfId="41854" xr:uid="{12A956AD-44A7-4493-B0B3-105397B3EB85}"/>
    <cellStyle name="Input 2 2 2 3 2 3" xfId="37720" xr:uid="{0750CE7E-E669-4BBD-9C30-64C55BA54E46}"/>
    <cellStyle name="Input 2 2 2 3 2 4" xfId="47056" xr:uid="{59A684CA-7EBF-478A-9436-11F10D0C06D3}"/>
    <cellStyle name="Input 2 2 2 3 2 5" xfId="46457" xr:uid="{0FE22542-535A-4CF0-8B7B-ED326DE22EF4}"/>
    <cellStyle name="Input 2 2 2 3 2 6" xfId="49480" xr:uid="{44075FBB-64D9-4C66-87BF-D5EACE74A04C}"/>
    <cellStyle name="Input 2 2 2 4" xfId="18380" xr:uid="{8C4F9CC6-6F3E-4DC8-A2E9-A07E52A45F38}"/>
    <cellStyle name="Input 2 2 2 4 10" xfId="20138" xr:uid="{E8F9F42F-DC5A-4601-AE2A-AE829EA3E87B}"/>
    <cellStyle name="Input 2 2 2 4 11" xfId="22513" xr:uid="{462F31F5-2C27-4EFA-AB2F-E68495C9DF99}"/>
    <cellStyle name="Input 2 2 2 4 12" xfId="22646" xr:uid="{C1DD3109-CE53-4F01-8A39-354D1B71F2B7}"/>
    <cellStyle name="Input 2 2 2 4 13" xfId="19177" xr:uid="{A2E1371D-279A-4541-9128-63FE33CBB81B}"/>
    <cellStyle name="Input 2 2 2 4 14" xfId="22667" xr:uid="{4A0B8611-CB42-4093-8408-7C479876C075}"/>
    <cellStyle name="Input 2 2 2 4 15" xfId="22305" xr:uid="{9CD4D064-1AF6-4CB5-9C95-EC7A552F15B5}"/>
    <cellStyle name="Input 2 2 2 4 16" xfId="31147" xr:uid="{1721528A-2515-47AE-B6D2-6251F621381E}"/>
    <cellStyle name="Input 2 2 2 4 2" xfId="19979" xr:uid="{B9D02688-41EC-44D5-AEBA-0D0C57221B11}"/>
    <cellStyle name="Input 2 2 2 4 2 2" xfId="26989" xr:uid="{EFC49E7E-1F37-49EA-AEA7-E77F99C9C3AE}"/>
    <cellStyle name="Input 2 2 2 4 2 3" xfId="33829" xr:uid="{A24915F4-7043-4F15-9D6C-E36810551F6D}"/>
    <cellStyle name="Input 2 2 2 4 3" xfId="21116" xr:uid="{3567B76D-E335-46C9-B59C-06F05035185F}"/>
    <cellStyle name="Input 2 2 2 4 3 2" xfId="29065" xr:uid="{78655FF5-7878-403D-8406-767D8E99D98E}"/>
    <cellStyle name="Input 2 2 2 4 3 3" xfId="35910" xr:uid="{38BF19B0-C7A5-4E7B-B9D4-60F6C7ED9502}"/>
    <cellStyle name="Input 2 2 2 4 4" xfId="19151" xr:uid="{B6EDF7D8-FE80-465E-B97A-98019F63DB02}"/>
    <cellStyle name="Input 2 2 2 4 5" xfId="21014" xr:uid="{59051025-45EC-49F7-8877-0B85EDDA40F9}"/>
    <cellStyle name="Input 2 2 2 4 6" xfId="20557" xr:uid="{04B01DE6-3199-4C2B-BEDC-00CCFB60D7FA}"/>
    <cellStyle name="Input 2 2 2 4 7" xfId="21144" xr:uid="{121DEFE2-8C4E-4EF5-B5C1-0A7E16608827}"/>
    <cellStyle name="Input 2 2 2 4 8" xfId="21694" xr:uid="{2CBAD836-3007-44DA-8EE1-3616B8434DA3}"/>
    <cellStyle name="Input 2 2 2 4 9" xfId="22065" xr:uid="{9CF5C60E-B607-4498-8B0F-7C950A4E0776}"/>
    <cellStyle name="Input 2 2 2 5" xfId="17427" xr:uid="{C3C486CB-7D15-4E4F-B48A-75A685D56664}"/>
    <cellStyle name="Input 2 2 2 5 2" xfId="27477" xr:uid="{D2AE5C57-7725-4E7B-95FA-57E02FA398F0}"/>
    <cellStyle name="Input 2 2 2 5 2 2" xfId="34321" xr:uid="{5986EBF6-8D8C-4AFE-8A35-79C6CDAB857C}"/>
    <cellStyle name="Input 2 2 2 5 3" xfId="29557" xr:uid="{14CA1DD1-76FF-4EE3-BE84-9D738B5ED19C}"/>
    <cellStyle name="Input 2 2 2 5 3 2" xfId="36402" xr:uid="{AEB68141-5EA7-48CC-9A40-9BB69C06811A}"/>
    <cellStyle name="Input 2 2 2 5 4" xfId="24818" xr:uid="{71B798EF-AF46-4D4C-9A9B-2CFBF297E06F}"/>
    <cellStyle name="Input 2 2 2 5 5" xfId="31639" xr:uid="{C58DA88A-89DF-4289-97EE-44309373238F}"/>
    <cellStyle name="Input 2 2 2 6" xfId="24336" xr:uid="{3D502945-15F2-474A-94E9-8E18F5B96720}"/>
    <cellStyle name="Input 2 2 2 6 2" xfId="26942" xr:uid="{6B03162B-EE22-4AEA-A2A2-32A530782E67}"/>
    <cellStyle name="Input 2 2 2 6 2 2" xfId="33782" xr:uid="{920EBA94-C7F8-4C4F-8216-A76ECB0042DD}"/>
    <cellStyle name="Input 2 2 2 6 3" xfId="29018" xr:uid="{6AF568BA-0176-4466-8017-EA7580B7FEC9}"/>
    <cellStyle name="Input 2 2 2 6 3 2" xfId="35863" xr:uid="{23D50CAC-8F8C-4F7E-AE47-832467FD7602}"/>
    <cellStyle name="Input 2 2 2 6 4" xfId="31100" xr:uid="{4D913CB9-6E46-408D-A497-8455B97FF016}"/>
    <cellStyle name="Input 2 2 2 7" xfId="24623" xr:uid="{AA1FE397-0AAB-4095-9823-40AB4BADE8AC}"/>
    <cellStyle name="Input 2 2 2 7 2" xfId="27235" xr:uid="{5E76E725-8267-4625-BA7F-1C846AD23045}"/>
    <cellStyle name="Input 2 2 2 7 2 2" xfId="34076" xr:uid="{05990535-0249-4A59-8BAB-3BA404219B4F}"/>
    <cellStyle name="Input 2 2 2 7 3" xfId="29312" xr:uid="{AB035F09-7024-4F8D-92AE-A1E16F323B89}"/>
    <cellStyle name="Input 2 2 2 7 3 2" xfId="36157" xr:uid="{509B6E59-0E72-408E-97EE-1B45F369675A}"/>
    <cellStyle name="Input 2 2 2 7 4" xfId="31394" xr:uid="{9AAAA813-EF2A-4848-9838-124136BA676C}"/>
    <cellStyle name="Input 2 2 2 8" xfId="24782" xr:uid="{3AFC380C-D6DE-40DA-9FED-0E3CA13D039D}"/>
    <cellStyle name="Input 2 2 2 8 2" xfId="27435" xr:uid="{712AA505-E84C-4E7D-BD56-16F1EF1DE79F}"/>
    <cellStyle name="Input 2 2 2 8 2 2" xfId="34279" xr:uid="{85DD972E-1EE0-4B6E-826C-6DBD798212A2}"/>
    <cellStyle name="Input 2 2 2 8 3" xfId="29515" xr:uid="{C5DE55DF-FE9D-4FEA-A8A9-D08B9D44CBD8}"/>
    <cellStyle name="Input 2 2 2 8 3 2" xfId="36360" xr:uid="{72622BA7-92DB-4DB8-AB43-16F52655C56B}"/>
    <cellStyle name="Input 2 2 2 8 4" xfId="31597" xr:uid="{58A1E07C-9DA7-4BB6-909B-A5C303AE6820}"/>
    <cellStyle name="Input 2 2 2 9" xfId="25236" xr:uid="{63D4FD06-0600-42CB-92CB-E5D558D8E40B}"/>
    <cellStyle name="Input 2 2 2 9 2" xfId="27907" xr:uid="{C316784C-8C2D-44D4-807E-C045F6FB1941}"/>
    <cellStyle name="Input 2 2 2 9 2 2" xfId="34752" xr:uid="{6EDAEAB5-8A03-47FD-B401-48F24E14A035}"/>
    <cellStyle name="Input 2 2 2 9 3" xfId="29988" xr:uid="{EB0F9EBD-AFB6-47DB-90A0-073DE05B304A}"/>
    <cellStyle name="Input 2 2 2 9 3 2" xfId="36833" xr:uid="{C3C24E6B-6439-4879-ABAA-CF74AEC9DBF3}"/>
    <cellStyle name="Input 2 2 2 9 4" xfId="32070" xr:uid="{4C1A7665-31A8-4115-AB4F-054C4B465F0D}"/>
    <cellStyle name="Input 2 2 20" xfId="17347" xr:uid="{1D1A445C-A245-42AA-B653-2B4781FECFAE}"/>
    <cellStyle name="Input 2 2 21" xfId="48706" xr:uid="{7556FA29-5ADB-493C-9172-B91B0B411E98}"/>
    <cellStyle name="Input 2 2 22" xfId="48772" xr:uid="{F22F4749-F081-4BD9-9F63-9FA4F03AE354}"/>
    <cellStyle name="Input 2 2 23" xfId="37971" xr:uid="{DE226900-B426-4701-BD56-3DCCD00D904D}"/>
    <cellStyle name="Input 2 2 24" xfId="49759" xr:uid="{E2453487-674C-48AC-A913-F7E6EBD55516}"/>
    <cellStyle name="Input 2 2 3" xfId="2473" xr:uid="{00000000-0005-0000-0000-0000C6090000}"/>
    <cellStyle name="Input 2 2 3 10" xfId="24011" xr:uid="{CBE92A92-6A1D-4C15-8C06-E4FE0ACB60B6}"/>
    <cellStyle name="Input 2 2 3 10 2" xfId="26628" xr:uid="{61B9E876-314A-4420-9B94-B94F91B55859}"/>
    <cellStyle name="Input 2 2 3 10 2 2" xfId="33468" xr:uid="{E9BFB257-9135-4B3E-92F2-6750D5B1B393}"/>
    <cellStyle name="Input 2 2 3 10 3" xfId="28704" xr:uid="{5357B5DC-EF5F-4EA3-B59C-69F3A386E766}"/>
    <cellStyle name="Input 2 2 3 10 3 2" xfId="35549" xr:uid="{13B498EC-F6DF-4ED6-B4C7-847B4C2416C5}"/>
    <cellStyle name="Input 2 2 3 10 4" xfId="30786" xr:uid="{AF2BF851-5828-45A5-BFAD-687DC40A611D}"/>
    <cellStyle name="Input 2 2 3 11" xfId="25351" xr:uid="{ECDAB14E-AEE4-42A1-8419-67808EDDC480}"/>
    <cellStyle name="Input 2 2 3 11 2" xfId="28018" xr:uid="{1609D407-E875-4636-96C3-6508C102A3F5}"/>
    <cellStyle name="Input 2 2 3 11 2 2" xfId="34863" xr:uid="{36DB7C18-4C33-45F1-A9EB-0CE7B7C9D31F}"/>
    <cellStyle name="Input 2 2 3 11 3" xfId="30099" xr:uid="{F9353195-906C-4E2F-B7E0-CD721956BE26}"/>
    <cellStyle name="Input 2 2 3 11 3 2" xfId="36944" xr:uid="{25D52D1B-6487-4FB7-BFD6-A25C711B1464}"/>
    <cellStyle name="Input 2 2 3 11 4" xfId="32181" xr:uid="{597CF79D-E03E-499E-BF5E-163F4439DFE5}"/>
    <cellStyle name="Input 2 2 3 12" xfId="25392" xr:uid="{76F32537-2993-4C1F-B02E-88F96E3A7D13}"/>
    <cellStyle name="Input 2 2 3 12 2" xfId="28059" xr:uid="{EDAB9FA5-B79E-4382-B1CE-D78B3B6BCE50}"/>
    <cellStyle name="Input 2 2 3 12 2 2" xfId="34904" xr:uid="{1919E24F-E5F9-4E6C-BCAC-9DF259478021}"/>
    <cellStyle name="Input 2 2 3 12 3" xfId="30140" xr:uid="{5D8BF974-4611-43B4-BA69-61E0B880DC58}"/>
    <cellStyle name="Input 2 2 3 12 3 2" xfId="36985" xr:uid="{ADF08E44-8BDA-45B8-923F-EE57CB7BDCAB}"/>
    <cellStyle name="Input 2 2 3 12 4" xfId="32222" xr:uid="{A5C6BCA1-A119-4A77-A2DD-A3E250E4D86D}"/>
    <cellStyle name="Input 2 2 3 13" xfId="25419" xr:uid="{59FE7595-CF68-4B18-A078-3746B2AE70EF}"/>
    <cellStyle name="Input 2 2 3 13 2" xfId="28086" xr:uid="{01E0A07F-61D4-4A37-AB30-8D5DADD494EF}"/>
    <cellStyle name="Input 2 2 3 13 2 2" xfId="34931" xr:uid="{28AB74F4-AF56-4FFB-9816-6F82D2295C36}"/>
    <cellStyle name="Input 2 2 3 13 3" xfId="30167" xr:uid="{49059F07-23A2-4A08-B599-4C2D4EC6E8E2}"/>
    <cellStyle name="Input 2 2 3 13 3 2" xfId="37012" xr:uid="{8ACDEF1E-14E7-4C59-9A5C-2459AB3D3D6A}"/>
    <cellStyle name="Input 2 2 3 13 4" xfId="32249" xr:uid="{EC593330-3A7D-4A9A-8F49-C50307530134}"/>
    <cellStyle name="Input 2 2 3 14" xfId="24080" xr:uid="{E31441C2-90E2-4713-BCCD-DC6C07AF92EE}"/>
    <cellStyle name="Input 2 2 3 14 2" xfId="26693" xr:uid="{5FAD7A00-9677-4EB0-9295-2B09E0B42A99}"/>
    <cellStyle name="Input 2 2 3 14 2 2" xfId="33533" xr:uid="{FF125931-9FAD-46CF-8E51-5DDC51638F5C}"/>
    <cellStyle name="Input 2 2 3 14 3" xfId="28769" xr:uid="{39692B20-F41F-4B5D-A5EE-27720F355FE9}"/>
    <cellStyle name="Input 2 2 3 14 3 2" xfId="35614" xr:uid="{6C7E4FE4-519B-4544-8BCB-F68B74942766}"/>
    <cellStyle name="Input 2 2 3 14 4" xfId="30851" xr:uid="{741E1387-D45A-4339-8AB6-9A13EC183F63}"/>
    <cellStyle name="Input 2 2 3 15" xfId="24982" xr:uid="{F72556BA-CC35-4A97-AEC9-F983F643C1B3}"/>
    <cellStyle name="Input 2 2 3 15 2" xfId="27651" xr:uid="{9EFFA40F-7B9C-44DA-BE41-58F83C5F0CBD}"/>
    <cellStyle name="Input 2 2 3 15 2 2" xfId="34496" xr:uid="{5FF38F51-4952-45B3-849E-66A96E7DD649}"/>
    <cellStyle name="Input 2 2 3 15 3" xfId="29732" xr:uid="{3D7DFF48-7059-4FBB-956D-2F03949B70C8}"/>
    <cellStyle name="Input 2 2 3 15 3 2" xfId="36577" xr:uid="{0D510EF2-693A-4767-92DD-CD8E6C0A7148}"/>
    <cellStyle name="Input 2 2 3 15 4" xfId="31814" xr:uid="{98EF551C-6A38-439A-8137-BA189036237B}"/>
    <cellStyle name="Input 2 2 3 16" xfId="25721" xr:uid="{0C8BE489-7DDB-428B-8642-22257E69A871}"/>
    <cellStyle name="Input 2 2 3 16 2" xfId="28388" xr:uid="{0291D1C9-EF5B-4B05-B11E-A3A78C35E203}"/>
    <cellStyle name="Input 2 2 3 16 2 2" xfId="35233" xr:uid="{7AB81387-E0E5-4EC4-92B9-16294AC763D9}"/>
    <cellStyle name="Input 2 2 3 16 3" xfId="30469" xr:uid="{D3A953C0-42C2-46CC-92EC-A02A9E53815C}"/>
    <cellStyle name="Input 2 2 3 16 3 2" xfId="37314" xr:uid="{6F763E71-DACE-4221-8AD1-28F2931923F3}"/>
    <cellStyle name="Input 2 2 3 16 4" xfId="32551" xr:uid="{FB6FFB9F-C4D9-4F2C-9049-232C06FD48D7}"/>
    <cellStyle name="Input 2 2 3 17" xfId="25606" xr:uid="{ACFEBBEF-A2E7-4333-BA07-538EACFD30A8}"/>
    <cellStyle name="Input 2 2 3 17 2" xfId="28273" xr:uid="{5A203606-3234-4112-9E20-77EF003EACED}"/>
    <cellStyle name="Input 2 2 3 17 2 2" xfId="35118" xr:uid="{0E410216-B202-420C-AAE5-1D4B13D52BE5}"/>
    <cellStyle name="Input 2 2 3 17 3" xfId="30354" xr:uid="{117A5703-8560-44E7-AEAA-762DEAF62DDC}"/>
    <cellStyle name="Input 2 2 3 17 3 2" xfId="37199" xr:uid="{6DE8180B-2867-46AB-9496-7F18C5EA564D}"/>
    <cellStyle name="Input 2 2 3 17 4" xfId="32436" xr:uid="{4391EDAB-DBB6-476B-A07F-F0212AEC8E4D}"/>
    <cellStyle name="Input 2 2 3 18" xfId="23093" xr:uid="{DAC92194-EE8D-4462-80CE-E2308E27F38A}"/>
    <cellStyle name="Input 2 2 3 2" xfId="9495" xr:uid="{00000000-0005-0000-0000-0000F01A0000}"/>
    <cellStyle name="Input 2 2 3 2 10" xfId="24481" xr:uid="{F9C0FAA6-0269-464A-BD6A-DF0EFB379EEA}"/>
    <cellStyle name="Input 2 2 3 2 10 2" xfId="27094" xr:uid="{1AB38325-859E-4DD2-9B6B-4C0FB28123C1}"/>
    <cellStyle name="Input 2 2 3 2 10 2 2" xfId="33934" xr:uid="{E942D9BA-6351-4C2E-AFBE-F055F5D7E8EF}"/>
    <cellStyle name="Input 2 2 3 2 10 3" xfId="29170" xr:uid="{21E766FD-4A04-43B4-92F1-33965628C17E}"/>
    <cellStyle name="Input 2 2 3 2 10 3 2" xfId="36015" xr:uid="{2FB33556-1F6F-4BDF-8F29-FF10D3980F63}"/>
    <cellStyle name="Input 2 2 3 2 10 4" xfId="31252" xr:uid="{228F02A2-8AE7-4B21-A602-33CB418A03B6}"/>
    <cellStyle name="Input 2 2 3 2 11" xfId="25546" xr:uid="{B04599DB-D8D5-4D28-A686-14DE0825DED3}"/>
    <cellStyle name="Input 2 2 3 2 11 2" xfId="28213" xr:uid="{6B62CFD4-B137-4484-BDC4-FD4A35899489}"/>
    <cellStyle name="Input 2 2 3 2 11 2 2" xfId="35058" xr:uid="{58A5685D-6858-455C-B8F7-4D6C72B3CAB8}"/>
    <cellStyle name="Input 2 2 3 2 11 3" xfId="30294" xr:uid="{105DB6A6-CC77-4185-85F2-4802F8F2E626}"/>
    <cellStyle name="Input 2 2 3 2 11 3 2" xfId="37139" xr:uid="{4AB87138-8652-4503-AA4B-C1F8ACD19153}"/>
    <cellStyle name="Input 2 2 3 2 11 4" xfId="32376" xr:uid="{6416DC49-515E-4B15-B787-0190A179C704}"/>
    <cellStyle name="Input 2 2 3 2 12" xfId="25626" xr:uid="{43E5124C-56F7-4075-B60C-CC2AF882F2A0}"/>
    <cellStyle name="Input 2 2 3 2 12 2" xfId="28293" xr:uid="{ACC4E005-2991-4804-8E4B-472651E70724}"/>
    <cellStyle name="Input 2 2 3 2 12 2 2" xfId="35138" xr:uid="{9E4FED9E-6572-436E-8E9A-8AC1EE6B835D}"/>
    <cellStyle name="Input 2 2 3 2 12 3" xfId="30374" xr:uid="{A04ABC0D-3899-4E8D-9E79-6A42F6803C65}"/>
    <cellStyle name="Input 2 2 3 2 12 3 2" xfId="37219" xr:uid="{48835884-F4CB-488B-8EB4-A4A3E00A8026}"/>
    <cellStyle name="Input 2 2 3 2 12 4" xfId="32456" xr:uid="{E473457F-06C7-44B6-ADA9-F10B94FEE550}"/>
    <cellStyle name="Input 2 2 3 2 13" xfId="23897" xr:uid="{AE2BBC90-EBE7-4596-816F-029CA1533D5E}"/>
    <cellStyle name="Input 2 2 3 2 13 2" xfId="26515" xr:uid="{A469149D-1E40-46F8-A869-F67F29D39973}"/>
    <cellStyle name="Input 2 2 3 2 13 2 2" xfId="33355" xr:uid="{1FA8C065-9B6A-44C3-93DB-F6873DED1931}"/>
    <cellStyle name="Input 2 2 3 2 13 3" xfId="26169" xr:uid="{655E180D-91FF-4877-B6D5-98C3D47A2B2B}"/>
    <cellStyle name="Input 2 2 3 2 13 3 2" xfId="32997" xr:uid="{7DA051B1-35F8-4A80-BAF0-813B4CC119F1}"/>
    <cellStyle name="Input 2 2 3 2 13 4" xfId="23291" xr:uid="{05DEAAD3-CD78-4B8A-A726-F0A07F37DE95}"/>
    <cellStyle name="Input 2 2 3 2 14" xfId="25607" xr:uid="{F3794DC1-5E6B-489D-83C5-A08118ED6EB5}"/>
    <cellStyle name="Input 2 2 3 2 14 2" xfId="28274" xr:uid="{4D850890-05A6-4B24-93D7-FA624F988D51}"/>
    <cellStyle name="Input 2 2 3 2 14 2 2" xfId="35119" xr:uid="{2813B2CE-B433-483A-83F9-817D35DE2001}"/>
    <cellStyle name="Input 2 2 3 2 14 3" xfId="30355" xr:uid="{681029E6-1471-44AE-BD03-BC0D239268ED}"/>
    <cellStyle name="Input 2 2 3 2 14 3 2" xfId="37200" xr:uid="{16AA75F3-51E6-4D0B-9210-E0B46A8FF76C}"/>
    <cellStyle name="Input 2 2 3 2 14 4" xfId="32437" xr:uid="{793974A8-9F1F-40C7-A3AA-15B2870498A8}"/>
    <cellStyle name="Input 2 2 3 2 15" xfId="25904" xr:uid="{D2354CE2-4E12-4831-976A-10A7E0918C41}"/>
    <cellStyle name="Input 2 2 3 2 15 2" xfId="28570" xr:uid="{4881B19E-1F3D-45B8-BC41-43D3B3E358CB}"/>
    <cellStyle name="Input 2 2 3 2 15 2 2" xfId="35415" xr:uid="{945B3B72-EBC5-486E-A38D-883592AA1EB1}"/>
    <cellStyle name="Input 2 2 3 2 15 3" xfId="30651" xr:uid="{4999A4DA-CF95-42BD-B3A1-1D0748ECDCCE}"/>
    <cellStyle name="Input 2 2 3 2 15 3 2" xfId="37496" xr:uid="{E6FD0EDE-EA89-441C-9D30-543B85EC53F4}"/>
    <cellStyle name="Input 2 2 3 2 15 4" xfId="32733" xr:uid="{25B74A41-3D2F-4D9C-A309-84A2706D295E}"/>
    <cellStyle name="Input 2 2 3 2 16" xfId="23998" xr:uid="{85486543-B555-4276-8D92-2435550AC247}"/>
    <cellStyle name="Input 2 2 3 2 16 2" xfId="26615" xr:uid="{94FF1230-2C1B-43EF-B66F-465F28E88FB0}"/>
    <cellStyle name="Input 2 2 3 2 16 2 2" xfId="33455" xr:uid="{5F97B822-F1CA-4320-A819-2A2B15267D5B}"/>
    <cellStyle name="Input 2 2 3 2 16 3" xfId="26078" xr:uid="{3E7CDC30-CE17-4495-BC56-F08BA112D731}"/>
    <cellStyle name="Input 2 2 3 2 16 3 2" xfId="32906" xr:uid="{20BE9DD4-B710-49EE-A1F1-85D743D2CE35}"/>
    <cellStyle name="Input 2 2 3 2 16 4" xfId="23200" xr:uid="{E8FC3189-1159-4FEA-B45E-6E4811F5B441}"/>
    <cellStyle name="Input 2 2 3 2 17" xfId="23632" xr:uid="{722F2CE6-CD37-466A-B438-FC345DDEF4E1}"/>
    <cellStyle name="Input 2 2 3 2 18" xfId="17570" xr:uid="{50D677F2-31CA-4644-ABB1-77F9AC5978C2}"/>
    <cellStyle name="Input 2 2 3 2 19" xfId="41984" xr:uid="{87105767-E3B5-41C6-B775-0FE129200A96}"/>
    <cellStyle name="Input 2 2 3 2 2" xfId="17841" xr:uid="{E06DA287-ABFA-4FE2-91DF-BD72B23D1505}"/>
    <cellStyle name="Input 2 2 3 2 2 10" xfId="25665" xr:uid="{B5C47C90-D896-4286-8EF2-A0AAA3E4D178}"/>
    <cellStyle name="Input 2 2 3 2 2 10 2" xfId="28332" xr:uid="{E95B6F27-2CB0-4D73-B87B-450370666BC0}"/>
    <cellStyle name="Input 2 2 3 2 2 10 2 2" xfId="35177" xr:uid="{697A0598-01D2-4F86-8023-ADCDD0E9205D}"/>
    <cellStyle name="Input 2 2 3 2 2 10 3" xfId="30413" xr:uid="{7EBB338C-5BE9-46AB-8A88-B2FD996BF101}"/>
    <cellStyle name="Input 2 2 3 2 2 10 3 2" xfId="37258" xr:uid="{2AB6D089-5D6C-4D5D-8340-9FCE259439D5}"/>
    <cellStyle name="Input 2 2 3 2 2 10 4" xfId="32495" xr:uid="{0E18ACFB-B8ED-4522-B414-123C921996F4}"/>
    <cellStyle name="Input 2 2 3 2 2 11" xfId="25770" xr:uid="{68E57BA1-2DD5-4EBD-850F-4F6207483F06}"/>
    <cellStyle name="Input 2 2 3 2 2 11 2" xfId="28436" xr:uid="{98EB7B32-C22D-48CA-AA8C-106CB21F7CB8}"/>
    <cellStyle name="Input 2 2 3 2 2 11 2 2" xfId="35281" xr:uid="{E821BE55-4A76-4C95-824B-A379524B6EC9}"/>
    <cellStyle name="Input 2 2 3 2 2 11 3" xfId="30517" xr:uid="{7478544C-BE63-40CE-A45E-CEF337A5EB1A}"/>
    <cellStyle name="Input 2 2 3 2 2 11 3 2" xfId="37362" xr:uid="{8F6F933E-9C62-4858-9DDB-6F9D0458BF4C}"/>
    <cellStyle name="Input 2 2 3 2 2 11 4" xfId="32599" xr:uid="{6D65FE45-4E5E-483B-B098-DD99D7D6B8C8}"/>
    <cellStyle name="Input 2 2 3 2 2 12" xfId="25847" xr:uid="{76D781CD-A359-4F8B-9615-BC935B7CE841}"/>
    <cellStyle name="Input 2 2 3 2 2 12 2" xfId="28513" xr:uid="{8C552B5D-EA72-4F49-B353-36E2F6D9E193}"/>
    <cellStyle name="Input 2 2 3 2 2 12 2 2" xfId="35358" xr:uid="{351E01DD-2D22-4752-B6D0-161ADC0C8514}"/>
    <cellStyle name="Input 2 2 3 2 2 12 3" xfId="30594" xr:uid="{85E2C011-FA39-4797-9D35-51D93FDEC3F1}"/>
    <cellStyle name="Input 2 2 3 2 2 12 3 2" xfId="37439" xr:uid="{E6F9AC32-8881-4594-9D2E-A683CC4230F8}"/>
    <cellStyle name="Input 2 2 3 2 2 12 4" xfId="32676" xr:uid="{EDB93D08-038A-4876-8F79-934461BE3E00}"/>
    <cellStyle name="Input 2 2 3 2 2 13" xfId="24215" xr:uid="{8B8A0A2C-D7CE-4422-A66D-952B4478A38D}"/>
    <cellStyle name="Input 2 2 3 2 2 13 2" xfId="26825" xr:uid="{7B6FB51F-D8B3-4EF4-8622-0D8FAF257FBB}"/>
    <cellStyle name="Input 2 2 3 2 2 13 2 2" xfId="33665" xr:uid="{B0E3C5CA-5BE2-4884-B832-87D22E51215A}"/>
    <cellStyle name="Input 2 2 3 2 2 13 3" xfId="28901" xr:uid="{73A07075-60DD-43F1-B31D-1F35C3520794}"/>
    <cellStyle name="Input 2 2 3 2 2 13 3 2" xfId="35746" xr:uid="{BE0D1C12-A734-46C2-BC62-37AEFEDA5918}"/>
    <cellStyle name="Input 2 2 3 2 2 13 4" xfId="30983" xr:uid="{CA414CD4-B8E1-4E28-9393-6F0FEC0C5263}"/>
    <cellStyle name="Input 2 2 3 2 2 14" xfId="25975" xr:uid="{F7352784-3E0B-4C4D-A3EE-E299997E7A2D}"/>
    <cellStyle name="Input 2 2 3 2 2 14 2" xfId="28641" xr:uid="{D7883959-D974-431D-823D-23ECBA32258D}"/>
    <cellStyle name="Input 2 2 3 2 2 14 2 2" xfId="35486" xr:uid="{54D1DCDC-6812-4BF6-9177-80CD4BA89141}"/>
    <cellStyle name="Input 2 2 3 2 2 14 3" xfId="30722" xr:uid="{8C944ACD-E386-4012-9EA1-BF6A0F601C77}"/>
    <cellStyle name="Input 2 2 3 2 2 14 3 2" xfId="37567" xr:uid="{6096D0BB-ECA9-4C3D-B535-ACAA9E0BF000}"/>
    <cellStyle name="Input 2 2 3 2 2 14 4" xfId="32804" xr:uid="{FCB25268-2832-4B06-92FB-2C5A4BC2EF3E}"/>
    <cellStyle name="Input 2 2 3 2 2 15" xfId="26029" xr:uid="{B18863C0-CCFC-4E01-B134-C5AD85E88151}"/>
    <cellStyle name="Input 2 2 3 2 2 15 2" xfId="28695" xr:uid="{A215EE16-C385-457F-945C-8EFEB66AC0F3}"/>
    <cellStyle name="Input 2 2 3 2 2 15 2 2" xfId="35540" xr:uid="{9F7786B3-30B9-48A6-84A2-B5AFD4D41BDF}"/>
    <cellStyle name="Input 2 2 3 2 2 15 3" xfId="30776" xr:uid="{59764242-CD40-4B5A-8D12-4C0E196496FD}"/>
    <cellStyle name="Input 2 2 3 2 2 15 3 2" xfId="37621" xr:uid="{74C7DF7B-9523-418B-9A6B-754E83A49A0F}"/>
    <cellStyle name="Input 2 2 3 2 2 15 4" xfId="32858" xr:uid="{1FCDACFA-1D1F-4594-AD14-7A728DE1D4D1}"/>
    <cellStyle name="Input 2 2 3 2 2 16" xfId="23543" xr:uid="{B034957A-7E22-49DB-8669-D52DD20A680C}"/>
    <cellStyle name="Input 2 2 3 2 2 2" xfId="18433" xr:uid="{4D3EEBF0-7343-4A89-9095-E4BB8E51DC8E}"/>
    <cellStyle name="Input 2 2 3 2 2 2 10" xfId="21931" xr:uid="{F6ACD32E-506E-4FDF-8B69-D615243B8EF0}"/>
    <cellStyle name="Input 2 2 3 2 2 2 11" xfId="22650" xr:uid="{D0296E6B-8052-4B01-9F66-EE7D39BE5DDB}"/>
    <cellStyle name="Input 2 2 3 2 2 2 12" xfId="22697" xr:uid="{E75FA6D5-02B6-40DE-BB2B-423CDF84F950}"/>
    <cellStyle name="Input 2 2 3 2 2 2 13" xfId="20436" xr:uid="{EA406F6F-8F79-4A1F-B758-BA36598B73E5}"/>
    <cellStyle name="Input 2 2 3 2 2 2 14" xfId="22281" xr:uid="{6C0225D7-9848-412D-8071-91F8F6278F44}"/>
    <cellStyle name="Input 2 2 3 2 2 2 15" xfId="21018" xr:uid="{EA7A2DA5-4F98-4FD9-BE4E-2C7AAD2749F4}"/>
    <cellStyle name="Input 2 2 3 2 2 2 16" xfId="31554" xr:uid="{D041FF71-E7A1-4A5B-A3BD-83643903A1B6}"/>
    <cellStyle name="Input 2 2 3 2 2 2 2" xfId="19940" xr:uid="{96F6928E-91D7-43EE-9B35-23E12510BC8D}"/>
    <cellStyle name="Input 2 2 3 2 2 2 2 2" xfId="27392" xr:uid="{51B1C661-19E2-4EAA-93F7-25E6039EA846}"/>
    <cellStyle name="Input 2 2 3 2 2 2 2 3" xfId="34236" xr:uid="{7D98A874-9547-4CB4-B3D8-19258104AB31}"/>
    <cellStyle name="Input 2 2 3 2 2 2 3" xfId="21088" xr:uid="{F903623D-A6F9-46DE-9791-349153E44AF2}"/>
    <cellStyle name="Input 2 2 3 2 2 2 3 2" xfId="29472" xr:uid="{A1CD7EC1-FD0B-465B-97A6-A6F0A1559D97}"/>
    <cellStyle name="Input 2 2 3 2 2 2 3 3" xfId="36317" xr:uid="{0400A230-38E2-481B-ADD5-97F0677C6C0F}"/>
    <cellStyle name="Input 2 2 3 2 2 2 4" xfId="20093" xr:uid="{F1D2E6AC-F3CA-4DBE-AC81-1F68AF579BDB}"/>
    <cellStyle name="Input 2 2 3 2 2 2 5" xfId="20344" xr:uid="{D19C01D0-A692-4C0A-976C-0E455E4FA817}"/>
    <cellStyle name="Input 2 2 3 2 2 2 6" xfId="19896" xr:uid="{D5A52F8B-5466-4BB2-8C40-803C9603150A}"/>
    <cellStyle name="Input 2 2 3 2 2 2 7" xfId="21764" xr:uid="{0B66E6F8-7C72-4D4C-B4D6-679749DC041E}"/>
    <cellStyle name="Input 2 2 3 2 2 2 8" xfId="20037" xr:uid="{20727106-A36E-4C5D-B35C-E703EF2B1C58}"/>
    <cellStyle name="Input 2 2 3 2 2 2 9" xfId="21301" xr:uid="{48FB6D26-03A4-4240-8E3D-FE9F7E050B42}"/>
    <cellStyle name="Input 2 2 3 2 2 3" xfId="24833" xr:uid="{44E9BAA8-41C9-4B78-95F9-D94CE0C731CC}"/>
    <cellStyle name="Input 2 2 3 2 2 3 2" xfId="27492" xr:uid="{5A63E14D-94AC-4DA6-AE94-84E09201F0D9}"/>
    <cellStyle name="Input 2 2 3 2 2 3 2 2" xfId="34336" xr:uid="{A9086887-7658-45F5-A978-F82AD1B8C77A}"/>
    <cellStyle name="Input 2 2 3 2 2 3 3" xfId="29572" xr:uid="{733CC1A5-350D-48DD-B5ED-4183EC5A124A}"/>
    <cellStyle name="Input 2 2 3 2 2 3 3 2" xfId="36417" xr:uid="{26233C3C-B767-4D58-90EE-70E2BE93510A}"/>
    <cellStyle name="Input 2 2 3 2 2 3 4" xfId="31654" xr:uid="{543F3C12-C76F-4AE2-9092-9DA1BC1FA3C4}"/>
    <cellStyle name="Input 2 2 3 2 2 4" xfId="25121" xr:uid="{B6EADD33-16FE-4D5D-ACD4-D1BC6015885E}"/>
    <cellStyle name="Input 2 2 3 2 2 4 2" xfId="27793" xr:uid="{5062B762-D584-46E6-B46A-6B66D83F65EE}"/>
    <cellStyle name="Input 2 2 3 2 2 4 2 2" xfId="34638" xr:uid="{F86604F9-A54A-4A6B-8503-D43711C01507}"/>
    <cellStyle name="Input 2 2 3 2 2 4 3" xfId="29874" xr:uid="{032C35B9-9EFB-4EFF-B9A8-D5B766AC564B}"/>
    <cellStyle name="Input 2 2 3 2 2 4 3 2" xfId="36719" xr:uid="{AD53183B-41C8-4E3E-B18C-2F24F3E12D5C}"/>
    <cellStyle name="Input 2 2 3 2 2 4 4" xfId="31956" xr:uid="{80503C05-907D-4BE5-8A31-8F5E869A5FB0}"/>
    <cellStyle name="Input 2 2 3 2 2 5" xfId="24920" xr:uid="{CCA3F857-D516-4EA4-8218-BC6F51ECA376}"/>
    <cellStyle name="Input 2 2 3 2 2 5 2" xfId="27589" xr:uid="{E7AD93A0-96C8-4D36-B928-FE0FEB702998}"/>
    <cellStyle name="Input 2 2 3 2 2 5 2 2" xfId="34433" xr:uid="{198F073C-179D-4A12-A3C8-0DD3F925D7C2}"/>
    <cellStyle name="Input 2 2 3 2 2 5 3" xfId="29669" xr:uid="{826F85DF-21AE-4EF8-929F-921F0CF93899}"/>
    <cellStyle name="Input 2 2 3 2 2 5 3 2" xfId="36514" xr:uid="{46B5791C-EA9B-4065-91EC-3268BFED5565}"/>
    <cellStyle name="Input 2 2 3 2 2 5 4" xfId="31751" xr:uid="{F6907EC7-3B89-4ED7-887F-6C71C5B5E033}"/>
    <cellStyle name="Input 2 2 3 2 2 6" xfId="25305" xr:uid="{236ABCF1-2432-4046-A044-76955A21FA08}"/>
    <cellStyle name="Input 2 2 3 2 2 6 2" xfId="27975" xr:uid="{7CB9E866-D6A8-4CDE-B932-DD7364427E2E}"/>
    <cellStyle name="Input 2 2 3 2 2 6 2 2" xfId="34820" xr:uid="{108A64C8-B545-4603-822E-1D82B6CDE87B}"/>
    <cellStyle name="Input 2 2 3 2 2 6 3" xfId="30056" xr:uid="{55BE451A-7A82-40F4-BECD-13EE0E5744EF}"/>
    <cellStyle name="Input 2 2 3 2 2 6 3 2" xfId="36901" xr:uid="{6717BFAB-4844-4568-AB16-E24BCFF3E575}"/>
    <cellStyle name="Input 2 2 3 2 2 6 4" xfId="32138" xr:uid="{D0B74235-8B90-4AD6-85BB-C449E2F022CF}"/>
    <cellStyle name="Input 2 2 3 2 2 7" xfId="24128" xr:uid="{3ABBF166-2FD4-4056-A9D7-0A6C63AD2FC5}"/>
    <cellStyle name="Input 2 2 3 2 2 7 2" xfId="26740" xr:uid="{606644AE-CFA6-400A-9E2D-3D8E8FA3648F}"/>
    <cellStyle name="Input 2 2 3 2 2 7 2 2" xfId="33580" xr:uid="{B663ADC9-B378-4A58-BE4F-36136491A30E}"/>
    <cellStyle name="Input 2 2 3 2 2 7 3" xfId="28816" xr:uid="{49B08D91-57FC-44FC-8053-5D436C24E4D2}"/>
    <cellStyle name="Input 2 2 3 2 2 7 3 2" xfId="35661" xr:uid="{4F9AFA69-3E54-4C45-83F8-19C4B05B1C51}"/>
    <cellStyle name="Input 2 2 3 2 2 7 4" xfId="30898" xr:uid="{1A56F155-99E2-4C60-9693-809304044DE8}"/>
    <cellStyle name="Input 2 2 3 2 2 8" xfId="24257" xr:uid="{7689247D-E73B-4ED6-819A-658D710C3F90}"/>
    <cellStyle name="Input 2 2 3 2 2 8 2" xfId="26864" xr:uid="{10676B29-2A8A-49B6-AEDA-B84DA15A93DB}"/>
    <cellStyle name="Input 2 2 3 2 2 8 2 2" xfId="33704" xr:uid="{3E864732-6904-4931-BD49-81FF64FBCCCC}"/>
    <cellStyle name="Input 2 2 3 2 2 8 3" xfId="28940" xr:uid="{89813D14-D4BC-45F1-98C3-72DF481BC2E8}"/>
    <cellStyle name="Input 2 2 3 2 2 8 3 2" xfId="35785" xr:uid="{DB68C3F6-FA30-45F6-B1A9-B43F8A8A2583}"/>
    <cellStyle name="Input 2 2 3 2 2 8 4" xfId="31022" xr:uid="{EFDA8AA1-CB93-4485-BCC0-452C27389EC1}"/>
    <cellStyle name="Input 2 2 3 2 2 9" xfId="24603" xr:uid="{3F5B51AA-CCE4-43C6-8626-F9ECB008D68F}"/>
    <cellStyle name="Input 2 2 3 2 2 9 2" xfId="27190" xr:uid="{2301675E-C8D3-4C50-8146-528FEF8A7994}"/>
    <cellStyle name="Input 2 2 3 2 2 9 2 2" xfId="34031" xr:uid="{25D13DA4-41BC-4535-BE7D-BFD876B5BA2D}"/>
    <cellStyle name="Input 2 2 3 2 2 9 3" xfId="29267" xr:uid="{88018E3C-C5C6-42B0-A2CF-54312F274D6D}"/>
    <cellStyle name="Input 2 2 3 2 2 9 3 2" xfId="36112" xr:uid="{A80F3130-2112-4DCD-BEF6-3C264F0F8C6A}"/>
    <cellStyle name="Input 2 2 3 2 2 9 4" xfId="31349" xr:uid="{75E4B914-ABAB-4875-AAD7-337EC9988F11}"/>
    <cellStyle name="Input 2 2 3 2 20" xfId="46474" xr:uid="{2501A02C-1AF1-417E-A162-B3F1FF9FD107}"/>
    <cellStyle name="Input 2 2 3 2 21" xfId="48708" xr:uid="{41AA9859-05A1-4EE8-B61F-1A527AA3E940}"/>
    <cellStyle name="Input 2 2 3 2 22" xfId="47825" xr:uid="{F518350E-D5A1-4E2E-A7A0-DDEA557D9799}"/>
    <cellStyle name="Input 2 2 3 2 23" xfId="48393" xr:uid="{4822BCBC-BCBA-43EC-AF95-07D0B81A2773}"/>
    <cellStyle name="Input 2 2 3 2 3" xfId="18609" xr:uid="{41112B7E-FCBA-4A97-A743-6AAB392B1AF9}"/>
    <cellStyle name="Input 2 2 3 2 3 10" xfId="20905" xr:uid="{16ED8A6A-60B1-4F6B-BC2D-850B9844D445}"/>
    <cellStyle name="Input 2 2 3 2 3 11" xfId="22062" xr:uid="{C0CA2F32-414C-4D2F-90D6-2264C3F45A36}"/>
    <cellStyle name="Input 2 2 3 2 3 12" xfId="22745" xr:uid="{53D8F239-6C17-4776-AF96-411C13EE8B48}"/>
    <cellStyle name="Input 2 2 3 2 3 13" xfId="22684" xr:uid="{4FA66ACE-1636-4C29-BCAC-80A0C74E8E83}"/>
    <cellStyle name="Input 2 2 3 2 3 14" xfId="22881" xr:uid="{84B94A74-8CAB-48CA-AC39-7B700E6D2A38}"/>
    <cellStyle name="Input 2 2 3 2 3 15" xfId="21884" xr:uid="{F8B48D81-6E0B-467D-93C7-78EEB480FCDF}"/>
    <cellStyle name="Input 2 2 3 2 3 16" xfId="31364" xr:uid="{392150AF-768B-44D5-8062-6FD7064FE475}"/>
    <cellStyle name="Input 2 2 3 2 3 2" xfId="19858" xr:uid="{4E9FFFE2-95FE-4AE5-A1B5-E3D3FCAC9FDA}"/>
    <cellStyle name="Input 2 2 3 2 3 2 2" xfId="27205" xr:uid="{722612A1-9698-47B5-9E69-BDC2E20E5ED9}"/>
    <cellStyle name="Input 2 2 3 2 3 2 3" xfId="34046" xr:uid="{A276DE0B-F5A9-433A-9AEE-1E214C09588C}"/>
    <cellStyle name="Input 2 2 3 2 3 3" xfId="19710" xr:uid="{3FC96449-978C-4119-A7C5-17E072149929}"/>
    <cellStyle name="Input 2 2 3 2 3 3 2" xfId="29282" xr:uid="{76C78223-B6C3-40A3-8501-271E7099078D}"/>
    <cellStyle name="Input 2 2 3 2 3 3 3" xfId="36127" xr:uid="{B7B3FC39-15A6-4300-ABFF-64D06681E8CA}"/>
    <cellStyle name="Input 2 2 3 2 3 4" xfId="20569" xr:uid="{92F07B45-CDDE-4044-994E-17210EE88841}"/>
    <cellStyle name="Input 2 2 3 2 3 5" xfId="19550" xr:uid="{DB24480A-039E-48D5-AABD-8062EE3A3CE4}"/>
    <cellStyle name="Input 2 2 3 2 3 6" xfId="20816" xr:uid="{D0B58C76-1880-454E-AB26-83AE17C66C14}"/>
    <cellStyle name="Input 2 2 3 2 3 7" xfId="22335" xr:uid="{2C7C94C0-46ED-49F0-A4E0-C53AD36E5794}"/>
    <cellStyle name="Input 2 2 3 2 3 8" xfId="19372" xr:uid="{FC1A2511-7F09-4B11-AAA7-DCAAE31D49C7}"/>
    <cellStyle name="Input 2 2 3 2 3 9" xfId="22482" xr:uid="{61716DAC-7C24-4B4A-BF7F-408F43112A73}"/>
    <cellStyle name="Input 2 2 3 2 4" xfId="24458" xr:uid="{36F464AC-EC2C-4ECA-B8D4-1269DFE6D682}"/>
    <cellStyle name="Input 2 2 3 2 4 2" xfId="27074" xr:uid="{5184D7CF-FDBF-4E60-AE25-B7515A5EBF95}"/>
    <cellStyle name="Input 2 2 3 2 4 2 2" xfId="33914" xr:uid="{18342A59-D83B-43D3-A7EC-F7454FAF40E6}"/>
    <cellStyle name="Input 2 2 3 2 4 3" xfId="29150" xr:uid="{76E9EC17-57F5-4B18-9AF5-9A7BE53F46D0}"/>
    <cellStyle name="Input 2 2 3 2 4 3 2" xfId="35995" xr:uid="{9D2CDD83-EBEC-41A1-88F1-6FBD35F1C8B7}"/>
    <cellStyle name="Input 2 2 3 2 4 4" xfId="31232" xr:uid="{EE99E5AA-06D8-4EFA-AD54-4F8BF3F9E128}"/>
    <cellStyle name="Input 2 2 3 2 5" xfId="24997" xr:uid="{A2759303-0D4C-4590-ADE2-626E3A992972}"/>
    <cellStyle name="Input 2 2 3 2 5 2" xfId="27667" xr:uid="{DA13A97E-C468-4428-B5B8-93F730BD8959}"/>
    <cellStyle name="Input 2 2 3 2 5 2 2" xfId="34512" xr:uid="{35DE2910-0389-474B-AC9B-577C8A368525}"/>
    <cellStyle name="Input 2 2 3 2 5 3" xfId="29748" xr:uid="{16352596-E617-47E9-BD82-6451933A2BD2}"/>
    <cellStyle name="Input 2 2 3 2 5 3 2" xfId="36593" xr:uid="{42D75207-623F-4241-B0FE-5042B5A92B83}"/>
    <cellStyle name="Input 2 2 3 2 5 4" xfId="31830" xr:uid="{A9679655-A3CB-48E4-B4CF-D7BA59883AA5}"/>
    <cellStyle name="Input 2 2 3 2 6" xfId="24703" xr:uid="{E6C7BB14-039E-4538-BB2D-FD71E4D61ED6}"/>
    <cellStyle name="Input 2 2 3 2 6 2" xfId="27347" xr:uid="{B91AE4D0-1E64-4BA0-9956-25C191496212}"/>
    <cellStyle name="Input 2 2 3 2 6 2 2" xfId="34191" xr:uid="{10EFBF29-A433-47F4-B1AD-8FD18538B889}"/>
    <cellStyle name="Input 2 2 3 2 6 3" xfId="29427" xr:uid="{CF1FD804-7FCA-4BD8-9D8E-5D55876D5570}"/>
    <cellStyle name="Input 2 2 3 2 6 3 2" xfId="36272" xr:uid="{A0AF4CC1-CDF7-4B9A-A11A-BC141B8B8F08}"/>
    <cellStyle name="Input 2 2 3 2 6 4" xfId="31509" xr:uid="{2DCB2148-D9DE-48A0-9BFC-146AABE6E2AC}"/>
    <cellStyle name="Input 2 2 3 2 7" xfId="25281" xr:uid="{DE9DFBD8-BD77-4095-BA81-9E2E056A60B0}"/>
    <cellStyle name="Input 2 2 3 2 7 2" xfId="27952" xr:uid="{11CEC32B-D73F-4E49-80FD-B541DFE94BE2}"/>
    <cellStyle name="Input 2 2 3 2 7 2 2" xfId="34797" xr:uid="{64CF30E8-410F-4048-9831-31365BE3AB1E}"/>
    <cellStyle name="Input 2 2 3 2 7 3" xfId="30033" xr:uid="{2A010D9A-1B0E-4358-9D77-D2377E81053D}"/>
    <cellStyle name="Input 2 2 3 2 7 3 2" xfId="36878" xr:uid="{2D4D1107-55D4-4993-B9DB-54851C3EB6E8}"/>
    <cellStyle name="Input 2 2 3 2 7 4" xfId="32115" xr:uid="{44196A9D-3A76-4FC7-8104-00D1F58413E4}"/>
    <cellStyle name="Input 2 2 3 2 8" xfId="23920" xr:uid="{16804F88-DE45-474A-903B-8F47C25C301B}"/>
    <cellStyle name="Input 2 2 3 2 8 2" xfId="26538" xr:uid="{48471BAC-C9E2-43CF-BF8F-0DB6DD58AD0C}"/>
    <cellStyle name="Input 2 2 3 2 8 2 2" xfId="33378" xr:uid="{8A474C59-FA3A-4DCB-B14E-1926B5334481}"/>
    <cellStyle name="Input 2 2 3 2 8 3" xfId="26147" xr:uid="{DDE67B9B-2C86-4426-81D3-A00F08ADF9EA}"/>
    <cellStyle name="Input 2 2 3 2 8 3 2" xfId="32975" xr:uid="{39FA1A44-D4DE-4E91-B59D-C9E44DD170E3}"/>
    <cellStyle name="Input 2 2 3 2 8 4" xfId="23269" xr:uid="{0E4F2B72-1A94-4959-8E2F-C6E5E82A4028}"/>
    <cellStyle name="Input 2 2 3 2 9" xfId="23955" xr:uid="{A3EF8A64-6F9D-4771-80FF-F7B32781A037}"/>
    <cellStyle name="Input 2 2 3 2 9 2" xfId="26573" xr:uid="{29A11F2C-D88D-4391-987C-6FAD74224DA1}"/>
    <cellStyle name="Input 2 2 3 2 9 2 2" xfId="33413" xr:uid="{67684D3F-B875-419A-B4CD-512F5F98DB80}"/>
    <cellStyle name="Input 2 2 3 2 9 3" xfId="26055" xr:uid="{E1393DDC-EB91-4BF5-B679-29AAB3CC72BD}"/>
    <cellStyle name="Input 2 2 3 2 9 3 2" xfId="32884" xr:uid="{C53AF9E5-809A-44C4-86EB-820D78D9260E}"/>
    <cellStyle name="Input 2 2 3 2 9 4" xfId="23154" xr:uid="{3AD1C6E3-F0C5-4726-B2D2-87FE6E3DFB37}"/>
    <cellStyle name="Input 2 2 3 3" xfId="9280" xr:uid="{00000000-0005-0000-0000-00009C060000}"/>
    <cellStyle name="Input 2 2 3 3 10" xfId="25635" xr:uid="{D158F197-68D6-4007-8887-216FD6DBADE3}"/>
    <cellStyle name="Input 2 2 3 3 10 2" xfId="28302" xr:uid="{19759836-3EA9-44AB-9EE9-95FD09ADB453}"/>
    <cellStyle name="Input 2 2 3 3 10 2 2" xfId="35147" xr:uid="{6581CA23-4F17-4AA8-8AC2-97DF29543F0D}"/>
    <cellStyle name="Input 2 2 3 3 10 3" xfId="30383" xr:uid="{2938D998-E8F0-4684-9E6B-C77FBF7EECEB}"/>
    <cellStyle name="Input 2 2 3 3 10 3 2" xfId="37228" xr:uid="{64A8F2E0-8D4E-4498-AA1A-34D8C85E35ED}"/>
    <cellStyle name="Input 2 2 3 3 10 4" xfId="32465" xr:uid="{05B1490C-1EBA-4409-A678-EC452C231204}"/>
    <cellStyle name="Input 2 2 3 3 11" xfId="25740" xr:uid="{6F709B8B-B26B-4778-96B9-C7ACC25A3BAC}"/>
    <cellStyle name="Input 2 2 3 3 11 2" xfId="28407" xr:uid="{4790D1C3-9CC8-4165-9E37-921EDEB93521}"/>
    <cellStyle name="Input 2 2 3 3 11 2 2" xfId="35252" xr:uid="{86E7A141-EE74-490C-A7BA-8AE5E3A06144}"/>
    <cellStyle name="Input 2 2 3 3 11 3" xfId="30488" xr:uid="{A7FB228A-65C8-4B55-A6DF-E70A38085228}"/>
    <cellStyle name="Input 2 2 3 3 11 3 2" xfId="37333" xr:uid="{389BA8B6-46BD-4B3E-9901-A63ECB9083C1}"/>
    <cellStyle name="Input 2 2 3 3 11 4" xfId="32570" xr:uid="{D8E8490A-1683-43F6-B6DA-17334BE28434}"/>
    <cellStyle name="Input 2 2 3 3 12" xfId="25814" xr:uid="{97261ABF-75AF-4B34-8675-5378111B428D}"/>
    <cellStyle name="Input 2 2 3 3 12 2" xfId="28480" xr:uid="{4718EFA4-5DB9-49BE-9BA7-5FC1E9447324}"/>
    <cellStyle name="Input 2 2 3 3 12 2 2" xfId="35325" xr:uid="{6E6A7ACE-0A37-49C5-9FEC-D2D5FCC99068}"/>
    <cellStyle name="Input 2 2 3 3 12 3" xfId="30561" xr:uid="{0CD7EE61-4CF7-46E1-8184-2A09D44624E2}"/>
    <cellStyle name="Input 2 2 3 3 12 3 2" xfId="37406" xr:uid="{ABE5AD40-C957-4807-A6A7-CFCF26291656}"/>
    <cellStyle name="Input 2 2 3 3 12 4" xfId="32643" xr:uid="{31343D93-C171-418E-BDB0-E62AE1E08A2B}"/>
    <cellStyle name="Input 2 2 3 3 13" xfId="25915" xr:uid="{6D0E2071-7E26-4BB6-975D-46D78984C621}"/>
    <cellStyle name="Input 2 2 3 3 13 2" xfId="28581" xr:uid="{B646E36F-4F12-4202-BB89-B2F5A5AD3607}"/>
    <cellStyle name="Input 2 2 3 3 13 2 2" xfId="35426" xr:uid="{F53EC784-B3E6-4203-983C-5332CCF4E8A4}"/>
    <cellStyle name="Input 2 2 3 3 13 3" xfId="30662" xr:uid="{A93ACD4A-2114-4D55-9672-32995542C965}"/>
    <cellStyle name="Input 2 2 3 3 13 3 2" xfId="37507" xr:uid="{A0B2C740-BA7C-4818-9159-41ECB6304CAE}"/>
    <cellStyle name="Input 2 2 3 3 13 4" xfId="32744" xr:uid="{1B943C08-6600-472B-AAA1-70620BCA5DE6}"/>
    <cellStyle name="Input 2 2 3 3 14" xfId="25946" xr:uid="{B6DDD524-DFE3-45B3-8B94-2CE4EF5F7D5F}"/>
    <cellStyle name="Input 2 2 3 3 14 2" xfId="28612" xr:uid="{6201A633-0D53-43FD-B736-EAFE4BCD6DA3}"/>
    <cellStyle name="Input 2 2 3 3 14 2 2" xfId="35457" xr:uid="{E18E59A9-3D3F-4032-B947-FCA3248DDBD7}"/>
    <cellStyle name="Input 2 2 3 3 14 3" xfId="30693" xr:uid="{1475769F-3C65-4F30-8883-6F1668429D42}"/>
    <cellStyle name="Input 2 2 3 3 14 3 2" xfId="37538" xr:uid="{8036BBCB-BBD8-41D1-BF54-F10A29DCCA86}"/>
    <cellStyle name="Input 2 2 3 3 14 4" xfId="32775" xr:uid="{05F94B8F-5009-48FE-B3A1-389CDD0109F6}"/>
    <cellStyle name="Input 2 2 3 3 15" xfId="26000" xr:uid="{05FEA339-AF79-4369-8B8F-03EC92DEF0CE}"/>
    <cellStyle name="Input 2 2 3 3 15 2" xfId="28666" xr:uid="{19960C5D-C91D-4B8A-AB75-40B17FF48739}"/>
    <cellStyle name="Input 2 2 3 3 15 2 2" xfId="35511" xr:uid="{41B15806-54E3-4E47-8A72-2C419012B7E1}"/>
    <cellStyle name="Input 2 2 3 3 15 3" xfId="30747" xr:uid="{70F7CC4A-2B22-4B1A-9AE8-D36E03790CD2}"/>
    <cellStyle name="Input 2 2 3 3 15 3 2" xfId="37592" xr:uid="{A6CA3769-EBB5-4153-AFE0-EBF948B5199D}"/>
    <cellStyle name="Input 2 2 3 3 15 4" xfId="32829" xr:uid="{B51F9672-7D16-41A4-AE10-459D0D0E0937}"/>
    <cellStyle name="Input 2 2 3 3 16" xfId="23181" xr:uid="{911C0362-CA72-4265-8009-8632BE22C7CC}"/>
    <cellStyle name="Input 2 2 3 3 17" xfId="17804" xr:uid="{9B383F23-ECC9-4264-AF8C-7CCE43981571}"/>
    <cellStyle name="Input 2 2 3 3 18" xfId="41814" xr:uid="{BFFBE125-F832-4A9D-ABCF-3A70AF105292}"/>
    <cellStyle name="Input 2 2 3 3 19" xfId="37702" xr:uid="{502006A3-903A-4118-9967-33722702C485}"/>
    <cellStyle name="Input 2 2 3 3 2" xfId="18457" xr:uid="{FB2A9992-6ECD-4E87-809D-B985962F7F6E}"/>
    <cellStyle name="Input 2 2 3 3 2 10" xfId="20683" xr:uid="{2AF998CA-0B20-45B7-96F1-B0BA1D0DEC1F}"/>
    <cellStyle name="Input 2 2 3 3 2 11" xfId="19524" xr:uid="{DBD7681B-BBE0-4939-84EC-836C49E189E3}"/>
    <cellStyle name="Input 2 2 3 3 2 12" xfId="21210" xr:uid="{F241BB28-2E72-4E27-84B9-2C659D9EAFD7}"/>
    <cellStyle name="Input 2 2 3 3 2 13" xfId="21157" xr:uid="{D6FFF370-492E-494D-9D6D-4C3E4141C6DA}"/>
    <cellStyle name="Input 2 2 3 3 2 14" xfId="22087" xr:uid="{026D5325-3F01-4BC8-9799-A619619F2FE4}"/>
    <cellStyle name="Input 2 2 3 3 2 15" xfId="22731" xr:uid="{07AA1A4C-5A34-429B-A53F-831C7835E2BA}"/>
    <cellStyle name="Input 2 2 3 3 2 16" xfId="31209" xr:uid="{6A3F8ECA-7385-4EB9-BB2A-F37BCC5B2231}"/>
    <cellStyle name="Input 2 2 3 3 2 2" xfId="19919" xr:uid="{712D899B-9BD0-49EF-A07A-C3F6F5F274C4}"/>
    <cellStyle name="Input 2 2 3 3 2 2 2" xfId="27051" xr:uid="{F43EB10E-F0A1-4254-8CA6-A947DA24C7E3}"/>
    <cellStyle name="Input 2 2 3 3 2 2 3" xfId="33891" xr:uid="{52321DCE-92EA-401B-97A6-B6E392898F69}"/>
    <cellStyle name="Input 2 2 3 3 2 3" xfId="19737" xr:uid="{F6020BFD-B2A7-4199-A818-2EDDC11EA11B}"/>
    <cellStyle name="Input 2 2 3 3 2 3 2" xfId="29127" xr:uid="{58881C0C-813E-4008-9453-4B97E68B5401}"/>
    <cellStyle name="Input 2 2 3 3 2 3 3" xfId="35972" xr:uid="{4F2D604C-3227-46CD-B7CF-91884A706A56}"/>
    <cellStyle name="Input 2 2 3 3 2 4" xfId="20106" xr:uid="{8D7966F5-878A-4ED2-9AA0-FAEB3D5DDECC}"/>
    <cellStyle name="Input 2 2 3 3 2 5" xfId="20769" xr:uid="{7715B39C-0B77-42CD-A1AE-3B8421DFDD6E}"/>
    <cellStyle name="Input 2 2 3 3 2 6" xfId="19510" xr:uid="{4BCDDB44-0266-4DBA-9327-8F7418289A46}"/>
    <cellStyle name="Input 2 2 3 3 2 7" xfId="21943" xr:uid="{B1C49379-0B54-419D-B993-15663463E75B}"/>
    <cellStyle name="Input 2 2 3 3 2 8" xfId="21360" xr:uid="{10E2BD4A-BD8F-46BD-A306-E5158BF12DE8}"/>
    <cellStyle name="Input 2 2 3 3 2 9" xfId="22391" xr:uid="{3EEA8E70-D039-42D0-818A-7026A2B4F34F}"/>
    <cellStyle name="Input 2 2 3 3 20" xfId="48403" xr:uid="{984E089F-27D7-460F-BCEA-8CFF813BE138}"/>
    <cellStyle name="Input 2 2 3 3 21" xfId="48395" xr:uid="{F00A1F3A-5919-4C6D-BC18-AA092621B047}"/>
    <cellStyle name="Input 2 2 3 3 22" xfId="46454" xr:uid="{A5FC3DC9-3935-4E40-A064-BF45AA407F3D}"/>
    <cellStyle name="Input 2 2 3 3 3" xfId="24923" xr:uid="{87D33BEE-BDC7-4175-B961-54E8F316AC8F}"/>
    <cellStyle name="Input 2 2 3 3 3 2" xfId="27592" xr:uid="{0D94AED8-18DB-435F-9F61-DB1C8E532F3F}"/>
    <cellStyle name="Input 2 2 3 3 3 2 2" xfId="34436" xr:uid="{6FC4A2AA-0629-4626-A03C-6D21900A1BB1}"/>
    <cellStyle name="Input 2 2 3 3 3 3" xfId="29672" xr:uid="{15FE3525-C6A0-497C-82F1-79EBC06246D7}"/>
    <cellStyle name="Input 2 2 3 3 3 3 2" xfId="36517" xr:uid="{60AFC21C-5F74-493C-9EAE-B47BA6E72CA4}"/>
    <cellStyle name="Input 2 2 3 3 3 4" xfId="31754" xr:uid="{D02ED76E-219E-48EF-81C9-EF869CE8184B}"/>
    <cellStyle name="Input 2 2 3 3 4" xfId="25088" xr:uid="{6FB6AD3A-7EC9-4212-8FF1-7A01FF78728C}"/>
    <cellStyle name="Input 2 2 3 3 4 2" xfId="27760" xr:uid="{90D4953A-6E2B-464C-8130-02E24F25E33E}"/>
    <cellStyle name="Input 2 2 3 3 4 2 2" xfId="34605" xr:uid="{D033B660-9118-43B6-B6A7-8464CCF03378}"/>
    <cellStyle name="Input 2 2 3 3 4 3" xfId="29841" xr:uid="{9BA7F86A-8CF4-4ADD-8418-D324A93373BC}"/>
    <cellStyle name="Input 2 2 3 3 4 3 2" xfId="36686" xr:uid="{336848F5-203B-4958-81F8-9A9760828C59}"/>
    <cellStyle name="Input 2 2 3 3 4 4" xfId="31923" xr:uid="{895E5E6C-78D0-4514-BD9F-92F9B529F3E7}"/>
    <cellStyle name="Input 2 2 3 3 5" xfId="24182" xr:uid="{5C2072E8-1A7E-45E4-8BC2-303A8371953B}"/>
    <cellStyle name="Input 2 2 3 3 5 2" xfId="26792" xr:uid="{F18A6B9B-70C1-44E8-B071-8E8311FD8B64}"/>
    <cellStyle name="Input 2 2 3 3 5 2 2" xfId="33632" xr:uid="{40FD7549-6A78-485F-91F6-DF3A8CAA12FA}"/>
    <cellStyle name="Input 2 2 3 3 5 3" xfId="28868" xr:uid="{3096F028-BCAE-4B0F-9A51-0DDF982F2363}"/>
    <cellStyle name="Input 2 2 3 3 5 3 2" xfId="35713" xr:uid="{4E6D8ED9-9B87-4F9C-8DEB-C487ED2DE0A6}"/>
    <cellStyle name="Input 2 2 3 3 5 4" xfId="30950" xr:uid="{AFB3335A-26AF-4FD0-861A-4EE932735DB9}"/>
    <cellStyle name="Input 2 2 3 3 6" xfId="24655" xr:uid="{7FC3B981-FB28-4EAD-AA58-1993ABC7CEC9}"/>
    <cellStyle name="Input 2 2 3 3 6 2" xfId="27263" xr:uid="{3128A952-8784-49D8-825A-5C36954984CC}"/>
    <cellStyle name="Input 2 2 3 3 6 2 2" xfId="34107" xr:uid="{AC826CE5-8572-462D-9BAE-441546975435}"/>
    <cellStyle name="Input 2 2 3 3 6 3" xfId="29343" xr:uid="{A0DC2881-B198-4AD1-8631-FF8C13CBABDE}"/>
    <cellStyle name="Input 2 2 3 3 6 3 2" xfId="36188" xr:uid="{5931EF52-5A16-4341-90D3-586BDB2BE08B}"/>
    <cellStyle name="Input 2 2 3 3 6 4" xfId="31425" xr:uid="{5A3A2245-FE68-4310-A327-97BB016852E1}"/>
    <cellStyle name="Input 2 2 3 3 7" xfId="24383" xr:uid="{2703B1CB-CD9D-44E9-886B-E7C9FE76FF94}"/>
    <cellStyle name="Input 2 2 3 3 7 2" xfId="26998" xr:uid="{EA7BC9C7-98C8-416F-879D-3084177E2171}"/>
    <cellStyle name="Input 2 2 3 3 7 2 2" xfId="33838" xr:uid="{5B0E88F2-13F9-45CF-96F8-A0A7575D1C11}"/>
    <cellStyle name="Input 2 2 3 3 7 3" xfId="29074" xr:uid="{923C3234-E2D6-425B-8A16-5A1202F7EFCD}"/>
    <cellStyle name="Input 2 2 3 3 7 3 2" xfId="35919" xr:uid="{2154E239-6CDD-4348-A53C-6D8A813AF058}"/>
    <cellStyle name="Input 2 2 3 3 7 4" xfId="31156" xr:uid="{8A64372C-4A1A-4BC8-8677-3F13D32FF165}"/>
    <cellStyle name="Input 2 2 3 3 8" xfId="24285" xr:uid="{CA91AD82-B53F-43B8-BB2A-77C74083ED23}"/>
    <cellStyle name="Input 2 2 3 3 8 2" xfId="26892" xr:uid="{EDFF0E09-7F53-4471-AD28-107124435C1E}"/>
    <cellStyle name="Input 2 2 3 3 8 2 2" xfId="33732" xr:uid="{52E49BF6-D8E3-49D8-A092-F3D2CBE718B6}"/>
    <cellStyle name="Input 2 2 3 3 8 3" xfId="28968" xr:uid="{269824E6-4549-43E0-B400-3F1A734FEBDD}"/>
    <cellStyle name="Input 2 2 3 3 8 3 2" xfId="35813" xr:uid="{67E97BAF-0AA1-4D95-8560-09A3F9C45ACA}"/>
    <cellStyle name="Input 2 2 3 3 8 4" xfId="31050" xr:uid="{672E8502-88F4-4244-A16C-2733D5CEF55B}"/>
    <cellStyle name="Input 2 2 3 3 9" xfId="24466" xr:uid="{F5669B23-1EAA-4637-BD62-9540CDF6DFD9}"/>
    <cellStyle name="Input 2 2 3 3 9 2" xfId="27082" xr:uid="{9C5CF7FF-490D-4906-B021-BE76B079BF52}"/>
    <cellStyle name="Input 2 2 3 3 9 2 2" xfId="33922" xr:uid="{771E7784-A7F1-4C1A-8245-16270B33CAEF}"/>
    <cellStyle name="Input 2 2 3 3 9 3" xfId="29158" xr:uid="{60F61141-5E27-45FE-B90B-E9120CE9F70D}"/>
    <cellStyle name="Input 2 2 3 3 9 3 2" xfId="36003" xr:uid="{45F30610-F90E-4B98-9B54-36D4451E11FF}"/>
    <cellStyle name="Input 2 2 3 3 9 4" xfId="31240" xr:uid="{FF184148-9992-4162-B1E3-17EBAAF0A873}"/>
    <cellStyle name="Input 2 2 3 4" xfId="18630" xr:uid="{2BD3C441-EA25-4F98-8E47-4250C05566F9}"/>
    <cellStyle name="Input 2 2 3 4 10" xfId="21022" xr:uid="{E824C4A5-044E-4387-B992-CB8D783334D6}"/>
    <cellStyle name="Input 2 2 3 4 11" xfId="19487" xr:uid="{40CA89E9-5C2D-4479-9A3E-D3F40C6718A4}"/>
    <cellStyle name="Input 2 2 3 4 12" xfId="22764" xr:uid="{3CF39463-8609-4D02-9E9F-75E142010268}"/>
    <cellStyle name="Input 2 2 3 4 13" xfId="21142" xr:uid="{B8BE74F0-D7EA-4DC0-8ABC-D2FA282065A8}"/>
    <cellStyle name="Input 2 2 3 4 14" xfId="22900" xr:uid="{E73E326E-38BD-4942-8D92-B22DCCD5A231}"/>
    <cellStyle name="Input 2 2 3 4 15" xfId="19129" xr:uid="{44983717-4803-4368-BD65-BDEE193B04EA}"/>
    <cellStyle name="Input 2 2 3 4 16" xfId="31463" xr:uid="{277E6CBB-4708-4096-AC59-81FCF5C41103}"/>
    <cellStyle name="Input 2 2 3 4 2" xfId="19840" xr:uid="{1BA3F6D8-B0FE-4BB7-A0D0-0FA08BE53425}"/>
    <cellStyle name="Input 2 2 3 4 2 2" xfId="27301" xr:uid="{E09FE6AB-1758-4BE2-B6BC-0C8D4FD0AF06}"/>
    <cellStyle name="Input 2 2 3 4 2 3" xfId="34145" xr:uid="{9BA450E7-34C0-443F-95DF-8786C87BAB18}"/>
    <cellStyle name="Input 2 2 3 4 3" xfId="21035" xr:uid="{AB72626B-5D49-4E61-9951-D7C685EF94CA}"/>
    <cellStyle name="Input 2 2 3 4 3 2" xfId="29381" xr:uid="{C97DD53C-F4AF-4949-A5E0-764039D8C2A5}"/>
    <cellStyle name="Input 2 2 3 4 3 3" xfId="36226" xr:uid="{6906B40E-63F2-479B-AB2C-401B322447AF}"/>
    <cellStyle name="Input 2 2 3 4 4" xfId="21543" xr:uid="{C11516B4-AF2B-49F4-807D-28590AC6A12D}"/>
    <cellStyle name="Input 2 2 3 4 5" xfId="19572" xr:uid="{48757868-001C-42A2-AC62-CE01350E1E13}"/>
    <cellStyle name="Input 2 2 3 4 6" xfId="21429" xr:uid="{7E7D2032-8AD0-4A50-B0E7-AA0F6291D091}"/>
    <cellStyle name="Input 2 2 3 4 7" xfId="20831" xr:uid="{8570979E-B677-4EEC-93AB-6E4B320111D4}"/>
    <cellStyle name="Input 2 2 3 4 8" xfId="21469" xr:uid="{1CCDFB90-4671-4A4B-BF31-15BFFEAF5E90}"/>
    <cellStyle name="Input 2 2 3 4 9" xfId="22501" xr:uid="{EB5DDCDB-BA7B-40F6-A26C-BA78EF993283}"/>
    <cellStyle name="Input 2 2 3 5" xfId="17972" xr:uid="{37715FFD-3021-486B-87DB-4078C3875178}"/>
    <cellStyle name="Input 2 2 3 5 2" xfId="27140" xr:uid="{5A6F4F0D-7B5F-43E0-995C-66380317BD27}"/>
    <cellStyle name="Input 2 2 3 5 2 2" xfId="33981" xr:uid="{0A10664C-0A8E-4DC1-BC47-2BF0447D770D}"/>
    <cellStyle name="Input 2 2 3 5 3" xfId="29217" xr:uid="{0A6B3CFA-6B81-460E-9295-655A3B71F539}"/>
    <cellStyle name="Input 2 2 3 5 3 2" xfId="36062" xr:uid="{C0AE82B4-24DA-4E02-882F-4E1F2419C0FC}"/>
    <cellStyle name="Input 2 2 3 5 4" xfId="24537" xr:uid="{E99ACB22-1516-413D-A4D0-DC00DEAD6D8D}"/>
    <cellStyle name="Input 2 2 3 5 5" xfId="31299" xr:uid="{1DA8DFA2-3BEB-45FA-931D-4ECD30B0BD77}"/>
    <cellStyle name="Input 2 2 3 6" xfId="17533" xr:uid="{183C7802-B08D-471A-B44F-67B820FF6C25}"/>
    <cellStyle name="Input 2 2 3 6 2" xfId="26395" xr:uid="{628A7AEF-CC64-41AD-B2D3-E7713605EA0A}"/>
    <cellStyle name="Input 2 2 3 6 2 2" xfId="33235" xr:uid="{6D997017-F082-429F-B0BE-30714D306AFA}"/>
    <cellStyle name="Input 2 2 3 6 3" xfId="26286" xr:uid="{D689C06E-F469-41ED-9A3E-41E1BE5924D6}"/>
    <cellStyle name="Input 2 2 3 6 3 2" xfId="33114" xr:uid="{AC340B59-05F2-442D-8550-91274042D326}"/>
    <cellStyle name="Input 2 2 3 6 4" xfId="23781" xr:uid="{F0DA8AF3-1A4C-429A-B7A0-1A40379F97EA}"/>
    <cellStyle name="Input 2 2 3 6 5" xfId="23408" xr:uid="{03FD2AE1-848C-4292-A5ED-149E8FF161D6}"/>
    <cellStyle name="Input 2 2 3 7" xfId="24843" xr:uid="{23756C8E-5B26-492D-8BB3-27316B3B18AA}"/>
    <cellStyle name="Input 2 2 3 7 2" xfId="27503" xr:uid="{77D6EB64-DD58-4B27-8304-C5CB9182870F}"/>
    <cellStyle name="Input 2 2 3 7 2 2" xfId="34347" xr:uid="{558E7F69-363D-4CAF-A062-5D7D8449F1C1}"/>
    <cellStyle name="Input 2 2 3 7 3" xfId="29583" xr:uid="{C87EF0BF-BB82-42C5-A37D-9415A2C7EB9D}"/>
    <cellStyle name="Input 2 2 3 7 3 2" xfId="36428" xr:uid="{F65A08E2-15F2-470F-91AA-D275D2ABD014}"/>
    <cellStyle name="Input 2 2 3 7 4" xfId="31665" xr:uid="{933275AB-28FF-4951-A685-F185F6AD11B5}"/>
    <cellStyle name="Input 2 2 3 8" xfId="24614" xr:uid="{3C07482A-7573-47C8-AC97-6F7E1343B1EC}"/>
    <cellStyle name="Input 2 2 3 8 2" xfId="27223" xr:uid="{CE22F5EF-B41D-42CD-AA2E-7A49070D5E27}"/>
    <cellStyle name="Input 2 2 3 8 2 2" xfId="34064" xr:uid="{95C1BAFA-9C5D-4D1C-923F-F87AC5EF7EF2}"/>
    <cellStyle name="Input 2 2 3 8 3" xfId="29300" xr:uid="{3EE96D31-462A-4DBB-9219-82A312945C98}"/>
    <cellStyle name="Input 2 2 3 8 3 2" xfId="36145" xr:uid="{3ABA36CA-E518-4995-99E6-D8BF2624509A}"/>
    <cellStyle name="Input 2 2 3 8 4" xfId="31382" xr:uid="{765E12A2-ECFF-4A03-ACBA-F611E2A3E956}"/>
    <cellStyle name="Input 2 2 3 9" xfId="24296" xr:uid="{D2D1D753-BFC2-44A1-B987-2982175BF5B8}"/>
    <cellStyle name="Input 2 2 3 9 2" xfId="26903" xr:uid="{39680322-B7F6-48F1-A83E-55FD8C5E4192}"/>
    <cellStyle name="Input 2 2 3 9 2 2" xfId="33743" xr:uid="{3EF2CE1A-8A54-4091-83CC-4F96AB1FC426}"/>
    <cellStyle name="Input 2 2 3 9 3" xfId="28979" xr:uid="{9FF4F3B2-7F6B-4FB0-8B4D-773C5E7AD207}"/>
    <cellStyle name="Input 2 2 3 9 3 2" xfId="35824" xr:uid="{065C886B-E883-4799-98A7-84BA2158E6B9}"/>
    <cellStyle name="Input 2 2 3 9 4" xfId="31061" xr:uid="{1D2D4ACE-CE63-4B34-8869-9B69F97F5C1F}"/>
    <cellStyle name="Input 2 2 4" xfId="2474" xr:uid="{00000000-0005-0000-0000-0000C7090000}"/>
    <cellStyle name="Input 2 2 4 10" xfId="24957" xr:uid="{DB0BA12A-AF91-4978-B1E9-E3F34807ECD8}"/>
    <cellStyle name="Input 2 2 4 10 2" xfId="27627" xr:uid="{A64D33D3-8DBC-439F-9B92-600A5699B8B3}"/>
    <cellStyle name="Input 2 2 4 10 2 2" xfId="34472" xr:uid="{5ED83D19-E833-4D07-AB4B-CDFC5FE289E4}"/>
    <cellStyle name="Input 2 2 4 10 3" xfId="29708" xr:uid="{5DEECE6F-6921-48DD-BE66-0FE6EEFB96ED}"/>
    <cellStyle name="Input 2 2 4 10 3 2" xfId="36553" xr:uid="{4053C660-2E49-40F1-8193-AF17B0354C3B}"/>
    <cellStyle name="Input 2 2 4 10 4" xfId="31790" xr:uid="{D89A743C-E6BB-4A91-BE5E-AD105CCCA0B5}"/>
    <cellStyle name="Input 2 2 4 11" xfId="25276" xr:uid="{EECCB840-1A68-4F8A-B8A1-3B27366493FC}"/>
    <cellStyle name="Input 2 2 4 11 2" xfId="27947" xr:uid="{A5B419D6-11A6-41DE-818D-924DE07FDED5}"/>
    <cellStyle name="Input 2 2 4 11 2 2" xfId="34792" xr:uid="{07570579-10F0-4D16-8B20-D9F648A418FB}"/>
    <cellStyle name="Input 2 2 4 11 3" xfId="30028" xr:uid="{6FB815D9-6E55-4D5F-9893-3FB5BB1197B4}"/>
    <cellStyle name="Input 2 2 4 11 3 2" xfId="36873" xr:uid="{B31F41D7-35A3-4167-80A4-5BE218FEBE1C}"/>
    <cellStyle name="Input 2 2 4 11 4" xfId="32110" xr:uid="{E9E30A8D-876B-4E17-AD4D-8A2099C2ACE3}"/>
    <cellStyle name="Input 2 2 4 12" xfId="25731" xr:uid="{5AF7782B-CCFD-4F7F-A779-A76833E39D63}"/>
    <cellStyle name="Input 2 2 4 12 2" xfId="28398" xr:uid="{B0C6252D-1388-47D0-BBD8-0A31E07D3C28}"/>
    <cellStyle name="Input 2 2 4 12 2 2" xfId="35243" xr:uid="{FE0C5B77-41DF-4EA5-9263-D8CAB4F911E2}"/>
    <cellStyle name="Input 2 2 4 12 3" xfId="30479" xr:uid="{6A3B1FD4-B328-4060-8192-847019B2AF24}"/>
    <cellStyle name="Input 2 2 4 12 3 2" xfId="37324" xr:uid="{7E2AEE22-7915-4381-8288-67EA17775F27}"/>
    <cellStyle name="Input 2 2 4 12 4" xfId="32561" xr:uid="{642219E3-9ABE-4CFB-ADB2-6E03142E1A97}"/>
    <cellStyle name="Input 2 2 4 13" xfId="25701" xr:uid="{10AACDC3-763B-491A-9EB0-272F60A0EAAC}"/>
    <cellStyle name="Input 2 2 4 13 2" xfId="28368" xr:uid="{0006F40A-00A0-4F96-82B0-09104F0FE7A5}"/>
    <cellStyle name="Input 2 2 4 13 2 2" xfId="35213" xr:uid="{6672B9A7-A86C-42F4-986C-4C3838376B76}"/>
    <cellStyle name="Input 2 2 4 13 3" xfId="30449" xr:uid="{1A29B97A-D595-4D12-B30D-2B3B1891DC2E}"/>
    <cellStyle name="Input 2 2 4 13 3 2" xfId="37294" xr:uid="{6375CA8F-3AFB-4A76-97B7-2AC0B2AF30D1}"/>
    <cellStyle name="Input 2 2 4 13 4" xfId="32531" xr:uid="{81372879-E968-4007-AED9-0CE63523D670}"/>
    <cellStyle name="Input 2 2 4 14" xfId="25694" xr:uid="{CC15041E-8CD1-42C1-98CA-27FAE2E66A0C}"/>
    <cellStyle name="Input 2 2 4 14 2" xfId="28361" xr:uid="{40C51DE3-7DE3-4182-8BC8-308C56FC07D0}"/>
    <cellStyle name="Input 2 2 4 14 2 2" xfId="35206" xr:uid="{6537E5FB-6462-47CF-BAF3-00AE522F31B3}"/>
    <cellStyle name="Input 2 2 4 14 3" xfId="30442" xr:uid="{0CD09889-BD8C-418F-B4D6-F412B771F74F}"/>
    <cellStyle name="Input 2 2 4 14 3 2" xfId="37287" xr:uid="{69DC6814-C7EC-47DD-9DDE-9631D6221F36}"/>
    <cellStyle name="Input 2 2 4 14 4" xfId="32524" xr:uid="{254FA746-AC8F-477F-B920-09380A498260}"/>
    <cellStyle name="Input 2 2 4 15" xfId="24284" xr:uid="{5D013F90-66F5-4D23-89BE-C95EAEFEB5FA}"/>
    <cellStyle name="Input 2 2 4 15 2" xfId="26891" xr:uid="{5F5CE97F-04F4-4108-9CDF-EC6DB46A5294}"/>
    <cellStyle name="Input 2 2 4 15 2 2" xfId="33731" xr:uid="{97419D65-0400-49F9-BF66-B4C3D3FBA1AD}"/>
    <cellStyle name="Input 2 2 4 15 3" xfId="28967" xr:uid="{68B1464E-2242-4448-B7A2-CA2FB0E37399}"/>
    <cellStyle name="Input 2 2 4 15 3 2" xfId="35812" xr:uid="{09960A45-AE59-4771-AB38-AF2A9D0C743C}"/>
    <cellStyle name="Input 2 2 4 15 4" xfId="31049" xr:uid="{CECFE622-B4B7-42FC-B5DA-4BBBA2728091}"/>
    <cellStyle name="Input 2 2 4 16" xfId="23616" xr:uid="{0C853E89-1092-4833-A6E5-1E4FE47F4AFD}"/>
    <cellStyle name="Input 2 2 4 17" xfId="14961" xr:uid="{E7758A5F-EEB9-4C6B-B331-FB532AC3C1B4}"/>
    <cellStyle name="Input 2 2 4 18" xfId="14222" xr:uid="{F3273559-571B-4426-B48D-A7D5D10EEC4F}"/>
    <cellStyle name="Input 2 2 4 19" xfId="15384" xr:uid="{293A87C6-1B06-46A8-ACEC-5BFA0B5011EE}"/>
    <cellStyle name="Input 2 2 4 2" xfId="18382" xr:uid="{15E2B930-8AB6-488E-BFA6-6D511A143AC6}"/>
    <cellStyle name="Input 2 2 4 2 10" xfId="20610" xr:uid="{5FF26C30-61BB-4F0F-A585-145500F11FDB}"/>
    <cellStyle name="Input 2 2 4 2 11" xfId="19669" xr:uid="{A8D99966-6A2F-4190-92D8-6E26B6E40A3E}"/>
    <cellStyle name="Input 2 2 4 2 12" xfId="22319" xr:uid="{1EFD59E2-7027-4B93-9C17-8899419F7FBB}"/>
    <cellStyle name="Input 2 2 4 2 13" xfId="19006" xr:uid="{410BA358-F9C1-4285-AEDE-94BC1383A3C4}"/>
    <cellStyle name="Input 2 2 4 2 14" xfId="22665" xr:uid="{7A2DBC95-C4C5-43FD-A62C-E99A6B8785A2}"/>
    <cellStyle name="Input 2 2 4 2 15" xfId="19462" xr:uid="{0AD0A654-9BA4-49D3-BF78-0A441618F8EC}"/>
    <cellStyle name="Input 2 2 4 2 16" xfId="31292" xr:uid="{FB4D92C6-7C5F-46AF-8B36-7DF5A5B22D18}"/>
    <cellStyle name="Input 2 2 4 2 2" xfId="19977" xr:uid="{6CAAE85A-72A9-4BA4-81C7-0B3386394868}"/>
    <cellStyle name="Input 2 2 4 2 2 2" xfId="27133" xr:uid="{CF2CF540-E070-49A0-B1E1-864CD0671460}"/>
    <cellStyle name="Input 2 2 4 2 2 3" xfId="33974" xr:uid="{2173E38C-BE43-4F5F-AF2E-229561BB80A7}"/>
    <cellStyle name="Input 2 2 4 2 3" xfId="21114" xr:uid="{A138FE87-B560-41E4-A47C-C32B2FCC70CF}"/>
    <cellStyle name="Input 2 2 4 2 3 2" xfId="29210" xr:uid="{E40CAFB3-F171-4E99-B6A6-99AAC0A643DB}"/>
    <cellStyle name="Input 2 2 4 2 3 3" xfId="36055" xr:uid="{16A5E318-5EFC-4E9E-AB5E-9B38E400F479}"/>
    <cellStyle name="Input 2 2 4 2 4" xfId="20924" xr:uid="{71536C01-3188-4E98-9060-2872A650A9DF}"/>
    <cellStyle name="Input 2 2 4 2 5" xfId="18901" xr:uid="{0C5AD4F0-4A23-40B1-B9AC-7A2006226464}"/>
    <cellStyle name="Input 2 2 4 2 6" xfId="21514" xr:uid="{0074C690-BBE1-45FA-AD96-0B375EB67469}"/>
    <cellStyle name="Input 2 2 4 2 7" xfId="20802" xr:uid="{60DCC8D4-E547-4FE6-9A7F-AF7DE27F32B6}"/>
    <cellStyle name="Input 2 2 4 2 8" xfId="19808" xr:uid="{16EB1AD8-297B-4863-860A-6B7396B102FD}"/>
    <cellStyle name="Input 2 2 4 2 9" xfId="20123" xr:uid="{BCF6BE07-09C7-4023-A012-3B962FD28D0B}"/>
    <cellStyle name="Input 2 2 4 20" xfId="15120" xr:uid="{5EE47100-8004-477E-B263-E48C8DB6C5DC}"/>
    <cellStyle name="Input 2 2 4 21" xfId="49650" xr:uid="{AAA71F88-DE84-40BE-8CCA-9BF07A9E8FA1}"/>
    <cellStyle name="Input 2 2 4 22" xfId="48643" xr:uid="{5283B277-B4A4-4DAD-A2EA-4E2D4B5FBB64}"/>
    <cellStyle name="Input 2 2 4 3" xfId="17594" xr:uid="{457983D3-1697-42CF-9201-0A048E050305}"/>
    <cellStyle name="Input 2 2 4 3 2" xfId="27653" xr:uid="{DEA598B5-AB2F-48AE-95A7-0D9F81DB7BB3}"/>
    <cellStyle name="Input 2 2 4 3 2 2" xfId="34498" xr:uid="{9023218B-D5ED-4BA6-9948-4CF5150A7182}"/>
    <cellStyle name="Input 2 2 4 3 3" xfId="29734" xr:uid="{8B50EC84-CCB3-4EB6-BF74-5DE8E0FEB326}"/>
    <cellStyle name="Input 2 2 4 3 3 2" xfId="36579" xr:uid="{4BE17EA0-0650-422C-A152-9C96DD71C35E}"/>
    <cellStyle name="Input 2 2 4 3 4" xfId="24983" xr:uid="{FD1CE757-89E2-4FC1-BB62-CDC52C6CBABD}"/>
    <cellStyle name="Input 2 2 4 3 5" xfId="31816" xr:uid="{A26EEE0C-1099-4A81-AB90-83A3D0F1C83D}"/>
    <cellStyle name="Input 2 2 4 4" xfId="24372" xr:uid="{89BE7AA8-018E-40A2-8135-33342C4EAC4E}"/>
    <cellStyle name="Input 2 2 4 4 2" xfId="26979" xr:uid="{67986220-8567-432C-ACEE-B717A7F34F78}"/>
    <cellStyle name="Input 2 2 4 4 2 2" xfId="33819" xr:uid="{6535044D-9CCD-4D7E-8E42-6CB88441EC1C}"/>
    <cellStyle name="Input 2 2 4 4 3" xfId="29055" xr:uid="{D4D31C7C-8631-4CA6-B35C-E8FCD1382D16}"/>
    <cellStyle name="Input 2 2 4 4 3 2" xfId="35900" xr:uid="{6BD6402A-49C7-4A23-8CE7-42128AD2A65F}"/>
    <cellStyle name="Input 2 2 4 4 4" xfId="31137" xr:uid="{021FF4D9-CD63-4033-9FDB-DDE447E2F7F5}"/>
    <cellStyle name="Input 2 2 4 5" xfId="25213" xr:uid="{3DA78915-468F-4771-A7BA-5F590AD1B400}"/>
    <cellStyle name="Input 2 2 4 5 2" xfId="27885" xr:uid="{D4CA42FF-0030-4608-ABAD-C3F9269EA5CA}"/>
    <cellStyle name="Input 2 2 4 5 2 2" xfId="34730" xr:uid="{00B17A87-8619-4536-81E2-6775B1F16721}"/>
    <cellStyle name="Input 2 2 4 5 3" xfId="29966" xr:uid="{53FEB68F-95C6-47ED-B2E9-FBC497B12EE4}"/>
    <cellStyle name="Input 2 2 4 5 3 2" xfId="36811" xr:uid="{CA5F1F03-6834-423E-A4D1-22C28348C376}"/>
    <cellStyle name="Input 2 2 4 5 4" xfId="32048" xr:uid="{3A59E785-68EE-48D0-A24F-11037DB3FB6A}"/>
    <cellStyle name="Input 2 2 4 6" xfId="25162" xr:uid="{43D1DFFC-81D0-4A3B-B734-A653F47435A2}"/>
    <cellStyle name="Input 2 2 4 6 2" xfId="27834" xr:uid="{FDD02411-9C31-44D4-A558-2FC553853F21}"/>
    <cellStyle name="Input 2 2 4 6 2 2" xfId="34679" xr:uid="{D066D3B3-80B6-469E-8C5B-ACA89CC5ABBB}"/>
    <cellStyle name="Input 2 2 4 6 3" xfId="29915" xr:uid="{B5A4FB69-2251-4E8E-BE6F-963D13B03A3A}"/>
    <cellStyle name="Input 2 2 4 6 3 2" xfId="36760" xr:uid="{B8A4625B-1707-4916-B180-B193B4D5609E}"/>
    <cellStyle name="Input 2 2 4 6 4" xfId="31997" xr:uid="{F155C081-BB6A-495F-9660-1D1D6F2EFF78}"/>
    <cellStyle name="Input 2 2 4 7" xfId="25382" xr:uid="{E7032976-EBBF-47F8-99FF-4D7A92C9C6EA}"/>
    <cellStyle name="Input 2 2 4 7 2" xfId="28049" xr:uid="{9CA3E832-34F5-4547-BEDC-0C5CBC22284D}"/>
    <cellStyle name="Input 2 2 4 7 2 2" xfId="34894" xr:uid="{ECD7A0D6-52A0-4C82-865B-E0A678BFA973}"/>
    <cellStyle name="Input 2 2 4 7 3" xfId="30130" xr:uid="{BCCBB11B-3F07-4CB7-8D48-3BE1615040FE}"/>
    <cellStyle name="Input 2 2 4 7 3 2" xfId="36975" xr:uid="{32E3D40A-AE8B-4952-AB33-1B3C1EF9AC62}"/>
    <cellStyle name="Input 2 2 4 7 4" xfId="32212" xr:uid="{A584AA16-2599-4190-BF7D-9671047DD9FD}"/>
    <cellStyle name="Input 2 2 4 8" xfId="24412" xr:uid="{D27115AF-AFEB-4CC5-B072-EA9F3E1F4838}"/>
    <cellStyle name="Input 2 2 4 8 2" xfId="27031" xr:uid="{8EDEE3FF-07D3-4831-A622-43854B84AA20}"/>
    <cellStyle name="Input 2 2 4 8 2 2" xfId="33871" xr:uid="{965B4281-6CF1-4FC9-BEC2-03AA2E044AD2}"/>
    <cellStyle name="Input 2 2 4 8 3" xfId="29107" xr:uid="{AFABAD7B-FBFB-4DF1-9319-6A32DC97A9BD}"/>
    <cellStyle name="Input 2 2 4 8 3 2" xfId="35952" xr:uid="{58101F30-72F9-45CE-AA0E-F065C82A1457}"/>
    <cellStyle name="Input 2 2 4 8 4" xfId="31189" xr:uid="{14B04E8A-195D-4310-9B94-5C0358F33B57}"/>
    <cellStyle name="Input 2 2 4 9" xfId="24447" xr:uid="{04D09577-2FCC-4AE1-9496-A8AE3CE82FE1}"/>
    <cellStyle name="Input 2 2 4 9 2" xfId="27062" xr:uid="{705C5DC7-083C-4365-8B9C-D11EA2A1FD04}"/>
    <cellStyle name="Input 2 2 4 9 2 2" xfId="33902" xr:uid="{4208A1B3-27A6-4CA9-83B7-ECBE7741EE87}"/>
    <cellStyle name="Input 2 2 4 9 3" xfId="29138" xr:uid="{0634ED1D-837C-4EF7-A9DB-A5AD87408F18}"/>
    <cellStyle name="Input 2 2 4 9 3 2" xfId="35983" xr:uid="{ED56935E-4D49-4E09-983C-DE5928EBC535}"/>
    <cellStyle name="Input 2 2 4 9 4" xfId="31220" xr:uid="{1DA219FD-F641-4DE9-90C3-5FE5056EE1FA}"/>
    <cellStyle name="Input 2 2 5" xfId="2475" xr:uid="{00000000-0005-0000-0000-0000C8090000}"/>
    <cellStyle name="Input 2 2 5 10" xfId="49887" xr:uid="{CD1DC89E-8408-4EC2-BC7C-D4043E3B545A}"/>
    <cellStyle name="Input 2 2 5 2" xfId="18383" xr:uid="{CCD25681-62EE-4BA4-B46B-C365C545B0DB}"/>
    <cellStyle name="Input 2 2 5 2 10" xfId="21802" xr:uid="{536EECF4-CEDC-4788-A550-EC0BC77C1C0A}"/>
    <cellStyle name="Input 2 2 5 2 11" xfId="20306" xr:uid="{658AF5D9-001A-42CE-A81D-6275D7D1A426}"/>
    <cellStyle name="Input 2 2 5 2 12" xfId="22536" xr:uid="{57CD5C7C-A5EC-4FB5-9B64-5F78A70F7E44}"/>
    <cellStyle name="Input 2 2 5 2 13" xfId="22670" xr:uid="{AA8B0DE7-C5DE-4032-B3A6-C2B39A3B6455}"/>
    <cellStyle name="Input 2 2 5 2 14" xfId="20849" xr:uid="{9BEB51E4-B2C4-43D0-A6DE-6E7D90022BF0}"/>
    <cellStyle name="Input 2 2 5 2 15" xfId="22395" xr:uid="{0BD9D90E-E255-4359-A15A-D57DB31618A8}"/>
    <cellStyle name="Input 2 2 5 2 16" xfId="33180" xr:uid="{3FBAC53B-18EA-4A86-88B7-EADE979FFCB9}"/>
    <cellStyle name="Input 2 2 5 2 2" xfId="19976" xr:uid="{34226DB6-39A2-451C-BF0F-12639891F0D9}"/>
    <cellStyle name="Input 2 2 5 2 3" xfId="21113" xr:uid="{AE32CAA9-85F4-4118-A6DB-1B1CF2FAD9C2}"/>
    <cellStyle name="Input 2 2 5 2 4" xfId="19134" xr:uid="{E7E0E156-6D20-428E-A3C3-233CBC23B9A8}"/>
    <cellStyle name="Input 2 2 5 2 5" xfId="20847" xr:uid="{4D0C6B00-9242-4985-B29C-594589CC3211}"/>
    <cellStyle name="Input 2 2 5 2 6" xfId="19303" xr:uid="{63B3EE3C-53FC-4398-BAE5-002FEC1399D0}"/>
    <cellStyle name="Input 2 2 5 2 7" xfId="20538" xr:uid="{DBC9F8EF-037E-4123-AEB3-9C694AD8CCC1}"/>
    <cellStyle name="Input 2 2 5 2 8" xfId="21894" xr:uid="{8E88600C-911F-4330-9627-E8F399EDE076}"/>
    <cellStyle name="Input 2 2 5 2 9" xfId="20167" xr:uid="{458088ED-CC5B-402A-B2A6-6078D05A8283}"/>
    <cellStyle name="Input 2 2 5 3" xfId="17973" xr:uid="{2903AA5C-BF33-4D89-B98D-D3546B6D8ADE}"/>
    <cellStyle name="Input 2 2 5 3 2" xfId="26342" xr:uid="{F432B9E3-98C4-43FA-9BBE-92711E6F163F}"/>
    <cellStyle name="Input 2 2 5 3 3" xfId="33173" xr:uid="{353EBA88-DEDD-4345-ABDF-7EB9A75C088F}"/>
    <cellStyle name="Input 2 2 5 4" xfId="23482" xr:uid="{22654BA5-5295-46FE-AA95-BD430A83B084}"/>
    <cellStyle name="Input 2 2 5 5" xfId="14962" xr:uid="{C030CC2B-D18F-4883-9BAB-59D7F6575266}"/>
    <cellStyle name="Input 2 2 5 6" xfId="14221" xr:uid="{91DDD1E3-4F2A-4970-B5CA-6FBAE585D860}"/>
    <cellStyle name="Input 2 2 5 7" xfId="46723" xr:uid="{83DBF85D-C508-4974-863E-45CE2F7DB067}"/>
    <cellStyle name="Input 2 2 5 8" xfId="49206" xr:uid="{8BB78137-F0DF-40E6-B017-1CE794DB08E8}"/>
    <cellStyle name="Input 2 2 5 9" xfId="38013" xr:uid="{F75CD8BA-C63A-4B54-BBF9-0D35A852FCBC}"/>
    <cellStyle name="Input 2 2 6" xfId="18379" xr:uid="{594E2AE2-9EA8-4B66-83FE-13D2578AD285}"/>
    <cellStyle name="Input 2 2 6 10" xfId="19627" xr:uid="{96E97015-8069-4E1D-9270-866E3F7EE215}"/>
    <cellStyle name="Input 2 2 6 11" xfId="22519" xr:uid="{FD50519E-3736-4291-8B47-24B64E597C5B}"/>
    <cellStyle name="Input 2 2 6 12" xfId="20709" xr:uid="{F37FACF4-CEA0-4E9C-BB3C-3E52549DFE03}"/>
    <cellStyle name="Input 2 2 6 13" xfId="19692" xr:uid="{A352192D-D40A-4F2D-A429-9A389D165AAE}"/>
    <cellStyle name="Input 2 2 6 14" xfId="20245" xr:uid="{2A66D4A8-1C33-4817-8844-935D0BEA674F}"/>
    <cellStyle name="Input 2 2 6 15" xfId="19806" xr:uid="{F8A3FD1E-66A5-4A78-9FEF-2978D779570E}"/>
    <cellStyle name="Input 2 2 6 16" xfId="31396" xr:uid="{CA6AF629-7F97-4D5A-95D9-2CE49F3EDFCB}"/>
    <cellStyle name="Input 2 2 6 2" xfId="19980" xr:uid="{AEDC686B-C78F-4255-BFE6-088D8CC4A3F2}"/>
    <cellStyle name="Input 2 2 6 2 2" xfId="27237" xr:uid="{EF34A590-B2EA-4027-83B6-BBC84E6918DE}"/>
    <cellStyle name="Input 2 2 6 2 3" xfId="34078" xr:uid="{0AED94B8-B4E9-4E04-A222-CA78409DE4C5}"/>
    <cellStyle name="Input 2 2 6 3" xfId="21117" xr:uid="{9577C26D-A273-4D71-9454-599D19EA1B75}"/>
    <cellStyle name="Input 2 2 6 3 2" xfId="29314" xr:uid="{48A64871-E73F-418F-9118-74400ED56D8F}"/>
    <cellStyle name="Input 2 2 6 3 3" xfId="36159" xr:uid="{C32B0320-E12D-434E-90AE-B352E9F5F478}"/>
    <cellStyle name="Input 2 2 6 4" xfId="19152" xr:uid="{56FCA114-626B-4124-A051-810F09F02DB8}"/>
    <cellStyle name="Input 2 2 6 5" xfId="21493" xr:uid="{A0AF5BE9-A236-4C91-BDE2-1C1F86303EA7}"/>
    <cellStyle name="Input 2 2 6 6" xfId="21178" xr:uid="{374961F5-2BAE-4698-8206-0A1852F85CB5}"/>
    <cellStyle name="Input 2 2 6 7" xfId="19216" xr:uid="{C9BF29D5-B2A7-49D7-9369-21FC6A751019}"/>
    <cellStyle name="Input 2 2 6 8" xfId="20784" xr:uid="{0CCEB9B4-D65E-493C-B89F-6F04DB716329}"/>
    <cellStyle name="Input 2 2 6 9" xfId="19067" xr:uid="{6521C74C-6B2F-4439-A67E-CD1E3B452D49}"/>
    <cellStyle name="Input 2 2 7" xfId="17394" xr:uid="{F1BF3C48-5337-464B-9D54-6E5ACC6A9E37}"/>
    <cellStyle name="Input 2 2 7 2" xfId="27410" xr:uid="{C86B473B-654B-45C4-8B45-FFC675BC0B1E}"/>
    <cellStyle name="Input 2 2 7 2 2" xfId="34254" xr:uid="{F769E416-F62C-49A0-9138-972FD9B81AEF}"/>
    <cellStyle name="Input 2 2 7 3" xfId="29490" xr:uid="{7056F37F-F691-4B12-B549-C72115B877B2}"/>
    <cellStyle name="Input 2 2 7 3 2" xfId="36335" xr:uid="{11D660D8-25EA-4C80-BF64-2FA750B8A6CA}"/>
    <cellStyle name="Input 2 2 7 4" xfId="24757" xr:uid="{0157F7D3-6D01-4E3A-8D62-BB915C104654}"/>
    <cellStyle name="Input 2 2 7 5" xfId="31572" xr:uid="{BECF1108-1AF8-4FA2-A22A-D29E17B8239D}"/>
    <cellStyle name="Input 2 2 8" xfId="24307" xr:uid="{A67887D9-F38D-453D-A43C-828251ECB0A8}"/>
    <cellStyle name="Input 2 2 8 2" xfId="26913" xr:uid="{3A8230DA-C0B2-4643-B1D3-F6FE454E7D6F}"/>
    <cellStyle name="Input 2 2 8 2 2" xfId="33753" xr:uid="{5CED0D21-DCA7-457B-A158-F11ADC68ACDA}"/>
    <cellStyle name="Input 2 2 8 3" xfId="28989" xr:uid="{3F8CD9D7-1DF6-4CA8-BE97-04E6598E604E}"/>
    <cellStyle name="Input 2 2 8 3 2" xfId="35834" xr:uid="{342C32D0-12C0-4516-AD90-421798CCA984}"/>
    <cellStyle name="Input 2 2 8 4" xfId="31071" xr:uid="{0444CA1B-394F-4605-BFC8-0DA3241200CE}"/>
    <cellStyle name="Input 2 2 9" xfId="23930" xr:uid="{A50AC5DF-0C4B-462E-89D1-3C1178A63D84}"/>
    <cellStyle name="Input 2 2 9 2" xfId="26548" xr:uid="{296BBFC5-F0CF-4026-860D-4EE4500DE5F4}"/>
    <cellStyle name="Input 2 2 9 2 2" xfId="33388" xr:uid="{369775D0-8894-4276-87ED-75B7EF86ABB0}"/>
    <cellStyle name="Input 2 2 9 3" xfId="26137" xr:uid="{CEC93324-ED17-45D0-82F9-2EA6BBC21D9C}"/>
    <cellStyle name="Input 2 2 9 3 2" xfId="32965" xr:uid="{21489D39-F3A7-46A7-BBB5-B2398F8C0D81}"/>
    <cellStyle name="Input 2 2 9 4" xfId="23259" xr:uid="{131DD922-FC65-4247-B94B-5DABC8145B88}"/>
    <cellStyle name="Input 2 20" xfId="23964" xr:uid="{CAB91B3A-C03C-4F76-88F8-2F9D3F7C34CC}"/>
    <cellStyle name="Input 2 20 2" xfId="26582" xr:uid="{4B2CF6AF-5074-40AB-9829-F26B5F2F3C70}"/>
    <cellStyle name="Input 2 20 2 2" xfId="33422" xr:uid="{ED5FFA38-F819-4433-85FF-694CEEAF28FF}"/>
    <cellStyle name="Input 2 20 3" xfId="26110" xr:uid="{9BF87AA9-2EB9-496F-9BFC-7DFFCD2AE94A}"/>
    <cellStyle name="Input 2 20 3 2" xfId="32938" xr:uid="{072A109E-48BA-4DBD-9246-2CDBA3F507D9}"/>
    <cellStyle name="Input 2 20 4" xfId="23233" xr:uid="{7C3C5BEC-3D61-4002-A772-19A250691E84}"/>
    <cellStyle name="Input 2 21" xfId="25888" xr:uid="{504289CC-4E5F-46D8-8DE4-EC910176CAFB}"/>
    <cellStyle name="Input 2 21 2" xfId="28554" xr:uid="{99C1AC29-A62E-4C82-A1F7-D72AF5BE2ED5}"/>
    <cellStyle name="Input 2 21 2 2" xfId="35399" xr:uid="{9FA3E7A9-0569-4DFA-8BA8-10A5FB966736}"/>
    <cellStyle name="Input 2 21 3" xfId="30635" xr:uid="{97F74E0E-2F7D-4796-BFCB-7971DA2F1856}"/>
    <cellStyle name="Input 2 21 3 2" xfId="37480" xr:uid="{6C96C6AC-90A5-43C5-9AD1-2D35CA769730}"/>
    <cellStyle name="Input 2 21 4" xfId="32717" xr:uid="{EC641893-86FE-499C-A8BE-5BB49518008F}"/>
    <cellStyle name="Input 2 22" xfId="24048" xr:uid="{09E76053-3C8D-487D-A219-353F1D23C99F}"/>
    <cellStyle name="Input 2 22 2" xfId="26661" xr:uid="{3319B181-6561-4E34-AC6B-C622FA7155B1}"/>
    <cellStyle name="Input 2 22 2 2" xfId="33501" xr:uid="{C2C019FB-EEE9-44FD-BBA3-BE08454C64C0}"/>
    <cellStyle name="Input 2 22 3" xfId="28737" xr:uid="{35D26484-F126-4481-B596-A0CE36591CDE}"/>
    <cellStyle name="Input 2 22 3 2" xfId="35582" xr:uid="{A92FCC9B-13D7-42A9-AD14-BB1C74AFA992}"/>
    <cellStyle name="Input 2 22 4" xfId="30819" xr:uid="{8E975F34-E59F-4A63-BB50-0388F2B0FB7F}"/>
    <cellStyle name="Input 2 23" xfId="23147" xr:uid="{49E7411A-AD9B-4A2E-B74A-399F2905E4B0}"/>
    <cellStyle name="Input 2 24" xfId="13637" xr:uid="{B3B31B07-C3EF-4E10-97EA-AADF736AEC9D}"/>
    <cellStyle name="Input 2 25" xfId="14227" xr:uid="{5E761F6F-601C-42EA-84F4-7EB1EA7156A3}"/>
    <cellStyle name="Input 2 26" xfId="48731" xr:uid="{49B99DA4-485E-4418-AE8D-8525D2C5B77D}"/>
    <cellStyle name="Input 2 27" xfId="48789" xr:uid="{DCE326C7-ED47-49C8-8154-8BC97DC3389A}"/>
    <cellStyle name="Input 2 28" xfId="46849" xr:uid="{F081984E-489B-482C-854C-DED317DEEA31}"/>
    <cellStyle name="Input 2 29" xfId="47499" xr:uid="{196545CE-784F-4266-86BF-BC8DE0FA8224}"/>
    <cellStyle name="Input 2 3" xfId="2476" xr:uid="{00000000-0005-0000-0000-0000C9090000}"/>
    <cellStyle name="Input 2 3 10" xfId="25021" xr:uid="{A2EEE7E4-1125-4FFD-BC82-949548AD7ED8}"/>
    <cellStyle name="Input 2 3 10 2" xfId="27694" xr:uid="{F7144847-AC16-47B4-A845-549BA3A8FF1B}"/>
    <cellStyle name="Input 2 3 10 2 2" xfId="34539" xr:uid="{42801AC5-00ED-465E-8838-2B10C61D7E0A}"/>
    <cellStyle name="Input 2 3 10 3" xfId="29775" xr:uid="{2E99FB11-0207-4233-9F88-5D77C09FD83E}"/>
    <cellStyle name="Input 2 3 10 3 2" xfId="36620" xr:uid="{037E5310-44C1-4EAD-A952-1BD3E5033138}"/>
    <cellStyle name="Input 2 3 10 4" xfId="31857" xr:uid="{5DCEE5A6-1F9B-4E34-BAC2-635AE0A3E34E}"/>
    <cellStyle name="Input 2 3 11" xfId="24350" xr:uid="{B2A03756-DC78-4A9C-BB28-D37904854E80}"/>
    <cellStyle name="Input 2 3 11 2" xfId="26956" xr:uid="{DD6D9BBE-F239-498C-91AD-C779374FB3D0}"/>
    <cellStyle name="Input 2 3 11 2 2" xfId="33796" xr:uid="{42C2F588-F655-4A63-ADF6-56107C9054D5}"/>
    <cellStyle name="Input 2 3 11 3" xfId="29032" xr:uid="{FBBEB392-B4B7-405D-B50B-B9AF409D79D2}"/>
    <cellStyle name="Input 2 3 11 3 2" xfId="35877" xr:uid="{D16C9AA0-3498-43D3-953F-912FF6E8981F}"/>
    <cellStyle name="Input 2 3 11 4" xfId="31114" xr:uid="{DA276FD5-565D-469D-8238-D0CB2E974812}"/>
    <cellStyle name="Input 2 3 12" xfId="24778" xr:uid="{84483BD1-1644-4C87-8FF6-69D778FEE6E3}"/>
    <cellStyle name="Input 2 3 12 2" xfId="27431" xr:uid="{FE4E4FBC-1BDE-4FD2-9186-124FF8F867FE}"/>
    <cellStyle name="Input 2 3 12 2 2" xfId="34275" xr:uid="{78F913BE-000F-4DB0-BFA3-2F34CB38405D}"/>
    <cellStyle name="Input 2 3 12 3" xfId="29511" xr:uid="{BF78AD75-80A1-4742-9471-1D687F45DDE4}"/>
    <cellStyle name="Input 2 3 12 3 2" xfId="36356" xr:uid="{5F2B659F-C2C3-448D-BFB7-648BCF11856C}"/>
    <cellStyle name="Input 2 3 12 4" xfId="31593" xr:uid="{2DA17FA9-9238-4F2A-A757-E140D1CA2A2B}"/>
    <cellStyle name="Input 2 3 13" xfId="24224" xr:uid="{3632CB2B-B460-4AF6-BA3F-2011DDFA9AD3}"/>
    <cellStyle name="Input 2 3 13 2" xfId="26833" xr:uid="{C0C496A7-DCCE-4CC0-8E7E-00C8BE570327}"/>
    <cellStyle name="Input 2 3 13 2 2" xfId="33673" xr:uid="{C23E19DD-EC8B-4302-B8EB-3B3B3F881763}"/>
    <cellStyle name="Input 2 3 13 3" xfId="28909" xr:uid="{EC536228-7425-4C86-998B-AEE30850E9E6}"/>
    <cellStyle name="Input 2 3 13 3 2" xfId="35754" xr:uid="{DF86D2F0-DD58-45B8-8D41-C0E6E3B21567}"/>
    <cellStyle name="Input 2 3 13 4" xfId="30991" xr:uid="{970E8D5B-6E24-4D0B-B07C-41BE7423D631}"/>
    <cellStyle name="Input 2 3 14" xfId="24960" xr:uid="{3FC648C3-4A08-4DC7-900A-8218A7BE140E}"/>
    <cellStyle name="Input 2 3 14 2" xfId="27630" xr:uid="{98497763-3054-4644-924D-EB2E26280DD2}"/>
    <cellStyle name="Input 2 3 14 2 2" xfId="34475" xr:uid="{B16E5F00-33C7-4B0B-A9FC-DC0AAD289C92}"/>
    <cellStyle name="Input 2 3 14 3" xfId="29711" xr:uid="{FD95A07F-6BD9-4F2C-A5C7-71C895402347}"/>
    <cellStyle name="Input 2 3 14 3 2" xfId="36556" xr:uid="{0E188B3E-0E2C-48B3-8232-4F2631D064B3}"/>
    <cellStyle name="Input 2 3 14 4" xfId="31793" xr:uid="{EC90BB73-AB85-4A60-8CAB-B0333CC6A80F}"/>
    <cellStyle name="Input 2 3 15" xfId="25610" xr:uid="{C0E8FD26-FFA4-44A0-B562-FA24FB6687BC}"/>
    <cellStyle name="Input 2 3 15 2" xfId="28277" xr:uid="{F3001F37-8856-4380-954E-CBC8BB633994}"/>
    <cellStyle name="Input 2 3 15 2 2" xfId="35122" xr:uid="{2AC2723D-3D51-4F55-991F-1C0947B25FB0}"/>
    <cellStyle name="Input 2 3 15 3" xfId="30358" xr:uid="{9CC213C5-56DB-4F5E-931E-1B1F0515A162}"/>
    <cellStyle name="Input 2 3 15 3 2" xfId="37203" xr:uid="{9DA73DC1-9591-4BEE-8F12-9BA204C433EE}"/>
    <cellStyle name="Input 2 3 15 4" xfId="32440" xr:uid="{5AE094D9-7B44-4CD3-8397-C4E899DEAFD1}"/>
    <cellStyle name="Input 2 3 16" xfId="24748" xr:uid="{481593FF-7AE5-4EE6-849F-C5CA47882CC8}"/>
    <cellStyle name="Input 2 3 16 2" xfId="27400" xr:uid="{BDCF5A0C-E494-4594-BA6D-4E3217F68396}"/>
    <cellStyle name="Input 2 3 16 2 2" xfId="34244" xr:uid="{0FE2515B-646A-4CB4-8A23-A70B0DF6CCBA}"/>
    <cellStyle name="Input 2 3 16 3" xfId="29480" xr:uid="{BFC8C594-3A1E-4427-8DE1-54FDB03F0373}"/>
    <cellStyle name="Input 2 3 16 3 2" xfId="36325" xr:uid="{E4EE4237-509E-4DC8-A6DF-95D92A77AAFD}"/>
    <cellStyle name="Input 2 3 16 4" xfId="31562" xr:uid="{8087E496-F5B6-4837-8F5A-4FC51AD0BB62}"/>
    <cellStyle name="Input 2 3 17" xfId="24864" xr:uid="{164C1170-D7A2-4A99-B3EE-D610D5CFC501}"/>
    <cellStyle name="Input 2 3 17 2" xfId="27528" xr:uid="{1BCC9B29-81BF-45A3-8A04-C0E5B3136429}"/>
    <cellStyle name="Input 2 3 17 2 2" xfId="34372" xr:uid="{06B04D0A-C614-4BC4-9085-FB668AAC2947}"/>
    <cellStyle name="Input 2 3 17 3" xfId="29608" xr:uid="{2E032440-49E2-45A0-80CE-1DE83BBC9C31}"/>
    <cellStyle name="Input 2 3 17 3 2" xfId="36453" xr:uid="{399E6D2E-BF49-4DE0-B92A-A2B9264F365A}"/>
    <cellStyle name="Input 2 3 17 4" xfId="31690" xr:uid="{0AB69C00-DD61-4953-A4E4-C34EB93F680A}"/>
    <cellStyle name="Input 2 3 18" xfId="23145" xr:uid="{F67CDCD3-F392-448A-BE55-BF53EE141D61}"/>
    <cellStyle name="Input 2 3 19" xfId="13640" xr:uid="{727FFDF8-52FA-416F-A553-C565D14AD226}"/>
    <cellStyle name="Input 2 3 2" xfId="2477" xr:uid="{00000000-0005-0000-0000-0000CA090000}"/>
    <cellStyle name="Input 2 3 2 10" xfId="25285" xr:uid="{76CB40FA-CACC-4355-A6D8-B8A60951EA50}"/>
    <cellStyle name="Input 2 3 2 10 2" xfId="27956" xr:uid="{BE1AC63E-595A-42E9-B825-F02A3BE8F618}"/>
    <cellStyle name="Input 2 3 2 10 2 2" xfId="34801" xr:uid="{73E20FFA-2C67-4145-B27F-2618458E1098}"/>
    <cellStyle name="Input 2 3 2 10 3" xfId="30037" xr:uid="{443B3FAE-9BDB-458A-ACFE-9111BFE2E8AA}"/>
    <cellStyle name="Input 2 3 2 10 3 2" xfId="36882" xr:uid="{9E77460F-DD36-4ECA-8D44-57465F936F2F}"/>
    <cellStyle name="Input 2 3 2 10 4" xfId="32119" xr:uid="{F2D504DF-171E-467C-9E26-A260591436BE}"/>
    <cellStyle name="Input 2 3 2 11" xfId="25454" xr:uid="{79F7CCC1-CF3A-4AC2-9516-A02C50430EDC}"/>
    <cellStyle name="Input 2 3 2 11 2" xfId="28121" xr:uid="{1BD8DA1F-C18F-4F5F-B0F0-C0219943AA2B}"/>
    <cellStyle name="Input 2 3 2 11 2 2" xfId="34966" xr:uid="{8F070797-9A65-4D68-AFFC-5F8674548735}"/>
    <cellStyle name="Input 2 3 2 11 3" xfId="30202" xr:uid="{99656831-C0A2-4A10-AD7B-8A0D67451F2E}"/>
    <cellStyle name="Input 2 3 2 11 3 2" xfId="37047" xr:uid="{5B31D30F-90CC-4DD6-833E-6CD3C1818C8D}"/>
    <cellStyle name="Input 2 3 2 11 4" xfId="32284" xr:uid="{69058306-3573-4452-BECB-789201DC0C29}"/>
    <cellStyle name="Input 2 3 2 12" xfId="25207" xr:uid="{4D75EBAD-A85D-4DF6-93D6-179DC5F8BC5F}"/>
    <cellStyle name="Input 2 3 2 12 2" xfId="27879" xr:uid="{555C98A8-C5FE-472F-8D8F-E19C19481974}"/>
    <cellStyle name="Input 2 3 2 12 2 2" xfId="34724" xr:uid="{694E5215-CA40-4574-8B58-17FEAABFBDEB}"/>
    <cellStyle name="Input 2 3 2 12 3" xfId="29960" xr:uid="{70B87A8E-A0FA-4857-9297-508CABC1B9AC}"/>
    <cellStyle name="Input 2 3 2 12 3 2" xfId="36805" xr:uid="{4D66AC21-015A-4DC9-BD68-DE7E9290893A}"/>
    <cellStyle name="Input 2 3 2 12 4" xfId="32042" xr:uid="{FC5FF497-6F7F-46A9-A8FB-FFE0AD35BB39}"/>
    <cellStyle name="Input 2 3 2 13" xfId="25675" xr:uid="{BC643DF7-AEA2-4C1A-BD9A-1017DFAA552D}"/>
    <cellStyle name="Input 2 3 2 13 2" xfId="28342" xr:uid="{DA48493D-5C55-4454-96D8-932BE87CE1CD}"/>
    <cellStyle name="Input 2 3 2 13 2 2" xfId="35187" xr:uid="{12742DD5-02D7-4CC1-9FCC-D4733A3FE5F0}"/>
    <cellStyle name="Input 2 3 2 13 3" xfId="30423" xr:uid="{9F559554-A019-4C0D-9DE2-8DBD80A08630}"/>
    <cellStyle name="Input 2 3 2 13 3 2" xfId="37268" xr:uid="{4775C435-9AE3-451C-9ADB-D28F454D4FF3}"/>
    <cellStyle name="Input 2 3 2 13 4" xfId="32505" xr:uid="{7FB7ADF4-CEE1-41FE-BCEF-280861C836F5}"/>
    <cellStyle name="Input 2 3 2 14" xfId="23977" xr:uid="{7DFA8D64-18C5-41B1-97F4-7101B04349C6}"/>
    <cellStyle name="Input 2 3 2 14 2" xfId="26594" xr:uid="{E466ED11-EAFB-473F-80CB-F8F7E3A88F39}"/>
    <cellStyle name="Input 2 3 2 14 2 2" xfId="33434" xr:uid="{26A0EE13-B729-41F2-874C-ACC632842157}"/>
    <cellStyle name="Input 2 3 2 14 3" xfId="26099" xr:uid="{50E7E8CF-702B-47DD-89B6-7B48B23A598A}"/>
    <cellStyle name="Input 2 3 2 14 3 2" xfId="32927" xr:uid="{52976098-3046-4D08-8CE1-929808AAAB24}"/>
    <cellStyle name="Input 2 3 2 14 4" xfId="23221" xr:uid="{71324B01-49FA-4674-B405-B2A143B96138}"/>
    <cellStyle name="Input 2 3 2 15" xfId="24026" xr:uid="{A86235C5-0AB7-49BD-88AC-4FAA60214F58}"/>
    <cellStyle name="Input 2 3 2 15 2" xfId="26640" xr:uid="{C1D96BE8-A814-4269-9C96-0167EB4D5CCB}"/>
    <cellStyle name="Input 2 3 2 15 2 2" xfId="33480" xr:uid="{6F897453-EFF0-4648-8F92-5F2DCD2A83D1}"/>
    <cellStyle name="Input 2 3 2 15 3" xfId="28716" xr:uid="{229611B9-B41C-4FB0-8815-5F8C401DE2F7}"/>
    <cellStyle name="Input 2 3 2 15 3 2" xfId="35561" xr:uid="{77847C9B-22ED-4DA5-9C77-12EF8A8EC88C}"/>
    <cellStyle name="Input 2 3 2 15 4" xfId="30798" xr:uid="{FD557407-2F65-42AE-AD40-29E4329FD79B}"/>
    <cellStyle name="Input 2 3 2 16" xfId="25620" xr:uid="{9E027F61-DF0D-4394-BF1B-82BF8DDBD46C}"/>
    <cellStyle name="Input 2 3 2 16 2" xfId="28287" xr:uid="{AD683AB0-9290-478F-9E0B-BA9643986F4B}"/>
    <cellStyle name="Input 2 3 2 16 2 2" xfId="35132" xr:uid="{B4D2926F-9814-4D57-A9D1-A50FD5D5A52D}"/>
    <cellStyle name="Input 2 3 2 16 3" xfId="30368" xr:uid="{ED9777FD-C0B4-400E-8AAE-8D638FFBB526}"/>
    <cellStyle name="Input 2 3 2 16 3 2" xfId="37213" xr:uid="{8CC4CFF1-3EDF-45D4-B106-773BE0CA1E5B}"/>
    <cellStyle name="Input 2 3 2 16 4" xfId="32450" xr:uid="{58015101-7E89-44B9-9E8E-C7283A0ABA45}"/>
    <cellStyle name="Input 2 3 2 17" xfId="23136" xr:uid="{7FE3CC61-996D-4580-A181-4D9666960C2F}"/>
    <cellStyle name="Input 2 3 2 2" xfId="9507" xr:uid="{00000000-0005-0000-0000-0000F21A0000}"/>
    <cellStyle name="Input 2 3 2 2 10" xfId="23925" xr:uid="{351DAEC4-A6CB-4328-A603-F3B26B415CED}"/>
    <cellStyle name="Input 2 3 2 2 10 2" xfId="26543" xr:uid="{F2137FCD-2D35-4DA3-937A-AA8B2C018DC7}"/>
    <cellStyle name="Input 2 3 2 2 10 2 2" xfId="33383" xr:uid="{16F86871-BCC9-4A94-96D6-4AD74EF23FCA}"/>
    <cellStyle name="Input 2 3 2 2 10 3" xfId="26142" xr:uid="{7C34EE18-F5CC-416E-8BCC-E45F09A72B62}"/>
    <cellStyle name="Input 2 3 2 2 10 3 2" xfId="32970" xr:uid="{1837792F-EEE5-42E0-86CB-C223B4A0B15A}"/>
    <cellStyle name="Input 2 3 2 2 10 4" xfId="23264" xr:uid="{639B8A07-670A-4E42-AFEC-C1792B4A45C5}"/>
    <cellStyle name="Input 2 3 2 2 11" xfId="24085" xr:uid="{E0792384-8442-4D8C-839C-08826EA3C332}"/>
    <cellStyle name="Input 2 3 2 2 11 2" xfId="26698" xr:uid="{A692F803-1657-469B-8548-D84A79C8DA71}"/>
    <cellStyle name="Input 2 3 2 2 11 2 2" xfId="33538" xr:uid="{F21F5F85-C64C-4F6D-8968-6A6E02BBA9D3}"/>
    <cellStyle name="Input 2 3 2 2 11 3" xfId="28774" xr:uid="{952D8C27-03F9-461D-A7B9-B23974E61010}"/>
    <cellStyle name="Input 2 3 2 2 11 3 2" xfId="35619" xr:uid="{02CFC14C-407A-496D-98FD-E95D929A0C2B}"/>
    <cellStyle name="Input 2 3 2 2 11 4" xfId="30856" xr:uid="{23F82C2C-6761-4176-84D5-A628389B322B}"/>
    <cellStyle name="Input 2 3 2 2 12" xfId="24480" xr:uid="{5D9284A7-8D09-4AF0-92F0-C9054A8E9201}"/>
    <cellStyle name="Input 2 3 2 2 12 2" xfId="27093" xr:uid="{7763F972-2309-4F88-ADF2-1C2960434A26}"/>
    <cellStyle name="Input 2 3 2 2 12 2 2" xfId="33933" xr:uid="{E5ECF5D4-0B8A-4F34-83C3-52B9AA5556FF}"/>
    <cellStyle name="Input 2 3 2 2 12 3" xfId="29169" xr:uid="{6AE6E271-BDDC-402E-8828-33244F312D03}"/>
    <cellStyle name="Input 2 3 2 2 12 3 2" xfId="36014" xr:uid="{41B45D1B-F3E6-473B-BFDF-0EEB6F99343E}"/>
    <cellStyle name="Input 2 3 2 2 12 4" xfId="31251" xr:uid="{C306AF18-60B7-456F-A594-27B2B84A309D}"/>
    <cellStyle name="Input 2 3 2 2 13" xfId="25797" xr:uid="{C723D9A7-F840-4D13-8CF7-A4D5315471E5}"/>
    <cellStyle name="Input 2 3 2 2 13 2" xfId="28463" xr:uid="{1CC95683-DA35-4AC2-BC07-2691AF5F0634}"/>
    <cellStyle name="Input 2 3 2 2 13 2 2" xfId="35308" xr:uid="{3DE9E3F0-4523-45FA-BF35-72AC0C78B59B}"/>
    <cellStyle name="Input 2 3 2 2 13 3" xfId="30544" xr:uid="{857DF904-F407-41AF-8293-63135BF25AEC}"/>
    <cellStyle name="Input 2 3 2 2 13 3 2" xfId="37389" xr:uid="{EEFA048A-017F-400D-9002-CF3E118C90A7}"/>
    <cellStyle name="Input 2 3 2 2 13 4" xfId="32626" xr:uid="{28AF427C-5B87-4485-A56C-AC192BACE0E5}"/>
    <cellStyle name="Input 2 3 2 2 14" xfId="24256" xr:uid="{EFF678C8-9DBB-4592-AC4E-05D747637731}"/>
    <cellStyle name="Input 2 3 2 2 14 2" xfId="26863" xr:uid="{C83EDD56-71B3-4E8A-96E3-F2B7F34804A3}"/>
    <cellStyle name="Input 2 3 2 2 14 2 2" xfId="33703" xr:uid="{56A48DFF-2520-466F-9D60-1DF1F963A881}"/>
    <cellStyle name="Input 2 3 2 2 14 3" xfId="28939" xr:uid="{2FA40826-7F78-469E-8B12-413F004526BB}"/>
    <cellStyle name="Input 2 3 2 2 14 3 2" xfId="35784" xr:uid="{4A6E5462-7FC1-4895-8F3D-02FB37522D53}"/>
    <cellStyle name="Input 2 3 2 2 14 4" xfId="31021" xr:uid="{0F642A4F-29F5-43C8-BE5D-FD1F1CA00113}"/>
    <cellStyle name="Input 2 3 2 2 15" xfId="25338" xr:uid="{3A70C2C5-4F6C-41F7-BA4A-E3604EB4CC54}"/>
    <cellStyle name="Input 2 3 2 2 15 2" xfId="28006" xr:uid="{074FE50B-F8DB-4A5B-8922-32BA49BDA6BF}"/>
    <cellStyle name="Input 2 3 2 2 15 2 2" xfId="34851" xr:uid="{B280AF6C-BA9B-44EC-A8F5-72804AC6500C}"/>
    <cellStyle name="Input 2 3 2 2 15 3" xfId="30087" xr:uid="{D88DEAAA-C7B9-403C-9CED-5D77ECBC6CC1}"/>
    <cellStyle name="Input 2 3 2 2 15 3 2" xfId="36932" xr:uid="{6611AC97-C7FA-411F-9191-3F6B4419F04E}"/>
    <cellStyle name="Input 2 3 2 2 15 4" xfId="32169" xr:uid="{98BB0812-9327-479B-98C7-3592E665E4EB}"/>
    <cellStyle name="Input 2 3 2 2 16" xfId="23071" xr:uid="{4C1EFFB3-6BAF-4DB0-B0E9-A1B784290F2D}"/>
    <cellStyle name="Input 2 3 2 2 17" xfId="17681" xr:uid="{BB37C0D4-168F-4B6F-9440-B9A1C4FAE0B8}"/>
    <cellStyle name="Input 2 3 2 2 18" xfId="41996" xr:uid="{7C1F1F4E-D730-4BAE-9DCB-C58C70599D6C}"/>
    <cellStyle name="Input 2 3 2 2 19" xfId="48146" xr:uid="{B05142AC-FBE0-4792-8728-75FB61912F70}"/>
    <cellStyle name="Input 2 3 2 2 2" xfId="18536" xr:uid="{1035F5D0-BA2C-4B50-BC38-69B26200EBD1}"/>
    <cellStyle name="Input 2 3 2 2 2 10" xfId="20168" xr:uid="{F758CEEF-0C44-4AC2-A5F6-FBD6EC4EDA34}"/>
    <cellStyle name="Input 2 3 2 2 2 11" xfId="20474" xr:uid="{EC50B01E-A923-447A-A607-C0D630962594}"/>
    <cellStyle name="Input 2 3 2 2 2 12" xfId="22369" xr:uid="{40F156DC-ADC6-4B2E-BD57-397E1494A775}"/>
    <cellStyle name="Input 2 3 2 2 2 13" xfId="22464" xr:uid="{5214728A-6E59-40FD-B937-374B6505DCD3}"/>
    <cellStyle name="Input 2 3 2 2 2 14" xfId="21958" xr:uid="{3A0DBF19-5401-42B4-AECB-A0835587593F}"/>
    <cellStyle name="Input 2 3 2 2 2 15" xfId="20069" xr:uid="{0177AFF3-2DA9-4A72-AE4F-CFBDADB0E6ED}"/>
    <cellStyle name="Input 2 3 2 2 2 16" xfId="31566" xr:uid="{549CD2EE-88C3-4234-92D6-DFB28AFEBFAE}"/>
    <cellStyle name="Input 2 3 2 2 2 2" xfId="19885" xr:uid="{57F3BE21-E4BF-4807-B2FE-55EDC6398915}"/>
    <cellStyle name="Input 2 3 2 2 2 2 2" xfId="27404" xr:uid="{FCF49B36-0C1E-4EDD-9189-ED829717686E}"/>
    <cellStyle name="Input 2 3 2 2 2 2 3" xfId="34248" xr:uid="{9306CACF-B561-4525-A5BA-54F5431EB026}"/>
    <cellStyle name="Input 2 3 2 2 2 3" xfId="20404" xr:uid="{BD97102B-E0E7-4D3F-94BE-0650213237DF}"/>
    <cellStyle name="Input 2 3 2 2 2 3 2" xfId="29484" xr:uid="{388C8FC6-3A68-46AD-B01D-9D58E7DB7814}"/>
    <cellStyle name="Input 2 3 2 2 2 3 3" xfId="36329" xr:uid="{EAC35629-7287-49BD-A399-3A0FCEF86631}"/>
    <cellStyle name="Input 2 3 2 2 2 4" xfId="19711" xr:uid="{D336CF47-7EF8-4591-B529-99807A51A914}"/>
    <cellStyle name="Input 2 3 2 2 2 5" xfId="21746" xr:uid="{E5AFB428-540C-4C62-BBFF-94327F5657A3}"/>
    <cellStyle name="Input 2 3 2 2 2 6" xfId="22142" xr:uid="{92FF77A1-3D03-445C-AC23-A9FF38B43EEF}"/>
    <cellStyle name="Input 2 3 2 2 2 7" xfId="21230" xr:uid="{533AF6E6-5414-402C-9D9A-503524A27524}"/>
    <cellStyle name="Input 2 3 2 2 2 8" xfId="21622" xr:uid="{CC051764-730E-4324-BF85-288C48D268D8}"/>
    <cellStyle name="Input 2 3 2 2 2 9" xfId="20116" xr:uid="{E41E818C-1EB9-47D9-81E0-0140ED17A7D6}"/>
    <cellStyle name="Input 2 3 2 2 20" xfId="46569" xr:uid="{5C232724-2027-46E8-B1BB-C646C2EEEF7A}"/>
    <cellStyle name="Input 2 3 2 2 21" xfId="46918" xr:uid="{3B819DCC-B673-4E97-A19D-2A388C519547}"/>
    <cellStyle name="Input 2 3 2 2 22" xfId="15666" xr:uid="{14802FC6-F23F-484E-A316-C1AE6CC723C8}"/>
    <cellStyle name="Input 2 3 2 2 3" xfId="24427" xr:uid="{93FBC5CA-8097-43F8-810F-C3536FDB0427}"/>
    <cellStyle name="Input 2 3 2 2 3 2" xfId="27046" xr:uid="{E1CB3E83-DDDB-490D-8F88-803D08B87DEA}"/>
    <cellStyle name="Input 2 3 2 2 3 2 2" xfId="33886" xr:uid="{5D0DE4F6-4DAD-4B5A-BCCC-2056A60BD238}"/>
    <cellStyle name="Input 2 3 2 2 3 3" xfId="29122" xr:uid="{6283355A-7293-4618-BFC9-EB459D4FDD08}"/>
    <cellStyle name="Input 2 3 2 2 3 3 2" xfId="35967" xr:uid="{B97820CB-668A-4855-AA22-0D4B48C54358}"/>
    <cellStyle name="Input 2 3 2 2 3 4" xfId="31204" xr:uid="{D7B48090-C655-440E-8F38-4900AA7F555E}"/>
    <cellStyle name="Input 2 3 2 2 4" xfId="24235" xr:uid="{18470AA8-6230-4419-AEAD-3DE9C64366E5}"/>
    <cellStyle name="Input 2 3 2 2 4 2" xfId="26844" xr:uid="{E12F49A0-AC70-4149-9974-27E5ED37D874}"/>
    <cellStyle name="Input 2 3 2 2 4 2 2" xfId="33684" xr:uid="{2447197D-FEB2-41B5-8C43-53D5A0EC31F1}"/>
    <cellStyle name="Input 2 3 2 2 4 3" xfId="28920" xr:uid="{BD9F9B19-149A-4A77-9F62-2213850C0FC9}"/>
    <cellStyle name="Input 2 3 2 2 4 3 2" xfId="35765" xr:uid="{A1F581C4-174B-4D59-8476-37F9DF50C3D2}"/>
    <cellStyle name="Input 2 3 2 2 4 4" xfId="31002" xr:uid="{2D7A1282-9716-4125-8200-26BC0308F9FB}"/>
    <cellStyle name="Input 2 3 2 2 5" xfId="24500" xr:uid="{395E4151-3993-4B5F-84A8-D4B15391EEDB}"/>
    <cellStyle name="Input 2 3 2 2 5 2" xfId="27111" xr:uid="{6D8FECC8-40AD-46E9-910C-8EEFC0A51B5B}"/>
    <cellStyle name="Input 2 3 2 2 5 2 2" xfId="33951" xr:uid="{E9AB07FF-9EDE-4A36-A819-67E05120FE3A}"/>
    <cellStyle name="Input 2 3 2 2 5 3" xfId="29187" xr:uid="{48948BF1-69DD-416E-BB40-F3EF5752281B}"/>
    <cellStyle name="Input 2 3 2 2 5 3 2" xfId="36032" xr:uid="{C5A60909-560C-4A18-85CA-F3CD1CA13CA4}"/>
    <cellStyle name="Input 2 3 2 2 5 4" xfId="31269" xr:uid="{900FD44A-5967-480B-A752-EF37C1F42855}"/>
    <cellStyle name="Input 2 3 2 2 6" xfId="24794" xr:uid="{04C72650-61C3-49AC-9E0C-C4F35431D801}"/>
    <cellStyle name="Input 2 3 2 2 6 2" xfId="27447" xr:uid="{55C45D93-6B27-4BD9-80A0-D5AABF88C436}"/>
    <cellStyle name="Input 2 3 2 2 6 2 2" xfId="34291" xr:uid="{1B84B0B5-DD23-4E54-9D46-4CD5B13B6D0B}"/>
    <cellStyle name="Input 2 3 2 2 6 3" xfId="29527" xr:uid="{A87093FA-FA09-4B2C-8D28-6EE105A1DC7D}"/>
    <cellStyle name="Input 2 3 2 2 6 3 2" xfId="36372" xr:uid="{C3241C68-AA7B-48B7-8856-0868FC2761C6}"/>
    <cellStyle name="Input 2 3 2 2 6 4" xfId="31609" xr:uid="{187B4DAF-0519-47D2-90C7-F2A046D48F6A}"/>
    <cellStyle name="Input 2 3 2 2 7" xfId="23936" xr:uid="{9087B685-1A13-4812-BCC8-EE385709DEAF}"/>
    <cellStyle name="Input 2 3 2 2 7 2" xfId="26554" xr:uid="{A69D16DE-4980-4890-BA69-97BC0B129E53}"/>
    <cellStyle name="Input 2 3 2 2 7 2 2" xfId="33394" xr:uid="{34235923-5037-4F3F-B7DD-07E7C894137C}"/>
    <cellStyle name="Input 2 3 2 2 7 3" xfId="26131" xr:uid="{67436F5B-40F0-4CCB-9180-D35910C54562}"/>
    <cellStyle name="Input 2 3 2 2 7 3 2" xfId="32959" xr:uid="{03A37646-5703-4B82-AC3E-CDC8ABCF06BC}"/>
    <cellStyle name="Input 2 3 2 2 7 4" xfId="23253" xr:uid="{DB8A3C86-4D19-4EC9-A95E-D377AC61BC8B}"/>
    <cellStyle name="Input 2 3 2 2 8" xfId="25306" xr:uid="{7FA771F0-724A-4881-B497-199D055BEBBB}"/>
    <cellStyle name="Input 2 3 2 2 8 2" xfId="27976" xr:uid="{A9D8C86B-D8EF-45B9-AEB0-E7B2352D1F97}"/>
    <cellStyle name="Input 2 3 2 2 8 2 2" xfId="34821" xr:uid="{1C9CC3CD-0868-411A-9562-77EA7D8071E4}"/>
    <cellStyle name="Input 2 3 2 2 8 3" xfId="30057" xr:uid="{8F65BC32-8972-4A3D-A27B-076841CCF191}"/>
    <cellStyle name="Input 2 3 2 2 8 3 2" xfId="36902" xr:uid="{72638140-765E-4E0D-90C9-102D6A341EBB}"/>
    <cellStyle name="Input 2 3 2 2 8 4" xfId="32139" xr:uid="{BB4C634E-EA78-451B-8FE7-736BA5205C07}"/>
    <cellStyle name="Input 2 3 2 2 9" xfId="24093" xr:uid="{D93B5419-D8EC-4F99-A733-944741C57EC4}"/>
    <cellStyle name="Input 2 3 2 2 9 2" xfId="26706" xr:uid="{B297C6FA-D2D9-4A34-AB69-09FA779EC463}"/>
    <cellStyle name="Input 2 3 2 2 9 2 2" xfId="33546" xr:uid="{93479FAF-7D12-42A3-993A-F57A72A9E8C2}"/>
    <cellStyle name="Input 2 3 2 2 9 3" xfId="28782" xr:uid="{1E3CC800-7D68-4144-AF23-2F7B8C71F869}"/>
    <cellStyle name="Input 2 3 2 2 9 3 2" xfId="35627" xr:uid="{9CF622C0-427A-43A4-9FFD-15B69F4253B4}"/>
    <cellStyle name="Input 2 3 2 2 9 4" xfId="30864" xr:uid="{7FE46EDB-D93E-406F-BE93-41E7B84977AC}"/>
    <cellStyle name="Input 2 3 2 3" xfId="9281" xr:uid="{00000000-0005-0000-0000-00009E060000}"/>
    <cellStyle name="Input 2 3 2 3 10" xfId="19596" xr:uid="{CA6A389D-E71A-4E9D-A58B-C114843309A3}"/>
    <cellStyle name="Input 2 3 2 3 11" xfId="19074" xr:uid="{A892F725-FE1D-4AA6-89C0-1F3ADA837336}"/>
    <cellStyle name="Input 2 3 2 3 12" xfId="22781" xr:uid="{89C3E370-80DD-46E8-8EC8-172833BF55B0}"/>
    <cellStyle name="Input 2 3 2 3 13" xfId="21314" xr:uid="{DE0BD91D-F2EF-46B8-A03C-3EB3F86668FA}"/>
    <cellStyle name="Input 2 3 2 3 14" xfId="22917" xr:uid="{5CC40A2D-6103-4853-9AFE-8143FB58BAF9}"/>
    <cellStyle name="Input 2 3 2 3 15" xfId="22855" xr:uid="{B4BF9C54-804D-4059-BFAC-0A489C18CA14}"/>
    <cellStyle name="Input 2 3 2 3 16" xfId="31148" xr:uid="{C7A07FE6-E043-4055-AA04-9AD6456C300B}"/>
    <cellStyle name="Input 2 3 2 3 17" xfId="18711" xr:uid="{24DA1339-BA50-4D8D-BD56-8A73A115E8B7}"/>
    <cellStyle name="Input 2 3 2 3 18" xfId="41815" xr:uid="{B36B55E1-C8C0-43DB-B2D2-C9322DC7E355}"/>
    <cellStyle name="Input 2 3 2 3 19" xfId="37703" xr:uid="{5542EAA4-A556-4226-B058-76DDB129B206}"/>
    <cellStyle name="Input 2 3 2 3 2" xfId="19412" xr:uid="{14197713-F3F9-40E4-B826-56651E7A4A13}"/>
    <cellStyle name="Input 2 3 2 3 2 2" xfId="26990" xr:uid="{CEF29B36-1B4D-4918-A4B0-90E5F277DF45}"/>
    <cellStyle name="Input 2 3 2 3 2 3" xfId="33830" xr:uid="{EB1EE6BB-C572-4AAA-8149-A746EFD26CD1}"/>
    <cellStyle name="Input 2 3 2 3 20" xfId="14158" xr:uid="{DD1CC163-1726-456D-BFCD-63D87CCEA96C}"/>
    <cellStyle name="Input 2 3 2 3 21" xfId="15658" xr:uid="{D45B0E75-3C87-4773-A3AB-F7C18453F434}"/>
    <cellStyle name="Input 2 3 2 3 22" xfId="47104" xr:uid="{9DEDD205-3C6D-4130-A470-4467745A59CD}"/>
    <cellStyle name="Input 2 3 2 3 3" xfId="20731" xr:uid="{1D409AC2-DBA1-4D0E-B5A9-DCE76FDBC1D1}"/>
    <cellStyle name="Input 2 3 2 3 3 2" xfId="29066" xr:uid="{82C79D08-D685-477E-BC52-CFAD4BE10420}"/>
    <cellStyle name="Input 2 3 2 3 3 3" xfId="35911" xr:uid="{13B240A3-71FB-4E52-98FF-A0481175DBB1}"/>
    <cellStyle name="Input 2 3 2 3 4" xfId="20680" xr:uid="{9E9F5D9A-140C-49C6-B05D-B9A7EBAD6E0A}"/>
    <cellStyle name="Input 2 3 2 3 5" xfId="20129" xr:uid="{F984D93D-6BD0-409E-A46D-BA22A6ACE797}"/>
    <cellStyle name="Input 2 3 2 3 6" xfId="20041" xr:uid="{F1AFFFD5-E067-4753-8EEA-CECEFEDD81BB}"/>
    <cellStyle name="Input 2 3 2 3 7" xfId="21370" xr:uid="{F2577E9F-914D-48F8-8EE8-162B3BFC3270}"/>
    <cellStyle name="Input 2 3 2 3 8" xfId="22380" xr:uid="{619A48C5-2984-4504-B885-55EF04F59328}"/>
    <cellStyle name="Input 2 3 2 3 9" xfId="22530" xr:uid="{AFDFEBAF-A34F-4F73-8A81-5F01CA804A6D}"/>
    <cellStyle name="Input 2 3 2 4" xfId="17974" xr:uid="{25481F25-3358-4B0B-948A-B8419631ECA9}"/>
    <cellStyle name="Input 2 3 2 4 2" xfId="27538" xr:uid="{7B4FCFF4-300D-4B9B-A174-D9AA7EB3E89B}"/>
    <cellStyle name="Input 2 3 2 4 2 2" xfId="34382" xr:uid="{47E6B83D-68EF-4934-8741-375CD77BA58C}"/>
    <cellStyle name="Input 2 3 2 4 3" xfId="29618" xr:uid="{DC48F180-6BCF-4C62-9323-E7E26101DD92}"/>
    <cellStyle name="Input 2 3 2 4 3 2" xfId="36463" xr:uid="{348C81E0-75AD-41A5-81E6-62DEC4787A2D}"/>
    <cellStyle name="Input 2 3 2 4 4" xfId="24872" xr:uid="{CBE21A44-42D6-4BFD-8D69-3527BA8EA85F}"/>
    <cellStyle name="Input 2 3 2 4 5" xfId="31700" xr:uid="{14DB9515-B11B-4BE4-806E-05F7BB63BE91}"/>
    <cellStyle name="Input 2 3 2 5" xfId="17428" xr:uid="{F0573D22-E4A9-4458-88A7-569CD7273160}"/>
    <cellStyle name="Input 2 3 2 5 2" xfId="26943" xr:uid="{E2BBE0EC-1C2B-44BB-8C67-C7846D358C1D}"/>
    <cellStyle name="Input 2 3 2 5 2 2" xfId="33783" xr:uid="{064AA6CF-8DC7-4D40-B58E-CEB98E2340B2}"/>
    <cellStyle name="Input 2 3 2 5 3" xfId="29019" xr:uid="{B9140575-4DD7-4E30-BFA8-9A4BF44512A3}"/>
    <cellStyle name="Input 2 3 2 5 3 2" xfId="35864" xr:uid="{F517F71B-E60A-4057-B77B-C59CD3693F11}"/>
    <cellStyle name="Input 2 3 2 5 4" xfId="24337" xr:uid="{75AD915E-A3A7-48D5-8539-EE173C7B6A24}"/>
    <cellStyle name="Input 2 3 2 5 5" xfId="31101" xr:uid="{84D4C3A8-EB79-4B14-8E5D-41BA9345E06E}"/>
    <cellStyle name="Input 2 3 2 6" xfId="24738" xr:uid="{28E38F79-ECF3-4B69-95DF-94C9B5F1D7B0}"/>
    <cellStyle name="Input 2 3 2 6 2" xfId="27387" xr:uid="{AE0105CD-BCC7-4CF5-A534-F99DE76B41B5}"/>
    <cellStyle name="Input 2 3 2 6 2 2" xfId="34231" xr:uid="{0AB3E2ED-C58B-4344-B777-9A23168D5F67}"/>
    <cellStyle name="Input 2 3 2 6 3" xfId="29467" xr:uid="{AB71D599-655F-4251-980A-CB67B0AA2FF9}"/>
    <cellStyle name="Input 2 3 2 6 3 2" xfId="36312" xr:uid="{1BC255C5-B550-4930-8F71-7B813FF0CC3D}"/>
    <cellStyle name="Input 2 3 2 6 4" xfId="31549" xr:uid="{53A2F799-2B35-4902-A8DB-D6737165C394}"/>
    <cellStyle name="Input 2 3 2 7" xfId="24141" xr:uid="{E0800847-24BA-48E5-B75B-20177F277A9B}"/>
    <cellStyle name="Input 2 3 2 7 2" xfId="26753" xr:uid="{52948C73-53B6-49A7-BC92-5596626D3EEA}"/>
    <cellStyle name="Input 2 3 2 7 2 2" xfId="33593" xr:uid="{F2B6C44D-3AA3-4F8D-ACB5-8721FDCB67A9}"/>
    <cellStyle name="Input 2 3 2 7 3" xfId="28829" xr:uid="{E5162093-17BF-435F-8DDD-96A6BD33B874}"/>
    <cellStyle name="Input 2 3 2 7 3 2" xfId="35674" xr:uid="{2DA7970C-BC98-4F90-9BB4-AE223CA64C8E}"/>
    <cellStyle name="Input 2 3 2 7 4" xfId="30911" xr:uid="{3D706881-9F33-49B6-90A0-4A04F353B104}"/>
    <cellStyle name="Input 2 3 2 8" xfId="24699" xr:uid="{76E46D8D-9132-4F76-89D7-070B0B47063E}"/>
    <cellStyle name="Input 2 3 2 8 2" xfId="27327" xr:uid="{F459E572-A6B5-421A-8D3F-37D83AA128F8}"/>
    <cellStyle name="Input 2 3 2 8 2 2" xfId="34171" xr:uid="{866F66B5-40C4-493B-A1E5-D4310883A6D1}"/>
    <cellStyle name="Input 2 3 2 8 3" xfId="29407" xr:uid="{432B505A-8053-43D7-80CE-5628677DDA8E}"/>
    <cellStyle name="Input 2 3 2 8 3 2" xfId="36252" xr:uid="{ABC92265-9ECC-4913-9860-D1DAB39B2EDA}"/>
    <cellStyle name="Input 2 3 2 8 4" xfId="31489" xr:uid="{C6675E4E-2028-4416-851B-48F0C0360335}"/>
    <cellStyle name="Input 2 3 2 9" xfId="24773" xr:uid="{97F582B8-BBD9-4EFE-9C16-88DC54F12BD0}"/>
    <cellStyle name="Input 2 3 2 9 2" xfId="27425" xr:uid="{3A522AF0-520F-4D2E-991F-0C8984386924}"/>
    <cellStyle name="Input 2 3 2 9 2 2" xfId="34269" xr:uid="{23B1D312-B894-4238-B4F0-A5C79B2FAB4D}"/>
    <cellStyle name="Input 2 3 2 9 3" xfId="29505" xr:uid="{C60519A3-EF6A-4BE5-AE26-B49EA8A89175}"/>
    <cellStyle name="Input 2 3 2 9 3 2" xfId="36350" xr:uid="{4E202B89-DD8B-4053-80C2-A568236E8018}"/>
    <cellStyle name="Input 2 3 2 9 4" xfId="31587" xr:uid="{A479E1C0-4EE7-4D56-BE7C-4A5216C449EC}"/>
    <cellStyle name="Input 2 3 20" xfId="14220" xr:uid="{EA61BAD6-963B-496D-A71A-B4DAB6E66EEA}"/>
    <cellStyle name="Input 2 3 21" xfId="47577" xr:uid="{202C164E-5CD4-4287-B407-4BD1602C273D}"/>
    <cellStyle name="Input 2 3 22" xfId="46913" xr:uid="{25D77138-40C9-400F-A5DD-7B8200108BC6}"/>
    <cellStyle name="Input 2 3 23" xfId="49640" xr:uid="{5F586F4C-38C9-4117-A394-8FA7C820D5CD}"/>
    <cellStyle name="Input 2 3 24" xfId="40504" xr:uid="{7F46EF08-D888-475A-99C5-93C286D066CB}"/>
    <cellStyle name="Input 2 3 3" xfId="2478" xr:uid="{00000000-0005-0000-0000-0000CB090000}"/>
    <cellStyle name="Input 2 3 3 10" xfId="25041" xr:uid="{C01F688E-64C1-4623-86CB-9D2564D85E96}"/>
    <cellStyle name="Input 2 3 3 10 2" xfId="27714" xr:uid="{5892E66C-B7DC-4531-B9AA-EC5EFAC2EB23}"/>
    <cellStyle name="Input 2 3 3 10 2 2" xfId="34559" xr:uid="{3FEB01F1-347B-4693-8C24-05C251C86061}"/>
    <cellStyle name="Input 2 3 3 10 3" xfId="29795" xr:uid="{5312B7E0-C60D-45E2-9CA7-447D6891EA16}"/>
    <cellStyle name="Input 2 3 3 10 3 2" xfId="36640" xr:uid="{B4E8A1DB-709A-4E0D-BCFD-4BA928B0E719}"/>
    <cellStyle name="Input 2 3 3 10 4" xfId="31877" xr:uid="{A4D53C25-7EE8-4482-8DD2-CF616DB6E120}"/>
    <cellStyle name="Input 2 3 3 11" xfId="24949" xr:uid="{35053813-6180-416E-A35A-EC74EF806894}"/>
    <cellStyle name="Input 2 3 3 11 2" xfId="27619" xr:uid="{8D2F6C07-A517-4F07-8453-0E7F99C12687}"/>
    <cellStyle name="Input 2 3 3 11 2 2" xfId="34464" xr:uid="{371C354A-D10B-474F-8E26-30E69D61A3AD}"/>
    <cellStyle name="Input 2 3 3 11 3" xfId="29700" xr:uid="{0B5BC178-4128-4591-8602-1EC5EA8CF1E1}"/>
    <cellStyle name="Input 2 3 3 11 3 2" xfId="36545" xr:uid="{DC45142B-7A96-4F1F-8D10-781C3849EABA}"/>
    <cellStyle name="Input 2 3 3 11 4" xfId="31782" xr:uid="{CEB4C322-C9E0-49CA-811C-FF4C0ADC5D88}"/>
    <cellStyle name="Input 2 3 3 12" xfId="24081" xr:uid="{38A427F9-1C7D-4ED2-818A-6551D5F73926}"/>
    <cellStyle name="Input 2 3 3 12 2" xfId="26694" xr:uid="{174936A5-C30D-418C-AB10-2252D014E41B}"/>
    <cellStyle name="Input 2 3 3 12 2 2" xfId="33534" xr:uid="{7FC8ADB3-B580-431B-8775-7207A755F19B}"/>
    <cellStyle name="Input 2 3 3 12 3" xfId="28770" xr:uid="{63726C65-BFB3-49AA-8D7F-63606E125C92}"/>
    <cellStyle name="Input 2 3 3 12 3 2" xfId="35615" xr:uid="{4653E1FD-75B3-47D1-9F94-98B321DE7970}"/>
    <cellStyle name="Input 2 3 3 12 4" xfId="30852" xr:uid="{A8470529-F953-45FA-95E3-A18706C3B244}"/>
    <cellStyle name="Input 2 3 3 13" xfId="24446" xr:uid="{B48E2D70-CEBC-49E3-BFF4-C675208929B3}"/>
    <cellStyle name="Input 2 3 3 13 2" xfId="27061" xr:uid="{C01A1275-2B34-4CC9-A9EC-3E27B5DBF86B}"/>
    <cellStyle name="Input 2 3 3 13 2 2" xfId="33901" xr:uid="{3939AB10-DDAC-4CBE-A4B3-A53DD15B4273}"/>
    <cellStyle name="Input 2 3 3 13 3" xfId="29137" xr:uid="{BC3233EE-636D-483E-8201-3E161462D040}"/>
    <cellStyle name="Input 2 3 3 13 3 2" xfId="35982" xr:uid="{6887817E-1F3B-485A-A9C3-E4AF02060F2B}"/>
    <cellStyle name="Input 2 3 3 13 4" xfId="31219" xr:uid="{61839A46-F5FA-478C-B1C8-4370617D0AF1}"/>
    <cellStyle name="Input 2 3 3 14" xfId="25723" xr:uid="{0C9E20AE-4918-410E-81F9-538280931831}"/>
    <cellStyle name="Input 2 3 3 14 2" xfId="28390" xr:uid="{EAFDC466-EB8E-4290-8C72-774C6F177C59}"/>
    <cellStyle name="Input 2 3 3 14 2 2" xfId="35235" xr:uid="{BA74A784-F2A0-440C-96D1-F0F8CB6F529D}"/>
    <cellStyle name="Input 2 3 3 14 3" xfId="30471" xr:uid="{A9C2C0F2-50B0-451E-9AB0-2A88BC95B502}"/>
    <cellStyle name="Input 2 3 3 14 3 2" xfId="37316" xr:uid="{2E62B881-465C-4885-BBAA-58AC70E62B5B}"/>
    <cellStyle name="Input 2 3 3 14 4" xfId="32553" xr:uid="{42852683-091A-44F5-B024-7D0C6821FBC4}"/>
    <cellStyle name="Input 2 3 3 15" xfId="25863" xr:uid="{61570582-7E1F-4D9D-B12F-6367C8AE7F9B}"/>
    <cellStyle name="Input 2 3 3 15 2" xfId="28529" xr:uid="{89D5CDDF-7A41-4E0D-A800-63F82788407B}"/>
    <cellStyle name="Input 2 3 3 15 2 2" xfId="35374" xr:uid="{040C7FA2-75C5-4B18-B332-32126380DFDE}"/>
    <cellStyle name="Input 2 3 3 15 3" xfId="30610" xr:uid="{17A5772E-840E-4E65-9449-7A151D7237CF}"/>
    <cellStyle name="Input 2 3 3 15 3 2" xfId="37455" xr:uid="{A8277D92-8D57-4250-A4B7-C89DD5FF7743}"/>
    <cellStyle name="Input 2 3 3 15 4" xfId="32692" xr:uid="{E495E0B1-E326-42E1-92D9-5BDCE07C9FA2}"/>
    <cellStyle name="Input 2 3 3 16" xfId="25677" xr:uid="{ADCD9C4C-909E-4976-B3E9-6850C031B9C1}"/>
    <cellStyle name="Input 2 3 3 16 2" xfId="28344" xr:uid="{32E9CAFF-AEBD-4B0E-8FD3-A782A0FCFED9}"/>
    <cellStyle name="Input 2 3 3 16 2 2" xfId="35189" xr:uid="{6B2E7663-EEA6-47FB-B333-8B8AAB2EAA8A}"/>
    <cellStyle name="Input 2 3 3 16 3" xfId="30425" xr:uid="{3D36982D-A4B8-4BC5-868B-2D0E2CFBC1C5}"/>
    <cellStyle name="Input 2 3 3 16 3 2" xfId="37270" xr:uid="{84AC27B8-EC06-43BB-A379-3BDC24DC78D0}"/>
    <cellStyle name="Input 2 3 3 16 4" xfId="32507" xr:uid="{9248061B-6EE4-4942-A662-A664F32A018D}"/>
    <cellStyle name="Input 2 3 3 17" xfId="24022" xr:uid="{0E2F4C92-77AB-4605-8CFC-CEC3A650B8CB}"/>
    <cellStyle name="Input 2 3 3 17 2" xfId="26637" xr:uid="{F8503CCB-A57C-4608-9A2A-9783D838A16C}"/>
    <cellStyle name="Input 2 3 3 17 2 2" xfId="33477" xr:uid="{0613E149-DED1-44E2-8579-782AC810C384}"/>
    <cellStyle name="Input 2 3 3 17 3" xfId="28713" xr:uid="{1C75F34C-79F2-419D-9FEA-EC955AA72802}"/>
    <cellStyle name="Input 2 3 3 17 3 2" xfId="35558" xr:uid="{CF601BE1-049C-4661-9174-E4023569512E}"/>
    <cellStyle name="Input 2 3 3 17 4" xfId="30795" xr:uid="{C57145C8-F780-4E44-945A-A45D327EC506}"/>
    <cellStyle name="Input 2 3 3 18" xfId="23668" xr:uid="{0545A477-75E4-44C7-ACC3-FF77BD40AEDC}"/>
    <cellStyle name="Input 2 3 3 19" xfId="14963" xr:uid="{D3DF64F8-9E00-4BFB-A004-5E72A3856499}"/>
    <cellStyle name="Input 2 3 3 2" xfId="17571" xr:uid="{C89FAF77-E878-4283-8724-9A514AC2289B}"/>
    <cellStyle name="Input 2 3 3 2 10" xfId="23984" xr:uid="{74DF80A6-BDCB-4A80-A991-17A6FB6F94E9}"/>
    <cellStyle name="Input 2 3 3 2 10 2" xfId="26601" xr:uid="{65BDA08D-6909-4A69-8616-167E0D7EC8C2}"/>
    <cellStyle name="Input 2 3 3 2 10 2 2" xfId="33441" xr:uid="{251A33BD-99EA-466F-9A9D-350F198B458D}"/>
    <cellStyle name="Input 2 3 3 2 10 3" xfId="26092" xr:uid="{AB189525-4095-4CB0-988E-0EE1CEDAF707}"/>
    <cellStyle name="Input 2 3 3 2 10 3 2" xfId="32920" xr:uid="{4A64E7DB-E386-4690-9BBF-924A300112C6}"/>
    <cellStyle name="Input 2 3 3 2 10 4" xfId="23214" xr:uid="{4CECFD13-64DE-4EE7-89F4-96EEE75BF2E4}"/>
    <cellStyle name="Input 2 3 3 2 11" xfId="24320" xr:uid="{1A81A23F-C3D3-4CC5-ABDF-4D07C719B1B5}"/>
    <cellStyle name="Input 2 3 3 2 11 2" xfId="26926" xr:uid="{846CF5ED-D71D-4E44-9398-5BF624F4DF07}"/>
    <cellStyle name="Input 2 3 3 2 11 2 2" xfId="33766" xr:uid="{B7B9A1BD-30D5-4482-9110-E3FBB25613D0}"/>
    <cellStyle name="Input 2 3 3 2 11 3" xfId="29002" xr:uid="{E410A5A4-1A2E-4B54-AA9B-4C520E6D1BC2}"/>
    <cellStyle name="Input 2 3 3 2 11 3 2" xfId="35847" xr:uid="{75DD9ADA-FBE7-4CD4-B6F4-94E0AE3BB251}"/>
    <cellStyle name="Input 2 3 3 2 11 4" xfId="31084" xr:uid="{5778DB25-AF25-46CF-A7FD-8369051743D1}"/>
    <cellStyle name="Input 2 3 3 2 12" xfId="25331" xr:uid="{FA6F13CA-7BCE-4D7F-BA23-A786370BFCE8}"/>
    <cellStyle name="Input 2 3 3 2 12 2" xfId="28000" xr:uid="{B5A3C5BD-D449-41F3-B8AE-2DA6DF2219AE}"/>
    <cellStyle name="Input 2 3 3 2 12 2 2" xfId="34845" xr:uid="{02B8A622-8B75-4282-B0B2-662E4E96473E}"/>
    <cellStyle name="Input 2 3 3 2 12 3" xfId="30081" xr:uid="{66914F94-3E8C-4B87-942B-77318713409C}"/>
    <cellStyle name="Input 2 3 3 2 12 3 2" xfId="36926" xr:uid="{95CB50D1-AD41-49F0-9A8E-94A5D1B59C04}"/>
    <cellStyle name="Input 2 3 3 2 12 4" xfId="32163" xr:uid="{374D2F96-6BA8-4365-AEE9-F9ED080D5010}"/>
    <cellStyle name="Input 2 3 3 2 13" xfId="25695" xr:uid="{9B740B26-73B2-4359-9121-2ADF94F2E4DE}"/>
    <cellStyle name="Input 2 3 3 2 13 2" xfId="28362" xr:uid="{618AD20F-FC7B-48F8-B0E5-A622AE3318AF}"/>
    <cellStyle name="Input 2 3 3 2 13 2 2" xfId="35207" xr:uid="{42AF269D-E1E1-4C1A-96E9-8457ABD6BA61}"/>
    <cellStyle name="Input 2 3 3 2 13 3" xfId="30443" xr:uid="{259DD372-4ECC-47D4-84E4-58D9D2A60CBB}"/>
    <cellStyle name="Input 2 3 3 2 13 3 2" xfId="37288" xr:uid="{96C3E804-9ED9-4348-B595-006FB2571B7B}"/>
    <cellStyle name="Input 2 3 3 2 13 4" xfId="32525" xr:uid="{F1E6F351-968B-425D-AEE8-4C5137261D6B}"/>
    <cellStyle name="Input 2 3 3 2 14" xfId="24704" xr:uid="{63E48576-911C-4831-8350-9CA373123B95}"/>
    <cellStyle name="Input 2 3 3 2 14 2" xfId="27348" xr:uid="{F6F898FF-651A-43B8-AFDE-370412714C82}"/>
    <cellStyle name="Input 2 3 3 2 14 2 2" xfId="34192" xr:uid="{F6063871-AB4C-4460-A332-DA2D7B079C3E}"/>
    <cellStyle name="Input 2 3 3 2 14 3" xfId="29428" xr:uid="{21007535-1FFA-4CD1-9380-762AC73CB268}"/>
    <cellStyle name="Input 2 3 3 2 14 3 2" xfId="36273" xr:uid="{17B2F4B6-9F64-4242-8ECF-E779D049BE26}"/>
    <cellStyle name="Input 2 3 3 2 14 4" xfId="31510" xr:uid="{CEF23177-E099-4864-8591-CC2EC5433AEA}"/>
    <cellStyle name="Input 2 3 3 2 15" xfId="25540" xr:uid="{301DEB09-0B08-4438-800A-C5A663F28504}"/>
    <cellStyle name="Input 2 3 3 2 15 2" xfId="28207" xr:uid="{5F9675C2-0389-48E2-A97B-5D1211E9609A}"/>
    <cellStyle name="Input 2 3 3 2 15 2 2" xfId="35052" xr:uid="{18B349D4-8BBC-4623-882F-1519A4D128B9}"/>
    <cellStyle name="Input 2 3 3 2 15 3" xfId="30288" xr:uid="{52A66846-A9D6-4A91-8626-DC0049F93F24}"/>
    <cellStyle name="Input 2 3 3 2 15 3 2" xfId="37133" xr:uid="{43473B46-2DDE-423E-AFD7-25A4077E498A}"/>
    <cellStyle name="Input 2 3 3 2 15 4" xfId="32370" xr:uid="{A0EA497A-EB91-424D-B660-6B3510EC21E8}"/>
    <cellStyle name="Input 2 3 3 2 16" xfId="25404" xr:uid="{A9A9B098-41C4-48B8-9A3E-A286AF357EB6}"/>
    <cellStyle name="Input 2 3 3 2 16 2" xfId="28071" xr:uid="{E675F6CF-5449-47FF-8E88-D641B1A7A1A6}"/>
    <cellStyle name="Input 2 3 3 2 16 2 2" xfId="34916" xr:uid="{32E310C3-B59D-43D0-B47A-A1F1695A9659}"/>
    <cellStyle name="Input 2 3 3 2 16 3" xfId="30152" xr:uid="{592738D0-C6B1-421B-B821-E57E54B128DA}"/>
    <cellStyle name="Input 2 3 3 2 16 3 2" xfId="36997" xr:uid="{725293BC-85F0-4EB0-AEB4-6D970558EE97}"/>
    <cellStyle name="Input 2 3 3 2 16 4" xfId="32234" xr:uid="{39D62EF0-EB60-49FB-875A-0EF87670185D}"/>
    <cellStyle name="Input 2 3 3 2 17" xfId="23631" xr:uid="{244D3242-1037-485D-8A73-91660F250608}"/>
    <cellStyle name="Input 2 3 3 2 2" xfId="17842" xr:uid="{9AFB598C-5C3C-4A1C-B1BE-2D8EC2384F99}"/>
    <cellStyle name="Input 2 3 3 2 2 10" xfId="25666" xr:uid="{4945903C-5F9A-4DD8-ABEA-77A39956C182}"/>
    <cellStyle name="Input 2 3 3 2 2 10 2" xfId="28333" xr:uid="{3122AE49-720F-4344-8806-BB6E0FD4213A}"/>
    <cellStyle name="Input 2 3 3 2 2 10 2 2" xfId="35178" xr:uid="{799048E7-D2D9-4FCF-8A92-254846BCD3B5}"/>
    <cellStyle name="Input 2 3 3 2 2 10 3" xfId="30414" xr:uid="{51DA13F3-D69C-4434-8323-5E6DDAD4B442}"/>
    <cellStyle name="Input 2 3 3 2 2 10 3 2" xfId="37259" xr:uid="{18B28181-3416-4C1A-86F9-CEDA5B3D9541}"/>
    <cellStyle name="Input 2 3 3 2 2 10 4" xfId="32496" xr:uid="{DCF8BA56-EA7F-4000-A54C-0F8C49A8E56A}"/>
    <cellStyle name="Input 2 3 3 2 2 11" xfId="25771" xr:uid="{E16DA936-D54C-4568-9639-1431F6FA9912}"/>
    <cellStyle name="Input 2 3 3 2 2 11 2" xfId="28437" xr:uid="{A53B35FE-409A-4804-8820-E7306761FBE4}"/>
    <cellStyle name="Input 2 3 3 2 2 11 2 2" xfId="35282" xr:uid="{226C6646-EF06-463B-BCD8-75AF1E509C61}"/>
    <cellStyle name="Input 2 3 3 2 2 11 3" xfId="30518" xr:uid="{0B2AE974-85D2-47F5-90CB-4D698F5C45C3}"/>
    <cellStyle name="Input 2 3 3 2 2 11 3 2" xfId="37363" xr:uid="{6172730D-0EAA-46D2-8A2D-020C470EE9AB}"/>
    <cellStyle name="Input 2 3 3 2 2 11 4" xfId="32600" xr:uid="{16C0F001-931B-4AA7-9020-8C5D3BB32725}"/>
    <cellStyle name="Input 2 3 3 2 2 12" xfId="25848" xr:uid="{0B2B87CA-F3D9-479D-B1A6-23F7DE8FE502}"/>
    <cellStyle name="Input 2 3 3 2 2 12 2" xfId="28514" xr:uid="{90C0714D-4C83-4FAA-9CA8-CC9484368159}"/>
    <cellStyle name="Input 2 3 3 2 2 12 2 2" xfId="35359" xr:uid="{BEAB1D4E-929A-45A6-BF08-6DA8231B3156}"/>
    <cellStyle name="Input 2 3 3 2 2 12 3" xfId="30595" xr:uid="{295F299E-A624-45A1-AA23-F7A338321CE7}"/>
    <cellStyle name="Input 2 3 3 2 2 12 3 2" xfId="37440" xr:uid="{EFD42111-9B98-42CC-BBC8-5F5938A1305C}"/>
    <cellStyle name="Input 2 3 3 2 2 12 4" xfId="32677" xr:uid="{F3B4EAF7-2168-485C-ADF0-2669DEEB3C64}"/>
    <cellStyle name="Input 2 3 3 2 2 13" xfId="24852" xr:uid="{7950619C-1C5F-40BA-8025-064446109859}"/>
    <cellStyle name="Input 2 3 3 2 2 13 2" xfId="27514" xr:uid="{26FC471A-6342-4B17-8353-2BF02899BD41}"/>
    <cellStyle name="Input 2 3 3 2 2 13 2 2" xfId="34358" xr:uid="{1BD58D58-5191-42E2-852D-8416F14D0600}"/>
    <cellStyle name="Input 2 3 3 2 2 13 3" xfId="29594" xr:uid="{A70B2764-D6D8-4147-A6BF-005A4A3219F2}"/>
    <cellStyle name="Input 2 3 3 2 2 13 3 2" xfId="36439" xr:uid="{5834E259-223E-41DD-B077-AF402424D911}"/>
    <cellStyle name="Input 2 3 3 2 2 13 4" xfId="31676" xr:uid="{482B9779-B80D-4166-906B-F0FAAB7C983B}"/>
    <cellStyle name="Input 2 3 3 2 2 14" xfId="25976" xr:uid="{86251171-7BBE-4867-90C9-C5106A8CB4A6}"/>
    <cellStyle name="Input 2 3 3 2 2 14 2" xfId="28642" xr:uid="{E7577DF3-2B6E-41EC-97BE-0CD5581F33A2}"/>
    <cellStyle name="Input 2 3 3 2 2 14 2 2" xfId="35487" xr:uid="{C367A8E3-5B31-4184-A85F-0A9CD1556D56}"/>
    <cellStyle name="Input 2 3 3 2 2 14 3" xfId="30723" xr:uid="{17CDA70B-6DA9-4669-9181-67C4E96A7047}"/>
    <cellStyle name="Input 2 3 3 2 2 14 3 2" xfId="37568" xr:uid="{1296A924-F09A-4F5C-A2CA-5BD6EF446A3E}"/>
    <cellStyle name="Input 2 3 3 2 2 14 4" xfId="32805" xr:uid="{C6F38987-7139-4C13-8FF1-4B4E26EAF623}"/>
    <cellStyle name="Input 2 3 3 2 2 15" xfId="26030" xr:uid="{310A1967-52B2-4ECB-9329-116100F06044}"/>
    <cellStyle name="Input 2 3 3 2 2 15 2" xfId="28696" xr:uid="{8D266940-B6B6-435F-A280-AA2BDFC53506}"/>
    <cellStyle name="Input 2 3 3 2 2 15 2 2" xfId="35541" xr:uid="{F51A3D05-8FE7-41CA-B85C-02CD7FB9C3B5}"/>
    <cellStyle name="Input 2 3 3 2 2 15 3" xfId="30777" xr:uid="{C6B49CC2-C0FF-48F8-8D05-50ACBFFEAAC0}"/>
    <cellStyle name="Input 2 3 3 2 2 15 3 2" xfId="37622" xr:uid="{3667324A-3936-46C1-B538-7BB81C86FADA}"/>
    <cellStyle name="Input 2 3 3 2 2 15 4" xfId="32859" xr:uid="{BEF0234C-4B05-4F46-AB6A-D9724A0CF57E}"/>
    <cellStyle name="Input 2 3 3 2 2 16" xfId="23542" xr:uid="{823C6657-8372-4E0F-BB44-77A4D6DEDD71}"/>
    <cellStyle name="Input 2 3 3 2 2 2" xfId="18432" xr:uid="{5D26D300-2CAA-4FBB-9A4C-C01D1E32D8DB}"/>
    <cellStyle name="Input 2 3 3 2 2 2 10" xfId="20402" xr:uid="{6E5438DD-A3D6-4E3C-A097-AD8457AD594D}"/>
    <cellStyle name="Input 2 3 3 2 2 2 11" xfId="20191" xr:uid="{2A36E7BB-A714-4FE9-B6F5-3534A1C299A3}"/>
    <cellStyle name="Input 2 3 3 2 2 2 12" xfId="20820" xr:uid="{430BBFD3-BB3A-4E93-8CF5-96CAD1081687}"/>
    <cellStyle name="Input 2 3 3 2 2 2 13" xfId="22631" xr:uid="{77CB2C92-DE3B-4C78-AE9D-BD84FDE11441}"/>
    <cellStyle name="Input 2 3 3 2 2 2 14" xfId="21099" xr:uid="{C122CD2A-13C6-49B8-953E-E26BF7088D49}"/>
    <cellStyle name="Input 2 3 3 2 2 2 15" xfId="22422" xr:uid="{7716BEEE-D62C-43FE-B569-A7AE4A9C03DF}"/>
    <cellStyle name="Input 2 3 3 2 2 2 16" xfId="31713" xr:uid="{177BF7E9-1A1C-486D-8D2B-685B608A18A6}"/>
    <cellStyle name="Input 2 3 3 2 2 2 2" xfId="19941" xr:uid="{7E0A28F6-F0CA-4F6D-80CE-F095E0A779FA}"/>
    <cellStyle name="Input 2 3 3 2 2 2 2 2" xfId="27551" xr:uid="{D7883307-0CEA-4D98-B553-C5209E3F5676}"/>
    <cellStyle name="Input 2 3 3 2 2 2 2 3" xfId="34395" xr:uid="{6315D0B0-F7C8-4629-ACAE-FF3989312AAD}"/>
    <cellStyle name="Input 2 3 3 2 2 2 3" xfId="21089" xr:uid="{FD8534D4-FA5B-408A-9577-1B158B4FC4AF}"/>
    <cellStyle name="Input 2 3 3 2 2 2 3 2" xfId="29631" xr:uid="{A7003226-508D-45D4-8DAD-F404AE305FD5}"/>
    <cellStyle name="Input 2 3 3 2 2 2 3 3" xfId="36476" xr:uid="{64A1B022-E662-4804-9641-53271D9F2610}"/>
    <cellStyle name="Input 2 3 3 2 2 2 4" xfId="20386" xr:uid="{722D1A8B-9DE6-47E5-991B-36B909A5ED8A}"/>
    <cellStyle name="Input 2 3 3 2 2 2 5" xfId="21812" xr:uid="{9941B416-A6DE-438B-B494-7D136F7F0BCF}"/>
    <cellStyle name="Input 2 3 3 2 2 2 6" xfId="19501" xr:uid="{C06B4F25-3836-4895-847B-42DFC79E4754}"/>
    <cellStyle name="Input 2 3 3 2 2 2 7" xfId="19463" xr:uid="{CDEF81B2-2615-4C7C-9A0B-F6FE6E84AB34}"/>
    <cellStyle name="Input 2 3 3 2 2 2 8" xfId="22289" xr:uid="{0BB26DA8-5EED-4DED-BD2A-31CC275FA89C}"/>
    <cellStyle name="Input 2 3 3 2 2 2 9" xfId="22265" xr:uid="{A5D54385-F7C3-4520-B66E-A52BFB42718B}"/>
    <cellStyle name="Input 2 3 3 2 2 3" xfId="24370" xr:uid="{1D3EDCA8-398C-4B7D-98A5-3BC5B8B4A74E}"/>
    <cellStyle name="Input 2 3 3 2 2 3 2" xfId="26977" xr:uid="{B9E69182-AFD6-43EB-BF17-FDC9CD70F923}"/>
    <cellStyle name="Input 2 3 3 2 2 3 2 2" xfId="33817" xr:uid="{84FA78FD-06BC-48D5-B989-5EF1A541CA97}"/>
    <cellStyle name="Input 2 3 3 2 2 3 3" xfId="29053" xr:uid="{FCBEE3C5-A3F1-4F4C-B3E2-DBD40F7883F0}"/>
    <cellStyle name="Input 2 3 3 2 2 3 3 2" xfId="35898" xr:uid="{DAF7DD0E-7918-4BBE-86B5-D6713BCA3A63}"/>
    <cellStyle name="Input 2 3 3 2 2 3 4" xfId="31135" xr:uid="{D75375B4-BE86-4EE0-AF77-BA342604172A}"/>
    <cellStyle name="Input 2 3 3 2 2 4" xfId="25122" xr:uid="{9016E7A9-CA7D-4314-B643-1362F9D7C925}"/>
    <cellStyle name="Input 2 3 3 2 2 4 2" xfId="27794" xr:uid="{E8569AA7-64D8-43CE-9414-7F8F337F392C}"/>
    <cellStyle name="Input 2 3 3 2 2 4 2 2" xfId="34639" xr:uid="{DBBF1568-8E47-425E-9978-B68C2C020102}"/>
    <cellStyle name="Input 2 3 3 2 2 4 3" xfId="29875" xr:uid="{4AF55204-2315-4A98-9F40-7FE82B4C6688}"/>
    <cellStyle name="Input 2 3 3 2 2 4 3 2" xfId="36720" xr:uid="{7D538E05-32BC-4ABB-AF35-C42882B291D0}"/>
    <cellStyle name="Input 2 3 3 2 2 4 4" xfId="31957" xr:uid="{08315B65-1EA1-4E89-8785-E3050AB6F708}"/>
    <cellStyle name="Input 2 3 3 2 2 5" xfId="25135" xr:uid="{0C1E7C8F-1026-4E42-A992-99C71DC4B956}"/>
    <cellStyle name="Input 2 3 3 2 2 5 2" xfId="27807" xr:uid="{72EDCB97-9FF6-4007-90D9-C5B554618D81}"/>
    <cellStyle name="Input 2 3 3 2 2 5 2 2" xfId="34652" xr:uid="{283A04E0-BFFD-4DA0-8836-4E8041533787}"/>
    <cellStyle name="Input 2 3 3 2 2 5 3" xfId="29888" xr:uid="{25104D84-F372-41C9-A62A-B1767D142066}"/>
    <cellStyle name="Input 2 3 3 2 2 5 3 2" xfId="36733" xr:uid="{89F7120D-4DA0-442B-B50D-1B57B4C5E802}"/>
    <cellStyle name="Input 2 3 3 2 2 5 4" xfId="31970" xr:uid="{F787D43A-2A60-4603-A0B9-2A2C60F24C9D}"/>
    <cellStyle name="Input 2 3 3 2 2 6" xfId="24863" xr:uid="{481ADEA0-17CB-4AA8-9FCA-62DA299FC429}"/>
    <cellStyle name="Input 2 3 3 2 2 6 2" xfId="27527" xr:uid="{91F3E876-261C-4612-A86B-FACEB9E49E93}"/>
    <cellStyle name="Input 2 3 3 2 2 6 2 2" xfId="34371" xr:uid="{3620324F-2F36-4158-B7F8-B1AD4F8C0DA7}"/>
    <cellStyle name="Input 2 3 3 2 2 6 3" xfId="29607" xr:uid="{16206890-C412-4327-AE16-499EE4BE4496}"/>
    <cellStyle name="Input 2 3 3 2 2 6 3 2" xfId="36452" xr:uid="{0A81F665-D625-4448-A77B-21F5D49FACB3}"/>
    <cellStyle name="Input 2 3 3 2 2 6 4" xfId="31689" xr:uid="{02F8216F-D02C-426F-AE45-57934EE802D9}"/>
    <cellStyle name="Input 2 3 3 2 2 7" xfId="23767" xr:uid="{ECAB86C6-7B50-46AD-A8D6-0E265E9B17EB}"/>
    <cellStyle name="Input 2 3 3 2 2 7 2" xfId="26378" xr:uid="{E87B7279-8714-4F2B-88A1-817E366A3902}"/>
    <cellStyle name="Input 2 3 3 2 2 7 2 2" xfId="33217" xr:uid="{9C1A6014-693A-40F2-9C19-2ECC42DC22A0}"/>
    <cellStyle name="Input 2 3 3 2 2 7 3" xfId="26304" xr:uid="{49EF4FFA-B188-41CA-896A-07A50AB99A24}"/>
    <cellStyle name="Input 2 3 3 2 2 7 3 2" xfId="33132" xr:uid="{2C173672-F56F-4A50-A7B0-33CB746DE582}"/>
    <cellStyle name="Input 2 3 3 2 2 7 4" xfId="23426" xr:uid="{DA1126C1-CCC2-40A7-B590-E567E532D92C}"/>
    <cellStyle name="Input 2 3 3 2 2 8" xfId="25466" xr:uid="{D17A468A-57B2-4697-8FA0-941559EC73AE}"/>
    <cellStyle name="Input 2 3 3 2 2 8 2" xfId="28133" xr:uid="{1C626001-8369-4E1F-BFCA-5C64B1B8B899}"/>
    <cellStyle name="Input 2 3 3 2 2 8 2 2" xfId="34978" xr:uid="{B52154FF-A3DA-44B1-A7FC-9173ACD7633D}"/>
    <cellStyle name="Input 2 3 3 2 2 8 3" xfId="30214" xr:uid="{1555E76F-E893-4249-A668-CFB20068C0B5}"/>
    <cellStyle name="Input 2 3 3 2 2 8 3 2" xfId="37059" xr:uid="{E1850A41-A714-423A-8FFF-4123A13B051C}"/>
    <cellStyle name="Input 2 3 3 2 2 8 4" xfId="32296" xr:uid="{E78A4494-54A4-43D6-A1A6-6061BF1E8E42}"/>
    <cellStyle name="Input 2 3 3 2 2 9" xfId="25524" xr:uid="{1BA7231C-B15B-4835-9350-C51B9CD63254}"/>
    <cellStyle name="Input 2 3 3 2 2 9 2" xfId="28191" xr:uid="{255D8468-E044-4EB5-8004-EBC092073F93}"/>
    <cellStyle name="Input 2 3 3 2 2 9 2 2" xfId="35036" xr:uid="{C874659D-70A9-4E32-B91B-C9DABE3594B6}"/>
    <cellStyle name="Input 2 3 3 2 2 9 3" xfId="30272" xr:uid="{22C82513-0B2D-4212-9FD8-AE4443C9AB3A}"/>
    <cellStyle name="Input 2 3 3 2 2 9 3 2" xfId="37117" xr:uid="{E28614CC-23EA-4693-8BA7-8597E12A659A}"/>
    <cellStyle name="Input 2 3 3 2 2 9 4" xfId="32354" xr:uid="{A5835573-9445-4A64-9F6E-2D6CBFB559F8}"/>
    <cellStyle name="Input 2 3 3 2 3" xfId="18385" xr:uid="{E228AFE0-5C24-4794-B8BE-188369A77885}"/>
    <cellStyle name="Input 2 3 3 2 3 10" xfId="19278" xr:uid="{CA1EAC5C-F438-4CD0-BB49-27109C4D6C83}"/>
    <cellStyle name="Input 2 3 3 2 3 11" xfId="19124" xr:uid="{F71EE88D-D8B8-4A3C-BF7F-B5A75ABECD2C}"/>
    <cellStyle name="Input 2 3 3 2 3 12" xfId="22108" xr:uid="{8C36C17F-FA1E-400B-997C-C78E8192DD93}"/>
    <cellStyle name="Input 2 3 3 2 3 13" xfId="22700" xr:uid="{4963FB5A-F23E-4FF6-A507-926346792978}"/>
    <cellStyle name="Input 2 3 3 2 3 14" xfId="21961" xr:uid="{4E26F11B-BC55-4E9A-8BAD-4956EA93DA50}"/>
    <cellStyle name="Input 2 3 3 2 3 15" xfId="23008" xr:uid="{2CE2B7FD-D1C4-47EB-9543-460E7580F5AB}"/>
    <cellStyle name="Input 2 3 3 2 3 16" xfId="31491" xr:uid="{A531299A-D0A7-4F0F-8648-802AE1A7AE44}"/>
    <cellStyle name="Input 2 3 3 2 3 2" xfId="19974" xr:uid="{6AAA7581-AC24-4B47-9C19-9A7053BB62ED}"/>
    <cellStyle name="Input 2 3 3 2 3 2 2" xfId="27329" xr:uid="{660B5316-909C-484D-9211-CD2F956A0787}"/>
    <cellStyle name="Input 2 3 3 2 3 2 3" xfId="34173" xr:uid="{5FD53FF3-104E-4D22-8DC7-1F628F4A426C}"/>
    <cellStyle name="Input 2 3 3 2 3 3" xfId="21111" xr:uid="{1E7888CB-3A6F-415A-9D25-E6ED519B3B59}"/>
    <cellStyle name="Input 2 3 3 2 3 3 2" xfId="29409" xr:uid="{B5AE7311-9A9B-40EF-8FCC-D1BB89AA2177}"/>
    <cellStyle name="Input 2 3 3 2 3 3 3" xfId="36254" xr:uid="{3BCAFD99-C24A-46CC-9880-B4699480080B}"/>
    <cellStyle name="Input 2 3 3 2 3 4" xfId="21661" xr:uid="{7ED0BFF2-9D8A-4B6A-9419-8492C5DAED76}"/>
    <cellStyle name="Input 2 3 3 2 3 5" xfId="21487" xr:uid="{6EA120A8-7999-4111-9CE4-9B222D922F54}"/>
    <cellStyle name="Input 2 3 3 2 3 6" xfId="21504" xr:uid="{051697CE-C461-4B3B-9AF4-99A84593547D}"/>
    <cellStyle name="Input 2 3 3 2 3 7" xfId="19133" xr:uid="{8D3D9178-9037-42A2-9BA3-F9C6D253454D}"/>
    <cellStyle name="Input 2 3 3 2 3 8" xfId="21542" xr:uid="{0E7DDE24-656C-4063-A7FB-E028EEDB1ABB}"/>
    <cellStyle name="Input 2 3 3 2 3 9" xfId="19579" xr:uid="{5C541085-F1EE-4339-9884-B70A7790F04E}"/>
    <cellStyle name="Input 2 3 3 2 4" xfId="24787" xr:uid="{44A1A3B9-823B-42DD-B322-6AE3ABDD62E5}"/>
    <cellStyle name="Input 2 3 3 2 4 2" xfId="27440" xr:uid="{913D9D29-493C-4963-9063-449ED107B1E7}"/>
    <cellStyle name="Input 2 3 3 2 4 2 2" xfId="34284" xr:uid="{D84EF88E-CE69-48F8-9B23-777493D2041B}"/>
    <cellStyle name="Input 2 3 3 2 4 3" xfId="29520" xr:uid="{767ED4AA-A368-4EA2-88BF-3ADCBE34A960}"/>
    <cellStyle name="Input 2 3 3 2 4 3 2" xfId="36365" xr:uid="{75065DC7-59AC-4B50-BB01-68252766DC71}"/>
    <cellStyle name="Input 2 3 3 2 4 4" xfId="31602" xr:uid="{FFC404B4-5E7E-4FEA-83D0-1AC47100DDA3}"/>
    <cellStyle name="Input 2 3 3 2 5" xfId="24928" xr:uid="{858B9624-4DFD-4F89-8C2E-BC268AA0B991}"/>
    <cellStyle name="Input 2 3 3 2 5 2" xfId="27598" xr:uid="{528931CE-1AFC-490C-ABFF-D2408F09059F}"/>
    <cellStyle name="Input 2 3 3 2 5 2 2" xfId="34442" xr:uid="{D8624630-5828-4113-B2F5-EF449686FCD5}"/>
    <cellStyle name="Input 2 3 3 2 5 3" xfId="29678" xr:uid="{0265337D-B242-474A-9479-0300F7BC1FED}"/>
    <cellStyle name="Input 2 3 3 2 5 3 2" xfId="36523" xr:uid="{CE1175A7-5305-496E-B085-E574DC026CFA}"/>
    <cellStyle name="Input 2 3 3 2 5 4" xfId="31760" xr:uid="{8F9354CB-AC00-4A74-9B37-5D85F404BBC7}"/>
    <cellStyle name="Input 2 3 3 2 6" xfId="24795" xr:uid="{88F5CDA8-517E-4F37-9EFC-F9181F7E42A5}"/>
    <cellStyle name="Input 2 3 3 2 6 2" xfId="27448" xr:uid="{2E6B6F20-8E6F-4DDE-9E46-9FDFF152B791}"/>
    <cellStyle name="Input 2 3 3 2 6 2 2" xfId="34292" xr:uid="{189D6F17-A283-4562-8A7C-62E0FFB499E2}"/>
    <cellStyle name="Input 2 3 3 2 6 3" xfId="29528" xr:uid="{CC6639AF-EAC4-43C9-B86B-A26F6812C35E}"/>
    <cellStyle name="Input 2 3 3 2 6 3 2" xfId="36373" xr:uid="{429B1B23-3904-45C4-9EC5-EC3C740BCA1F}"/>
    <cellStyle name="Input 2 3 3 2 6 4" xfId="31610" xr:uid="{6C87B4D2-E58A-48BB-819C-9DD933ABD6F1}"/>
    <cellStyle name="Input 2 3 3 2 7" xfId="24879" xr:uid="{4E688FA8-3062-47E9-BCC8-3F76C8E42914}"/>
    <cellStyle name="Input 2 3 3 2 7 2" xfId="27546" xr:uid="{6646DF31-9F5B-4C57-BCB3-2466DFCD22D6}"/>
    <cellStyle name="Input 2 3 3 2 7 2 2" xfId="34390" xr:uid="{B649BDD8-9F88-4269-B645-4E7C417EC32F}"/>
    <cellStyle name="Input 2 3 3 2 7 3" xfId="29626" xr:uid="{15C409EC-ABA7-49AB-B6AA-A64048A3CDBD}"/>
    <cellStyle name="Input 2 3 3 2 7 3 2" xfId="36471" xr:uid="{941FE92B-B8EE-4CF1-93A6-55C7F416FAEC}"/>
    <cellStyle name="Input 2 3 3 2 7 4" xfId="31708" xr:uid="{10EC96F5-EBDE-407B-AED6-3BE3093ECB3D}"/>
    <cellStyle name="Input 2 3 3 2 8" xfId="25269" xr:uid="{2EA041E5-F6EE-49FD-AECF-D0D2C520D80A}"/>
    <cellStyle name="Input 2 3 3 2 8 2" xfId="27940" xr:uid="{1FFFB562-C51D-4C1B-959D-EA53E3D481EB}"/>
    <cellStyle name="Input 2 3 3 2 8 2 2" xfId="34785" xr:uid="{FB42ED88-FBBC-4581-B381-41EABC3D3E94}"/>
    <cellStyle name="Input 2 3 3 2 8 3" xfId="30021" xr:uid="{9ECB4FA1-B69F-47E1-B6C5-49A75E91C682}"/>
    <cellStyle name="Input 2 3 3 2 8 3 2" xfId="36866" xr:uid="{08F5CB77-0BC5-4909-B648-5008C8A5B029}"/>
    <cellStyle name="Input 2 3 3 2 8 4" xfId="32103" xr:uid="{47803E3D-7535-4B38-865A-A65534349CC0}"/>
    <cellStyle name="Input 2 3 3 2 9" xfId="24801" xr:uid="{1BB10533-7B37-4CE3-B796-9F8A89711804}"/>
    <cellStyle name="Input 2 3 3 2 9 2" xfId="27454" xr:uid="{6DCBFBEC-04E6-46FE-A4CF-3D5BDE25155A}"/>
    <cellStyle name="Input 2 3 3 2 9 2 2" xfId="34298" xr:uid="{5C20BE40-2E1F-49E3-9A57-37052F32B024}"/>
    <cellStyle name="Input 2 3 3 2 9 3" xfId="29534" xr:uid="{F7750FB8-99DF-4516-B1A5-3384C1B7BA24}"/>
    <cellStyle name="Input 2 3 3 2 9 3 2" xfId="36379" xr:uid="{538D46E6-244C-43AF-8652-221557E7EAFC}"/>
    <cellStyle name="Input 2 3 3 2 9 4" xfId="31616" xr:uid="{CE577D38-5290-443F-8DB9-591C12C3F64E}"/>
    <cellStyle name="Input 2 3 3 20" xfId="16627" xr:uid="{00CAEF43-7605-46FA-B513-99208026F00C}"/>
    <cellStyle name="Input 2 3 3 21" xfId="47578" xr:uid="{A5BEBE3A-546D-40F1-A2A8-5ACC1C14A8A3}"/>
    <cellStyle name="Input 2 3 3 22" xfId="41119" xr:uid="{3E5C08B3-EB49-4C8A-BFF9-D8BB9CA546D5}"/>
    <cellStyle name="Input 2 3 3 23" xfId="16503" xr:uid="{25353681-0301-4ADA-8200-CEF46D91DE7D}"/>
    <cellStyle name="Input 2 3 3 24" xfId="48781" xr:uid="{09C71F45-AA7E-4B08-B9DF-FFDCE5561EE9}"/>
    <cellStyle name="Input 2 3 3 3" xfId="17805" xr:uid="{FF4E26E3-791F-4C27-9608-15362B193559}"/>
    <cellStyle name="Input 2 3 3 3 10" xfId="25636" xr:uid="{E0E8F001-12BF-466B-BBF7-03409B5ED975}"/>
    <cellStyle name="Input 2 3 3 3 10 2" xfId="28303" xr:uid="{1C132B95-D4CE-47C6-BF41-FEAF32F07344}"/>
    <cellStyle name="Input 2 3 3 3 10 2 2" xfId="35148" xr:uid="{B38A074D-9C8B-44FB-80FA-46B5A15D303A}"/>
    <cellStyle name="Input 2 3 3 3 10 3" xfId="30384" xr:uid="{6DF0BB2D-28D3-4486-9EDE-8AA50FCCF779}"/>
    <cellStyle name="Input 2 3 3 3 10 3 2" xfId="37229" xr:uid="{46C9612D-F5A8-489F-B386-5DDDD74C67B3}"/>
    <cellStyle name="Input 2 3 3 3 10 4" xfId="32466" xr:uid="{98ED73D7-ACDC-43A5-B6A9-98E76A891292}"/>
    <cellStyle name="Input 2 3 3 3 11" xfId="25741" xr:uid="{7EE64F4A-411A-46DB-81DE-9DFF228F47A5}"/>
    <cellStyle name="Input 2 3 3 3 11 2" xfId="28408" xr:uid="{7B280FD1-E336-4E0C-955A-CC2F5C746247}"/>
    <cellStyle name="Input 2 3 3 3 11 2 2" xfId="35253" xr:uid="{32C3F653-028A-46E8-B4BF-D09009095D24}"/>
    <cellStyle name="Input 2 3 3 3 11 3" xfId="30489" xr:uid="{3323ABFA-9E14-4282-BF21-7C7831CC4DE7}"/>
    <cellStyle name="Input 2 3 3 3 11 3 2" xfId="37334" xr:uid="{CAB183B7-5C66-4979-8774-85708A1FA344}"/>
    <cellStyle name="Input 2 3 3 3 11 4" xfId="32571" xr:uid="{5515F007-440A-46D9-AF55-9F1CB789F3CB}"/>
    <cellStyle name="Input 2 3 3 3 12" xfId="25815" xr:uid="{8EFA698F-332D-4646-AC39-201A16D385FB}"/>
    <cellStyle name="Input 2 3 3 3 12 2" xfId="28481" xr:uid="{A31F6A8B-4E23-4CA2-B179-3EC358B687DD}"/>
    <cellStyle name="Input 2 3 3 3 12 2 2" xfId="35326" xr:uid="{F7BA83DA-3484-43CB-B259-525A18EE588D}"/>
    <cellStyle name="Input 2 3 3 3 12 3" xfId="30562" xr:uid="{1141D532-AE8E-477C-B449-32E4071ADC5A}"/>
    <cellStyle name="Input 2 3 3 3 12 3 2" xfId="37407" xr:uid="{0DB4A53A-4A92-42C7-8CA0-C2AD918EAB41}"/>
    <cellStyle name="Input 2 3 3 3 12 4" xfId="32644" xr:uid="{2DE231A2-04E3-4ECF-91B4-E3D57CF5E4B0}"/>
    <cellStyle name="Input 2 3 3 3 13" xfId="23755" xr:uid="{3EFA1F7C-8E0F-4BF3-86B2-B97AA12E4505}"/>
    <cellStyle name="Input 2 3 3 3 13 2" xfId="26366" xr:uid="{39B85377-00C9-40F6-A0AA-90C49AC5305E}"/>
    <cellStyle name="Input 2 3 3 3 13 2 2" xfId="33205" xr:uid="{3D0B695F-60AD-4B0A-A45A-A9361D27C6B1}"/>
    <cellStyle name="Input 2 3 3 3 13 3" xfId="26316" xr:uid="{697F1A03-D787-4729-84D8-70AF4ADFB4CA}"/>
    <cellStyle name="Input 2 3 3 3 13 3 2" xfId="33144" xr:uid="{D439905B-CAD8-425A-955F-438ACA2C473D}"/>
    <cellStyle name="Input 2 3 3 3 13 4" xfId="23438" xr:uid="{1BDA982D-5B89-4248-A44E-9CB632377F59}"/>
    <cellStyle name="Input 2 3 3 3 14" xfId="25947" xr:uid="{4A3CFA3C-1BC1-4C8C-8C04-925EA2E14B08}"/>
    <cellStyle name="Input 2 3 3 3 14 2" xfId="28613" xr:uid="{4AA65E67-FFA8-4AE6-96C7-E399906C45D5}"/>
    <cellStyle name="Input 2 3 3 3 14 2 2" xfId="35458" xr:uid="{E300D6AD-B1C1-4933-83EA-6C6D3ACA1C7B}"/>
    <cellStyle name="Input 2 3 3 3 14 3" xfId="30694" xr:uid="{0A0A8D73-A561-42BC-ACCD-62A134A57CDA}"/>
    <cellStyle name="Input 2 3 3 3 14 3 2" xfId="37539" xr:uid="{95850578-F3D9-4F8B-98E9-7C1E9EEB0E57}"/>
    <cellStyle name="Input 2 3 3 3 14 4" xfId="32776" xr:uid="{95BA4A4F-F61A-4874-85F1-545397233A8A}"/>
    <cellStyle name="Input 2 3 3 3 15" xfId="26001" xr:uid="{08D30898-C6E1-489B-A216-5A4A9B36FE80}"/>
    <cellStyle name="Input 2 3 3 3 15 2" xfId="28667" xr:uid="{5662B49B-750C-4D0C-8EB0-A22CEC90B6E5}"/>
    <cellStyle name="Input 2 3 3 3 15 2 2" xfId="35512" xr:uid="{E4AB78B7-7DD0-4D74-AB3C-AEE12F293986}"/>
    <cellStyle name="Input 2 3 3 3 15 3" xfId="30748" xr:uid="{3597F785-CD14-4CB1-B39F-7F7E0A17CAB5}"/>
    <cellStyle name="Input 2 3 3 3 15 3 2" xfId="37593" xr:uid="{426E1438-7D5E-4C8F-8E25-3506E29C85F4}"/>
    <cellStyle name="Input 2 3 3 3 15 4" xfId="32830" xr:uid="{3E27E796-B4A1-4AB6-B5D0-7BC433CB0BED}"/>
    <cellStyle name="Input 2 3 3 3 16" xfId="24570" xr:uid="{4748D205-FCA9-4540-8C01-6ACCEB43B9FD}"/>
    <cellStyle name="Input 2 3 3 3 2" xfId="18456" xr:uid="{089F8221-8B94-4070-97CA-938054E3D337}"/>
    <cellStyle name="Input 2 3 3 3 2 10" xfId="21266" xr:uid="{FBA86068-6182-4947-9690-1212F01220B6}"/>
    <cellStyle name="Input 2 3 3 3 2 11" xfId="22656" xr:uid="{07B70CFF-EB92-4141-B2FC-23D57A691BAC}"/>
    <cellStyle name="Input 2 3 3 3 2 12" xfId="22634" xr:uid="{CF34B459-C4DC-4FC3-9FFA-267CBF28DD7A}"/>
    <cellStyle name="Input 2 3 3 3 2 13" xfId="22653" xr:uid="{14A78F5D-E365-4EAD-9513-8F57C951C458}"/>
    <cellStyle name="Input 2 3 3 3 2 14" xfId="19213" xr:uid="{84398FAD-850A-4995-98A6-E3FFA05EA11B}"/>
    <cellStyle name="Input 2 3 3 3 2 15" xfId="22726" xr:uid="{24E8051F-CE0D-4B8E-A410-06C04CB199D6}"/>
    <cellStyle name="Input 2 3 3 3 2 16" xfId="31305" xr:uid="{E0FC8D97-1E9C-4419-9D40-AA80976C696F}"/>
    <cellStyle name="Input 2 3 3 3 2 2" xfId="19920" xr:uid="{B62738B9-AEDD-417E-8805-57FC2907FEFF}"/>
    <cellStyle name="Input 2 3 3 3 2 2 2" xfId="27146" xr:uid="{4694C995-2F1B-4E75-8ACE-FC09BFC22C52}"/>
    <cellStyle name="Input 2 3 3 3 2 2 3" xfId="33987" xr:uid="{F42BDC20-BE34-4F6A-9485-A2E0084338D7}"/>
    <cellStyle name="Input 2 3 3 3 2 3" xfId="21070" xr:uid="{EF8B422E-0303-4FAB-BF4B-CEAD7899EB89}"/>
    <cellStyle name="Input 2 3 3 3 2 3 2" xfId="29223" xr:uid="{68C6246C-E816-4589-9618-AC66262DECAD}"/>
    <cellStyle name="Input 2 3 3 3 2 3 3" xfId="36068" xr:uid="{5B6F22EF-A616-40C9-8DCF-2078E501FC52}"/>
    <cellStyle name="Input 2 3 3 3 2 4" xfId="20293" xr:uid="{2471806B-51D8-47E2-885E-28998293BDD2}"/>
    <cellStyle name="Input 2 3 3 3 2 5" xfId="20333" xr:uid="{CE09751D-F75D-4E9B-AC05-81000F8FDA83}"/>
    <cellStyle name="Input 2 3 3 3 2 6" xfId="21058" xr:uid="{86983E9F-67F3-480A-88E8-4D83CA7B72D9}"/>
    <cellStyle name="Input 2 3 3 3 2 7" xfId="20151" xr:uid="{90A3228D-1D7B-42AD-B748-E87950CC3030}"/>
    <cellStyle name="Input 2 3 3 3 2 8" xfId="20664" xr:uid="{97486AC6-A2CA-4B55-BF8D-FB36F65B1AE1}"/>
    <cellStyle name="Input 2 3 3 3 2 9" xfId="22273" xr:uid="{0670EDEE-EC87-4640-8F73-EFC6A9792EA5}"/>
    <cellStyle name="Input 2 3 3 3 3" xfId="24341" xr:uid="{4179FBF5-B91D-4DD1-B137-EF170D1B8BFB}"/>
    <cellStyle name="Input 2 3 3 3 3 2" xfId="26947" xr:uid="{10081DBA-6F8B-4D9C-82FE-C7A93BA187AE}"/>
    <cellStyle name="Input 2 3 3 3 3 2 2" xfId="33787" xr:uid="{D4E79C2B-08F8-4509-AF1C-7858B0A28D8D}"/>
    <cellStyle name="Input 2 3 3 3 3 3" xfId="29023" xr:uid="{3BF2F65B-5605-42C0-AB2C-5EC18A104DC4}"/>
    <cellStyle name="Input 2 3 3 3 3 3 2" xfId="35868" xr:uid="{3D9C4C58-9793-4628-B584-23317EED0948}"/>
    <cellStyle name="Input 2 3 3 3 3 4" xfId="31105" xr:uid="{9908AFFE-E100-4A86-B621-0B89C71059CB}"/>
    <cellStyle name="Input 2 3 3 3 4" xfId="25089" xr:uid="{7C758B94-B51D-4247-9AA3-A4D14CD7CDF5}"/>
    <cellStyle name="Input 2 3 3 3 4 2" xfId="27761" xr:uid="{42D4105B-D1BD-45DE-8CA9-08B756478CC6}"/>
    <cellStyle name="Input 2 3 3 3 4 2 2" xfId="34606" xr:uid="{82D72A51-3035-49D8-ADC9-E8D7B2397075}"/>
    <cellStyle name="Input 2 3 3 3 4 3" xfId="29842" xr:uid="{9E91CCA5-01D5-400A-AC9C-9F301DCEF687}"/>
    <cellStyle name="Input 2 3 3 3 4 3 2" xfId="36687" xr:uid="{6888B6C5-7815-46CE-82AF-DB61F313A37A}"/>
    <cellStyle name="Input 2 3 3 3 4 4" xfId="31924" xr:uid="{ACDDFD0F-4427-4566-B4F4-87AB97937B17}"/>
    <cellStyle name="Input 2 3 3 3 5" xfId="24234" xr:uid="{92294347-D5F8-468E-8206-CF282689BEDD}"/>
    <cellStyle name="Input 2 3 3 3 5 2" xfId="26843" xr:uid="{27C4B2C3-3A15-4E62-A2D9-E81A56B28327}"/>
    <cellStyle name="Input 2 3 3 3 5 2 2" xfId="33683" xr:uid="{BCE05DAC-C45A-4C12-8A25-36D65C704C72}"/>
    <cellStyle name="Input 2 3 3 3 5 3" xfId="28919" xr:uid="{D925E2AC-2106-4BD2-B10E-B6179F585EE6}"/>
    <cellStyle name="Input 2 3 3 3 5 3 2" xfId="35764" xr:uid="{8E28DB89-B664-4B4B-BADE-7C8DE0B7E588}"/>
    <cellStyle name="Input 2 3 3 3 5 4" xfId="31001" xr:uid="{6323CD6C-B8F1-4644-B949-3C961FC73828}"/>
    <cellStyle name="Input 2 3 3 3 6" xfId="24258" xr:uid="{3621A5D2-BF42-49A5-A74C-B84B5BD25547}"/>
    <cellStyle name="Input 2 3 3 3 6 2" xfId="26865" xr:uid="{A7C5B654-4AB7-4FE9-94FE-A32039BB9F90}"/>
    <cellStyle name="Input 2 3 3 3 6 2 2" xfId="33705" xr:uid="{5B51F80D-9A9F-4D59-AFBA-C3C17CCAD564}"/>
    <cellStyle name="Input 2 3 3 3 6 3" xfId="28941" xr:uid="{81567E14-CE0E-4B57-98BF-D67CA6CA7C93}"/>
    <cellStyle name="Input 2 3 3 3 6 3 2" xfId="35786" xr:uid="{5946DBD1-B819-46F3-9F99-71245101C5CF}"/>
    <cellStyle name="Input 2 3 3 3 6 4" xfId="31023" xr:uid="{9BF92328-40F5-43BB-AB3B-4E64CECD8854}"/>
    <cellStyle name="Input 2 3 3 3 7" xfId="24881" xr:uid="{B548783C-D018-431E-B21C-8FCC2537DDAF}"/>
    <cellStyle name="Input 2 3 3 3 7 2" xfId="27548" xr:uid="{ACE3AFB9-413B-402B-8E74-9A6C36789FF2}"/>
    <cellStyle name="Input 2 3 3 3 7 2 2" xfId="34392" xr:uid="{14691B4E-1B9F-4187-AE85-0002B4B08CE8}"/>
    <cellStyle name="Input 2 3 3 3 7 3" xfId="29628" xr:uid="{701B8082-E5E3-420B-AADF-35D1E4D7F0AA}"/>
    <cellStyle name="Input 2 3 3 3 7 3 2" xfId="36473" xr:uid="{AF75E294-2FEC-40CB-A25D-C1C6FEF31067}"/>
    <cellStyle name="Input 2 3 3 3 7 4" xfId="31710" xr:uid="{3715D78A-BA7A-42D9-BB33-08E59962AFDF}"/>
    <cellStyle name="Input 2 3 3 3 8" xfId="25205" xr:uid="{40B0268F-BB89-498A-AD8B-FDEA70D33087}"/>
    <cellStyle name="Input 2 3 3 3 8 2" xfId="27877" xr:uid="{7D4DF675-B42D-4314-8999-9073CA61B93D}"/>
    <cellStyle name="Input 2 3 3 3 8 2 2" xfId="34722" xr:uid="{17B50036-8463-4596-88A5-B47EBCB65901}"/>
    <cellStyle name="Input 2 3 3 3 8 3" xfId="29958" xr:uid="{7908354E-7C3C-4BBB-8F57-BD7C61A42DCB}"/>
    <cellStyle name="Input 2 3 3 3 8 3 2" xfId="36803" xr:uid="{69BE0114-A994-46C4-A719-7F20464C30FA}"/>
    <cellStyle name="Input 2 3 3 3 8 4" xfId="32040" xr:uid="{2E3E3D75-7254-4C88-825B-86DE75B5E82F}"/>
    <cellStyle name="Input 2 3 3 3 9" xfId="24052" xr:uid="{4FDA4413-6027-415C-BCD3-2F8E366C1494}"/>
    <cellStyle name="Input 2 3 3 3 9 2" xfId="26665" xr:uid="{80D13118-1F0F-4D68-9858-8765FDC06562}"/>
    <cellStyle name="Input 2 3 3 3 9 2 2" xfId="33505" xr:uid="{61C2A420-2D06-4925-8A45-D707A99ED167}"/>
    <cellStyle name="Input 2 3 3 3 9 3" xfId="28741" xr:uid="{16CF01B8-ECE7-4DC8-AB52-13842CF4FA25}"/>
    <cellStyle name="Input 2 3 3 3 9 3 2" xfId="35586" xr:uid="{3030FBE3-504A-4C84-B1D7-D3C463FF8363}"/>
    <cellStyle name="Input 2 3 3 3 9 4" xfId="30823" xr:uid="{80AE7FF7-0DEB-4F0E-B62B-95C13F5854BF}"/>
    <cellStyle name="Input 2 3 3 4" xfId="17534" xr:uid="{CEC1468A-9E4F-49EF-A582-CE02AE5E031B}"/>
    <cellStyle name="Input 2 3 3 4 2" xfId="27279" xr:uid="{D976886E-B3AB-4344-85EA-1A2B221343C7}"/>
    <cellStyle name="Input 2 3 3 4 2 2" xfId="34123" xr:uid="{C7A2C983-9984-425C-811A-0344E65F48E3}"/>
    <cellStyle name="Input 2 3 3 4 3" xfId="29359" xr:uid="{DADD8E54-13C0-4B6F-8702-24D1A84ADF6D}"/>
    <cellStyle name="Input 2 3 3 4 3 2" xfId="36204" xr:uid="{C49834DF-D842-48AC-84A5-C5DB2AB5E1CF}"/>
    <cellStyle name="Input 2 3 3 4 4" xfId="24666" xr:uid="{26A330CD-4C89-427D-BE28-393DDC9A6181}"/>
    <cellStyle name="Input 2 3 3 4 5" xfId="31441" xr:uid="{2D815F27-2994-459C-A1AC-97736774F545}"/>
    <cellStyle name="Input 2 3 3 5" xfId="24988" xr:uid="{734541E0-1401-4288-92C7-3862E981CFBE}"/>
    <cellStyle name="Input 2 3 3 5 2" xfId="27658" xr:uid="{30A364C8-EAB1-468B-9B0C-C4109201A2BB}"/>
    <cellStyle name="Input 2 3 3 5 2 2" xfId="34503" xr:uid="{0801E95F-D114-4CB5-95D3-74657C5094B6}"/>
    <cellStyle name="Input 2 3 3 5 3" xfId="29739" xr:uid="{99FFE82C-033F-4FC4-9B9B-53990961AE07}"/>
    <cellStyle name="Input 2 3 3 5 3 2" xfId="36584" xr:uid="{C3FF53A3-92CC-4F6A-AB90-2B08E8337337}"/>
    <cellStyle name="Input 2 3 3 5 4" xfId="31821" xr:uid="{160DE64A-C6C0-4211-8465-376823757828}"/>
    <cellStyle name="Input 2 3 3 6" xfId="24686" xr:uid="{BCE684AA-AA1B-4F2D-B3D1-104D42D88EAC}"/>
    <cellStyle name="Input 2 3 3 6 2" xfId="27299" xr:uid="{2B18E9B6-4BB3-4D11-80E1-E90F9FD6586D}"/>
    <cellStyle name="Input 2 3 3 6 2 2" xfId="34143" xr:uid="{9D288505-71F8-4510-A4BF-5AE250BF2559}"/>
    <cellStyle name="Input 2 3 3 6 3" xfId="29379" xr:uid="{2C444B6D-FA2C-4A39-98A0-A600736D36EB}"/>
    <cellStyle name="Input 2 3 3 6 3 2" xfId="36224" xr:uid="{DA742602-D160-43C7-9153-E81994A1D055}"/>
    <cellStyle name="Input 2 3 3 6 4" xfId="31461" xr:uid="{15ED5E3F-CA30-440B-B5D4-92B2843063AD}"/>
    <cellStyle name="Input 2 3 3 7" xfId="25218" xr:uid="{1036EECD-EA77-4182-80F7-BE543D35528F}"/>
    <cellStyle name="Input 2 3 3 7 2" xfId="27890" xr:uid="{CE681776-93A7-482C-B61B-71D13186BDF1}"/>
    <cellStyle name="Input 2 3 3 7 2 2" xfId="34735" xr:uid="{FFE3A0E0-DA9D-4CCC-AE43-79564AF0A610}"/>
    <cellStyle name="Input 2 3 3 7 3" xfId="29971" xr:uid="{EF62EA71-BEA8-48D7-83F3-339265569946}"/>
    <cellStyle name="Input 2 3 3 7 3 2" xfId="36816" xr:uid="{D27B504F-43E9-4F4C-BC34-02335D1A9218}"/>
    <cellStyle name="Input 2 3 3 7 4" xfId="32053" xr:uid="{D473596D-DDD5-4AD7-8804-1C6886F9D602}"/>
    <cellStyle name="Input 2 3 3 8" xfId="24246" xr:uid="{D2D9A7AB-54EB-4BA0-9C91-D0E3B3227D87}"/>
    <cellStyle name="Input 2 3 3 8 2" xfId="26853" xr:uid="{D82D5DAC-085D-486B-88B5-C4C5885E0B6D}"/>
    <cellStyle name="Input 2 3 3 8 2 2" xfId="33693" xr:uid="{199C8891-DD63-4CAC-ABEC-BF08FA337CD4}"/>
    <cellStyle name="Input 2 3 3 8 3" xfId="28929" xr:uid="{657BF6A4-8C87-4D59-B936-37FB90208FD4}"/>
    <cellStyle name="Input 2 3 3 8 3 2" xfId="35774" xr:uid="{AB6004AB-F14A-4052-80B1-1CF54E38BBD1}"/>
    <cellStyle name="Input 2 3 3 8 4" xfId="31011" xr:uid="{FDAD114D-8629-4182-9813-02C76AB25C9C}"/>
    <cellStyle name="Input 2 3 3 9" xfId="25386" xr:uid="{4FC1E03C-CC45-4F02-8013-251B056F96EB}"/>
    <cellStyle name="Input 2 3 3 9 2" xfId="28053" xr:uid="{18A1A001-C537-4410-9ECE-018ADE45432F}"/>
    <cellStyle name="Input 2 3 3 9 2 2" xfId="34898" xr:uid="{4598B4A2-80F0-4F88-B652-31000F3EFC2F}"/>
    <cellStyle name="Input 2 3 3 9 3" xfId="30134" xr:uid="{53A4F7FB-C18F-4919-B22C-02A015625991}"/>
    <cellStyle name="Input 2 3 3 9 3 2" xfId="36979" xr:uid="{1F2254AA-2CE1-43C8-B582-A578D0B141CD}"/>
    <cellStyle name="Input 2 3 3 9 4" xfId="32216" xr:uid="{C3D3244F-CD2E-447B-942B-66AF03A57A1D}"/>
    <cellStyle name="Input 2 3 4" xfId="17595" xr:uid="{F76FCC3E-5215-497F-8926-3A114BD9BA98}"/>
    <cellStyle name="Input 2 3 4 10" xfId="25211" xr:uid="{74C02340-112F-49FE-BF36-263B57AAED93}"/>
    <cellStyle name="Input 2 3 4 10 2" xfId="27883" xr:uid="{999C3A1A-4A18-4D69-953C-640049B60B98}"/>
    <cellStyle name="Input 2 3 4 10 2 2" xfId="34728" xr:uid="{E3070DD6-68CD-4553-9615-7AFD20F432DE}"/>
    <cellStyle name="Input 2 3 4 10 3" xfId="29964" xr:uid="{EDB7729F-604E-437F-9DDA-4395E1332922}"/>
    <cellStyle name="Input 2 3 4 10 3 2" xfId="36809" xr:uid="{C93BA6FA-C862-412A-8435-5C2979F3384F}"/>
    <cellStyle name="Input 2 3 4 10 4" xfId="32046" xr:uid="{F9B90F5A-99F3-4252-A3A1-1A34F207457D}"/>
    <cellStyle name="Input 2 3 4 11" xfId="24034" xr:uid="{0A4189AB-3668-4706-A92E-68950DD88F05}"/>
    <cellStyle name="Input 2 3 4 11 2" xfId="26648" xr:uid="{3ADFDCA2-17C2-43E5-9000-E0AEB4FB9EAF}"/>
    <cellStyle name="Input 2 3 4 11 2 2" xfId="33488" xr:uid="{AB1CCF19-96D8-482D-B66C-34775EA233E0}"/>
    <cellStyle name="Input 2 3 4 11 3" xfId="28724" xr:uid="{29021825-14CA-499D-AD51-9CB53B701643}"/>
    <cellStyle name="Input 2 3 4 11 3 2" xfId="35569" xr:uid="{6124992C-BD43-41A9-A382-AA8B32D08DF3}"/>
    <cellStyle name="Input 2 3 4 11 4" xfId="30806" xr:uid="{A5A08292-2F0F-4737-8FF1-7DE23E3A7614}"/>
    <cellStyle name="Input 2 3 4 12" xfId="25349" xr:uid="{6964A5E0-A8C4-4918-9DC3-E3BECABE2640}"/>
    <cellStyle name="Input 2 3 4 12 2" xfId="28016" xr:uid="{7B8AEF2D-C606-4126-B7C8-9EA3BFEFF184}"/>
    <cellStyle name="Input 2 3 4 12 2 2" xfId="34861" xr:uid="{1CBF8DEA-129A-4DD9-94BA-3003C71408A0}"/>
    <cellStyle name="Input 2 3 4 12 3" xfId="30097" xr:uid="{075E58C2-6541-4A3F-9A4F-85670E52E63E}"/>
    <cellStyle name="Input 2 3 4 12 3 2" xfId="36942" xr:uid="{89435AFB-A67C-4D2A-98DE-E780EDDBDEA4}"/>
    <cellStyle name="Input 2 3 4 12 4" xfId="32179" xr:uid="{F6B7341B-25A6-4824-BA59-858AABC2F27A}"/>
    <cellStyle name="Input 2 3 4 13" xfId="24255" xr:uid="{36E91358-D9A2-4CB1-91AD-985D68E2EC03}"/>
    <cellStyle name="Input 2 3 4 13 2" xfId="26862" xr:uid="{7F07B7DC-7BC3-418C-8160-92EDFAF41A74}"/>
    <cellStyle name="Input 2 3 4 13 2 2" xfId="33702" xr:uid="{B0CC92EF-4FD8-4AA7-BFDC-850C556621DF}"/>
    <cellStyle name="Input 2 3 4 13 3" xfId="28938" xr:uid="{2D957DE4-3EBE-4CE1-A5CA-3E82EBE5F06C}"/>
    <cellStyle name="Input 2 3 4 13 3 2" xfId="35783" xr:uid="{F1002EC7-4261-438A-987D-C2772878A8D2}"/>
    <cellStyle name="Input 2 3 4 13 4" xfId="31020" xr:uid="{BF4BC973-4C8B-406C-88D5-25F841B82347}"/>
    <cellStyle name="Input 2 3 4 14" xfId="25886" xr:uid="{9A4629A9-26AF-47A5-9B96-DA0A73EDB764}"/>
    <cellStyle name="Input 2 3 4 14 2" xfId="28552" xr:uid="{307EDA4D-533C-403D-9D5F-27CDC91013C2}"/>
    <cellStyle name="Input 2 3 4 14 2 2" xfId="35397" xr:uid="{19893431-8C9C-430B-AB09-E42CD6D9FDF0}"/>
    <cellStyle name="Input 2 3 4 14 3" xfId="30633" xr:uid="{202CB0A0-7E8F-4C35-98BA-B612F370D5FF}"/>
    <cellStyle name="Input 2 3 4 14 3 2" xfId="37478" xr:uid="{1C51AE6B-9518-4EFD-A2C6-A0B804D95B9E}"/>
    <cellStyle name="Input 2 3 4 14 4" xfId="32715" xr:uid="{0C6D4064-7CC5-4C56-AE6B-1DA58375165A}"/>
    <cellStyle name="Input 2 3 4 15" xfId="25291" xr:uid="{66D0C9BA-4E08-4D24-9489-78255A251509}"/>
    <cellStyle name="Input 2 3 4 15 2" xfId="27962" xr:uid="{8E1207A0-E6C4-472E-92ED-453B502902BD}"/>
    <cellStyle name="Input 2 3 4 15 2 2" xfId="34807" xr:uid="{1D6C267B-DBB9-4E0D-9019-16814A3FE7D5}"/>
    <cellStyle name="Input 2 3 4 15 3" xfId="30043" xr:uid="{F6323D17-B6AF-42D1-89B9-6D118B0ADBF5}"/>
    <cellStyle name="Input 2 3 4 15 3 2" xfId="36888" xr:uid="{392D8D6D-A588-4727-AE58-BA858BC8B6E7}"/>
    <cellStyle name="Input 2 3 4 15 4" xfId="32125" xr:uid="{923E454B-37CC-4350-88E5-1114BA35F72A}"/>
    <cellStyle name="Input 2 3 4 16" xfId="23615" xr:uid="{69A2C837-6B34-4C73-A580-863C2A2C371C}"/>
    <cellStyle name="Input 2 3 4 2" xfId="18384" xr:uid="{A9792BDE-8D3A-469C-A22F-2A8C10D7CCEC}"/>
    <cellStyle name="Input 2 3 4 2 10" xfId="21792" xr:uid="{AE1BDFBF-6791-415E-B9EC-C1F64E7DBDD1}"/>
    <cellStyle name="Input 2 3 4 2 11" xfId="19274" xr:uid="{833FB8D2-3B07-4F42-9BAE-4175F02CCB26}"/>
    <cellStyle name="Input 2 3 4 2 12" xfId="20433" xr:uid="{C60FD9E2-08C9-446B-9B6C-84677AB43964}"/>
    <cellStyle name="Input 2 3 4 2 13" xfId="20439" xr:uid="{BA7E257F-CFF2-46F0-B924-BEA56FC831F3}"/>
    <cellStyle name="Input 2 3 4 2 14" xfId="21911" xr:uid="{CEBF79FC-7315-4528-9F56-E36F94BE7D95}"/>
    <cellStyle name="Input 2 3 4 2 15" xfId="21513" xr:uid="{4EE376EB-0977-4893-936D-0A4161041B47}"/>
    <cellStyle name="Input 2 3 4 2 16" xfId="31517" xr:uid="{E43E658D-12E9-49BA-961D-B85F8AA4BABC}"/>
    <cellStyle name="Input 2 3 4 2 2" xfId="19975" xr:uid="{D18F3A62-4763-40FD-9647-96E55E2650DD}"/>
    <cellStyle name="Input 2 3 4 2 2 2" xfId="27355" xr:uid="{2F9E4549-DD9F-418F-AD76-4DECF8C234F1}"/>
    <cellStyle name="Input 2 3 4 2 2 3" xfId="34199" xr:uid="{966F972E-7DC6-4284-920C-A60E539FDE8A}"/>
    <cellStyle name="Input 2 3 4 2 3" xfId="21112" xr:uid="{5F7DE69D-8AC7-4B49-A946-AAD91CC25F53}"/>
    <cellStyle name="Input 2 3 4 2 3 2" xfId="29435" xr:uid="{FFF3F027-6B6C-41A0-8F89-8B7D8BE09C52}"/>
    <cellStyle name="Input 2 3 4 2 3 3" xfId="36280" xr:uid="{761EEB0F-3845-4787-BE37-32D0FB841B2B}"/>
    <cellStyle name="Input 2 3 4 2 4" xfId="19725" xr:uid="{71C51C19-933A-4548-A6DC-739E42B6ED04}"/>
    <cellStyle name="Input 2 3 4 2 5" xfId="20880" xr:uid="{C2D8FF71-A33C-4A74-9A05-33ABAE3D9B6E}"/>
    <cellStyle name="Input 2 3 4 2 6" xfId="19863" xr:uid="{867AA0AF-342B-44FC-A9CA-374BE40867D4}"/>
    <cellStyle name="Input 2 3 4 2 7" xfId="20573" xr:uid="{776B1D77-6CEA-4144-8199-A7D56C548164}"/>
    <cellStyle name="Input 2 3 4 2 8" xfId="21303" xr:uid="{5E66BFA4-F567-4526-991E-D40B9F774DA9}"/>
    <cellStyle name="Input 2 3 4 2 9" xfId="20840" xr:uid="{E2A823DE-93B6-4B85-A5F7-DE4E3669C61F}"/>
    <cellStyle name="Input 2 3 4 3" xfId="24385" xr:uid="{FFA05B1B-AAB4-446F-BE78-EFFF412716AF}"/>
    <cellStyle name="Input 2 3 4 3 2" xfId="27002" xr:uid="{D780B96F-5DAF-4FD8-84E6-45F00EAC35CF}"/>
    <cellStyle name="Input 2 3 4 3 2 2" xfId="33842" xr:uid="{56AD6777-FF87-4BFD-8C3C-C4154C3208E1}"/>
    <cellStyle name="Input 2 3 4 3 3" xfId="29078" xr:uid="{25121D2C-9928-47FB-A625-11B3DC113E46}"/>
    <cellStyle name="Input 2 3 4 3 3 2" xfId="35923" xr:uid="{6D756445-2681-4526-A891-6C296716A131}"/>
    <cellStyle name="Input 2 3 4 3 4" xfId="31160" xr:uid="{BE2C39BC-AF68-4BCF-9BE9-D7543015730E}"/>
    <cellStyle name="Input 2 3 4 4" xfId="24970" xr:uid="{271A8FD7-06BE-4263-9D19-BDD36379FA07}"/>
    <cellStyle name="Input 2 3 4 4 2" xfId="27639" xr:uid="{EDE5E975-9252-4B27-9DA6-3837E2F59BA7}"/>
    <cellStyle name="Input 2 3 4 4 2 2" xfId="34484" xr:uid="{5BAD5BAB-9B42-4770-A64F-93995FE30F99}"/>
    <cellStyle name="Input 2 3 4 4 3" xfId="29720" xr:uid="{B82F84C6-EF5A-48CF-9671-00E9ED4FE073}"/>
    <cellStyle name="Input 2 3 4 4 3 2" xfId="36565" xr:uid="{2DAD50CF-411B-489D-9094-C1E95C3211CA}"/>
    <cellStyle name="Input 2 3 4 4 4" xfId="31802" xr:uid="{5DC4099E-FF07-4CE7-B5F8-C97B10B7681C}"/>
    <cellStyle name="Input 2 3 4 5" xfId="24225" xr:uid="{830E9764-6F51-4494-AD2E-E601A2F81167}"/>
    <cellStyle name="Input 2 3 4 5 2" xfId="26834" xr:uid="{CE05363E-DABE-4573-BEE3-AD640958D401}"/>
    <cellStyle name="Input 2 3 4 5 2 2" xfId="33674" xr:uid="{D96515E1-2483-482B-AECB-4A90638D7C6F}"/>
    <cellStyle name="Input 2 3 4 5 3" xfId="28910" xr:uid="{872E6F49-8FF9-435D-B2AD-AFAE2CC0CFB6}"/>
    <cellStyle name="Input 2 3 4 5 3 2" xfId="35755" xr:uid="{CF811283-961A-4136-B4F7-109B07C8706E}"/>
    <cellStyle name="Input 2 3 4 5 4" xfId="30992" xr:uid="{135086E6-0AB5-4AB9-BB2D-67047BA13EC6}"/>
    <cellStyle name="Input 2 3 4 6" xfId="25072" xr:uid="{B97631DC-2069-4240-B07A-838435FBA463}"/>
    <cellStyle name="Input 2 3 4 6 2" xfId="27744" xr:uid="{272B2658-BD51-4E3C-9854-61B5663A06AA}"/>
    <cellStyle name="Input 2 3 4 6 2 2" xfId="34589" xr:uid="{00B8B4ED-E56D-4955-95C5-CB7AF9E9AC99}"/>
    <cellStyle name="Input 2 3 4 6 3" xfId="29825" xr:uid="{33855858-ACC7-4A49-AB87-98B4E68DB1F5}"/>
    <cellStyle name="Input 2 3 4 6 3 2" xfId="36670" xr:uid="{0346590A-A308-42FC-8F6D-3F506EEB187A}"/>
    <cellStyle name="Input 2 3 4 6 4" xfId="31907" xr:uid="{2867084F-F85C-4CD5-A456-377656D83A15}"/>
    <cellStyle name="Input 2 3 4 7" xfId="23907" xr:uid="{04416E90-3E5E-49DA-ACC8-F6C9B2CF73D5}"/>
    <cellStyle name="Input 2 3 4 7 2" xfId="26525" xr:uid="{CB10DBD5-441B-4897-8C85-26340BE5468A}"/>
    <cellStyle name="Input 2 3 4 7 2 2" xfId="33365" xr:uid="{0F20045A-9859-4475-A123-C22575AB5CBA}"/>
    <cellStyle name="Input 2 3 4 7 3" xfId="26159" xr:uid="{B8BA7070-6CB2-44A3-9570-F294C216F6FB}"/>
    <cellStyle name="Input 2 3 4 7 3 2" xfId="32987" xr:uid="{3F64DD88-6986-48EF-B743-B6E8C479E5AB}"/>
    <cellStyle name="Input 2 3 4 7 4" xfId="23281" xr:uid="{04DFD057-4BC6-458A-A573-8E812DA4DD64}"/>
    <cellStyle name="Input 2 3 4 8" xfId="24994" xr:uid="{211576B9-BA8E-493E-8CA9-0D8F68772C0D}"/>
    <cellStyle name="Input 2 3 4 8 2" xfId="27664" xr:uid="{2199BD63-499E-4DF1-BBA5-5CD949E8BC34}"/>
    <cellStyle name="Input 2 3 4 8 2 2" xfId="34509" xr:uid="{BE57E6A6-CDDB-4CB6-8C18-A84E2C31C608}"/>
    <cellStyle name="Input 2 3 4 8 3" xfId="29745" xr:uid="{0379B5C9-85F8-4292-82DF-9B792C3CD71D}"/>
    <cellStyle name="Input 2 3 4 8 3 2" xfId="36590" xr:uid="{1D52B6F0-6D5E-4647-8828-435F1FA7F40B}"/>
    <cellStyle name="Input 2 3 4 8 4" xfId="31827" xr:uid="{7DE4990D-018E-4C8D-8EE5-B209A179EBB1}"/>
    <cellStyle name="Input 2 3 4 9" xfId="25459" xr:uid="{D6723196-9F1E-4310-8B2A-4F292A67EE6F}"/>
    <cellStyle name="Input 2 3 4 9 2" xfId="28126" xr:uid="{B5EC8360-35B6-403F-9EDF-C8DC1DC36861}"/>
    <cellStyle name="Input 2 3 4 9 2 2" xfId="34971" xr:uid="{57064332-E5D5-490A-84FB-549229CC28DA}"/>
    <cellStyle name="Input 2 3 4 9 3" xfId="30207" xr:uid="{98FCFF1B-6819-4089-96AD-F112D3E5197C}"/>
    <cellStyle name="Input 2 3 4 9 3 2" xfId="37052" xr:uid="{DDFA7214-723E-4417-A85D-D460BA2A9521}"/>
    <cellStyle name="Input 2 3 4 9 4" xfId="32289" xr:uid="{8F0B37C1-622B-4C1B-B8FE-86B1B97282DF}"/>
    <cellStyle name="Input 2 3 5" xfId="17395" xr:uid="{18B0822C-443B-485A-BCCE-BA8A8AB57BA0}"/>
    <cellStyle name="Input 2 3 5 2" xfId="26348" xr:uid="{E1D5182A-DEB1-4498-AFF3-25DB5B456501}"/>
    <cellStyle name="Input 2 3 5 2 2" xfId="33181" xr:uid="{8033E9B3-906A-4690-99D7-91249F068871}"/>
    <cellStyle name="Input 2 3 5 3" xfId="26341" xr:uid="{D02386FB-66F5-4D22-A10E-40F6C92AEE25}"/>
    <cellStyle name="Input 2 3 5 3 2" xfId="33172" xr:uid="{F6396F2F-88D6-4E6E-A716-A9C886108DAB}"/>
    <cellStyle name="Input 2 3 5 4" xfId="23501" xr:uid="{F8C1F901-1C56-4F51-B766-3D0E695B9B8F}"/>
    <cellStyle name="Input 2 3 5 5" xfId="23484" xr:uid="{2B456C31-26BA-481C-AE27-F8060DAC6AF9}"/>
    <cellStyle name="Input 2 3 6" xfId="24525" xr:uid="{15DE5A81-6423-4C31-8D1B-1378104284DF}"/>
    <cellStyle name="Input 2 3 6 2" xfId="27131" xr:uid="{32423428-94A8-4353-9357-07D4FBBFBFCB}"/>
    <cellStyle name="Input 2 3 6 2 2" xfId="33971" xr:uid="{8B606C86-C616-4521-8652-1F7E1D326F1A}"/>
    <cellStyle name="Input 2 3 6 3" xfId="29207" xr:uid="{ADD7BECC-4F65-4331-8CC7-168423B92D3A}"/>
    <cellStyle name="Input 2 3 6 3 2" xfId="36052" xr:uid="{AF13DAE9-F07D-4404-86C9-D5C3AE3EE38F}"/>
    <cellStyle name="Input 2 3 6 4" xfId="31289" xr:uid="{A23835E3-D17B-446B-BB6B-CC82CFCB573C}"/>
    <cellStyle name="Input 2 3 7" xfId="24658" xr:uid="{692CBC24-5886-4AA5-81ED-13F22D9C8C95}"/>
    <cellStyle name="Input 2 3 7 2" xfId="27267" xr:uid="{8A6C2399-7F99-4126-A770-E16CEE4D14F9}"/>
    <cellStyle name="Input 2 3 7 2 2" xfId="34111" xr:uid="{10BC6F76-50AC-4508-A055-85D6FA3B5A23}"/>
    <cellStyle name="Input 2 3 7 3" xfId="29347" xr:uid="{57D5D624-081D-474E-A7CC-2B9C3515ED09}"/>
    <cellStyle name="Input 2 3 7 3 2" xfId="36192" xr:uid="{9E4BE55B-0ACA-4A2D-9EFE-2BA6D04BE867}"/>
    <cellStyle name="Input 2 3 7 4" xfId="31429" xr:uid="{B0DBF1C5-2327-4A01-AC82-576D340E4461}"/>
    <cellStyle name="Input 2 3 8" xfId="24884" xr:uid="{A0788246-1DDE-41B9-8A37-B11CC2D570E6}"/>
    <cellStyle name="Input 2 3 8 2" xfId="27552" xr:uid="{0FF77510-E92B-4FAC-9F04-DA490DF41FC4}"/>
    <cellStyle name="Input 2 3 8 2 2" xfId="34396" xr:uid="{28C5D6C5-0CDD-4004-AA5C-40714376E24A}"/>
    <cellStyle name="Input 2 3 8 3" xfId="29632" xr:uid="{7C1C1E6D-C043-4EB2-92D3-9A3E7D9AC6C2}"/>
    <cellStyle name="Input 2 3 8 3 2" xfId="36477" xr:uid="{6CCBC6A6-561F-42CB-8C38-7A3948D07808}"/>
    <cellStyle name="Input 2 3 8 4" xfId="31714" xr:uid="{E7F44B2F-5FAF-4836-918A-30D2AA8404D2}"/>
    <cellStyle name="Input 2 3 9" xfId="23929" xr:uid="{F6079E31-11E8-4E81-B686-4EA2226C6CAB}"/>
    <cellStyle name="Input 2 3 9 2" xfId="26547" xr:uid="{949EECB4-9EE3-47BD-B669-FF60CD440A09}"/>
    <cellStyle name="Input 2 3 9 2 2" xfId="33387" xr:uid="{9C71B613-B70E-4785-BE97-8970ECABE048}"/>
    <cellStyle name="Input 2 3 9 3" xfId="26138" xr:uid="{309DACF1-1D77-4A4D-BCE2-4593062696BD}"/>
    <cellStyle name="Input 2 3 9 3 2" xfId="32966" xr:uid="{3C897FEF-52BE-4D13-9323-BFE8C2959FFB}"/>
    <cellStyle name="Input 2 3 9 4" xfId="23260" xr:uid="{7DFFAA09-47C0-4B9A-9C87-C8101EF8FF27}"/>
    <cellStyle name="Input 2 4" xfId="2479" xr:uid="{00000000-0005-0000-0000-0000CC090000}"/>
    <cellStyle name="Input 2 4 10" xfId="25161" xr:uid="{32CEC434-6AE2-470D-9A5A-100DA59DF3E6}"/>
    <cellStyle name="Input 2 4 10 2" xfId="27833" xr:uid="{67F06FBC-A127-42D1-B415-C482037E05AA}"/>
    <cellStyle name="Input 2 4 10 2 2" xfId="34678" xr:uid="{AD9883BF-D609-4730-BBAC-861447516FEC}"/>
    <cellStyle name="Input 2 4 10 3" xfId="29914" xr:uid="{D796F665-12C0-417C-A810-2D43709D00C9}"/>
    <cellStyle name="Input 2 4 10 3 2" xfId="36759" xr:uid="{1C23ED07-29C2-46FD-984F-F2E7DD71BD13}"/>
    <cellStyle name="Input 2 4 10 4" xfId="31996" xr:uid="{CA5372DF-5100-4895-BB9E-A33C8EE26BBA}"/>
    <cellStyle name="Input 2 4 11" xfId="23935" xr:uid="{B0A24F34-54E9-48FB-973E-084E841DC1B7}"/>
    <cellStyle name="Input 2 4 11 2" xfId="26553" xr:uid="{362D5F0B-6210-434D-909E-EE4C7027DC8F}"/>
    <cellStyle name="Input 2 4 11 2 2" xfId="33393" xr:uid="{F08FE91B-B2A5-4368-AB08-4369B9DF470A}"/>
    <cellStyle name="Input 2 4 11 3" xfId="26132" xr:uid="{BE054581-6C89-46C4-B780-A176E1EFFB45}"/>
    <cellStyle name="Input 2 4 11 3 2" xfId="32960" xr:uid="{A125344E-4E4C-468A-88FD-33BFD2A9F2FD}"/>
    <cellStyle name="Input 2 4 11 4" xfId="23254" xr:uid="{EF8AFFB6-884E-4A89-A9B0-903AC9E54294}"/>
    <cellStyle name="Input 2 4 12" xfId="25565" xr:uid="{7DCF9C7B-1866-4648-A84D-65D7480B2340}"/>
    <cellStyle name="Input 2 4 12 2" xfId="28232" xr:uid="{4848E4D3-30F3-43E5-9633-EA7C284739BF}"/>
    <cellStyle name="Input 2 4 12 2 2" xfId="35077" xr:uid="{782257D7-9478-4096-9313-6074F9385483}"/>
    <cellStyle name="Input 2 4 12 3" xfId="30313" xr:uid="{FD5CE7CE-57BE-44CC-9D2B-0FEC50A38BF3}"/>
    <cellStyle name="Input 2 4 12 3 2" xfId="37158" xr:uid="{AE85287E-79D6-4C24-801C-13AA89C6929F}"/>
    <cellStyle name="Input 2 4 12 4" xfId="32395" xr:uid="{5F19A7DE-883B-4CBF-8316-81BABEA2CB27}"/>
    <cellStyle name="Input 2 4 13" xfId="25038" xr:uid="{5544E642-B072-4FF4-AD52-E9A0A07D834F}"/>
    <cellStyle name="Input 2 4 13 2" xfId="27711" xr:uid="{F2FC4261-99A7-4681-BAA6-8FF2E023DA05}"/>
    <cellStyle name="Input 2 4 13 2 2" xfId="34556" xr:uid="{93D354BE-176B-4AD4-8A93-31F6F4D9E052}"/>
    <cellStyle name="Input 2 4 13 3" xfId="29792" xr:uid="{0E597643-E7DF-4C93-925E-B9610B13CFF2}"/>
    <cellStyle name="Input 2 4 13 3 2" xfId="36637" xr:uid="{E1B0E2D1-1ADB-49D0-B952-DC4D9C299D4B}"/>
    <cellStyle name="Input 2 4 13 4" xfId="31874" xr:uid="{D18D4FFC-4CFF-4665-A448-E576E7567411}"/>
    <cellStyle name="Input 2 4 14" xfId="25599" xr:uid="{BD36DD28-EF76-4958-9D48-5311F18B2FF3}"/>
    <cellStyle name="Input 2 4 14 2" xfId="28266" xr:uid="{D4FF9547-A361-4351-89B7-270E4DA1EEA4}"/>
    <cellStyle name="Input 2 4 14 2 2" xfId="35111" xr:uid="{3458DABB-0CF3-429E-85F9-86A31D936652}"/>
    <cellStyle name="Input 2 4 14 3" xfId="30347" xr:uid="{F424A91D-3FCD-40E2-8218-3342965ED209}"/>
    <cellStyle name="Input 2 4 14 3 2" xfId="37192" xr:uid="{6AED500E-11C6-4305-A586-DE371D38B4A5}"/>
    <cellStyle name="Input 2 4 14 4" xfId="32429" xr:uid="{E1AAB59E-EC24-4D69-B81A-5837B2BD971A}"/>
    <cellStyle name="Input 2 4 15" xfId="24118" xr:uid="{852FCD5D-3AB3-49B7-8F92-BC3E65261B7F}"/>
    <cellStyle name="Input 2 4 15 2" xfId="26730" xr:uid="{7657103A-1B2C-4CD4-B5A9-71E955496D02}"/>
    <cellStyle name="Input 2 4 15 2 2" xfId="33570" xr:uid="{55D9361C-E7FA-4CD5-B5B5-7D31584B8886}"/>
    <cellStyle name="Input 2 4 15 3" xfId="28806" xr:uid="{71492188-1CA3-4B74-BC81-F5DFF0261DC5}"/>
    <cellStyle name="Input 2 4 15 3 2" xfId="35651" xr:uid="{CD43E0A5-5A11-46C7-8AB5-05537C5C7212}"/>
    <cellStyle name="Input 2 4 15 4" xfId="30888" xr:uid="{52EB4423-FDF1-46BA-ABA4-B824C78B58A3}"/>
    <cellStyle name="Input 2 4 16" xfId="25581" xr:uid="{06CE8EC8-B978-4F02-882A-EEF8FD2381B7}"/>
    <cellStyle name="Input 2 4 16 2" xfId="28248" xr:uid="{23EA8389-A34B-43F3-81FF-A7F740B28AEF}"/>
    <cellStyle name="Input 2 4 16 2 2" xfId="35093" xr:uid="{7A93F15F-1989-4D70-991D-EB0B279E40F5}"/>
    <cellStyle name="Input 2 4 16 3" xfId="30329" xr:uid="{A2E00715-F160-4C4B-A555-0A748476D973}"/>
    <cellStyle name="Input 2 4 16 3 2" xfId="37174" xr:uid="{B6840571-63DD-4ED1-BB4A-43D3861533ED}"/>
    <cellStyle name="Input 2 4 16 4" xfId="32411" xr:uid="{A959AC0A-4B6D-4447-841E-DAAA5209D6C1}"/>
    <cellStyle name="Input 2 4 17" xfId="25925" xr:uid="{06171893-772D-4224-BD1F-EEE75C397313}"/>
    <cellStyle name="Input 2 4 17 2" xfId="28591" xr:uid="{F77CC9B5-79CE-45AA-9B71-FE4EDAAE9447}"/>
    <cellStyle name="Input 2 4 17 2 2" xfId="35436" xr:uid="{A8B5B288-BE9D-45A4-9B3A-C94646A5C2B7}"/>
    <cellStyle name="Input 2 4 17 3" xfId="30672" xr:uid="{97535EE6-8FDD-4B48-85E4-C94B2FE88A47}"/>
    <cellStyle name="Input 2 4 17 3 2" xfId="37517" xr:uid="{6B7EF25C-6C14-480A-807F-3BF1C9A4A1FD}"/>
    <cellStyle name="Input 2 4 17 4" xfId="32754" xr:uid="{931D70B7-6D24-4AB3-A474-C7DCF45E12FF}"/>
    <cellStyle name="Input 2 4 18" xfId="23138" xr:uid="{F5FCD1DD-952E-452B-8337-2E85BAB0AF0D}"/>
    <cellStyle name="Input 2 4 19" xfId="14964" xr:uid="{AC85D25E-EE20-46B9-A7DE-DA543DCABE21}"/>
    <cellStyle name="Input 2 4 2" xfId="2480" xr:uid="{00000000-0005-0000-0000-0000CD090000}"/>
    <cellStyle name="Input 2 4 2 10" xfId="24371" xr:uid="{1F07C49B-583E-43D0-91C7-814DDBF39E91}"/>
    <cellStyle name="Input 2 4 2 10 2" xfId="26978" xr:uid="{7A0D7E9A-A3A4-4B1C-B7BF-A20163093CD1}"/>
    <cellStyle name="Input 2 4 2 10 2 2" xfId="33818" xr:uid="{5305AF17-BCE8-4D6D-A13A-96B70E9FA908}"/>
    <cellStyle name="Input 2 4 2 10 3" xfId="29054" xr:uid="{31242FAB-3CA3-48B8-AD59-AB7B68B2B90E}"/>
    <cellStyle name="Input 2 4 2 10 3 2" xfId="35899" xr:uid="{CF01F675-ADDF-4E2D-A8D7-C0F59387F3D3}"/>
    <cellStyle name="Input 2 4 2 10 4" xfId="31136" xr:uid="{918D3165-EF95-4D07-BEAE-2D17C86DECD1}"/>
    <cellStyle name="Input 2 4 2 11" xfId="24302" xr:uid="{F9CE9E6A-DABA-4FF2-A3FC-60CF54DBDC56}"/>
    <cellStyle name="Input 2 4 2 11 2" xfId="26909" xr:uid="{69AD287D-B239-4261-B954-690F0657F5DD}"/>
    <cellStyle name="Input 2 4 2 11 2 2" xfId="33749" xr:uid="{202FA2C0-1C82-4440-889B-1D9DBD165CEE}"/>
    <cellStyle name="Input 2 4 2 11 3" xfId="28985" xr:uid="{2A820B72-C289-438B-B2E6-705728B50447}"/>
    <cellStyle name="Input 2 4 2 11 3 2" xfId="35830" xr:uid="{56F56E84-EF9C-44FB-92D4-3FD419145571}"/>
    <cellStyle name="Input 2 4 2 11 4" xfId="31067" xr:uid="{CBD1E2A9-8E17-4160-A9AC-8EC394A2E296}"/>
    <cellStyle name="Input 2 4 2 12" xfId="25691" xr:uid="{A82FE571-AC7F-4F4F-BF97-D847FC9B43D0}"/>
    <cellStyle name="Input 2 4 2 12 2" xfId="28358" xr:uid="{C2C3FF56-F8E3-497A-A568-FFF138B26C92}"/>
    <cellStyle name="Input 2 4 2 12 2 2" xfId="35203" xr:uid="{50548ED1-A0F5-48D3-A259-3BCE9AC50FFB}"/>
    <cellStyle name="Input 2 4 2 12 3" xfId="30439" xr:uid="{48F74D5F-09CA-4C25-B88D-0D18BAD505F4}"/>
    <cellStyle name="Input 2 4 2 12 3 2" xfId="37284" xr:uid="{1DB88554-A44F-4A83-8391-D22AE6652764}"/>
    <cellStyle name="Input 2 4 2 12 4" xfId="32521" xr:uid="{68533ECF-DFFC-4625-8B4E-FDC7753BA454}"/>
    <cellStyle name="Input 2 4 2 13" xfId="25778" xr:uid="{8AE312CA-6216-49FE-B080-9779EE2E52C2}"/>
    <cellStyle name="Input 2 4 2 13 2" xfId="28444" xr:uid="{7804D19F-11CF-4E02-BCCE-EA288232F5D1}"/>
    <cellStyle name="Input 2 4 2 13 2 2" xfId="35289" xr:uid="{398CAF98-22ED-4AAC-BF4B-955A49125FC9}"/>
    <cellStyle name="Input 2 4 2 13 3" xfId="30525" xr:uid="{5BBB2652-856E-44F1-9894-7504FF4F819A}"/>
    <cellStyle name="Input 2 4 2 13 3 2" xfId="37370" xr:uid="{6D2ECA80-1917-4F1C-A0B8-A2308CDA18B4}"/>
    <cellStyle name="Input 2 4 2 13 4" xfId="32607" xr:uid="{84A562D7-7814-4AF0-832A-FA08A772BFE3}"/>
    <cellStyle name="Input 2 4 2 14" xfId="25868" xr:uid="{7CAC4F6D-797F-49B8-8BB8-6C7107ECDF12}"/>
    <cellStyle name="Input 2 4 2 14 2" xfId="28534" xr:uid="{EA8ADEF9-01D7-4E40-A52B-55C06DD782B9}"/>
    <cellStyle name="Input 2 4 2 14 2 2" xfId="35379" xr:uid="{1356770E-7751-4E4D-8EEF-592223DDE965}"/>
    <cellStyle name="Input 2 4 2 14 3" xfId="30615" xr:uid="{F5F55B8A-51DF-41B6-80DD-D4AAF9C82767}"/>
    <cellStyle name="Input 2 4 2 14 3 2" xfId="37460" xr:uid="{DA38861A-9301-4463-AFE3-8ED0E168E948}"/>
    <cellStyle name="Input 2 4 2 14 4" xfId="32697" xr:uid="{2757DAFB-0856-44C5-9458-BA7A16B1BD7A}"/>
    <cellStyle name="Input 2 4 2 15" xfId="24887" xr:uid="{00D9ABAE-9C77-4FFD-87B1-B03DECB40EE9}"/>
    <cellStyle name="Input 2 4 2 15 2" xfId="27555" xr:uid="{3F35A45D-0275-42A4-902F-9DC5AD2042F3}"/>
    <cellStyle name="Input 2 4 2 15 2 2" xfId="34399" xr:uid="{630AF50B-64FC-478A-8FB3-F5F14A997D93}"/>
    <cellStyle name="Input 2 4 2 15 3" xfId="29635" xr:uid="{7E40AC03-A634-48DA-BE5A-00444E1EB50E}"/>
    <cellStyle name="Input 2 4 2 15 3 2" xfId="36480" xr:uid="{92E6A0EF-62C1-4189-9490-C1F0223F117E}"/>
    <cellStyle name="Input 2 4 2 15 4" xfId="31717" xr:uid="{B7B2C82C-8667-4313-9672-73660302BF95}"/>
    <cellStyle name="Input 2 4 2 16" xfId="23073" xr:uid="{8BDD9ACE-02F3-4A6E-8A20-78D19AE42039}"/>
    <cellStyle name="Input 2 4 2 2" xfId="18537" xr:uid="{1DD61F64-62BE-4D79-A0E7-930EA2DCF0E1}"/>
    <cellStyle name="Input 2 4 2 2 10" xfId="22236" xr:uid="{C06C77B2-69AA-43D6-A521-1C5501C6096D}"/>
    <cellStyle name="Input 2 4 2 2 11" xfId="19005" xr:uid="{F219EDCC-537F-4CDF-8680-6FAF6CFBB0BD}"/>
    <cellStyle name="Input 2 4 2 2 12" xfId="18999" xr:uid="{E34CDB76-B9C2-4761-BE16-D730E877DDE1}"/>
    <cellStyle name="Input 2 4 2 2 13" xfId="20376" xr:uid="{38C15C9F-0AD0-4214-9D1D-695A40AC1F15}"/>
    <cellStyle name="Input 2 4 2 2 14" xfId="19202" xr:uid="{F5481CD4-CDC7-4522-92B0-FD9285ACA27A}"/>
    <cellStyle name="Input 2 4 2 2 15" xfId="19528" xr:uid="{B9C253CE-0A94-4AC7-913E-AC177CE1429A}"/>
    <cellStyle name="Input 2 4 2 2 16" xfId="31628" xr:uid="{7CBE84F5-77CE-455A-AE64-B42975082791}"/>
    <cellStyle name="Input 2 4 2 2 2" xfId="19884" xr:uid="{EF825B3D-74A3-490B-8467-AF5CF3B1DEC6}"/>
    <cellStyle name="Input 2 4 2 2 2 2" xfId="27466" xr:uid="{8AAA6A44-4517-488A-BE97-C90D50E1A642}"/>
    <cellStyle name="Input 2 4 2 2 2 3" xfId="34310" xr:uid="{47A5DCD1-5B28-41E1-8E59-1867F843F1B6}"/>
    <cellStyle name="Input 2 4 2 2 3" xfId="20028" xr:uid="{43062895-F5E9-428E-85A6-6ACE78816FBF}"/>
    <cellStyle name="Input 2 4 2 2 3 2" xfId="29546" xr:uid="{007B3848-C2AA-449C-A234-C0360F6CB1BC}"/>
    <cellStyle name="Input 2 4 2 2 3 3" xfId="36391" xr:uid="{95B029A0-68D4-472B-808B-85A76DDE1094}"/>
    <cellStyle name="Input 2 4 2 2 4" xfId="19229" xr:uid="{ABC90A84-731D-4390-9F40-C86BE0BDFD40}"/>
    <cellStyle name="Input 2 4 2 2 5" xfId="22056" xr:uid="{B48ABB8D-916E-4F2A-9DDB-6CB3AB2C464E}"/>
    <cellStyle name="Input 2 4 2 2 6" xfId="20292" xr:uid="{503EEAB7-F368-414F-B125-B0697D7F2013}"/>
    <cellStyle name="Input 2 4 2 2 7" xfId="22336" xr:uid="{E3FF302A-7C1F-44EE-A929-CC83E7D71AA1}"/>
    <cellStyle name="Input 2 4 2 2 8" xfId="21283" xr:uid="{AAA1BD19-B1B5-4DEE-B1E9-78994DA67848}"/>
    <cellStyle name="Input 2 4 2 2 9" xfId="21428" xr:uid="{425B6798-551C-4B1D-9E1A-136A792AECB4}"/>
    <cellStyle name="Input 2 4 2 3" xfId="17975" xr:uid="{31EBD53A-D2D3-44B8-B30C-7953D294DE74}"/>
    <cellStyle name="Input 2 4 2 3 2" xfId="27116" xr:uid="{970B0DD5-0A93-4B13-8822-D6A9799FA892}"/>
    <cellStyle name="Input 2 4 2 3 2 2" xfId="33956" xr:uid="{D26937AE-C8B7-42D2-AB62-3498EE2F47DA}"/>
    <cellStyle name="Input 2 4 2 3 3" xfId="29192" xr:uid="{DCE1039C-C8D6-4A1B-B9CA-6520569B0B8B}"/>
    <cellStyle name="Input 2 4 2 3 3 2" xfId="36037" xr:uid="{51418E8B-C504-46AC-86A9-C075E6CCACA4}"/>
    <cellStyle name="Input 2 4 2 3 4" xfId="24506" xr:uid="{5685DEE9-9B64-4CBE-A539-7E09381E9D0F}"/>
    <cellStyle name="Input 2 4 2 3 5" xfId="31274" xr:uid="{813BE06E-639E-4B24-A07A-0888320D1324}"/>
    <cellStyle name="Input 2 4 2 4" xfId="17679" xr:uid="{38B9A386-DA20-47DE-99DA-703A0118FB48}"/>
    <cellStyle name="Input 2 4 2 4 2" xfId="27050" xr:uid="{778F156F-5809-4991-AD19-3CD53D0249EF}"/>
    <cellStyle name="Input 2 4 2 4 2 2" xfId="33890" xr:uid="{85242D01-5016-4C0C-A72E-1E7E15273C39}"/>
    <cellStyle name="Input 2 4 2 4 3" xfId="29126" xr:uid="{224153B8-E41E-47DA-A76F-23D1FD05E168}"/>
    <cellStyle name="Input 2 4 2 4 3 2" xfId="35971" xr:uid="{B69E5CE2-9947-49DC-8084-73B1FC16B60D}"/>
    <cellStyle name="Input 2 4 2 4 4" xfId="24431" xr:uid="{E3112032-C79B-4E93-AAE8-1B5D9AEDEE27}"/>
    <cellStyle name="Input 2 4 2 4 5" xfId="31208" xr:uid="{F2C12F47-99AD-4110-85C3-94F8DF14CE8B}"/>
    <cellStyle name="Input 2 4 2 5" xfId="24351" xr:uid="{7363239D-5A15-411D-9A80-438A1D535864}"/>
    <cellStyle name="Input 2 4 2 5 2" xfId="26957" xr:uid="{93EEB661-B04E-4E0A-B286-7A0D667C83DF}"/>
    <cellStyle name="Input 2 4 2 5 2 2" xfId="33797" xr:uid="{8C60C614-2192-4C6B-ADA8-DABC0A067B8B}"/>
    <cellStyle name="Input 2 4 2 5 3" xfId="29033" xr:uid="{51B80C50-CA1B-456E-874F-A9F3D2AEC607}"/>
    <cellStyle name="Input 2 4 2 5 3 2" xfId="35878" xr:uid="{31B6DFA0-17DE-49B7-B278-CBF24C53BC5A}"/>
    <cellStyle name="Input 2 4 2 5 4" xfId="31115" xr:uid="{51CF6A5A-DEBF-4C8C-84AD-B8AC39D3F152}"/>
    <cellStyle name="Input 2 4 2 6" xfId="23932" xr:uid="{2D18C55F-DD04-47A3-AFA9-4954D20814F1}"/>
    <cellStyle name="Input 2 4 2 6 2" xfId="26550" xr:uid="{D8D9A2F4-DBB2-4404-8331-1DD3095E0CA0}"/>
    <cellStyle name="Input 2 4 2 6 2 2" xfId="33390" xr:uid="{94B81382-1DFD-43BC-8FB7-0C7152F9B07F}"/>
    <cellStyle name="Input 2 4 2 6 3" xfId="26135" xr:uid="{4897B9D5-60E6-4624-8B96-D4052D41CE1C}"/>
    <cellStyle name="Input 2 4 2 6 3 2" xfId="32963" xr:uid="{580535F2-2C7B-40B5-9A9F-F473EC76B16A}"/>
    <cellStyle name="Input 2 4 2 6 4" xfId="23257" xr:uid="{49F0D046-336B-429C-885F-FDE2A21E5ABD}"/>
    <cellStyle name="Input 2 4 2 7" xfId="25262" xr:uid="{0BCBEACE-7394-464E-A553-D6441F31CC38}"/>
    <cellStyle name="Input 2 4 2 7 2" xfId="27933" xr:uid="{D51120D6-1586-4D46-8212-8494F64B3FAE}"/>
    <cellStyle name="Input 2 4 2 7 2 2" xfId="34778" xr:uid="{365E95E8-11FD-494F-A950-018CB38B7340}"/>
    <cellStyle name="Input 2 4 2 7 3" xfId="30014" xr:uid="{7F890C54-6975-4CE5-B45B-C7FBF1207DDE}"/>
    <cellStyle name="Input 2 4 2 7 3 2" xfId="36859" xr:uid="{C5F60DB1-983C-43F4-AA40-541A83B23A05}"/>
    <cellStyle name="Input 2 4 2 7 4" xfId="32096" xr:uid="{82FDBE1A-EA93-48A5-8570-FB4F813AA05A}"/>
    <cellStyle name="Input 2 4 2 8" xfId="24097" xr:uid="{00AAC022-6388-441A-A6CD-7B5CC5FB03D6}"/>
    <cellStyle name="Input 2 4 2 8 2" xfId="26710" xr:uid="{1BDF5B40-7FCB-40D3-8D0D-A5D6D60BCE10}"/>
    <cellStyle name="Input 2 4 2 8 2 2" xfId="33550" xr:uid="{867D8E8C-9F95-4F7E-A4E9-196455F8F4D6}"/>
    <cellStyle name="Input 2 4 2 8 3" xfId="28786" xr:uid="{6F75D4B1-6BF9-45C1-835F-50C99B564623}"/>
    <cellStyle name="Input 2 4 2 8 3 2" xfId="35631" xr:uid="{015A5673-50E3-47DD-B55C-F119F67E5346}"/>
    <cellStyle name="Input 2 4 2 8 4" xfId="30868" xr:uid="{170E4818-1C3D-4A41-9424-C5D8610FD295}"/>
    <cellStyle name="Input 2 4 2 9" xfId="25025" xr:uid="{AD4A1413-847F-4869-9FB5-1456850C0DAA}"/>
    <cellStyle name="Input 2 4 2 9 2" xfId="27698" xr:uid="{F6FDC759-E307-4919-BDDD-67A4EF61F1BA}"/>
    <cellStyle name="Input 2 4 2 9 2 2" xfId="34543" xr:uid="{0C05ABD7-5FB3-41C8-B78E-1CD92F904922}"/>
    <cellStyle name="Input 2 4 2 9 3" xfId="29779" xr:uid="{54A1AB6B-2148-4EEE-9CFE-C705B040BD4F}"/>
    <cellStyle name="Input 2 4 2 9 3 2" xfId="36624" xr:uid="{B9A02850-A3B4-4533-84F1-7E583A0E3B71}"/>
    <cellStyle name="Input 2 4 2 9 4" xfId="31861" xr:uid="{593F46E8-4468-49C7-A664-93C37067BEC6}"/>
    <cellStyle name="Input 2 4 20" xfId="14219" xr:uid="{3DDC63A1-43B8-4BB9-ADBE-4918CF628399}"/>
    <cellStyle name="Input 2 4 21" xfId="40352" xr:uid="{8DB0F215-CB8D-4972-99FF-53836D017BE1}"/>
    <cellStyle name="Input 2 4 22" xfId="49170" xr:uid="{4ACD5BE7-E8E1-4DB9-8C55-99F8B38CB3DF}"/>
    <cellStyle name="Input 2 4 23" xfId="49519" xr:uid="{DACBAF1D-82B4-4D88-9E65-A2EFEC3DDF10}"/>
    <cellStyle name="Input 2 4 24" xfId="49866" xr:uid="{EAE3F2FE-0A46-4934-86EE-7C60479119D5}"/>
    <cellStyle name="Input 2 4 3" xfId="2481" xr:uid="{00000000-0005-0000-0000-0000CE090000}"/>
    <cellStyle name="Input 2 4 3 10" xfId="16498" xr:uid="{4A64BCC9-1747-4308-B01F-656C1504F245}"/>
    <cellStyle name="Input 2 4 3 2" xfId="18387" xr:uid="{C535555C-CBE9-49FA-B48F-B44F9771D19D}"/>
    <cellStyle name="Input 2 4 3 2 10" xfId="20472" xr:uid="{12B6E425-A9EE-4C15-82D1-C34341BBADC6}"/>
    <cellStyle name="Input 2 4 3 2 11" xfId="18837" xr:uid="{1D24CB17-9231-4E8F-8465-32AF66613EA6}"/>
    <cellStyle name="Input 2 4 3 2 12" xfId="19256" xr:uid="{08937E6B-0805-4015-A69B-8E64CE541C8E}"/>
    <cellStyle name="Input 2 4 3 2 13" xfId="21343" xr:uid="{E2DAD74F-D18D-4FEF-AE50-92AD09A51EC7}"/>
    <cellStyle name="Input 2 4 3 2 14" xfId="21051" xr:uid="{A678C805-1430-4A50-80C0-3A04DE43FC2D}"/>
    <cellStyle name="Input 2 4 3 2 15" xfId="20375" xr:uid="{FF24DD34-33F5-4AF5-BAFF-8DB38E527565}"/>
    <cellStyle name="Input 2 4 3 2 2" xfId="19972" xr:uid="{58119CA3-6D69-4900-A432-B63F759C590C}"/>
    <cellStyle name="Input 2 4 3 2 3" xfId="21109" xr:uid="{F3EEB30E-C7DC-4D25-84D7-12EA382CF992}"/>
    <cellStyle name="Input 2 4 3 2 4" xfId="19712" xr:uid="{60703305-92FD-4A2E-898C-410D1798D5CF}"/>
    <cellStyle name="Input 2 4 3 2 5" xfId="20973" xr:uid="{6380A844-306E-4A4F-8D48-A913382EF141}"/>
    <cellStyle name="Input 2 4 3 2 6" xfId="19470" xr:uid="{0AB668A2-7384-4A0A-A4BD-1BE5C6B7008A}"/>
    <cellStyle name="Input 2 4 3 2 7" xfId="19482" xr:uid="{E14C2F86-DE7B-4969-A4CD-6F51833B825B}"/>
    <cellStyle name="Input 2 4 3 2 8" xfId="21900" xr:uid="{B3F9EF2B-A6C7-4230-B4DD-97665A0E6519}"/>
    <cellStyle name="Input 2 4 3 2 9" xfId="21528" xr:uid="{4EF585A3-48E4-4DA7-BB52-26260FB3C801}"/>
    <cellStyle name="Input 2 4 3 3" xfId="17976" xr:uid="{15E81CEA-5B30-4A07-95A7-BF422E3EE4D0}"/>
    <cellStyle name="Input 2 4 3 4" xfId="23502" xr:uid="{03678D00-3238-42CB-882C-C52D2634EC54}"/>
    <cellStyle name="Input 2 4 3 5" xfId="14965" xr:uid="{9B176D40-68D6-41D8-A7B4-D580631B2811}"/>
    <cellStyle name="Input 2 4 3 6" xfId="14218" xr:uid="{7306FE39-33CE-433C-AF4F-3E046B11AA16}"/>
    <cellStyle name="Input 2 4 3 7" xfId="48784" xr:uid="{AA928ECB-2560-4BF6-BE91-D5C099E0EEE3}"/>
    <cellStyle name="Input 2 4 3 8" xfId="49150" xr:uid="{896C2312-E799-4FA4-ACDC-187DF7F89BFE}"/>
    <cellStyle name="Input 2 4 3 9" xfId="46435" xr:uid="{16760D5A-6FFF-4150-B756-14D8C412522B}"/>
    <cellStyle name="Input 2 4 4" xfId="18386" xr:uid="{0D06B84F-38B2-496F-97D3-824B8B1F78B9}"/>
    <cellStyle name="Input 2 4 4 10" xfId="21392" xr:uid="{573C918B-E858-421B-A795-A4D9603D5EBE}"/>
    <cellStyle name="Input 2 4 4 11" xfId="21721" xr:uid="{554C5018-F0E1-40CE-974C-50BECC5E41E8}"/>
    <cellStyle name="Input 2 4 4 12" xfId="22240" xr:uid="{E1E889E4-AE7F-4384-A084-E2F586625725}"/>
    <cellStyle name="Input 2 4 4 13" xfId="22341" xr:uid="{7B922F22-E495-474A-82E6-9E26BCC41A3F}"/>
    <cellStyle name="Input 2 4 4 14" xfId="20712" xr:uid="{C8C1BA5C-A11A-4009-BEB9-504FC9E1BC22}"/>
    <cellStyle name="Input 2 4 4 15" xfId="23009" xr:uid="{52701195-8FF9-417A-BEB8-29EE78F12FC4}"/>
    <cellStyle name="Input 2 4 4 16" xfId="31146" xr:uid="{4945374F-AC6D-432B-B77D-F57ECBF283EF}"/>
    <cellStyle name="Input 2 4 4 2" xfId="19973" xr:uid="{67AEE364-8A07-4F44-A5D2-07B26F08A1CE}"/>
    <cellStyle name="Input 2 4 4 2 2" xfId="26988" xr:uid="{F17399A4-E1E0-464F-85AF-4B266F470DE2}"/>
    <cellStyle name="Input 2 4 4 2 3" xfId="33828" xr:uid="{95C89018-17E5-483B-9D70-8566AB44F5D7}"/>
    <cellStyle name="Input 2 4 4 3" xfId="21110" xr:uid="{8CD3E10A-5168-4CF5-9AD4-911FB21D77DF}"/>
    <cellStyle name="Input 2 4 4 3 2" xfId="29064" xr:uid="{434FE3EF-9CCD-488C-A925-A1680F2A06C6}"/>
    <cellStyle name="Input 2 4 4 3 3" xfId="35909" xr:uid="{D4FEAE7C-903D-4156-8F1E-CF78B9B2868B}"/>
    <cellStyle name="Input 2 4 4 4" xfId="21736" xr:uid="{C83DA5C0-D034-40CD-9FEB-5C4EA59B153C}"/>
    <cellStyle name="Input 2 4 4 5" xfId="20064" xr:uid="{060AD389-AD0B-4873-B416-6B7BA626B19C}"/>
    <cellStyle name="Input 2 4 4 6" xfId="20692" xr:uid="{F3245FE7-5712-4DE1-A8F4-5120040F5DDA}"/>
    <cellStyle name="Input 2 4 4 7" xfId="20900" xr:uid="{273D37CB-76EF-477A-BF1F-96583C51920A}"/>
    <cellStyle name="Input 2 4 4 8" xfId="20143" xr:uid="{0E9AAC82-9BFD-4ACF-BC0D-4819606D3D79}"/>
    <cellStyle name="Input 2 4 4 9" xfId="21143" xr:uid="{331AD6FF-A2B4-46BE-8808-D2DDAF2194AE}"/>
    <cellStyle name="Input 2 4 5" xfId="17426" xr:uid="{62F9CCC5-1ED6-41FE-86C5-91CA13F57853}"/>
    <cellStyle name="Input 2 4 5 2" xfId="27536" xr:uid="{9E930014-C647-43EE-83B6-97D6EAA61BF8}"/>
    <cellStyle name="Input 2 4 5 2 2" xfId="34380" xr:uid="{BFDB6E6A-DC46-4AE8-987A-B0E5E61D3916}"/>
    <cellStyle name="Input 2 4 5 3" xfId="29616" xr:uid="{42F5BF6C-EBEE-4AF8-879B-A8EE87507005}"/>
    <cellStyle name="Input 2 4 5 3 2" xfId="36461" xr:uid="{9D6F894F-3BBF-4397-8ED5-295854B11866}"/>
    <cellStyle name="Input 2 4 5 4" xfId="24870" xr:uid="{92C6F7B8-CD05-4E03-84DF-0020C76A1DFB}"/>
    <cellStyle name="Input 2 4 5 5" xfId="31698" xr:uid="{992C8951-67A1-4BDF-B85A-21CD536641E2}"/>
    <cellStyle name="Input 2 4 6" xfId="24375" xr:uid="{05796221-381E-4C7D-9391-426BA178B2C9}"/>
    <cellStyle name="Input 2 4 6 2" xfId="26986" xr:uid="{9D01EF01-FA7D-4C4A-A9C3-D3274C078E73}"/>
    <cellStyle name="Input 2 4 6 2 2" xfId="33826" xr:uid="{F1BCFEC4-055C-4206-93BD-AF1EE7C57E85}"/>
    <cellStyle name="Input 2 4 6 3" xfId="29062" xr:uid="{712863F9-408C-43B1-8D3B-AE9E42994A7B}"/>
    <cellStyle name="Input 2 4 6 3 2" xfId="35907" xr:uid="{D67EFD76-AE58-4CD6-AE02-5B35860F10E8}"/>
    <cellStyle name="Input 2 4 6 4" xfId="31144" xr:uid="{27EDF54D-C677-4078-8D29-621C357142E2}"/>
    <cellStyle name="Input 2 4 7" xfId="24935" xr:uid="{0819FE38-2776-46A6-9C36-E9B3506E50F8}"/>
    <cellStyle name="Input 2 4 7 2" xfId="27605" xr:uid="{24FAAC31-1DAE-46FE-AD4D-BF6FA820E569}"/>
    <cellStyle name="Input 2 4 7 2 2" xfId="34449" xr:uid="{F15E74B8-CAF2-4889-A7D6-B239C58DA387}"/>
    <cellStyle name="Input 2 4 7 3" xfId="29685" xr:uid="{981DC71F-6B33-4484-BC72-BA05AA5B050D}"/>
    <cellStyle name="Input 2 4 7 3 2" xfId="36530" xr:uid="{CEACC906-397C-46AD-9829-553F6AF89C12}"/>
    <cellStyle name="Input 2 4 7 4" xfId="31767" xr:uid="{ED3D009F-1EDD-4AE4-9012-58777E1198A7}"/>
    <cellStyle name="Input 2 4 8" xfId="24362" xr:uid="{BB879357-01FC-4365-814D-5117FDDF1661}"/>
    <cellStyle name="Input 2 4 8 2" xfId="26969" xr:uid="{30902FF4-9C58-4684-9895-ADA6ECF1A838}"/>
    <cellStyle name="Input 2 4 8 2 2" xfId="33809" xr:uid="{00DF39A2-BDD9-46F9-8AE2-BE2B297C95AD}"/>
    <cellStyle name="Input 2 4 8 3" xfId="29045" xr:uid="{CCC4A16E-7E34-4D7B-B870-5DE5C2FD6FF6}"/>
    <cellStyle name="Input 2 4 8 3 2" xfId="35890" xr:uid="{92E2608C-C203-4021-BF2F-974BE723BAAB}"/>
    <cellStyle name="Input 2 4 8 4" xfId="31127" xr:uid="{D628F731-846B-408D-8F2D-6CAB93003636}"/>
    <cellStyle name="Input 2 4 9" xfId="23883" xr:uid="{ED7E659C-A410-4AF2-9827-0435A6DDC51D}"/>
    <cellStyle name="Input 2 4 9 2" xfId="26501" xr:uid="{38971519-BEE9-4B04-934A-AF61EF066308}"/>
    <cellStyle name="Input 2 4 9 2 2" xfId="33341" xr:uid="{E2DE4237-F009-4D6F-99B5-7498985A171F}"/>
    <cellStyle name="Input 2 4 9 3" xfId="26183" xr:uid="{08AEB052-92F7-415B-81C0-9849661DC5EC}"/>
    <cellStyle name="Input 2 4 9 3 2" xfId="33011" xr:uid="{CC73DABA-8B83-4293-AF11-4E880070F3E8}"/>
    <cellStyle name="Input 2 4 9 4" xfId="23305" xr:uid="{E21A3E04-250E-4C95-985E-00A361C6B772}"/>
    <cellStyle name="Input 2 5" xfId="2482" xr:uid="{00000000-0005-0000-0000-0000CF090000}"/>
    <cellStyle name="Input 2 5 10" xfId="24304" xr:uid="{E7D5C4A9-1FE1-449E-A759-F483AB6CDC6A}"/>
    <cellStyle name="Input 2 5 10 2" xfId="26911" xr:uid="{2CE401A5-4A41-40BD-80E4-80B4B9E51295}"/>
    <cellStyle name="Input 2 5 10 2 2" xfId="33751" xr:uid="{4EC88A4C-BF1F-40BB-87BB-7EDA80B0A9B5}"/>
    <cellStyle name="Input 2 5 10 3" xfId="28987" xr:uid="{24BBB980-3A86-417E-B083-4951FB88B0F2}"/>
    <cellStyle name="Input 2 5 10 3 2" xfId="35832" xr:uid="{FCEE299F-C1B6-4DAA-833E-2873F1DD00CA}"/>
    <cellStyle name="Input 2 5 10 4" xfId="31069" xr:uid="{F6C41CDF-80AC-4E0E-BA04-A668A6DC7644}"/>
    <cellStyle name="Input 2 5 11" xfId="25035" xr:uid="{0D3F3057-7220-4A7A-9510-323D4DF1B8D2}"/>
    <cellStyle name="Input 2 5 11 2" xfId="27708" xr:uid="{03516304-7091-4116-B9FC-D2022BF5CE3B}"/>
    <cellStyle name="Input 2 5 11 2 2" xfId="34553" xr:uid="{D913B619-EE84-43B9-939B-C7F4B6FA9379}"/>
    <cellStyle name="Input 2 5 11 3" xfId="29789" xr:uid="{496F9D64-5E36-46D6-A019-EA97E5AB3923}"/>
    <cellStyle name="Input 2 5 11 3 2" xfId="36634" xr:uid="{BA3C0B2C-318A-4541-8F0F-4A976FFDF6D1}"/>
    <cellStyle name="Input 2 5 11 4" xfId="31871" xr:uid="{4668283B-E90A-4217-ABC8-D53323D39C81}"/>
    <cellStyle name="Input 2 5 12" xfId="24279" xr:uid="{46AC611A-F00D-430F-934C-A6833DC4802E}"/>
    <cellStyle name="Input 2 5 12 2" xfId="26886" xr:uid="{623471E0-51A2-407B-8610-557C5DA3685E}"/>
    <cellStyle name="Input 2 5 12 2 2" xfId="33726" xr:uid="{2B678CDC-F210-4F0D-8437-351421390DDE}"/>
    <cellStyle name="Input 2 5 12 3" xfId="28962" xr:uid="{8DEAD1CB-4EF8-4E40-84F5-761547FAA713}"/>
    <cellStyle name="Input 2 5 12 3 2" xfId="35807" xr:uid="{06162D05-53BB-444A-A4CD-E60D60211E73}"/>
    <cellStyle name="Input 2 5 12 4" xfId="31044" xr:uid="{8A48C6C9-CD8B-409D-8BAF-2A6C78BCC170}"/>
    <cellStyle name="Input 2 5 13" xfId="24867" xr:uid="{10A07004-BDD3-43AD-8960-DD790E549FB6}"/>
    <cellStyle name="Input 2 5 13 2" xfId="27531" xr:uid="{1DB27729-5A18-4F05-AAC9-26D867443BC3}"/>
    <cellStyle name="Input 2 5 13 2 2" xfId="34375" xr:uid="{F13A215B-1633-4956-BEF1-14B7D13E113C}"/>
    <cellStyle name="Input 2 5 13 3" xfId="29611" xr:uid="{14808AD1-C3CC-4A81-94B7-859B63CF02FB}"/>
    <cellStyle name="Input 2 5 13 3 2" xfId="36456" xr:uid="{9FB47A0E-D246-4D04-9070-B0D859319EAE}"/>
    <cellStyle name="Input 2 5 13 4" xfId="31693" xr:uid="{32FCCC1E-D1BE-4EC6-8A77-DBEB32C916E5}"/>
    <cellStyle name="Input 2 5 14" xfId="24838" xr:uid="{F92FAC22-73AB-410E-8D16-1D18F1ADAA7A}"/>
    <cellStyle name="Input 2 5 14 2" xfId="27498" xr:uid="{9A1DADD5-4947-4F50-BB57-73F8D1DE3D0B}"/>
    <cellStyle name="Input 2 5 14 2 2" xfId="34342" xr:uid="{FD24FFDC-47DE-4DD9-888C-6F049CD85AD8}"/>
    <cellStyle name="Input 2 5 14 3" xfId="29578" xr:uid="{76CCA2E6-B077-4640-B202-045C5E75D083}"/>
    <cellStyle name="Input 2 5 14 3 2" xfId="36423" xr:uid="{FBB3C6E8-862C-4307-B3EF-E7DAEA48F06A}"/>
    <cellStyle name="Input 2 5 14 4" xfId="31660" xr:uid="{9F03756F-8551-4C87-9C39-95AC904810BD}"/>
    <cellStyle name="Input 2 5 15" xfId="25293" xr:uid="{F8BC8D38-D9CD-40CA-B75C-2FD9C8D78E75}"/>
    <cellStyle name="Input 2 5 15 2" xfId="27964" xr:uid="{EB01CD5C-B8D0-46D8-A3D5-D594F3F7AA88}"/>
    <cellStyle name="Input 2 5 15 2 2" xfId="34809" xr:uid="{E8DED87A-8C77-4603-AE20-AB5BAE278D7F}"/>
    <cellStyle name="Input 2 5 15 3" xfId="30045" xr:uid="{DF74FC15-1DB3-4559-BFE5-79BFB48090BF}"/>
    <cellStyle name="Input 2 5 15 3 2" xfId="36890" xr:uid="{37A814F9-E192-4AB2-BF65-E938441ED13A}"/>
    <cellStyle name="Input 2 5 15 4" xfId="32127" xr:uid="{9228FF74-D63D-427B-91B6-1323291ADD60}"/>
    <cellStyle name="Input 2 5 16" xfId="25801" xr:uid="{1B27D1CA-9631-4DAC-9572-2E3068A0C8AF}"/>
    <cellStyle name="Input 2 5 16 2" xfId="28467" xr:uid="{15969EF0-FC5D-46C4-AA15-44227A29EB10}"/>
    <cellStyle name="Input 2 5 16 2 2" xfId="35312" xr:uid="{FCA4D7B0-6322-4D1D-9601-2E8448CDF3B4}"/>
    <cellStyle name="Input 2 5 16 3" xfId="30548" xr:uid="{AD400137-0CB1-4D84-8B49-A8D0D0A1F474}"/>
    <cellStyle name="Input 2 5 16 3 2" xfId="37393" xr:uid="{998F6C97-826D-43F0-9ABE-5160A520D0DC}"/>
    <cellStyle name="Input 2 5 16 4" xfId="32630" xr:uid="{8386094A-F3C5-4A45-8B5C-D0FA409CBA5A}"/>
    <cellStyle name="Input 2 5 17" xfId="25789" xr:uid="{AA74EB74-2763-4ED2-AD03-7F372DA30485}"/>
    <cellStyle name="Input 2 5 17 2" xfId="28455" xr:uid="{9E65A750-0A19-4060-B7C3-62F89142441C}"/>
    <cellStyle name="Input 2 5 17 2 2" xfId="35300" xr:uid="{C182F230-D22D-4B6A-9823-24D8C4CA8994}"/>
    <cellStyle name="Input 2 5 17 3" xfId="30536" xr:uid="{EA26A35D-1A02-4BC3-81DC-95AFB7F4D49D}"/>
    <cellStyle name="Input 2 5 17 3 2" xfId="37381" xr:uid="{1E3ED942-3118-4101-81F2-75BEE3B3AE65}"/>
    <cellStyle name="Input 2 5 17 4" xfId="32618" xr:uid="{FA82A0A8-9CE2-464E-B5CD-F71D6F5F7706}"/>
    <cellStyle name="Input 2 5 18" xfId="25929" xr:uid="{C013F1C6-188C-4A84-A94F-CC2DF5844ED9}"/>
    <cellStyle name="Input 2 5 18 2" xfId="28595" xr:uid="{B326686D-08DC-4E2B-8883-7EFFB3A2AFC9}"/>
    <cellStyle name="Input 2 5 18 2 2" xfId="35440" xr:uid="{431CF41C-46AC-420E-BFA6-40C45E5E3EAD}"/>
    <cellStyle name="Input 2 5 18 3" xfId="30676" xr:uid="{10B5F24D-266C-4B77-AFCE-9211E7912917}"/>
    <cellStyle name="Input 2 5 18 3 2" xfId="37521" xr:uid="{5E6532D5-81D4-4AE4-9C5C-F6CE8085AAC3}"/>
    <cellStyle name="Input 2 5 18 4" xfId="32758" xr:uid="{785CBEEE-EB1E-4B5D-8873-85D5545F1FC0}"/>
    <cellStyle name="Input 2 5 19" xfId="23669" xr:uid="{1EED1533-6689-4137-A5A4-FD7BD103A7C7}"/>
    <cellStyle name="Input 2 5 2" xfId="2483" xr:uid="{00000000-0005-0000-0000-0000D0090000}"/>
    <cellStyle name="Input 2 5 2 10" xfId="24110" xr:uid="{5BC25D85-A4FD-496A-8D9A-CC83D4C86210}"/>
    <cellStyle name="Input 2 5 2 10 2" xfId="26722" xr:uid="{FB72C1B3-BBA3-4600-8CFF-0A14178F591E}"/>
    <cellStyle name="Input 2 5 2 10 2 2" xfId="33562" xr:uid="{DF172084-6F27-4A29-8F73-4BB7D8C8BB81}"/>
    <cellStyle name="Input 2 5 2 10 3" xfId="28798" xr:uid="{A5AF903F-2E2B-44B6-AD81-8964D4BC0187}"/>
    <cellStyle name="Input 2 5 2 10 3 2" xfId="35643" xr:uid="{ABD34F44-FCD5-4164-8D89-E8BAD65D916D}"/>
    <cellStyle name="Input 2 5 2 10 4" xfId="30880" xr:uid="{1C4AB918-8CC4-4CDA-9FB3-4FD2329B3C38}"/>
    <cellStyle name="Input 2 5 2 11" xfId="25257" xr:uid="{67A18C8B-4A1A-46FF-A0BC-3B4AA966658E}"/>
    <cellStyle name="Input 2 5 2 11 2" xfId="27928" xr:uid="{47CAB2B6-C2F4-4D0B-9E8D-6D7B98768198}"/>
    <cellStyle name="Input 2 5 2 11 2 2" xfId="34773" xr:uid="{CE2048D2-BC73-4073-9788-B598E8A14DA2}"/>
    <cellStyle name="Input 2 5 2 11 3" xfId="30009" xr:uid="{46ACFF3B-4A1F-47BE-B797-C10DD5E6CFF5}"/>
    <cellStyle name="Input 2 5 2 11 3 2" xfId="36854" xr:uid="{D6F61568-FAF6-4DAC-9200-45534DE5860E}"/>
    <cellStyle name="Input 2 5 2 11 4" xfId="32091" xr:uid="{059203F7-BB0A-4506-8BC3-65841D4892CD}"/>
    <cellStyle name="Input 2 5 2 12" xfId="25502" xr:uid="{F2C27879-3EBB-4032-8DDF-0C35B174EA3A}"/>
    <cellStyle name="Input 2 5 2 12 2" xfId="28169" xr:uid="{161F71A9-07DE-4554-BFBC-D3DD121F47AA}"/>
    <cellStyle name="Input 2 5 2 12 2 2" xfId="35014" xr:uid="{192E81B4-B45F-45A8-B781-C863E333DA2F}"/>
    <cellStyle name="Input 2 5 2 12 3" xfId="30250" xr:uid="{E15CD00A-55DD-425E-801E-462C8D47C152}"/>
    <cellStyle name="Input 2 5 2 12 3 2" xfId="37095" xr:uid="{C1F27BC7-A11A-4CFC-86DD-83901E740CAC}"/>
    <cellStyle name="Input 2 5 2 12 4" xfId="32332" xr:uid="{65D71B80-699E-4285-8009-AA6905DB944D}"/>
    <cellStyle name="Input 2 5 2 13" xfId="25784" xr:uid="{A636067A-F23C-46A0-B7DF-01856ED9164F}"/>
    <cellStyle name="Input 2 5 2 13 2" xfId="28450" xr:uid="{971DE958-1C76-4B4D-9AA8-BF749B8B1B7E}"/>
    <cellStyle name="Input 2 5 2 13 2 2" xfId="35295" xr:uid="{7D27B22B-91D2-4246-AAD7-D20506CEC24B}"/>
    <cellStyle name="Input 2 5 2 13 3" xfId="30531" xr:uid="{EDB48323-EE15-475D-997B-B946FE244375}"/>
    <cellStyle name="Input 2 5 2 13 3 2" xfId="37376" xr:uid="{25E78199-E2A6-4F17-9FB3-CD170CA3A68E}"/>
    <cellStyle name="Input 2 5 2 13 4" xfId="32613" xr:uid="{B69E25E1-4D74-4A46-8793-208B1D8E8BDB}"/>
    <cellStyle name="Input 2 5 2 14" xfId="25779" xr:uid="{87443B26-547D-4759-9171-415B9CCF767B}"/>
    <cellStyle name="Input 2 5 2 14 2" xfId="28445" xr:uid="{10588F9A-5475-460C-B872-F54EE482F9FA}"/>
    <cellStyle name="Input 2 5 2 14 2 2" xfId="35290" xr:uid="{C3C3DEB9-57DD-42F6-85A4-04C32DF9DDC4}"/>
    <cellStyle name="Input 2 5 2 14 3" xfId="30526" xr:uid="{CA59267D-7C38-482C-87B0-17DD7345AA38}"/>
    <cellStyle name="Input 2 5 2 14 3 2" xfId="37371" xr:uid="{C6A6C176-6CCE-4659-8247-0E5D41E1672D}"/>
    <cellStyle name="Input 2 5 2 14 4" xfId="32608" xr:uid="{69BCD20E-5730-4E67-AB1A-2BC9D1C972DD}"/>
    <cellStyle name="Input 2 5 2 15" xfId="24009" xr:uid="{33B6522F-7CD4-48C8-8F8F-3C6D6A58D658}"/>
    <cellStyle name="Input 2 5 2 15 2" xfId="26626" xr:uid="{4B91222D-01ED-470F-B800-040A397E4928}"/>
    <cellStyle name="Input 2 5 2 15 2 2" xfId="33466" xr:uid="{B84E32C7-C8C9-4FA0-B30E-BC6B08F95E85}"/>
    <cellStyle name="Input 2 5 2 15 3" xfId="26066" xr:uid="{16552A9D-E42F-4915-9FE5-87314310F81C}"/>
    <cellStyle name="Input 2 5 2 15 3 2" xfId="32894" xr:uid="{9DC51FF3-89DC-4BF4-808D-B7354409BD30}"/>
    <cellStyle name="Input 2 5 2 15 4" xfId="30784" xr:uid="{EB29F2BF-358E-46A4-8C7B-D702D8C03935}"/>
    <cellStyle name="Input 2 5 2 16" xfId="25826" xr:uid="{4A695861-E368-4110-9294-47FBAB766062}"/>
    <cellStyle name="Input 2 5 2 16 2" xfId="28492" xr:uid="{349E9424-95B4-430F-A46C-CFA3406AF0F4}"/>
    <cellStyle name="Input 2 5 2 16 2 2" xfId="35337" xr:uid="{3F17AEEE-7CE2-49EC-B044-70E9485FE8E3}"/>
    <cellStyle name="Input 2 5 2 16 3" xfId="30573" xr:uid="{B581298F-33ED-426C-9987-3318D845C3AC}"/>
    <cellStyle name="Input 2 5 2 16 3 2" xfId="37418" xr:uid="{1A70EBBA-434E-4007-9016-1B456443E128}"/>
    <cellStyle name="Input 2 5 2 16 4" xfId="32655" xr:uid="{A10D8C2A-6FAA-4C6A-8140-9D83CD755523}"/>
    <cellStyle name="Input 2 5 2 17" xfId="23633" xr:uid="{AC549AA0-CA43-4022-95DA-A10974603BAF}"/>
    <cellStyle name="Input 2 5 2 2" xfId="17840" xr:uid="{4F01C0F7-0329-439C-AF1F-28B5BFE70B19}"/>
    <cellStyle name="Input 2 5 2 2 10" xfId="25664" xr:uid="{0D010D46-ABBD-401C-B5B7-2E76FF577D84}"/>
    <cellStyle name="Input 2 5 2 2 10 2" xfId="28331" xr:uid="{849E0853-0D6E-4543-B1B9-E6BFE0C068A3}"/>
    <cellStyle name="Input 2 5 2 2 10 2 2" xfId="35176" xr:uid="{CED195E3-E208-4CBC-95E7-E4DEDE6D5653}"/>
    <cellStyle name="Input 2 5 2 2 10 3" xfId="30412" xr:uid="{B03F141F-5CCC-4D37-B5A1-1DCFC571B1B6}"/>
    <cellStyle name="Input 2 5 2 2 10 3 2" xfId="37257" xr:uid="{6E561EF4-D9A7-45E7-A9FA-9706DA2FC20F}"/>
    <cellStyle name="Input 2 5 2 2 10 4" xfId="32494" xr:uid="{BC7D5E3A-1F23-456E-824A-C090730316E1}"/>
    <cellStyle name="Input 2 5 2 2 11" xfId="25769" xr:uid="{983BF9B1-0372-4773-A3C6-71C9E17B2FCF}"/>
    <cellStyle name="Input 2 5 2 2 11 2" xfId="28435" xr:uid="{BBE06374-5B6E-4D30-8B76-38CC56D18F3E}"/>
    <cellStyle name="Input 2 5 2 2 11 2 2" xfId="35280" xr:uid="{5A714F50-8EEC-478A-98D8-4FC55854026B}"/>
    <cellStyle name="Input 2 5 2 2 11 3" xfId="30516" xr:uid="{A3CA8756-1F6F-4A46-ADD4-9CD4A6AA9A60}"/>
    <cellStyle name="Input 2 5 2 2 11 3 2" xfId="37361" xr:uid="{D49A95DE-CD85-4528-B2F7-29EF21FE44B2}"/>
    <cellStyle name="Input 2 5 2 2 11 4" xfId="32598" xr:uid="{897EA8EA-51B0-41E4-BEAB-0D50C2642974}"/>
    <cellStyle name="Input 2 5 2 2 12" xfId="25846" xr:uid="{5D0CCEC6-3564-4814-98E9-93AE23500A21}"/>
    <cellStyle name="Input 2 5 2 2 12 2" xfId="28512" xr:uid="{94EC3216-94D2-4EF4-B8C3-45A988A4C235}"/>
    <cellStyle name="Input 2 5 2 2 12 2 2" xfId="35357" xr:uid="{DAFF79D8-3211-46CD-BB09-4CE17B8B0E7D}"/>
    <cellStyle name="Input 2 5 2 2 12 3" xfId="30593" xr:uid="{E78653F6-3A78-4C26-922F-D4C7A6A79C5B}"/>
    <cellStyle name="Input 2 5 2 2 12 3 2" xfId="37438" xr:uid="{CBDD3573-77C1-480D-B87C-8B4F216E4790}"/>
    <cellStyle name="Input 2 5 2 2 12 4" xfId="32675" xr:uid="{494DCADD-E590-4FE0-9D4D-3CD9C1614694}"/>
    <cellStyle name="Input 2 5 2 2 13" xfId="24169" xr:uid="{19691EBD-55A2-4EDB-A642-ED300E581669}"/>
    <cellStyle name="Input 2 5 2 2 13 2" xfId="26780" xr:uid="{2F5167D1-8463-417B-8F51-0B96CBF25FD9}"/>
    <cellStyle name="Input 2 5 2 2 13 2 2" xfId="33620" xr:uid="{67E0E4E8-A154-4B66-A094-6E337394B4EF}"/>
    <cellStyle name="Input 2 5 2 2 13 3" xfId="28856" xr:uid="{743DCCAC-6FCE-4A70-A305-06B320CAF978}"/>
    <cellStyle name="Input 2 5 2 2 13 3 2" xfId="35701" xr:uid="{C9A89074-9FD6-43B0-8F9F-B1237D1CCACB}"/>
    <cellStyle name="Input 2 5 2 2 13 4" xfId="30938" xr:uid="{90A6A346-9A3A-4AE0-BB07-925922CA50AF}"/>
    <cellStyle name="Input 2 5 2 2 14" xfId="25974" xr:uid="{6A25FC1F-D7C2-40C4-9A2E-745FA228F324}"/>
    <cellStyle name="Input 2 5 2 2 14 2" xfId="28640" xr:uid="{CC6F0F14-51AC-4C2E-8F4B-0E56CC7F86C4}"/>
    <cellStyle name="Input 2 5 2 2 14 2 2" xfId="35485" xr:uid="{9395DE22-A4F0-4C83-B8B1-FA1A8F20331F}"/>
    <cellStyle name="Input 2 5 2 2 14 3" xfId="30721" xr:uid="{8CEF10D7-CF6A-4998-873E-E95C38F3D125}"/>
    <cellStyle name="Input 2 5 2 2 14 3 2" xfId="37566" xr:uid="{7F811897-7AA0-497C-A70C-E7B90ECDBD1F}"/>
    <cellStyle name="Input 2 5 2 2 14 4" xfId="32803" xr:uid="{095C9BF3-0C15-4E4D-B3FF-EFD99622AE41}"/>
    <cellStyle name="Input 2 5 2 2 15" xfId="26028" xr:uid="{DF746D3A-1A3D-497A-86A6-06AE64B035FF}"/>
    <cellStyle name="Input 2 5 2 2 15 2" xfId="28694" xr:uid="{9F7117E1-52F1-43D3-A244-00433569B26F}"/>
    <cellStyle name="Input 2 5 2 2 15 2 2" xfId="35539" xr:uid="{3E734746-D99D-4B2A-9EE0-65A4869B66FF}"/>
    <cellStyle name="Input 2 5 2 2 15 3" xfId="30775" xr:uid="{52FFF6C3-5BE8-4E4A-A2C5-C3BAD3E4ECF0}"/>
    <cellStyle name="Input 2 5 2 2 15 3 2" xfId="37620" xr:uid="{5D53570E-12AA-4BCA-9AD0-A82F0793C143}"/>
    <cellStyle name="Input 2 5 2 2 15 4" xfId="32857" xr:uid="{E9C14B45-9811-4284-BC81-ED050D691054}"/>
    <cellStyle name="Input 2 5 2 2 16" xfId="23544" xr:uid="{A0F6FFAD-E400-4F84-A4BE-EDC38510F6CC}"/>
    <cellStyle name="Input 2 5 2 2 2" xfId="18434" xr:uid="{31B122EA-96D0-45B4-A635-AE88F22E5BFD}"/>
    <cellStyle name="Input 2 5 2 2 2 10" xfId="19449" xr:uid="{5B3F8ABB-D909-41A8-A6F1-C46127FAC9E1}"/>
    <cellStyle name="Input 2 5 2 2 2 11" xfId="22433" xr:uid="{5A285E96-DA3B-4618-A6B1-3B7F9298417F}"/>
    <cellStyle name="Input 2 5 2 2 2 12" xfId="20921" xr:uid="{BCC83DB5-1303-4FC9-A5B3-5C53C99ED5D6}"/>
    <cellStyle name="Input 2 5 2 2 2 13" xfId="19224" xr:uid="{380C69F4-79F7-4C87-AFB4-69042FD1E855}"/>
    <cellStyle name="Input 2 5 2 2 2 14" xfId="19064" xr:uid="{5011B0EF-7A4E-4A22-91A2-20CC8C1AF852}"/>
    <cellStyle name="Input 2 5 2 2 2 15" xfId="21932" xr:uid="{D8111386-9CE5-441F-BB98-A1D35B94E8F5}"/>
    <cellStyle name="Input 2 5 2 2 2 16" xfId="23374" xr:uid="{2E20AE55-6EAF-45B4-A903-FB738201DD62}"/>
    <cellStyle name="Input 2 5 2 2 2 2" xfId="19939" xr:uid="{53DC21E1-2CF2-4E29-AF0E-B824A274D2C2}"/>
    <cellStyle name="Input 2 5 2 2 2 2 2" xfId="26430" xr:uid="{2316D129-EC91-42B2-8AED-ACCF6F01F5DB}"/>
    <cellStyle name="Input 2 5 2 2 2 2 3" xfId="33270" xr:uid="{07088735-D888-4D21-8986-804C235DD265}"/>
    <cellStyle name="Input 2 5 2 2 2 3" xfId="21087" xr:uid="{154132A1-90EA-4953-9EF0-968C758524C8}"/>
    <cellStyle name="Input 2 5 2 2 2 3 2" xfId="26252" xr:uid="{3D0AE074-2816-4896-9F72-5A3015BEF628}"/>
    <cellStyle name="Input 2 5 2 2 2 3 3" xfId="33080" xr:uid="{4E42767E-19B9-4122-A9B7-DE79072DF8C6}"/>
    <cellStyle name="Input 2 5 2 2 2 4" xfId="20087" xr:uid="{D31086C8-F743-4060-BE64-6722812A7C94}"/>
    <cellStyle name="Input 2 5 2 2 2 5" xfId="19701" xr:uid="{5B95A67B-7C04-4296-AB31-188E7F5FC605}"/>
    <cellStyle name="Input 2 5 2 2 2 6" xfId="21891" xr:uid="{A1584998-2E65-4AA7-896D-96FDE288A59D}"/>
    <cellStyle name="Input 2 5 2 2 2 7" xfId="21914" xr:uid="{11654A12-2CF0-420A-BAED-1E6D94D262FF}"/>
    <cellStyle name="Input 2 5 2 2 2 8" xfId="21967" xr:uid="{FDCF533D-FB86-47FE-873D-92AEC660719E}"/>
    <cellStyle name="Input 2 5 2 2 2 9" xfId="22303" xr:uid="{97F2CFDC-730F-48B4-8C12-0E68E56FED78}"/>
    <cellStyle name="Input 2 5 2 2 3" xfId="24188" xr:uid="{39D6B854-6973-4FDC-B13F-1652492E1E1B}"/>
    <cellStyle name="Input 2 5 2 2 3 2" xfId="26798" xr:uid="{6C6C4FE9-B5B3-41DA-8A3B-32F912C9EC54}"/>
    <cellStyle name="Input 2 5 2 2 3 2 2" xfId="33638" xr:uid="{1F239EEB-8EFF-4DA8-A8F7-7EDA60F6EC85}"/>
    <cellStyle name="Input 2 5 2 2 3 3" xfId="28874" xr:uid="{FE1D6238-D5E1-403B-9136-DA9A7A5C4808}"/>
    <cellStyle name="Input 2 5 2 2 3 3 2" xfId="35719" xr:uid="{1E60E599-E53A-4B9D-9FAC-3C526E7EB14F}"/>
    <cellStyle name="Input 2 5 2 2 3 4" xfId="30956" xr:uid="{E56BC263-7F6F-494D-8C74-A9C67E4F8CAB}"/>
    <cellStyle name="Input 2 5 2 2 4" xfId="25120" xr:uid="{997BB823-5E2B-4365-83B2-BB0428C69177}"/>
    <cellStyle name="Input 2 5 2 2 4 2" xfId="27792" xr:uid="{78AF9F37-EEEC-420F-8221-06E8844EC1DB}"/>
    <cellStyle name="Input 2 5 2 2 4 2 2" xfId="34637" xr:uid="{7E173AD7-754B-4F3E-BE45-DF2067A69882}"/>
    <cellStyle name="Input 2 5 2 2 4 3" xfId="29873" xr:uid="{E610A350-4453-4E87-A8E0-0C253B737F76}"/>
    <cellStyle name="Input 2 5 2 2 4 3 2" xfId="36718" xr:uid="{D359B518-FE6E-4C2A-AB9B-EE643312C47F}"/>
    <cellStyle name="Input 2 5 2 2 4 4" xfId="31955" xr:uid="{FD669E8F-DDD5-42BE-9032-1894C2DE3465}"/>
    <cellStyle name="Input 2 5 2 2 5" xfId="25049" xr:uid="{9634BD41-2EBB-40DA-BA96-2590C9F64216}"/>
    <cellStyle name="Input 2 5 2 2 5 2" xfId="27721" xr:uid="{F610592E-97DF-4E77-9710-E3E483D5EA77}"/>
    <cellStyle name="Input 2 5 2 2 5 2 2" xfId="34566" xr:uid="{E8E848EF-982D-4CB8-B080-09B5F8E98B8A}"/>
    <cellStyle name="Input 2 5 2 2 5 3" xfId="29802" xr:uid="{5F9814B2-6C13-44F0-BBC5-A3472D21D160}"/>
    <cellStyle name="Input 2 5 2 2 5 3 2" xfId="36647" xr:uid="{FE55EF3D-A056-4513-B89C-53967099E444}"/>
    <cellStyle name="Input 2 5 2 2 5 4" xfId="31884" xr:uid="{76335923-8330-4614-9FBA-5ED0C5558B03}"/>
    <cellStyle name="Input 2 5 2 2 6" xfId="25019" xr:uid="{4D6CDB39-6008-4860-A928-C2B5B4822421}"/>
    <cellStyle name="Input 2 5 2 2 6 2" xfId="27691" xr:uid="{74A2C6F6-20A8-4D80-93BE-ED41887FF0C2}"/>
    <cellStyle name="Input 2 5 2 2 6 2 2" xfId="34536" xr:uid="{4E61A8B7-1A6D-4053-8A11-236138C3F348}"/>
    <cellStyle name="Input 2 5 2 2 6 3" xfId="29772" xr:uid="{D86300FA-61D7-410F-BAF2-F89ED1537007}"/>
    <cellStyle name="Input 2 5 2 2 6 3 2" xfId="36617" xr:uid="{D17FB10F-C7F9-4D48-A89F-2872265C9571}"/>
    <cellStyle name="Input 2 5 2 2 6 4" xfId="31854" xr:uid="{4E019143-77CD-4B64-8E50-C16F8D32230D}"/>
    <cellStyle name="Input 2 5 2 2 7" xfId="23756" xr:uid="{AA6FED45-AED7-46E6-9D53-648CA7E04B51}"/>
    <cellStyle name="Input 2 5 2 2 7 2" xfId="26367" xr:uid="{1D1345EC-7CBD-4281-A00A-B1195E6B2292}"/>
    <cellStyle name="Input 2 5 2 2 7 2 2" xfId="33206" xr:uid="{784C3F67-936A-4888-9488-44EE70F3F7F1}"/>
    <cellStyle name="Input 2 5 2 2 7 3" xfId="26315" xr:uid="{FFB92AB9-9B94-4980-8C6D-28A5A81D2DBC}"/>
    <cellStyle name="Input 2 5 2 2 7 3 2" xfId="33143" xr:uid="{032FCDDA-1A43-42B1-8D9D-21A605CECAD2}"/>
    <cellStyle name="Input 2 5 2 2 7 4" xfId="23437" xr:uid="{ADF096DD-BE53-449A-B34D-3FA99D85A6FA}"/>
    <cellStyle name="Input 2 5 2 2 8" xfId="24263" xr:uid="{54F1268F-40E1-4DD5-926F-17E4B2295D0A}"/>
    <cellStyle name="Input 2 5 2 2 8 2" xfId="26870" xr:uid="{20755646-C347-4C54-8B80-37584BB65943}"/>
    <cellStyle name="Input 2 5 2 2 8 2 2" xfId="33710" xr:uid="{42BADEEF-12CB-4A74-9E3A-EF0930FB9CC9}"/>
    <cellStyle name="Input 2 5 2 2 8 3" xfId="28946" xr:uid="{A956B423-F600-40D2-B40D-D8CB816CA24F}"/>
    <cellStyle name="Input 2 5 2 2 8 3 2" xfId="35791" xr:uid="{67A784B1-2397-40BE-A4FF-5239CAF055C4}"/>
    <cellStyle name="Input 2 5 2 2 8 4" xfId="31028" xr:uid="{750EFA47-1021-477E-BBE8-ADC0B8E04036}"/>
    <cellStyle name="Input 2 5 2 2 9" xfId="25337" xr:uid="{FF5E77DC-F276-4199-B920-7EE3D218C1BC}"/>
    <cellStyle name="Input 2 5 2 2 9 2" xfId="28005" xr:uid="{2EA7C4F6-2256-46D1-8306-C7EAE3BD23F1}"/>
    <cellStyle name="Input 2 5 2 2 9 2 2" xfId="34850" xr:uid="{C38CBCB0-A7AA-4234-9195-9898BD9B2BD3}"/>
    <cellStyle name="Input 2 5 2 2 9 3" xfId="30086" xr:uid="{94CBF5F0-5487-4BC9-B408-02E15F585B94}"/>
    <cellStyle name="Input 2 5 2 2 9 3 2" xfId="36931" xr:uid="{99086FC4-7A5A-45C6-96EC-84F4D95A2C4B}"/>
    <cellStyle name="Input 2 5 2 2 9 4" xfId="32168" xr:uid="{A07B1859-F557-4050-85D5-E38A31560DC0}"/>
    <cellStyle name="Input 2 5 2 3" xfId="18610" xr:uid="{D3DD7C9D-A6FA-4807-AD3F-095A99AC8260}"/>
    <cellStyle name="Input 2 5 2 3 10" xfId="21415" xr:uid="{A71935AA-5223-4F31-B1B4-49FFA40FE567}"/>
    <cellStyle name="Input 2 5 2 3 11" xfId="22374" xr:uid="{AD940431-0314-430E-AF42-6820D5256125}"/>
    <cellStyle name="Input 2 5 2 3 12" xfId="22746" xr:uid="{B20797B8-F614-4E42-B003-79EE662B8C8E}"/>
    <cellStyle name="Input 2 5 2 3 13" xfId="21260" xr:uid="{D306ECF1-E03F-443B-8B67-A04292AECA9C}"/>
    <cellStyle name="Input 2 5 2 3 14" xfId="22882" xr:uid="{7921A826-5050-42DB-9191-A2E763C31D4E}"/>
    <cellStyle name="Input 2 5 2 3 15" xfId="22657" xr:uid="{8D693780-0BF8-4641-9AB0-D0600B616002}"/>
    <cellStyle name="Input 2 5 2 3 16" xfId="31318" xr:uid="{0A214A87-D525-4B24-8307-F09C277B13F9}"/>
    <cellStyle name="Input 2 5 2 3 2" xfId="19857" xr:uid="{B9E1050E-0F1A-4621-AE35-A6BD772D2A92}"/>
    <cellStyle name="Input 2 5 2 3 2 2" xfId="27159" xr:uid="{9AAB5068-36FE-40CA-BDE0-82346E4316CF}"/>
    <cellStyle name="Input 2 5 2 3 2 3" xfId="34000" xr:uid="{59BC32D9-5DA9-427D-882C-D19E340C3F40}"/>
    <cellStyle name="Input 2 5 2 3 3" xfId="21738" xr:uid="{B35539BE-945C-4BE6-AA97-C384A480C292}"/>
    <cellStyle name="Input 2 5 2 3 3 2" xfId="29236" xr:uid="{59B81093-CB56-46A6-9285-9182365B3ED8}"/>
    <cellStyle name="Input 2 5 2 3 3 3" xfId="36081" xr:uid="{6B37B056-E440-4CA6-8275-F9201386F2C7}"/>
    <cellStyle name="Input 2 5 2 3 4" xfId="20582" xr:uid="{0CF4BA46-6269-496F-9DFA-CEBAB9D89C5A}"/>
    <cellStyle name="Input 2 5 2 3 5" xfId="22149" xr:uid="{E9A787EA-120D-4FA9-BB61-642EED4D0137}"/>
    <cellStyle name="Input 2 5 2 3 6" xfId="20498" xr:uid="{5ACF16E6-5F55-4D17-845F-4E305B0BE23D}"/>
    <cellStyle name="Input 2 5 2 3 7" xfId="20534" xr:uid="{F47B7555-5A14-4484-A3DE-2E0DF7250500}"/>
    <cellStyle name="Input 2 5 2 3 8" xfId="20449" xr:uid="{C58562E6-D03C-4908-8DE3-AE244BC2C401}"/>
    <cellStyle name="Input 2 5 2 3 9" xfId="22483" xr:uid="{47D46D06-DAA3-4B66-BEC5-B7E433A1753A}"/>
    <cellStyle name="Input 2 5 2 4" xfId="17977" xr:uid="{C5D5E3B8-E117-463D-B665-9C2E2BFAAA0D}"/>
    <cellStyle name="Input 2 5 2 4 2" xfId="27702" xr:uid="{067256EF-3A45-420D-8D48-914456DCB503}"/>
    <cellStyle name="Input 2 5 2 4 2 2" xfId="34547" xr:uid="{08884FA7-4FA4-4434-8020-DD2921BD630C}"/>
    <cellStyle name="Input 2 5 2 4 3" xfId="29783" xr:uid="{F3BDA9DC-010A-4611-A5CB-E1B80C05589A}"/>
    <cellStyle name="Input 2 5 2 4 3 2" xfId="36628" xr:uid="{B032FC9E-31E3-4630-ABB5-A9CDFB1C2739}"/>
    <cellStyle name="Input 2 5 2 4 4" xfId="25029" xr:uid="{3A2F3520-A568-4AFC-92EB-9BA66235E1FB}"/>
    <cellStyle name="Input 2 5 2 4 5" xfId="31865" xr:uid="{2ECFBA9C-7FE9-42EB-AA66-157F87A93967}"/>
    <cellStyle name="Input 2 5 2 5" xfId="17569" xr:uid="{8FCD7C6A-EEB1-471A-8F61-87B0CD7C4E8D}"/>
    <cellStyle name="Input 2 5 2 5 2" xfId="26437" xr:uid="{6210450F-5746-4EDD-A5B7-CA76AADF62C1}"/>
    <cellStyle name="Input 2 5 2 5 2 2" xfId="33277" xr:uid="{27AB0456-FA48-44AB-BF7F-6416AF05777E}"/>
    <cellStyle name="Input 2 5 2 5 3" xfId="26245" xr:uid="{07964434-132B-431E-A00F-3F19412E9E97}"/>
    <cellStyle name="Input 2 5 2 5 3 2" xfId="33073" xr:uid="{0F5FE8BD-176E-4ADB-9A2E-2EB769973D2F}"/>
    <cellStyle name="Input 2 5 2 5 4" xfId="23818" xr:uid="{9669B4E3-E653-4950-9807-DACE3C07AC74}"/>
    <cellStyle name="Input 2 5 2 5 5" xfId="23367" xr:uid="{01D378DC-D7B2-49C0-A4BC-D561722BA181}"/>
    <cellStyle name="Input 2 5 2 6" xfId="25256" xr:uid="{9C967A52-1D6C-4726-A074-88651DD126E7}"/>
    <cellStyle name="Input 2 5 2 6 2" xfId="27927" xr:uid="{FFBAA34D-A782-4745-88E3-02C29DF08460}"/>
    <cellStyle name="Input 2 5 2 6 2 2" xfId="34772" xr:uid="{1DDBFCC1-E17F-4C50-BA83-8DA3D93FD83C}"/>
    <cellStyle name="Input 2 5 2 6 3" xfId="30008" xr:uid="{F1E8268C-5607-4007-B004-0F03226A7417}"/>
    <cellStyle name="Input 2 5 2 6 3 2" xfId="36853" xr:uid="{1E153A1E-028E-4A61-80E9-499DA2DC2B67}"/>
    <cellStyle name="Input 2 5 2 6 4" xfId="32090" xr:uid="{4AF7C9C1-13D7-4F63-8D92-6736E66E90DC}"/>
    <cellStyle name="Input 2 5 2 7" xfId="24450" xr:uid="{3204FFB6-7F4C-4CDC-BA5B-AF42ED1CE35F}"/>
    <cellStyle name="Input 2 5 2 7 2" xfId="27065" xr:uid="{54056D92-54D6-4449-9079-EF17B7D42714}"/>
    <cellStyle name="Input 2 5 2 7 2 2" xfId="33905" xr:uid="{4729833F-C20D-47BD-B353-12D0EECFD1BF}"/>
    <cellStyle name="Input 2 5 2 7 3" xfId="29141" xr:uid="{AEF928FC-A7C9-4EF3-8533-8F83FFFE2839}"/>
    <cellStyle name="Input 2 5 2 7 3 2" xfId="35986" xr:uid="{86598FA5-9788-4F92-8921-709B5C03D4B7}"/>
    <cellStyle name="Input 2 5 2 7 4" xfId="31223" xr:uid="{F58130B5-CD8E-4DFD-827F-C2D2A1157E44}"/>
    <cellStyle name="Input 2 5 2 8" xfId="25423" xr:uid="{310522EA-6EC8-40EB-A5E4-6E7C00B84A70}"/>
    <cellStyle name="Input 2 5 2 8 2" xfId="28090" xr:uid="{74D34F11-6145-4C5D-A43A-4E3697A2E231}"/>
    <cellStyle name="Input 2 5 2 8 2 2" xfId="34935" xr:uid="{901A8698-9BCC-4956-8374-DD83C6A62D6F}"/>
    <cellStyle name="Input 2 5 2 8 3" xfId="30171" xr:uid="{CEAB8000-A8CD-483B-8ADC-D08BDF511EFB}"/>
    <cellStyle name="Input 2 5 2 8 3 2" xfId="37016" xr:uid="{E79E351E-F0B9-4445-B9FB-7D753E4F33C2}"/>
    <cellStyle name="Input 2 5 2 8 4" xfId="32253" xr:uid="{385B3E32-4CCD-4392-B632-B550551C8888}"/>
    <cellStyle name="Input 2 5 2 9" xfId="25417" xr:uid="{0AD8EEE4-DEE5-4806-9857-137403A994E6}"/>
    <cellStyle name="Input 2 5 2 9 2" xfId="28084" xr:uid="{B78AC08C-AB14-44EE-9D41-4AA22F44EAEE}"/>
    <cellStyle name="Input 2 5 2 9 2 2" xfId="34929" xr:uid="{29F0EED3-2F1A-4A61-A628-45FB0383EC77}"/>
    <cellStyle name="Input 2 5 2 9 3" xfId="30165" xr:uid="{C0B66994-62EB-40C9-A50F-14B163666868}"/>
    <cellStyle name="Input 2 5 2 9 3 2" xfId="37010" xr:uid="{09DEF239-60F2-4F75-912E-59EFB5E9F40A}"/>
    <cellStyle name="Input 2 5 2 9 4" xfId="32247" xr:uid="{96BCEE7E-9FBF-482D-8669-CCE82C390A4A}"/>
    <cellStyle name="Input 2 5 20" xfId="14966" xr:uid="{E8C4DF66-FC75-440D-A2DA-26970B3FA36E}"/>
    <cellStyle name="Input 2 5 21" xfId="14217" xr:uid="{2FDDEF4B-ABD2-480A-A948-622F432EFDE9}"/>
    <cellStyle name="Input 2 5 22" xfId="47864" xr:uid="{01676893-97F9-4A7E-91C5-9C2CA76504A9}"/>
    <cellStyle name="Input 2 5 23" xfId="48788" xr:uid="{1EB714DE-421F-4D6C-A6B0-DA685BCCCC85}"/>
    <cellStyle name="Input 2 5 24" xfId="14248" xr:uid="{1CD1C5C2-9B7A-4B46-A43A-E247C037329A}"/>
    <cellStyle name="Input 2 5 25" xfId="46134" xr:uid="{66230D36-4975-4715-B358-D5E7ADF45E2F}"/>
    <cellStyle name="Input 2 5 3" xfId="2484" xr:uid="{00000000-0005-0000-0000-0000D1090000}"/>
    <cellStyle name="Input 2 5 3 10" xfId="25634" xr:uid="{8A3BF673-569B-4B0E-8941-F6D7219120C2}"/>
    <cellStyle name="Input 2 5 3 10 2" xfId="28301" xr:uid="{1EBCF0AC-B523-4C68-B9FF-B10CF876FF7C}"/>
    <cellStyle name="Input 2 5 3 10 2 2" xfId="35146" xr:uid="{80AD583A-020F-4CCE-8069-892EDEF85160}"/>
    <cellStyle name="Input 2 5 3 10 3" xfId="30382" xr:uid="{2DC915CD-BB5A-457E-BDF4-62064C0B8D38}"/>
    <cellStyle name="Input 2 5 3 10 3 2" xfId="37227" xr:uid="{113D6626-873C-4F42-8DDC-95B1C8042691}"/>
    <cellStyle name="Input 2 5 3 10 4" xfId="32464" xr:uid="{33788B29-7657-4A0B-A3D9-58ED6F3D94FE}"/>
    <cellStyle name="Input 2 5 3 11" xfId="25739" xr:uid="{E110EB12-C1AD-4EEE-AF2C-639A59CC9F1E}"/>
    <cellStyle name="Input 2 5 3 11 2" xfId="28406" xr:uid="{C98C334D-368B-4A9A-B25C-5D7A2A1647B5}"/>
    <cellStyle name="Input 2 5 3 11 2 2" xfId="35251" xr:uid="{E6F283C3-7FE6-47A0-985A-EC980D4295D9}"/>
    <cellStyle name="Input 2 5 3 11 3" xfId="30487" xr:uid="{71E93F10-03CD-4136-8C30-241B3BAC1B83}"/>
    <cellStyle name="Input 2 5 3 11 3 2" xfId="37332" xr:uid="{8B5B342A-65F8-4064-8C22-B39EB083A764}"/>
    <cellStyle name="Input 2 5 3 11 4" xfId="32569" xr:uid="{6E478993-A40B-4BB5-9364-D758150E817A}"/>
    <cellStyle name="Input 2 5 3 12" xfId="25813" xr:uid="{7860B5BF-057B-42EB-8ACF-FE3ED1396493}"/>
    <cellStyle name="Input 2 5 3 12 2" xfId="28479" xr:uid="{F0FBC479-1F96-4667-9711-815307D0F286}"/>
    <cellStyle name="Input 2 5 3 12 2 2" xfId="35324" xr:uid="{77984FAB-6E5A-4CE2-8C15-643D1AFB66B4}"/>
    <cellStyle name="Input 2 5 3 12 3" xfId="30560" xr:uid="{C2F09FDD-96D2-44EE-8AAD-425BADBFDCAB}"/>
    <cellStyle name="Input 2 5 3 12 3 2" xfId="37405" xr:uid="{10EC6C61-31F2-4BA3-8518-BCA8841AF3E4}"/>
    <cellStyle name="Input 2 5 3 12 4" xfId="32642" xr:uid="{90D0F8A9-2A31-4439-AE65-62BDEFB2C055}"/>
    <cellStyle name="Input 2 5 3 13" xfId="23890" xr:uid="{E5921F49-A575-430F-90FF-0B9A44B25A2E}"/>
    <cellStyle name="Input 2 5 3 13 2" xfId="26508" xr:uid="{4E23A1AA-EEB3-4F69-96E5-821479EA0B7B}"/>
    <cellStyle name="Input 2 5 3 13 2 2" xfId="33348" xr:uid="{1B4B89EB-257C-470E-8A19-253105EA3D67}"/>
    <cellStyle name="Input 2 5 3 13 3" xfId="26176" xr:uid="{3FE64A12-F79A-4026-AB1D-D008995CC606}"/>
    <cellStyle name="Input 2 5 3 13 3 2" xfId="33004" xr:uid="{14BF670C-9841-4453-A006-FD31B2467F66}"/>
    <cellStyle name="Input 2 5 3 13 4" xfId="23298" xr:uid="{C41D9C1C-B93B-43AC-AD2B-53DFAC7DA749}"/>
    <cellStyle name="Input 2 5 3 14" xfId="25945" xr:uid="{89D19D44-BE36-4ABF-9C78-9CFA55DFD9CB}"/>
    <cellStyle name="Input 2 5 3 14 2" xfId="28611" xr:uid="{8328C39F-A163-4ED4-B416-380EDBE9C8E6}"/>
    <cellStyle name="Input 2 5 3 14 2 2" xfId="35456" xr:uid="{A5FB27F5-7CCF-4F47-B5B1-6E2D8DB136B8}"/>
    <cellStyle name="Input 2 5 3 14 3" xfId="30692" xr:uid="{D44DC7F5-9651-4E4D-AEEC-03656623993C}"/>
    <cellStyle name="Input 2 5 3 14 3 2" xfId="37537" xr:uid="{B41DBDA6-01E5-4A7F-ABA7-A4727E57B891}"/>
    <cellStyle name="Input 2 5 3 14 4" xfId="32774" xr:uid="{BE2F6969-9096-480B-AFFA-8A7E9AA98123}"/>
    <cellStyle name="Input 2 5 3 15" xfId="25999" xr:uid="{23C2EEB5-2A27-4E5D-BC2D-0BEA76D8743B}"/>
    <cellStyle name="Input 2 5 3 15 2" xfId="28665" xr:uid="{37251E24-5E2F-4114-9810-77147B03D494}"/>
    <cellStyle name="Input 2 5 3 15 2 2" xfId="35510" xr:uid="{32FE4FE9-BF7F-4AC9-80A3-62F5C9189B99}"/>
    <cellStyle name="Input 2 5 3 15 3" xfId="30746" xr:uid="{31BBCF11-FC90-42C9-8ADD-0581834EBA3C}"/>
    <cellStyle name="Input 2 5 3 15 3 2" xfId="37591" xr:uid="{E48E8115-E8AC-4264-BA6E-C1FEABE707D2}"/>
    <cellStyle name="Input 2 5 3 15 4" xfId="32828" xr:uid="{C7216C51-B1D9-4726-BDA0-180ACA96550B}"/>
    <cellStyle name="Input 2 5 3 16" xfId="23189" xr:uid="{CFB5CA4E-7101-4485-B01F-4CBE1AE21AED}"/>
    <cellStyle name="Input 2 5 3 17" xfId="14967" xr:uid="{B23D0E27-AB37-4D6F-BCFE-17196C9120E6}"/>
    <cellStyle name="Input 2 5 3 18" xfId="14216" xr:uid="{B9F02CFB-3689-4415-B347-E7311E27C1C9}"/>
    <cellStyle name="Input 2 5 3 19" xfId="47884" xr:uid="{0DAC653F-4D80-4D6A-A818-86E36F18F3FE}"/>
    <cellStyle name="Input 2 5 3 2" xfId="18389" xr:uid="{B0ED6975-798E-4A6F-93D1-3086080B37C5}"/>
    <cellStyle name="Input 2 5 3 2 10" xfId="20437" xr:uid="{BCD9CEC0-4BB5-46A8-B885-4AD5FD5708AB}"/>
    <cellStyle name="Input 2 5 3 2 11" xfId="19280" xr:uid="{E989ED2C-AEC9-4D1C-953C-8AE685C6BC01}"/>
    <cellStyle name="Input 2 5 3 2 12" xfId="20850" xr:uid="{6E728CEC-30CC-497C-9879-36EA37BC6A81}"/>
    <cellStyle name="Input 2 5 3 2 13" xfId="19815" xr:uid="{BCB2ABC9-56FC-4128-A2C4-B64E2ED6DF6F}"/>
    <cellStyle name="Input 2 5 3 2 14" xfId="19655" xr:uid="{9E314C62-925C-4310-8D3A-C31212CC38B5}"/>
    <cellStyle name="Input 2 5 3 2 15" xfId="22054" xr:uid="{FE7BBFC9-C9C8-4CA1-B090-078319324A3B}"/>
    <cellStyle name="Input 2 5 3 2 16" xfId="31687" xr:uid="{B0FD3F9C-07F6-44A7-BD40-2F6A14940A35}"/>
    <cellStyle name="Input 2 5 3 2 2" xfId="19970" xr:uid="{6CE53AB4-B912-4160-A8DF-55F0BB2394D7}"/>
    <cellStyle name="Input 2 5 3 2 2 2" xfId="27525" xr:uid="{6A7A9036-E13E-4236-AE15-E226D9F19079}"/>
    <cellStyle name="Input 2 5 3 2 2 3" xfId="34369" xr:uid="{9236C003-43C4-418C-8C35-8CF46FB240E4}"/>
    <cellStyle name="Input 2 5 3 2 3" xfId="21107" xr:uid="{96AAB132-C0CD-40DA-BE84-9AA2B7B1B217}"/>
    <cellStyle name="Input 2 5 3 2 3 2" xfId="29605" xr:uid="{4CEF6EBC-4F28-4A2B-B3CF-1AD4C58BC28E}"/>
    <cellStyle name="Input 2 5 3 2 3 3" xfId="36450" xr:uid="{4FE8A61D-B3B9-4E0F-AFD8-8ADAEF0985A1}"/>
    <cellStyle name="Input 2 5 3 2 4" xfId="19155" xr:uid="{14C4A1A8-F06E-4204-826B-BD8485981DDC}"/>
    <cellStyle name="Input 2 5 3 2 5" xfId="20745" xr:uid="{529C2BF4-96F7-4B9B-9F21-9F676E878863}"/>
    <cellStyle name="Input 2 5 3 2 6" xfId="20981" xr:uid="{D389EC85-5F51-43DD-A06A-EC6379DB3F47}"/>
    <cellStyle name="Input 2 5 3 2 7" xfId="21432" xr:uid="{32FC4D86-D752-487A-A1A7-084F14114ECF}"/>
    <cellStyle name="Input 2 5 3 2 8" xfId="20257" xr:uid="{E0ABE3EC-2ABD-4E0D-BC29-D2E25C29F1D7}"/>
    <cellStyle name="Input 2 5 3 2 9" xfId="19249" xr:uid="{B3879AE1-58A8-4017-B03E-9D007E956957}"/>
    <cellStyle name="Input 2 5 3 20" xfId="15082" xr:uid="{A2C47989-F0D3-44DC-B988-71651CA98F04}"/>
    <cellStyle name="Input 2 5 3 21" xfId="14981" xr:uid="{96038585-E6DA-4509-974B-FE1B945FC2FD}"/>
    <cellStyle name="Input 2 5 3 22" xfId="48582" xr:uid="{1B7AAAA2-19EB-4B55-8597-0FFFC5930F62}"/>
    <cellStyle name="Input 2 5 3 3" xfId="17803" xr:uid="{E8D66322-D0AD-41B2-9F5B-BAFAC0883264}"/>
    <cellStyle name="Input 2 5 3 3 2" xfId="26898" xr:uid="{86B2DD03-9337-4A48-AF49-010803B16C58}"/>
    <cellStyle name="Input 2 5 3 3 2 2" xfId="33738" xr:uid="{9A42B0FE-060B-4E77-AAF0-42FD7D55BE98}"/>
    <cellStyle name="Input 2 5 3 3 3" xfId="28974" xr:uid="{6BF409A2-4E7B-4698-A2D5-E4F115CFBFC7}"/>
    <cellStyle name="Input 2 5 3 3 3 2" xfId="35819" xr:uid="{6E948BD5-431B-403B-B8A8-D6456F14D27A}"/>
    <cellStyle name="Input 2 5 3 3 4" xfId="24291" xr:uid="{6532635E-5D32-42B6-BA4D-9A873DDACB63}"/>
    <cellStyle name="Input 2 5 3 3 5" xfId="31056" xr:uid="{37A7DD16-4646-4A67-978F-7B72A68F8547}"/>
    <cellStyle name="Input 2 5 3 4" xfId="25087" xr:uid="{C90B0CA0-140C-40E4-995D-6F603A2148A7}"/>
    <cellStyle name="Input 2 5 3 4 2" xfId="27759" xr:uid="{11E65C9D-73AC-45AD-B61A-E195E163F244}"/>
    <cellStyle name="Input 2 5 3 4 2 2" xfId="34604" xr:uid="{BF78BDF0-4081-49AE-B09B-53323DEBA856}"/>
    <cellStyle name="Input 2 5 3 4 3" xfId="29840" xr:uid="{E3E18901-2BC3-4A67-869D-9AD9C2D75879}"/>
    <cellStyle name="Input 2 5 3 4 3 2" xfId="36685" xr:uid="{D1E9677A-FC20-4118-9F3A-F19F09F5DA6F}"/>
    <cellStyle name="Input 2 5 3 4 4" xfId="31922" xr:uid="{DFB62FA4-2DA6-431B-A279-1FB89A3D730E}"/>
    <cellStyle name="Input 2 5 3 5" xfId="24835" xr:uid="{72AA10E4-B322-41BA-A0AE-B023BDF448AC}"/>
    <cellStyle name="Input 2 5 3 5 2" xfId="27495" xr:uid="{03789F52-7309-49AE-A143-799130F35ABF}"/>
    <cellStyle name="Input 2 5 3 5 2 2" xfId="34339" xr:uid="{EC24DA02-9FC2-41D5-9321-F6F499CAA26F}"/>
    <cellStyle name="Input 2 5 3 5 3" xfId="29575" xr:uid="{25ED4F79-37D3-42FC-9287-23D7E913109D}"/>
    <cellStyle name="Input 2 5 3 5 3 2" xfId="36420" xr:uid="{254E4700-7056-4235-825C-0BAAC36BBE32}"/>
    <cellStyle name="Input 2 5 3 5 4" xfId="31657" xr:uid="{D531CFA7-D209-4CC4-A32E-855DB49E584E}"/>
    <cellStyle name="Input 2 5 3 6" xfId="24399" xr:uid="{C7F3F2B0-BFA6-4075-B93B-C1210C5B7615}"/>
    <cellStyle name="Input 2 5 3 6 2" xfId="27015" xr:uid="{06B6DE19-A14F-4183-A794-76BFA657D503}"/>
    <cellStyle name="Input 2 5 3 6 2 2" xfId="33855" xr:uid="{9EBBE319-FFAE-495E-BF60-9C6293CF09B8}"/>
    <cellStyle name="Input 2 5 3 6 3" xfId="29091" xr:uid="{6753DBC1-D5BA-4BB4-9C07-51CB9F44FBF7}"/>
    <cellStyle name="Input 2 5 3 6 3 2" xfId="35936" xr:uid="{2728E09D-D3D6-4058-9EB8-8217FFC43031}"/>
    <cellStyle name="Input 2 5 3 6 4" xfId="31173" xr:uid="{D414BE78-442D-4000-9593-420304C059DB}"/>
    <cellStyle name="Input 2 5 3 7" xfId="24726" xr:uid="{881F7073-B295-4147-9D72-9274C997C9B6}"/>
    <cellStyle name="Input 2 5 3 7 2" xfId="27373" xr:uid="{2F7EDA1B-5CDE-4B7B-86E1-62B10D7E98E8}"/>
    <cellStyle name="Input 2 5 3 7 2 2" xfId="34217" xr:uid="{BE997BBD-4E1F-4344-8026-25E2602F36E1}"/>
    <cellStyle name="Input 2 5 3 7 3" xfId="29453" xr:uid="{42F465C2-5A41-42E6-A078-791F5CC70EBD}"/>
    <cellStyle name="Input 2 5 3 7 3 2" xfId="36298" xr:uid="{B37116A4-1C27-4243-9591-7CBFF6960A58}"/>
    <cellStyle name="Input 2 5 3 7 4" xfId="31535" xr:uid="{234CC807-A1F8-4641-B73A-F87960D9F5D7}"/>
    <cellStyle name="Input 2 5 3 8" xfId="25443" xr:uid="{1D19986F-ABF4-409D-A23D-880EA11FF424}"/>
    <cellStyle name="Input 2 5 3 8 2" xfId="28110" xr:uid="{75934CBC-5290-4C7A-A468-A50A61E717E2}"/>
    <cellStyle name="Input 2 5 3 8 2 2" xfId="34955" xr:uid="{87493F05-743C-4F2F-9CA7-5DA954F09DCE}"/>
    <cellStyle name="Input 2 5 3 8 3" xfId="30191" xr:uid="{124218FE-FDB0-4DE0-BDD5-60F8C8341301}"/>
    <cellStyle name="Input 2 5 3 8 3 2" xfId="37036" xr:uid="{60289142-D5E2-4494-938B-2D759304100E}"/>
    <cellStyle name="Input 2 5 3 8 4" xfId="32273" xr:uid="{BAD0D96E-3645-45D6-998E-B21355BA99F1}"/>
    <cellStyle name="Input 2 5 3 9" xfId="24212" xr:uid="{275CFBF0-23C8-47F1-B767-394933046A3E}"/>
    <cellStyle name="Input 2 5 3 9 2" xfId="26822" xr:uid="{85BFF398-1FAF-4BBD-9635-F2A9971D5215}"/>
    <cellStyle name="Input 2 5 3 9 2 2" xfId="33662" xr:uid="{32C5A60A-605B-4A6E-A758-E279CF18F7AD}"/>
    <cellStyle name="Input 2 5 3 9 3" xfId="28898" xr:uid="{2D112A8B-E057-4977-8232-CC047CE42EE7}"/>
    <cellStyle name="Input 2 5 3 9 3 2" xfId="35743" xr:uid="{0C82846B-48E5-44A8-B85D-9431CB815B70}"/>
    <cellStyle name="Input 2 5 3 9 4" xfId="30980" xr:uid="{B9C198CD-47BF-4C29-BAC7-526ED82111E8}"/>
    <cellStyle name="Input 2 5 4" xfId="18388" xr:uid="{C766FCFD-E624-4C4E-8FA4-14881666AD8D}"/>
    <cellStyle name="Input 2 5 4 10" xfId="20765" xr:uid="{111BDDCB-854D-4B51-BEFC-BE417557302A}"/>
    <cellStyle name="Input 2 5 4 11" xfId="19331" xr:uid="{2D495AC2-4FA7-476B-BD9F-02DDC1182A06}"/>
    <cellStyle name="Input 2 5 4 12" xfId="19107" xr:uid="{8EED5956-3B30-4674-B436-EB3AE149BFE0}"/>
    <cellStyle name="Input 2 5 4 13" xfId="20263" xr:uid="{B8E8070B-1DD5-414F-8836-B6B8101F165C}"/>
    <cellStyle name="Input 2 5 4 14" xfId="21378" xr:uid="{CACD80B3-2C3A-4E3A-A5C6-AFCEDA0C7DE9}"/>
    <cellStyle name="Input 2 5 4 15" xfId="19667" xr:uid="{4B0124B2-F476-4499-9848-1CEB40CBB2BA}"/>
    <cellStyle name="Input 2 5 4 16" xfId="23503" xr:uid="{35D83BA9-8470-467E-931C-A22A3A4C382F}"/>
    <cellStyle name="Input 2 5 4 2" xfId="19971" xr:uid="{7F671C21-F8F1-4B87-8EAA-D9DFD5BC19E8}"/>
    <cellStyle name="Input 2 5 4 3" xfId="21108" xr:uid="{EAEE1765-17F5-45C5-95C8-97AAE10E0F57}"/>
    <cellStyle name="Input 2 5 4 4" xfId="21671" xr:uid="{6C652FFB-50DB-4974-91AE-982D68420136}"/>
    <cellStyle name="Input 2 5 4 5" xfId="21044" xr:uid="{244A19C8-65AD-4DE5-A2C7-BB512119DDD9}"/>
    <cellStyle name="Input 2 5 4 6" xfId="21981" xr:uid="{8E6DF7CA-08CF-4D7B-82AA-ADF191656E2E}"/>
    <cellStyle name="Input 2 5 4 7" xfId="20215" xr:uid="{D10E34F4-B36D-4870-AB4B-2ADD6AFC7585}"/>
    <cellStyle name="Input 2 5 4 8" xfId="22332" xr:uid="{725D0EE4-841E-44D9-894F-33799B48B91E}"/>
    <cellStyle name="Input 2 5 4 9" xfId="20865" xr:uid="{6019BC5E-4187-41D7-9826-DCBDE89CAB0E}"/>
    <cellStyle name="Input 2 5 5" xfId="17532" xr:uid="{B40D4304-F19B-4D4D-8486-9006A92EF4E3}"/>
    <cellStyle name="Input 2 5 5 2" xfId="27179" xr:uid="{B70AAB65-8C95-4956-AB56-D23ADD01D0AB}"/>
    <cellStyle name="Input 2 5 5 2 2" xfId="34020" xr:uid="{A87AA0C6-BB05-4085-8EF9-A1FE4F3B243F}"/>
    <cellStyle name="Input 2 5 5 3" xfId="29256" xr:uid="{25AA3274-DC62-4E67-94BF-6D0E53268183}"/>
    <cellStyle name="Input 2 5 5 3 2" xfId="36101" xr:uid="{FC18ED25-FA00-4FAD-8C34-862CD725D038}"/>
    <cellStyle name="Input 2 5 5 4" xfId="24596" xr:uid="{70F9B31C-73D7-42F8-9231-298FABC20886}"/>
    <cellStyle name="Input 2 5 5 5" xfId="31338" xr:uid="{D14F551F-A845-4DDB-B287-5081A7AC5993}"/>
    <cellStyle name="Input 2 5 6" xfId="24719" xr:uid="{189154FD-1581-4CAD-9800-8879A4907927}"/>
    <cellStyle name="Input 2 5 6 2" xfId="27366" xr:uid="{F0E88A3A-8448-4277-A686-D8A4F2840D6C}"/>
    <cellStyle name="Input 2 5 6 2 2" xfId="34210" xr:uid="{175F44A7-F833-4C3E-B142-C16B6815B2BB}"/>
    <cellStyle name="Input 2 5 6 3" xfId="29446" xr:uid="{161DE68A-C4D3-47DE-BBB9-9B3F3F2F0CB5}"/>
    <cellStyle name="Input 2 5 6 3 2" xfId="36291" xr:uid="{F9F6A4E0-D3CB-4EE9-9F61-40FBD8A742F9}"/>
    <cellStyle name="Input 2 5 6 4" xfId="31528" xr:uid="{A5D24A9C-5419-4E43-AEE9-A4C4F145D42B}"/>
    <cellStyle name="Input 2 5 7" xfId="23834" xr:uid="{2106CE86-B40F-4A16-9116-8FC5BB8B4F36}"/>
    <cellStyle name="Input 2 5 7 2" xfId="26453" xr:uid="{C7AD9A38-AFD4-4E3A-92D2-7C25F4A87807}"/>
    <cellStyle name="Input 2 5 7 2 2" xfId="33293" xr:uid="{DD57E4EA-1E9E-4F9B-856A-5185CA42F408}"/>
    <cellStyle name="Input 2 5 7 3" xfId="26230" xr:uid="{EC476D00-954C-4F82-93ED-0F8FD52B2B82}"/>
    <cellStyle name="Input 2 5 7 3 2" xfId="33058" xr:uid="{BA223BD5-6452-4C28-AA50-E2E4E291FC9B}"/>
    <cellStyle name="Input 2 5 7 4" xfId="23352" xr:uid="{5243E84A-D9EB-4946-9E0F-2B833D6302A6}"/>
    <cellStyle name="Input 2 5 8" xfId="24400" xr:uid="{BAB04867-BB6A-4092-B1B6-8333DCF99326}"/>
    <cellStyle name="Input 2 5 8 2" xfId="27016" xr:uid="{EDE36471-CA6B-4982-856D-75533F444A14}"/>
    <cellStyle name="Input 2 5 8 2 2" xfId="33856" xr:uid="{34740EA0-15DE-42B8-B9B8-524649D0B689}"/>
    <cellStyle name="Input 2 5 8 3" xfId="29092" xr:uid="{01A3291F-A166-4B7B-98EF-7D0BFDEBA52D}"/>
    <cellStyle name="Input 2 5 8 3 2" xfId="35937" xr:uid="{DF3BA396-B297-4381-882D-440DD84ED9A8}"/>
    <cellStyle name="Input 2 5 8 4" xfId="31174" xr:uid="{C09A905D-6637-4967-AAD8-6BE65C785B67}"/>
    <cellStyle name="Input 2 5 9" xfId="25267" xr:uid="{F53B456F-BDBE-4C53-B50C-7756506768C8}"/>
    <cellStyle name="Input 2 5 9 2" xfId="27938" xr:uid="{207EE93E-6955-4CD9-88AC-C35390D1B3FE}"/>
    <cellStyle name="Input 2 5 9 2 2" xfId="34783" xr:uid="{24B014D6-CB93-4FD1-A6CB-B5015225063A}"/>
    <cellStyle name="Input 2 5 9 3" xfId="30019" xr:uid="{A6B762BE-3F93-4F62-84F6-9B8CA3A50B3A}"/>
    <cellStyle name="Input 2 5 9 3 2" xfId="36864" xr:uid="{981CFE3C-E237-4647-96DF-947B13DB4247}"/>
    <cellStyle name="Input 2 5 9 4" xfId="32101" xr:uid="{48DF273C-2719-452B-9C35-7CEC516E1B1B}"/>
    <cellStyle name="Input 2 6" xfId="2485" xr:uid="{00000000-0005-0000-0000-0000D2090000}"/>
    <cellStyle name="Input 2 6 10" xfId="25418" xr:uid="{E4FF2A1E-D605-4DE8-8892-16AF6CE1C514}"/>
    <cellStyle name="Input 2 6 10 2" xfId="28085" xr:uid="{877FA7E5-C54F-4016-AD68-82A77CF15334}"/>
    <cellStyle name="Input 2 6 10 2 2" xfId="34930" xr:uid="{D1FCBBFC-A212-4858-9E90-239716AE4919}"/>
    <cellStyle name="Input 2 6 10 3" xfId="30166" xr:uid="{41406D8D-9B78-4249-A6FA-B0151C28CB7A}"/>
    <cellStyle name="Input 2 6 10 3 2" xfId="37011" xr:uid="{9D2E9F48-B773-4053-ACBA-62CE1DFCAB21}"/>
    <cellStyle name="Input 2 6 10 4" xfId="32248" xr:uid="{469E79C4-EE62-46DE-983A-E933905FD8F1}"/>
    <cellStyle name="Input 2 6 11" xfId="24976" xr:uid="{7C9879E8-1062-42F9-A979-F172710DB923}"/>
    <cellStyle name="Input 2 6 11 2" xfId="27645" xr:uid="{4E7674D8-0DEF-4159-9B38-899C95B75244}"/>
    <cellStyle name="Input 2 6 11 2 2" xfId="34490" xr:uid="{9A6A80D3-1A94-4B4C-8706-81C2986DE6D9}"/>
    <cellStyle name="Input 2 6 11 3" xfId="29726" xr:uid="{67F420B1-EDF7-4716-BA14-5D3E0D6FE979}"/>
    <cellStyle name="Input 2 6 11 3 2" xfId="36571" xr:uid="{37DC0790-9E95-4B57-85A1-4B067A8D7042}"/>
    <cellStyle name="Input 2 6 11 4" xfId="31808" xr:uid="{CA87C023-DF30-4DD0-870F-27132F980A99}"/>
    <cellStyle name="Input 2 6 12" xfId="25566" xr:uid="{BC1D58E5-31C0-417E-8242-7DC2B107633A}"/>
    <cellStyle name="Input 2 6 12 2" xfId="28233" xr:uid="{F07343B3-034D-47E5-B5E1-8B4D987826FF}"/>
    <cellStyle name="Input 2 6 12 2 2" xfId="35078" xr:uid="{F02E6477-20A6-4244-BFC2-E6DDAFBFE925}"/>
    <cellStyle name="Input 2 6 12 3" xfId="30314" xr:uid="{484D6971-BC63-4A48-AFAD-88AC4F49E57A}"/>
    <cellStyle name="Input 2 6 12 3 2" xfId="37159" xr:uid="{6044A7BD-1FAC-4D56-9A3E-0960F2783A20}"/>
    <cellStyle name="Input 2 6 12 4" xfId="32396" xr:uid="{17C9C8E0-A47A-444C-947C-B2D669B18681}"/>
    <cellStyle name="Input 2 6 13" xfId="25465" xr:uid="{A71FF8E2-6F9D-4BA5-B743-0F035172AFE2}"/>
    <cellStyle name="Input 2 6 13 2" xfId="28132" xr:uid="{AA83CA7C-5086-4F64-BCC3-DB91A50EF1F8}"/>
    <cellStyle name="Input 2 6 13 2 2" xfId="34977" xr:uid="{487FA5DE-385D-45CA-8989-BCDE854865C3}"/>
    <cellStyle name="Input 2 6 13 3" xfId="30213" xr:uid="{72EF3835-8BFB-4E94-9885-0C113B79177D}"/>
    <cellStyle name="Input 2 6 13 3 2" xfId="37058" xr:uid="{65820682-F146-4CE3-81D0-046460C07259}"/>
    <cellStyle name="Input 2 6 13 4" xfId="32295" xr:uid="{2DC7669B-3102-451E-A09E-28F2993CAA03}"/>
    <cellStyle name="Input 2 6 14" xfId="24126" xr:uid="{B0786FB4-CFF0-4557-90CE-44D7EAC37B71}"/>
    <cellStyle name="Input 2 6 14 2" xfId="26738" xr:uid="{F6E00D28-6983-4BB6-BFA2-99EADCB97FC4}"/>
    <cellStyle name="Input 2 6 14 2 2" xfId="33578" xr:uid="{DA9622CF-4EEA-4D19-9EF9-CEAFC0C29986}"/>
    <cellStyle name="Input 2 6 14 3" xfId="28814" xr:uid="{EDE65110-84DF-422A-93C1-E33B5A4092D9}"/>
    <cellStyle name="Input 2 6 14 3 2" xfId="35659" xr:uid="{17BF013F-D6E5-483A-8FA4-2A374B74C9EF}"/>
    <cellStyle name="Input 2 6 14 4" xfId="30896" xr:uid="{A8791146-332B-445B-952C-2F1B0DBC91FC}"/>
    <cellStyle name="Input 2 6 15" xfId="25528" xr:uid="{8A510F7F-EB4C-4C1B-BFFD-F2F0FF77B970}"/>
    <cellStyle name="Input 2 6 15 2" xfId="28195" xr:uid="{064C82B7-31F4-4726-A265-5A1723AE825E}"/>
    <cellStyle name="Input 2 6 15 2 2" xfId="35040" xr:uid="{405F1DB3-09B7-4E1F-A88A-ECF51B1E4584}"/>
    <cellStyle name="Input 2 6 15 3" xfId="30276" xr:uid="{B8E0D40C-4281-483E-B839-81209DEC6D6B}"/>
    <cellStyle name="Input 2 6 15 3 2" xfId="37121" xr:uid="{E917534F-ED7E-4250-B32D-AC9677C68D19}"/>
    <cellStyle name="Input 2 6 15 4" xfId="32358" xr:uid="{AEA61515-D08F-4AD0-9A0C-18FC9065505E}"/>
    <cellStyle name="Input 2 6 16" xfId="23969" xr:uid="{C9333F65-671D-4FC9-978F-C35086EBB5A0}"/>
    <cellStyle name="Input 2 6 16 2" xfId="26586" xr:uid="{9DEAC7F5-5A39-4805-B9D7-B9BB40A760C8}"/>
    <cellStyle name="Input 2 6 16 2 2" xfId="33426" xr:uid="{53875D9A-A9FC-4A43-9FAD-96A1ED250876}"/>
    <cellStyle name="Input 2 6 16 3" xfId="26107" xr:uid="{0A273226-20FB-4D8A-AD2C-0DA0A751F30F}"/>
    <cellStyle name="Input 2 6 16 3 2" xfId="32935" xr:uid="{65ED2E46-F5E9-4AC2-A9E0-C8CA95F8B782}"/>
    <cellStyle name="Input 2 6 16 4" xfId="23229" xr:uid="{7B2042DB-D92F-4BD8-9555-A057B2FB0B9C}"/>
    <cellStyle name="Input 2 6 17" xfId="23617" xr:uid="{BDF61300-B969-4E90-8880-4321A3BE317A}"/>
    <cellStyle name="Input 2 6 18" xfId="14968" xr:uid="{E42FEA8A-2F3B-4F8E-8E3C-BBFEF58EDD96}"/>
    <cellStyle name="Input 2 6 19" xfId="14215" xr:uid="{4EBE0ED3-B7ED-4D45-88B8-3B61963352B3}"/>
    <cellStyle name="Input 2 6 2" xfId="2486" xr:uid="{00000000-0005-0000-0000-0000D3090000}"/>
    <cellStyle name="Input 2 6 20" xfId="48747" xr:uid="{C184D1EA-4F2D-4089-91DD-5AB36EC96A00}"/>
    <cellStyle name="Input 2 6 21" xfId="48425" xr:uid="{0ADD6A11-688F-4E6F-A385-DCA758DF5F07}"/>
    <cellStyle name="Input 2 6 22" xfId="40743" xr:uid="{7344E27F-53F4-4284-9BA5-E1B874A3CD62}"/>
    <cellStyle name="Input 2 6 23" xfId="49898" xr:uid="{BFB744D1-0561-4C1F-8207-BB3D87A02A7F}"/>
    <cellStyle name="Input 2 6 3" xfId="2487" xr:uid="{00000000-0005-0000-0000-0000D4090000}"/>
    <cellStyle name="Input 2 6 3 10" xfId="49886" xr:uid="{ED7C9A0E-4ACC-4E00-AC80-4DB2B24E6A37}"/>
    <cellStyle name="Input 2 6 3 2" xfId="18391" xr:uid="{B903D890-DBC8-4A0F-8932-5E0865E629F1}"/>
    <cellStyle name="Input 2 6 3 2 10" xfId="20754" xr:uid="{AC258996-34CC-4357-867E-27F01D897899}"/>
    <cellStyle name="Input 2 6 3 2 11" xfId="22652" xr:uid="{964D399F-D289-43D5-A234-A34BBB8730A4}"/>
    <cellStyle name="Input 2 6 3 2 12" xfId="21472" xr:uid="{569CEB93-4798-4055-8CE4-8FF511F60C11}"/>
    <cellStyle name="Input 2 6 3 2 13" xfId="22312" xr:uid="{890798A2-9D36-4DCB-8E1E-DB607D0614BC}"/>
    <cellStyle name="Input 2 6 3 2 14" xfId="19264" xr:uid="{E5AA9A87-1669-41FC-A855-977C74B0B73E}"/>
    <cellStyle name="Input 2 6 3 2 15" xfId="23006" xr:uid="{B2329521-E8AB-4BC1-A39C-A157C2E25AD8}"/>
    <cellStyle name="Input 2 6 3 2 16" xfId="33973" xr:uid="{1D145C7E-6F30-472D-BEDE-C776637BAADD}"/>
    <cellStyle name="Input 2 6 3 2 2" xfId="19968" xr:uid="{0F4ED92D-4E78-4731-975B-6667290863E1}"/>
    <cellStyle name="Input 2 6 3 2 3" xfId="21105" xr:uid="{12F0C9C8-EA43-42EE-B780-5D177A44F813}"/>
    <cellStyle name="Input 2 6 3 2 4" xfId="21747" xr:uid="{C875F37B-226F-4121-931B-864CCF946B5A}"/>
    <cellStyle name="Input 2 6 3 2 5" xfId="20830" xr:uid="{61F142CA-276E-42FF-98A1-BE92D965A5E5}"/>
    <cellStyle name="Input 2 6 3 2 6" xfId="19641" xr:uid="{F6B6979F-E1A8-400C-9E64-B52B95D459D1}"/>
    <cellStyle name="Input 2 6 3 2 7" xfId="20127" xr:uid="{C7D04C6F-B350-49DF-84B9-D5C1F402CF51}"/>
    <cellStyle name="Input 2 6 3 2 8" xfId="19070" xr:uid="{4B9A224B-01CC-4DDB-8EAA-67C5A3D2F39F}"/>
    <cellStyle name="Input 2 6 3 2 9" xfId="19335" xr:uid="{657FFC25-E533-418B-ABD3-D3EB06DCEB7A}"/>
    <cellStyle name="Input 2 6 3 3" xfId="17978" xr:uid="{08C7CD3D-217D-4AB0-9EC8-C0C2738A6662}"/>
    <cellStyle name="Input 2 6 3 3 2" xfId="29209" xr:uid="{20FFF7BE-B8DF-49B5-955F-5418B6D98194}"/>
    <cellStyle name="Input 2 6 3 3 3" xfId="36054" xr:uid="{C34862F9-0B8F-4827-BCD7-417D3F24D491}"/>
    <cellStyle name="Input 2 6 3 4" xfId="31291" xr:uid="{A0DD8CCE-BA31-45D7-B1C6-1DCE1BF2CBA0}"/>
    <cellStyle name="Input 2 6 3 5" xfId="14969" xr:uid="{4800EF86-5099-487C-8FFE-982B65034B0C}"/>
    <cellStyle name="Input 2 6 3 6" xfId="14214" xr:uid="{81415D62-2F22-41ED-83A5-319285D768F9}"/>
    <cellStyle name="Input 2 6 3 7" xfId="48704" xr:uid="{029A2CA3-FFEF-44B8-A322-0CECC9E7E100}"/>
    <cellStyle name="Input 2 6 3 8" xfId="48411" xr:uid="{167D3C70-BEE6-414F-AB02-BE8F9DC77694}"/>
    <cellStyle name="Input 2 6 3 9" xfId="40085" xr:uid="{D09E4E1A-8B10-453C-9897-F8B22FEF383A}"/>
    <cellStyle name="Input 2 6 4" xfId="18390" xr:uid="{5FBE88C5-9781-4326-A96F-D526A9071172}"/>
    <cellStyle name="Input 2 6 4 10" xfId="20260" xr:uid="{BB194D3D-2DFB-4E46-81DA-BA867F976434}"/>
    <cellStyle name="Input 2 6 4 11" xfId="21337" xr:uid="{C56897B3-B472-4501-AC48-9060FFDFF1E5}"/>
    <cellStyle name="Input 2 6 4 12" xfId="20694" xr:uid="{2D31406C-B0C5-487D-ADB3-43FEAD31B6FB}"/>
    <cellStyle name="Input 2 6 4 13" xfId="22293" xr:uid="{64581AB0-FDB2-4BC4-81FE-E2885039D293}"/>
    <cellStyle name="Input 2 6 4 14" xfId="22239" xr:uid="{C2946336-2170-4EFA-AAE9-5A71CCD697C0}"/>
    <cellStyle name="Input 2 6 4 15" xfId="21412" xr:uid="{F6E0EB92-B73A-48DF-AEAD-4E1D18C1D43A}"/>
    <cellStyle name="Input 2 6 4 16" xfId="31836" xr:uid="{24BE0665-9F5E-4A54-A90F-5B2CA73FE762}"/>
    <cellStyle name="Input 2 6 4 2" xfId="19969" xr:uid="{AB02616C-CFBC-4D7E-8C8B-9ACE2B7511B8}"/>
    <cellStyle name="Input 2 6 4 2 2" xfId="27673" xr:uid="{603429E6-1B23-4CF1-97D2-8EFD52059BDC}"/>
    <cellStyle name="Input 2 6 4 2 3" xfId="34518" xr:uid="{8EA50526-A488-4FFF-ACFB-C8EE979C74AE}"/>
    <cellStyle name="Input 2 6 4 3" xfId="21106" xr:uid="{9F934EC0-B277-4518-84DF-09065B0A76A9}"/>
    <cellStyle name="Input 2 6 4 3 2" xfId="29754" xr:uid="{FE012D1F-C3DE-4347-9DD3-3A665A67A020}"/>
    <cellStyle name="Input 2 6 4 3 3" xfId="36599" xr:uid="{FA6E686C-DDF6-42E0-AB44-87F90716EE60}"/>
    <cellStyle name="Input 2 6 4 4" xfId="19154" xr:uid="{C4B951A9-BC1D-4904-B7CD-34EC46FB4317}"/>
    <cellStyle name="Input 2 6 4 5" xfId="21236" xr:uid="{627E3E63-CCD7-4E7D-922C-792984D271AC}"/>
    <cellStyle name="Input 2 6 4 6" xfId="22058" xr:uid="{D8BDC2EB-8522-4C3A-92B7-B09CE115FA54}"/>
    <cellStyle name="Input 2 6 4 7" xfId="21407" xr:uid="{414D0A85-4D35-47CD-9158-33D81B23F564}"/>
    <cellStyle name="Input 2 6 4 8" xfId="20720" xr:uid="{ED064FBD-3E0C-4527-8EEF-070DFD46A7DC}"/>
    <cellStyle name="Input 2 6 4 9" xfId="20250" xr:uid="{A4D4903B-7DDC-4558-BC1D-A84B9CE3AFC0}"/>
    <cellStyle name="Input 2 6 5" xfId="17593" xr:uid="{D41A31B0-B1C2-4E44-9954-3498C8C52564}"/>
    <cellStyle name="Input 2 6 5 2" xfId="27292" xr:uid="{011CC65B-30AE-4CB9-80E7-3ABE87D4DB90}"/>
    <cellStyle name="Input 2 6 5 2 2" xfId="34136" xr:uid="{4EB63906-A15A-4082-8F61-DB94EE3C5734}"/>
    <cellStyle name="Input 2 6 5 3" xfId="29372" xr:uid="{63CE95A8-87DD-41FD-904F-B51CF7AA5FA4}"/>
    <cellStyle name="Input 2 6 5 3 2" xfId="36217" xr:uid="{68416257-2998-4543-B82F-E5D3B213140E}"/>
    <cellStyle name="Input 2 6 5 4" xfId="24678" xr:uid="{62D71DBD-28E6-4559-ADC7-76C920533380}"/>
    <cellStyle name="Input 2 6 5 5" xfId="31454" xr:uid="{3EA4818C-0AC0-4666-A5F1-6665C10ACD13}"/>
    <cellStyle name="Input 2 6 6" xfId="25231" xr:uid="{FF8EB7A1-D583-4811-97D2-DFF47089108D}"/>
    <cellStyle name="Input 2 6 6 2" xfId="27902" xr:uid="{A2A813A2-3DDE-4288-BA63-4F085CFEF2D4}"/>
    <cellStyle name="Input 2 6 6 2 2" xfId="34747" xr:uid="{E60902BB-233C-42E4-A97F-1CEA406F4CAE}"/>
    <cellStyle name="Input 2 6 6 3" xfId="29983" xr:uid="{F7D61716-9960-4611-835F-3C00A65B617A}"/>
    <cellStyle name="Input 2 6 6 3 2" xfId="36828" xr:uid="{C65902D4-5FBF-4111-BBF2-73B2DE42D59F}"/>
    <cellStyle name="Input 2 6 6 4" xfId="32065" xr:uid="{5384E7F4-53AC-4E6E-BC9E-11BDA392370C}"/>
    <cellStyle name="Input 2 6 7" xfId="24402" xr:uid="{FD8ABA9D-6490-4C35-AF15-AC395936E6BC}"/>
    <cellStyle name="Input 2 6 7 2" xfId="27018" xr:uid="{D1F1A0E1-EFCD-4F38-B63F-D95375854FA5}"/>
    <cellStyle name="Input 2 6 7 2 2" xfId="33858" xr:uid="{74A1C07C-FC99-4994-9020-E1992D12ED3C}"/>
    <cellStyle name="Input 2 6 7 3" xfId="29094" xr:uid="{ABDA1912-0D11-4C2B-9D5D-C5E5FAB59B88}"/>
    <cellStyle name="Input 2 6 7 3 2" xfId="35939" xr:uid="{6924187B-937E-473D-81DD-40FCB60A94B6}"/>
    <cellStyle name="Input 2 6 7 4" xfId="31176" xr:uid="{2EC3B68F-1B58-4E5B-8A19-642AB998D9C7}"/>
    <cellStyle name="Input 2 6 8" xfId="25399" xr:uid="{D974B5CC-A863-4168-9D8A-981717871171}"/>
    <cellStyle name="Input 2 6 8 2" xfId="28066" xr:uid="{CF0C1B20-92E3-49EA-8BB8-8A3DE3DD2622}"/>
    <cellStyle name="Input 2 6 8 2 2" xfId="34911" xr:uid="{639E09BD-D07E-495C-A6B9-6D402491EB06}"/>
    <cellStyle name="Input 2 6 8 3" xfId="30147" xr:uid="{6D18FA6A-2C4E-427F-BD7C-CAF72A2106C7}"/>
    <cellStyle name="Input 2 6 8 3 2" xfId="36992" xr:uid="{C5781E5C-795C-4D9A-9DD6-39D9AEC48E70}"/>
    <cellStyle name="Input 2 6 8 4" xfId="32229" xr:uid="{2C2FA853-D4BB-4021-BE30-7DC848D1107C}"/>
    <cellStyle name="Input 2 6 9" xfId="23743" xr:uid="{85C2C9FE-56D5-4F1C-A76B-D88EDD20587E}"/>
    <cellStyle name="Input 2 6 9 2" xfId="26354" xr:uid="{66707AA1-AF31-45F7-8311-5FA4D28E6E04}"/>
    <cellStyle name="Input 2 6 9 2 2" xfId="33193" xr:uid="{25736435-1434-41A3-8293-4DB18E7C5928}"/>
    <cellStyle name="Input 2 6 9 3" xfId="26327" xr:uid="{9F3FE3FF-64EF-4AE3-8B2C-06AF87C12843}"/>
    <cellStyle name="Input 2 6 9 3 2" xfId="33155" xr:uid="{C2AE21AA-D3C1-4699-A399-B7290CD10F44}"/>
    <cellStyle name="Input 2 6 9 4" xfId="23449" xr:uid="{C4DE128B-B396-45E9-8309-7A89688C588E}"/>
    <cellStyle name="Input 2 7" xfId="2488" xr:uid="{00000000-0005-0000-0000-0000D5090000}"/>
    <cellStyle name="Input 2 7 10" xfId="46141" xr:uid="{A6CD3CC9-96FD-4E9F-8DE9-8508ACEDB3E7}"/>
    <cellStyle name="Input 2 7 11" xfId="40245" xr:uid="{F7BD8C8F-6FD8-41B3-8D98-E686F41D1D71}"/>
    <cellStyle name="Input 2 7 2" xfId="2489" xr:uid="{00000000-0005-0000-0000-0000D6090000}"/>
    <cellStyle name="Input 2 7 3" xfId="2490" xr:uid="{00000000-0005-0000-0000-0000D7090000}"/>
    <cellStyle name="Input 2 7 3 2" xfId="18393" xr:uid="{079E7AD8-CB21-4EEA-AD7D-D67995A14025}"/>
    <cellStyle name="Input 2 7 3 2 10" xfId="21982" xr:uid="{AF6CEE40-E142-4D83-92DF-9C0C14218761}"/>
    <cellStyle name="Input 2 7 3 2 11" xfId="20695" xr:uid="{80E4C33E-80DC-42DA-AEAF-5CB21CCE22FC}"/>
    <cellStyle name="Input 2 7 3 2 12" xfId="22370" xr:uid="{70A43974-3553-45E1-A1D3-4C7A781D140D}"/>
    <cellStyle name="Input 2 7 3 2 13" xfId="21740" xr:uid="{4686ED21-08B8-4492-961B-95AAE1FD6568}"/>
    <cellStyle name="Input 2 7 3 2 14" xfId="19906" xr:uid="{3F21C87C-A587-499F-944D-F0D76762950F}"/>
    <cellStyle name="Input 2 7 3 2 15" xfId="21762" xr:uid="{5FE58E63-DE82-4D20-B803-5E6391C0B94B}"/>
    <cellStyle name="Input 2 7 3 2 2" xfId="19966" xr:uid="{D0A893E1-BAB9-4045-B945-C38DC44D2D66}"/>
    <cellStyle name="Input 2 7 3 2 3" xfId="21103" xr:uid="{3343E23C-1078-4CB6-876F-144AECB60878}"/>
    <cellStyle name="Input 2 7 3 2 4" xfId="19153" xr:uid="{21BE66C5-7E9E-4D94-BEE2-CA3228B6D291}"/>
    <cellStyle name="Input 2 7 3 2 5" xfId="20063" xr:uid="{34C1AC42-3028-4660-B572-733C0DE64F0A}"/>
    <cellStyle name="Input 2 7 3 2 6" xfId="19953" xr:uid="{9946C704-0C79-4000-B40F-CC28C620A376}"/>
    <cellStyle name="Input 2 7 3 2 7" xfId="20102" xr:uid="{9161258D-7A94-45F4-9EB1-5941BCD3DDFE}"/>
    <cellStyle name="Input 2 7 3 2 8" xfId="21857" xr:uid="{ECEBE84C-40D1-4093-87BB-48EB65F3F393}"/>
    <cellStyle name="Input 2 7 3 2 9" xfId="19539" xr:uid="{7BE16824-F47A-4DD5-9E91-DD8B84A7A355}"/>
    <cellStyle name="Input 2 7 3 3" xfId="17980" xr:uid="{E3711635-1811-41C7-8156-F6ED954D424F}"/>
    <cellStyle name="Input 2 7 3 4" xfId="14971" xr:uid="{D62E9181-16AD-43B4-BF16-E9B41A388CFE}"/>
    <cellStyle name="Input 2 7 3 5" xfId="14212" xr:uid="{EB5272F6-4A8D-4238-8813-76CBBCF94B1D}"/>
    <cellStyle name="Input 2 7 3 6" xfId="47571" xr:uid="{26C0BF6B-6468-4433-9D80-36EA9D7A7701}"/>
    <cellStyle name="Input 2 7 3 7" xfId="15439" xr:uid="{78120734-CCC4-4855-BC1E-09EB0B1063E8}"/>
    <cellStyle name="Input 2 7 3 8" xfId="46362" xr:uid="{6FDFF4DD-52D0-4511-877C-24E037A111E5}"/>
    <cellStyle name="Input 2 7 3 9" xfId="16535" xr:uid="{6F4C0D1B-871C-499D-AC99-41FC6E4E8C5E}"/>
    <cellStyle name="Input 2 7 4" xfId="18392" xr:uid="{057CD470-230D-4729-BA55-20D02F714432}"/>
    <cellStyle name="Input 2 7 4 10" xfId="22333" xr:uid="{64726642-089C-4D0B-80D5-0523D4FB5105}"/>
    <cellStyle name="Input 2 7 4 11" xfId="22689" xr:uid="{F7C81064-0DF0-4493-9041-4A45E17E5E3B}"/>
    <cellStyle name="Input 2 7 4 12" xfId="22397" xr:uid="{B9A1729B-CFE1-44D8-A944-F1E619A3B898}"/>
    <cellStyle name="Input 2 7 4 13" xfId="22390" xr:uid="{376E7BF3-3C35-41B3-A0F2-C95A1347B953}"/>
    <cellStyle name="Input 2 7 4 14" xfId="20966" xr:uid="{1E361D54-0AA6-4B2C-9690-82A250072FB3}"/>
    <cellStyle name="Input 2 7 4 15" xfId="23007" xr:uid="{068ED58C-271E-4598-8CCB-90CB8F08DC32}"/>
    <cellStyle name="Input 2 7 4 2" xfId="19967" xr:uid="{D436E822-89BE-4C3A-8D99-D5271C92611B}"/>
    <cellStyle name="Input 2 7 4 3" xfId="21104" xr:uid="{D36B7597-6FEF-415F-80A7-CD21BDC344A2}"/>
    <cellStyle name="Input 2 7 4 4" xfId="19156" xr:uid="{9A445E96-8570-4F5B-8667-0CC77B1F4DEF}"/>
    <cellStyle name="Input 2 7 4 5" xfId="19694" xr:uid="{030D8C1B-3FE4-4BD3-9EFF-CA1CF4A23A8F}"/>
    <cellStyle name="Input 2 7 4 6" xfId="19466" xr:uid="{84823B24-C909-4A42-8364-2CFC24362F33}"/>
    <cellStyle name="Input 2 7 4 7" xfId="20899" xr:uid="{8710138B-4034-42F8-961D-73BDD7877839}"/>
    <cellStyle name="Input 2 7 4 8" xfId="22166" xr:uid="{E95FF42F-2D29-43F4-A0E9-D5D1C0FB2414}"/>
    <cellStyle name="Input 2 7 4 9" xfId="21016" xr:uid="{59C7B418-1B3E-46C6-84B3-15863F4711D8}"/>
    <cellStyle name="Input 2 7 5" xfId="17979" xr:uid="{7DCBC2BA-0FFD-4763-A134-DDBD9E87E818}"/>
    <cellStyle name="Input 2 7 6" xfId="14970" xr:uid="{1B0C4835-4B56-414F-BF88-6833E8B5A148}"/>
    <cellStyle name="Input 2 7 7" xfId="14213" xr:uid="{88C0A314-0FF1-4C63-B6EF-FCF748CA570A}"/>
    <cellStyle name="Input 2 7 8" xfId="46720" xr:uid="{8497C513-BFE7-47E9-817A-48F445122C26}"/>
    <cellStyle name="Input 2 7 9" xfId="46839" xr:uid="{693D6748-5997-491F-BCD1-74F87E0CFFB8}"/>
    <cellStyle name="Input 2 8" xfId="2491" xr:uid="{00000000-0005-0000-0000-0000D8090000}"/>
    <cellStyle name="Input 2 9" xfId="2492" xr:uid="{00000000-0005-0000-0000-0000D9090000}"/>
    <cellStyle name="Input 2 9 10" xfId="49209" xr:uid="{24EF4F8F-97DA-4497-8405-6882C1719B28}"/>
    <cellStyle name="Input 2 9 2" xfId="2493" xr:uid="{00000000-0005-0000-0000-0000DA090000}"/>
    <cellStyle name="Input 2 9 3" xfId="18394" xr:uid="{7FA6E37A-95EA-40C8-8FE9-AB4D6AE1FDD8}"/>
    <cellStyle name="Input 2 9 3 10" xfId="22455" xr:uid="{0B0F0E8B-FC8F-468E-A878-4C49FB28024B}"/>
    <cellStyle name="Input 2 9 3 11" xfId="18967" xr:uid="{79DF67CB-3CAA-4309-94F8-AEE2CA7AC09A}"/>
    <cellStyle name="Input 2 9 3 12" xfId="19248" xr:uid="{2F526939-F8BF-4A03-BF61-81F793FF6A6B}"/>
    <cellStyle name="Input 2 9 3 13" xfId="22244" xr:uid="{A79DB747-40EB-4508-B86C-6331E2048CC1}"/>
    <cellStyle name="Input 2 9 3 14" xfId="20447" xr:uid="{FFA4C66A-F920-45D0-9270-63FBE33F52A7}"/>
    <cellStyle name="Input 2 9 3 15" xfId="20262" xr:uid="{732BBD35-FAA3-45B7-ABFE-D80CDFF6E22E}"/>
    <cellStyle name="Input 2 9 3 2" xfId="19965" xr:uid="{B571ADAB-DFC4-4B2A-B6EF-DE3A7F4C12A0}"/>
    <cellStyle name="Input 2 9 3 3" xfId="21092" xr:uid="{BF1DA00D-D561-495A-95E5-E8BC5CC169C5}"/>
    <cellStyle name="Input 2 9 3 4" xfId="21253" xr:uid="{99196456-3673-42DF-8681-2807552E9DE2}"/>
    <cellStyle name="Input 2 9 3 5" xfId="20040" xr:uid="{F1EE882A-3A12-4357-82B1-E50507D00509}"/>
    <cellStyle name="Input 2 9 3 6" xfId="21629" xr:uid="{7D5E23DD-A3D3-4E49-BA27-4CDA35BAECF6}"/>
    <cellStyle name="Input 2 9 3 7" xfId="19549" xr:uid="{55287268-E685-45F2-A931-DD24500683EB}"/>
    <cellStyle name="Input 2 9 3 8" xfId="20423" xr:uid="{E627FFF9-6EEE-4CFC-A392-B11864AC4F97}"/>
    <cellStyle name="Input 2 9 3 9" xfId="19069" xr:uid="{D2D1DE68-59FF-4B98-ADB1-44EB3755FE79}"/>
    <cellStyle name="Input 2 9 4" xfId="17981" xr:uid="{FE8F26F8-A485-4E13-B61D-FD9BE74C75DC}"/>
    <cellStyle name="Input 2 9 5" xfId="14972" xr:uid="{8EE9CF7A-9F17-4DF2-8259-AF815CA32666}"/>
    <cellStyle name="Input 2 9 6" xfId="14211" xr:uid="{9B187785-FC58-4F6E-AFAD-9834DF5020A7}"/>
    <cellStyle name="Input 2 9 7" xfId="47575" xr:uid="{4D46119F-ECED-4EBB-90C3-3D4AA682E2C0}"/>
    <cellStyle name="Input 2 9 8" xfId="47841" xr:uid="{DBF3103A-7301-437D-8ABE-98406E627FD2}"/>
    <cellStyle name="Input 2 9 9" xfId="48028" xr:uid="{C0BFA806-DF5E-4952-8F6D-639AC84BBAA5}"/>
    <cellStyle name="Input 3" xfId="2494" xr:uid="{00000000-0005-0000-0000-0000DB090000}"/>
    <cellStyle name="InputBlueFont" xfId="2495" xr:uid="{00000000-0005-0000-0000-0000DC090000}"/>
    <cellStyle name="InputGen" xfId="2496" xr:uid="{00000000-0005-0000-0000-0000DD090000}"/>
    <cellStyle name="InputKeepColour" xfId="2497" xr:uid="{00000000-0005-0000-0000-0000DE090000}"/>
    <cellStyle name="InputKeepPale" xfId="2498" xr:uid="{00000000-0005-0000-0000-0000DF090000}"/>
    <cellStyle name="InputKeepPale 2" xfId="9284" xr:uid="{00000000-0005-0000-0000-0000FD1A0000}"/>
    <cellStyle name="InputVariColour" xfId="2499" xr:uid="{00000000-0005-0000-0000-0000E0090000}"/>
    <cellStyle name="Integer" xfId="2500" xr:uid="{00000000-0005-0000-0000-0000E1090000}"/>
    <cellStyle name="Invisible" xfId="2501" xr:uid="{00000000-0005-0000-0000-0000E2090000}"/>
    <cellStyle name="Item" xfId="2502" xr:uid="{00000000-0005-0000-0000-0000E3090000}"/>
    <cellStyle name="Items_Obligatory" xfId="2503" xr:uid="{00000000-0005-0000-0000-0000E4090000}"/>
    <cellStyle name="ItemTypeClass" xfId="2504" xr:uid="{00000000-0005-0000-0000-0000E5090000}"/>
    <cellStyle name="ItemTypeClass 10" xfId="19438" xr:uid="{E6D2CF70-5146-4501-8A9B-62FE685891B6}"/>
    <cellStyle name="ItemTypeClass 11" xfId="20164" xr:uid="{463E1006-E238-484A-9876-AB3716D10E86}"/>
    <cellStyle name="ItemTypeClass 12" xfId="21877" xr:uid="{CCD8EF8D-3634-4781-AC36-CC9659DD30A5}"/>
    <cellStyle name="ItemTypeClass 13" xfId="22404" xr:uid="{26A3C905-151F-453B-9670-A9A1B646E5EE}"/>
    <cellStyle name="ItemTypeClass 14" xfId="20271" xr:uid="{5D1B9D09-0D51-46A3-A2AA-1E8CB33F4715}"/>
    <cellStyle name="ItemTypeClass 15" xfId="21530" xr:uid="{573B9CB7-969E-46BD-AC67-B492CA15155E}"/>
    <cellStyle name="ItemTypeClass 16" xfId="22608" xr:uid="{1598DC01-BD1A-4684-A9AB-D8A8DDE60650}"/>
    <cellStyle name="ItemTypeClass 17" xfId="22340" xr:uid="{C62E8455-8B71-493F-AB7D-675B6DD6F8E9}"/>
    <cellStyle name="ItemTypeClass 18" xfId="20938" xr:uid="{9F9401CA-BE66-4F0D-B935-87D08756750C}"/>
    <cellStyle name="ItemTypeClass 19" xfId="17982" xr:uid="{A031F066-3131-40E7-8EA0-5FF0384E3CC3}"/>
    <cellStyle name="ItemTypeClass 2" xfId="2505" xr:uid="{00000000-0005-0000-0000-0000E6090000}"/>
    <cellStyle name="ItemTypeClass 2 10" xfId="19289" xr:uid="{42D8CE73-7BD2-48DB-8AB9-991B703B5665}"/>
    <cellStyle name="ItemTypeClass 2 11" xfId="20302" xr:uid="{2D459636-DCD1-4779-95F6-12D99FD0021B}"/>
    <cellStyle name="ItemTypeClass 2 12" xfId="19548" xr:uid="{724B4B49-760D-468E-9AEA-7FADF4981633}"/>
    <cellStyle name="ItemTypeClass 2 13" xfId="22534" xr:uid="{9C5079B7-566B-4318-803C-885E527AFF5C}"/>
    <cellStyle name="ItemTypeClass 2 14" xfId="19544" xr:uid="{5743586D-BC62-4F92-BF52-B797F7CA248D}"/>
    <cellStyle name="ItemTypeClass 2 15" xfId="20597" xr:uid="{9D58F301-2190-4117-9F97-181558CA1CF6}"/>
    <cellStyle name="ItemTypeClass 2 16" xfId="21062" xr:uid="{57775EEE-5BA2-4E1F-A31C-F7039A097795}"/>
    <cellStyle name="ItemTypeClass 2 17" xfId="17983" xr:uid="{59D897F0-2704-4008-B32D-09FE59A19C8C}"/>
    <cellStyle name="ItemTypeClass 2 18" xfId="33182" xr:uid="{313B3A2C-131D-47A5-887D-4B30AC164134}"/>
    <cellStyle name="ItemTypeClass 2 19" xfId="14976" xr:uid="{25F50807-5ABF-40B5-8104-22299270EF8D}"/>
    <cellStyle name="ItemTypeClass 2 2" xfId="9425" xr:uid="{00000000-0005-0000-0000-0000041B0000}"/>
    <cellStyle name="ItemTypeClass 2 2 10" xfId="20974" xr:uid="{C150006E-CD4F-4230-990C-ACB4FEADD786}"/>
    <cellStyle name="ItemTypeClass 2 2 11" xfId="21209" xr:uid="{E5FD3A70-7828-4B23-B30A-98F8AE566CA4}"/>
    <cellStyle name="ItemTypeClass 2 2 12" xfId="22619" xr:uid="{9DAD2047-0A20-42FF-9EEA-24B41CA2BA4F}"/>
    <cellStyle name="ItemTypeClass 2 2 13" xfId="21937" xr:uid="{B37FE80C-3B27-42F9-9250-F6AABA460E60}"/>
    <cellStyle name="ItemTypeClass 2 2 14" xfId="21138" xr:uid="{409634B4-EA4A-4097-97F4-E31A3DBBDD96}"/>
    <cellStyle name="ItemTypeClass 2 2 15" xfId="22663" xr:uid="{DEFB170D-9033-4654-A20B-9FEA6325BF0B}"/>
    <cellStyle name="ItemTypeClass 2 2 16" xfId="18396" xr:uid="{02DE7232-3C20-4309-8577-4B2968E305D9}"/>
    <cellStyle name="ItemTypeClass 2 2 17" xfId="41915" xr:uid="{4D363F98-2AFD-4D4C-8C7B-CD41AB93D25F}"/>
    <cellStyle name="ItemTypeClass 2 2 18" xfId="46496" xr:uid="{DFAFDE37-907B-4D9C-B70F-C6B59482077E}"/>
    <cellStyle name="ItemTypeClass 2 2 19" xfId="46965" xr:uid="{A7F8737A-3490-4644-AD43-E9A6CC4F34D7}"/>
    <cellStyle name="ItemTypeClass 2 2 2" xfId="19963" xr:uid="{D9ED5D33-DAE0-4443-8F30-411B5A5B4F86}"/>
    <cellStyle name="ItemTypeClass 2 2 20" xfId="15166" xr:uid="{617A3FF9-9011-453A-9929-ED52CA26AA44}"/>
    <cellStyle name="ItemTypeClass 2 2 21" xfId="40272" xr:uid="{0F5DD7D3-D7BA-46A8-A4BA-06728D45F67D}"/>
    <cellStyle name="ItemTypeClass 2 2 3" xfId="21101" xr:uid="{B7CB08E3-F264-41FD-9456-9A9A3C81AE0A}"/>
    <cellStyle name="ItemTypeClass 2 2 4" xfId="19158" xr:uid="{ED3015CA-B23A-47BE-A91A-5CF41182BBB7}"/>
    <cellStyle name="ItemTypeClass 2 2 5" xfId="20907" xr:uid="{B0EB2F0C-890D-4143-ADAF-493ECBF33B33}"/>
    <cellStyle name="ItemTypeClass 2 2 6" xfId="20096" xr:uid="{FFB573EA-84E7-426E-BDFA-19F50070AC03}"/>
    <cellStyle name="ItemTypeClass 2 2 7" xfId="19439" xr:uid="{F4282DBF-F3E4-4BF1-9B04-C09771B56FCC}"/>
    <cellStyle name="ItemTypeClass 2 2 8" xfId="21003" xr:uid="{67E25F10-346F-4643-9CEC-28A0763F8A66}"/>
    <cellStyle name="ItemTypeClass 2 2 9" xfId="20066" xr:uid="{4734FA02-5A42-4CE5-864D-E3AD61CE759F}"/>
    <cellStyle name="ItemTypeClass 2 20" xfId="16614" xr:uid="{8A0A2DD7-4602-4F41-A49C-70935AE67F7C}"/>
    <cellStyle name="ItemTypeClass 2 21" xfId="46721" xr:uid="{C8C8F920-1667-4093-885A-19EADFCA3FC8}"/>
    <cellStyle name="ItemTypeClass 2 22" xfId="16273" xr:uid="{A61A70BF-6871-4DE2-8443-AFBF4CCCA299}"/>
    <cellStyle name="ItemTypeClass 2 23" xfId="49639" xr:uid="{E20F05E0-7EBF-4938-8284-E4D14D01382B}"/>
    <cellStyle name="ItemTypeClass 2 24" xfId="40581" xr:uid="{3CE6A418-0055-4F8D-BE1D-B8D5BA453EF5}"/>
    <cellStyle name="ItemTypeClass 2 3" xfId="21583" xr:uid="{938CE3CD-C82C-4AAA-876A-E1870A7E8DC7}"/>
    <cellStyle name="ItemTypeClass 2 4" xfId="21841" xr:uid="{5C3DAC2A-C191-48C2-A68C-10E7A129D7ED}"/>
    <cellStyle name="ItemTypeClass 2 5" xfId="22046" xr:uid="{F9E9B7FD-B22B-4015-9382-181B7104D9DA}"/>
    <cellStyle name="ItemTypeClass 2 6" xfId="21305" xr:uid="{A4A6A98C-FBA5-4487-87C1-2ECE7D13CCAB}"/>
    <cellStyle name="ItemTypeClass 2 7" xfId="20684" xr:uid="{35E2B6A6-404D-474B-A2AD-65CF891AAE97}"/>
    <cellStyle name="ItemTypeClass 2 8" xfId="19606" xr:uid="{A6BC6548-3BB9-471E-BE43-110E5A05DAA4}"/>
    <cellStyle name="ItemTypeClass 2 9" xfId="21470" xr:uid="{B88394EF-64AA-49BB-9660-047447DD2780}"/>
    <cellStyle name="ItemTypeClass 20" xfId="23483" xr:uid="{0D30111D-F041-4827-AF70-6B36823110A8}"/>
    <cellStyle name="ItemTypeClass 21" xfId="14975" xr:uid="{F17FB329-EC21-4862-87B5-490067D4C7D6}"/>
    <cellStyle name="ItemTypeClass 22" xfId="14205" xr:uid="{6EAD51FA-FDA3-4437-A0E6-A18E37D145BE}"/>
    <cellStyle name="ItemTypeClass 23" xfId="40353" xr:uid="{117AD0D1-96D5-4501-B777-DE955F17C020}"/>
    <cellStyle name="ItemTypeClass 24" xfId="49205" xr:uid="{58EDCAC4-7126-43D6-A81D-A07AF78C3F93}"/>
    <cellStyle name="ItemTypeClass 25" xfId="48035" xr:uid="{E80D69EA-4426-41EB-944B-5558FAF71546}"/>
    <cellStyle name="ItemTypeClass 26" xfId="49865" xr:uid="{073F34FC-9658-46B3-A60F-863C86D29CB1}"/>
    <cellStyle name="ItemTypeClass 3" xfId="2506" xr:uid="{00000000-0005-0000-0000-0000E7090000}"/>
    <cellStyle name="ItemTypeClass 3 10" xfId="21581" xr:uid="{E4A313AD-DA79-47F1-BDAE-0A13E28F0606}"/>
    <cellStyle name="ItemTypeClass 3 11" xfId="21508" xr:uid="{CF339754-42B7-46F9-A045-F6F0EA1C16C5}"/>
    <cellStyle name="ItemTypeClass 3 12" xfId="22522" xr:uid="{9B5C6ECC-2709-4F90-AE49-13CD4DE628E8}"/>
    <cellStyle name="ItemTypeClass 3 13" xfId="22529" xr:uid="{B294D1F3-F553-419C-93C6-3EF0C7FB1D0D}"/>
    <cellStyle name="ItemTypeClass 3 14" xfId="20676" xr:uid="{6BD2DEBA-D1A2-4FF9-B6AD-041085369C1C}"/>
    <cellStyle name="ItemTypeClass 3 15" xfId="22526" xr:uid="{10EE63AA-AF9C-4F35-9F0A-4EF13519E457}"/>
    <cellStyle name="ItemTypeClass 3 16" xfId="20484" xr:uid="{E223AAB3-E902-4DD5-ACA7-3D94C2FF167F}"/>
    <cellStyle name="ItemTypeClass 3 17" xfId="17984" xr:uid="{E2DA47D3-B6B3-4760-A40B-96C2C3906B44}"/>
    <cellStyle name="ItemTypeClass 3 18" xfId="26340" xr:uid="{663DBF6B-8B80-4C95-B8B8-8A845CF11E6A}"/>
    <cellStyle name="ItemTypeClass 3 19" xfId="33171" xr:uid="{3C33D1AC-2F81-49DF-9B66-02B7D80F5935}"/>
    <cellStyle name="ItemTypeClass 3 2" xfId="18397" xr:uid="{72BBDD02-F6FA-4C70-A8EA-8BC60437BA8C}"/>
    <cellStyle name="ItemTypeClass 3 2 10" xfId="19013" xr:uid="{1D3982D8-9AE2-4B4E-BBDF-8A7F1246F850}"/>
    <cellStyle name="ItemTypeClass 3 2 11" xfId="19276" xr:uid="{730D560C-EF12-4CF3-986A-6527199C7D62}"/>
    <cellStyle name="ItemTypeClass 3 2 12" xfId="20170" xr:uid="{D2FE8ADA-5614-4C78-B51B-9169DF3DB5EA}"/>
    <cellStyle name="ItemTypeClass 3 2 13" xfId="20821" xr:uid="{0CDCC82D-9A03-4DA5-8A14-0082B3606EA6}"/>
    <cellStyle name="ItemTypeClass 3 2 14" xfId="19878" xr:uid="{60597BF3-D18D-42E7-B1BC-5FFE26689256}"/>
    <cellStyle name="ItemTypeClass 3 2 15" xfId="23005" xr:uid="{08DE6C0D-BDB3-4CCA-AFBF-8C6166C7CE9A}"/>
    <cellStyle name="ItemTypeClass 3 2 2" xfId="19962" xr:uid="{08EC5557-E961-429F-87C7-08248921260F}"/>
    <cellStyle name="ItemTypeClass 3 2 3" xfId="21100" xr:uid="{199897FF-EEA7-4B28-B6BF-E921DDA8181B}"/>
    <cellStyle name="ItemTypeClass 3 2 4" xfId="19157" xr:uid="{298095EE-C5F3-4645-894C-FC643C3CCF4E}"/>
    <cellStyle name="ItemTypeClass 3 2 5" xfId="21625" xr:uid="{BDF31A78-6360-4B48-9E14-B26C686C004A}"/>
    <cellStyle name="ItemTypeClass 3 2 6" xfId="20601" xr:uid="{035605DD-3F3F-43F8-ACDF-29BE87A89C29}"/>
    <cellStyle name="ItemTypeClass 3 2 7" xfId="21551" xr:uid="{A2290DCB-BE75-4AC2-9822-A9BF44AB4273}"/>
    <cellStyle name="ItemTypeClass 3 2 8" xfId="22130" xr:uid="{E5AA6C76-2EB1-44C3-8918-9DC38B067406}"/>
    <cellStyle name="ItemTypeClass 3 2 9" xfId="20014" xr:uid="{B25213B4-9533-4718-AAC8-3A777CAEF8C8}"/>
    <cellStyle name="ItemTypeClass 3 20" xfId="14977" xr:uid="{2350FF0A-BAD0-46A0-944A-59273D1F68EA}"/>
    <cellStyle name="ItemTypeClass 3 21" xfId="14204" xr:uid="{C2B72AF7-C1DA-43DE-8348-24C337B01EB8}"/>
    <cellStyle name="ItemTypeClass 3 22" xfId="47572" xr:uid="{18873856-135E-4753-B7DE-F14C2C305371}"/>
    <cellStyle name="ItemTypeClass 3 23" xfId="49188" xr:uid="{41AB377D-1031-46C1-873D-C0C47C6A0698}"/>
    <cellStyle name="ItemTypeClass 3 24" xfId="47607" xr:uid="{99F71634-E415-4E05-A18A-7AB3A5C79234}"/>
    <cellStyle name="ItemTypeClass 3 25" xfId="49758" xr:uid="{441792A1-1BBB-42B8-B9A7-DB852B375FE6}"/>
    <cellStyle name="ItemTypeClass 3 3" xfId="21656" xr:uid="{EC0C19FE-8F0F-4BD9-94BD-4E428FA8D578}"/>
    <cellStyle name="ItemTypeClass 3 4" xfId="21655" xr:uid="{BDF9BD12-436F-4EA6-942E-54823A5143CE}"/>
    <cellStyle name="ItemTypeClass 3 5" xfId="20442" xr:uid="{82D2EAA5-4698-4E1D-AD79-7C0D590A14CE}"/>
    <cellStyle name="ItemTypeClass 3 6" xfId="21416" xr:uid="{0489F863-7855-4393-A3DC-4E04841CC502}"/>
    <cellStyle name="ItemTypeClass 3 7" xfId="22221" xr:uid="{9E1D2316-8724-482B-970A-6B8824D4A40D}"/>
    <cellStyle name="ItemTypeClass 3 8" xfId="20199" xr:uid="{C4038838-2F62-4D76-93C6-6DFD0ACE55FD}"/>
    <cellStyle name="ItemTypeClass 3 9" xfId="20870" xr:uid="{1921BFC1-53F3-499B-B78A-FE6D248298A9}"/>
    <cellStyle name="ItemTypeClass 4" xfId="18395" xr:uid="{94C8B597-5EC8-4877-A950-E7F306ECDCE5}"/>
    <cellStyle name="ItemTypeClass 4 10" xfId="22431" xr:uid="{6676BCFC-CE4C-4D86-98FA-B6DD50062E61}"/>
    <cellStyle name="ItemTypeClass 4 11" xfId="22140" xr:uid="{D85C4C0E-0068-49B6-AE15-46FC3A9EAAEA}"/>
    <cellStyle name="ItemTypeClass 4 12" xfId="19505" xr:uid="{4A0F778B-7D58-4E50-AAE8-C4C84DFC30E2}"/>
    <cellStyle name="ItemTypeClass 4 13" xfId="20413" xr:uid="{67853F31-751E-4CD8-AE11-97CC0DA59939}"/>
    <cellStyle name="ItemTypeClass 4 14" xfId="21212" xr:uid="{C3413205-6C26-443D-BDFD-BAAC7CA537F8}"/>
    <cellStyle name="ItemTypeClass 4 15" xfId="20487" xr:uid="{9B08CF27-7F1B-4A4D-93D8-5630CE1C68B5}"/>
    <cellStyle name="ItemTypeClass 4 2" xfId="19964" xr:uid="{C285F092-AD52-4920-A542-C1AD7C59243A}"/>
    <cellStyle name="ItemTypeClass 4 3" xfId="21102" xr:uid="{7348F05E-70FB-4B41-AFE1-01FC3C558D34}"/>
    <cellStyle name="ItemTypeClass 4 4" xfId="19620" xr:uid="{31311B1C-6CED-4A5C-9EB2-6F1BBD1C003C}"/>
    <cellStyle name="ItemTypeClass 4 5" xfId="20750" xr:uid="{2CC6CEEA-EDB6-4E5A-87E7-750CB9E571B4}"/>
    <cellStyle name="ItemTypeClass 4 6" xfId="19555" xr:uid="{92E4DAA3-6135-40CE-B37E-1A1252401DAB}"/>
    <cellStyle name="ItemTypeClass 4 7" xfId="20285" xr:uid="{D3ED6FAC-D544-446E-BC6B-26F9F2FF2146}"/>
    <cellStyle name="ItemTypeClass 4 8" xfId="22164" xr:uid="{BA66DC64-A5A2-4B9B-87A7-1E927D9DAA96}"/>
    <cellStyle name="ItemTypeClass 4 9" xfId="18835" xr:uid="{98D41481-AD25-4653-B61D-575FA149D61A}"/>
    <cellStyle name="ItemTypeClass 5" xfId="19626" xr:uid="{DF381861-1599-4C06-A5C4-03A02F936777}"/>
    <cellStyle name="ItemTypeClass 6" xfId="21742" xr:uid="{C497763F-3C42-492A-A945-6BC4BE105904}"/>
    <cellStyle name="ItemTypeClass 7" xfId="19209" xr:uid="{28EF3FA6-B8DC-43EF-926F-CEEFE982BBE0}"/>
    <cellStyle name="ItemTypeClass 8" xfId="21223" xr:uid="{E126FADD-BE9E-4257-91B2-CC8C1BC86883}"/>
    <cellStyle name="ItemTypeClass 9" xfId="20637" xr:uid="{EB129669-DB67-43FE-B6C2-919338B2ADD8}"/>
    <cellStyle name="KP_Normal" xfId="2507" xr:uid="{00000000-0005-0000-0000-0000E8090000}"/>
    <cellStyle name="Lien hypertexte visité_index" xfId="2508" xr:uid="{00000000-0005-0000-0000-0000E9090000}"/>
    <cellStyle name="Lien hypertexte_index" xfId="2509" xr:uid="{00000000-0005-0000-0000-0000EA090000}"/>
    <cellStyle name="ligne_detail" xfId="2510" xr:uid="{00000000-0005-0000-0000-0000EB090000}"/>
    <cellStyle name="Line" xfId="2511" xr:uid="{00000000-0005-0000-0000-0000EC090000}"/>
    <cellStyle name="Line 2" xfId="2512" xr:uid="{00000000-0005-0000-0000-0000ED090000}"/>
    <cellStyle name="Link Currency (0)" xfId="2513" xr:uid="{00000000-0005-0000-0000-0000EE090000}"/>
    <cellStyle name="Link Currency (0) 2" xfId="8080" xr:uid="{00000000-0005-0000-0000-0000901C0000}"/>
    <cellStyle name="Link Currency (2)" xfId="2514" xr:uid="{00000000-0005-0000-0000-0000EF090000}"/>
    <cellStyle name="Link Currency (2) 2" xfId="8081" xr:uid="{00000000-0005-0000-0000-0000911C0000}"/>
    <cellStyle name="Link Units (0)" xfId="2515" xr:uid="{00000000-0005-0000-0000-0000F0090000}"/>
    <cellStyle name="Link Units (0) 2" xfId="8082" xr:uid="{00000000-0005-0000-0000-0000921C0000}"/>
    <cellStyle name="Link Units (1)" xfId="2516" xr:uid="{00000000-0005-0000-0000-0000F1090000}"/>
    <cellStyle name="Link Units (2)" xfId="2517" xr:uid="{00000000-0005-0000-0000-0000F2090000}"/>
    <cellStyle name="Link Units (2) 2" xfId="8084" xr:uid="{00000000-0005-0000-0000-0000931C0000}"/>
    <cellStyle name="Linked Cell" xfId="5538" builtinId="24" customBuiltin="1"/>
    <cellStyle name="Linked Cell 2" xfId="2518" xr:uid="{00000000-0005-0000-0000-0000F4090000}"/>
    <cellStyle name="Linked Cell 2 2" xfId="2519" xr:uid="{00000000-0005-0000-0000-0000F5090000}"/>
    <cellStyle name="Linked Cell 2 3" xfId="2520" xr:uid="{00000000-0005-0000-0000-0000F6090000}"/>
    <cellStyle name="Linked Cell 2 4" xfId="2521" xr:uid="{00000000-0005-0000-0000-0000F7090000}"/>
    <cellStyle name="Linked Cell 2 5" xfId="2522" xr:uid="{00000000-0005-0000-0000-0000F8090000}"/>
    <cellStyle name="Linked Cell 2 6" xfId="2523" xr:uid="{00000000-0005-0000-0000-0000F9090000}"/>
    <cellStyle name="Linked Cell 2 7" xfId="2524" xr:uid="{00000000-0005-0000-0000-0000FA090000}"/>
    <cellStyle name="Linked Cell 2 8" xfId="2525" xr:uid="{00000000-0005-0000-0000-0000FB090000}"/>
    <cellStyle name="Linked Cell 2 9" xfId="2526" xr:uid="{00000000-0005-0000-0000-0000FC090000}"/>
    <cellStyle name="Linked Cell 3" xfId="2527" xr:uid="{00000000-0005-0000-0000-0000FD090000}"/>
    <cellStyle name="m/d/yy" xfId="2528" xr:uid="{00000000-0005-0000-0000-0000FE090000}"/>
    <cellStyle name="m/d/yy 2" xfId="2529" xr:uid="{00000000-0005-0000-0000-0000FF090000}"/>
    <cellStyle name="m1" xfId="2530" xr:uid="{00000000-0005-0000-0000-0000000A0000}"/>
    <cellStyle name="Major item" xfId="2531" xr:uid="{00000000-0005-0000-0000-0000010A0000}"/>
    <cellStyle name="Margin" xfId="2532" xr:uid="{00000000-0005-0000-0000-0000020A0000}"/>
    <cellStyle name="Migliaia (0)_Sheet1" xfId="2533" xr:uid="{00000000-0005-0000-0000-0000030A0000}"/>
    <cellStyle name="Migliaia_piv_polio" xfId="2534" xr:uid="{00000000-0005-0000-0000-0000040A0000}"/>
    <cellStyle name="Millares [0]_Asset Mgmt " xfId="2535" xr:uid="{00000000-0005-0000-0000-0000050A0000}"/>
    <cellStyle name="Millares_2AV_M_M " xfId="2536" xr:uid="{00000000-0005-0000-0000-0000060A0000}"/>
    <cellStyle name="Milliers [0]_CANADA1" xfId="2537" xr:uid="{00000000-0005-0000-0000-0000070A0000}"/>
    <cellStyle name="Milliers 2" xfId="2538" xr:uid="{00000000-0005-0000-0000-0000080A0000}"/>
    <cellStyle name="Milliers 2 2" xfId="8105" xr:uid="{00000000-0005-0000-0000-0000941C0000}"/>
    <cellStyle name="Milliers 2 3" xfId="11660" xr:uid="{00000000-0005-0000-0000-0000CD060000}"/>
    <cellStyle name="Milliers 2 3 2" xfId="44147" xr:uid="{DED71FF4-080B-45B4-850C-F10D08D11B6B}"/>
    <cellStyle name="Milliers 2 4" xfId="14989" xr:uid="{6C2E6107-D0FF-41FC-A707-26378E999515}"/>
    <cellStyle name="Milliers_CANADA1" xfId="2539" xr:uid="{00000000-0005-0000-0000-0000090A0000}"/>
    <cellStyle name="mm/dd/yy" xfId="2540" xr:uid="{00000000-0005-0000-0000-00000A0A0000}"/>
    <cellStyle name="mm/dd/yy 2" xfId="23504" xr:uid="{E7E124AD-CBAB-4E2B-B8B1-8F0B5EAE8FCB}"/>
    <cellStyle name="mod1" xfId="2541" xr:uid="{00000000-0005-0000-0000-00000B0A0000}"/>
    <cellStyle name="modelo1" xfId="2542" xr:uid="{00000000-0005-0000-0000-00000C0A0000}"/>
    <cellStyle name="Moneda [0]_2AV_M_M " xfId="2543" xr:uid="{00000000-0005-0000-0000-00000D0A0000}"/>
    <cellStyle name="Moneda_2AV_M_M " xfId="2544" xr:uid="{00000000-0005-0000-0000-00000E0A0000}"/>
    <cellStyle name="Monétaire [0]_CANADA1" xfId="2545" xr:uid="{00000000-0005-0000-0000-00000F0A0000}"/>
    <cellStyle name="Monétaire 2" xfId="2546" xr:uid="{00000000-0005-0000-0000-0000100A0000}"/>
    <cellStyle name="Monétaire 2 2" xfId="8112" xr:uid="{00000000-0005-0000-0000-0000951C0000}"/>
    <cellStyle name="Monétaire 2 3" xfId="11659" xr:uid="{00000000-0005-0000-0000-0000D5060000}"/>
    <cellStyle name="Monétaire 2 3 2" xfId="44146" xr:uid="{58CF9A02-BD44-4176-A2A5-12A43CED392E}"/>
    <cellStyle name="Monétaire 2 4" xfId="14991" xr:uid="{7B22E29E-B87B-4637-9FDF-E51C7FF8FDCF}"/>
    <cellStyle name="Monétaire_CANADA1" xfId="2547" xr:uid="{00000000-0005-0000-0000-0000110A0000}"/>
    <cellStyle name="Monetario" xfId="2548" xr:uid="{00000000-0005-0000-0000-0000120A0000}"/>
    <cellStyle name="MonthYears" xfId="2549" xr:uid="{00000000-0005-0000-0000-0000130A0000}"/>
    <cellStyle name="Multiple" xfId="2550" xr:uid="{00000000-0005-0000-0000-0000140A0000}"/>
    <cellStyle name="Multiple (no x)" xfId="2551" xr:uid="{00000000-0005-0000-0000-0000150A0000}"/>
    <cellStyle name="Multiple (x)" xfId="2552" xr:uid="{00000000-0005-0000-0000-0000160A0000}"/>
    <cellStyle name="Multiple [0]" xfId="2553" xr:uid="{00000000-0005-0000-0000-0000170A0000}"/>
    <cellStyle name="Multiple [1]" xfId="2554" xr:uid="{00000000-0005-0000-0000-0000180A0000}"/>
    <cellStyle name="Multiple [2]" xfId="2555" xr:uid="{00000000-0005-0000-0000-0000190A0000}"/>
    <cellStyle name="Multiple [3]" xfId="2556" xr:uid="{00000000-0005-0000-0000-00001A0A0000}"/>
    <cellStyle name="Multiple_1030171N" xfId="2557" xr:uid="{00000000-0005-0000-0000-00001B0A0000}"/>
    <cellStyle name="neg0.0_CapitalCost " xfId="2558" xr:uid="{00000000-0005-0000-0000-00001C0A0000}"/>
    <cellStyle name="Neutral 2" xfId="2559" xr:uid="{00000000-0005-0000-0000-00001D0A0000}"/>
    <cellStyle name="Neutral 2 2" xfId="2560" xr:uid="{00000000-0005-0000-0000-00001E0A0000}"/>
    <cellStyle name="Neutral 2 3" xfId="2561" xr:uid="{00000000-0005-0000-0000-00001F0A0000}"/>
    <cellStyle name="Neutral 2 4" xfId="2562" xr:uid="{00000000-0005-0000-0000-0000200A0000}"/>
    <cellStyle name="Neutral 2 5" xfId="2563" xr:uid="{00000000-0005-0000-0000-0000210A0000}"/>
    <cellStyle name="Neutral 2 6" xfId="2564" xr:uid="{00000000-0005-0000-0000-0000220A0000}"/>
    <cellStyle name="Neutral 2 7" xfId="2565" xr:uid="{00000000-0005-0000-0000-0000230A0000}"/>
    <cellStyle name="Neutral 2 8" xfId="2566" xr:uid="{00000000-0005-0000-0000-0000240A0000}"/>
    <cellStyle name="Neutral 2 9" xfId="2567" xr:uid="{00000000-0005-0000-0000-0000250A0000}"/>
    <cellStyle name="Neutral 3" xfId="2568" xr:uid="{00000000-0005-0000-0000-0000260A0000}"/>
    <cellStyle name="New" xfId="2569" xr:uid="{00000000-0005-0000-0000-0000270A0000}"/>
    <cellStyle name="Nil" xfId="2570" xr:uid="{00000000-0005-0000-0000-0000280A0000}"/>
    <cellStyle name="no dec" xfId="2571" xr:uid="{00000000-0005-0000-0000-0000290A0000}"/>
    <cellStyle name="No-definido" xfId="2572" xr:uid="{00000000-0005-0000-0000-00002A0A0000}"/>
    <cellStyle name="Non_Input_Cell_Figures" xfId="2573" xr:uid="{00000000-0005-0000-0000-00002B0A0000}"/>
    <cellStyle name="NonPrintingArea" xfId="2574" xr:uid="{00000000-0005-0000-0000-00002C0A0000}"/>
    <cellStyle name="NORAYAS" xfId="2575" xr:uid="{00000000-0005-0000-0000-00002D0A0000}"/>
    <cellStyle name="Normal" xfId="0" builtinId="0"/>
    <cellStyle name="Normal--" xfId="2576" xr:uid="{00000000-0005-0000-0000-00002F0A0000}"/>
    <cellStyle name="Normal - Style1" xfId="2577" xr:uid="{00000000-0005-0000-0000-0000300A0000}"/>
    <cellStyle name="Normal [0]" xfId="2578" xr:uid="{00000000-0005-0000-0000-0000310A0000}"/>
    <cellStyle name="Normal [1]" xfId="2579" xr:uid="{00000000-0005-0000-0000-0000320A0000}"/>
    <cellStyle name="Normal [3]" xfId="2580" xr:uid="{00000000-0005-0000-0000-0000330A0000}"/>
    <cellStyle name="Normal [3] 2" xfId="2581" xr:uid="{00000000-0005-0000-0000-0000340A0000}"/>
    <cellStyle name="Normal [3] 3" xfId="2582" xr:uid="{00000000-0005-0000-0000-0000350A0000}"/>
    <cellStyle name="Normal 10" xfId="2583" xr:uid="{00000000-0005-0000-0000-0000360A0000}"/>
    <cellStyle name="Normal 10 10" xfId="17985" xr:uid="{636BBAA3-D4BB-447B-BFE2-2150581987AA}"/>
    <cellStyle name="Normal 10 11" xfId="17396" xr:uid="{D137CD07-3062-4617-A8E8-33CBB2243037}"/>
    <cellStyle name="Normal 10 2" xfId="2584" xr:uid="{00000000-0005-0000-0000-0000370A0000}"/>
    <cellStyle name="Normal 10 2 2" xfId="17525" xr:uid="{74FC51EA-7576-4DD6-8A5E-5DD2A574FBCC}"/>
    <cellStyle name="Normal 10 2 2 2" xfId="17796" xr:uid="{4782F38A-D0F7-48F0-BCC5-526AD6E79F1B}"/>
    <cellStyle name="Normal 10 2 2 2 2" xfId="23559" xr:uid="{CB921B68-DF0E-4B3B-BEEF-6433862AC24C}"/>
    <cellStyle name="Normal 10 2 2 3" xfId="23100" xr:uid="{2E398833-B965-4C90-8479-32F701168D5B}"/>
    <cellStyle name="Normal 10 2 3" xfId="17492" xr:uid="{7502645A-0CE0-4987-A56D-52C07F0BD1BF}"/>
    <cellStyle name="Normal 10 2 3 2" xfId="17760" xr:uid="{3C9A6F48-24EC-4CB4-B0CE-9EF2298346E9}"/>
    <cellStyle name="Normal 10 2 3 2 2" xfId="23576" xr:uid="{13D7967D-DD9D-4F1E-B64A-287DBDFA261A}"/>
    <cellStyle name="Normal 10 2 3 3" xfId="23678" xr:uid="{030915AD-E69B-4A63-B4FD-A52F611EF7E4}"/>
    <cellStyle name="Normal 10 2 4" xfId="17682" xr:uid="{4D1C6C52-467F-4D60-8919-0EA10359AC1B}"/>
    <cellStyle name="Normal 10 2 4 2" xfId="23070" xr:uid="{12C085FE-B663-439A-9F47-B67C7D598D9B}"/>
    <cellStyle name="Normal 10 2 5" xfId="18710" xr:uid="{B81D40D8-92B0-4FC7-AFAE-AB6169B7E260}"/>
    <cellStyle name="Normal 10 2 5 2" xfId="23505" xr:uid="{8A1DBD48-1CA4-4947-A790-640D4418E1DD}"/>
    <cellStyle name="Normal 10 2 6" xfId="17986" xr:uid="{CDC10557-BEE0-4FB0-B002-18444C7C1BA3}"/>
    <cellStyle name="Normal 10 2 6 2" xfId="27616" xr:uid="{71402E0D-8F11-44C6-8B0F-6EBF44C7B603}"/>
    <cellStyle name="Normal 10 2 6 2 2" xfId="34460" xr:uid="{0F6076A0-EDD9-43E8-89A7-212FC499D766}"/>
    <cellStyle name="Normal 10 2 6 3" xfId="29696" xr:uid="{D53365E1-9921-4B0B-9A33-92D6772504B8}"/>
    <cellStyle name="Normal 10 2 6 3 2" xfId="36541" xr:uid="{B768784C-48C2-4C2D-9C2A-05F7B9028CCC}"/>
    <cellStyle name="Normal 10 2 6 4" xfId="24946" xr:uid="{2F13DC86-24DF-4B50-8116-5E783CDA9AA1}"/>
    <cellStyle name="Normal 10 2 6 5" xfId="31778" xr:uid="{4DA63A65-5997-4BF7-8591-E5687563B627}"/>
    <cellStyle name="Normal 10 2 7" xfId="17429" xr:uid="{B8484E4D-B823-412A-ACC5-DAD8726FE827}"/>
    <cellStyle name="Normal 10 2 7 2" xfId="27894" xr:uid="{AB565AE4-74FA-4901-9C58-774BB099B7F4}"/>
    <cellStyle name="Normal 10 2 7 2 2" xfId="34739" xr:uid="{6111705C-E7F0-4189-8BED-8B987951DB09}"/>
    <cellStyle name="Normal 10 2 7 3" xfId="29975" xr:uid="{157ED4BD-F267-4FDC-AE89-281343D6BC1F}"/>
    <cellStyle name="Normal 10 2 7 3 2" xfId="36820" xr:uid="{E2532962-C970-44A4-A7CF-4C7173430E76}"/>
    <cellStyle name="Normal 10 2 7 4" xfId="25222" xr:uid="{E1FFE80D-0537-4548-BA7E-7076A4951863}"/>
    <cellStyle name="Normal 10 2 7 5" xfId="32057" xr:uid="{6D41620D-1D7F-4FFF-B94E-85EF59177762}"/>
    <cellStyle name="Normal 10 2 8" xfId="24064" xr:uid="{711F8DAA-2F6E-4D70-B1D8-BBB38C7A70A6}"/>
    <cellStyle name="Normal 10 2 8 2" xfId="26677" xr:uid="{F418D6B6-6582-4A2A-8EB2-371D5E07F876}"/>
    <cellStyle name="Normal 10 2 8 2 2" xfId="33517" xr:uid="{AF16912A-938A-4730-B7CC-72FD02424624}"/>
    <cellStyle name="Normal 10 2 8 3" xfId="28753" xr:uid="{42995467-2614-4291-88CC-3F45C5FA6779}"/>
    <cellStyle name="Normal 10 2 8 3 2" xfId="35598" xr:uid="{76969189-D7D3-455A-92C3-B007CDEE0697}"/>
    <cellStyle name="Normal 10 2 8 4" xfId="30835" xr:uid="{ABFA2B04-FE2A-43DD-84B8-513B7A6DB085}"/>
    <cellStyle name="Normal 10 2 9" xfId="23135" xr:uid="{BAD08C08-4BEF-42BF-949B-BED3D9C9B782}"/>
    <cellStyle name="Normal 10 3" xfId="2585" xr:uid="{00000000-0005-0000-0000-0000380A0000}"/>
    <cellStyle name="Normal 10 3 2" xfId="17726" xr:uid="{0EC84A0D-AE8A-4D36-B221-261E60660543}"/>
    <cellStyle name="Normal 10 3 2 2" xfId="23587" xr:uid="{72618BB1-621F-465B-A5A4-FEC1801D7700}"/>
    <cellStyle name="Normal 10 3 3" xfId="18679" xr:uid="{3797B68A-3C79-4A5A-B20B-84B942BABBE8}"/>
    <cellStyle name="Normal 10 3 3 2" xfId="23506" xr:uid="{9753D3D9-1007-4208-BF70-D2A92E9A3944}"/>
    <cellStyle name="Normal 10 3 4" xfId="17987" xr:uid="{AE1FA3CA-6726-4A9C-BD67-704C135375E3}"/>
    <cellStyle name="Normal 10 3 5" xfId="17463" xr:uid="{848A3928-E11C-4144-85B2-914D83AD5200}"/>
    <cellStyle name="Normal 10 3 6" xfId="23115" xr:uid="{5DF06A41-7049-4460-9E43-6E5D3B340227}"/>
    <cellStyle name="Normal 10 4" xfId="2586" xr:uid="{00000000-0005-0000-0000-0000390A0000}"/>
    <cellStyle name="Normal 10 4 2" xfId="17855" xr:uid="{A5E02813-1634-470E-99B3-30E839B531E1}"/>
    <cellStyle name="Normal 10 4 2 2" xfId="24569" xr:uid="{17D8F170-62E7-4E78-A92F-B536A11E36DB}"/>
    <cellStyle name="Normal 10 4 3" xfId="18598" xr:uid="{BBAC3759-1006-4BBF-9E42-839B7496BDFA}"/>
    <cellStyle name="Normal 10 4 3 2" xfId="23507" xr:uid="{3CCFE64D-FE05-4409-A3B9-2BD549F14F5F}"/>
    <cellStyle name="Normal 10 4 4" xfId="17988" xr:uid="{241652B7-AE0D-45D9-A86D-31952379064B}"/>
    <cellStyle name="Normal 10 4 5" xfId="17584" xr:uid="{88FB37A6-B165-4E47-9475-93D6FB2591E8}"/>
    <cellStyle name="Normal 10 4 6" xfId="23624" xr:uid="{B98E1138-70AB-4EC4-A9AE-8EF1A9E5A7BF}"/>
    <cellStyle name="Normal 10 5" xfId="2587" xr:uid="{00000000-0005-0000-0000-00003A0A0000}"/>
    <cellStyle name="Normal 10 5 2" xfId="18565" xr:uid="{8D0E0C2E-6F0D-4502-8004-921DD270230E}"/>
    <cellStyle name="Normal 10 5 2 2" xfId="23508" xr:uid="{1C07C9AE-85B0-4CA8-84BC-17458E4D01D5}"/>
    <cellStyle name="Normal 10 5 3" xfId="17989" xr:uid="{18654875-EA07-4BC5-BDFD-72D50F29B622}"/>
    <cellStyle name="Normal 10 5 4" xfId="17640" xr:uid="{6CF02591-172D-4CE0-95CF-887368B3B7DA}"/>
    <cellStyle name="Normal 10 5 5" xfId="23091" xr:uid="{6177BD6A-381A-4424-876C-98AD6B7220A3}"/>
    <cellStyle name="Normal 10 6" xfId="2588" xr:uid="{00000000-0005-0000-0000-00003B0A0000}"/>
    <cellStyle name="Normal 10 7" xfId="2589" xr:uid="{00000000-0005-0000-0000-00003C0A0000}"/>
    <cellStyle name="Normal 10 7 2" xfId="8155" xr:uid="{00000000-0005-0000-0000-0000961C0000}"/>
    <cellStyle name="Normal 10 7 2 2" xfId="40952" xr:uid="{C6CB1F09-8EE1-4404-9E27-AC078E8661FE}"/>
    <cellStyle name="Normal 10 7 3" xfId="13616" xr:uid="{99A4DA01-EEBC-4CDC-A5B0-CEC2DC401474}"/>
    <cellStyle name="Normal 10 8" xfId="2590" xr:uid="{00000000-0005-0000-0000-00003D0A0000}"/>
    <cellStyle name="Normal 10 8 2" xfId="8156" xr:uid="{00000000-0005-0000-0000-0000971C0000}"/>
    <cellStyle name="Normal 10 8 2 2" xfId="40953" xr:uid="{E29FC7D6-05F9-4366-AF2A-037618533B8B}"/>
    <cellStyle name="Normal 10 8 3" xfId="17278" xr:uid="{5097851E-AE3D-4F31-A377-1FB1F0C97609}"/>
    <cellStyle name="Normal 10 9" xfId="18727" xr:uid="{B2823594-C6C7-4693-A58B-DD36D1EDE64F}"/>
    <cellStyle name="Normal 100" xfId="19215" xr:uid="{50CEFE71-0874-4599-9331-B08ABB3B45A8}"/>
    <cellStyle name="Normal 101" xfId="22865" xr:uid="{1D030C32-7F6E-4486-AE9E-BFDAAD10FEBB}"/>
    <cellStyle name="Normal 102" xfId="22159" xr:uid="{0EDDE619-7E1C-4214-B36D-18CE7BEA8300}"/>
    <cellStyle name="Normal 103" xfId="21686" xr:uid="{67510A5B-8656-4FBA-883B-577F08A1B94B}"/>
    <cellStyle name="Normal 104" xfId="20421" xr:uid="{98E66881-98DC-4DAC-9E3D-01EBDFD17036}"/>
    <cellStyle name="Normal 105" xfId="19096" xr:uid="{4A26AE03-D216-457F-AE9A-FA27BDF1B837}"/>
    <cellStyle name="Normal 106" xfId="13611" xr:uid="{D61E1C9B-78A2-4EB6-95B1-F78B18F3DBFA}"/>
    <cellStyle name="Normal 11" xfId="2591" xr:uid="{00000000-0005-0000-0000-00003E0A0000}"/>
    <cellStyle name="Normal 11 2" xfId="2592" xr:uid="{00000000-0005-0000-0000-00003F0A0000}"/>
    <cellStyle name="Normal 11 2 2" xfId="2593" xr:uid="{00000000-0005-0000-0000-0000400A0000}"/>
    <cellStyle name="Normal 11 2 3" xfId="8158" xr:uid="{00000000-0005-0000-0000-0000981C0000}"/>
    <cellStyle name="Normal 11 2 3 2" xfId="40955" xr:uid="{B6FAA1C9-C6E2-4A6F-915F-AC95CABC8F09}"/>
    <cellStyle name="Normal 11 2 4" xfId="15005" xr:uid="{7B3A14EA-C93E-4B4F-8EB9-E6FDAE85F936}"/>
    <cellStyle name="Normal 11 3" xfId="2594" xr:uid="{00000000-0005-0000-0000-0000410A0000}"/>
    <cellStyle name="Normal 11 3 2" xfId="8160" xr:uid="{00000000-0005-0000-0000-0000991C0000}"/>
    <cellStyle name="Normal 11 3 2 2" xfId="40957" xr:uid="{D6A8B3EF-D9A4-4756-A95B-9297A439FDE6}"/>
    <cellStyle name="Normal 11 3 3" xfId="15006" xr:uid="{88231C28-7BD0-4ABD-8F91-C45D71CB1F0C}"/>
    <cellStyle name="Normal 11 4" xfId="2595" xr:uid="{00000000-0005-0000-0000-0000420A0000}"/>
    <cellStyle name="Normal 11 4 2" xfId="8161" xr:uid="{00000000-0005-0000-0000-00009A1C0000}"/>
    <cellStyle name="Normal 11 4 2 2" xfId="40958" xr:uid="{4EB3D3E7-F93B-475D-A2FD-BBEA2EF48265}"/>
    <cellStyle name="Normal 11 4 3" xfId="15007" xr:uid="{F23E0A72-0234-4027-B919-E6B5201BBA15}"/>
    <cellStyle name="Normal 11 5" xfId="2596" xr:uid="{00000000-0005-0000-0000-0000430A0000}"/>
    <cellStyle name="Normal 11 5 2" xfId="8162" xr:uid="{00000000-0005-0000-0000-00009B1C0000}"/>
    <cellStyle name="Normal 11 5 2 2" xfId="40959" xr:uid="{979B9A14-FD0E-4FA4-984A-64DAB03A52B9}"/>
    <cellStyle name="Normal 11 5 3" xfId="15008" xr:uid="{C59B5491-421C-4469-BFAC-09D92B98F0A1}"/>
    <cellStyle name="Normal 11 6" xfId="2597" xr:uid="{00000000-0005-0000-0000-0000440A0000}"/>
    <cellStyle name="Normal 11 7" xfId="2598" xr:uid="{00000000-0005-0000-0000-0000450A0000}"/>
    <cellStyle name="Normal 11 8" xfId="17990" xr:uid="{C3682143-D07A-4D57-B95D-E6517280B816}"/>
    <cellStyle name="Normal 12" xfId="2599" xr:uid="{00000000-0005-0000-0000-0000460A0000}"/>
    <cellStyle name="Normal 12 2" xfId="2600" xr:uid="{00000000-0005-0000-0000-0000470A0000}"/>
    <cellStyle name="Normal 12 2 2" xfId="8166" xr:uid="{00000000-0005-0000-0000-00009C1C0000}"/>
    <cellStyle name="Normal 12 2 2 2" xfId="40963" xr:uid="{8B0C4F6E-66CB-418C-A160-1C39A2369302}"/>
    <cellStyle name="Normal 12 2 3" xfId="15010" xr:uid="{90B0DE7C-6CD5-4DBD-900A-F083B3606B23}"/>
    <cellStyle name="Normal 12 3" xfId="2601" xr:uid="{00000000-0005-0000-0000-0000480A0000}"/>
    <cellStyle name="Normal 12 3 2" xfId="8167" xr:uid="{00000000-0005-0000-0000-00009D1C0000}"/>
    <cellStyle name="Normal 12 3 2 2" xfId="40964" xr:uid="{55AAC8CF-5A28-4FD7-B4E8-E2AE2B67EDFE}"/>
    <cellStyle name="Normal 12 3 3" xfId="15011" xr:uid="{D3EA7F1A-0D87-4723-8559-D386705CA49A}"/>
    <cellStyle name="Normal 12 4" xfId="2602" xr:uid="{00000000-0005-0000-0000-0000490A0000}"/>
    <cellStyle name="Normal 12 4 2" xfId="8168" xr:uid="{00000000-0005-0000-0000-00009E1C0000}"/>
    <cellStyle name="Normal 12 4 2 2" xfId="40965" xr:uid="{974D3E47-0DF8-4973-9849-3CBE17E2269A}"/>
    <cellStyle name="Normal 12 4 3" xfId="15012" xr:uid="{1F4C36AB-63D7-4D6B-B94C-0105684C64D6}"/>
    <cellStyle name="Normal 12 5" xfId="2603" xr:uid="{00000000-0005-0000-0000-00004A0A0000}"/>
    <cellStyle name="Normal 12 5 2" xfId="8169" xr:uid="{00000000-0005-0000-0000-00009F1C0000}"/>
    <cellStyle name="Normal 12 5 2 2" xfId="40966" xr:uid="{26B62170-C622-41A7-9963-A1C3E2FE77F2}"/>
    <cellStyle name="Normal 12 5 3" xfId="15013" xr:uid="{71D173A0-DECF-4FD3-8324-38E61365F552}"/>
    <cellStyle name="Normal 12 6" xfId="2604" xr:uid="{00000000-0005-0000-0000-00004B0A0000}"/>
    <cellStyle name="Normal 12 7" xfId="17991" xr:uid="{F115F042-C78D-4C46-8FC5-D40586076709}"/>
    <cellStyle name="Normal 13" xfId="2605" xr:uid="{00000000-0005-0000-0000-00004C0A0000}"/>
    <cellStyle name="Normal 13 2" xfId="2606" xr:uid="{00000000-0005-0000-0000-00004D0A0000}"/>
    <cellStyle name="Normal 13 2 2" xfId="17524" xr:uid="{DCF0F0BF-21E5-4686-8B9A-507CDEBBF710}"/>
    <cellStyle name="Normal 13 2 2 2" xfId="17795" xr:uid="{F3E4C6C8-444F-450F-B22D-B929B6474794}"/>
    <cellStyle name="Normal 13 2 2 2 2" xfId="23560" xr:uid="{C38AB193-A44E-4D6F-B0BC-41644467DEF5}"/>
    <cellStyle name="Normal 13 2 2 3" xfId="23101" xr:uid="{8CA39203-D8E8-404C-B00F-E651890BDF91}"/>
    <cellStyle name="Normal 13 2 3" xfId="17493" xr:uid="{ABA861CA-C6F5-488D-AACB-DDCE7E21EA8A}"/>
    <cellStyle name="Normal 13 2 3 2" xfId="17761" xr:uid="{65FFF080-4C08-471D-885D-A8E56326C0E5}"/>
    <cellStyle name="Normal 13 2 3 2 2" xfId="23575" xr:uid="{09B0C3EB-861A-4ACE-90AF-D2497C318C79}"/>
    <cellStyle name="Normal 13 2 3 3" xfId="23677" xr:uid="{2008A7B9-497E-4B4C-83D3-B25BEA79FCF3}"/>
    <cellStyle name="Normal 13 2 4" xfId="17683" xr:uid="{A0443727-F98B-4AE0-8310-716759BE935E}"/>
    <cellStyle name="Normal 13 2 4 2" xfId="23069" xr:uid="{85AF745A-7570-4B0E-96D2-2082681153C1}"/>
    <cellStyle name="Normal 13 2 5" xfId="18709" xr:uid="{BCEE5C20-CF21-4263-9197-235AB9841FA3}"/>
    <cellStyle name="Normal 13 2 5 2" xfId="23509" xr:uid="{42FD29C5-5542-4AA7-A716-C9DDAFA130A3}"/>
    <cellStyle name="Normal 13 2 6" xfId="17993" xr:uid="{8BAEBE84-F67B-4BDE-A7B4-6057DE52E810}"/>
    <cellStyle name="Normal 13 2 6 2" xfId="27863" xr:uid="{91999663-4ABC-42C7-B479-5A93FC5391AE}"/>
    <cellStyle name="Normal 13 2 6 2 2" xfId="34708" xr:uid="{E0C83996-4505-423F-A625-4264B3664AB5}"/>
    <cellStyle name="Normal 13 2 6 3" xfId="29944" xr:uid="{CE90663F-4CBA-4F02-A044-BA89AA13F61C}"/>
    <cellStyle name="Normal 13 2 6 3 2" xfId="36789" xr:uid="{A22AF56A-4564-4BCD-9C69-FDCF5A81BCC7}"/>
    <cellStyle name="Normal 13 2 6 4" xfId="25191" xr:uid="{46812A86-B044-472E-B65A-E3FFE11F5E0C}"/>
    <cellStyle name="Normal 13 2 6 5" xfId="32026" xr:uid="{9C4209C8-ED48-44DC-8D4E-5FCBC2B4C6EA}"/>
    <cellStyle name="Normal 13 2 7" xfId="17430" xr:uid="{64F5A7CA-B2D7-43C6-ABE1-777A08482D92}"/>
    <cellStyle name="Normal 13 2 7 2" xfId="26975" xr:uid="{A0970275-A073-4C6C-8E24-AE8D5F01616F}"/>
    <cellStyle name="Normal 13 2 7 2 2" xfId="33815" xr:uid="{006594F9-CAB6-49B4-B3A0-BA4459CA6832}"/>
    <cellStyle name="Normal 13 2 7 3" xfId="29051" xr:uid="{9352F038-6F06-4CA3-BB8C-904A60C0E250}"/>
    <cellStyle name="Normal 13 2 7 3 2" xfId="35896" xr:uid="{D2CF03FF-5AEC-43F5-A68D-B5376E7A96B8}"/>
    <cellStyle name="Normal 13 2 7 4" xfId="24368" xr:uid="{E7AB5CBD-FA4B-4D64-9D38-E14D63E3F6DB}"/>
    <cellStyle name="Normal 13 2 7 5" xfId="31133" xr:uid="{FDBC2F9E-D875-437D-8D66-220D356DDE65}"/>
    <cellStyle name="Normal 13 2 8" xfId="24109" xr:uid="{F02087D1-10DA-4933-B4FC-EF0EBBE73969}"/>
    <cellStyle name="Normal 13 2 8 2" xfId="26721" xr:uid="{06787364-2878-4092-ADFB-17C0ACC4FDFA}"/>
    <cellStyle name="Normal 13 2 8 2 2" xfId="33561" xr:uid="{527DC6D5-47AB-4CEA-98A7-A99C580DAF8E}"/>
    <cellStyle name="Normal 13 2 8 3" xfId="28797" xr:uid="{124BFCE1-C58D-4E34-970F-30A0C55E952D}"/>
    <cellStyle name="Normal 13 2 8 3 2" xfId="35642" xr:uid="{6EFDE1DD-CE18-43ED-98CF-27B61E8A1962}"/>
    <cellStyle name="Normal 13 2 8 4" xfId="30879" xr:uid="{3E541B2B-9C3A-4421-AB86-2C3B50F725A5}"/>
    <cellStyle name="Normal 13 2 9" xfId="23134" xr:uid="{C8D4A725-C5E7-46F5-B5A3-455D453E9101}"/>
    <cellStyle name="Normal 13 3" xfId="2607" xr:uid="{00000000-0005-0000-0000-00004E0A0000}"/>
    <cellStyle name="Normal 13 3 2" xfId="17727" xr:uid="{C347DE01-66D6-4E72-AF43-B2BCA11ADB77}"/>
    <cellStyle name="Normal 13 3 2 2" xfId="23586" xr:uid="{D61FE442-5A14-46EF-9BE0-560C88137114}"/>
    <cellStyle name="Normal 13 3 3" xfId="18678" xr:uid="{19719ACA-0C96-42A8-BBA9-C145EF015A95}"/>
    <cellStyle name="Normal 13 3 3 2" xfId="23510" xr:uid="{06BD95F1-D03D-4588-BA11-0F664D376B70}"/>
    <cellStyle name="Normal 13 3 4" xfId="17994" xr:uid="{AC35EB9E-9958-4A57-9CB4-5662222E6210}"/>
    <cellStyle name="Normal 13 3 5" xfId="17464" xr:uid="{D36FCC46-1690-4E51-9F47-9716B52666C4}"/>
    <cellStyle name="Normal 13 3 6" xfId="23114" xr:uid="{4DDDDB0D-59E4-4AC3-ABEC-265EEB149DDD}"/>
    <cellStyle name="Normal 13 4" xfId="2608" xr:uid="{00000000-0005-0000-0000-00004F0A0000}"/>
    <cellStyle name="Normal 13 4 2" xfId="8174" xr:uid="{00000000-0005-0000-0000-0000A01C0000}"/>
    <cellStyle name="Normal 13 4 2 2" xfId="24589" xr:uid="{F34E6245-4EC0-4FB7-9234-0977CFDF239F}"/>
    <cellStyle name="Normal 13 4 2 3" xfId="17860" xr:uid="{EC5BA81A-197F-4BAA-AE09-3B8782F54E5E}"/>
    <cellStyle name="Normal 13 4 2 4" xfId="40971" xr:uid="{53AC5DAD-B509-4EDC-B598-6E0623690344}"/>
    <cellStyle name="Normal 13 4 3" xfId="9282" xr:uid="{00000000-0005-0000-0000-00000F070000}"/>
    <cellStyle name="Normal 13 4 3 2" xfId="18592" xr:uid="{21572607-3D0B-4393-82EB-16AFEE6591F4}"/>
    <cellStyle name="Normal 13 4 3 3" xfId="41816" xr:uid="{C8DECFB2-0777-4278-B1BE-0625E6767530}"/>
    <cellStyle name="Normal 13 4 3 4" xfId="48120" xr:uid="{2229B29D-5AAE-426D-AB14-6140733090A5}"/>
    <cellStyle name="Normal 13 4 3 5" xfId="47767" xr:uid="{32D79097-D3CD-4A93-B06A-4976463A4B69}"/>
    <cellStyle name="Normal 13 4 3 6" xfId="46833" xr:uid="{A45CD6B2-7A39-44CC-8D0D-02FB3B952F10}"/>
    <cellStyle name="Normal 13 4 3 7" xfId="49207" xr:uid="{CA74D81B-C8EF-42E7-A109-EDB5FDDF6F1F}"/>
    <cellStyle name="Normal 13 4 4" xfId="18334" xr:uid="{A91D8C15-13CF-4A38-A7C9-BD36EB6B8EF4}"/>
    <cellStyle name="Normal 13 4 5" xfId="17596" xr:uid="{23155180-DC90-4938-835F-E922619AF27D}"/>
    <cellStyle name="Normal 13 4 6" xfId="23614" xr:uid="{C9A127F0-C6F8-4DAE-A941-F97C77B0AA18}"/>
    <cellStyle name="Normal 13 4 7" xfId="17345" xr:uid="{C448A094-7D38-4AE0-97D8-4CAF7783BD85}"/>
    <cellStyle name="Normal 13 5" xfId="2609" xr:uid="{00000000-0005-0000-0000-0000500A0000}"/>
    <cellStyle name="Normal 13 5 2" xfId="18814" xr:uid="{B0DF0B4F-B71E-47B9-882B-CA4F3748959C}"/>
    <cellStyle name="Normal 13 5 3" xfId="23090" xr:uid="{57BEB2AD-DDA7-45C7-A1A8-AE145615967A}"/>
    <cellStyle name="Normal 13 5 4" xfId="17280" xr:uid="{D85660B6-7B72-42AE-BFD6-AFEF7DCCF20A}"/>
    <cellStyle name="Normal 13 5 5" xfId="14150" xr:uid="{6820ACA7-AF0E-47AE-85BF-B46D13844458}"/>
    <cellStyle name="Normal 13 5 6" xfId="46718" xr:uid="{E30AE8E7-66AB-47E7-8C87-4D0F9877108A}"/>
    <cellStyle name="Normal 13 5 7" xfId="14994" xr:uid="{7F2385AA-A1F5-48E1-9B39-DEA7B66DD31E}"/>
    <cellStyle name="Normal 13 5 8" xfId="48846" xr:uid="{F3A188B3-58B6-41C2-976A-F52F30119B50}"/>
    <cellStyle name="Normal 13 5 9" xfId="49586" xr:uid="{C434EEE1-8B97-4B0E-86C1-3D7E0CE9AC4E}"/>
    <cellStyle name="Normal 13 6" xfId="17992" xr:uid="{8862A86F-D669-4BA6-BB1C-C636A0073D66}"/>
    <cellStyle name="Normal 14" xfId="2610" xr:uid="{00000000-0005-0000-0000-0000510A0000}"/>
    <cellStyle name="Normal 14 2" xfId="2611" xr:uid="{00000000-0005-0000-0000-0000520A0000}"/>
    <cellStyle name="Normal 14 2 2" xfId="2612" xr:uid="{00000000-0005-0000-0000-0000530A0000}"/>
    <cellStyle name="Normal 14 2 2 2" xfId="8178" xr:uid="{00000000-0005-0000-0000-0000A11C0000}"/>
    <cellStyle name="Normal 14 2 2 2 2" xfId="17762" xr:uid="{9C3BF961-0FB7-4C59-BF71-03E4D3C2AB6E}"/>
    <cellStyle name="Normal 14 2 2 2 2 2" xfId="18483" xr:uid="{16A41DCB-84A1-4490-89C4-661F82F76C05}"/>
    <cellStyle name="Normal 14 2 2 2 3" xfId="18654" xr:uid="{3766DBE0-7BFF-40A4-A431-DFBADDD6EE56}"/>
    <cellStyle name="Normal 14 2 2 2 4" xfId="17494" xr:uid="{F50B1F09-B109-4135-8B0D-01FCBE2B1CAD}"/>
    <cellStyle name="Normal 14 2 2 3" xfId="17684" xr:uid="{75FB89EC-E279-4D85-BA6F-13EC2BD4CA8A}"/>
    <cellStyle name="Normal 14 2 2 3 2" xfId="18535" xr:uid="{C82F6241-BAEF-4EB6-B9E3-05FA31F41D7F}"/>
    <cellStyle name="Normal 14 2 2 4" xfId="18323" xr:uid="{01DF23BE-1823-419B-BDB2-24F06B593F59}"/>
    <cellStyle name="Normal 14 2 2 5" xfId="17281" xr:uid="{628A3070-F7CF-41C6-B964-93C71C1277A4}"/>
    <cellStyle name="Normal 14 2 3" xfId="17465" xr:uid="{F139EA4A-1199-44BE-B1CD-F5A3314D5AB8}"/>
    <cellStyle name="Normal 14 2 3 2" xfId="17728" xr:uid="{B215A27A-0F5A-45AB-9A34-AD36FEC6BFB8}"/>
    <cellStyle name="Normal 14 2 3 2 2" xfId="18507" xr:uid="{44010B32-AFF1-4C2B-A15A-1F9488EB5900}"/>
    <cellStyle name="Normal 14 2 3 3" xfId="18677" xr:uid="{991F5A3F-8DA5-4D55-89F3-AB9F99BCE40D}"/>
    <cellStyle name="Normal 14 2 4" xfId="17597" xr:uid="{1661CE9C-BA74-4DF3-9762-C94CEAA14ECF}"/>
    <cellStyle name="Normal 14 2 4 2" xfId="17861" xr:uid="{F97DB943-4A7D-4717-9C18-8B453F3D7DBF}"/>
    <cellStyle name="Normal 14 2 4 2 2" xfId="18416" xr:uid="{BA424271-5A4F-4166-90D7-2D0E22B4EC04}"/>
    <cellStyle name="Normal 14 2 4 3" xfId="18591" xr:uid="{2525E02B-AA63-4969-A40C-C115A0B7367D}"/>
    <cellStyle name="Normal 14 2 5" xfId="17641" xr:uid="{198146D2-61E1-436A-8535-13B09ED3DCA5}"/>
    <cellStyle name="Normal 14 2 5 2" xfId="18564" xr:uid="{AB7015DD-8C26-4009-BECC-257FF6749FAA}"/>
    <cellStyle name="Normal 14 2 6" xfId="17996" xr:uid="{5565436D-1C85-48D8-AD2E-A0CCC61EC567}"/>
    <cellStyle name="Normal 14 2 6 2" xfId="23511" xr:uid="{B26075E0-1466-4B83-AFCA-2AF79A18373A}"/>
    <cellStyle name="Normal 14 2 7" xfId="24476" xr:uid="{AF9EE9D4-83B9-4070-9AEB-FA01C3E3D65D}"/>
    <cellStyle name="Normal 14 3" xfId="2613" xr:uid="{00000000-0005-0000-0000-0000540A0000}"/>
    <cellStyle name="Normal 14 4" xfId="17995" xr:uid="{D7E1D8AD-9A2F-40D7-A2AD-A0466276F76B}"/>
    <cellStyle name="Normal 15" xfId="2614" xr:uid="{00000000-0005-0000-0000-0000550A0000}"/>
    <cellStyle name="Normal 15 2" xfId="2615" xr:uid="{00000000-0005-0000-0000-0000560A0000}"/>
    <cellStyle name="Normal 15 2 2" xfId="2616" xr:uid="{00000000-0005-0000-0000-0000570A0000}"/>
    <cellStyle name="Normal 15 2 2 2" xfId="17763" xr:uid="{CDEFBD96-1067-4371-B468-530DAA41DDC5}"/>
    <cellStyle name="Normal 15 2 2 2 2" xfId="18482" xr:uid="{2B42AA59-BF1C-4799-8B36-E5B6F335185E}"/>
    <cellStyle name="Normal 15 2 2 3" xfId="18653" xr:uid="{105F322B-2264-4C81-87E5-00E9734446D8}"/>
    <cellStyle name="Normal 15 2 2 3 2" xfId="23514" xr:uid="{2A301044-B862-48C7-B918-DD6FED32DE14}"/>
    <cellStyle name="Normal 15 2 2 4" xfId="17999" xr:uid="{2CFE4BDB-1924-4DE1-953A-2C029272A454}"/>
    <cellStyle name="Normal 15 2 2 4 2" xfId="24588" xr:uid="{E29862C8-8E5B-4C5B-AE6D-D6F389C775A3}"/>
    <cellStyle name="Normal 15 2 2 5" xfId="17495" xr:uid="{72BDF9D6-57F1-42FB-89AF-4C975FE54FCA}"/>
    <cellStyle name="Normal 15 2 3" xfId="17685" xr:uid="{313B39F0-0609-451D-A35F-FC899C6C7AC7}"/>
    <cellStyle name="Normal 15 2 3 2" xfId="18534" xr:uid="{C63873F2-D2CD-4004-B9B1-2DA715EE8731}"/>
    <cellStyle name="Normal 15 2 4" xfId="18708" xr:uid="{C937C7E6-1A5A-47D9-B377-0E740B959DD7}"/>
    <cellStyle name="Normal 15 2 4 2" xfId="23513" xr:uid="{CE8F1B78-E756-4D6F-A3DF-A60AE7BF5AE4}"/>
    <cellStyle name="Normal 15 2 5" xfId="17998" xr:uid="{24EEEE88-28AB-459F-B6E0-A22906B140F7}"/>
    <cellStyle name="Normal 15 2 5 2" xfId="24544" xr:uid="{0CB108C3-E3D5-4DCA-B343-49A0D03A9D93}"/>
    <cellStyle name="Normal 15 2 6" xfId="17431" xr:uid="{9EC3FE14-B9C0-4012-BCBB-98442A47CD63}"/>
    <cellStyle name="Normal 15 3" xfId="2617" xr:uid="{00000000-0005-0000-0000-0000580A0000}"/>
    <cellStyle name="Normal 15 3 2" xfId="17729" xr:uid="{391AEC97-33EC-474E-A9FD-3B8A763904AD}"/>
    <cellStyle name="Normal 15 3 2 2" xfId="18506" xr:uid="{F069B294-B0A4-4445-8114-5D999C5C8E01}"/>
    <cellStyle name="Normal 15 3 3" xfId="18676" xr:uid="{C7C32992-6847-4B70-9913-21130EBDCB12}"/>
    <cellStyle name="Normal 15 3 3 2" xfId="23515" xr:uid="{2460FE48-0094-4BF9-8DE2-191E41AEF337}"/>
    <cellStyle name="Normal 15 3 4" xfId="18000" xr:uid="{42A3B5DA-F771-4546-A6FD-9634ED83FA0F}"/>
    <cellStyle name="Normal 15 3 4 2" xfId="24567" xr:uid="{84AF3DFF-32DA-466B-8D39-9B2122F7B95D}"/>
    <cellStyle name="Normal 15 3 5" xfId="17466" xr:uid="{F686EB5F-3555-4DE5-BEA8-6786F13100D5}"/>
    <cellStyle name="Normal 15 4" xfId="2618" xr:uid="{00000000-0005-0000-0000-0000590A0000}"/>
    <cellStyle name="Normal 15 4 2" xfId="17862" xr:uid="{DA4EFDDF-8F35-44A4-8EC2-9778BB65F51B}"/>
    <cellStyle name="Normal 15 4 2 2" xfId="18415" xr:uid="{C4041D85-0ACC-4594-8C64-1D4942D83C8F}"/>
    <cellStyle name="Normal 15 4 3" xfId="18590" xr:uid="{D79E44B5-87A5-4DA8-90F4-C9F6C5D0744D}"/>
    <cellStyle name="Normal 15 4 3 2" xfId="23516" xr:uid="{7B7B1B78-78AB-420F-9EEF-2F4135AE87D8}"/>
    <cellStyle name="Normal 15 4 4" xfId="18001" xr:uid="{D99A4EF9-E727-48C3-8DE9-CE50CCBB41F4}"/>
    <cellStyle name="Normal 15 4 4 2" xfId="24625" xr:uid="{43994F96-35F7-4715-813E-0926ADDDEFAB}"/>
    <cellStyle name="Normal 15 4 5" xfId="17598" xr:uid="{9CD8E90F-6D4C-4798-8505-792EC6727293}"/>
    <cellStyle name="Normal 15 5" xfId="2619" xr:uid="{00000000-0005-0000-0000-00005A0A0000}"/>
    <cellStyle name="Normal 15 5 2" xfId="8185" xr:uid="{00000000-0005-0000-0000-0000A21C0000}"/>
    <cellStyle name="Normal 15 5 2 2" xfId="18324" xr:uid="{CBC27EF1-3602-49C7-959B-AA230ECDF140}"/>
    <cellStyle name="Normal 15 5 3" xfId="17282" xr:uid="{50DDFB60-0F8C-4654-BB0B-ECF6D4B841FF}"/>
    <cellStyle name="Normal 15 6" xfId="17997" xr:uid="{272B9785-15B8-433A-A6A0-D55209B42D67}"/>
    <cellStyle name="Normal 15 6 2" xfId="23512" xr:uid="{3BD1C3AB-F74D-4903-B1B5-81AAC03CA131}"/>
    <cellStyle name="Normal 15 7" xfId="24478" xr:uid="{78BC3DBF-8E4F-4F9E-ACE1-2C42C1139BF1}"/>
    <cellStyle name="Normal 16" xfId="2620" xr:uid="{00000000-0005-0000-0000-00005B0A0000}"/>
    <cellStyle name="Normal 16 2" xfId="2621" xr:uid="{00000000-0005-0000-0000-00005C0A0000}"/>
    <cellStyle name="Normal 16 2 2" xfId="17496" xr:uid="{F3C9AA63-6215-436C-8854-B482D04B3FDB}"/>
    <cellStyle name="Normal 16 2 2 2" xfId="17764" xr:uid="{BE91BA86-F588-48D3-98C4-442A5BC40536}"/>
    <cellStyle name="Normal 16 2 2 2 2" xfId="18481" xr:uid="{BB9A7889-16B4-42A9-9CB9-0C133DC54CBC}"/>
    <cellStyle name="Normal 16 2 2 3" xfId="18652" xr:uid="{777CD824-EB4D-471A-A3DD-A039A2FF56D6}"/>
    <cellStyle name="Normal 16 2 3" xfId="17686" xr:uid="{7224421F-A44F-4D1E-92EA-E52CA8806822}"/>
    <cellStyle name="Normal 16 2 3 2" xfId="18533" xr:uid="{F0908914-FFD0-448A-9904-A96062CBDAA3}"/>
    <cellStyle name="Normal 16 2 4" xfId="18707" xr:uid="{72C95722-AFBC-412A-B4C8-E3745A9B4625}"/>
    <cellStyle name="Normal 16 2 4 2" xfId="23518" xr:uid="{2E29832C-3FDC-43E9-81BC-F0D1602FF1EE}"/>
    <cellStyle name="Normal 16 2 5" xfId="18003" xr:uid="{8A33E344-EA0F-4A19-B12A-05FA46D659A9}"/>
    <cellStyle name="Normal 16 2 5 2" xfId="24545" xr:uid="{F7424945-E476-415F-BAAD-535092278AD0}"/>
    <cellStyle name="Normal 16 2 6" xfId="17432" xr:uid="{54F5F22A-3858-445D-AD16-DC0DCA53E640}"/>
    <cellStyle name="Normal 16 3" xfId="2622" xr:uid="{00000000-0005-0000-0000-00005D0A0000}"/>
    <cellStyle name="Normal 16 3 2" xfId="17730" xr:uid="{002C9F64-2F7E-41B9-8D7B-2FFCBED6A20C}"/>
    <cellStyle name="Normal 16 3 2 2" xfId="18505" xr:uid="{3127315C-607F-4DFB-ADD9-ADD5F3D0F6D4}"/>
    <cellStyle name="Normal 16 3 3" xfId="18675" xr:uid="{2F8942C7-40AE-409A-A680-3B2EABF3C621}"/>
    <cellStyle name="Normal 16 3 3 2" xfId="23519" xr:uid="{CFA80FA8-CB84-42FB-B1E1-0461D4465293}"/>
    <cellStyle name="Normal 16 3 4" xfId="18004" xr:uid="{3C50D1D7-4CAA-49D2-8EF6-7776C744BE3B}"/>
    <cellStyle name="Normal 16 3 4 2" xfId="24568" xr:uid="{CE34872A-2ABB-43C7-A459-786C70AF837A}"/>
    <cellStyle name="Normal 16 3 5" xfId="17467" xr:uid="{ECD90A31-991B-4DF4-B318-9664757C0600}"/>
    <cellStyle name="Normal 16 4" xfId="2623" xr:uid="{00000000-0005-0000-0000-00005E0A0000}"/>
    <cellStyle name="Normal 16 4 2" xfId="8189" xr:uid="{00000000-0005-0000-0000-0000A31C0000}"/>
    <cellStyle name="Normal 16 4 2 2" xfId="18414" xr:uid="{90947E0B-B834-4E74-9BE5-CDD859FCE7EA}"/>
    <cellStyle name="Normal 16 4 2 3" xfId="17863" xr:uid="{7D8944E5-2C52-4031-A445-8E327D0936B0}"/>
    <cellStyle name="Normal 16 4 3" xfId="18325" xr:uid="{5737CF76-9308-4ECC-B7E8-283EC9AB58B3}"/>
    <cellStyle name="Normal 16 4 4" xfId="17283" xr:uid="{B3DA9CDF-2F1C-4F90-8F8F-429EE0106D1E}"/>
    <cellStyle name="Normal 16 5" xfId="17642" xr:uid="{5B31136B-8701-4EFF-BADA-8A2E2E88D67E}"/>
    <cellStyle name="Normal 16 5 2" xfId="18563" xr:uid="{1F5DDD3E-38C4-428D-A143-A29E68907DC0}"/>
    <cellStyle name="Normal 16 6" xfId="18002" xr:uid="{AD76BE16-3C9D-4C42-B095-C01EE4341633}"/>
    <cellStyle name="Normal 16 6 2" xfId="23517" xr:uid="{15F9CA8B-EC7B-4411-ACAB-BA9A94DBE098}"/>
    <cellStyle name="Normal 16 7" xfId="24479" xr:uid="{EAB62DCD-7D44-4E7A-A6C4-474BD1E2A133}"/>
    <cellStyle name="Normal 17" xfId="2624" xr:uid="{00000000-0005-0000-0000-00005F0A0000}"/>
    <cellStyle name="Normal 17 2" xfId="17412" xr:uid="{42CF6EEB-C9F2-4F82-A787-B211BB489E7D}"/>
    <cellStyle name="Normal 17 2 2" xfId="17453" xr:uid="{041B471F-51B4-41A2-B526-632A256F6E20}"/>
    <cellStyle name="Normal 17 2 2 2" xfId="17517" xr:uid="{A3AAA9CF-683F-4618-91EE-7BDB6D4CE25D}"/>
    <cellStyle name="Normal 17 2 2 2 2" xfId="17788" xr:uid="{EB3678D9-8CF3-42AA-A8C8-5BC4D2854EFC}"/>
    <cellStyle name="Normal 17 2 2 2 2 2" xfId="18467" xr:uid="{7B48EA94-3845-40B5-BF37-FB7345F204DD}"/>
    <cellStyle name="Normal 17 2 2 2 3" xfId="18639" xr:uid="{BFA9EEB4-3C41-41D6-8867-7625306F3F43}"/>
    <cellStyle name="Normal 17 2 2 3" xfId="17719" xr:uid="{FD01C1E6-53A1-4CD3-8927-BDB8454B98EC}"/>
    <cellStyle name="Normal 17 2 2 3 2" xfId="18514" xr:uid="{D10AA555-9FC4-4917-AAFB-897C3859C5B1}"/>
    <cellStyle name="Normal 17 2 2 4" xfId="18689" xr:uid="{2DE0CD1A-49B8-4A4A-AFC8-947CB00CFB95}"/>
    <cellStyle name="Normal 17 2 3" xfId="17485" xr:uid="{6AC18030-B4DE-4BDE-8F7E-4C6F221291E0}"/>
    <cellStyle name="Normal 17 2 3 2" xfId="17753" xr:uid="{F755376C-6D72-4B23-92AF-7695843651B4}"/>
    <cellStyle name="Normal 17 2 3 2 2" xfId="18490" xr:uid="{0BE4661C-2129-4C11-B406-5B9FA72280AE}"/>
    <cellStyle name="Normal 17 2 3 3" xfId="18661" xr:uid="{0A9820AA-537D-4619-BF8B-FF50EF4ED661}"/>
    <cellStyle name="Normal 17 2 4" xfId="17582" xr:uid="{F8347BE0-DA43-48C6-9044-E9B49435D102}"/>
    <cellStyle name="Normal 17 2 4 2" xfId="17853" xr:uid="{329B27C9-A5A2-4542-903A-552D2D379E65}"/>
    <cellStyle name="Normal 17 2 4 2 2" xfId="18421" xr:uid="{22B00789-5399-407E-AF73-095F649D4648}"/>
    <cellStyle name="Normal 17 2 4 3" xfId="18600" xr:uid="{F0337071-D735-4BE4-94CE-A917E29BA2B5}"/>
    <cellStyle name="Normal 17 2 5" xfId="17666" xr:uid="{8A2A7EB8-C94D-43D5-923B-6F9081B12BB1}"/>
    <cellStyle name="Normal 17 2 5 2" xfId="18549" xr:uid="{AD7032DA-42C3-4589-836B-7EA05B2CA00E}"/>
    <cellStyle name="Normal 17 2 6" xfId="18828" xr:uid="{FAB75F40-9CC0-40F8-9D36-105ED57BDD20}"/>
    <cellStyle name="Normal 17 3" xfId="17450" xr:uid="{288E953B-DE9F-41CD-8896-2A215B2214AA}"/>
    <cellStyle name="Normal 17 3 2" xfId="17514" xr:uid="{0BC86095-3E8F-4BE9-BA03-FC4A42C2BEE5}"/>
    <cellStyle name="Normal 17 3 2 2" xfId="17784" xr:uid="{DC261CA0-CDFA-4609-BB72-94AF694D8239}"/>
    <cellStyle name="Normal 17 3 2 2 2" xfId="18471" xr:uid="{917DC79B-722A-4F97-BF33-AFC716BD9803}"/>
    <cellStyle name="Normal 17 3 2 3" xfId="18643" xr:uid="{AF62D0A2-BAC8-4053-9AF3-E1C995DADBAD}"/>
    <cellStyle name="Normal 17 3 3" xfId="17715" xr:uid="{848F0A30-FAFB-4776-810A-DF3CB410182B}"/>
    <cellStyle name="Normal 17 3 3 2" xfId="18518" xr:uid="{741F6926-B6BE-4073-AF68-BCC323101143}"/>
    <cellStyle name="Normal 17 3 4" xfId="18692" xr:uid="{12B4D368-DFA4-4364-93E3-551404BE85EA}"/>
    <cellStyle name="Normal 17 4" xfId="17482" xr:uid="{8A7B7B87-3D8B-4FF4-AD87-FBEEB363D245}"/>
    <cellStyle name="Normal 17 4 2" xfId="17749" xr:uid="{E87AEE5C-FB8B-4D25-A4A4-7A8A83498F5D}"/>
    <cellStyle name="Normal 17 4 2 2" xfId="18494" xr:uid="{67B6FD94-823D-4524-9EEE-17D4B5BE9B84}"/>
    <cellStyle name="Normal 17 4 3" xfId="18664" xr:uid="{FBD8137F-A4FB-4083-8348-76164F4C59C5}"/>
    <cellStyle name="Normal 17 5" xfId="17599" xr:uid="{2F4356AE-5F90-43F6-94BE-7500AA1C6473}"/>
    <cellStyle name="Normal 17 5 2" xfId="17864" xr:uid="{93075AB9-1F4B-4953-AE16-169C40D8F0F0}"/>
    <cellStyle name="Normal 17 5 2 2" xfId="18413" xr:uid="{C87ED88A-9AC9-44A6-820C-220E195F2612}"/>
    <cellStyle name="Normal 17 5 3" xfId="18589" xr:uid="{4119DD90-4AA4-4355-9A52-0C5CC091527B}"/>
    <cellStyle name="Normal 17 6" xfId="17663" xr:uid="{23359602-807A-454E-BEFE-7A5ACDBF22DD}"/>
    <cellStyle name="Normal 17 6 2" xfId="18552" xr:uid="{7B926305-DBE9-451A-AFA0-3E9877E851B4}"/>
    <cellStyle name="Normal 17 7" xfId="18722" xr:uid="{AD7D7BC5-CC92-43B7-A1DD-6F308BB00CCD}"/>
    <cellStyle name="Normal 17 7 2" xfId="23520" xr:uid="{5E4153E1-D888-4006-A78B-D2074896BBC4}"/>
    <cellStyle name="Normal 17 8" xfId="18005" xr:uid="{9C2F5E46-E89C-48E5-B84F-0DFE35A61E7F}"/>
    <cellStyle name="Normal 17 8 2" xfId="24527" xr:uid="{97CBA978-33E7-4AF1-B07F-BFB73BDBF441}"/>
    <cellStyle name="Normal 17 9" xfId="17410" xr:uid="{A33FB559-F3FE-47B1-9350-743BBCB2DF4C}"/>
    <cellStyle name="Normal 18" xfId="2625" xr:uid="{00000000-0005-0000-0000-0000600A0000}"/>
    <cellStyle name="Normal 18 2" xfId="2626" xr:uid="{00000000-0005-0000-0000-0000610A0000}"/>
    <cellStyle name="Normal 18 2 2" xfId="17516" xr:uid="{1481A2B0-3092-4F11-8620-6FDD404598E6}"/>
    <cellStyle name="Normal 18 2 2 2" xfId="17786" xr:uid="{DFAF6575-E4F5-4BE3-9A4E-5D6BA080929F}"/>
    <cellStyle name="Normal 18 2 2 2 2" xfId="18469" xr:uid="{E2742A90-3E06-4A20-9DBA-341C887BBA1E}"/>
    <cellStyle name="Normal 18 2 2 3" xfId="18641" xr:uid="{CC0E5D10-AD99-489F-92FB-8BE81369A33D}"/>
    <cellStyle name="Normal 18 2 3" xfId="17717" xr:uid="{DFE55FD4-AF87-4700-8DE5-76B24F2FE4A5}"/>
    <cellStyle name="Normal 18 2 3 2" xfId="18516" xr:uid="{8FA889A5-3269-4BE7-AAE5-F3F658595D33}"/>
    <cellStyle name="Normal 18 2 4" xfId="18690" xr:uid="{46203FCF-382E-4419-AE01-1EF099BF4003}"/>
    <cellStyle name="Normal 18 2 4 2" xfId="23521" xr:uid="{EE8F0270-E193-4C8A-B296-180DEB7E8751}"/>
    <cellStyle name="Normal 18 2 5" xfId="18007" xr:uid="{3F21C52A-7EEE-4794-9B97-96B78F598D6F}"/>
    <cellStyle name="Normal 18 2 5 2" xfId="24560" xr:uid="{A3961819-411F-4257-8075-C7870DB77994}"/>
    <cellStyle name="Normal 18 2 6" xfId="17452" xr:uid="{76D18E6B-BB5C-4505-A1FC-CC21ED16ECBE}"/>
    <cellStyle name="Normal 18 3" xfId="8191" xr:uid="{00000000-0005-0000-0000-0000A41C0000}"/>
    <cellStyle name="Normal 18 3 2" xfId="17751" xr:uid="{19408365-552D-4ACF-B274-A281A00DDEE6}"/>
    <cellStyle name="Normal 18 3 2 2" xfId="18492" xr:uid="{199606F4-4FFD-4089-BF94-7CBA3A5E25DC}"/>
    <cellStyle name="Normal 18 3 3" xfId="18662" xr:uid="{617F1AB6-A0DB-48C8-BADF-1B6202D30AB4}"/>
    <cellStyle name="Normal 18 3 4" xfId="17484" xr:uid="{FB1B1279-3E6E-41D0-A875-C28A0EB850AA}"/>
    <cellStyle name="Normal 18 4" xfId="17600" xr:uid="{FE56C73E-1E8E-4B16-8F8D-FCE116B46A9A}"/>
    <cellStyle name="Normal 18 4 2" xfId="17865" xr:uid="{70139762-0E20-458B-B093-BA2A2D14316D}"/>
    <cellStyle name="Normal 18 4 2 2" xfId="18412" xr:uid="{1A180A56-8254-4050-90D1-8567AA3BB9A7}"/>
    <cellStyle name="Normal 18 4 3" xfId="18588" xr:uid="{AD068BE9-4768-47F9-A593-658BC41FC1E9}"/>
    <cellStyle name="Normal 18 5" xfId="17665" xr:uid="{16DF55B5-F5A4-4424-8287-F64452D4290B}"/>
    <cellStyle name="Normal 18 5 2" xfId="18550" xr:uid="{9A8514DE-209D-41B5-8516-AFC6EBE6654D}"/>
    <cellStyle name="Normal 18 6" xfId="18006" xr:uid="{22A44677-9104-452E-9B99-F8A7BC1C5DA8}"/>
    <cellStyle name="Normal 18 7" xfId="24529" xr:uid="{FD1B183B-1D71-446E-BE0A-030920C8C71F}"/>
    <cellStyle name="Normal 18 8" xfId="15020" xr:uid="{A7D3D883-2A13-4E64-848C-05083A3C3051}"/>
    <cellStyle name="Normal 19" xfId="2627" xr:uid="{00000000-0005-0000-0000-0000620A0000}"/>
    <cellStyle name="Normal 19 2" xfId="18717" xr:uid="{F12D3CCF-C8CC-4E2C-978D-36052E378F74}"/>
    <cellStyle name="Normal 19 2 2" xfId="23522" xr:uid="{17D3F52C-A70E-4D8F-900A-BA5AE713573C}"/>
    <cellStyle name="Normal 19 3" xfId="18008" xr:uid="{FBACBA53-0C41-4B0C-9808-70BDAC19EDDC}"/>
    <cellStyle name="Normal 19 4" xfId="17415" xr:uid="{0E08EA86-6417-470B-8283-4D9B09092F56}"/>
    <cellStyle name="Normal 2" xfId="2628" xr:uid="{00000000-0005-0000-0000-0000630A0000}"/>
    <cellStyle name="Normal-- 2" xfId="2629" xr:uid="{00000000-0005-0000-0000-0000640A0000}"/>
    <cellStyle name="Normal 2 10" xfId="2630" xr:uid="{00000000-0005-0000-0000-0000650A0000}"/>
    <cellStyle name="Normal 2 10 2" xfId="2631" xr:uid="{00000000-0005-0000-0000-0000660A0000}"/>
    <cellStyle name="Normal 2 10 3" xfId="18009" xr:uid="{31C8075B-4EA5-4765-BF08-BE8A399EC860}"/>
    <cellStyle name="Normal 2 11" xfId="2632" xr:uid="{00000000-0005-0000-0000-0000670A0000}"/>
    <cellStyle name="Normal 2 11 2" xfId="2633" xr:uid="{00000000-0005-0000-0000-0000680A0000}"/>
    <cellStyle name="Normal 2 11 3" xfId="18010" xr:uid="{E5C6925D-3520-4DA3-AF85-85CCB3D98F3A}"/>
    <cellStyle name="Normal 2 12" xfId="2634" xr:uid="{00000000-0005-0000-0000-0000690A0000}"/>
    <cellStyle name="Normal 2 12 2" xfId="2635" xr:uid="{00000000-0005-0000-0000-00006A0A0000}"/>
    <cellStyle name="Normal 2 12 3" xfId="18011" xr:uid="{FE25D5BA-DBAE-49C4-ACBF-2D392D296F88}"/>
    <cellStyle name="Normal 2 13" xfId="2636" xr:uid="{00000000-0005-0000-0000-00006B0A0000}"/>
    <cellStyle name="Normal 2 13 2" xfId="2637" xr:uid="{00000000-0005-0000-0000-00006C0A0000}"/>
    <cellStyle name="Normal 2 13 3" xfId="18012" xr:uid="{10241FF8-8B6F-4A7D-96F3-B5D01647F8DA}"/>
    <cellStyle name="Normal 2 14" xfId="2638" xr:uid="{00000000-0005-0000-0000-00006D0A0000}"/>
    <cellStyle name="Normal 2 14 2" xfId="2639" xr:uid="{00000000-0005-0000-0000-00006E0A0000}"/>
    <cellStyle name="Normal 2 14 3" xfId="18013" xr:uid="{D22BEC7C-B4EB-4751-8947-A12431B4EE58}"/>
    <cellStyle name="Normal 2 15" xfId="2640" xr:uid="{00000000-0005-0000-0000-00006F0A0000}"/>
    <cellStyle name="Normal 2 15 2" xfId="2641" xr:uid="{00000000-0005-0000-0000-0000700A0000}"/>
    <cellStyle name="Normal 2 15 3" xfId="18014" xr:uid="{D7E95BE0-0500-4EBB-8637-FC696525B407}"/>
    <cellStyle name="Normal 2 16" xfId="2642" xr:uid="{00000000-0005-0000-0000-0000710A0000}"/>
    <cellStyle name="Normal 2 16 2" xfId="2643" xr:uid="{00000000-0005-0000-0000-0000720A0000}"/>
    <cellStyle name="Normal 2 16 3" xfId="18015" xr:uid="{56429336-2BFB-484B-92D3-FDAD98759A65}"/>
    <cellStyle name="Normal 2 17" xfId="2644" xr:uid="{00000000-0005-0000-0000-0000730A0000}"/>
    <cellStyle name="Normal 2 17 2" xfId="2645" xr:uid="{00000000-0005-0000-0000-0000740A0000}"/>
    <cellStyle name="Normal 2 17 3" xfId="18016" xr:uid="{F5210879-8028-451D-BCB7-B87B78D47C3F}"/>
    <cellStyle name="Normal 2 18" xfId="2646" xr:uid="{00000000-0005-0000-0000-0000750A0000}"/>
    <cellStyle name="Normal 2 18 2" xfId="2647" xr:uid="{00000000-0005-0000-0000-0000760A0000}"/>
    <cellStyle name="Normal 2 18 3" xfId="18017" xr:uid="{BA90653D-ABFD-4002-B07D-9BA59D670B10}"/>
    <cellStyle name="Normal 2 19" xfId="2648" xr:uid="{00000000-0005-0000-0000-0000770A0000}"/>
    <cellStyle name="Normal 2 19 2" xfId="2649" xr:uid="{00000000-0005-0000-0000-0000780A0000}"/>
    <cellStyle name="Normal 2 19 3" xfId="18018" xr:uid="{2021CC48-0813-4A10-B1D4-AFD63E83E088}"/>
    <cellStyle name="Normal 2 2" xfId="2650" xr:uid="{00000000-0005-0000-0000-0000790A0000}"/>
    <cellStyle name="Normal 2 2 2" xfId="2651" xr:uid="{00000000-0005-0000-0000-00007A0A0000}"/>
    <cellStyle name="Normal 2 2 2 2" xfId="2652" xr:uid="{00000000-0005-0000-0000-00007B0A0000}"/>
    <cellStyle name="Normal 2 2 2 2 2" xfId="2653" xr:uid="{00000000-0005-0000-0000-00007C0A0000}"/>
    <cellStyle name="Normal 2 2 2 3" xfId="2654" xr:uid="{00000000-0005-0000-0000-00007D0A0000}"/>
    <cellStyle name="Normal 2 2 2 4" xfId="2655" xr:uid="{00000000-0005-0000-0000-00007E0A0000}"/>
    <cellStyle name="Normal 2 2 2 5" xfId="2656" xr:uid="{00000000-0005-0000-0000-00007F0A0000}"/>
    <cellStyle name="Normal 2 2 2 6" xfId="2657" xr:uid="{00000000-0005-0000-0000-0000800A0000}"/>
    <cellStyle name="Normal 2 2 2 7" xfId="2658" xr:uid="{00000000-0005-0000-0000-0000810A0000}"/>
    <cellStyle name="Normal 2 2 2 7 2" xfId="9356" xr:uid="{00000000-0005-0000-0000-00008F1B0000}"/>
    <cellStyle name="Normal 2 2 2 7 3" xfId="23524" xr:uid="{A9FD6F2D-76BD-4164-A5D5-6086A0498631}"/>
    <cellStyle name="Normal 2 2 2 8" xfId="18019" xr:uid="{F608E066-C7BE-4F0E-AA49-68D1BFEEA3F5}"/>
    <cellStyle name="Normal 2 2 3" xfId="2659" xr:uid="{00000000-0005-0000-0000-0000820A0000}"/>
    <cellStyle name="Normal 2 2 3 2" xfId="2660" xr:uid="{00000000-0005-0000-0000-0000830A0000}"/>
    <cellStyle name="Normal 2 2 3 3" xfId="18020" xr:uid="{FDD863B0-5F9B-45BD-93C2-D391A3CAD4FA}"/>
    <cellStyle name="Normal 2 2 4" xfId="2661" xr:uid="{00000000-0005-0000-0000-0000840A0000}"/>
    <cellStyle name="Normal 2 2 4 2" xfId="2662" xr:uid="{00000000-0005-0000-0000-0000850A0000}"/>
    <cellStyle name="Normal 2 2 4 3" xfId="2663" xr:uid="{00000000-0005-0000-0000-0000860A0000}"/>
    <cellStyle name="Normal 2 2 5" xfId="2664" xr:uid="{00000000-0005-0000-0000-0000870A0000}"/>
    <cellStyle name="Normal 2 2 6" xfId="2665" xr:uid="{00000000-0005-0000-0000-0000880A0000}"/>
    <cellStyle name="Normal 2 2 7" xfId="2666" xr:uid="{00000000-0005-0000-0000-0000890A0000}"/>
    <cellStyle name="Normal 2 2 7 2" xfId="8232" xr:uid="{00000000-0005-0000-0000-0000A51C0000}"/>
    <cellStyle name="Normal 2 2 7 2 2" xfId="23523" xr:uid="{797C99EF-5DB4-4158-BAC8-CC5C1771CA52}"/>
    <cellStyle name="Normal 2 2 7 2 3" xfId="41026" xr:uid="{181E2BC4-4C27-42F4-B1DD-4ACFF05226AA}"/>
    <cellStyle name="Normal 2 2 7 3" xfId="11657" xr:uid="{00000000-0005-0000-0000-000037070000}"/>
    <cellStyle name="Normal 2 2 7 4" xfId="17348" xr:uid="{E31FBC66-C5A8-4886-8185-874070BEC409}"/>
    <cellStyle name="Normal 2 2 8" xfId="2667" xr:uid="{00000000-0005-0000-0000-00008A0A0000}"/>
    <cellStyle name="Normal 2 2 8 2" xfId="9368" xr:uid="{00000000-0005-0000-0000-00008E1B0000}"/>
    <cellStyle name="Normal 2 20" xfId="2668" xr:uid="{00000000-0005-0000-0000-00008B0A0000}"/>
    <cellStyle name="Normal 2 20 2" xfId="2669" xr:uid="{00000000-0005-0000-0000-00008C0A0000}"/>
    <cellStyle name="Normal 2 20 3" xfId="18021" xr:uid="{1B199211-BEC6-403F-B515-3211DE124A2D}"/>
    <cellStyle name="Normal 2 21" xfId="2670" xr:uid="{00000000-0005-0000-0000-00008D0A0000}"/>
    <cellStyle name="Normal 2 21 2" xfId="2671" xr:uid="{00000000-0005-0000-0000-00008E0A0000}"/>
    <cellStyle name="Normal 2 21 3" xfId="18022" xr:uid="{00646800-4A73-4EFF-938F-194102AC3D21}"/>
    <cellStyle name="Normal 2 22" xfId="2672" xr:uid="{00000000-0005-0000-0000-00008F0A0000}"/>
    <cellStyle name="Normal 2 22 2" xfId="2673" xr:uid="{00000000-0005-0000-0000-0000900A0000}"/>
    <cellStyle name="Normal 2 22 3" xfId="18023" xr:uid="{B19BBC9B-9F74-4F42-B7F5-D170C31CFA6C}"/>
    <cellStyle name="Normal 2 23" xfId="2674" xr:uid="{00000000-0005-0000-0000-0000910A0000}"/>
    <cellStyle name="Normal 2 23 2" xfId="2675" xr:uid="{00000000-0005-0000-0000-0000920A0000}"/>
    <cellStyle name="Normal 2 23 3" xfId="18024" xr:uid="{AB939D60-72B4-46A4-9AEA-28946A3E5624}"/>
    <cellStyle name="Normal 2 24" xfId="2676" xr:uid="{00000000-0005-0000-0000-0000930A0000}"/>
    <cellStyle name="Normal 2 24 2" xfId="2677" xr:uid="{00000000-0005-0000-0000-0000940A0000}"/>
    <cellStyle name="Normal 2 24 2 2" xfId="2678" xr:uid="{00000000-0005-0000-0000-0000950A0000}"/>
    <cellStyle name="Normal 2 24 2 2 2" xfId="8244" xr:uid="{00000000-0005-0000-0000-0000A71C0000}"/>
    <cellStyle name="Normal 2 24 2 2 2 2" xfId="41038" xr:uid="{9BE08F17-6CEB-48EF-95D9-5DEAF1853341}"/>
    <cellStyle name="Normal 2 24 2 2 3" xfId="15038" xr:uid="{AF61F943-4993-4764-90B0-4744A71FABEE}"/>
    <cellStyle name="Normal 2 24 2 3" xfId="8243" xr:uid="{00000000-0005-0000-0000-0000A61C0000}"/>
    <cellStyle name="Normal 2 24 2 3 2" xfId="41037" xr:uid="{6E6D4E8E-278C-4E29-8B41-09F2E6EA091D}"/>
    <cellStyle name="Normal 2 24 2 4" xfId="15037" xr:uid="{1738274D-9C9E-485F-807B-BD8FEAB39C57}"/>
    <cellStyle name="Normal 2 24 3" xfId="2679" xr:uid="{00000000-0005-0000-0000-0000960A0000}"/>
    <cellStyle name="Normal 2 24 3 2" xfId="8245" xr:uid="{00000000-0005-0000-0000-0000A81C0000}"/>
    <cellStyle name="Normal 2 24 3 2 2" xfId="41039" xr:uid="{1740CA07-4E72-4F5E-A146-888E0B1F215A}"/>
    <cellStyle name="Normal 2 24 3 3" xfId="15039" xr:uid="{2E8490D2-2F90-41A3-90C8-05001882857D}"/>
    <cellStyle name="Normal 2 24 4" xfId="2680" xr:uid="{00000000-0005-0000-0000-0000970A0000}"/>
    <cellStyle name="Normal 2 24 5" xfId="18025" xr:uid="{1C9FE8B0-0FD6-4243-B34A-58F06260D300}"/>
    <cellStyle name="Normal 2 25" xfId="2681" xr:uid="{00000000-0005-0000-0000-0000980A0000}"/>
    <cellStyle name="Normal 2 25 2" xfId="2682" xr:uid="{00000000-0005-0000-0000-0000990A0000}"/>
    <cellStyle name="Normal 2 25 3" xfId="18026" xr:uid="{7DCFCC74-3E01-4E18-9453-769F2D38721E}"/>
    <cellStyle name="Normal 2 26" xfId="2683" xr:uid="{00000000-0005-0000-0000-00009A0A0000}"/>
    <cellStyle name="Normal 2 26 2" xfId="2684" xr:uid="{00000000-0005-0000-0000-00009B0A0000}"/>
    <cellStyle name="Normal 2 26 3" xfId="18027" xr:uid="{0290B53F-9213-439E-9EC0-2EB630EBD0D1}"/>
    <cellStyle name="Normal 2 27" xfId="2685" xr:uid="{00000000-0005-0000-0000-00009C0A0000}"/>
    <cellStyle name="Normal 2 27 2" xfId="2686" xr:uid="{00000000-0005-0000-0000-00009D0A0000}"/>
    <cellStyle name="Normal 2 27 3" xfId="18028" xr:uid="{CEF77522-7073-4EEE-889B-638ECB8E949B}"/>
    <cellStyle name="Normal 2 28" xfId="2687" xr:uid="{00000000-0005-0000-0000-00009E0A0000}"/>
    <cellStyle name="Normal 2 28 2" xfId="2688" xr:uid="{00000000-0005-0000-0000-00009F0A0000}"/>
    <cellStyle name="Normal 2 28 3" xfId="18029" xr:uid="{52480A72-6FB3-48E3-A41E-6681DD2F603D}"/>
    <cellStyle name="Normal 2 29" xfId="2689" xr:uid="{00000000-0005-0000-0000-0000A00A0000}"/>
    <cellStyle name="Normal 2 29 2" xfId="2690" xr:uid="{00000000-0005-0000-0000-0000A10A0000}"/>
    <cellStyle name="Normal 2 29 3" xfId="18030" xr:uid="{403742EC-6DEC-4BC4-9DF3-5F8624464BFA}"/>
    <cellStyle name="Normal 2 3" xfId="2691" xr:uid="{00000000-0005-0000-0000-0000A20A0000}"/>
    <cellStyle name="Normal 2 3 2" xfId="2692" xr:uid="{00000000-0005-0000-0000-0000A30A0000}"/>
    <cellStyle name="Normal 2 3 2 2" xfId="2693" xr:uid="{00000000-0005-0000-0000-0000A40A0000}"/>
    <cellStyle name="Normal 2 3 2 3" xfId="18031" xr:uid="{4FDC04BF-1DFB-4211-9FB9-8CFFE36F0431}"/>
    <cellStyle name="Normal 2 3 3" xfId="2694" xr:uid="{00000000-0005-0000-0000-0000A50A0000}"/>
    <cellStyle name="Normal 2 3 3 2" xfId="2695" xr:uid="{00000000-0005-0000-0000-0000A60A0000}"/>
    <cellStyle name="Normal 2 3 3 3" xfId="18032" xr:uid="{EBCF7892-7AA5-41E2-A945-1EE2E43E52A6}"/>
    <cellStyle name="Normal 2 3 4" xfId="2696" xr:uid="{00000000-0005-0000-0000-0000A70A0000}"/>
    <cellStyle name="Normal 2 3 4 2" xfId="9357" xr:uid="{00000000-0005-0000-0000-0000B31B0000}"/>
    <cellStyle name="Normal 2 3 4 2 2" xfId="23525" xr:uid="{31582363-560C-4A12-BA3A-BB7E49096D6B}"/>
    <cellStyle name="Normal 2 30" xfId="2697" xr:uid="{00000000-0005-0000-0000-0000A80A0000}"/>
    <cellStyle name="Normal 2 30 2" xfId="2698" xr:uid="{00000000-0005-0000-0000-0000A90A0000}"/>
    <cellStyle name="Normal 2 30 3" xfId="18033" xr:uid="{959FA226-D767-4FD9-88D3-8D43BC95F05F}"/>
    <cellStyle name="Normal 2 31" xfId="2699" xr:uid="{00000000-0005-0000-0000-0000AA0A0000}"/>
    <cellStyle name="Normal 2 31 2" xfId="2700" xr:uid="{00000000-0005-0000-0000-0000AB0A0000}"/>
    <cellStyle name="Normal 2 31 3" xfId="18034" xr:uid="{43C808C2-0590-4E25-B755-B785DA1B8047}"/>
    <cellStyle name="Normal 2 32" xfId="2701" xr:uid="{00000000-0005-0000-0000-0000AC0A0000}"/>
    <cellStyle name="Normal 2 33" xfId="2702" xr:uid="{00000000-0005-0000-0000-0000AD0A0000}"/>
    <cellStyle name="Normal 2 34" xfId="2703" xr:uid="{00000000-0005-0000-0000-0000AE0A0000}"/>
    <cellStyle name="Normal 2 35" xfId="2704" xr:uid="{00000000-0005-0000-0000-0000AF0A0000}"/>
    <cellStyle name="Normal 2 36" xfId="2705" xr:uid="{00000000-0005-0000-0000-0000B00A0000}"/>
    <cellStyle name="Normal 2 37" xfId="2706" xr:uid="{00000000-0005-0000-0000-0000B10A0000}"/>
    <cellStyle name="Normal 2 37 2" xfId="2707" xr:uid="{00000000-0005-0000-0000-0000B20A0000}"/>
    <cellStyle name="Normal 2 37 3" xfId="18035" xr:uid="{7851CAB4-CB00-4D1D-ADEF-5471DA990BB9}"/>
    <cellStyle name="Normal 2 38" xfId="2708" xr:uid="{00000000-0005-0000-0000-0000B30A0000}"/>
    <cellStyle name="Normal 2 38 2" xfId="2709" xr:uid="{00000000-0005-0000-0000-0000B40A0000}"/>
    <cellStyle name="Normal 2 38 3" xfId="2710" xr:uid="{00000000-0005-0000-0000-0000B50A0000}"/>
    <cellStyle name="Normal 2 39" xfId="2711" xr:uid="{00000000-0005-0000-0000-0000B60A0000}"/>
    <cellStyle name="Normal 2 39 2" xfId="2712" xr:uid="{00000000-0005-0000-0000-0000B70A0000}"/>
    <cellStyle name="Normal 2 39 3" xfId="18036" xr:uid="{8565A304-C94F-4476-B45E-02C8FABA68CA}"/>
    <cellStyle name="Normal 2 4" xfId="2713" xr:uid="{00000000-0005-0000-0000-0000B80A0000}"/>
    <cellStyle name="Normal 2 4 2" xfId="2714" xr:uid="{00000000-0005-0000-0000-0000B90A0000}"/>
    <cellStyle name="Normal 2 4 3" xfId="2715" xr:uid="{00000000-0005-0000-0000-0000BA0A0000}"/>
    <cellStyle name="Normal 2 4 4" xfId="2716" xr:uid="{00000000-0005-0000-0000-0000BB0A0000}"/>
    <cellStyle name="Normal 2 4 5" xfId="2717" xr:uid="{00000000-0005-0000-0000-0000BC0A0000}"/>
    <cellStyle name="Normal 2 4 5 2" xfId="9301" xr:uid="{00000000-0005-0000-0000-0000C31B0000}"/>
    <cellStyle name="Normal 2 40" xfId="2718" xr:uid="{00000000-0005-0000-0000-0000BD0A0000}"/>
    <cellStyle name="Normal 2 41" xfId="2719" xr:uid="{00000000-0005-0000-0000-0000BE0A0000}"/>
    <cellStyle name="Normal 2 42" xfId="2720" xr:uid="{00000000-0005-0000-0000-0000BF0A0000}"/>
    <cellStyle name="Normal 2 43" xfId="2721" xr:uid="{00000000-0005-0000-0000-0000C00A0000}"/>
    <cellStyle name="Normal 2 44" xfId="2722" xr:uid="{00000000-0005-0000-0000-0000C10A0000}"/>
    <cellStyle name="Normal 2 45" xfId="2723" xr:uid="{00000000-0005-0000-0000-0000C20A0000}"/>
    <cellStyle name="Normal 2 46" xfId="2724" xr:uid="{00000000-0005-0000-0000-0000C30A0000}"/>
    <cellStyle name="Normal 2 47" xfId="2725" xr:uid="{00000000-0005-0000-0000-0000C40A0000}"/>
    <cellStyle name="Normal 2 47 2" xfId="8289" xr:uid="{00000000-0005-0000-0000-0000A91C0000}"/>
    <cellStyle name="Normal 2 47 2 2" xfId="41081" xr:uid="{4C4CA8DF-0084-4364-93F2-CB3ABBD7DF1E}"/>
    <cellStyle name="Normal 2 47 3" xfId="15054" xr:uid="{35AF69AB-1CCE-498A-A441-1A77403C8E9F}"/>
    <cellStyle name="Normal 2 48" xfId="2726" xr:uid="{00000000-0005-0000-0000-0000C50A0000}"/>
    <cellStyle name="Normal 2 48 2" xfId="2727" xr:uid="{00000000-0005-0000-0000-0000C60A0000}"/>
    <cellStyle name="Normal 2 48 2 2" xfId="9399" xr:uid="{00000000-0005-0000-0000-0000CF1B0000}"/>
    <cellStyle name="Normal 2 49" xfId="2728" xr:uid="{00000000-0005-0000-0000-0000C70A0000}"/>
    <cellStyle name="Normal 2 5" xfId="2729" xr:uid="{00000000-0005-0000-0000-0000C80A0000}"/>
    <cellStyle name="Normal 2 5 2" xfId="2730" xr:uid="{00000000-0005-0000-0000-0000C90A0000}"/>
    <cellStyle name="Normal 2 5 3" xfId="2731" xr:uid="{00000000-0005-0000-0000-0000CA0A0000}"/>
    <cellStyle name="Normal 2 5 4" xfId="9299" xr:uid="{00000000-0005-0000-0000-0000D01B0000}"/>
    <cellStyle name="Normal 2 5 4 2" xfId="18037" xr:uid="{7FDAB7F1-42DC-424A-8BF5-5002D57EF1E3}"/>
    <cellStyle name="Normal 2 50" xfId="2732" xr:uid="{00000000-0005-0000-0000-0000CB0A0000}"/>
    <cellStyle name="Normal 2 50 2" xfId="9370" xr:uid="{00000000-0005-0000-0000-0000781B0000}"/>
    <cellStyle name="Normal 2 51" xfId="2733" xr:uid="{00000000-0005-0000-0000-0000CC0A0000}"/>
    <cellStyle name="Normal 2 52" xfId="2734" xr:uid="{00000000-0005-0000-0000-0000CD0A0000}"/>
    <cellStyle name="Normal 2 53" xfId="2735" xr:uid="{00000000-0005-0000-0000-0000CE0A0000}"/>
    <cellStyle name="Normal 2 54" xfId="5566" xr:uid="{00000000-0005-0000-0000-0000CF0A0000}"/>
    <cellStyle name="Normal 2 54 2" xfId="18806" xr:uid="{963D93D1-F550-469E-AE1B-2BD41E4D84EB}"/>
    <cellStyle name="Normal 2 55" xfId="12964" xr:uid="{00000000-0005-0000-0000-000005000000}"/>
    <cellStyle name="Normal 2 55 2" xfId="18627" xr:uid="{8BF2EC8F-4FD6-4FEE-BA27-D375D8072C1C}"/>
    <cellStyle name="Normal 2 56" xfId="17372" xr:uid="{FCCAB9DC-612C-4389-9974-AE0360F27B2F}"/>
    <cellStyle name="Normal 2 57" xfId="23014" xr:uid="{977133B9-76C1-4FA2-8534-1DA1CBC4E04B}"/>
    <cellStyle name="Normal 2 58" xfId="23740" xr:uid="{8C612FB1-A0E1-4AA1-A080-B53D04487872}"/>
    <cellStyle name="Normal 2 6" xfId="2736" xr:uid="{00000000-0005-0000-0000-0000D00A0000}"/>
    <cellStyle name="Normal 2 6 2" xfId="2737" xr:uid="{00000000-0005-0000-0000-0000D10A0000}"/>
    <cellStyle name="Normal 2 6 3" xfId="18038" xr:uid="{169D2165-AD1F-4655-9635-FE50D0DCF532}"/>
    <cellStyle name="Normal 2 7" xfId="2738" xr:uid="{00000000-0005-0000-0000-0000D20A0000}"/>
    <cellStyle name="Normal 2 7 2" xfId="2739" xr:uid="{00000000-0005-0000-0000-0000D30A0000}"/>
    <cellStyle name="Normal 2 7 3" xfId="18039" xr:uid="{A7285E1B-1878-4318-A057-7F05555A84C2}"/>
    <cellStyle name="Normal 2 8" xfId="2740" xr:uid="{00000000-0005-0000-0000-0000D40A0000}"/>
    <cellStyle name="Normal 2 8 2" xfId="2741" xr:uid="{00000000-0005-0000-0000-0000D50A0000}"/>
    <cellStyle name="Normal 2 8 3" xfId="18040" xr:uid="{F05E7B2B-7E65-4DD1-8981-78D2A771A682}"/>
    <cellStyle name="Normal 2 9" xfId="2742" xr:uid="{00000000-0005-0000-0000-0000D60A0000}"/>
    <cellStyle name="Normal 2 9 2" xfId="2743" xr:uid="{00000000-0005-0000-0000-0000D70A0000}"/>
    <cellStyle name="Normal 2 9 3" xfId="18041" xr:uid="{E39BCBE3-6219-4AF8-9EAF-909B2014DCA7}"/>
    <cellStyle name="Normal 20" xfId="2744" xr:uid="{00000000-0005-0000-0000-0000D80A0000}"/>
    <cellStyle name="Normal 20 2" xfId="17486" xr:uid="{1E488E58-423A-4304-984C-A8F4381ADF6D}"/>
    <cellStyle name="Normal 20 2 2" xfId="17754" xr:uid="{8D9702D4-8F6C-41F0-9392-D2E563027CD3}"/>
    <cellStyle name="Normal 20 2 2 2" xfId="18489" xr:uid="{3754859D-518B-494E-95A4-08B4F270F1A7}"/>
    <cellStyle name="Normal 20 2 3" xfId="18660" xr:uid="{9F4D2F91-426B-4E6E-A489-2EE553197CB8}"/>
    <cellStyle name="Normal 20 3" xfId="17667" xr:uid="{EEEC6DD0-1E35-46E3-92DE-40B4C131CE45}"/>
    <cellStyle name="Normal 20 3 2" xfId="18548" xr:uid="{1E26E010-3CB3-44AD-9DE9-4CFD5AA14470}"/>
    <cellStyle name="Normal 20 4" xfId="18718" xr:uid="{42B002ED-C5A6-49A5-8456-15607DD906C4}"/>
    <cellStyle name="Normal 20 4 2" xfId="23526" xr:uid="{768A0E2C-E30D-4820-B61E-03B056BE2FC8}"/>
    <cellStyle name="Normal 20 5" xfId="18042" xr:uid="{C217C814-54EF-4E91-A46F-312BDB8DE6AB}"/>
    <cellStyle name="Normal 20 5 2" xfId="24533" xr:uid="{4CF9D9B8-295A-47A4-8A32-DD252EB4B1B4}"/>
    <cellStyle name="Normal 20 6" xfId="17414" xr:uid="{0E82C9B2-879B-4DBA-95C5-BDAFC1FE8527}"/>
    <cellStyle name="Normal 21" xfId="2745" xr:uid="{00000000-0005-0000-0000-0000D90A0000}"/>
    <cellStyle name="Normal 21 2" xfId="18686" xr:uid="{54237F4D-8F5B-43AF-89A8-2F6D3CF4D5C8}"/>
    <cellStyle name="Normal 21 2 2" xfId="23527" xr:uid="{A8B4F403-63B2-4B56-A560-09E34EE919F1}"/>
    <cellStyle name="Normal 21 3" xfId="18043" xr:uid="{98768E74-04FA-4A8A-BC15-6FC9064BDEEF}"/>
    <cellStyle name="Normal 21 4" xfId="17456" xr:uid="{81681F06-ABC1-4414-ACA3-11CF5FCA06B3}"/>
    <cellStyle name="Normal 22" xfId="2746" xr:uid="{00000000-0005-0000-0000-0000DA0A0000}"/>
    <cellStyle name="Normal 22 2" xfId="17720" xr:uid="{8FB15C5F-4174-4F60-8CF3-BE4DE8DE13ED}"/>
    <cellStyle name="Normal 22 2 2" xfId="18513" xr:uid="{12378DF4-A7A9-4ABC-972A-F1B5324839DB}"/>
    <cellStyle name="Normal 22 3" xfId="18687" xr:uid="{6A899029-202B-4011-8D06-BA69F41DEDC9}"/>
    <cellStyle name="Normal 22 3 2" xfId="23528" xr:uid="{7BC1B78F-5D0D-444E-A446-817C9B9C3AB9}"/>
    <cellStyle name="Normal 22 4" xfId="18044" xr:uid="{17EEA40B-7BC3-40DF-8207-D43860F0221A}"/>
    <cellStyle name="Normal 22 4 2" xfId="24562" xr:uid="{9C6BE11B-BAC2-48DB-8B4B-1025CAB75FEF}"/>
    <cellStyle name="Normal 22 5" xfId="17455" xr:uid="{0BB386C1-B268-474B-8CBE-C958257D3A94}"/>
    <cellStyle name="Normal 23" xfId="2747" xr:uid="{00000000-0005-0000-0000-0000DB0A0000}"/>
    <cellStyle name="Normal 23 2" xfId="17849" xr:uid="{6F9AFC4B-52F5-4089-A194-3A7D15716625}"/>
    <cellStyle name="Normal 23 2 2" xfId="18425" xr:uid="{46BBCBD0-38C4-4EB3-B7B3-4389C5DA806F}"/>
    <cellStyle name="Normal 23 3" xfId="18604" xr:uid="{0A53EE1F-5005-40BC-A28F-57B478695605}"/>
    <cellStyle name="Normal 23 3 2" xfId="23529" xr:uid="{ADB3EE04-E872-4756-AAA6-51D524B3464D}"/>
    <cellStyle name="Normal 23 4" xfId="18045" xr:uid="{5211488E-F483-4AEE-8B17-A30FB44DE978}"/>
    <cellStyle name="Normal 23 4 2" xfId="24615" xr:uid="{CF590667-70DF-4053-AA03-A07936215715}"/>
    <cellStyle name="Normal 23 5" xfId="17578" xr:uid="{14F3A604-382A-48D5-9BCA-C4CB10634610}"/>
    <cellStyle name="Normal 24" xfId="2748" xr:uid="{00000000-0005-0000-0000-0000DC0A0000}"/>
    <cellStyle name="Normal 24 2" xfId="17851" xr:uid="{9EB37CED-7B5C-4CB2-ADCD-15633947352E}"/>
    <cellStyle name="Normal 24 2 2" xfId="18423" xr:uid="{29035A59-AF72-4BBA-9F79-5853E79CE16D}"/>
    <cellStyle name="Normal 24 3" xfId="18602" xr:uid="{1D0336AF-B161-452E-A7D2-EAF1E4D9AB06}"/>
    <cellStyle name="Normal 24 3 2" xfId="23530" xr:uid="{542C6B99-D0C5-4076-B7FC-78D164ECDF41}"/>
    <cellStyle name="Normal 24 4" xfId="18046" xr:uid="{20139432-1198-4718-8E58-CDF3DFB50B9C}"/>
    <cellStyle name="Normal 24 4 2" xfId="24616" xr:uid="{1521724F-ABCD-423E-B9B5-826918DA2525}"/>
    <cellStyle name="Normal 24 5" xfId="17580" xr:uid="{BF1B4BF5-188D-4665-A6A3-8B18FEB5E8AC}"/>
    <cellStyle name="Normal 25" xfId="2749" xr:uid="{00000000-0005-0000-0000-0000DD0A0000}"/>
    <cellStyle name="Normal 25 10" xfId="2750" xr:uid="{00000000-0005-0000-0000-0000DE0A0000}"/>
    <cellStyle name="Normal 25 100" xfId="2751" xr:uid="{00000000-0005-0000-0000-0000DF0A0000}"/>
    <cellStyle name="Normal 25 101" xfId="2752" xr:uid="{00000000-0005-0000-0000-0000E00A0000}"/>
    <cellStyle name="Normal 25 102" xfId="2753" xr:uid="{00000000-0005-0000-0000-0000E10A0000}"/>
    <cellStyle name="Normal 25 103" xfId="2754" xr:uid="{00000000-0005-0000-0000-0000E20A0000}"/>
    <cellStyle name="Normal 25 104" xfId="2755" xr:uid="{00000000-0005-0000-0000-0000E30A0000}"/>
    <cellStyle name="Normal 25 105" xfId="2756" xr:uid="{00000000-0005-0000-0000-0000E40A0000}"/>
    <cellStyle name="Normal 25 106" xfId="2757" xr:uid="{00000000-0005-0000-0000-0000E50A0000}"/>
    <cellStyle name="Normal 25 107" xfId="2758" xr:uid="{00000000-0005-0000-0000-0000E60A0000}"/>
    <cellStyle name="Normal 25 108" xfId="2759" xr:uid="{00000000-0005-0000-0000-0000E70A0000}"/>
    <cellStyle name="Normal 25 109" xfId="2760" xr:uid="{00000000-0005-0000-0000-0000E80A0000}"/>
    <cellStyle name="Normal 25 11" xfId="2761" xr:uid="{00000000-0005-0000-0000-0000E90A0000}"/>
    <cellStyle name="Normal 25 110" xfId="18047" xr:uid="{3543F4BC-0700-4820-8621-388C9D51E749}"/>
    <cellStyle name="Normal 25 12" xfId="2762" xr:uid="{00000000-0005-0000-0000-0000EA0A0000}"/>
    <cellStyle name="Normal 25 13" xfId="2763" xr:uid="{00000000-0005-0000-0000-0000EB0A0000}"/>
    <cellStyle name="Normal 25 14" xfId="2764" xr:uid="{00000000-0005-0000-0000-0000EC0A0000}"/>
    <cellStyle name="Normal 25 15" xfId="2765" xr:uid="{00000000-0005-0000-0000-0000ED0A0000}"/>
    <cellStyle name="Normal 25 16" xfId="2766" xr:uid="{00000000-0005-0000-0000-0000EE0A0000}"/>
    <cellStyle name="Normal 25 17" xfId="2767" xr:uid="{00000000-0005-0000-0000-0000EF0A0000}"/>
    <cellStyle name="Normal 25 18" xfId="2768" xr:uid="{00000000-0005-0000-0000-0000F00A0000}"/>
    <cellStyle name="Normal 25 19" xfId="2769" xr:uid="{00000000-0005-0000-0000-0000F10A0000}"/>
    <cellStyle name="Normal 25 2" xfId="2770" xr:uid="{00000000-0005-0000-0000-0000F20A0000}"/>
    <cellStyle name="Normal 25 20" xfId="2771" xr:uid="{00000000-0005-0000-0000-0000F30A0000}"/>
    <cellStyle name="Normal 25 21" xfId="2772" xr:uid="{00000000-0005-0000-0000-0000F40A0000}"/>
    <cellStyle name="Normal 25 22" xfId="2773" xr:uid="{00000000-0005-0000-0000-0000F50A0000}"/>
    <cellStyle name="Normal 25 23" xfId="2774" xr:uid="{00000000-0005-0000-0000-0000F60A0000}"/>
    <cellStyle name="Normal 25 24" xfId="2775" xr:uid="{00000000-0005-0000-0000-0000F70A0000}"/>
    <cellStyle name="Normal 25 25" xfId="2776" xr:uid="{00000000-0005-0000-0000-0000F80A0000}"/>
    <cellStyle name="Normal 25 26" xfId="2777" xr:uid="{00000000-0005-0000-0000-0000F90A0000}"/>
    <cellStyle name="Normal 25 27" xfId="2778" xr:uid="{00000000-0005-0000-0000-0000FA0A0000}"/>
    <cellStyle name="Normal 25 28" xfId="2779" xr:uid="{00000000-0005-0000-0000-0000FB0A0000}"/>
    <cellStyle name="Normal 25 29" xfId="2780" xr:uid="{00000000-0005-0000-0000-0000FC0A0000}"/>
    <cellStyle name="Normal 25 3" xfId="2781" xr:uid="{00000000-0005-0000-0000-0000FD0A0000}"/>
    <cellStyle name="Normal 25 30" xfId="2782" xr:uid="{00000000-0005-0000-0000-0000FE0A0000}"/>
    <cellStyle name="Normal 25 31" xfId="2783" xr:uid="{00000000-0005-0000-0000-0000FF0A0000}"/>
    <cellStyle name="Normal 25 32" xfId="2784" xr:uid="{00000000-0005-0000-0000-0000000B0000}"/>
    <cellStyle name="Normal 25 33" xfId="2785" xr:uid="{00000000-0005-0000-0000-0000010B0000}"/>
    <cellStyle name="Normal 25 34" xfId="2786" xr:uid="{00000000-0005-0000-0000-0000020B0000}"/>
    <cellStyle name="Normal 25 35" xfId="2787" xr:uid="{00000000-0005-0000-0000-0000030B0000}"/>
    <cellStyle name="Normal 25 36" xfId="2788" xr:uid="{00000000-0005-0000-0000-0000040B0000}"/>
    <cellStyle name="Normal 25 37" xfId="2789" xr:uid="{00000000-0005-0000-0000-0000050B0000}"/>
    <cellStyle name="Normal 25 38" xfId="2790" xr:uid="{00000000-0005-0000-0000-0000060B0000}"/>
    <cellStyle name="Normal 25 39" xfId="2791" xr:uid="{00000000-0005-0000-0000-0000070B0000}"/>
    <cellStyle name="Normal 25 4" xfId="2792" xr:uid="{00000000-0005-0000-0000-0000080B0000}"/>
    <cellStyle name="Normal 25 40" xfId="2793" xr:uid="{00000000-0005-0000-0000-0000090B0000}"/>
    <cellStyle name="Normal 25 41" xfId="2794" xr:uid="{00000000-0005-0000-0000-00000A0B0000}"/>
    <cellStyle name="Normal 25 42" xfId="2795" xr:uid="{00000000-0005-0000-0000-00000B0B0000}"/>
    <cellStyle name="Normal 25 43" xfId="2796" xr:uid="{00000000-0005-0000-0000-00000C0B0000}"/>
    <cellStyle name="Normal 25 44" xfId="2797" xr:uid="{00000000-0005-0000-0000-00000D0B0000}"/>
    <cellStyle name="Normal 25 45" xfId="2798" xr:uid="{00000000-0005-0000-0000-00000E0B0000}"/>
    <cellStyle name="Normal 25 46" xfId="2799" xr:uid="{00000000-0005-0000-0000-00000F0B0000}"/>
    <cellStyle name="Normal 25 47" xfId="2800" xr:uid="{00000000-0005-0000-0000-0000100B0000}"/>
    <cellStyle name="Normal 25 48" xfId="2801" xr:uid="{00000000-0005-0000-0000-0000110B0000}"/>
    <cellStyle name="Normal 25 49" xfId="2802" xr:uid="{00000000-0005-0000-0000-0000120B0000}"/>
    <cellStyle name="Normal 25 5" xfId="2803" xr:uid="{00000000-0005-0000-0000-0000130B0000}"/>
    <cellStyle name="Normal 25 50" xfId="2804" xr:uid="{00000000-0005-0000-0000-0000140B0000}"/>
    <cellStyle name="Normal 25 51" xfId="2805" xr:uid="{00000000-0005-0000-0000-0000150B0000}"/>
    <cellStyle name="Normal 25 52" xfId="2806" xr:uid="{00000000-0005-0000-0000-0000160B0000}"/>
    <cellStyle name="Normal 25 53" xfId="2807" xr:uid="{00000000-0005-0000-0000-0000170B0000}"/>
    <cellStyle name="Normal 25 54" xfId="2808" xr:uid="{00000000-0005-0000-0000-0000180B0000}"/>
    <cellStyle name="Normal 25 55" xfId="2809" xr:uid="{00000000-0005-0000-0000-0000190B0000}"/>
    <cellStyle name="Normal 25 56" xfId="2810" xr:uid="{00000000-0005-0000-0000-00001A0B0000}"/>
    <cellStyle name="Normal 25 57" xfId="2811" xr:uid="{00000000-0005-0000-0000-00001B0B0000}"/>
    <cellStyle name="Normal 25 58" xfId="2812" xr:uid="{00000000-0005-0000-0000-00001C0B0000}"/>
    <cellStyle name="Normal 25 59" xfId="2813" xr:uid="{00000000-0005-0000-0000-00001D0B0000}"/>
    <cellStyle name="Normal 25 6" xfId="2814" xr:uid="{00000000-0005-0000-0000-00001E0B0000}"/>
    <cellStyle name="Normal 25 60" xfId="2815" xr:uid="{00000000-0005-0000-0000-00001F0B0000}"/>
    <cellStyle name="Normal 25 61" xfId="2816" xr:uid="{00000000-0005-0000-0000-0000200B0000}"/>
    <cellStyle name="Normal 25 62" xfId="2817" xr:uid="{00000000-0005-0000-0000-0000210B0000}"/>
    <cellStyle name="Normal 25 63" xfId="2818" xr:uid="{00000000-0005-0000-0000-0000220B0000}"/>
    <cellStyle name="Normal 25 64" xfId="2819" xr:uid="{00000000-0005-0000-0000-0000230B0000}"/>
    <cellStyle name="Normal 25 65" xfId="2820" xr:uid="{00000000-0005-0000-0000-0000240B0000}"/>
    <cellStyle name="Normal 25 66" xfId="2821" xr:uid="{00000000-0005-0000-0000-0000250B0000}"/>
    <cellStyle name="Normal 25 67" xfId="2822" xr:uid="{00000000-0005-0000-0000-0000260B0000}"/>
    <cellStyle name="Normal 25 68" xfId="2823" xr:uid="{00000000-0005-0000-0000-0000270B0000}"/>
    <cellStyle name="Normal 25 69" xfId="2824" xr:uid="{00000000-0005-0000-0000-0000280B0000}"/>
    <cellStyle name="Normal 25 7" xfId="2825" xr:uid="{00000000-0005-0000-0000-0000290B0000}"/>
    <cellStyle name="Normal 25 70" xfId="2826" xr:uid="{00000000-0005-0000-0000-00002A0B0000}"/>
    <cellStyle name="Normal 25 71" xfId="2827" xr:uid="{00000000-0005-0000-0000-00002B0B0000}"/>
    <cellStyle name="Normal 25 72" xfId="2828" xr:uid="{00000000-0005-0000-0000-00002C0B0000}"/>
    <cellStyle name="Normal 25 73" xfId="2829" xr:uid="{00000000-0005-0000-0000-00002D0B0000}"/>
    <cellStyle name="Normal 25 74" xfId="2830" xr:uid="{00000000-0005-0000-0000-00002E0B0000}"/>
    <cellStyle name="Normal 25 75" xfId="2831" xr:uid="{00000000-0005-0000-0000-00002F0B0000}"/>
    <cellStyle name="Normal 25 76" xfId="2832" xr:uid="{00000000-0005-0000-0000-0000300B0000}"/>
    <cellStyle name="Normal 25 77" xfId="2833" xr:uid="{00000000-0005-0000-0000-0000310B0000}"/>
    <cellStyle name="Normal 25 78" xfId="2834" xr:uid="{00000000-0005-0000-0000-0000320B0000}"/>
    <cellStyle name="Normal 25 79" xfId="2835" xr:uid="{00000000-0005-0000-0000-0000330B0000}"/>
    <cellStyle name="Normal 25 8" xfId="2836" xr:uid="{00000000-0005-0000-0000-0000340B0000}"/>
    <cellStyle name="Normal 25 80" xfId="2837" xr:uid="{00000000-0005-0000-0000-0000350B0000}"/>
    <cellStyle name="Normal 25 81" xfId="2838" xr:uid="{00000000-0005-0000-0000-0000360B0000}"/>
    <cellStyle name="Normal 25 82" xfId="2839" xr:uid="{00000000-0005-0000-0000-0000370B0000}"/>
    <cellStyle name="Normal 25 83" xfId="2840" xr:uid="{00000000-0005-0000-0000-0000380B0000}"/>
    <cellStyle name="Normal 25 84" xfId="2841" xr:uid="{00000000-0005-0000-0000-0000390B0000}"/>
    <cellStyle name="Normal 25 85" xfId="2842" xr:uid="{00000000-0005-0000-0000-00003A0B0000}"/>
    <cellStyle name="Normal 25 86" xfId="2843" xr:uid="{00000000-0005-0000-0000-00003B0B0000}"/>
    <cellStyle name="Normal 25 87" xfId="2844" xr:uid="{00000000-0005-0000-0000-00003C0B0000}"/>
    <cellStyle name="Normal 25 88" xfId="2845" xr:uid="{00000000-0005-0000-0000-00003D0B0000}"/>
    <cellStyle name="Normal 25 89" xfId="2846" xr:uid="{00000000-0005-0000-0000-00003E0B0000}"/>
    <cellStyle name="Normal 25 9" xfId="2847" xr:uid="{00000000-0005-0000-0000-00003F0B0000}"/>
    <cellStyle name="Normal 25 90" xfId="2848" xr:uid="{00000000-0005-0000-0000-0000400B0000}"/>
    <cellStyle name="Normal 25 91" xfId="2849" xr:uid="{00000000-0005-0000-0000-0000410B0000}"/>
    <cellStyle name="Normal 25 92" xfId="2850" xr:uid="{00000000-0005-0000-0000-0000420B0000}"/>
    <cellStyle name="Normal 25 93" xfId="2851" xr:uid="{00000000-0005-0000-0000-0000430B0000}"/>
    <cellStyle name="Normal 25 94" xfId="2852" xr:uid="{00000000-0005-0000-0000-0000440B0000}"/>
    <cellStyle name="Normal 25 95" xfId="2853" xr:uid="{00000000-0005-0000-0000-0000450B0000}"/>
    <cellStyle name="Normal 25 96" xfId="2854" xr:uid="{00000000-0005-0000-0000-0000460B0000}"/>
    <cellStyle name="Normal 25 97" xfId="2855" xr:uid="{00000000-0005-0000-0000-0000470B0000}"/>
    <cellStyle name="Normal 25 98" xfId="2856" xr:uid="{00000000-0005-0000-0000-0000480B0000}"/>
    <cellStyle name="Normal 25 99" xfId="2857" xr:uid="{00000000-0005-0000-0000-0000490B0000}"/>
    <cellStyle name="Normal 26" xfId="2858" xr:uid="{00000000-0005-0000-0000-00004A0B0000}"/>
    <cellStyle name="Normal 26 10" xfId="2859" xr:uid="{00000000-0005-0000-0000-00004B0B0000}"/>
    <cellStyle name="Normal 26 100" xfId="2860" xr:uid="{00000000-0005-0000-0000-00004C0B0000}"/>
    <cellStyle name="Normal 26 101" xfId="2861" xr:uid="{00000000-0005-0000-0000-00004D0B0000}"/>
    <cellStyle name="Normal 26 102" xfId="2862" xr:uid="{00000000-0005-0000-0000-00004E0B0000}"/>
    <cellStyle name="Normal 26 103" xfId="2863" xr:uid="{00000000-0005-0000-0000-00004F0B0000}"/>
    <cellStyle name="Normal 26 104" xfId="2864" xr:uid="{00000000-0005-0000-0000-0000500B0000}"/>
    <cellStyle name="Normal 26 105" xfId="2865" xr:uid="{00000000-0005-0000-0000-0000510B0000}"/>
    <cellStyle name="Normal 26 106" xfId="2866" xr:uid="{00000000-0005-0000-0000-0000520B0000}"/>
    <cellStyle name="Normal 26 107" xfId="2867" xr:uid="{00000000-0005-0000-0000-0000530B0000}"/>
    <cellStyle name="Normal 26 108" xfId="2868" xr:uid="{00000000-0005-0000-0000-0000540B0000}"/>
    <cellStyle name="Normal 26 109" xfId="2869" xr:uid="{00000000-0005-0000-0000-0000550B0000}"/>
    <cellStyle name="Normal 26 11" xfId="2870" xr:uid="{00000000-0005-0000-0000-0000560B0000}"/>
    <cellStyle name="Normal 26 110" xfId="18048" xr:uid="{F3AFC542-C223-45EF-827A-57A44A7B77A4}"/>
    <cellStyle name="Normal 26 12" xfId="2871" xr:uid="{00000000-0005-0000-0000-0000570B0000}"/>
    <cellStyle name="Normal 26 13" xfId="2872" xr:uid="{00000000-0005-0000-0000-0000580B0000}"/>
    <cellStyle name="Normal 26 14" xfId="2873" xr:uid="{00000000-0005-0000-0000-0000590B0000}"/>
    <cellStyle name="Normal 26 15" xfId="2874" xr:uid="{00000000-0005-0000-0000-00005A0B0000}"/>
    <cellStyle name="Normal 26 16" xfId="2875" xr:uid="{00000000-0005-0000-0000-00005B0B0000}"/>
    <cellStyle name="Normal 26 17" xfId="2876" xr:uid="{00000000-0005-0000-0000-00005C0B0000}"/>
    <cellStyle name="Normal 26 18" xfId="2877" xr:uid="{00000000-0005-0000-0000-00005D0B0000}"/>
    <cellStyle name="Normal 26 19" xfId="2878" xr:uid="{00000000-0005-0000-0000-00005E0B0000}"/>
    <cellStyle name="Normal 26 2" xfId="2879" xr:uid="{00000000-0005-0000-0000-00005F0B0000}"/>
    <cellStyle name="Normal 26 20" xfId="2880" xr:uid="{00000000-0005-0000-0000-0000600B0000}"/>
    <cellStyle name="Normal 26 21" xfId="2881" xr:uid="{00000000-0005-0000-0000-0000610B0000}"/>
    <cellStyle name="Normal 26 22" xfId="2882" xr:uid="{00000000-0005-0000-0000-0000620B0000}"/>
    <cellStyle name="Normal 26 23" xfId="2883" xr:uid="{00000000-0005-0000-0000-0000630B0000}"/>
    <cellStyle name="Normal 26 24" xfId="2884" xr:uid="{00000000-0005-0000-0000-0000640B0000}"/>
    <cellStyle name="Normal 26 25" xfId="2885" xr:uid="{00000000-0005-0000-0000-0000650B0000}"/>
    <cellStyle name="Normal 26 26" xfId="2886" xr:uid="{00000000-0005-0000-0000-0000660B0000}"/>
    <cellStyle name="Normal 26 27" xfId="2887" xr:uid="{00000000-0005-0000-0000-0000670B0000}"/>
    <cellStyle name="Normal 26 28" xfId="2888" xr:uid="{00000000-0005-0000-0000-0000680B0000}"/>
    <cellStyle name="Normal 26 29" xfId="2889" xr:uid="{00000000-0005-0000-0000-0000690B0000}"/>
    <cellStyle name="Normal 26 3" xfId="2890" xr:uid="{00000000-0005-0000-0000-00006A0B0000}"/>
    <cellStyle name="Normal 26 30" xfId="2891" xr:uid="{00000000-0005-0000-0000-00006B0B0000}"/>
    <cellStyle name="Normal 26 31" xfId="2892" xr:uid="{00000000-0005-0000-0000-00006C0B0000}"/>
    <cellStyle name="Normal 26 32" xfId="2893" xr:uid="{00000000-0005-0000-0000-00006D0B0000}"/>
    <cellStyle name="Normal 26 33" xfId="2894" xr:uid="{00000000-0005-0000-0000-00006E0B0000}"/>
    <cellStyle name="Normal 26 34" xfId="2895" xr:uid="{00000000-0005-0000-0000-00006F0B0000}"/>
    <cellStyle name="Normal 26 35" xfId="2896" xr:uid="{00000000-0005-0000-0000-0000700B0000}"/>
    <cellStyle name="Normal 26 36" xfId="2897" xr:uid="{00000000-0005-0000-0000-0000710B0000}"/>
    <cellStyle name="Normal 26 37" xfId="2898" xr:uid="{00000000-0005-0000-0000-0000720B0000}"/>
    <cellStyle name="Normal 26 38" xfId="2899" xr:uid="{00000000-0005-0000-0000-0000730B0000}"/>
    <cellStyle name="Normal 26 39" xfId="2900" xr:uid="{00000000-0005-0000-0000-0000740B0000}"/>
    <cellStyle name="Normal 26 4" xfId="2901" xr:uid="{00000000-0005-0000-0000-0000750B0000}"/>
    <cellStyle name="Normal 26 40" xfId="2902" xr:uid="{00000000-0005-0000-0000-0000760B0000}"/>
    <cellStyle name="Normal 26 41" xfId="2903" xr:uid="{00000000-0005-0000-0000-0000770B0000}"/>
    <cellStyle name="Normal 26 42" xfId="2904" xr:uid="{00000000-0005-0000-0000-0000780B0000}"/>
    <cellStyle name="Normal 26 43" xfId="2905" xr:uid="{00000000-0005-0000-0000-0000790B0000}"/>
    <cellStyle name="Normal 26 44" xfId="2906" xr:uid="{00000000-0005-0000-0000-00007A0B0000}"/>
    <cellStyle name="Normal 26 45" xfId="2907" xr:uid="{00000000-0005-0000-0000-00007B0B0000}"/>
    <cellStyle name="Normal 26 46" xfId="2908" xr:uid="{00000000-0005-0000-0000-00007C0B0000}"/>
    <cellStyle name="Normal 26 47" xfId="2909" xr:uid="{00000000-0005-0000-0000-00007D0B0000}"/>
    <cellStyle name="Normal 26 48" xfId="2910" xr:uid="{00000000-0005-0000-0000-00007E0B0000}"/>
    <cellStyle name="Normal 26 49" xfId="2911" xr:uid="{00000000-0005-0000-0000-00007F0B0000}"/>
    <cellStyle name="Normal 26 5" xfId="2912" xr:uid="{00000000-0005-0000-0000-0000800B0000}"/>
    <cellStyle name="Normal 26 50" xfId="2913" xr:uid="{00000000-0005-0000-0000-0000810B0000}"/>
    <cellStyle name="Normal 26 51" xfId="2914" xr:uid="{00000000-0005-0000-0000-0000820B0000}"/>
    <cellStyle name="Normal 26 52" xfId="2915" xr:uid="{00000000-0005-0000-0000-0000830B0000}"/>
    <cellStyle name="Normal 26 53" xfId="2916" xr:uid="{00000000-0005-0000-0000-0000840B0000}"/>
    <cellStyle name="Normal 26 54" xfId="2917" xr:uid="{00000000-0005-0000-0000-0000850B0000}"/>
    <cellStyle name="Normal 26 55" xfId="2918" xr:uid="{00000000-0005-0000-0000-0000860B0000}"/>
    <cellStyle name="Normal 26 56" xfId="2919" xr:uid="{00000000-0005-0000-0000-0000870B0000}"/>
    <cellStyle name="Normal 26 57" xfId="2920" xr:uid="{00000000-0005-0000-0000-0000880B0000}"/>
    <cellStyle name="Normal 26 58" xfId="2921" xr:uid="{00000000-0005-0000-0000-0000890B0000}"/>
    <cellStyle name="Normal 26 59" xfId="2922" xr:uid="{00000000-0005-0000-0000-00008A0B0000}"/>
    <cellStyle name="Normal 26 6" xfId="2923" xr:uid="{00000000-0005-0000-0000-00008B0B0000}"/>
    <cellStyle name="Normal 26 60" xfId="2924" xr:uid="{00000000-0005-0000-0000-00008C0B0000}"/>
    <cellStyle name="Normal 26 61" xfId="2925" xr:uid="{00000000-0005-0000-0000-00008D0B0000}"/>
    <cellStyle name="Normal 26 62" xfId="2926" xr:uid="{00000000-0005-0000-0000-00008E0B0000}"/>
    <cellStyle name="Normal 26 63" xfId="2927" xr:uid="{00000000-0005-0000-0000-00008F0B0000}"/>
    <cellStyle name="Normal 26 64" xfId="2928" xr:uid="{00000000-0005-0000-0000-0000900B0000}"/>
    <cellStyle name="Normal 26 65" xfId="2929" xr:uid="{00000000-0005-0000-0000-0000910B0000}"/>
    <cellStyle name="Normal 26 66" xfId="2930" xr:uid="{00000000-0005-0000-0000-0000920B0000}"/>
    <cellStyle name="Normal 26 67" xfId="2931" xr:uid="{00000000-0005-0000-0000-0000930B0000}"/>
    <cellStyle name="Normal 26 68" xfId="2932" xr:uid="{00000000-0005-0000-0000-0000940B0000}"/>
    <cellStyle name="Normal 26 69" xfId="2933" xr:uid="{00000000-0005-0000-0000-0000950B0000}"/>
    <cellStyle name="Normal 26 7" xfId="2934" xr:uid="{00000000-0005-0000-0000-0000960B0000}"/>
    <cellStyle name="Normal 26 70" xfId="2935" xr:uid="{00000000-0005-0000-0000-0000970B0000}"/>
    <cellStyle name="Normal 26 71" xfId="2936" xr:uid="{00000000-0005-0000-0000-0000980B0000}"/>
    <cellStyle name="Normal 26 72" xfId="2937" xr:uid="{00000000-0005-0000-0000-0000990B0000}"/>
    <cellStyle name="Normal 26 73" xfId="2938" xr:uid="{00000000-0005-0000-0000-00009A0B0000}"/>
    <cellStyle name="Normal 26 74" xfId="2939" xr:uid="{00000000-0005-0000-0000-00009B0B0000}"/>
    <cellStyle name="Normal 26 75" xfId="2940" xr:uid="{00000000-0005-0000-0000-00009C0B0000}"/>
    <cellStyle name="Normal 26 76" xfId="2941" xr:uid="{00000000-0005-0000-0000-00009D0B0000}"/>
    <cellStyle name="Normal 26 77" xfId="2942" xr:uid="{00000000-0005-0000-0000-00009E0B0000}"/>
    <cellStyle name="Normal 26 78" xfId="2943" xr:uid="{00000000-0005-0000-0000-00009F0B0000}"/>
    <cellStyle name="Normal 26 79" xfId="2944" xr:uid="{00000000-0005-0000-0000-0000A00B0000}"/>
    <cellStyle name="Normal 26 8" xfId="2945" xr:uid="{00000000-0005-0000-0000-0000A10B0000}"/>
    <cellStyle name="Normal 26 80" xfId="2946" xr:uid="{00000000-0005-0000-0000-0000A20B0000}"/>
    <cellStyle name="Normal 26 81" xfId="2947" xr:uid="{00000000-0005-0000-0000-0000A30B0000}"/>
    <cellStyle name="Normal 26 82" xfId="2948" xr:uid="{00000000-0005-0000-0000-0000A40B0000}"/>
    <cellStyle name="Normal 26 83" xfId="2949" xr:uid="{00000000-0005-0000-0000-0000A50B0000}"/>
    <cellStyle name="Normal 26 84" xfId="2950" xr:uid="{00000000-0005-0000-0000-0000A60B0000}"/>
    <cellStyle name="Normal 26 85" xfId="2951" xr:uid="{00000000-0005-0000-0000-0000A70B0000}"/>
    <cellStyle name="Normal 26 86" xfId="2952" xr:uid="{00000000-0005-0000-0000-0000A80B0000}"/>
    <cellStyle name="Normal 26 87" xfId="2953" xr:uid="{00000000-0005-0000-0000-0000A90B0000}"/>
    <cellStyle name="Normal 26 88" xfId="2954" xr:uid="{00000000-0005-0000-0000-0000AA0B0000}"/>
    <cellStyle name="Normal 26 89" xfId="2955" xr:uid="{00000000-0005-0000-0000-0000AB0B0000}"/>
    <cellStyle name="Normal 26 9" xfId="2956" xr:uid="{00000000-0005-0000-0000-0000AC0B0000}"/>
    <cellStyle name="Normal 26 90" xfId="2957" xr:uid="{00000000-0005-0000-0000-0000AD0B0000}"/>
    <cellStyle name="Normal 26 91" xfId="2958" xr:uid="{00000000-0005-0000-0000-0000AE0B0000}"/>
    <cellStyle name="Normal 26 92" xfId="2959" xr:uid="{00000000-0005-0000-0000-0000AF0B0000}"/>
    <cellStyle name="Normal 26 93" xfId="2960" xr:uid="{00000000-0005-0000-0000-0000B00B0000}"/>
    <cellStyle name="Normal 26 94" xfId="2961" xr:uid="{00000000-0005-0000-0000-0000B10B0000}"/>
    <cellStyle name="Normal 26 95" xfId="2962" xr:uid="{00000000-0005-0000-0000-0000B20B0000}"/>
    <cellStyle name="Normal 26 96" xfId="2963" xr:uid="{00000000-0005-0000-0000-0000B30B0000}"/>
    <cellStyle name="Normal 26 97" xfId="2964" xr:uid="{00000000-0005-0000-0000-0000B40B0000}"/>
    <cellStyle name="Normal 26 98" xfId="2965" xr:uid="{00000000-0005-0000-0000-0000B50B0000}"/>
    <cellStyle name="Normal 26 99" xfId="2966" xr:uid="{00000000-0005-0000-0000-0000B60B0000}"/>
    <cellStyle name="Normal 27" xfId="2967" xr:uid="{00000000-0005-0000-0000-0000B70B0000}"/>
    <cellStyle name="Normal 27 10" xfId="2968" xr:uid="{00000000-0005-0000-0000-0000B80B0000}"/>
    <cellStyle name="Normal 27 100" xfId="2969" xr:uid="{00000000-0005-0000-0000-0000B90B0000}"/>
    <cellStyle name="Normal 27 101" xfId="2970" xr:uid="{00000000-0005-0000-0000-0000BA0B0000}"/>
    <cellStyle name="Normal 27 102" xfId="2971" xr:uid="{00000000-0005-0000-0000-0000BB0B0000}"/>
    <cellStyle name="Normal 27 103" xfId="2972" xr:uid="{00000000-0005-0000-0000-0000BC0B0000}"/>
    <cellStyle name="Normal 27 104" xfId="2973" xr:uid="{00000000-0005-0000-0000-0000BD0B0000}"/>
    <cellStyle name="Normal 27 105" xfId="2974" xr:uid="{00000000-0005-0000-0000-0000BE0B0000}"/>
    <cellStyle name="Normal 27 106" xfId="2975" xr:uid="{00000000-0005-0000-0000-0000BF0B0000}"/>
    <cellStyle name="Normal 27 107" xfId="2976" xr:uid="{00000000-0005-0000-0000-0000C00B0000}"/>
    <cellStyle name="Normal 27 108" xfId="2977" xr:uid="{00000000-0005-0000-0000-0000C10B0000}"/>
    <cellStyle name="Normal 27 109" xfId="2978" xr:uid="{00000000-0005-0000-0000-0000C20B0000}"/>
    <cellStyle name="Normal 27 11" xfId="2979" xr:uid="{00000000-0005-0000-0000-0000C30B0000}"/>
    <cellStyle name="Normal 27 110" xfId="18049" xr:uid="{0D1C5A88-4AA9-4100-AFCF-0A49ED9EB1F2}"/>
    <cellStyle name="Normal 27 12" xfId="2980" xr:uid="{00000000-0005-0000-0000-0000C40B0000}"/>
    <cellStyle name="Normal 27 13" xfId="2981" xr:uid="{00000000-0005-0000-0000-0000C50B0000}"/>
    <cellStyle name="Normal 27 14" xfId="2982" xr:uid="{00000000-0005-0000-0000-0000C60B0000}"/>
    <cellStyle name="Normal 27 15" xfId="2983" xr:uid="{00000000-0005-0000-0000-0000C70B0000}"/>
    <cellStyle name="Normal 27 16" xfId="2984" xr:uid="{00000000-0005-0000-0000-0000C80B0000}"/>
    <cellStyle name="Normal 27 17" xfId="2985" xr:uid="{00000000-0005-0000-0000-0000C90B0000}"/>
    <cellStyle name="Normal 27 18" xfId="2986" xr:uid="{00000000-0005-0000-0000-0000CA0B0000}"/>
    <cellStyle name="Normal 27 19" xfId="2987" xr:uid="{00000000-0005-0000-0000-0000CB0B0000}"/>
    <cellStyle name="Normal 27 2" xfId="2988" xr:uid="{00000000-0005-0000-0000-0000CC0B0000}"/>
    <cellStyle name="Normal 27 20" xfId="2989" xr:uid="{00000000-0005-0000-0000-0000CD0B0000}"/>
    <cellStyle name="Normal 27 21" xfId="2990" xr:uid="{00000000-0005-0000-0000-0000CE0B0000}"/>
    <cellStyle name="Normal 27 22" xfId="2991" xr:uid="{00000000-0005-0000-0000-0000CF0B0000}"/>
    <cellStyle name="Normal 27 23" xfId="2992" xr:uid="{00000000-0005-0000-0000-0000D00B0000}"/>
    <cellStyle name="Normal 27 24" xfId="2993" xr:uid="{00000000-0005-0000-0000-0000D10B0000}"/>
    <cellStyle name="Normal 27 25" xfId="2994" xr:uid="{00000000-0005-0000-0000-0000D20B0000}"/>
    <cellStyle name="Normal 27 26" xfId="2995" xr:uid="{00000000-0005-0000-0000-0000D30B0000}"/>
    <cellStyle name="Normal 27 27" xfId="2996" xr:uid="{00000000-0005-0000-0000-0000D40B0000}"/>
    <cellStyle name="Normal 27 28" xfId="2997" xr:uid="{00000000-0005-0000-0000-0000D50B0000}"/>
    <cellStyle name="Normal 27 29" xfId="2998" xr:uid="{00000000-0005-0000-0000-0000D60B0000}"/>
    <cellStyle name="Normal 27 3" xfId="2999" xr:uid="{00000000-0005-0000-0000-0000D70B0000}"/>
    <cellStyle name="Normal 27 30" xfId="3000" xr:uid="{00000000-0005-0000-0000-0000D80B0000}"/>
    <cellStyle name="Normal 27 31" xfId="3001" xr:uid="{00000000-0005-0000-0000-0000D90B0000}"/>
    <cellStyle name="Normal 27 32" xfId="3002" xr:uid="{00000000-0005-0000-0000-0000DA0B0000}"/>
    <cellStyle name="Normal 27 33" xfId="3003" xr:uid="{00000000-0005-0000-0000-0000DB0B0000}"/>
    <cellStyle name="Normal 27 34" xfId="3004" xr:uid="{00000000-0005-0000-0000-0000DC0B0000}"/>
    <cellStyle name="Normal 27 35" xfId="3005" xr:uid="{00000000-0005-0000-0000-0000DD0B0000}"/>
    <cellStyle name="Normal 27 36" xfId="3006" xr:uid="{00000000-0005-0000-0000-0000DE0B0000}"/>
    <cellStyle name="Normal 27 37" xfId="3007" xr:uid="{00000000-0005-0000-0000-0000DF0B0000}"/>
    <cellStyle name="Normal 27 38" xfId="3008" xr:uid="{00000000-0005-0000-0000-0000E00B0000}"/>
    <cellStyle name="Normal 27 39" xfId="3009" xr:uid="{00000000-0005-0000-0000-0000E10B0000}"/>
    <cellStyle name="Normal 27 4" xfId="3010" xr:uid="{00000000-0005-0000-0000-0000E20B0000}"/>
    <cellStyle name="Normal 27 40" xfId="3011" xr:uid="{00000000-0005-0000-0000-0000E30B0000}"/>
    <cellStyle name="Normal 27 41" xfId="3012" xr:uid="{00000000-0005-0000-0000-0000E40B0000}"/>
    <cellStyle name="Normal 27 42" xfId="3013" xr:uid="{00000000-0005-0000-0000-0000E50B0000}"/>
    <cellStyle name="Normal 27 43" xfId="3014" xr:uid="{00000000-0005-0000-0000-0000E60B0000}"/>
    <cellStyle name="Normal 27 44" xfId="3015" xr:uid="{00000000-0005-0000-0000-0000E70B0000}"/>
    <cellStyle name="Normal 27 45" xfId="3016" xr:uid="{00000000-0005-0000-0000-0000E80B0000}"/>
    <cellStyle name="Normal 27 46" xfId="3017" xr:uid="{00000000-0005-0000-0000-0000E90B0000}"/>
    <cellStyle name="Normal 27 47" xfId="3018" xr:uid="{00000000-0005-0000-0000-0000EA0B0000}"/>
    <cellStyle name="Normal 27 48" xfId="3019" xr:uid="{00000000-0005-0000-0000-0000EB0B0000}"/>
    <cellStyle name="Normal 27 49" xfId="3020" xr:uid="{00000000-0005-0000-0000-0000EC0B0000}"/>
    <cellStyle name="Normal 27 5" xfId="3021" xr:uid="{00000000-0005-0000-0000-0000ED0B0000}"/>
    <cellStyle name="Normal 27 50" xfId="3022" xr:uid="{00000000-0005-0000-0000-0000EE0B0000}"/>
    <cellStyle name="Normal 27 51" xfId="3023" xr:uid="{00000000-0005-0000-0000-0000EF0B0000}"/>
    <cellStyle name="Normal 27 52" xfId="3024" xr:uid="{00000000-0005-0000-0000-0000F00B0000}"/>
    <cellStyle name="Normal 27 53" xfId="3025" xr:uid="{00000000-0005-0000-0000-0000F10B0000}"/>
    <cellStyle name="Normal 27 54" xfId="3026" xr:uid="{00000000-0005-0000-0000-0000F20B0000}"/>
    <cellStyle name="Normal 27 55" xfId="3027" xr:uid="{00000000-0005-0000-0000-0000F30B0000}"/>
    <cellStyle name="Normal 27 56" xfId="3028" xr:uid="{00000000-0005-0000-0000-0000F40B0000}"/>
    <cellStyle name="Normal 27 57" xfId="3029" xr:uid="{00000000-0005-0000-0000-0000F50B0000}"/>
    <cellStyle name="Normal 27 58" xfId="3030" xr:uid="{00000000-0005-0000-0000-0000F60B0000}"/>
    <cellStyle name="Normal 27 59" xfId="3031" xr:uid="{00000000-0005-0000-0000-0000F70B0000}"/>
    <cellStyle name="Normal 27 6" xfId="3032" xr:uid="{00000000-0005-0000-0000-0000F80B0000}"/>
    <cellStyle name="Normal 27 60" xfId="3033" xr:uid="{00000000-0005-0000-0000-0000F90B0000}"/>
    <cellStyle name="Normal 27 61" xfId="3034" xr:uid="{00000000-0005-0000-0000-0000FA0B0000}"/>
    <cellStyle name="Normal 27 62" xfId="3035" xr:uid="{00000000-0005-0000-0000-0000FB0B0000}"/>
    <cellStyle name="Normal 27 63" xfId="3036" xr:uid="{00000000-0005-0000-0000-0000FC0B0000}"/>
    <cellStyle name="Normal 27 64" xfId="3037" xr:uid="{00000000-0005-0000-0000-0000FD0B0000}"/>
    <cellStyle name="Normal 27 65" xfId="3038" xr:uid="{00000000-0005-0000-0000-0000FE0B0000}"/>
    <cellStyle name="Normal 27 66" xfId="3039" xr:uid="{00000000-0005-0000-0000-0000FF0B0000}"/>
    <cellStyle name="Normal 27 67" xfId="3040" xr:uid="{00000000-0005-0000-0000-0000000C0000}"/>
    <cellStyle name="Normal 27 68" xfId="3041" xr:uid="{00000000-0005-0000-0000-0000010C0000}"/>
    <cellStyle name="Normal 27 69" xfId="3042" xr:uid="{00000000-0005-0000-0000-0000020C0000}"/>
    <cellStyle name="Normal 27 7" xfId="3043" xr:uid="{00000000-0005-0000-0000-0000030C0000}"/>
    <cellStyle name="Normal 27 70" xfId="3044" xr:uid="{00000000-0005-0000-0000-0000040C0000}"/>
    <cellStyle name="Normal 27 71" xfId="3045" xr:uid="{00000000-0005-0000-0000-0000050C0000}"/>
    <cellStyle name="Normal 27 72" xfId="3046" xr:uid="{00000000-0005-0000-0000-0000060C0000}"/>
    <cellStyle name="Normal 27 73" xfId="3047" xr:uid="{00000000-0005-0000-0000-0000070C0000}"/>
    <cellStyle name="Normal 27 74" xfId="3048" xr:uid="{00000000-0005-0000-0000-0000080C0000}"/>
    <cellStyle name="Normal 27 75" xfId="3049" xr:uid="{00000000-0005-0000-0000-0000090C0000}"/>
    <cellStyle name="Normal 27 76" xfId="3050" xr:uid="{00000000-0005-0000-0000-00000A0C0000}"/>
    <cellStyle name="Normal 27 77" xfId="3051" xr:uid="{00000000-0005-0000-0000-00000B0C0000}"/>
    <cellStyle name="Normal 27 78" xfId="3052" xr:uid="{00000000-0005-0000-0000-00000C0C0000}"/>
    <cellStyle name="Normal 27 79" xfId="3053" xr:uid="{00000000-0005-0000-0000-00000D0C0000}"/>
    <cellStyle name="Normal 27 8" xfId="3054" xr:uid="{00000000-0005-0000-0000-00000E0C0000}"/>
    <cellStyle name="Normal 27 80" xfId="3055" xr:uid="{00000000-0005-0000-0000-00000F0C0000}"/>
    <cellStyle name="Normal 27 81" xfId="3056" xr:uid="{00000000-0005-0000-0000-0000100C0000}"/>
    <cellStyle name="Normal 27 82" xfId="3057" xr:uid="{00000000-0005-0000-0000-0000110C0000}"/>
    <cellStyle name="Normal 27 83" xfId="3058" xr:uid="{00000000-0005-0000-0000-0000120C0000}"/>
    <cellStyle name="Normal 27 84" xfId="3059" xr:uid="{00000000-0005-0000-0000-0000130C0000}"/>
    <cellStyle name="Normal 27 85" xfId="3060" xr:uid="{00000000-0005-0000-0000-0000140C0000}"/>
    <cellStyle name="Normal 27 86" xfId="3061" xr:uid="{00000000-0005-0000-0000-0000150C0000}"/>
    <cellStyle name="Normal 27 87" xfId="3062" xr:uid="{00000000-0005-0000-0000-0000160C0000}"/>
    <cellStyle name="Normal 27 88" xfId="3063" xr:uid="{00000000-0005-0000-0000-0000170C0000}"/>
    <cellStyle name="Normal 27 89" xfId="3064" xr:uid="{00000000-0005-0000-0000-0000180C0000}"/>
    <cellStyle name="Normal 27 9" xfId="3065" xr:uid="{00000000-0005-0000-0000-0000190C0000}"/>
    <cellStyle name="Normal 27 90" xfId="3066" xr:uid="{00000000-0005-0000-0000-00001A0C0000}"/>
    <cellStyle name="Normal 27 91" xfId="3067" xr:uid="{00000000-0005-0000-0000-00001B0C0000}"/>
    <cellStyle name="Normal 27 92" xfId="3068" xr:uid="{00000000-0005-0000-0000-00001C0C0000}"/>
    <cellStyle name="Normal 27 93" xfId="3069" xr:uid="{00000000-0005-0000-0000-00001D0C0000}"/>
    <cellStyle name="Normal 27 94" xfId="3070" xr:uid="{00000000-0005-0000-0000-00001E0C0000}"/>
    <cellStyle name="Normal 27 95" xfId="3071" xr:uid="{00000000-0005-0000-0000-00001F0C0000}"/>
    <cellStyle name="Normal 27 96" xfId="3072" xr:uid="{00000000-0005-0000-0000-0000200C0000}"/>
    <cellStyle name="Normal 27 97" xfId="3073" xr:uid="{00000000-0005-0000-0000-0000210C0000}"/>
    <cellStyle name="Normal 27 98" xfId="3074" xr:uid="{00000000-0005-0000-0000-0000220C0000}"/>
    <cellStyle name="Normal 27 99" xfId="3075" xr:uid="{00000000-0005-0000-0000-0000230C0000}"/>
    <cellStyle name="Normal 28" xfId="3076" xr:uid="{00000000-0005-0000-0000-0000240C0000}"/>
    <cellStyle name="Normal 28 10" xfId="3077" xr:uid="{00000000-0005-0000-0000-0000250C0000}"/>
    <cellStyle name="Normal 28 100" xfId="3078" xr:uid="{00000000-0005-0000-0000-0000260C0000}"/>
    <cellStyle name="Normal 28 101" xfId="3079" xr:uid="{00000000-0005-0000-0000-0000270C0000}"/>
    <cellStyle name="Normal 28 102" xfId="3080" xr:uid="{00000000-0005-0000-0000-0000280C0000}"/>
    <cellStyle name="Normal 28 103" xfId="3081" xr:uid="{00000000-0005-0000-0000-0000290C0000}"/>
    <cellStyle name="Normal 28 104" xfId="3082" xr:uid="{00000000-0005-0000-0000-00002A0C0000}"/>
    <cellStyle name="Normal 28 105" xfId="3083" xr:uid="{00000000-0005-0000-0000-00002B0C0000}"/>
    <cellStyle name="Normal 28 106" xfId="3084" xr:uid="{00000000-0005-0000-0000-00002C0C0000}"/>
    <cellStyle name="Normal 28 107" xfId="3085" xr:uid="{00000000-0005-0000-0000-00002D0C0000}"/>
    <cellStyle name="Normal 28 108" xfId="3086" xr:uid="{00000000-0005-0000-0000-00002E0C0000}"/>
    <cellStyle name="Normal 28 109" xfId="3087" xr:uid="{00000000-0005-0000-0000-00002F0C0000}"/>
    <cellStyle name="Normal 28 11" xfId="3088" xr:uid="{00000000-0005-0000-0000-0000300C0000}"/>
    <cellStyle name="Normal 28 110" xfId="18050" xr:uid="{435BAA95-25B5-455F-9916-FAA1E6F3E447}"/>
    <cellStyle name="Normal 28 12" xfId="3089" xr:uid="{00000000-0005-0000-0000-0000310C0000}"/>
    <cellStyle name="Normal 28 13" xfId="3090" xr:uid="{00000000-0005-0000-0000-0000320C0000}"/>
    <cellStyle name="Normal 28 14" xfId="3091" xr:uid="{00000000-0005-0000-0000-0000330C0000}"/>
    <cellStyle name="Normal 28 15" xfId="3092" xr:uid="{00000000-0005-0000-0000-0000340C0000}"/>
    <cellStyle name="Normal 28 16" xfId="3093" xr:uid="{00000000-0005-0000-0000-0000350C0000}"/>
    <cellStyle name="Normal 28 17" xfId="3094" xr:uid="{00000000-0005-0000-0000-0000360C0000}"/>
    <cellStyle name="Normal 28 18" xfId="3095" xr:uid="{00000000-0005-0000-0000-0000370C0000}"/>
    <cellStyle name="Normal 28 19" xfId="3096" xr:uid="{00000000-0005-0000-0000-0000380C0000}"/>
    <cellStyle name="Normal 28 2" xfId="3097" xr:uid="{00000000-0005-0000-0000-0000390C0000}"/>
    <cellStyle name="Normal 28 20" xfId="3098" xr:uid="{00000000-0005-0000-0000-00003A0C0000}"/>
    <cellStyle name="Normal 28 21" xfId="3099" xr:uid="{00000000-0005-0000-0000-00003B0C0000}"/>
    <cellStyle name="Normal 28 22" xfId="3100" xr:uid="{00000000-0005-0000-0000-00003C0C0000}"/>
    <cellStyle name="Normal 28 23" xfId="3101" xr:uid="{00000000-0005-0000-0000-00003D0C0000}"/>
    <cellStyle name="Normal 28 24" xfId="3102" xr:uid="{00000000-0005-0000-0000-00003E0C0000}"/>
    <cellStyle name="Normal 28 25" xfId="3103" xr:uid="{00000000-0005-0000-0000-00003F0C0000}"/>
    <cellStyle name="Normal 28 26" xfId="3104" xr:uid="{00000000-0005-0000-0000-0000400C0000}"/>
    <cellStyle name="Normal 28 27" xfId="3105" xr:uid="{00000000-0005-0000-0000-0000410C0000}"/>
    <cellStyle name="Normal 28 28" xfId="3106" xr:uid="{00000000-0005-0000-0000-0000420C0000}"/>
    <cellStyle name="Normal 28 29" xfId="3107" xr:uid="{00000000-0005-0000-0000-0000430C0000}"/>
    <cellStyle name="Normal 28 3" xfId="3108" xr:uid="{00000000-0005-0000-0000-0000440C0000}"/>
    <cellStyle name="Normal 28 30" xfId="3109" xr:uid="{00000000-0005-0000-0000-0000450C0000}"/>
    <cellStyle name="Normal 28 31" xfId="3110" xr:uid="{00000000-0005-0000-0000-0000460C0000}"/>
    <cellStyle name="Normal 28 32" xfId="3111" xr:uid="{00000000-0005-0000-0000-0000470C0000}"/>
    <cellStyle name="Normal 28 33" xfId="3112" xr:uid="{00000000-0005-0000-0000-0000480C0000}"/>
    <cellStyle name="Normal 28 34" xfId="3113" xr:uid="{00000000-0005-0000-0000-0000490C0000}"/>
    <cellStyle name="Normal 28 35" xfId="3114" xr:uid="{00000000-0005-0000-0000-00004A0C0000}"/>
    <cellStyle name="Normal 28 36" xfId="3115" xr:uid="{00000000-0005-0000-0000-00004B0C0000}"/>
    <cellStyle name="Normal 28 37" xfId="3116" xr:uid="{00000000-0005-0000-0000-00004C0C0000}"/>
    <cellStyle name="Normal 28 38" xfId="3117" xr:uid="{00000000-0005-0000-0000-00004D0C0000}"/>
    <cellStyle name="Normal 28 39" xfId="3118" xr:uid="{00000000-0005-0000-0000-00004E0C0000}"/>
    <cellStyle name="Normal 28 4" xfId="3119" xr:uid="{00000000-0005-0000-0000-00004F0C0000}"/>
    <cellStyle name="Normal 28 40" xfId="3120" xr:uid="{00000000-0005-0000-0000-0000500C0000}"/>
    <cellStyle name="Normal 28 41" xfId="3121" xr:uid="{00000000-0005-0000-0000-0000510C0000}"/>
    <cellStyle name="Normal 28 42" xfId="3122" xr:uid="{00000000-0005-0000-0000-0000520C0000}"/>
    <cellStyle name="Normal 28 43" xfId="3123" xr:uid="{00000000-0005-0000-0000-0000530C0000}"/>
    <cellStyle name="Normal 28 44" xfId="3124" xr:uid="{00000000-0005-0000-0000-0000540C0000}"/>
    <cellStyle name="Normal 28 45" xfId="3125" xr:uid="{00000000-0005-0000-0000-0000550C0000}"/>
    <cellStyle name="Normal 28 46" xfId="3126" xr:uid="{00000000-0005-0000-0000-0000560C0000}"/>
    <cellStyle name="Normal 28 47" xfId="3127" xr:uid="{00000000-0005-0000-0000-0000570C0000}"/>
    <cellStyle name="Normal 28 48" xfId="3128" xr:uid="{00000000-0005-0000-0000-0000580C0000}"/>
    <cellStyle name="Normal 28 49" xfId="3129" xr:uid="{00000000-0005-0000-0000-0000590C0000}"/>
    <cellStyle name="Normal 28 5" xfId="3130" xr:uid="{00000000-0005-0000-0000-00005A0C0000}"/>
    <cellStyle name="Normal 28 50" xfId="3131" xr:uid="{00000000-0005-0000-0000-00005B0C0000}"/>
    <cellStyle name="Normal 28 51" xfId="3132" xr:uid="{00000000-0005-0000-0000-00005C0C0000}"/>
    <cellStyle name="Normal 28 52" xfId="3133" xr:uid="{00000000-0005-0000-0000-00005D0C0000}"/>
    <cellStyle name="Normal 28 53" xfId="3134" xr:uid="{00000000-0005-0000-0000-00005E0C0000}"/>
    <cellStyle name="Normal 28 54" xfId="3135" xr:uid="{00000000-0005-0000-0000-00005F0C0000}"/>
    <cellStyle name="Normal 28 55" xfId="3136" xr:uid="{00000000-0005-0000-0000-0000600C0000}"/>
    <cellStyle name="Normal 28 56" xfId="3137" xr:uid="{00000000-0005-0000-0000-0000610C0000}"/>
    <cellStyle name="Normal 28 57" xfId="3138" xr:uid="{00000000-0005-0000-0000-0000620C0000}"/>
    <cellStyle name="Normal 28 58" xfId="3139" xr:uid="{00000000-0005-0000-0000-0000630C0000}"/>
    <cellStyle name="Normal 28 59" xfId="3140" xr:uid="{00000000-0005-0000-0000-0000640C0000}"/>
    <cellStyle name="Normal 28 6" xfId="3141" xr:uid="{00000000-0005-0000-0000-0000650C0000}"/>
    <cellStyle name="Normal 28 60" xfId="3142" xr:uid="{00000000-0005-0000-0000-0000660C0000}"/>
    <cellStyle name="Normal 28 61" xfId="3143" xr:uid="{00000000-0005-0000-0000-0000670C0000}"/>
    <cellStyle name="Normal 28 62" xfId="3144" xr:uid="{00000000-0005-0000-0000-0000680C0000}"/>
    <cellStyle name="Normal 28 63" xfId="3145" xr:uid="{00000000-0005-0000-0000-0000690C0000}"/>
    <cellStyle name="Normal 28 64" xfId="3146" xr:uid="{00000000-0005-0000-0000-00006A0C0000}"/>
    <cellStyle name="Normal 28 65" xfId="3147" xr:uid="{00000000-0005-0000-0000-00006B0C0000}"/>
    <cellStyle name="Normal 28 66" xfId="3148" xr:uid="{00000000-0005-0000-0000-00006C0C0000}"/>
    <cellStyle name="Normal 28 67" xfId="3149" xr:uid="{00000000-0005-0000-0000-00006D0C0000}"/>
    <cellStyle name="Normal 28 68" xfId="3150" xr:uid="{00000000-0005-0000-0000-00006E0C0000}"/>
    <cellStyle name="Normal 28 69" xfId="3151" xr:uid="{00000000-0005-0000-0000-00006F0C0000}"/>
    <cellStyle name="Normal 28 7" xfId="3152" xr:uid="{00000000-0005-0000-0000-0000700C0000}"/>
    <cellStyle name="Normal 28 70" xfId="3153" xr:uid="{00000000-0005-0000-0000-0000710C0000}"/>
    <cellStyle name="Normal 28 71" xfId="3154" xr:uid="{00000000-0005-0000-0000-0000720C0000}"/>
    <cellStyle name="Normal 28 72" xfId="3155" xr:uid="{00000000-0005-0000-0000-0000730C0000}"/>
    <cellStyle name="Normal 28 73" xfId="3156" xr:uid="{00000000-0005-0000-0000-0000740C0000}"/>
    <cellStyle name="Normal 28 74" xfId="3157" xr:uid="{00000000-0005-0000-0000-0000750C0000}"/>
    <cellStyle name="Normal 28 75" xfId="3158" xr:uid="{00000000-0005-0000-0000-0000760C0000}"/>
    <cellStyle name="Normal 28 76" xfId="3159" xr:uid="{00000000-0005-0000-0000-0000770C0000}"/>
    <cellStyle name="Normal 28 77" xfId="3160" xr:uid="{00000000-0005-0000-0000-0000780C0000}"/>
    <cellStyle name="Normal 28 78" xfId="3161" xr:uid="{00000000-0005-0000-0000-0000790C0000}"/>
    <cellStyle name="Normal 28 79" xfId="3162" xr:uid="{00000000-0005-0000-0000-00007A0C0000}"/>
    <cellStyle name="Normal 28 8" xfId="3163" xr:uid="{00000000-0005-0000-0000-00007B0C0000}"/>
    <cellStyle name="Normal 28 80" xfId="3164" xr:uid="{00000000-0005-0000-0000-00007C0C0000}"/>
    <cellStyle name="Normal 28 81" xfId="3165" xr:uid="{00000000-0005-0000-0000-00007D0C0000}"/>
    <cellStyle name="Normal 28 82" xfId="3166" xr:uid="{00000000-0005-0000-0000-00007E0C0000}"/>
    <cellStyle name="Normal 28 83" xfId="3167" xr:uid="{00000000-0005-0000-0000-00007F0C0000}"/>
    <cellStyle name="Normal 28 84" xfId="3168" xr:uid="{00000000-0005-0000-0000-0000800C0000}"/>
    <cellStyle name="Normal 28 85" xfId="3169" xr:uid="{00000000-0005-0000-0000-0000810C0000}"/>
    <cellStyle name="Normal 28 86" xfId="3170" xr:uid="{00000000-0005-0000-0000-0000820C0000}"/>
    <cellStyle name="Normal 28 87" xfId="3171" xr:uid="{00000000-0005-0000-0000-0000830C0000}"/>
    <cellStyle name="Normal 28 88" xfId="3172" xr:uid="{00000000-0005-0000-0000-0000840C0000}"/>
    <cellStyle name="Normal 28 89" xfId="3173" xr:uid="{00000000-0005-0000-0000-0000850C0000}"/>
    <cellStyle name="Normal 28 9" xfId="3174" xr:uid="{00000000-0005-0000-0000-0000860C0000}"/>
    <cellStyle name="Normal 28 90" xfId="3175" xr:uid="{00000000-0005-0000-0000-0000870C0000}"/>
    <cellStyle name="Normal 28 91" xfId="3176" xr:uid="{00000000-0005-0000-0000-0000880C0000}"/>
    <cellStyle name="Normal 28 92" xfId="3177" xr:uid="{00000000-0005-0000-0000-0000890C0000}"/>
    <cellStyle name="Normal 28 93" xfId="3178" xr:uid="{00000000-0005-0000-0000-00008A0C0000}"/>
    <cellStyle name="Normal 28 94" xfId="3179" xr:uid="{00000000-0005-0000-0000-00008B0C0000}"/>
    <cellStyle name="Normal 28 95" xfId="3180" xr:uid="{00000000-0005-0000-0000-00008C0C0000}"/>
    <cellStyle name="Normal 28 96" xfId="3181" xr:uid="{00000000-0005-0000-0000-00008D0C0000}"/>
    <cellStyle name="Normal 28 97" xfId="3182" xr:uid="{00000000-0005-0000-0000-00008E0C0000}"/>
    <cellStyle name="Normal 28 98" xfId="3183" xr:uid="{00000000-0005-0000-0000-00008F0C0000}"/>
    <cellStyle name="Normal 28 99" xfId="3184" xr:uid="{00000000-0005-0000-0000-0000900C0000}"/>
    <cellStyle name="Normal 29" xfId="3185" xr:uid="{00000000-0005-0000-0000-0000910C0000}"/>
    <cellStyle name="Normal 29 10" xfId="3186" xr:uid="{00000000-0005-0000-0000-0000920C0000}"/>
    <cellStyle name="Normal 29 100" xfId="3187" xr:uid="{00000000-0005-0000-0000-0000930C0000}"/>
    <cellStyle name="Normal 29 101" xfId="3188" xr:uid="{00000000-0005-0000-0000-0000940C0000}"/>
    <cellStyle name="Normal 29 102" xfId="3189" xr:uid="{00000000-0005-0000-0000-0000950C0000}"/>
    <cellStyle name="Normal 29 103" xfId="3190" xr:uid="{00000000-0005-0000-0000-0000960C0000}"/>
    <cellStyle name="Normal 29 104" xfId="3191" xr:uid="{00000000-0005-0000-0000-0000970C0000}"/>
    <cellStyle name="Normal 29 105" xfId="3192" xr:uid="{00000000-0005-0000-0000-0000980C0000}"/>
    <cellStyle name="Normal 29 106" xfId="3193" xr:uid="{00000000-0005-0000-0000-0000990C0000}"/>
    <cellStyle name="Normal 29 107" xfId="3194" xr:uid="{00000000-0005-0000-0000-00009A0C0000}"/>
    <cellStyle name="Normal 29 108" xfId="3195" xr:uid="{00000000-0005-0000-0000-00009B0C0000}"/>
    <cellStyle name="Normal 29 109" xfId="3196" xr:uid="{00000000-0005-0000-0000-00009C0C0000}"/>
    <cellStyle name="Normal 29 11" xfId="3197" xr:uid="{00000000-0005-0000-0000-00009D0C0000}"/>
    <cellStyle name="Normal 29 110" xfId="18051" xr:uid="{F5B6C9BD-2A22-479A-9FC2-57236901DDE6}"/>
    <cellStyle name="Normal 29 12" xfId="3198" xr:uid="{00000000-0005-0000-0000-00009E0C0000}"/>
    <cellStyle name="Normal 29 13" xfId="3199" xr:uid="{00000000-0005-0000-0000-00009F0C0000}"/>
    <cellStyle name="Normal 29 14" xfId="3200" xr:uid="{00000000-0005-0000-0000-0000A00C0000}"/>
    <cellStyle name="Normal 29 15" xfId="3201" xr:uid="{00000000-0005-0000-0000-0000A10C0000}"/>
    <cellStyle name="Normal 29 16" xfId="3202" xr:uid="{00000000-0005-0000-0000-0000A20C0000}"/>
    <cellStyle name="Normal 29 17" xfId="3203" xr:uid="{00000000-0005-0000-0000-0000A30C0000}"/>
    <cellStyle name="Normal 29 18" xfId="3204" xr:uid="{00000000-0005-0000-0000-0000A40C0000}"/>
    <cellStyle name="Normal 29 19" xfId="3205" xr:uid="{00000000-0005-0000-0000-0000A50C0000}"/>
    <cellStyle name="Normal 29 2" xfId="3206" xr:uid="{00000000-0005-0000-0000-0000A60C0000}"/>
    <cellStyle name="Normal 29 20" xfId="3207" xr:uid="{00000000-0005-0000-0000-0000A70C0000}"/>
    <cellStyle name="Normal 29 21" xfId="3208" xr:uid="{00000000-0005-0000-0000-0000A80C0000}"/>
    <cellStyle name="Normal 29 22" xfId="3209" xr:uid="{00000000-0005-0000-0000-0000A90C0000}"/>
    <cellStyle name="Normal 29 23" xfId="3210" xr:uid="{00000000-0005-0000-0000-0000AA0C0000}"/>
    <cellStyle name="Normal 29 24" xfId="3211" xr:uid="{00000000-0005-0000-0000-0000AB0C0000}"/>
    <cellStyle name="Normal 29 25" xfId="3212" xr:uid="{00000000-0005-0000-0000-0000AC0C0000}"/>
    <cellStyle name="Normal 29 26" xfId="3213" xr:uid="{00000000-0005-0000-0000-0000AD0C0000}"/>
    <cellStyle name="Normal 29 27" xfId="3214" xr:uid="{00000000-0005-0000-0000-0000AE0C0000}"/>
    <cellStyle name="Normal 29 28" xfId="3215" xr:uid="{00000000-0005-0000-0000-0000AF0C0000}"/>
    <cellStyle name="Normal 29 29" xfId="3216" xr:uid="{00000000-0005-0000-0000-0000B00C0000}"/>
    <cellStyle name="Normal 29 3" xfId="3217" xr:uid="{00000000-0005-0000-0000-0000B10C0000}"/>
    <cellStyle name="Normal 29 30" xfId="3218" xr:uid="{00000000-0005-0000-0000-0000B20C0000}"/>
    <cellStyle name="Normal 29 31" xfId="3219" xr:uid="{00000000-0005-0000-0000-0000B30C0000}"/>
    <cellStyle name="Normal 29 32" xfId="3220" xr:uid="{00000000-0005-0000-0000-0000B40C0000}"/>
    <cellStyle name="Normal 29 33" xfId="3221" xr:uid="{00000000-0005-0000-0000-0000B50C0000}"/>
    <cellStyle name="Normal 29 34" xfId="3222" xr:uid="{00000000-0005-0000-0000-0000B60C0000}"/>
    <cellStyle name="Normal 29 35" xfId="3223" xr:uid="{00000000-0005-0000-0000-0000B70C0000}"/>
    <cellStyle name="Normal 29 36" xfId="3224" xr:uid="{00000000-0005-0000-0000-0000B80C0000}"/>
    <cellStyle name="Normal 29 37" xfId="3225" xr:uid="{00000000-0005-0000-0000-0000B90C0000}"/>
    <cellStyle name="Normal 29 38" xfId="3226" xr:uid="{00000000-0005-0000-0000-0000BA0C0000}"/>
    <cellStyle name="Normal 29 39" xfId="3227" xr:uid="{00000000-0005-0000-0000-0000BB0C0000}"/>
    <cellStyle name="Normal 29 4" xfId="3228" xr:uid="{00000000-0005-0000-0000-0000BC0C0000}"/>
    <cellStyle name="Normal 29 40" xfId="3229" xr:uid="{00000000-0005-0000-0000-0000BD0C0000}"/>
    <cellStyle name="Normal 29 41" xfId="3230" xr:uid="{00000000-0005-0000-0000-0000BE0C0000}"/>
    <cellStyle name="Normal 29 42" xfId="3231" xr:uid="{00000000-0005-0000-0000-0000BF0C0000}"/>
    <cellStyle name="Normal 29 43" xfId="3232" xr:uid="{00000000-0005-0000-0000-0000C00C0000}"/>
    <cellStyle name="Normal 29 44" xfId="3233" xr:uid="{00000000-0005-0000-0000-0000C10C0000}"/>
    <cellStyle name="Normal 29 45" xfId="3234" xr:uid="{00000000-0005-0000-0000-0000C20C0000}"/>
    <cellStyle name="Normal 29 46" xfId="3235" xr:uid="{00000000-0005-0000-0000-0000C30C0000}"/>
    <cellStyle name="Normal 29 47" xfId="3236" xr:uid="{00000000-0005-0000-0000-0000C40C0000}"/>
    <cellStyle name="Normal 29 48" xfId="3237" xr:uid="{00000000-0005-0000-0000-0000C50C0000}"/>
    <cellStyle name="Normal 29 49" xfId="3238" xr:uid="{00000000-0005-0000-0000-0000C60C0000}"/>
    <cellStyle name="Normal 29 5" xfId="3239" xr:uid="{00000000-0005-0000-0000-0000C70C0000}"/>
    <cellStyle name="Normal 29 50" xfId="3240" xr:uid="{00000000-0005-0000-0000-0000C80C0000}"/>
    <cellStyle name="Normal 29 51" xfId="3241" xr:uid="{00000000-0005-0000-0000-0000C90C0000}"/>
    <cellStyle name="Normal 29 52" xfId="3242" xr:uid="{00000000-0005-0000-0000-0000CA0C0000}"/>
    <cellStyle name="Normal 29 53" xfId="3243" xr:uid="{00000000-0005-0000-0000-0000CB0C0000}"/>
    <cellStyle name="Normal 29 54" xfId="3244" xr:uid="{00000000-0005-0000-0000-0000CC0C0000}"/>
    <cellStyle name="Normal 29 55" xfId="3245" xr:uid="{00000000-0005-0000-0000-0000CD0C0000}"/>
    <cellStyle name="Normal 29 56" xfId="3246" xr:uid="{00000000-0005-0000-0000-0000CE0C0000}"/>
    <cellStyle name="Normal 29 57" xfId="3247" xr:uid="{00000000-0005-0000-0000-0000CF0C0000}"/>
    <cellStyle name="Normal 29 58" xfId="3248" xr:uid="{00000000-0005-0000-0000-0000D00C0000}"/>
    <cellStyle name="Normal 29 59" xfId="3249" xr:uid="{00000000-0005-0000-0000-0000D10C0000}"/>
    <cellStyle name="Normal 29 6" xfId="3250" xr:uid="{00000000-0005-0000-0000-0000D20C0000}"/>
    <cellStyle name="Normal 29 60" xfId="3251" xr:uid="{00000000-0005-0000-0000-0000D30C0000}"/>
    <cellStyle name="Normal 29 61" xfId="3252" xr:uid="{00000000-0005-0000-0000-0000D40C0000}"/>
    <cellStyle name="Normal 29 62" xfId="3253" xr:uid="{00000000-0005-0000-0000-0000D50C0000}"/>
    <cellStyle name="Normal 29 63" xfId="3254" xr:uid="{00000000-0005-0000-0000-0000D60C0000}"/>
    <cellStyle name="Normal 29 64" xfId="3255" xr:uid="{00000000-0005-0000-0000-0000D70C0000}"/>
    <cellStyle name="Normal 29 65" xfId="3256" xr:uid="{00000000-0005-0000-0000-0000D80C0000}"/>
    <cellStyle name="Normal 29 66" xfId="3257" xr:uid="{00000000-0005-0000-0000-0000D90C0000}"/>
    <cellStyle name="Normal 29 67" xfId="3258" xr:uid="{00000000-0005-0000-0000-0000DA0C0000}"/>
    <cellStyle name="Normal 29 68" xfId="3259" xr:uid="{00000000-0005-0000-0000-0000DB0C0000}"/>
    <cellStyle name="Normal 29 69" xfId="3260" xr:uid="{00000000-0005-0000-0000-0000DC0C0000}"/>
    <cellStyle name="Normal 29 7" xfId="3261" xr:uid="{00000000-0005-0000-0000-0000DD0C0000}"/>
    <cellStyle name="Normal 29 70" xfId="3262" xr:uid="{00000000-0005-0000-0000-0000DE0C0000}"/>
    <cellStyle name="Normal 29 71" xfId="3263" xr:uid="{00000000-0005-0000-0000-0000DF0C0000}"/>
    <cellStyle name="Normal 29 72" xfId="3264" xr:uid="{00000000-0005-0000-0000-0000E00C0000}"/>
    <cellStyle name="Normal 29 73" xfId="3265" xr:uid="{00000000-0005-0000-0000-0000E10C0000}"/>
    <cellStyle name="Normal 29 74" xfId="3266" xr:uid="{00000000-0005-0000-0000-0000E20C0000}"/>
    <cellStyle name="Normal 29 75" xfId="3267" xr:uid="{00000000-0005-0000-0000-0000E30C0000}"/>
    <cellStyle name="Normal 29 76" xfId="3268" xr:uid="{00000000-0005-0000-0000-0000E40C0000}"/>
    <cellStyle name="Normal 29 77" xfId="3269" xr:uid="{00000000-0005-0000-0000-0000E50C0000}"/>
    <cellStyle name="Normal 29 78" xfId="3270" xr:uid="{00000000-0005-0000-0000-0000E60C0000}"/>
    <cellStyle name="Normal 29 79" xfId="3271" xr:uid="{00000000-0005-0000-0000-0000E70C0000}"/>
    <cellStyle name="Normal 29 8" xfId="3272" xr:uid="{00000000-0005-0000-0000-0000E80C0000}"/>
    <cellStyle name="Normal 29 80" xfId="3273" xr:uid="{00000000-0005-0000-0000-0000E90C0000}"/>
    <cellStyle name="Normal 29 81" xfId="3274" xr:uid="{00000000-0005-0000-0000-0000EA0C0000}"/>
    <cellStyle name="Normal 29 82" xfId="3275" xr:uid="{00000000-0005-0000-0000-0000EB0C0000}"/>
    <cellStyle name="Normal 29 83" xfId="3276" xr:uid="{00000000-0005-0000-0000-0000EC0C0000}"/>
    <cellStyle name="Normal 29 84" xfId="3277" xr:uid="{00000000-0005-0000-0000-0000ED0C0000}"/>
    <cellStyle name="Normal 29 85" xfId="3278" xr:uid="{00000000-0005-0000-0000-0000EE0C0000}"/>
    <cellStyle name="Normal 29 86" xfId="3279" xr:uid="{00000000-0005-0000-0000-0000EF0C0000}"/>
    <cellStyle name="Normal 29 87" xfId="3280" xr:uid="{00000000-0005-0000-0000-0000F00C0000}"/>
    <cellStyle name="Normal 29 88" xfId="3281" xr:uid="{00000000-0005-0000-0000-0000F10C0000}"/>
    <cellStyle name="Normal 29 89" xfId="3282" xr:uid="{00000000-0005-0000-0000-0000F20C0000}"/>
    <cellStyle name="Normal 29 9" xfId="3283" xr:uid="{00000000-0005-0000-0000-0000F30C0000}"/>
    <cellStyle name="Normal 29 90" xfId="3284" xr:uid="{00000000-0005-0000-0000-0000F40C0000}"/>
    <cellStyle name="Normal 29 91" xfId="3285" xr:uid="{00000000-0005-0000-0000-0000F50C0000}"/>
    <cellStyle name="Normal 29 92" xfId="3286" xr:uid="{00000000-0005-0000-0000-0000F60C0000}"/>
    <cellStyle name="Normal 29 93" xfId="3287" xr:uid="{00000000-0005-0000-0000-0000F70C0000}"/>
    <cellStyle name="Normal 29 94" xfId="3288" xr:uid="{00000000-0005-0000-0000-0000F80C0000}"/>
    <cellStyle name="Normal 29 95" xfId="3289" xr:uid="{00000000-0005-0000-0000-0000F90C0000}"/>
    <cellStyle name="Normal 29 96" xfId="3290" xr:uid="{00000000-0005-0000-0000-0000FA0C0000}"/>
    <cellStyle name="Normal 29 97" xfId="3291" xr:uid="{00000000-0005-0000-0000-0000FB0C0000}"/>
    <cellStyle name="Normal 29 98" xfId="3292" xr:uid="{00000000-0005-0000-0000-0000FC0C0000}"/>
    <cellStyle name="Normal 29 99" xfId="3293" xr:uid="{00000000-0005-0000-0000-0000FD0C0000}"/>
    <cellStyle name="Normal 3" xfId="3294" xr:uid="{00000000-0005-0000-0000-0000FE0C0000}"/>
    <cellStyle name="Normal-- 3" xfId="3295" xr:uid="{00000000-0005-0000-0000-0000FF0C0000}"/>
    <cellStyle name="Normal 3 10" xfId="3296" xr:uid="{00000000-0005-0000-0000-0000000D0000}"/>
    <cellStyle name="Normal 3 100" xfId="48237" xr:uid="{3F4BFDE8-868F-4326-AF5B-E4EEC6F4461A}"/>
    <cellStyle name="Normal 3 101" xfId="13803" xr:uid="{04CDF4A3-D37A-4295-955A-86CBC3E0ABB5}"/>
    <cellStyle name="Normal 3 102" xfId="47135" xr:uid="{FEEAB036-483F-424F-B164-FD366BDEAAB4}"/>
    <cellStyle name="Normal 3 11" xfId="3297" xr:uid="{00000000-0005-0000-0000-0000010D0000}"/>
    <cellStyle name="Normal 3 12" xfId="3298" xr:uid="{00000000-0005-0000-0000-0000020D0000}"/>
    <cellStyle name="Normal 3 13" xfId="3299" xr:uid="{00000000-0005-0000-0000-0000030D0000}"/>
    <cellStyle name="Normal 3 14" xfId="3300" xr:uid="{00000000-0005-0000-0000-0000040D0000}"/>
    <cellStyle name="Normal 3 15" xfId="3301" xr:uid="{00000000-0005-0000-0000-0000050D0000}"/>
    <cellStyle name="Normal 3 16" xfId="3302" xr:uid="{00000000-0005-0000-0000-0000060D0000}"/>
    <cellStyle name="Normal 3 17" xfId="3303" xr:uid="{00000000-0005-0000-0000-0000070D0000}"/>
    <cellStyle name="Normal 3 18" xfId="3304" xr:uid="{00000000-0005-0000-0000-0000080D0000}"/>
    <cellStyle name="Normal 3 19" xfId="3305" xr:uid="{00000000-0005-0000-0000-0000090D0000}"/>
    <cellStyle name="Normal 3 2" xfId="3306" xr:uid="{00000000-0005-0000-0000-00000A0D0000}"/>
    <cellStyle name="Normal 3 2 2" xfId="3307" xr:uid="{00000000-0005-0000-0000-00000B0D0000}"/>
    <cellStyle name="Normal 3 2 2 2" xfId="3308" xr:uid="{00000000-0005-0000-0000-00000C0D0000}"/>
    <cellStyle name="Normal 3 2 2 3" xfId="3309" xr:uid="{00000000-0005-0000-0000-00000D0D0000}"/>
    <cellStyle name="Normal 3 2 2 3 2" xfId="23532" xr:uid="{A2F8C14B-DB86-447B-A9A5-9AE46FD3ACED}"/>
    <cellStyle name="Normal 3 2 2 4" xfId="18052" xr:uid="{1F0F7EA1-57ED-4028-821B-B64F320BAE19}"/>
    <cellStyle name="Normal 3 2 3" xfId="3310" xr:uid="{00000000-0005-0000-0000-00000E0D0000}"/>
    <cellStyle name="Normal 3 2 3 2" xfId="3311" xr:uid="{00000000-0005-0000-0000-00000F0D0000}"/>
    <cellStyle name="Normal 3 2 3 3" xfId="18053" xr:uid="{12636C75-9B97-4B88-9549-128AF9B80807}"/>
    <cellStyle name="Normal 3 2 4" xfId="3312" xr:uid="{00000000-0005-0000-0000-0000100D0000}"/>
    <cellStyle name="Normal 3 2 5" xfId="3313" xr:uid="{00000000-0005-0000-0000-0000110D0000}"/>
    <cellStyle name="Normal 3 2 5 2" xfId="8873" xr:uid="{00000000-0005-0000-0000-0000AC1C0000}"/>
    <cellStyle name="Normal 3 2 5 2 2" xfId="41521" xr:uid="{6FD320B0-4BC4-4D17-B0FD-1AE376D2D9CC}"/>
    <cellStyle name="Normal 3 2 5 3" xfId="9355" xr:uid="{00000000-0005-0000-0000-00000D1E0000}"/>
    <cellStyle name="Normal 3 2 5 3 2" xfId="41871" xr:uid="{ECF76040-4C2B-47C5-AD5C-C9AB3CAD7C06}"/>
    <cellStyle name="Normal 3 2 5 4" xfId="17286" xr:uid="{B662BBDD-D2E9-4119-A2DD-F788095C47FB}"/>
    <cellStyle name="Normal 3 2 6" xfId="3314" xr:uid="{00000000-0005-0000-0000-0000120D0000}"/>
    <cellStyle name="Normal 3 2 7" xfId="8866" xr:uid="{00000000-0005-0000-0000-0000AB1C0000}"/>
    <cellStyle name="Normal 3 2 7 2" xfId="41517" xr:uid="{AEFB9EFE-19CE-429F-A063-7C336FAFA8D3}"/>
    <cellStyle name="Normal 3 2 8" xfId="13642" xr:uid="{ACA1FA43-8938-40FE-A8F6-B56DEF8E04A8}"/>
    <cellStyle name="Normal 3 20" xfId="3315" xr:uid="{00000000-0005-0000-0000-0000130D0000}"/>
    <cellStyle name="Normal 3 21" xfId="3316" xr:uid="{00000000-0005-0000-0000-0000140D0000}"/>
    <cellStyle name="Normal 3 22" xfId="3317" xr:uid="{00000000-0005-0000-0000-0000150D0000}"/>
    <cellStyle name="Normal 3 22 2" xfId="3318" xr:uid="{00000000-0005-0000-0000-0000160D0000}"/>
    <cellStyle name="Normal 3 22 2 2" xfId="3319" xr:uid="{00000000-0005-0000-0000-0000170D0000}"/>
    <cellStyle name="Normal 3 22 2 2 2" xfId="3320" xr:uid="{00000000-0005-0000-0000-0000180D0000}"/>
    <cellStyle name="Normal 3 22 2 2 2 2" xfId="8880" xr:uid="{00000000-0005-0000-0000-0000AF1C0000}"/>
    <cellStyle name="Normal 3 22 2 2 2 2 2" xfId="41528" xr:uid="{5F585397-47E3-464A-9A27-73099F49FB93}"/>
    <cellStyle name="Normal 3 22 2 2 2 3" xfId="15307" xr:uid="{31661E91-539F-4EFB-94AF-09C2EB9252A2}"/>
    <cellStyle name="Normal 3 22 2 2 3" xfId="8879" xr:uid="{00000000-0005-0000-0000-0000AE1C0000}"/>
    <cellStyle name="Normal 3 22 2 2 3 2" xfId="41527" xr:uid="{BA34E453-131D-4378-A586-425E558634FD}"/>
    <cellStyle name="Normal 3 22 2 2 4" xfId="15306" xr:uid="{37B060B8-6CB2-4846-B87F-91523D82200F}"/>
    <cellStyle name="Normal 3 22 2 3" xfId="3321" xr:uid="{00000000-0005-0000-0000-0000190D0000}"/>
    <cellStyle name="Normal 3 22 2 3 2" xfId="8881" xr:uid="{00000000-0005-0000-0000-0000B01C0000}"/>
    <cellStyle name="Normal 3 22 2 3 2 2" xfId="41529" xr:uid="{F3F5B3AC-B515-4352-9D85-94B31EFA66E3}"/>
    <cellStyle name="Normal 3 22 2 3 3" xfId="15308" xr:uid="{244E93A8-D9F0-47E0-9543-9FFDB125B5B3}"/>
    <cellStyle name="Normal 3 22 2 4" xfId="8878" xr:uid="{00000000-0005-0000-0000-0000AD1C0000}"/>
    <cellStyle name="Normal 3 22 2 4 2" xfId="41526" xr:uid="{17291E49-ED30-45E6-B915-75F25D2F7F0F}"/>
    <cellStyle name="Normal 3 22 2 5" xfId="15305" xr:uid="{96D5DA00-3616-4B47-AD76-0D23306B3AAF}"/>
    <cellStyle name="Normal 3 22 3" xfId="3322" xr:uid="{00000000-0005-0000-0000-00001A0D0000}"/>
    <cellStyle name="Normal 3 22 3 2" xfId="3323" xr:uid="{00000000-0005-0000-0000-00001B0D0000}"/>
    <cellStyle name="Normal 3 22 3 2 2" xfId="8883" xr:uid="{00000000-0005-0000-0000-0000B21C0000}"/>
    <cellStyle name="Normal 3 22 3 2 2 2" xfId="41531" xr:uid="{B0AA7C3B-A485-4CC4-8047-C755C00A4AE1}"/>
    <cellStyle name="Normal 3 22 3 2 3" xfId="15310" xr:uid="{70D2228A-2E31-4A6D-9B32-F101959C4188}"/>
    <cellStyle name="Normal 3 22 3 3" xfId="8882" xr:uid="{00000000-0005-0000-0000-0000B11C0000}"/>
    <cellStyle name="Normal 3 22 3 3 2" xfId="41530" xr:uid="{CC6E69C9-B497-4D55-B390-76B29A42199A}"/>
    <cellStyle name="Normal 3 22 3 4" xfId="15309" xr:uid="{49A23819-D7E2-4B75-B119-9E3007611981}"/>
    <cellStyle name="Normal 3 22 4" xfId="3324" xr:uid="{00000000-0005-0000-0000-00001C0D0000}"/>
    <cellStyle name="Normal 3 22 4 2" xfId="8884" xr:uid="{00000000-0005-0000-0000-0000B31C0000}"/>
    <cellStyle name="Normal 3 22 4 2 2" xfId="41532" xr:uid="{2814C6A6-11E9-4FC2-B1DD-9F3B1120BCD5}"/>
    <cellStyle name="Normal 3 22 4 3" xfId="15311" xr:uid="{639BAB4B-5E8C-4E8A-B8BA-2EB629AA6698}"/>
    <cellStyle name="Normal 3 23" xfId="3325" xr:uid="{00000000-0005-0000-0000-00001D0D0000}"/>
    <cellStyle name="Normal 3 24" xfId="3326" xr:uid="{00000000-0005-0000-0000-00001E0D0000}"/>
    <cellStyle name="Normal 3 24 2" xfId="3327" xr:uid="{00000000-0005-0000-0000-00001F0D0000}"/>
    <cellStyle name="Normal 3 24 2 2" xfId="3328" xr:uid="{00000000-0005-0000-0000-0000200D0000}"/>
    <cellStyle name="Normal 3 24 2 2 2" xfId="8888" xr:uid="{00000000-0005-0000-0000-0000B51C0000}"/>
    <cellStyle name="Normal 3 24 2 2 2 2" xfId="41536" xr:uid="{4652F7C6-B262-4BD1-B062-54EB90DF8183}"/>
    <cellStyle name="Normal 3 24 2 2 3" xfId="15315" xr:uid="{B9C9C591-0D21-4B33-9456-FABFDF1A7004}"/>
    <cellStyle name="Normal 3 24 2 3" xfId="8887" xr:uid="{00000000-0005-0000-0000-0000B41C0000}"/>
    <cellStyle name="Normal 3 24 2 3 2" xfId="41535" xr:uid="{2DE1B69C-0064-4E07-A6F0-923C4A774AB4}"/>
    <cellStyle name="Normal 3 24 2 4" xfId="15314" xr:uid="{6B9CC350-41DD-44DF-85BC-842B8BF01E97}"/>
    <cellStyle name="Normal 3 24 3" xfId="3329" xr:uid="{00000000-0005-0000-0000-0000210D0000}"/>
    <cellStyle name="Normal 3 24 3 2" xfId="8889" xr:uid="{00000000-0005-0000-0000-0000B61C0000}"/>
    <cellStyle name="Normal 3 24 3 2 2" xfId="41537" xr:uid="{DCC0E40D-2D0B-4BFE-BFDE-6BA4F21BF9CE}"/>
    <cellStyle name="Normal 3 24 3 3" xfId="15316" xr:uid="{E3BBCA11-A436-4915-A398-5CE14BB409C8}"/>
    <cellStyle name="Normal 3 25" xfId="3330" xr:uid="{00000000-0005-0000-0000-0000220D0000}"/>
    <cellStyle name="Normal 3 26" xfId="3331" xr:uid="{00000000-0005-0000-0000-0000230D0000}"/>
    <cellStyle name="Normal 3 27" xfId="3332" xr:uid="{00000000-0005-0000-0000-0000240D0000}"/>
    <cellStyle name="Normal 3 28" xfId="3333" xr:uid="{00000000-0005-0000-0000-0000250D0000}"/>
    <cellStyle name="Normal 3 29" xfId="3334" xr:uid="{00000000-0005-0000-0000-0000260D0000}"/>
    <cellStyle name="Normal 3 3" xfId="3335" xr:uid="{00000000-0005-0000-0000-0000270D0000}"/>
    <cellStyle name="Normal 3 3 2" xfId="3336" xr:uid="{00000000-0005-0000-0000-0000280D0000}"/>
    <cellStyle name="Normal 3 3 3" xfId="3337" xr:uid="{00000000-0005-0000-0000-0000290D0000}"/>
    <cellStyle name="Normal 3 3 4" xfId="3338" xr:uid="{00000000-0005-0000-0000-00002A0D0000}"/>
    <cellStyle name="Normal 3 3 5" xfId="3339" xr:uid="{00000000-0005-0000-0000-00002B0D0000}"/>
    <cellStyle name="Normal 3 30" xfId="3340" xr:uid="{00000000-0005-0000-0000-00002C0D0000}"/>
    <cellStyle name="Normal 3 31" xfId="3341" xr:uid="{00000000-0005-0000-0000-00002D0D0000}"/>
    <cellStyle name="Normal 3 32" xfId="3342" xr:uid="{00000000-0005-0000-0000-00002E0D0000}"/>
    <cellStyle name="Normal 3 33" xfId="3343" xr:uid="{00000000-0005-0000-0000-00002F0D0000}"/>
    <cellStyle name="Normal 3 34" xfId="3344" xr:uid="{00000000-0005-0000-0000-0000300D0000}"/>
    <cellStyle name="Normal 3 35" xfId="3345" xr:uid="{00000000-0005-0000-0000-0000310D0000}"/>
    <cellStyle name="Normal 3 36" xfId="3346" xr:uid="{00000000-0005-0000-0000-0000320D0000}"/>
    <cellStyle name="Normal 3 37" xfId="3347" xr:uid="{00000000-0005-0000-0000-0000330D0000}"/>
    <cellStyle name="Normal 3 38" xfId="3348" xr:uid="{00000000-0005-0000-0000-0000340D0000}"/>
    <cellStyle name="Normal 3 39" xfId="3349" xr:uid="{00000000-0005-0000-0000-0000350D0000}"/>
    <cellStyle name="Normal 3 39 2" xfId="3350" xr:uid="{00000000-0005-0000-0000-0000360D0000}"/>
    <cellStyle name="Normal 3 4" xfId="3351" xr:uid="{00000000-0005-0000-0000-0000370D0000}"/>
    <cellStyle name="Normal 3 4 2" xfId="3352" xr:uid="{00000000-0005-0000-0000-0000380D0000}"/>
    <cellStyle name="Normal 3 4 3" xfId="3353" xr:uid="{00000000-0005-0000-0000-0000390D0000}"/>
    <cellStyle name="Normal 3 4 4" xfId="3354" xr:uid="{00000000-0005-0000-0000-00003A0D0000}"/>
    <cellStyle name="Normal 3 4 4 2" xfId="8914" xr:uid="{00000000-0005-0000-0000-0000B71C0000}"/>
    <cellStyle name="Normal 3 4 4 2 2" xfId="41559" xr:uid="{A859B2B0-7EDC-4397-B298-8140E14D94F7}"/>
    <cellStyle name="Normal 3 4 4 3" xfId="17288" xr:uid="{3B4E108C-ABB4-4E3B-821E-D494C8913B1D}"/>
    <cellStyle name="Normal 3 4 5" xfId="18726" xr:uid="{44383547-DE20-4031-BB90-F42D05BCD5B2}"/>
    <cellStyle name="Normal 3 4 6" xfId="18054" xr:uid="{2B427C19-6B2D-4353-BDC5-33E510DE8EFB}"/>
    <cellStyle name="Normal 3 4 7" xfId="17397" xr:uid="{AC08F004-3031-4724-8000-EDD9A1038039}"/>
    <cellStyle name="Normal 3 40" xfId="3355" xr:uid="{00000000-0005-0000-0000-00003B0D0000}"/>
    <cellStyle name="Normal 3 41" xfId="3356" xr:uid="{00000000-0005-0000-0000-00003C0D0000}"/>
    <cellStyle name="Normal 3 42" xfId="3357" xr:uid="{00000000-0005-0000-0000-00003D0D0000}"/>
    <cellStyle name="Normal 3 43" xfId="3358" xr:uid="{00000000-0005-0000-0000-00003E0D0000}"/>
    <cellStyle name="Normal 3 44" xfId="3359" xr:uid="{00000000-0005-0000-0000-00003F0D0000}"/>
    <cellStyle name="Normal 3 44 2" xfId="3360" xr:uid="{00000000-0005-0000-0000-0000400D0000}"/>
    <cellStyle name="Normal 3 44 3" xfId="8919" xr:uid="{00000000-0005-0000-0000-0000B81C0000}"/>
    <cellStyle name="Normal 3 44 3 2" xfId="41564" xr:uid="{DB7F1140-BBAB-4648-B3E0-FA05B6F44587}"/>
    <cellStyle name="Normal 3 44 4" xfId="15326" xr:uid="{93D26A23-90F6-4145-A990-9A727544926D}"/>
    <cellStyle name="Normal 3 45" xfId="3361" xr:uid="{00000000-0005-0000-0000-0000410D0000}"/>
    <cellStyle name="Normal 3 45 2" xfId="3362" xr:uid="{00000000-0005-0000-0000-0000420D0000}"/>
    <cellStyle name="Normal 3 46" xfId="3363" xr:uid="{00000000-0005-0000-0000-0000430D0000}"/>
    <cellStyle name="Normal 3 47" xfId="3364" xr:uid="{00000000-0005-0000-0000-0000440D0000}"/>
    <cellStyle name="Normal 3 47 2" xfId="3365" xr:uid="{00000000-0005-0000-0000-0000450D0000}"/>
    <cellStyle name="Normal 3 48" xfId="3366" xr:uid="{00000000-0005-0000-0000-0000460D0000}"/>
    <cellStyle name="Normal 3 48 2" xfId="3367" xr:uid="{00000000-0005-0000-0000-0000470D0000}"/>
    <cellStyle name="Normal 3 49" xfId="3368" xr:uid="{00000000-0005-0000-0000-0000480D0000}"/>
    <cellStyle name="Normal 3 49 2" xfId="3369" xr:uid="{00000000-0005-0000-0000-0000490D0000}"/>
    <cellStyle name="Normal 3 5" xfId="3370" xr:uid="{00000000-0005-0000-0000-00004A0D0000}"/>
    <cellStyle name="Normal 3 5 2" xfId="3371" xr:uid="{00000000-0005-0000-0000-00004B0D0000}"/>
    <cellStyle name="Normal 3 5 3" xfId="3372" xr:uid="{00000000-0005-0000-0000-00004C0D0000}"/>
    <cellStyle name="Normal 3 5 4" xfId="3373" xr:uid="{00000000-0005-0000-0000-00004D0D0000}"/>
    <cellStyle name="Normal 3 5 5" xfId="8930" xr:uid="{00000000-0005-0000-0000-0000B91C0000}"/>
    <cellStyle name="Normal 3 5 5 2" xfId="18055" xr:uid="{46544AF6-D51C-4E73-9827-7045EA88E75C}"/>
    <cellStyle name="Normal 3 5 6" xfId="15329" xr:uid="{F385856C-2F60-446C-A89B-D2E743DF22DB}"/>
    <cellStyle name="Normal 3 50" xfId="3374" xr:uid="{00000000-0005-0000-0000-00004E0D0000}"/>
    <cellStyle name="Normal 3 51" xfId="3375" xr:uid="{00000000-0005-0000-0000-00004F0D0000}"/>
    <cellStyle name="Normal 3 52" xfId="3376" xr:uid="{00000000-0005-0000-0000-0000500D0000}"/>
    <cellStyle name="Normal 3 53" xfId="3377" xr:uid="{00000000-0005-0000-0000-0000510D0000}"/>
    <cellStyle name="Normal 3 54" xfId="3378" xr:uid="{00000000-0005-0000-0000-0000520D0000}"/>
    <cellStyle name="Normal 3 54 2" xfId="8938" xr:uid="{00000000-0005-0000-0000-0000BA1C0000}"/>
    <cellStyle name="Normal 3 54 2 2" xfId="23531" xr:uid="{1F1385AA-321F-43B6-8BAA-ACE6481B94F4}"/>
    <cellStyle name="Normal 3 54 2 3" xfId="41582" xr:uid="{E8AF752F-676B-439B-AF9C-1601CDF8A520}"/>
    <cellStyle name="Normal 3 54 3" xfId="9367" xr:uid="{00000000-0005-0000-0000-0000011E0000}"/>
    <cellStyle name="Normal 3 54 4" xfId="15334" xr:uid="{13471648-466A-49DA-A344-FA29851344A3}"/>
    <cellStyle name="Normal 3 55" xfId="3379" xr:uid="{00000000-0005-0000-0000-0000530D0000}"/>
    <cellStyle name="Normal 3 55 2" xfId="8939" xr:uid="{00000000-0005-0000-0000-0000BB1C0000}"/>
    <cellStyle name="Normal 3 55 2 2" xfId="41583" xr:uid="{6360EE11-C489-4A20-A756-25F84B4D5BA7}"/>
    <cellStyle name="Normal 3 55 3" xfId="15335" xr:uid="{CD738F6C-7FF3-4426-821A-8EA344D4163F}"/>
    <cellStyle name="Normal 3 56" xfId="3380" xr:uid="{00000000-0005-0000-0000-0000540D0000}"/>
    <cellStyle name="Normal 3 56 2" xfId="8940" xr:uid="{00000000-0005-0000-0000-0000BC1C0000}"/>
    <cellStyle name="Normal 3 56 2 2" xfId="41584" xr:uid="{31D4020E-941D-426F-802A-D6A19525901E}"/>
    <cellStyle name="Normal 3 56 3" xfId="15336" xr:uid="{71F6FC74-6470-4BB2-9AB7-BADBD31AACCA}"/>
    <cellStyle name="Normal 3 57" xfId="3381" xr:uid="{00000000-0005-0000-0000-0000550D0000}"/>
    <cellStyle name="Normal 3 57 2" xfId="8941" xr:uid="{00000000-0005-0000-0000-0000BD1C0000}"/>
    <cellStyle name="Normal 3 57 2 2" xfId="41585" xr:uid="{9CA50EB0-EF8A-4396-95C6-E392EB71A634}"/>
    <cellStyle name="Normal 3 57 3" xfId="15337" xr:uid="{742147AA-A284-42BC-B9C3-9B6926CD64FA}"/>
    <cellStyle name="Normal 3 58" xfId="3382" xr:uid="{00000000-0005-0000-0000-0000560D0000}"/>
    <cellStyle name="Normal 3 58 2" xfId="8942" xr:uid="{00000000-0005-0000-0000-0000BE1C0000}"/>
    <cellStyle name="Normal 3 58 2 2" xfId="41586" xr:uid="{F7767CEF-55E2-442C-8A42-BCB7A8D46437}"/>
    <cellStyle name="Normal 3 58 3" xfId="15338" xr:uid="{A23DC225-C0C3-4CE6-8854-E2890C06A3FE}"/>
    <cellStyle name="Normal 3 59" xfId="3383" xr:uid="{00000000-0005-0000-0000-0000570D0000}"/>
    <cellStyle name="Normal 3 59 2" xfId="8943" xr:uid="{00000000-0005-0000-0000-0000BF1C0000}"/>
    <cellStyle name="Normal 3 59 2 2" xfId="41587" xr:uid="{58582940-3FE4-4048-BA2D-16A168926B3F}"/>
    <cellStyle name="Normal 3 59 3" xfId="17285" xr:uid="{DD02A0E7-CAE7-4C7F-915F-7D72C889109F}"/>
    <cellStyle name="Normal 3 6" xfId="3384" xr:uid="{00000000-0005-0000-0000-0000580D0000}"/>
    <cellStyle name="Normal 3 6 2" xfId="18721" xr:uid="{1410F002-9B16-411B-9ECF-3E4F37BCE8F0}"/>
    <cellStyle name="Normal 3 6 2 2" xfId="23533" xr:uid="{9EAC4270-F8E7-409C-8F39-1140DFA364BA}"/>
    <cellStyle name="Normal 3 6 3" xfId="18056" xr:uid="{27543667-E70B-4295-B5A0-A49231652418}"/>
    <cellStyle name="Normal 3 6 4" xfId="17411" xr:uid="{A32705E1-1CBC-4D89-93F0-D82EE0F03A40}"/>
    <cellStyle name="Normal 3 60" xfId="3385" xr:uid="{00000000-0005-0000-0000-0000590D0000}"/>
    <cellStyle name="Normal 3 60 2" xfId="18823" xr:uid="{4D1FE882-38EF-4440-953C-70B3E3DB1546}"/>
    <cellStyle name="Normal 3 61" xfId="8854" xr:uid="{00000000-0005-0000-0000-0000AA1C0000}"/>
    <cellStyle name="Normal 3 61 2" xfId="18740" xr:uid="{F0663B2D-890F-4B57-A35B-5ADA172D12A5}"/>
    <cellStyle name="Normal 3 61 3" xfId="41510" xr:uid="{0AEFB7DE-FFD4-4735-8EBF-1106433D9EB8}"/>
    <cellStyle name="Normal 3 62" xfId="11583" xr:uid="{00000000-0005-0000-0000-000008230000}"/>
    <cellStyle name="Normal 3 62 2" xfId="17373" xr:uid="{54838A04-61B5-4FBB-A328-69EB5B7AAF83}"/>
    <cellStyle name="Normal 3 62 3" xfId="44071" xr:uid="{A213FCFE-A4E3-4C39-9567-18539C3E5EF2}"/>
    <cellStyle name="Normal 3 63" xfId="11046" xr:uid="{00000000-0005-0000-0000-00001A230000}"/>
    <cellStyle name="Normal 3 63 2" xfId="23034" xr:uid="{4609C97E-D5E1-4A9D-929F-B733A108D89E}"/>
    <cellStyle name="Normal 3 63 3" xfId="43535" xr:uid="{B79D97C6-1B10-4413-A1F1-DD178872BF9A}"/>
    <cellStyle name="Normal 3 64" xfId="11586" xr:uid="{00000000-0005-0000-0000-000030230000}"/>
    <cellStyle name="Normal 3 64 2" xfId="23174" xr:uid="{59C56C09-E5AF-4EA6-B34F-0C2755524E9E}"/>
    <cellStyle name="Normal 3 64 3" xfId="44074" xr:uid="{7413E732-74A8-4268-A561-9175AA62818A}"/>
    <cellStyle name="Normal 3 65" xfId="11045" xr:uid="{00000000-0005-0000-0000-00004A230000}"/>
    <cellStyle name="Normal 3 65 2" xfId="43534" xr:uid="{EC6BB5A0-3E80-4683-8CC9-84C992560EAE}"/>
    <cellStyle name="Normal 3 66" xfId="11590" xr:uid="{00000000-0005-0000-0000-000068230000}"/>
    <cellStyle name="Normal 3 66 2" xfId="44078" xr:uid="{2E75EEED-7855-4CBC-A369-FC1FBB367FA8}"/>
    <cellStyle name="Normal 3 67" xfId="11044" xr:uid="{00000000-0005-0000-0000-00008A230000}"/>
    <cellStyle name="Normal 3 67 2" xfId="43533" xr:uid="{D0F93143-DD01-4B7A-BEA9-205524B4C7F5}"/>
    <cellStyle name="Normal 3 68" xfId="11593" xr:uid="{00000000-0005-0000-0000-0000B0230000}"/>
    <cellStyle name="Normal 3 68 2" xfId="44081" xr:uid="{8C1A8FB0-F9C6-4024-8877-898F517A4B6C}"/>
    <cellStyle name="Normal 3 69" xfId="11043" xr:uid="{00000000-0005-0000-0000-0000DA230000}"/>
    <cellStyle name="Normal 3 69 2" xfId="43532" xr:uid="{0551D3D7-EBD1-470D-BA36-CF2C9B0225FF}"/>
    <cellStyle name="Normal 3 7" xfId="3386" xr:uid="{00000000-0005-0000-0000-00005A0D0000}"/>
    <cellStyle name="Normal 3 70" xfId="11597" xr:uid="{00000000-0005-0000-0000-000008240000}"/>
    <cellStyle name="Normal 3 70 2" xfId="44085" xr:uid="{77EB9BEE-2AFF-4C35-B669-0C5674C241D6}"/>
    <cellStyle name="Normal 3 71" xfId="11042" xr:uid="{00000000-0005-0000-0000-00003A240000}"/>
    <cellStyle name="Normal 3 71 2" xfId="43531" xr:uid="{6F2361BE-8E5D-4BE1-B076-2A835D0CC05F}"/>
    <cellStyle name="Normal 3 72" xfId="11600" xr:uid="{00000000-0005-0000-0000-000070240000}"/>
    <cellStyle name="Normal 3 72 2" xfId="44088" xr:uid="{8BDFA451-218D-4AC1-BB04-C0310795AED3}"/>
    <cellStyle name="Normal 3 73" xfId="11041" xr:uid="{00000000-0005-0000-0000-0000AA240000}"/>
    <cellStyle name="Normal 3 73 2" xfId="43530" xr:uid="{A65E0FAB-10BD-431A-988E-55805CAD73DF}"/>
    <cellStyle name="Normal 3 74" xfId="11602" xr:uid="{00000000-0005-0000-0000-0000E8240000}"/>
    <cellStyle name="Normal 3 74 2" xfId="44090" xr:uid="{32486552-AFDC-4EBD-B7D1-AB6D38FB8D47}"/>
    <cellStyle name="Normal 3 75" xfId="11040" xr:uid="{00000000-0005-0000-0000-00002A250000}"/>
    <cellStyle name="Normal 3 75 2" xfId="43529" xr:uid="{72C098FB-F461-4D1B-9121-E1B887245885}"/>
    <cellStyle name="Normal 3 76" xfId="11606" xr:uid="{00000000-0005-0000-0000-000070250000}"/>
    <cellStyle name="Normal 3 76 2" xfId="44094" xr:uid="{51B41BE8-163C-4C29-9B16-77807393D2CA}"/>
    <cellStyle name="Normal 3 77" xfId="11038" xr:uid="{00000000-0005-0000-0000-0000BA250000}"/>
    <cellStyle name="Normal 3 77 2" xfId="43527" xr:uid="{FFE2DAA3-06B1-4854-8DD1-E12AA9AC4A7F}"/>
    <cellStyle name="Normal 3 78" xfId="11611" xr:uid="{00000000-0005-0000-0000-000008260000}"/>
    <cellStyle name="Normal 3 78 2" xfId="44099" xr:uid="{26A63774-1BAF-46C8-A998-F375D8494715}"/>
    <cellStyle name="Normal 3 79" xfId="11039" xr:uid="{00000000-0005-0000-0000-00005A260000}"/>
    <cellStyle name="Normal 3 79 2" xfId="43528" xr:uid="{AA2F44C0-2D23-468C-908F-61A7778DF69D}"/>
    <cellStyle name="Normal 3 8" xfId="3387" xr:uid="{00000000-0005-0000-0000-00005B0D0000}"/>
    <cellStyle name="Normal 3 80" xfId="11615" xr:uid="{00000000-0005-0000-0000-0000B0260000}"/>
    <cellStyle name="Normal 3 80 2" xfId="44103" xr:uid="{0FB8DF4C-4EB3-41A4-93E5-440C29D1A99A}"/>
    <cellStyle name="Normal 3 81" xfId="11037" xr:uid="{00000000-0005-0000-0000-00000A270000}"/>
    <cellStyle name="Normal 3 81 2" xfId="43526" xr:uid="{8AD2EF54-7B31-49CE-BF2C-9DB561B86D09}"/>
    <cellStyle name="Normal 3 82" xfId="11619" xr:uid="{00000000-0005-0000-0000-000068270000}"/>
    <cellStyle name="Normal 3 82 2" xfId="44107" xr:uid="{D223FD91-2A4D-4204-B319-FBF011AF61BA}"/>
    <cellStyle name="Normal 3 83" xfId="11341" xr:uid="{00000000-0005-0000-0000-0000A9090000}"/>
    <cellStyle name="Normal 3 83 2" xfId="43830" xr:uid="{139DD07C-AE8B-4D09-B449-4BFCC4E9AD08}"/>
    <cellStyle name="Normal 3 84" xfId="12987" xr:uid="{00000000-0005-0000-0000-000089300000}"/>
    <cellStyle name="Normal 3 84 2" xfId="45451" xr:uid="{032FB894-E2D7-4997-9F78-1FBFCBA1FBCD}"/>
    <cellStyle name="Normal 3 85" xfId="12922" xr:uid="{00000000-0005-0000-0000-0000F3300000}"/>
    <cellStyle name="Normal 3 85 2" xfId="45393" xr:uid="{A1F897BC-ACE5-4D4F-9FE2-45FE0189C3AD}"/>
    <cellStyle name="Normal 3 86" xfId="12988" xr:uid="{00000000-0005-0000-0000-000061310000}"/>
    <cellStyle name="Normal 3 86 2" xfId="45452" xr:uid="{A9F9FA8F-16BE-478A-BC90-6AC040F9C04B}"/>
    <cellStyle name="Normal 3 87" xfId="12921" xr:uid="{00000000-0005-0000-0000-0000D3310000}"/>
    <cellStyle name="Normal 3 87 2" xfId="45392" xr:uid="{D3BE8D27-7CB7-4A67-B315-E95BA3E8AD44}"/>
    <cellStyle name="Normal 3 88" xfId="12989" xr:uid="{00000000-0005-0000-0000-000049320000}"/>
    <cellStyle name="Normal 3 88 2" xfId="45453" xr:uid="{2CCB22C8-F56F-4A44-876F-AB626884BBD5}"/>
    <cellStyle name="Normal 3 89" xfId="12920" xr:uid="{00000000-0005-0000-0000-0000C3320000}"/>
    <cellStyle name="Normal 3 89 2" xfId="45391" xr:uid="{D86852E7-14C7-4629-8341-F116C01E0346}"/>
    <cellStyle name="Normal 3 9" xfId="3388" xr:uid="{00000000-0005-0000-0000-00005C0D0000}"/>
    <cellStyle name="Normal 3 90" xfId="12990" xr:uid="{00000000-0005-0000-0000-000041330000}"/>
    <cellStyle name="Normal 3 90 2" xfId="45454" xr:uid="{52D46E17-EEC3-41F3-B9A8-5E730B855490}"/>
    <cellStyle name="Normal 3 91" xfId="12919" xr:uid="{00000000-0005-0000-0000-0000C3330000}"/>
    <cellStyle name="Normal 3 91 2" xfId="45390" xr:uid="{F9BADEF3-6C70-4307-8959-8D9B21D1C293}"/>
    <cellStyle name="Normal 3 92" xfId="12991" xr:uid="{00000000-0005-0000-0000-000049340000}"/>
    <cellStyle name="Normal 3 92 2" xfId="45455" xr:uid="{63B81A3B-D522-4351-AD6B-09FD2D922F77}"/>
    <cellStyle name="Normal 3 93" xfId="12918" xr:uid="{00000000-0005-0000-0000-0000D3340000}"/>
    <cellStyle name="Normal 3 93 2" xfId="45389" xr:uid="{AF953321-4682-4805-A4CF-9D5C45515B8B}"/>
    <cellStyle name="Normal 3 94" xfId="13615" xr:uid="{96110174-4E39-4EBF-9BF7-09423DD618E1}"/>
    <cellStyle name="Normal 3 95" xfId="37798" xr:uid="{32241557-836A-4FDC-B1AF-7CE0661F1097}"/>
    <cellStyle name="Normal 3 96" xfId="15026" xr:uid="{F51A515D-7F97-433C-B107-4C251D53F4FD}"/>
    <cellStyle name="Normal 3 97" xfId="46686" xr:uid="{543B542E-627F-4BC9-BCD2-91ED81F8D258}"/>
    <cellStyle name="Normal 3 98" xfId="48297" xr:uid="{5AAE2EC1-237C-4BDF-9414-BBDE998E0C92}"/>
    <cellStyle name="Normal 3 99" xfId="48980" xr:uid="{85128296-CF69-427B-9E5E-EFF1130E2421}"/>
    <cellStyle name="Normal 30" xfId="3389" xr:uid="{00000000-0005-0000-0000-00005D0D0000}"/>
    <cellStyle name="Normal 30 10" xfId="3390" xr:uid="{00000000-0005-0000-0000-00005E0D0000}"/>
    <cellStyle name="Normal 30 100" xfId="3391" xr:uid="{00000000-0005-0000-0000-00005F0D0000}"/>
    <cellStyle name="Normal 30 101" xfId="3392" xr:uid="{00000000-0005-0000-0000-0000600D0000}"/>
    <cellStyle name="Normal 30 102" xfId="3393" xr:uid="{00000000-0005-0000-0000-0000610D0000}"/>
    <cellStyle name="Normal 30 103" xfId="3394" xr:uid="{00000000-0005-0000-0000-0000620D0000}"/>
    <cellStyle name="Normal 30 104" xfId="3395" xr:uid="{00000000-0005-0000-0000-0000630D0000}"/>
    <cellStyle name="Normal 30 105" xfId="3396" xr:uid="{00000000-0005-0000-0000-0000640D0000}"/>
    <cellStyle name="Normal 30 106" xfId="3397" xr:uid="{00000000-0005-0000-0000-0000650D0000}"/>
    <cellStyle name="Normal 30 107" xfId="3398" xr:uid="{00000000-0005-0000-0000-0000660D0000}"/>
    <cellStyle name="Normal 30 108" xfId="3399" xr:uid="{00000000-0005-0000-0000-0000670D0000}"/>
    <cellStyle name="Normal 30 109" xfId="3400" xr:uid="{00000000-0005-0000-0000-0000680D0000}"/>
    <cellStyle name="Normal 30 11" xfId="3401" xr:uid="{00000000-0005-0000-0000-0000690D0000}"/>
    <cellStyle name="Normal 30 110" xfId="18057" xr:uid="{D2891D04-D77B-48B2-A383-3271E30D62CF}"/>
    <cellStyle name="Normal 30 12" xfId="3402" xr:uid="{00000000-0005-0000-0000-00006A0D0000}"/>
    <cellStyle name="Normal 30 13" xfId="3403" xr:uid="{00000000-0005-0000-0000-00006B0D0000}"/>
    <cellStyle name="Normal 30 14" xfId="3404" xr:uid="{00000000-0005-0000-0000-00006C0D0000}"/>
    <cellStyle name="Normal 30 15" xfId="3405" xr:uid="{00000000-0005-0000-0000-00006D0D0000}"/>
    <cellStyle name="Normal 30 16" xfId="3406" xr:uid="{00000000-0005-0000-0000-00006E0D0000}"/>
    <cellStyle name="Normal 30 17" xfId="3407" xr:uid="{00000000-0005-0000-0000-00006F0D0000}"/>
    <cellStyle name="Normal 30 18" xfId="3408" xr:uid="{00000000-0005-0000-0000-0000700D0000}"/>
    <cellStyle name="Normal 30 19" xfId="3409" xr:uid="{00000000-0005-0000-0000-0000710D0000}"/>
    <cellStyle name="Normal 30 2" xfId="3410" xr:uid="{00000000-0005-0000-0000-0000720D0000}"/>
    <cellStyle name="Normal 30 20" xfId="3411" xr:uid="{00000000-0005-0000-0000-0000730D0000}"/>
    <cellStyle name="Normal 30 21" xfId="3412" xr:uid="{00000000-0005-0000-0000-0000740D0000}"/>
    <cellStyle name="Normal 30 22" xfId="3413" xr:uid="{00000000-0005-0000-0000-0000750D0000}"/>
    <cellStyle name="Normal 30 23" xfId="3414" xr:uid="{00000000-0005-0000-0000-0000760D0000}"/>
    <cellStyle name="Normal 30 24" xfId="3415" xr:uid="{00000000-0005-0000-0000-0000770D0000}"/>
    <cellStyle name="Normal 30 25" xfId="3416" xr:uid="{00000000-0005-0000-0000-0000780D0000}"/>
    <cellStyle name="Normal 30 26" xfId="3417" xr:uid="{00000000-0005-0000-0000-0000790D0000}"/>
    <cellStyle name="Normal 30 27" xfId="3418" xr:uid="{00000000-0005-0000-0000-00007A0D0000}"/>
    <cellStyle name="Normal 30 28" xfId="3419" xr:uid="{00000000-0005-0000-0000-00007B0D0000}"/>
    <cellStyle name="Normal 30 29" xfId="3420" xr:uid="{00000000-0005-0000-0000-00007C0D0000}"/>
    <cellStyle name="Normal 30 3" xfId="3421" xr:uid="{00000000-0005-0000-0000-00007D0D0000}"/>
    <cellStyle name="Normal 30 30" xfId="3422" xr:uid="{00000000-0005-0000-0000-00007E0D0000}"/>
    <cellStyle name="Normal 30 31" xfId="3423" xr:uid="{00000000-0005-0000-0000-00007F0D0000}"/>
    <cellStyle name="Normal 30 32" xfId="3424" xr:uid="{00000000-0005-0000-0000-0000800D0000}"/>
    <cellStyle name="Normal 30 33" xfId="3425" xr:uid="{00000000-0005-0000-0000-0000810D0000}"/>
    <cellStyle name="Normal 30 34" xfId="3426" xr:uid="{00000000-0005-0000-0000-0000820D0000}"/>
    <cellStyle name="Normal 30 35" xfId="3427" xr:uid="{00000000-0005-0000-0000-0000830D0000}"/>
    <cellStyle name="Normal 30 36" xfId="3428" xr:uid="{00000000-0005-0000-0000-0000840D0000}"/>
    <cellStyle name="Normal 30 37" xfId="3429" xr:uid="{00000000-0005-0000-0000-0000850D0000}"/>
    <cellStyle name="Normal 30 38" xfId="3430" xr:uid="{00000000-0005-0000-0000-0000860D0000}"/>
    <cellStyle name="Normal 30 39" xfId="3431" xr:uid="{00000000-0005-0000-0000-0000870D0000}"/>
    <cellStyle name="Normal 30 4" xfId="3432" xr:uid="{00000000-0005-0000-0000-0000880D0000}"/>
    <cellStyle name="Normal 30 40" xfId="3433" xr:uid="{00000000-0005-0000-0000-0000890D0000}"/>
    <cellStyle name="Normal 30 41" xfId="3434" xr:uid="{00000000-0005-0000-0000-00008A0D0000}"/>
    <cellStyle name="Normal 30 42" xfId="3435" xr:uid="{00000000-0005-0000-0000-00008B0D0000}"/>
    <cellStyle name="Normal 30 43" xfId="3436" xr:uid="{00000000-0005-0000-0000-00008C0D0000}"/>
    <cellStyle name="Normal 30 44" xfId="3437" xr:uid="{00000000-0005-0000-0000-00008D0D0000}"/>
    <cellStyle name="Normal 30 45" xfId="3438" xr:uid="{00000000-0005-0000-0000-00008E0D0000}"/>
    <cellStyle name="Normal 30 46" xfId="3439" xr:uid="{00000000-0005-0000-0000-00008F0D0000}"/>
    <cellStyle name="Normal 30 47" xfId="3440" xr:uid="{00000000-0005-0000-0000-0000900D0000}"/>
    <cellStyle name="Normal 30 48" xfId="3441" xr:uid="{00000000-0005-0000-0000-0000910D0000}"/>
    <cellStyle name="Normal 30 49" xfId="3442" xr:uid="{00000000-0005-0000-0000-0000920D0000}"/>
    <cellStyle name="Normal 30 5" xfId="3443" xr:uid="{00000000-0005-0000-0000-0000930D0000}"/>
    <cellStyle name="Normal 30 50" xfId="3444" xr:uid="{00000000-0005-0000-0000-0000940D0000}"/>
    <cellStyle name="Normal 30 51" xfId="3445" xr:uid="{00000000-0005-0000-0000-0000950D0000}"/>
    <cellStyle name="Normal 30 52" xfId="3446" xr:uid="{00000000-0005-0000-0000-0000960D0000}"/>
    <cellStyle name="Normal 30 53" xfId="3447" xr:uid="{00000000-0005-0000-0000-0000970D0000}"/>
    <cellStyle name="Normal 30 54" xfId="3448" xr:uid="{00000000-0005-0000-0000-0000980D0000}"/>
    <cellStyle name="Normal 30 55" xfId="3449" xr:uid="{00000000-0005-0000-0000-0000990D0000}"/>
    <cellStyle name="Normal 30 56" xfId="3450" xr:uid="{00000000-0005-0000-0000-00009A0D0000}"/>
    <cellStyle name="Normal 30 57" xfId="3451" xr:uid="{00000000-0005-0000-0000-00009B0D0000}"/>
    <cellStyle name="Normal 30 58" xfId="3452" xr:uid="{00000000-0005-0000-0000-00009C0D0000}"/>
    <cellStyle name="Normal 30 59" xfId="3453" xr:uid="{00000000-0005-0000-0000-00009D0D0000}"/>
    <cellStyle name="Normal 30 6" xfId="3454" xr:uid="{00000000-0005-0000-0000-00009E0D0000}"/>
    <cellStyle name="Normal 30 60" xfId="3455" xr:uid="{00000000-0005-0000-0000-00009F0D0000}"/>
    <cellStyle name="Normal 30 61" xfId="3456" xr:uid="{00000000-0005-0000-0000-0000A00D0000}"/>
    <cellStyle name="Normal 30 62" xfId="3457" xr:uid="{00000000-0005-0000-0000-0000A10D0000}"/>
    <cellStyle name="Normal 30 63" xfId="3458" xr:uid="{00000000-0005-0000-0000-0000A20D0000}"/>
    <cellStyle name="Normal 30 64" xfId="3459" xr:uid="{00000000-0005-0000-0000-0000A30D0000}"/>
    <cellStyle name="Normal 30 65" xfId="3460" xr:uid="{00000000-0005-0000-0000-0000A40D0000}"/>
    <cellStyle name="Normal 30 66" xfId="3461" xr:uid="{00000000-0005-0000-0000-0000A50D0000}"/>
    <cellStyle name="Normal 30 67" xfId="3462" xr:uid="{00000000-0005-0000-0000-0000A60D0000}"/>
    <cellStyle name="Normal 30 68" xfId="3463" xr:uid="{00000000-0005-0000-0000-0000A70D0000}"/>
    <cellStyle name="Normal 30 69" xfId="3464" xr:uid="{00000000-0005-0000-0000-0000A80D0000}"/>
    <cellStyle name="Normal 30 7" xfId="3465" xr:uid="{00000000-0005-0000-0000-0000A90D0000}"/>
    <cellStyle name="Normal 30 70" xfId="3466" xr:uid="{00000000-0005-0000-0000-0000AA0D0000}"/>
    <cellStyle name="Normal 30 71" xfId="3467" xr:uid="{00000000-0005-0000-0000-0000AB0D0000}"/>
    <cellStyle name="Normal 30 72" xfId="3468" xr:uid="{00000000-0005-0000-0000-0000AC0D0000}"/>
    <cellStyle name="Normal 30 73" xfId="3469" xr:uid="{00000000-0005-0000-0000-0000AD0D0000}"/>
    <cellStyle name="Normal 30 74" xfId="3470" xr:uid="{00000000-0005-0000-0000-0000AE0D0000}"/>
    <cellStyle name="Normal 30 75" xfId="3471" xr:uid="{00000000-0005-0000-0000-0000AF0D0000}"/>
    <cellStyle name="Normal 30 76" xfId="3472" xr:uid="{00000000-0005-0000-0000-0000B00D0000}"/>
    <cellStyle name="Normal 30 77" xfId="3473" xr:uid="{00000000-0005-0000-0000-0000B10D0000}"/>
    <cellStyle name="Normal 30 78" xfId="3474" xr:uid="{00000000-0005-0000-0000-0000B20D0000}"/>
    <cellStyle name="Normal 30 79" xfId="3475" xr:uid="{00000000-0005-0000-0000-0000B30D0000}"/>
    <cellStyle name="Normal 30 8" xfId="3476" xr:uid="{00000000-0005-0000-0000-0000B40D0000}"/>
    <cellStyle name="Normal 30 80" xfId="3477" xr:uid="{00000000-0005-0000-0000-0000B50D0000}"/>
    <cellStyle name="Normal 30 81" xfId="3478" xr:uid="{00000000-0005-0000-0000-0000B60D0000}"/>
    <cellStyle name="Normal 30 82" xfId="3479" xr:uid="{00000000-0005-0000-0000-0000B70D0000}"/>
    <cellStyle name="Normal 30 83" xfId="3480" xr:uid="{00000000-0005-0000-0000-0000B80D0000}"/>
    <cellStyle name="Normal 30 84" xfId="3481" xr:uid="{00000000-0005-0000-0000-0000B90D0000}"/>
    <cellStyle name="Normal 30 85" xfId="3482" xr:uid="{00000000-0005-0000-0000-0000BA0D0000}"/>
    <cellStyle name="Normal 30 86" xfId="3483" xr:uid="{00000000-0005-0000-0000-0000BB0D0000}"/>
    <cellStyle name="Normal 30 87" xfId="3484" xr:uid="{00000000-0005-0000-0000-0000BC0D0000}"/>
    <cellStyle name="Normal 30 88" xfId="3485" xr:uid="{00000000-0005-0000-0000-0000BD0D0000}"/>
    <cellStyle name="Normal 30 89" xfId="3486" xr:uid="{00000000-0005-0000-0000-0000BE0D0000}"/>
    <cellStyle name="Normal 30 9" xfId="3487" xr:uid="{00000000-0005-0000-0000-0000BF0D0000}"/>
    <cellStyle name="Normal 30 90" xfId="3488" xr:uid="{00000000-0005-0000-0000-0000C00D0000}"/>
    <cellStyle name="Normal 30 91" xfId="3489" xr:uid="{00000000-0005-0000-0000-0000C10D0000}"/>
    <cellStyle name="Normal 30 92" xfId="3490" xr:uid="{00000000-0005-0000-0000-0000C20D0000}"/>
    <cellStyle name="Normal 30 93" xfId="3491" xr:uid="{00000000-0005-0000-0000-0000C30D0000}"/>
    <cellStyle name="Normal 30 94" xfId="3492" xr:uid="{00000000-0005-0000-0000-0000C40D0000}"/>
    <cellStyle name="Normal 30 95" xfId="3493" xr:uid="{00000000-0005-0000-0000-0000C50D0000}"/>
    <cellStyle name="Normal 30 96" xfId="3494" xr:uid="{00000000-0005-0000-0000-0000C60D0000}"/>
    <cellStyle name="Normal 30 97" xfId="3495" xr:uid="{00000000-0005-0000-0000-0000C70D0000}"/>
    <cellStyle name="Normal 30 98" xfId="3496" xr:uid="{00000000-0005-0000-0000-0000C80D0000}"/>
    <cellStyle name="Normal 30 99" xfId="3497" xr:uid="{00000000-0005-0000-0000-0000C90D0000}"/>
    <cellStyle name="Normal 31" xfId="3498" xr:uid="{00000000-0005-0000-0000-0000CA0D0000}"/>
    <cellStyle name="Normal 31 10" xfId="3499" xr:uid="{00000000-0005-0000-0000-0000CB0D0000}"/>
    <cellStyle name="Normal 31 100" xfId="3500" xr:uid="{00000000-0005-0000-0000-0000CC0D0000}"/>
    <cellStyle name="Normal 31 101" xfId="3501" xr:uid="{00000000-0005-0000-0000-0000CD0D0000}"/>
    <cellStyle name="Normal 31 102" xfId="3502" xr:uid="{00000000-0005-0000-0000-0000CE0D0000}"/>
    <cellStyle name="Normal 31 103" xfId="3503" xr:uid="{00000000-0005-0000-0000-0000CF0D0000}"/>
    <cellStyle name="Normal 31 104" xfId="3504" xr:uid="{00000000-0005-0000-0000-0000D00D0000}"/>
    <cellStyle name="Normal 31 105" xfId="3505" xr:uid="{00000000-0005-0000-0000-0000D10D0000}"/>
    <cellStyle name="Normal 31 106" xfId="3506" xr:uid="{00000000-0005-0000-0000-0000D20D0000}"/>
    <cellStyle name="Normal 31 107" xfId="3507" xr:uid="{00000000-0005-0000-0000-0000D30D0000}"/>
    <cellStyle name="Normal 31 108" xfId="3508" xr:uid="{00000000-0005-0000-0000-0000D40D0000}"/>
    <cellStyle name="Normal 31 109" xfId="3509" xr:uid="{00000000-0005-0000-0000-0000D50D0000}"/>
    <cellStyle name="Normal 31 11" xfId="3510" xr:uid="{00000000-0005-0000-0000-0000D60D0000}"/>
    <cellStyle name="Normal 31 110" xfId="18058" xr:uid="{15618E86-37D2-4E29-B266-CFCB8131E436}"/>
    <cellStyle name="Normal 31 12" xfId="3511" xr:uid="{00000000-0005-0000-0000-0000D70D0000}"/>
    <cellStyle name="Normal 31 13" xfId="3512" xr:uid="{00000000-0005-0000-0000-0000D80D0000}"/>
    <cellStyle name="Normal 31 14" xfId="3513" xr:uid="{00000000-0005-0000-0000-0000D90D0000}"/>
    <cellStyle name="Normal 31 15" xfId="3514" xr:uid="{00000000-0005-0000-0000-0000DA0D0000}"/>
    <cellStyle name="Normal 31 16" xfId="3515" xr:uid="{00000000-0005-0000-0000-0000DB0D0000}"/>
    <cellStyle name="Normal 31 17" xfId="3516" xr:uid="{00000000-0005-0000-0000-0000DC0D0000}"/>
    <cellStyle name="Normal 31 18" xfId="3517" xr:uid="{00000000-0005-0000-0000-0000DD0D0000}"/>
    <cellStyle name="Normal 31 19" xfId="3518" xr:uid="{00000000-0005-0000-0000-0000DE0D0000}"/>
    <cellStyle name="Normal 31 2" xfId="3519" xr:uid="{00000000-0005-0000-0000-0000DF0D0000}"/>
    <cellStyle name="Normal 31 20" xfId="3520" xr:uid="{00000000-0005-0000-0000-0000E00D0000}"/>
    <cellStyle name="Normal 31 21" xfId="3521" xr:uid="{00000000-0005-0000-0000-0000E10D0000}"/>
    <cellStyle name="Normal 31 22" xfId="3522" xr:uid="{00000000-0005-0000-0000-0000E20D0000}"/>
    <cellStyle name="Normal 31 23" xfId="3523" xr:uid="{00000000-0005-0000-0000-0000E30D0000}"/>
    <cellStyle name="Normal 31 24" xfId="3524" xr:uid="{00000000-0005-0000-0000-0000E40D0000}"/>
    <cellStyle name="Normal 31 25" xfId="3525" xr:uid="{00000000-0005-0000-0000-0000E50D0000}"/>
    <cellStyle name="Normal 31 26" xfId="3526" xr:uid="{00000000-0005-0000-0000-0000E60D0000}"/>
    <cellStyle name="Normal 31 27" xfId="3527" xr:uid="{00000000-0005-0000-0000-0000E70D0000}"/>
    <cellStyle name="Normal 31 28" xfId="3528" xr:uid="{00000000-0005-0000-0000-0000E80D0000}"/>
    <cellStyle name="Normal 31 29" xfId="3529" xr:uid="{00000000-0005-0000-0000-0000E90D0000}"/>
    <cellStyle name="Normal 31 3" xfId="3530" xr:uid="{00000000-0005-0000-0000-0000EA0D0000}"/>
    <cellStyle name="Normal 31 30" xfId="3531" xr:uid="{00000000-0005-0000-0000-0000EB0D0000}"/>
    <cellStyle name="Normal 31 31" xfId="3532" xr:uid="{00000000-0005-0000-0000-0000EC0D0000}"/>
    <cellStyle name="Normal 31 32" xfId="3533" xr:uid="{00000000-0005-0000-0000-0000ED0D0000}"/>
    <cellStyle name="Normal 31 33" xfId="3534" xr:uid="{00000000-0005-0000-0000-0000EE0D0000}"/>
    <cellStyle name="Normal 31 34" xfId="3535" xr:uid="{00000000-0005-0000-0000-0000EF0D0000}"/>
    <cellStyle name="Normal 31 35" xfId="3536" xr:uid="{00000000-0005-0000-0000-0000F00D0000}"/>
    <cellStyle name="Normal 31 36" xfId="3537" xr:uid="{00000000-0005-0000-0000-0000F10D0000}"/>
    <cellStyle name="Normal 31 37" xfId="3538" xr:uid="{00000000-0005-0000-0000-0000F20D0000}"/>
    <cellStyle name="Normal 31 38" xfId="3539" xr:uid="{00000000-0005-0000-0000-0000F30D0000}"/>
    <cellStyle name="Normal 31 39" xfId="3540" xr:uid="{00000000-0005-0000-0000-0000F40D0000}"/>
    <cellStyle name="Normal 31 4" xfId="3541" xr:uid="{00000000-0005-0000-0000-0000F50D0000}"/>
    <cellStyle name="Normal 31 40" xfId="3542" xr:uid="{00000000-0005-0000-0000-0000F60D0000}"/>
    <cellStyle name="Normal 31 41" xfId="3543" xr:uid="{00000000-0005-0000-0000-0000F70D0000}"/>
    <cellStyle name="Normal 31 42" xfId="3544" xr:uid="{00000000-0005-0000-0000-0000F80D0000}"/>
    <cellStyle name="Normal 31 43" xfId="3545" xr:uid="{00000000-0005-0000-0000-0000F90D0000}"/>
    <cellStyle name="Normal 31 44" xfId="3546" xr:uid="{00000000-0005-0000-0000-0000FA0D0000}"/>
    <cellStyle name="Normal 31 45" xfId="3547" xr:uid="{00000000-0005-0000-0000-0000FB0D0000}"/>
    <cellStyle name="Normal 31 46" xfId="3548" xr:uid="{00000000-0005-0000-0000-0000FC0D0000}"/>
    <cellStyle name="Normal 31 47" xfId="3549" xr:uid="{00000000-0005-0000-0000-0000FD0D0000}"/>
    <cellStyle name="Normal 31 48" xfId="3550" xr:uid="{00000000-0005-0000-0000-0000FE0D0000}"/>
    <cellStyle name="Normal 31 49" xfId="3551" xr:uid="{00000000-0005-0000-0000-0000FF0D0000}"/>
    <cellStyle name="Normal 31 5" xfId="3552" xr:uid="{00000000-0005-0000-0000-0000000E0000}"/>
    <cellStyle name="Normal 31 50" xfId="3553" xr:uid="{00000000-0005-0000-0000-0000010E0000}"/>
    <cellStyle name="Normal 31 51" xfId="3554" xr:uid="{00000000-0005-0000-0000-0000020E0000}"/>
    <cellStyle name="Normal 31 52" xfId="3555" xr:uid="{00000000-0005-0000-0000-0000030E0000}"/>
    <cellStyle name="Normal 31 53" xfId="3556" xr:uid="{00000000-0005-0000-0000-0000040E0000}"/>
    <cellStyle name="Normal 31 54" xfId="3557" xr:uid="{00000000-0005-0000-0000-0000050E0000}"/>
    <cellStyle name="Normal 31 55" xfId="3558" xr:uid="{00000000-0005-0000-0000-0000060E0000}"/>
    <cellStyle name="Normal 31 56" xfId="3559" xr:uid="{00000000-0005-0000-0000-0000070E0000}"/>
    <cellStyle name="Normal 31 57" xfId="3560" xr:uid="{00000000-0005-0000-0000-0000080E0000}"/>
    <cellStyle name="Normal 31 58" xfId="3561" xr:uid="{00000000-0005-0000-0000-0000090E0000}"/>
    <cellStyle name="Normal 31 59" xfId="3562" xr:uid="{00000000-0005-0000-0000-00000A0E0000}"/>
    <cellStyle name="Normal 31 6" xfId="3563" xr:uid="{00000000-0005-0000-0000-00000B0E0000}"/>
    <cellStyle name="Normal 31 60" xfId="3564" xr:uid="{00000000-0005-0000-0000-00000C0E0000}"/>
    <cellStyle name="Normal 31 61" xfId="3565" xr:uid="{00000000-0005-0000-0000-00000D0E0000}"/>
    <cellStyle name="Normal 31 62" xfId="3566" xr:uid="{00000000-0005-0000-0000-00000E0E0000}"/>
    <cellStyle name="Normal 31 63" xfId="3567" xr:uid="{00000000-0005-0000-0000-00000F0E0000}"/>
    <cellStyle name="Normal 31 64" xfId="3568" xr:uid="{00000000-0005-0000-0000-0000100E0000}"/>
    <cellStyle name="Normal 31 65" xfId="3569" xr:uid="{00000000-0005-0000-0000-0000110E0000}"/>
    <cellStyle name="Normal 31 66" xfId="3570" xr:uid="{00000000-0005-0000-0000-0000120E0000}"/>
    <cellStyle name="Normal 31 67" xfId="3571" xr:uid="{00000000-0005-0000-0000-0000130E0000}"/>
    <cellStyle name="Normal 31 68" xfId="3572" xr:uid="{00000000-0005-0000-0000-0000140E0000}"/>
    <cellStyle name="Normal 31 69" xfId="3573" xr:uid="{00000000-0005-0000-0000-0000150E0000}"/>
    <cellStyle name="Normal 31 7" xfId="3574" xr:uid="{00000000-0005-0000-0000-0000160E0000}"/>
    <cellStyle name="Normal 31 70" xfId="3575" xr:uid="{00000000-0005-0000-0000-0000170E0000}"/>
    <cellStyle name="Normal 31 71" xfId="3576" xr:uid="{00000000-0005-0000-0000-0000180E0000}"/>
    <cellStyle name="Normal 31 72" xfId="3577" xr:uid="{00000000-0005-0000-0000-0000190E0000}"/>
    <cellStyle name="Normal 31 73" xfId="3578" xr:uid="{00000000-0005-0000-0000-00001A0E0000}"/>
    <cellStyle name="Normal 31 74" xfId="3579" xr:uid="{00000000-0005-0000-0000-00001B0E0000}"/>
    <cellStyle name="Normal 31 75" xfId="3580" xr:uid="{00000000-0005-0000-0000-00001C0E0000}"/>
    <cellStyle name="Normal 31 76" xfId="3581" xr:uid="{00000000-0005-0000-0000-00001D0E0000}"/>
    <cellStyle name="Normal 31 77" xfId="3582" xr:uid="{00000000-0005-0000-0000-00001E0E0000}"/>
    <cellStyle name="Normal 31 78" xfId="3583" xr:uid="{00000000-0005-0000-0000-00001F0E0000}"/>
    <cellStyle name="Normal 31 79" xfId="3584" xr:uid="{00000000-0005-0000-0000-0000200E0000}"/>
    <cellStyle name="Normal 31 8" xfId="3585" xr:uid="{00000000-0005-0000-0000-0000210E0000}"/>
    <cellStyle name="Normal 31 80" xfId="3586" xr:uid="{00000000-0005-0000-0000-0000220E0000}"/>
    <cellStyle name="Normal 31 81" xfId="3587" xr:uid="{00000000-0005-0000-0000-0000230E0000}"/>
    <cellStyle name="Normal 31 82" xfId="3588" xr:uid="{00000000-0005-0000-0000-0000240E0000}"/>
    <cellStyle name="Normal 31 83" xfId="3589" xr:uid="{00000000-0005-0000-0000-0000250E0000}"/>
    <cellStyle name="Normal 31 84" xfId="3590" xr:uid="{00000000-0005-0000-0000-0000260E0000}"/>
    <cellStyle name="Normal 31 85" xfId="3591" xr:uid="{00000000-0005-0000-0000-0000270E0000}"/>
    <cellStyle name="Normal 31 86" xfId="3592" xr:uid="{00000000-0005-0000-0000-0000280E0000}"/>
    <cellStyle name="Normal 31 87" xfId="3593" xr:uid="{00000000-0005-0000-0000-0000290E0000}"/>
    <cellStyle name="Normal 31 88" xfId="3594" xr:uid="{00000000-0005-0000-0000-00002A0E0000}"/>
    <cellStyle name="Normal 31 89" xfId="3595" xr:uid="{00000000-0005-0000-0000-00002B0E0000}"/>
    <cellStyle name="Normal 31 9" xfId="3596" xr:uid="{00000000-0005-0000-0000-00002C0E0000}"/>
    <cellStyle name="Normal 31 90" xfId="3597" xr:uid="{00000000-0005-0000-0000-00002D0E0000}"/>
    <cellStyle name="Normal 31 91" xfId="3598" xr:uid="{00000000-0005-0000-0000-00002E0E0000}"/>
    <cellStyle name="Normal 31 92" xfId="3599" xr:uid="{00000000-0005-0000-0000-00002F0E0000}"/>
    <cellStyle name="Normal 31 93" xfId="3600" xr:uid="{00000000-0005-0000-0000-0000300E0000}"/>
    <cellStyle name="Normal 31 94" xfId="3601" xr:uid="{00000000-0005-0000-0000-0000310E0000}"/>
    <cellStyle name="Normal 31 95" xfId="3602" xr:uid="{00000000-0005-0000-0000-0000320E0000}"/>
    <cellStyle name="Normal 31 96" xfId="3603" xr:uid="{00000000-0005-0000-0000-0000330E0000}"/>
    <cellStyle name="Normal 31 97" xfId="3604" xr:uid="{00000000-0005-0000-0000-0000340E0000}"/>
    <cellStyle name="Normal 31 98" xfId="3605" xr:uid="{00000000-0005-0000-0000-0000350E0000}"/>
    <cellStyle name="Normal 31 99" xfId="3606" xr:uid="{00000000-0005-0000-0000-0000360E0000}"/>
    <cellStyle name="Normal 32" xfId="3607" xr:uid="{00000000-0005-0000-0000-0000370E0000}"/>
    <cellStyle name="Normal 32 2" xfId="3608" xr:uid="{00000000-0005-0000-0000-0000380E0000}"/>
    <cellStyle name="Normal 32 3" xfId="18059" xr:uid="{39286DE7-6570-44E9-860F-CFEE7B25CFBC}"/>
    <cellStyle name="Normal 33" xfId="3609" xr:uid="{00000000-0005-0000-0000-0000390E0000}"/>
    <cellStyle name="Normal 33 2" xfId="3610" xr:uid="{00000000-0005-0000-0000-00003A0E0000}"/>
    <cellStyle name="Normal 33 3" xfId="18060" xr:uid="{1B933D9A-E95E-49AF-ACCE-889C5DFCEC15}"/>
    <cellStyle name="Normal 34" xfId="3611" xr:uid="{00000000-0005-0000-0000-00003B0E0000}"/>
    <cellStyle name="Normal 34 2" xfId="3612" xr:uid="{00000000-0005-0000-0000-00003C0E0000}"/>
    <cellStyle name="Normal 34 2 2" xfId="9169" xr:uid="{00000000-0005-0000-0000-0000C01C0000}"/>
    <cellStyle name="Normal 34 2 2 2" xfId="18335" xr:uid="{31145FB5-CE56-4865-95C1-E3CFB373ACD8}"/>
    <cellStyle name="Normal 34 2 3" xfId="17352" xr:uid="{7ED347B5-B425-42CF-8E3A-B6C26432BED7}"/>
    <cellStyle name="Normal 34 3" xfId="18061" xr:uid="{B88CB78C-9BC3-441C-AC75-A968B1ACF29C}"/>
    <cellStyle name="Normal 34 3 2" xfId="24718" xr:uid="{1D088394-A241-4D94-920D-B8CB390730FA}"/>
    <cellStyle name="Normal 34 4" xfId="24637" xr:uid="{4E37330C-AE36-4318-BE31-A28C4B228CBD}"/>
    <cellStyle name="Normal 35" xfId="3613" xr:uid="{00000000-0005-0000-0000-00003D0E0000}"/>
    <cellStyle name="Normal 35 10" xfId="3614" xr:uid="{00000000-0005-0000-0000-00003E0E0000}"/>
    <cellStyle name="Normal 35 100" xfId="3615" xr:uid="{00000000-0005-0000-0000-00003F0E0000}"/>
    <cellStyle name="Normal 35 101" xfId="3616" xr:uid="{00000000-0005-0000-0000-0000400E0000}"/>
    <cellStyle name="Normal 35 102" xfId="3617" xr:uid="{00000000-0005-0000-0000-0000410E0000}"/>
    <cellStyle name="Normal 35 103" xfId="3618" xr:uid="{00000000-0005-0000-0000-0000420E0000}"/>
    <cellStyle name="Normal 35 104" xfId="3619" xr:uid="{00000000-0005-0000-0000-0000430E0000}"/>
    <cellStyle name="Normal 35 105" xfId="3620" xr:uid="{00000000-0005-0000-0000-0000440E0000}"/>
    <cellStyle name="Normal 35 106" xfId="3621" xr:uid="{00000000-0005-0000-0000-0000450E0000}"/>
    <cellStyle name="Normal 35 107" xfId="3622" xr:uid="{00000000-0005-0000-0000-0000460E0000}"/>
    <cellStyle name="Normal 35 108" xfId="3623" xr:uid="{00000000-0005-0000-0000-0000470E0000}"/>
    <cellStyle name="Normal 35 109" xfId="3624" xr:uid="{00000000-0005-0000-0000-0000480E0000}"/>
    <cellStyle name="Normal 35 11" xfId="3625" xr:uid="{00000000-0005-0000-0000-0000490E0000}"/>
    <cellStyle name="Normal 35 110" xfId="18062" xr:uid="{90EB9367-8C03-454E-8593-C73EA01B0CC4}"/>
    <cellStyle name="Normal 35 12" xfId="3626" xr:uid="{00000000-0005-0000-0000-00004A0E0000}"/>
    <cellStyle name="Normal 35 13" xfId="3627" xr:uid="{00000000-0005-0000-0000-00004B0E0000}"/>
    <cellStyle name="Normal 35 14" xfId="3628" xr:uid="{00000000-0005-0000-0000-00004C0E0000}"/>
    <cellStyle name="Normal 35 15" xfId="3629" xr:uid="{00000000-0005-0000-0000-00004D0E0000}"/>
    <cellStyle name="Normal 35 16" xfId="3630" xr:uid="{00000000-0005-0000-0000-00004E0E0000}"/>
    <cellStyle name="Normal 35 17" xfId="3631" xr:uid="{00000000-0005-0000-0000-00004F0E0000}"/>
    <cellStyle name="Normal 35 18" xfId="3632" xr:uid="{00000000-0005-0000-0000-0000500E0000}"/>
    <cellStyle name="Normal 35 19" xfId="3633" xr:uid="{00000000-0005-0000-0000-0000510E0000}"/>
    <cellStyle name="Normal 35 2" xfId="3634" xr:uid="{00000000-0005-0000-0000-0000520E0000}"/>
    <cellStyle name="Normal 35 20" xfId="3635" xr:uid="{00000000-0005-0000-0000-0000530E0000}"/>
    <cellStyle name="Normal 35 21" xfId="3636" xr:uid="{00000000-0005-0000-0000-0000540E0000}"/>
    <cellStyle name="Normal 35 22" xfId="3637" xr:uid="{00000000-0005-0000-0000-0000550E0000}"/>
    <cellStyle name="Normal 35 23" xfId="3638" xr:uid="{00000000-0005-0000-0000-0000560E0000}"/>
    <cellStyle name="Normal 35 24" xfId="3639" xr:uid="{00000000-0005-0000-0000-0000570E0000}"/>
    <cellStyle name="Normal 35 25" xfId="3640" xr:uid="{00000000-0005-0000-0000-0000580E0000}"/>
    <cellStyle name="Normal 35 26" xfId="3641" xr:uid="{00000000-0005-0000-0000-0000590E0000}"/>
    <cellStyle name="Normal 35 27" xfId="3642" xr:uid="{00000000-0005-0000-0000-00005A0E0000}"/>
    <cellStyle name="Normal 35 28" xfId="3643" xr:uid="{00000000-0005-0000-0000-00005B0E0000}"/>
    <cellStyle name="Normal 35 29" xfId="3644" xr:uid="{00000000-0005-0000-0000-00005C0E0000}"/>
    <cellStyle name="Normal 35 3" xfId="3645" xr:uid="{00000000-0005-0000-0000-00005D0E0000}"/>
    <cellStyle name="Normal 35 30" xfId="3646" xr:uid="{00000000-0005-0000-0000-00005E0E0000}"/>
    <cellStyle name="Normal 35 31" xfId="3647" xr:uid="{00000000-0005-0000-0000-00005F0E0000}"/>
    <cellStyle name="Normal 35 32" xfId="3648" xr:uid="{00000000-0005-0000-0000-0000600E0000}"/>
    <cellStyle name="Normal 35 33" xfId="3649" xr:uid="{00000000-0005-0000-0000-0000610E0000}"/>
    <cellStyle name="Normal 35 34" xfId="3650" xr:uid="{00000000-0005-0000-0000-0000620E0000}"/>
    <cellStyle name="Normal 35 35" xfId="3651" xr:uid="{00000000-0005-0000-0000-0000630E0000}"/>
    <cellStyle name="Normal 35 36" xfId="3652" xr:uid="{00000000-0005-0000-0000-0000640E0000}"/>
    <cellStyle name="Normal 35 37" xfId="3653" xr:uid="{00000000-0005-0000-0000-0000650E0000}"/>
    <cellStyle name="Normal 35 38" xfId="3654" xr:uid="{00000000-0005-0000-0000-0000660E0000}"/>
    <cellStyle name="Normal 35 39" xfId="3655" xr:uid="{00000000-0005-0000-0000-0000670E0000}"/>
    <cellStyle name="Normal 35 4" xfId="3656" xr:uid="{00000000-0005-0000-0000-0000680E0000}"/>
    <cellStyle name="Normal 35 40" xfId="3657" xr:uid="{00000000-0005-0000-0000-0000690E0000}"/>
    <cellStyle name="Normal 35 41" xfId="3658" xr:uid="{00000000-0005-0000-0000-00006A0E0000}"/>
    <cellStyle name="Normal 35 42" xfId="3659" xr:uid="{00000000-0005-0000-0000-00006B0E0000}"/>
    <cellStyle name="Normal 35 43" xfId="3660" xr:uid="{00000000-0005-0000-0000-00006C0E0000}"/>
    <cellStyle name="Normal 35 44" xfId="3661" xr:uid="{00000000-0005-0000-0000-00006D0E0000}"/>
    <cellStyle name="Normal 35 45" xfId="3662" xr:uid="{00000000-0005-0000-0000-00006E0E0000}"/>
    <cellStyle name="Normal 35 46" xfId="3663" xr:uid="{00000000-0005-0000-0000-00006F0E0000}"/>
    <cellStyle name="Normal 35 47" xfId="3664" xr:uid="{00000000-0005-0000-0000-0000700E0000}"/>
    <cellStyle name="Normal 35 48" xfId="3665" xr:uid="{00000000-0005-0000-0000-0000710E0000}"/>
    <cellStyle name="Normal 35 49" xfId="3666" xr:uid="{00000000-0005-0000-0000-0000720E0000}"/>
    <cellStyle name="Normal 35 5" xfId="3667" xr:uid="{00000000-0005-0000-0000-0000730E0000}"/>
    <cellStyle name="Normal 35 50" xfId="3668" xr:uid="{00000000-0005-0000-0000-0000740E0000}"/>
    <cellStyle name="Normal 35 51" xfId="3669" xr:uid="{00000000-0005-0000-0000-0000750E0000}"/>
    <cellStyle name="Normal 35 52" xfId="3670" xr:uid="{00000000-0005-0000-0000-0000760E0000}"/>
    <cellStyle name="Normal 35 53" xfId="3671" xr:uid="{00000000-0005-0000-0000-0000770E0000}"/>
    <cellStyle name="Normal 35 54" xfId="3672" xr:uid="{00000000-0005-0000-0000-0000780E0000}"/>
    <cellStyle name="Normal 35 55" xfId="3673" xr:uid="{00000000-0005-0000-0000-0000790E0000}"/>
    <cellStyle name="Normal 35 56" xfId="3674" xr:uid="{00000000-0005-0000-0000-00007A0E0000}"/>
    <cellStyle name="Normal 35 57" xfId="3675" xr:uid="{00000000-0005-0000-0000-00007B0E0000}"/>
    <cellStyle name="Normal 35 58" xfId="3676" xr:uid="{00000000-0005-0000-0000-00007C0E0000}"/>
    <cellStyle name="Normal 35 59" xfId="3677" xr:uid="{00000000-0005-0000-0000-00007D0E0000}"/>
    <cellStyle name="Normal 35 6" xfId="3678" xr:uid="{00000000-0005-0000-0000-00007E0E0000}"/>
    <cellStyle name="Normal 35 60" xfId="3679" xr:uid="{00000000-0005-0000-0000-00007F0E0000}"/>
    <cellStyle name="Normal 35 61" xfId="3680" xr:uid="{00000000-0005-0000-0000-0000800E0000}"/>
    <cellStyle name="Normal 35 62" xfId="3681" xr:uid="{00000000-0005-0000-0000-0000810E0000}"/>
    <cellStyle name="Normal 35 63" xfId="3682" xr:uid="{00000000-0005-0000-0000-0000820E0000}"/>
    <cellStyle name="Normal 35 64" xfId="3683" xr:uid="{00000000-0005-0000-0000-0000830E0000}"/>
    <cellStyle name="Normal 35 65" xfId="3684" xr:uid="{00000000-0005-0000-0000-0000840E0000}"/>
    <cellStyle name="Normal 35 66" xfId="3685" xr:uid="{00000000-0005-0000-0000-0000850E0000}"/>
    <cellStyle name="Normal 35 67" xfId="3686" xr:uid="{00000000-0005-0000-0000-0000860E0000}"/>
    <cellStyle name="Normal 35 68" xfId="3687" xr:uid="{00000000-0005-0000-0000-0000870E0000}"/>
    <cellStyle name="Normal 35 69" xfId="3688" xr:uid="{00000000-0005-0000-0000-0000880E0000}"/>
    <cellStyle name="Normal 35 7" xfId="3689" xr:uid="{00000000-0005-0000-0000-0000890E0000}"/>
    <cellStyle name="Normal 35 70" xfId="3690" xr:uid="{00000000-0005-0000-0000-00008A0E0000}"/>
    <cellStyle name="Normal 35 71" xfId="3691" xr:uid="{00000000-0005-0000-0000-00008B0E0000}"/>
    <cellStyle name="Normal 35 72" xfId="3692" xr:uid="{00000000-0005-0000-0000-00008C0E0000}"/>
    <cellStyle name="Normal 35 73" xfId="3693" xr:uid="{00000000-0005-0000-0000-00008D0E0000}"/>
    <cellStyle name="Normal 35 74" xfId="3694" xr:uid="{00000000-0005-0000-0000-00008E0E0000}"/>
    <cellStyle name="Normal 35 75" xfId="3695" xr:uid="{00000000-0005-0000-0000-00008F0E0000}"/>
    <cellStyle name="Normal 35 76" xfId="3696" xr:uid="{00000000-0005-0000-0000-0000900E0000}"/>
    <cellStyle name="Normal 35 77" xfId="3697" xr:uid="{00000000-0005-0000-0000-0000910E0000}"/>
    <cellStyle name="Normal 35 78" xfId="3698" xr:uid="{00000000-0005-0000-0000-0000920E0000}"/>
    <cellStyle name="Normal 35 79" xfId="3699" xr:uid="{00000000-0005-0000-0000-0000930E0000}"/>
    <cellStyle name="Normal 35 8" xfId="3700" xr:uid="{00000000-0005-0000-0000-0000940E0000}"/>
    <cellStyle name="Normal 35 80" xfId="3701" xr:uid="{00000000-0005-0000-0000-0000950E0000}"/>
    <cellStyle name="Normal 35 81" xfId="3702" xr:uid="{00000000-0005-0000-0000-0000960E0000}"/>
    <cellStyle name="Normal 35 82" xfId="3703" xr:uid="{00000000-0005-0000-0000-0000970E0000}"/>
    <cellStyle name="Normal 35 83" xfId="3704" xr:uid="{00000000-0005-0000-0000-0000980E0000}"/>
    <cellStyle name="Normal 35 84" xfId="3705" xr:uid="{00000000-0005-0000-0000-0000990E0000}"/>
    <cellStyle name="Normal 35 85" xfId="3706" xr:uid="{00000000-0005-0000-0000-00009A0E0000}"/>
    <cellStyle name="Normal 35 86" xfId="3707" xr:uid="{00000000-0005-0000-0000-00009B0E0000}"/>
    <cellStyle name="Normal 35 87" xfId="3708" xr:uid="{00000000-0005-0000-0000-00009C0E0000}"/>
    <cellStyle name="Normal 35 88" xfId="3709" xr:uid="{00000000-0005-0000-0000-00009D0E0000}"/>
    <cellStyle name="Normal 35 89" xfId="3710" xr:uid="{00000000-0005-0000-0000-00009E0E0000}"/>
    <cellStyle name="Normal 35 9" xfId="3711" xr:uid="{00000000-0005-0000-0000-00009F0E0000}"/>
    <cellStyle name="Normal 35 90" xfId="3712" xr:uid="{00000000-0005-0000-0000-0000A00E0000}"/>
    <cellStyle name="Normal 35 91" xfId="3713" xr:uid="{00000000-0005-0000-0000-0000A10E0000}"/>
    <cellStyle name="Normal 35 92" xfId="3714" xr:uid="{00000000-0005-0000-0000-0000A20E0000}"/>
    <cellStyle name="Normal 35 93" xfId="3715" xr:uid="{00000000-0005-0000-0000-0000A30E0000}"/>
    <cellStyle name="Normal 35 94" xfId="3716" xr:uid="{00000000-0005-0000-0000-0000A40E0000}"/>
    <cellStyle name="Normal 35 95" xfId="3717" xr:uid="{00000000-0005-0000-0000-0000A50E0000}"/>
    <cellStyle name="Normal 35 96" xfId="3718" xr:uid="{00000000-0005-0000-0000-0000A60E0000}"/>
    <cellStyle name="Normal 35 97" xfId="3719" xr:uid="{00000000-0005-0000-0000-0000A70E0000}"/>
    <cellStyle name="Normal 35 98" xfId="3720" xr:uid="{00000000-0005-0000-0000-0000A80E0000}"/>
    <cellStyle name="Normal 35 99" xfId="3721" xr:uid="{00000000-0005-0000-0000-0000A90E0000}"/>
    <cellStyle name="Normal 36" xfId="3722" xr:uid="{00000000-0005-0000-0000-0000AA0E0000}"/>
    <cellStyle name="Normal 36 10" xfId="3723" xr:uid="{00000000-0005-0000-0000-0000AB0E0000}"/>
    <cellStyle name="Normal 36 100" xfId="3724" xr:uid="{00000000-0005-0000-0000-0000AC0E0000}"/>
    <cellStyle name="Normal 36 101" xfId="3725" xr:uid="{00000000-0005-0000-0000-0000AD0E0000}"/>
    <cellStyle name="Normal 36 102" xfId="3726" xr:uid="{00000000-0005-0000-0000-0000AE0E0000}"/>
    <cellStyle name="Normal 36 103" xfId="3727" xr:uid="{00000000-0005-0000-0000-0000AF0E0000}"/>
    <cellStyle name="Normal 36 104" xfId="3728" xr:uid="{00000000-0005-0000-0000-0000B00E0000}"/>
    <cellStyle name="Normal 36 105" xfId="3729" xr:uid="{00000000-0005-0000-0000-0000B10E0000}"/>
    <cellStyle name="Normal 36 106" xfId="3730" xr:uid="{00000000-0005-0000-0000-0000B20E0000}"/>
    <cellStyle name="Normal 36 107" xfId="3731" xr:uid="{00000000-0005-0000-0000-0000B30E0000}"/>
    <cellStyle name="Normal 36 108" xfId="3732" xr:uid="{00000000-0005-0000-0000-0000B40E0000}"/>
    <cellStyle name="Normal 36 109" xfId="3733" xr:uid="{00000000-0005-0000-0000-0000B50E0000}"/>
    <cellStyle name="Normal 36 11" xfId="3734" xr:uid="{00000000-0005-0000-0000-0000B60E0000}"/>
    <cellStyle name="Normal 36 110" xfId="18063" xr:uid="{27782A27-4692-4FF0-8CA7-5D303040DDE2}"/>
    <cellStyle name="Normal 36 12" xfId="3735" xr:uid="{00000000-0005-0000-0000-0000B70E0000}"/>
    <cellStyle name="Normal 36 13" xfId="3736" xr:uid="{00000000-0005-0000-0000-0000B80E0000}"/>
    <cellStyle name="Normal 36 14" xfId="3737" xr:uid="{00000000-0005-0000-0000-0000B90E0000}"/>
    <cellStyle name="Normal 36 15" xfId="3738" xr:uid="{00000000-0005-0000-0000-0000BA0E0000}"/>
    <cellStyle name="Normal 36 16" xfId="3739" xr:uid="{00000000-0005-0000-0000-0000BB0E0000}"/>
    <cellStyle name="Normal 36 17" xfId="3740" xr:uid="{00000000-0005-0000-0000-0000BC0E0000}"/>
    <cellStyle name="Normal 36 18" xfId="3741" xr:uid="{00000000-0005-0000-0000-0000BD0E0000}"/>
    <cellStyle name="Normal 36 19" xfId="3742" xr:uid="{00000000-0005-0000-0000-0000BE0E0000}"/>
    <cellStyle name="Normal 36 2" xfId="3743" xr:uid="{00000000-0005-0000-0000-0000BF0E0000}"/>
    <cellStyle name="Normal 36 20" xfId="3744" xr:uid="{00000000-0005-0000-0000-0000C00E0000}"/>
    <cellStyle name="Normal 36 21" xfId="3745" xr:uid="{00000000-0005-0000-0000-0000C10E0000}"/>
    <cellStyle name="Normal 36 22" xfId="3746" xr:uid="{00000000-0005-0000-0000-0000C20E0000}"/>
    <cellStyle name="Normal 36 23" xfId="3747" xr:uid="{00000000-0005-0000-0000-0000C30E0000}"/>
    <cellStyle name="Normal 36 24" xfId="3748" xr:uid="{00000000-0005-0000-0000-0000C40E0000}"/>
    <cellStyle name="Normal 36 25" xfId="3749" xr:uid="{00000000-0005-0000-0000-0000C50E0000}"/>
    <cellStyle name="Normal 36 26" xfId="3750" xr:uid="{00000000-0005-0000-0000-0000C60E0000}"/>
    <cellStyle name="Normal 36 27" xfId="3751" xr:uid="{00000000-0005-0000-0000-0000C70E0000}"/>
    <cellStyle name="Normal 36 28" xfId="3752" xr:uid="{00000000-0005-0000-0000-0000C80E0000}"/>
    <cellStyle name="Normal 36 29" xfId="3753" xr:uid="{00000000-0005-0000-0000-0000C90E0000}"/>
    <cellStyle name="Normal 36 3" xfId="3754" xr:uid="{00000000-0005-0000-0000-0000CA0E0000}"/>
    <cellStyle name="Normal 36 30" xfId="3755" xr:uid="{00000000-0005-0000-0000-0000CB0E0000}"/>
    <cellStyle name="Normal 36 31" xfId="3756" xr:uid="{00000000-0005-0000-0000-0000CC0E0000}"/>
    <cellStyle name="Normal 36 32" xfId="3757" xr:uid="{00000000-0005-0000-0000-0000CD0E0000}"/>
    <cellStyle name="Normal 36 33" xfId="3758" xr:uid="{00000000-0005-0000-0000-0000CE0E0000}"/>
    <cellStyle name="Normal 36 34" xfId="3759" xr:uid="{00000000-0005-0000-0000-0000CF0E0000}"/>
    <cellStyle name="Normal 36 35" xfId="3760" xr:uid="{00000000-0005-0000-0000-0000D00E0000}"/>
    <cellStyle name="Normal 36 36" xfId="3761" xr:uid="{00000000-0005-0000-0000-0000D10E0000}"/>
    <cellStyle name="Normal 36 37" xfId="3762" xr:uid="{00000000-0005-0000-0000-0000D20E0000}"/>
    <cellStyle name="Normal 36 38" xfId="3763" xr:uid="{00000000-0005-0000-0000-0000D30E0000}"/>
    <cellStyle name="Normal 36 39" xfId="3764" xr:uid="{00000000-0005-0000-0000-0000D40E0000}"/>
    <cellStyle name="Normal 36 4" xfId="3765" xr:uid="{00000000-0005-0000-0000-0000D50E0000}"/>
    <cellStyle name="Normal 36 40" xfId="3766" xr:uid="{00000000-0005-0000-0000-0000D60E0000}"/>
    <cellStyle name="Normal 36 41" xfId="3767" xr:uid="{00000000-0005-0000-0000-0000D70E0000}"/>
    <cellStyle name="Normal 36 42" xfId="3768" xr:uid="{00000000-0005-0000-0000-0000D80E0000}"/>
    <cellStyle name="Normal 36 43" xfId="3769" xr:uid="{00000000-0005-0000-0000-0000D90E0000}"/>
    <cellStyle name="Normal 36 44" xfId="3770" xr:uid="{00000000-0005-0000-0000-0000DA0E0000}"/>
    <cellStyle name="Normal 36 45" xfId="3771" xr:uid="{00000000-0005-0000-0000-0000DB0E0000}"/>
    <cellStyle name="Normal 36 46" xfId="3772" xr:uid="{00000000-0005-0000-0000-0000DC0E0000}"/>
    <cellStyle name="Normal 36 47" xfId="3773" xr:uid="{00000000-0005-0000-0000-0000DD0E0000}"/>
    <cellStyle name="Normal 36 48" xfId="3774" xr:uid="{00000000-0005-0000-0000-0000DE0E0000}"/>
    <cellStyle name="Normal 36 49" xfId="3775" xr:uid="{00000000-0005-0000-0000-0000DF0E0000}"/>
    <cellStyle name="Normal 36 5" xfId="3776" xr:uid="{00000000-0005-0000-0000-0000E00E0000}"/>
    <cellStyle name="Normal 36 50" xfId="3777" xr:uid="{00000000-0005-0000-0000-0000E10E0000}"/>
    <cellStyle name="Normal 36 51" xfId="3778" xr:uid="{00000000-0005-0000-0000-0000E20E0000}"/>
    <cellStyle name="Normal 36 52" xfId="3779" xr:uid="{00000000-0005-0000-0000-0000E30E0000}"/>
    <cellStyle name="Normal 36 53" xfId="3780" xr:uid="{00000000-0005-0000-0000-0000E40E0000}"/>
    <cellStyle name="Normal 36 54" xfId="3781" xr:uid="{00000000-0005-0000-0000-0000E50E0000}"/>
    <cellStyle name="Normal 36 55" xfId="3782" xr:uid="{00000000-0005-0000-0000-0000E60E0000}"/>
    <cellStyle name="Normal 36 56" xfId="3783" xr:uid="{00000000-0005-0000-0000-0000E70E0000}"/>
    <cellStyle name="Normal 36 57" xfId="3784" xr:uid="{00000000-0005-0000-0000-0000E80E0000}"/>
    <cellStyle name="Normal 36 58" xfId="3785" xr:uid="{00000000-0005-0000-0000-0000E90E0000}"/>
    <cellStyle name="Normal 36 59" xfId="3786" xr:uid="{00000000-0005-0000-0000-0000EA0E0000}"/>
    <cellStyle name="Normal 36 6" xfId="3787" xr:uid="{00000000-0005-0000-0000-0000EB0E0000}"/>
    <cellStyle name="Normal 36 60" xfId="3788" xr:uid="{00000000-0005-0000-0000-0000EC0E0000}"/>
    <cellStyle name="Normal 36 61" xfId="3789" xr:uid="{00000000-0005-0000-0000-0000ED0E0000}"/>
    <cellStyle name="Normal 36 62" xfId="3790" xr:uid="{00000000-0005-0000-0000-0000EE0E0000}"/>
    <cellStyle name="Normal 36 63" xfId="3791" xr:uid="{00000000-0005-0000-0000-0000EF0E0000}"/>
    <cellStyle name="Normal 36 64" xfId="3792" xr:uid="{00000000-0005-0000-0000-0000F00E0000}"/>
    <cellStyle name="Normal 36 65" xfId="3793" xr:uid="{00000000-0005-0000-0000-0000F10E0000}"/>
    <cellStyle name="Normal 36 66" xfId="3794" xr:uid="{00000000-0005-0000-0000-0000F20E0000}"/>
    <cellStyle name="Normal 36 67" xfId="3795" xr:uid="{00000000-0005-0000-0000-0000F30E0000}"/>
    <cellStyle name="Normal 36 68" xfId="3796" xr:uid="{00000000-0005-0000-0000-0000F40E0000}"/>
    <cellStyle name="Normal 36 69" xfId="3797" xr:uid="{00000000-0005-0000-0000-0000F50E0000}"/>
    <cellStyle name="Normal 36 7" xfId="3798" xr:uid="{00000000-0005-0000-0000-0000F60E0000}"/>
    <cellStyle name="Normal 36 70" xfId="3799" xr:uid="{00000000-0005-0000-0000-0000F70E0000}"/>
    <cellStyle name="Normal 36 71" xfId="3800" xr:uid="{00000000-0005-0000-0000-0000F80E0000}"/>
    <cellStyle name="Normal 36 72" xfId="3801" xr:uid="{00000000-0005-0000-0000-0000F90E0000}"/>
    <cellStyle name="Normal 36 73" xfId="3802" xr:uid="{00000000-0005-0000-0000-0000FA0E0000}"/>
    <cellStyle name="Normal 36 74" xfId="3803" xr:uid="{00000000-0005-0000-0000-0000FB0E0000}"/>
    <cellStyle name="Normal 36 75" xfId="3804" xr:uid="{00000000-0005-0000-0000-0000FC0E0000}"/>
    <cellStyle name="Normal 36 76" xfId="3805" xr:uid="{00000000-0005-0000-0000-0000FD0E0000}"/>
    <cellStyle name="Normal 36 77" xfId="3806" xr:uid="{00000000-0005-0000-0000-0000FE0E0000}"/>
    <cellStyle name="Normal 36 78" xfId="3807" xr:uid="{00000000-0005-0000-0000-0000FF0E0000}"/>
    <cellStyle name="Normal 36 79" xfId="3808" xr:uid="{00000000-0005-0000-0000-0000000F0000}"/>
    <cellStyle name="Normal 36 8" xfId="3809" xr:uid="{00000000-0005-0000-0000-0000010F0000}"/>
    <cellStyle name="Normal 36 80" xfId="3810" xr:uid="{00000000-0005-0000-0000-0000020F0000}"/>
    <cellStyle name="Normal 36 81" xfId="3811" xr:uid="{00000000-0005-0000-0000-0000030F0000}"/>
    <cellStyle name="Normal 36 82" xfId="3812" xr:uid="{00000000-0005-0000-0000-0000040F0000}"/>
    <cellStyle name="Normal 36 83" xfId="3813" xr:uid="{00000000-0005-0000-0000-0000050F0000}"/>
    <cellStyle name="Normal 36 84" xfId="3814" xr:uid="{00000000-0005-0000-0000-0000060F0000}"/>
    <cellStyle name="Normal 36 85" xfId="3815" xr:uid="{00000000-0005-0000-0000-0000070F0000}"/>
    <cellStyle name="Normal 36 86" xfId="3816" xr:uid="{00000000-0005-0000-0000-0000080F0000}"/>
    <cellStyle name="Normal 36 87" xfId="3817" xr:uid="{00000000-0005-0000-0000-0000090F0000}"/>
    <cellStyle name="Normal 36 88" xfId="3818" xr:uid="{00000000-0005-0000-0000-00000A0F0000}"/>
    <cellStyle name="Normal 36 89" xfId="3819" xr:uid="{00000000-0005-0000-0000-00000B0F0000}"/>
    <cellStyle name="Normal 36 9" xfId="3820" xr:uid="{00000000-0005-0000-0000-00000C0F0000}"/>
    <cellStyle name="Normal 36 90" xfId="3821" xr:uid="{00000000-0005-0000-0000-00000D0F0000}"/>
    <cellStyle name="Normal 36 91" xfId="3822" xr:uid="{00000000-0005-0000-0000-00000E0F0000}"/>
    <cellStyle name="Normal 36 92" xfId="3823" xr:uid="{00000000-0005-0000-0000-00000F0F0000}"/>
    <cellStyle name="Normal 36 93" xfId="3824" xr:uid="{00000000-0005-0000-0000-0000100F0000}"/>
    <cellStyle name="Normal 36 94" xfId="3825" xr:uid="{00000000-0005-0000-0000-0000110F0000}"/>
    <cellStyle name="Normal 36 95" xfId="3826" xr:uid="{00000000-0005-0000-0000-0000120F0000}"/>
    <cellStyle name="Normal 36 96" xfId="3827" xr:uid="{00000000-0005-0000-0000-0000130F0000}"/>
    <cellStyle name="Normal 36 97" xfId="3828" xr:uid="{00000000-0005-0000-0000-0000140F0000}"/>
    <cellStyle name="Normal 36 98" xfId="3829" xr:uid="{00000000-0005-0000-0000-0000150F0000}"/>
    <cellStyle name="Normal 36 99" xfId="3830" xr:uid="{00000000-0005-0000-0000-0000160F0000}"/>
    <cellStyle name="Normal 37" xfId="3831" xr:uid="{00000000-0005-0000-0000-0000170F0000}"/>
    <cellStyle name="Normal 37 2" xfId="17888" xr:uid="{812F30FF-579F-42B9-AE00-1983F16D2760}"/>
    <cellStyle name="Normal 37 2 2" xfId="18400" xr:uid="{860F4A5B-AA76-4BB1-826B-268E49936E20}"/>
    <cellStyle name="Normal 37 3" xfId="18573" xr:uid="{E0697B14-EF74-418C-B5FE-A2C052A5995E}"/>
    <cellStyle name="Normal 37 3 2" xfId="23534" xr:uid="{94C0AC71-6A85-46BF-A59D-2BA51D10FC6D}"/>
    <cellStyle name="Normal 37 4" xfId="18064" xr:uid="{F7478FBF-C8F0-4B5E-84B4-301CAC4654EC}"/>
    <cellStyle name="Normal 37 4 2" xfId="24639" xr:uid="{95C2E724-CD49-481E-8460-6CB298BE6486}"/>
    <cellStyle name="Normal 37 5" xfId="17632" xr:uid="{66C96729-2239-40B1-A7F3-E6C64EFD13DC}"/>
    <cellStyle name="Normal 38" xfId="3832" xr:uid="{00000000-0005-0000-0000-0000180F0000}"/>
    <cellStyle name="Normal 38 2" xfId="18572" xr:uid="{EFA1A456-A0E4-47A2-96D7-8F52677BCFDC}"/>
    <cellStyle name="Normal 38 2 2" xfId="23535" xr:uid="{B48C7966-B061-4DB2-9D65-1B0CB98716FD}"/>
    <cellStyle name="Normal 38 3" xfId="18065" xr:uid="{1329D4DF-9428-491E-B48F-C9B2BCE9780A}"/>
    <cellStyle name="Normal 38 3 2" xfId="24640" xr:uid="{D97EF48D-201F-4CA0-B74A-87CB83DAB673}"/>
    <cellStyle name="Normal 38 4" xfId="17633" xr:uid="{40F4B219-4608-4EB8-8361-6B3C0322A50A}"/>
    <cellStyle name="Normal 39" xfId="3833" xr:uid="{00000000-0005-0000-0000-0000190F0000}"/>
    <cellStyle name="Normal 39 2" xfId="18399" xr:uid="{8D470D41-A95E-42C1-8A33-01B08011DF37}"/>
    <cellStyle name="Normal 39 3" xfId="18066" xr:uid="{A536395E-79A6-4F3F-8D9F-EBCF1FB7124E}"/>
    <cellStyle name="Normal 39 4" xfId="17889" xr:uid="{69838300-8AB3-4069-8193-5E019EA4B2DA}"/>
    <cellStyle name="Normal 4" xfId="3834" xr:uid="{00000000-0005-0000-0000-00001A0F0000}"/>
    <cellStyle name="Normal-- 4" xfId="3835" xr:uid="{00000000-0005-0000-0000-00001B0F0000}"/>
    <cellStyle name="Normal 4 10" xfId="3836" xr:uid="{00000000-0005-0000-0000-00001C0F0000}"/>
    <cellStyle name="Normal 4 10 2" xfId="3837" xr:uid="{00000000-0005-0000-0000-00001D0F0000}"/>
    <cellStyle name="Normal 4 10 3" xfId="18067" xr:uid="{3FA65A68-F123-4E8F-A085-AD35140AD023}"/>
    <cellStyle name="Normal 4 100" xfId="3838" xr:uid="{00000000-0005-0000-0000-00001E0F0000}"/>
    <cellStyle name="Normal 4 101" xfId="3839" xr:uid="{00000000-0005-0000-0000-00001F0F0000}"/>
    <cellStyle name="Normal 4 102" xfId="3840" xr:uid="{00000000-0005-0000-0000-0000200F0000}"/>
    <cellStyle name="Normal 4 103" xfId="3841" xr:uid="{00000000-0005-0000-0000-0000210F0000}"/>
    <cellStyle name="Normal 4 104" xfId="3842" xr:uid="{00000000-0005-0000-0000-0000220F0000}"/>
    <cellStyle name="Normal 4 105" xfId="3843" xr:uid="{00000000-0005-0000-0000-0000230F0000}"/>
    <cellStyle name="Normal 4 106" xfId="3844" xr:uid="{00000000-0005-0000-0000-0000240F0000}"/>
    <cellStyle name="Normal 4 107" xfId="3845" xr:uid="{00000000-0005-0000-0000-0000250F0000}"/>
    <cellStyle name="Normal 4 108" xfId="3846" xr:uid="{00000000-0005-0000-0000-0000260F0000}"/>
    <cellStyle name="Normal 4 109" xfId="3847" xr:uid="{00000000-0005-0000-0000-0000270F0000}"/>
    <cellStyle name="Normal 4 109 2" xfId="3848" xr:uid="{00000000-0005-0000-0000-0000280F0000}"/>
    <cellStyle name="Normal 4 109 2 2" xfId="9381" xr:uid="{00000000-0005-0000-0000-0000C11C0000}"/>
    <cellStyle name="Normal 4 109 2 2 2" xfId="17765" xr:uid="{CC374BEC-1E45-488B-8A09-E72E1E8105C3}"/>
    <cellStyle name="Normal 4 109 2 2 2 2" xfId="18480" xr:uid="{EB5C1F64-03C1-419B-899C-B18C96200628}"/>
    <cellStyle name="Normal 4 109 2 2 3" xfId="18651" xr:uid="{9B0B8940-1E5C-416F-AAB5-1E036C8A54D5}"/>
    <cellStyle name="Normal 4 109 2 2 4" xfId="17497" xr:uid="{7C41EB98-E846-4331-BBBD-B0EA2F66EBB4}"/>
    <cellStyle name="Normal 4 109 2 3" xfId="17687" xr:uid="{E28E6E3D-8B5C-4B7E-A9F4-2698761B4AFC}"/>
    <cellStyle name="Normal 4 109 2 3 2" xfId="18532" xr:uid="{6518D57C-95B9-40E8-B16E-6F8DCAEBFD36}"/>
    <cellStyle name="Normal 4 109 2 4" xfId="18326" xr:uid="{E0FA6330-2969-4748-8BFF-7D45879CA96C}"/>
    <cellStyle name="Normal 4 109 2 5" xfId="17290" xr:uid="{1305F628-7674-47CF-99DE-14431525E6A4}"/>
    <cellStyle name="Normal 4 109 3" xfId="17468" xr:uid="{6B160A7F-219B-4667-9DBE-FAF196F82976}"/>
    <cellStyle name="Normal 4 109 3 2" xfId="17731" xr:uid="{7B25C53B-813C-4A1A-B917-7ED547B0EA20}"/>
    <cellStyle name="Normal 4 109 3 2 2" xfId="18504" xr:uid="{07A73379-4576-4460-9F4C-304F23AB12C4}"/>
    <cellStyle name="Normal 4 109 3 3" xfId="18674" xr:uid="{533EA246-76BF-498A-A710-79D31FDD38F0}"/>
    <cellStyle name="Normal 4 109 4" xfId="17601" xr:uid="{EF710511-4283-44FE-89DA-29C091440087}"/>
    <cellStyle name="Normal 4 109 4 2" xfId="17866" xr:uid="{3F633D9C-B6BE-4D81-B4AF-7C098B8B3B43}"/>
    <cellStyle name="Normal 4 109 4 2 2" xfId="18411" xr:uid="{ADE4BABC-BA50-4E88-9BB3-17087F612B91}"/>
    <cellStyle name="Normal 4 109 4 3" xfId="18587" xr:uid="{6A5341FB-5D2D-44EC-A70E-CA59B2E8FFB0}"/>
    <cellStyle name="Normal 4 109 5" xfId="17643" xr:uid="{04C4927B-3DA3-4D24-9F40-1CE1B222118E}"/>
    <cellStyle name="Normal 4 109 5 2" xfId="18562" xr:uid="{CD95A14B-6960-4C2B-9D30-ACB32D2073AF}"/>
    <cellStyle name="Normal 4 109 6" xfId="18068" xr:uid="{95AE225A-2B63-4E3F-A35C-8701B1A51E11}"/>
    <cellStyle name="Normal 4 109 6 2" xfId="23538" xr:uid="{49954211-BFE0-40CA-BDCD-AF2FE91E534D}"/>
    <cellStyle name="Normal 4 109 7" xfId="24484" xr:uid="{453A23D2-0F2F-4562-85CA-CBA8B9A8594A}"/>
    <cellStyle name="Normal 4 11" xfId="3849" xr:uid="{00000000-0005-0000-0000-0000290F0000}"/>
    <cellStyle name="Normal 4 11 2" xfId="3850" xr:uid="{00000000-0005-0000-0000-00002A0F0000}"/>
    <cellStyle name="Normal 4 11 3" xfId="18069" xr:uid="{1DEEED86-3B03-4419-A2BE-53FA8C155B2C}"/>
    <cellStyle name="Normal 4 110" xfId="3851" xr:uid="{00000000-0005-0000-0000-00002B0F0000}"/>
    <cellStyle name="Normal 4 110 2" xfId="3852" xr:uid="{00000000-0005-0000-0000-00002C0F0000}"/>
    <cellStyle name="Normal 4 110 3" xfId="9384" xr:uid="{00000000-0005-0000-0000-0000C21C0000}"/>
    <cellStyle name="Normal 4 110 3 2" xfId="18070" xr:uid="{3205A392-73E4-4853-A735-608CF8626458}"/>
    <cellStyle name="Normal 4 110 4" xfId="15526" xr:uid="{A2FE5F13-A7DF-4243-AFFC-DABCBB66375B}"/>
    <cellStyle name="Normal 4 111" xfId="3853" xr:uid="{00000000-0005-0000-0000-00002D0F0000}"/>
    <cellStyle name="Normal 4 111 2" xfId="3854" xr:uid="{00000000-0005-0000-0000-00002E0F0000}"/>
    <cellStyle name="Normal 4 111 3" xfId="18071" xr:uid="{97B8504A-5A2B-4960-B54D-E45A8442B85C}"/>
    <cellStyle name="Normal 4 112" xfId="3855" xr:uid="{00000000-0005-0000-0000-00002F0F0000}"/>
    <cellStyle name="Normal 4 112 2" xfId="9388" xr:uid="{00000000-0005-0000-0000-0000C31C0000}"/>
    <cellStyle name="Normal 4 112 2 2" xfId="41893" xr:uid="{9973711A-55AF-4940-9798-F799BC238B23}"/>
    <cellStyle name="Normal 4 112 3" xfId="15527" xr:uid="{13AE9980-67BE-46D9-9EF9-653B7A89FA16}"/>
    <cellStyle name="Normal 4 113" xfId="3856" xr:uid="{00000000-0005-0000-0000-0000300F0000}"/>
    <cellStyle name="Normal 4 113 2" xfId="9389" xr:uid="{00000000-0005-0000-0000-0000C41C0000}"/>
    <cellStyle name="Normal 4 113 2 2" xfId="41894" xr:uid="{879CCE51-5D23-463D-AE26-36FFD414E77B}"/>
    <cellStyle name="Normal 4 113 3" xfId="15528" xr:uid="{A9A599E4-08E0-44AE-8777-4FFBEE0E2E01}"/>
    <cellStyle name="Normal 4 114" xfId="3857" xr:uid="{00000000-0005-0000-0000-0000310F0000}"/>
    <cellStyle name="Normal 4 114 2" xfId="9390" xr:uid="{00000000-0005-0000-0000-0000C51C0000}"/>
    <cellStyle name="Normal 4 114 2 2" xfId="41895" xr:uid="{20E8761A-18F5-45AC-8E0C-B15C80A9098F}"/>
    <cellStyle name="Normal 4 114 3" xfId="15529" xr:uid="{53C68C89-342A-491C-97A5-B4AB8255C235}"/>
    <cellStyle name="Normal 4 115" xfId="3858" xr:uid="{00000000-0005-0000-0000-0000320F0000}"/>
    <cellStyle name="Normal 4 115 2" xfId="9391" xr:uid="{00000000-0005-0000-0000-0000C61C0000}"/>
    <cellStyle name="Normal 4 115 2 2" xfId="41896" xr:uid="{5D6A2A9C-A583-4A3D-AF17-4D02A6CE74AF}"/>
    <cellStyle name="Normal 4 115 3" xfId="15530" xr:uid="{2B4E6DA7-28C1-44AB-BA06-6B1302BD2E68}"/>
    <cellStyle name="Normal 4 116" xfId="3859" xr:uid="{00000000-0005-0000-0000-0000330F0000}"/>
    <cellStyle name="Normal 4 116 2" xfId="9392" xr:uid="{00000000-0005-0000-0000-0000C71C0000}"/>
    <cellStyle name="Normal 4 116 2 2" xfId="41897" xr:uid="{B7469E97-FE3E-4571-9174-B0AAC5EC0CB1}"/>
    <cellStyle name="Normal 4 116 3" xfId="15531" xr:uid="{F9CF44F1-54E3-447E-953C-F20DE23CDF4D}"/>
    <cellStyle name="Normal 4 117" xfId="3860" xr:uid="{00000000-0005-0000-0000-0000340F0000}"/>
    <cellStyle name="Normal 4 117 2" xfId="9393" xr:uid="{00000000-0005-0000-0000-0000C81C0000}"/>
    <cellStyle name="Normal 4 117 2 2" xfId="41898" xr:uid="{671F8439-C27F-4F65-9E31-C83E51CAF302}"/>
    <cellStyle name="Normal 4 117 3" xfId="15532" xr:uid="{9B2BE83D-7B3E-4215-A4FA-D3426C3FBB61}"/>
    <cellStyle name="Normal 4 118" xfId="3861" xr:uid="{00000000-0005-0000-0000-0000350F0000}"/>
    <cellStyle name="Normal 4 119" xfId="3862" xr:uid="{00000000-0005-0000-0000-0000360F0000}"/>
    <cellStyle name="Normal 4 12" xfId="3863" xr:uid="{00000000-0005-0000-0000-0000370F0000}"/>
    <cellStyle name="Normal 4 12 2" xfId="3864" xr:uid="{00000000-0005-0000-0000-0000380F0000}"/>
    <cellStyle name="Normal 4 12 3" xfId="18072" xr:uid="{4D68FC44-8D4D-4831-BA43-00EF88D08334}"/>
    <cellStyle name="Normal 4 120" xfId="3865" xr:uid="{00000000-0005-0000-0000-0000390F0000}"/>
    <cellStyle name="Normal 4 121" xfId="3866" xr:uid="{00000000-0005-0000-0000-00003A0F0000}"/>
    <cellStyle name="Normal 4 121 2" xfId="9354" xr:uid="{00000000-0005-0000-0000-000008200000}"/>
    <cellStyle name="Normal 4 121 2 2" xfId="23537" xr:uid="{BBA94A22-0661-4DB0-838B-86C1F3EF4103}"/>
    <cellStyle name="Normal 4 122" xfId="3867" xr:uid="{00000000-0005-0000-0000-00003B0F0000}"/>
    <cellStyle name="Normal 4 122 2" xfId="9400" xr:uid="{00000000-0005-0000-0000-0000C91C0000}"/>
    <cellStyle name="Normal 4 122 2 2" xfId="41901" xr:uid="{E5AFECEA-3136-446E-99FD-65761749DFEB}"/>
    <cellStyle name="Normal 4 122 3" xfId="17289" xr:uid="{7DDE19CC-A8BB-460C-83BA-A452AAF6BBB4}"/>
    <cellStyle name="Normal 4 123" xfId="11066" xr:uid="{00000000-0005-0000-0000-0000B00B0000}"/>
    <cellStyle name="Normal 4 123 2" xfId="18739" xr:uid="{3518B96C-7258-48ED-A6F7-0001F0B25742}"/>
    <cellStyle name="Normal 4 123 3" xfId="43555" xr:uid="{F665E738-E257-4E76-99F7-1BEDFA0DEF8A}"/>
    <cellStyle name="Normal 4 124" xfId="18778" xr:uid="{C514F01B-E95D-4A69-B064-3BDC5E063FD6}"/>
    <cellStyle name="Normal 4 125" xfId="17374" xr:uid="{7E14758D-01FF-48C9-8929-F8E54B7933D5}"/>
    <cellStyle name="Normal 4 126" xfId="23043" xr:uid="{0B661404-D0B8-4603-98B6-A123C1653EE3}"/>
    <cellStyle name="Normal 4 127" xfId="23706" xr:uid="{807C5C62-E815-46D2-A248-31F2FD55C4ED}"/>
    <cellStyle name="Normal 4 13" xfId="3868" xr:uid="{00000000-0005-0000-0000-00003C0F0000}"/>
    <cellStyle name="Normal 4 13 2" xfId="3869" xr:uid="{00000000-0005-0000-0000-00003D0F0000}"/>
    <cellStyle name="Normal 4 13 3" xfId="18073" xr:uid="{16CCBF94-4593-41AA-B0CA-C4F39BBDFADD}"/>
    <cellStyle name="Normal 4 14" xfId="3870" xr:uid="{00000000-0005-0000-0000-00003E0F0000}"/>
    <cellStyle name="Normal 4 14 2" xfId="3871" xr:uid="{00000000-0005-0000-0000-00003F0F0000}"/>
    <cellStyle name="Normal 4 14 3" xfId="18074" xr:uid="{4BCE6FA6-FF2D-478B-9151-9D55ADC45140}"/>
    <cellStyle name="Normal 4 15" xfId="3872" xr:uid="{00000000-0005-0000-0000-0000400F0000}"/>
    <cellStyle name="Normal 4 15 2" xfId="3873" xr:uid="{00000000-0005-0000-0000-0000410F0000}"/>
    <cellStyle name="Normal 4 15 3" xfId="18075" xr:uid="{9B4AF65F-8CD8-4CC7-B909-C5C8E9C50550}"/>
    <cellStyle name="Normal 4 16" xfId="3874" xr:uid="{00000000-0005-0000-0000-0000420F0000}"/>
    <cellStyle name="Normal 4 16 2" xfId="3875" xr:uid="{00000000-0005-0000-0000-0000430F0000}"/>
    <cellStyle name="Normal 4 16 3" xfId="18076" xr:uid="{335B303C-8091-40B3-B275-F3A6E093162B}"/>
    <cellStyle name="Normal 4 17" xfId="3876" xr:uid="{00000000-0005-0000-0000-0000440F0000}"/>
    <cellStyle name="Normal 4 17 2" xfId="3877" xr:uid="{00000000-0005-0000-0000-0000450F0000}"/>
    <cellStyle name="Normal 4 17 3" xfId="18077" xr:uid="{EE3FE74B-93DF-4C1F-B8BA-B5EDEBF14F9A}"/>
    <cellStyle name="Normal 4 18" xfId="3878" xr:uid="{00000000-0005-0000-0000-0000460F0000}"/>
    <cellStyle name="Normal 4 18 2" xfId="3879" xr:uid="{00000000-0005-0000-0000-0000470F0000}"/>
    <cellStyle name="Normal 4 18 3" xfId="18078" xr:uid="{74E371F9-543B-4F4C-9E8F-8F5B45C37A9D}"/>
    <cellStyle name="Normal 4 19" xfId="3880" xr:uid="{00000000-0005-0000-0000-0000480F0000}"/>
    <cellStyle name="Normal 4 19 2" xfId="3881" xr:uid="{00000000-0005-0000-0000-0000490F0000}"/>
    <cellStyle name="Normal 4 19 3" xfId="18079" xr:uid="{FAE05630-D528-4476-B92B-3A1BEE736EFB}"/>
    <cellStyle name="Normal 4 2" xfId="3882" xr:uid="{00000000-0005-0000-0000-00004A0F0000}"/>
    <cellStyle name="Normal 4 2 10" xfId="3883" xr:uid="{00000000-0005-0000-0000-00004B0F0000}"/>
    <cellStyle name="Normal 4 2 10 2" xfId="9414" xr:uid="{00000000-0005-0000-0000-0000CA1C0000}"/>
    <cellStyle name="Normal 4 2 10 2 2" xfId="41907" xr:uid="{8917C385-ABA9-446A-8236-64CC579EF329}"/>
    <cellStyle name="Normal 4 2 10 3" xfId="17292" xr:uid="{AEE2B148-98C8-4AC4-8575-285C221D2878}"/>
    <cellStyle name="Normal 4 2 2" xfId="3884" xr:uid="{00000000-0005-0000-0000-00004C0F0000}"/>
    <cellStyle name="Normal 4 2 2 2" xfId="3885" xr:uid="{00000000-0005-0000-0000-00004D0F0000}"/>
    <cellStyle name="Normal 4 2 2 2 2" xfId="9416" xr:uid="{00000000-0005-0000-0000-0000CB1C0000}"/>
    <cellStyle name="Normal 4 2 2 2 2 2" xfId="17766" xr:uid="{BD78F14B-5F70-4ADB-B2DD-89D1A98A5C4D}"/>
    <cellStyle name="Normal 4 2 2 2 2 2 2" xfId="18479" xr:uid="{F16E9889-E877-4EEB-8F8B-F0CFC228BE26}"/>
    <cellStyle name="Normal 4 2 2 2 2 3" xfId="18650" xr:uid="{FA434334-0C4C-4811-AF36-B0924BC09FB6}"/>
    <cellStyle name="Normal 4 2 2 2 2 4" xfId="17498" xr:uid="{52AEE553-1827-4D8A-BDD5-EA4619B87723}"/>
    <cellStyle name="Normal 4 2 2 2 3" xfId="17688" xr:uid="{C88804F3-5CCC-4FD2-87E8-074E1B3226F4}"/>
    <cellStyle name="Normal 4 2 2 2 3 2" xfId="18531" xr:uid="{A7F0A249-FAB4-491A-AA04-C395F36A9A9A}"/>
    <cellStyle name="Normal 4 2 2 2 4" xfId="18327" xr:uid="{5661936A-7329-4126-A008-02D641B322AE}"/>
    <cellStyle name="Normal 4 2 2 2 5" xfId="17293" xr:uid="{46971DB5-E646-46C9-9703-9514EDCE2D1C}"/>
    <cellStyle name="Normal 4 2 2 3" xfId="17469" xr:uid="{E738294F-1E0F-46F0-BF3A-6AB79A1BFE26}"/>
    <cellStyle name="Normal 4 2 2 3 2" xfId="17732" xr:uid="{6CD2E8BD-26C4-4B27-BC27-87600301668E}"/>
    <cellStyle name="Normal 4 2 2 3 2 2" xfId="18503" xr:uid="{BD592F43-6051-4142-8DE2-98A51B331C24}"/>
    <cellStyle name="Normal 4 2 2 3 3" xfId="18673" xr:uid="{EBF61BE6-9746-4DE4-AF41-4DA5CD53D06A}"/>
    <cellStyle name="Normal 4 2 2 4" xfId="17602" xr:uid="{4433C28F-0B81-4F1A-B879-90476C93261C}"/>
    <cellStyle name="Normal 4 2 2 4 2" xfId="17867" xr:uid="{EEE54B07-7E83-4AF4-93E7-35C1D807F3B0}"/>
    <cellStyle name="Normal 4 2 2 4 2 2" xfId="18410" xr:uid="{37B7C219-F260-42C7-9D74-9DCC45C31400}"/>
    <cellStyle name="Normal 4 2 2 4 3" xfId="18586" xr:uid="{E8682D27-7398-4FA4-BED4-1362B8DBD912}"/>
    <cellStyle name="Normal 4 2 2 5" xfId="17644" xr:uid="{66D3BD62-F37F-4BE0-AADD-E2FB360262BA}"/>
    <cellStyle name="Normal 4 2 2 5 2" xfId="18561" xr:uid="{EDCDEE16-FE48-4257-B229-ABB430C64B89}"/>
    <cellStyle name="Normal 4 2 2 6" xfId="18080" xr:uid="{37EA157F-F2E2-44CF-B778-0F3CB1D77E1D}"/>
    <cellStyle name="Normal 4 2 2 6 2" xfId="23558" xr:uid="{45211FDD-74C6-4E4E-8809-BF6245EDBE3A}"/>
    <cellStyle name="Normal 4 2 2 7" xfId="24487" xr:uid="{4307A3B4-2721-49D9-8741-287A0F237841}"/>
    <cellStyle name="Normal 4 2 3" xfId="3886" xr:uid="{00000000-0005-0000-0000-00004E0F0000}"/>
    <cellStyle name="Normal 4 2 3 2" xfId="3887" xr:uid="{00000000-0005-0000-0000-00004F0F0000}"/>
    <cellStyle name="Normal 4 2 3 3" xfId="18081" xr:uid="{D29CBA46-06B0-4444-B571-75A482CA2616}"/>
    <cellStyle name="Normal 4 2 4" xfId="3888" xr:uid="{00000000-0005-0000-0000-0000500F0000}"/>
    <cellStyle name="Normal 4 2 4 2" xfId="3889" xr:uid="{00000000-0005-0000-0000-0000510F0000}"/>
    <cellStyle name="Normal 4 2 4 3" xfId="18082" xr:uid="{8DCD5480-1826-446A-A236-84614E3C9381}"/>
    <cellStyle name="Normal 4 2 5" xfId="3890" xr:uid="{00000000-0005-0000-0000-0000520F0000}"/>
    <cellStyle name="Normal 4 2 6" xfId="3891" xr:uid="{00000000-0005-0000-0000-0000530F0000}"/>
    <cellStyle name="Normal 4 2 7" xfId="3892" xr:uid="{00000000-0005-0000-0000-0000540F0000}"/>
    <cellStyle name="Normal 4 2 8" xfId="3893" xr:uid="{00000000-0005-0000-0000-0000550F0000}"/>
    <cellStyle name="Normal 4 2 8 2" xfId="9424" xr:uid="{00000000-0005-0000-0000-0000CC1C0000}"/>
    <cellStyle name="Normal 4 2 8 2 2" xfId="41914" xr:uid="{246B4E02-DA8E-4DBF-9A76-D2E5925F3FB6}"/>
    <cellStyle name="Normal 4 2 8 3" xfId="15543" xr:uid="{4968A829-F4FD-47C6-B47C-8F69997D7032}"/>
    <cellStyle name="Normal 4 2 9" xfId="3894" xr:uid="{00000000-0005-0000-0000-0000560F0000}"/>
    <cellStyle name="Normal 4 20" xfId="3895" xr:uid="{00000000-0005-0000-0000-0000570F0000}"/>
    <cellStyle name="Normal 4 20 2" xfId="3896" xr:uid="{00000000-0005-0000-0000-0000580F0000}"/>
    <cellStyle name="Normal 4 20 3" xfId="18083" xr:uid="{9B01B59C-99BE-46C5-9B09-F2056CBA50F6}"/>
    <cellStyle name="Normal 4 21" xfId="3897" xr:uid="{00000000-0005-0000-0000-0000590F0000}"/>
    <cellStyle name="Normal 4 21 2" xfId="3898" xr:uid="{00000000-0005-0000-0000-00005A0F0000}"/>
    <cellStyle name="Normal 4 21 2 2" xfId="3899" xr:uid="{00000000-0005-0000-0000-00005B0F0000}"/>
    <cellStyle name="Normal 4 21 2 2 2" xfId="3900" xr:uid="{00000000-0005-0000-0000-00005C0F0000}"/>
    <cellStyle name="Normal 4 21 2 2 2 2" xfId="3901" xr:uid="{00000000-0005-0000-0000-00005D0F0000}"/>
    <cellStyle name="Normal 4 21 2 2 2 2 2" xfId="9432" xr:uid="{00000000-0005-0000-0000-0000D01C0000}"/>
    <cellStyle name="Normal 4 21 2 2 2 2 2 2" xfId="41922" xr:uid="{E9BE7653-7342-4CEA-807E-BF155EA5D41D}"/>
    <cellStyle name="Normal 4 21 2 2 2 2 3" xfId="15551" xr:uid="{9F208E5F-1D57-4229-8E83-4DAE9225BAA8}"/>
    <cellStyle name="Normal 4 21 2 2 2 3" xfId="9431" xr:uid="{00000000-0005-0000-0000-0000CF1C0000}"/>
    <cellStyle name="Normal 4 21 2 2 2 3 2" xfId="41921" xr:uid="{57E335DB-9246-4E27-8DCE-CD2EBBCD4F7E}"/>
    <cellStyle name="Normal 4 21 2 2 2 4" xfId="15550" xr:uid="{B33095BA-2FAC-4634-BF9D-C5DFB9668518}"/>
    <cellStyle name="Normal 4 21 2 2 3" xfId="3902" xr:uid="{00000000-0005-0000-0000-00005E0F0000}"/>
    <cellStyle name="Normal 4 21 2 2 3 2" xfId="9433" xr:uid="{00000000-0005-0000-0000-0000D11C0000}"/>
    <cellStyle name="Normal 4 21 2 2 3 2 2" xfId="41923" xr:uid="{2ACFCC72-130D-46FD-869B-518F056B4525}"/>
    <cellStyle name="Normal 4 21 2 2 3 3" xfId="15552" xr:uid="{2947E9FE-FFD0-4F57-88B9-DF9787A4BAFC}"/>
    <cellStyle name="Normal 4 21 2 2 4" xfId="9430" xr:uid="{00000000-0005-0000-0000-0000CE1C0000}"/>
    <cellStyle name="Normal 4 21 2 2 4 2" xfId="41920" xr:uid="{8B5F115E-8E87-4F10-9D5E-0FB072782C15}"/>
    <cellStyle name="Normal 4 21 2 2 5" xfId="15549" xr:uid="{71C3D817-4B7E-47FE-92E0-B3D2874EAA07}"/>
    <cellStyle name="Normal 4 21 2 3" xfId="3903" xr:uid="{00000000-0005-0000-0000-00005F0F0000}"/>
    <cellStyle name="Normal 4 21 2 3 2" xfId="3904" xr:uid="{00000000-0005-0000-0000-0000600F0000}"/>
    <cellStyle name="Normal 4 21 2 3 2 2" xfId="9435" xr:uid="{00000000-0005-0000-0000-0000D31C0000}"/>
    <cellStyle name="Normal 4 21 2 3 2 2 2" xfId="41925" xr:uid="{48AC2319-CF35-43EA-AB9D-BC6C98ED82BA}"/>
    <cellStyle name="Normal 4 21 2 3 2 3" xfId="15554" xr:uid="{3DB7872C-FC92-4377-B9FA-5B0E271DF7E9}"/>
    <cellStyle name="Normal 4 21 2 3 3" xfId="9434" xr:uid="{00000000-0005-0000-0000-0000D21C0000}"/>
    <cellStyle name="Normal 4 21 2 3 3 2" xfId="41924" xr:uid="{916A869D-D863-48F1-A162-C026B9BBB512}"/>
    <cellStyle name="Normal 4 21 2 3 4" xfId="15553" xr:uid="{615F043E-9C9D-4C6B-B4B0-B578FD8F076A}"/>
    <cellStyle name="Normal 4 21 2 4" xfId="3905" xr:uid="{00000000-0005-0000-0000-0000610F0000}"/>
    <cellStyle name="Normal 4 21 2 4 2" xfId="9436" xr:uid="{00000000-0005-0000-0000-0000D41C0000}"/>
    <cellStyle name="Normal 4 21 2 4 2 2" xfId="41926" xr:uid="{64D2F5C1-D48C-4358-BAA2-3CCAC57DEDB0}"/>
    <cellStyle name="Normal 4 21 2 4 3" xfId="15555" xr:uid="{5B1D9888-81CF-4D56-BA10-892EDE743700}"/>
    <cellStyle name="Normal 4 21 2 5" xfId="9429" xr:uid="{00000000-0005-0000-0000-0000CD1C0000}"/>
    <cellStyle name="Normal 4 21 2 5 2" xfId="41919" xr:uid="{F09E99AA-9696-4DA3-A383-E19C56653D40}"/>
    <cellStyle name="Normal 4 21 2 6" xfId="15548" xr:uid="{632A13E3-EF4F-4E7C-8E39-9E88DD800A75}"/>
    <cellStyle name="Normal 4 21 3" xfId="3906" xr:uid="{00000000-0005-0000-0000-0000620F0000}"/>
    <cellStyle name="Normal 4 21 3 2" xfId="3907" xr:uid="{00000000-0005-0000-0000-0000630F0000}"/>
    <cellStyle name="Normal 4 21 3 2 2" xfId="3908" xr:uid="{00000000-0005-0000-0000-0000640F0000}"/>
    <cellStyle name="Normal 4 21 3 2 2 2" xfId="3909" xr:uid="{00000000-0005-0000-0000-0000650F0000}"/>
    <cellStyle name="Normal 4 21 3 2 2 2 2" xfId="9440" xr:uid="{00000000-0005-0000-0000-0000D81C0000}"/>
    <cellStyle name="Normal 4 21 3 2 2 2 2 2" xfId="41930" xr:uid="{CC1858A3-2150-43AA-AD1F-FCF34A210AED}"/>
    <cellStyle name="Normal 4 21 3 2 2 2 3" xfId="15559" xr:uid="{2EB3E329-4A1F-4823-BE02-FB5FF8518F44}"/>
    <cellStyle name="Normal 4 21 3 2 2 3" xfId="9439" xr:uid="{00000000-0005-0000-0000-0000D71C0000}"/>
    <cellStyle name="Normal 4 21 3 2 2 3 2" xfId="41929" xr:uid="{0F8BDBEE-C621-4E41-8B83-A11360D2B647}"/>
    <cellStyle name="Normal 4 21 3 2 2 4" xfId="15558" xr:uid="{A6C8F907-3D3F-4CF0-A7EB-4268F607631A}"/>
    <cellStyle name="Normal 4 21 3 2 3" xfId="3910" xr:uid="{00000000-0005-0000-0000-0000660F0000}"/>
    <cellStyle name="Normal 4 21 3 2 3 2" xfId="9441" xr:uid="{00000000-0005-0000-0000-0000D91C0000}"/>
    <cellStyle name="Normal 4 21 3 2 3 2 2" xfId="41931" xr:uid="{B09E68FB-C64D-41A2-9B36-225ADC0A7CD7}"/>
    <cellStyle name="Normal 4 21 3 2 3 3" xfId="15560" xr:uid="{0C67EC2E-2A85-4329-B3F7-F30177CE3E09}"/>
    <cellStyle name="Normal 4 21 3 2 4" xfId="9438" xr:uid="{00000000-0005-0000-0000-0000D61C0000}"/>
    <cellStyle name="Normal 4 21 3 2 4 2" xfId="41928" xr:uid="{B793465C-785B-47EE-AB3F-AB9A949CD5A7}"/>
    <cellStyle name="Normal 4 21 3 2 5" xfId="15557" xr:uid="{77C6EDAD-AC56-4C22-8B64-61AA287D96CA}"/>
    <cellStyle name="Normal 4 21 3 3" xfId="3911" xr:uid="{00000000-0005-0000-0000-0000670F0000}"/>
    <cellStyle name="Normal 4 21 3 3 2" xfId="3912" xr:uid="{00000000-0005-0000-0000-0000680F0000}"/>
    <cellStyle name="Normal 4 21 3 3 2 2" xfId="9443" xr:uid="{00000000-0005-0000-0000-0000DB1C0000}"/>
    <cellStyle name="Normal 4 21 3 3 2 2 2" xfId="41933" xr:uid="{C25D7C9F-185D-4FFE-B9D1-84C21ADF88A5}"/>
    <cellStyle name="Normal 4 21 3 3 2 3" xfId="15562" xr:uid="{4AC0FF94-BB66-444B-80EE-99FC90F3B0A9}"/>
    <cellStyle name="Normal 4 21 3 3 3" xfId="9442" xr:uid="{00000000-0005-0000-0000-0000DA1C0000}"/>
    <cellStyle name="Normal 4 21 3 3 3 2" xfId="41932" xr:uid="{0137F8C3-15D7-4A28-BF01-B20204B0330F}"/>
    <cellStyle name="Normal 4 21 3 3 4" xfId="15561" xr:uid="{9B02B522-8AF9-467C-BECD-425E05E674D4}"/>
    <cellStyle name="Normal 4 21 3 4" xfId="3913" xr:uid="{00000000-0005-0000-0000-0000690F0000}"/>
    <cellStyle name="Normal 4 21 3 4 2" xfId="9444" xr:uid="{00000000-0005-0000-0000-0000DC1C0000}"/>
    <cellStyle name="Normal 4 21 3 4 2 2" xfId="41934" xr:uid="{B03F9162-BD99-4D43-8907-5937D76A1BFB}"/>
    <cellStyle name="Normal 4 21 3 4 3" xfId="15563" xr:uid="{0F6FEF03-7850-4639-B8A6-E609097073D5}"/>
    <cellStyle name="Normal 4 21 3 5" xfId="9437" xr:uid="{00000000-0005-0000-0000-0000D51C0000}"/>
    <cellStyle name="Normal 4 21 3 5 2" xfId="41927" xr:uid="{21E2FB83-0D27-4F84-88C4-73BF56773FF8}"/>
    <cellStyle name="Normal 4 21 3 6" xfId="15556" xr:uid="{4E4893B7-5A35-4FB9-A468-E9D1C43E8542}"/>
    <cellStyle name="Normal 4 21 4" xfId="3914" xr:uid="{00000000-0005-0000-0000-00006A0F0000}"/>
    <cellStyle name="Normal 4 21 4 2" xfId="3915" xr:uid="{00000000-0005-0000-0000-00006B0F0000}"/>
    <cellStyle name="Normal 4 21 4 2 2" xfId="3916" xr:uid="{00000000-0005-0000-0000-00006C0F0000}"/>
    <cellStyle name="Normal 4 21 4 2 2 2" xfId="3917" xr:uid="{00000000-0005-0000-0000-00006D0F0000}"/>
    <cellStyle name="Normal 4 21 4 2 2 2 2" xfId="9448" xr:uid="{00000000-0005-0000-0000-0000E01C0000}"/>
    <cellStyle name="Normal 4 21 4 2 2 2 2 2" xfId="41938" xr:uid="{9690F559-F4AC-4F79-8898-087A85A770C2}"/>
    <cellStyle name="Normal 4 21 4 2 2 2 3" xfId="15567" xr:uid="{F2A7AD70-2373-416D-B2CB-D36EE121CE15}"/>
    <cellStyle name="Normal 4 21 4 2 2 3" xfId="9447" xr:uid="{00000000-0005-0000-0000-0000DF1C0000}"/>
    <cellStyle name="Normal 4 21 4 2 2 3 2" xfId="41937" xr:uid="{80C95AB5-D1F8-4979-9CBA-C0739AB39E2C}"/>
    <cellStyle name="Normal 4 21 4 2 2 4" xfId="15566" xr:uid="{A77C6A1B-B6FE-44FC-BD1D-01F87DA0F9A5}"/>
    <cellStyle name="Normal 4 21 4 2 3" xfId="3918" xr:uid="{00000000-0005-0000-0000-00006E0F0000}"/>
    <cellStyle name="Normal 4 21 4 2 3 2" xfId="9449" xr:uid="{00000000-0005-0000-0000-0000E11C0000}"/>
    <cellStyle name="Normal 4 21 4 2 3 2 2" xfId="41939" xr:uid="{8D7C20F2-BF34-4D35-891A-2B40AE07653C}"/>
    <cellStyle name="Normal 4 21 4 2 3 3" xfId="15568" xr:uid="{6EB4DBD3-CD07-4EFE-BC18-7039C433F091}"/>
    <cellStyle name="Normal 4 21 4 2 4" xfId="9446" xr:uid="{00000000-0005-0000-0000-0000DE1C0000}"/>
    <cellStyle name="Normal 4 21 4 2 4 2" xfId="41936" xr:uid="{AA0D4D24-B77D-4CD5-A246-F20E708536C6}"/>
    <cellStyle name="Normal 4 21 4 2 5" xfId="15565" xr:uid="{4F87B8CF-89A9-40A5-A3D1-BAE6A4222AE2}"/>
    <cellStyle name="Normal 4 21 4 3" xfId="3919" xr:uid="{00000000-0005-0000-0000-00006F0F0000}"/>
    <cellStyle name="Normal 4 21 4 3 2" xfId="3920" xr:uid="{00000000-0005-0000-0000-0000700F0000}"/>
    <cellStyle name="Normal 4 21 4 3 2 2" xfId="9451" xr:uid="{00000000-0005-0000-0000-0000E31C0000}"/>
    <cellStyle name="Normal 4 21 4 3 2 2 2" xfId="41941" xr:uid="{3E6A7C2B-4A8A-4B67-94EA-E0831A2B5625}"/>
    <cellStyle name="Normal 4 21 4 3 2 3" xfId="15570" xr:uid="{B878FD6E-8B27-4B63-AB2E-14E2D0CB91EE}"/>
    <cellStyle name="Normal 4 21 4 3 3" xfId="9450" xr:uid="{00000000-0005-0000-0000-0000E21C0000}"/>
    <cellStyle name="Normal 4 21 4 3 3 2" xfId="41940" xr:uid="{175C3562-0DCB-4C50-90C6-FE1DB1E88FC4}"/>
    <cellStyle name="Normal 4 21 4 3 4" xfId="15569" xr:uid="{5708DCC2-6B66-4960-8F7B-C893E44E9EA3}"/>
    <cellStyle name="Normal 4 21 4 4" xfId="3921" xr:uid="{00000000-0005-0000-0000-0000710F0000}"/>
    <cellStyle name="Normal 4 21 4 4 2" xfId="9452" xr:uid="{00000000-0005-0000-0000-0000E41C0000}"/>
    <cellStyle name="Normal 4 21 4 4 2 2" xfId="41942" xr:uid="{67BD95E7-79D1-4BE0-A57C-48E458F2F9E1}"/>
    <cellStyle name="Normal 4 21 4 4 3" xfId="15571" xr:uid="{D0074987-6C4C-44A5-9AC4-40EEA88256F4}"/>
    <cellStyle name="Normal 4 21 4 5" xfId="9445" xr:uid="{00000000-0005-0000-0000-0000DD1C0000}"/>
    <cellStyle name="Normal 4 21 4 5 2" xfId="41935" xr:uid="{9177C9E1-9794-4B99-BAAF-7286AB5E5526}"/>
    <cellStyle name="Normal 4 21 4 6" xfId="15564" xr:uid="{DB9F9B2C-B2AB-431E-8B01-C01B04FCF63D}"/>
    <cellStyle name="Normal 4 21 5" xfId="3922" xr:uid="{00000000-0005-0000-0000-0000720F0000}"/>
    <cellStyle name="Normal 4 21 5 2" xfId="3923" xr:uid="{00000000-0005-0000-0000-0000730F0000}"/>
    <cellStyle name="Normal 4 21 5 2 2" xfId="3924" xr:uid="{00000000-0005-0000-0000-0000740F0000}"/>
    <cellStyle name="Normal 4 21 5 2 2 2" xfId="9455" xr:uid="{00000000-0005-0000-0000-0000E71C0000}"/>
    <cellStyle name="Normal 4 21 5 2 2 2 2" xfId="41945" xr:uid="{16DDF79A-85E2-4EA9-98AC-337837E3B32D}"/>
    <cellStyle name="Normal 4 21 5 2 2 3" xfId="15574" xr:uid="{AA8661D1-F220-45E2-BA51-3949B9129BD1}"/>
    <cellStyle name="Normal 4 21 5 2 3" xfId="9454" xr:uid="{00000000-0005-0000-0000-0000E61C0000}"/>
    <cellStyle name="Normal 4 21 5 2 3 2" xfId="41944" xr:uid="{A7D58485-1F7B-4D43-960D-8690F6A34BFB}"/>
    <cellStyle name="Normal 4 21 5 2 4" xfId="15573" xr:uid="{5B9A8D8D-A373-4229-A97A-F958BA655F61}"/>
    <cellStyle name="Normal 4 21 5 3" xfId="3925" xr:uid="{00000000-0005-0000-0000-0000750F0000}"/>
    <cellStyle name="Normal 4 21 5 3 2" xfId="9456" xr:uid="{00000000-0005-0000-0000-0000E81C0000}"/>
    <cellStyle name="Normal 4 21 5 3 2 2" xfId="41946" xr:uid="{878E824C-3C7C-4FA8-B234-D625B4DAD1DF}"/>
    <cellStyle name="Normal 4 21 5 3 3" xfId="15575" xr:uid="{7338073A-FC15-45C2-976B-CBEF8EEC9A65}"/>
    <cellStyle name="Normal 4 21 5 4" xfId="9453" xr:uid="{00000000-0005-0000-0000-0000E51C0000}"/>
    <cellStyle name="Normal 4 21 5 4 2" xfId="41943" xr:uid="{0CCBA746-2BC8-4937-ADEE-72DA9E88C298}"/>
    <cellStyle name="Normal 4 21 5 5" xfId="15572" xr:uid="{C7765EF6-9152-4EA3-B648-E3847B9EEF57}"/>
    <cellStyle name="Normal 4 21 6" xfId="3926" xr:uid="{00000000-0005-0000-0000-0000760F0000}"/>
    <cellStyle name="Normal 4 21 6 2" xfId="3927" xr:uid="{00000000-0005-0000-0000-0000770F0000}"/>
    <cellStyle name="Normal 4 21 6 2 2" xfId="9458" xr:uid="{00000000-0005-0000-0000-0000EA1C0000}"/>
    <cellStyle name="Normal 4 21 6 2 2 2" xfId="41948" xr:uid="{45279853-9FA4-48F1-99AA-493A14B85DDF}"/>
    <cellStyle name="Normal 4 21 6 2 3" xfId="15577" xr:uid="{AE634A0A-AE91-4CD6-BE73-02F39B10F385}"/>
    <cellStyle name="Normal 4 21 6 3" xfId="9457" xr:uid="{00000000-0005-0000-0000-0000E91C0000}"/>
    <cellStyle name="Normal 4 21 6 3 2" xfId="41947" xr:uid="{A48E75F9-279C-4A06-8948-9E1F41C9B3EB}"/>
    <cellStyle name="Normal 4 21 6 4" xfId="15576" xr:uid="{6E0EEF72-0C67-49A1-AE8C-B5F1E5C88CE2}"/>
    <cellStyle name="Normal 4 21 7" xfId="3928" xr:uid="{00000000-0005-0000-0000-0000780F0000}"/>
    <cellStyle name="Normal 4 21 7 2" xfId="9459" xr:uid="{00000000-0005-0000-0000-0000EB1C0000}"/>
    <cellStyle name="Normal 4 21 7 2 2" xfId="41949" xr:uid="{A9EBECD7-6E56-4E9A-977F-058C8B1B57E3}"/>
    <cellStyle name="Normal 4 21 7 3" xfId="15578" xr:uid="{4C0F7309-28F6-47D9-878E-6BC384E35BB3}"/>
    <cellStyle name="Normal 4 21 8" xfId="3929" xr:uid="{00000000-0005-0000-0000-0000790F0000}"/>
    <cellStyle name="Normal 4 21 9" xfId="18084" xr:uid="{CBEF23FE-BD58-4295-9D4C-38689460901F}"/>
    <cellStyle name="Normal 4 22" xfId="3930" xr:uid="{00000000-0005-0000-0000-00007A0F0000}"/>
    <cellStyle name="Normal 4 22 2" xfId="3931" xr:uid="{00000000-0005-0000-0000-00007B0F0000}"/>
    <cellStyle name="Normal 4 22 2 2" xfId="3932" xr:uid="{00000000-0005-0000-0000-00007C0F0000}"/>
    <cellStyle name="Normal 4 22 2 2 2" xfId="3933" xr:uid="{00000000-0005-0000-0000-00007D0F0000}"/>
    <cellStyle name="Normal 4 22 2 2 2 2" xfId="9464" xr:uid="{00000000-0005-0000-0000-0000EE1C0000}"/>
    <cellStyle name="Normal 4 22 2 2 2 2 2" xfId="41954" xr:uid="{00026CC2-5475-4F61-AB74-078020D594BD}"/>
    <cellStyle name="Normal 4 22 2 2 2 3" xfId="15583" xr:uid="{DBE3EBC2-D778-4B13-8DBC-29B758C4DE21}"/>
    <cellStyle name="Normal 4 22 2 2 3" xfId="9463" xr:uid="{00000000-0005-0000-0000-0000ED1C0000}"/>
    <cellStyle name="Normal 4 22 2 2 3 2" xfId="41953" xr:uid="{094533C7-694E-4713-B656-19161A3D396B}"/>
    <cellStyle name="Normal 4 22 2 2 4" xfId="15582" xr:uid="{8C42D8A4-61A1-4D4C-8DD3-0338E39F63C6}"/>
    <cellStyle name="Normal 4 22 2 3" xfId="3934" xr:uid="{00000000-0005-0000-0000-00007E0F0000}"/>
    <cellStyle name="Normal 4 22 2 3 2" xfId="9465" xr:uid="{00000000-0005-0000-0000-0000EF1C0000}"/>
    <cellStyle name="Normal 4 22 2 3 2 2" xfId="41955" xr:uid="{BFD30409-6A31-4958-875C-EC42DCAF8D4E}"/>
    <cellStyle name="Normal 4 22 2 3 3" xfId="15584" xr:uid="{E4929E1C-37A0-4812-A228-6B00D465B027}"/>
    <cellStyle name="Normal 4 22 2 4" xfId="9462" xr:uid="{00000000-0005-0000-0000-0000EC1C0000}"/>
    <cellStyle name="Normal 4 22 2 4 2" xfId="41952" xr:uid="{889F3A33-6EB2-4E42-AE14-C091B46BB297}"/>
    <cellStyle name="Normal 4 22 2 5" xfId="15581" xr:uid="{24FA9B5D-7915-4615-BE88-B6C8D2F64FF7}"/>
    <cellStyle name="Normal 4 22 3" xfId="3935" xr:uid="{00000000-0005-0000-0000-00007F0F0000}"/>
    <cellStyle name="Normal 4 22 3 2" xfId="3936" xr:uid="{00000000-0005-0000-0000-0000800F0000}"/>
    <cellStyle name="Normal 4 22 3 2 2" xfId="9467" xr:uid="{00000000-0005-0000-0000-0000F11C0000}"/>
    <cellStyle name="Normal 4 22 3 2 2 2" xfId="41957" xr:uid="{6E3D924D-77A3-4449-BD17-69EA1E212CD0}"/>
    <cellStyle name="Normal 4 22 3 2 3" xfId="15586" xr:uid="{0DD585B5-D9CE-45B7-8F14-17F52D6E72E1}"/>
    <cellStyle name="Normal 4 22 3 3" xfId="9466" xr:uid="{00000000-0005-0000-0000-0000F01C0000}"/>
    <cellStyle name="Normal 4 22 3 3 2" xfId="41956" xr:uid="{917BCDB5-92F4-48FB-BA63-3EBD8169CB16}"/>
    <cellStyle name="Normal 4 22 3 4" xfId="15585" xr:uid="{6FC6D3F1-0688-456C-BDDE-FC315F8F0A6E}"/>
    <cellStyle name="Normal 4 22 4" xfId="3937" xr:uid="{00000000-0005-0000-0000-0000810F0000}"/>
    <cellStyle name="Normal 4 22 4 2" xfId="9468" xr:uid="{00000000-0005-0000-0000-0000F21C0000}"/>
    <cellStyle name="Normal 4 22 4 2 2" xfId="41958" xr:uid="{05CC5BFC-5E58-466A-BCCD-2A8EF8E4F33E}"/>
    <cellStyle name="Normal 4 22 4 3" xfId="15587" xr:uid="{CCBEDAF5-12EC-4D92-8C20-9DD41B6C876D}"/>
    <cellStyle name="Normal 4 22 5" xfId="3938" xr:uid="{00000000-0005-0000-0000-0000820F0000}"/>
    <cellStyle name="Normal 4 22 6" xfId="18085" xr:uid="{D8B0D27E-3927-4ECB-9E87-C14726197ADE}"/>
    <cellStyle name="Normal 4 23" xfId="3939" xr:uid="{00000000-0005-0000-0000-0000830F0000}"/>
    <cellStyle name="Normal 4 23 2" xfId="3940" xr:uid="{00000000-0005-0000-0000-0000840F0000}"/>
    <cellStyle name="Normal 4 23 2 2" xfId="3941" xr:uid="{00000000-0005-0000-0000-0000850F0000}"/>
    <cellStyle name="Normal 4 23 2 2 2" xfId="3942" xr:uid="{00000000-0005-0000-0000-0000860F0000}"/>
    <cellStyle name="Normal 4 23 2 2 2 2" xfId="9473" xr:uid="{00000000-0005-0000-0000-0000F51C0000}"/>
    <cellStyle name="Normal 4 23 2 2 2 2 2" xfId="41962" xr:uid="{0202EC3B-E94E-42CA-9B30-08B5DAAE088E}"/>
    <cellStyle name="Normal 4 23 2 2 2 3" xfId="15592" xr:uid="{6899C981-E2F0-4943-AFDF-ADF7A6C1F4B0}"/>
    <cellStyle name="Normal 4 23 2 2 3" xfId="9472" xr:uid="{00000000-0005-0000-0000-0000F41C0000}"/>
    <cellStyle name="Normal 4 23 2 2 3 2" xfId="41961" xr:uid="{5469813C-B5AD-4DCF-9139-3B6C8B78A637}"/>
    <cellStyle name="Normal 4 23 2 2 4" xfId="15591" xr:uid="{88880370-4C14-4029-B5BF-9FBAA3F6379E}"/>
    <cellStyle name="Normal 4 23 2 3" xfId="3943" xr:uid="{00000000-0005-0000-0000-0000870F0000}"/>
    <cellStyle name="Normal 4 23 2 3 2" xfId="9474" xr:uid="{00000000-0005-0000-0000-0000F61C0000}"/>
    <cellStyle name="Normal 4 23 2 3 2 2" xfId="41963" xr:uid="{120407EB-7538-449E-AFAA-FAFCEBD1EA8F}"/>
    <cellStyle name="Normal 4 23 2 3 3" xfId="15593" xr:uid="{3D7D8B2C-2AAD-4902-84DC-22B16B859F94}"/>
    <cellStyle name="Normal 4 23 2 4" xfId="9471" xr:uid="{00000000-0005-0000-0000-0000F31C0000}"/>
    <cellStyle name="Normal 4 23 2 4 2" xfId="41960" xr:uid="{37FAE981-ACB8-4F1C-9DF6-825BAEB75AD5}"/>
    <cellStyle name="Normal 4 23 2 5" xfId="15590" xr:uid="{FCB3BB40-0E2E-4639-9BB4-202E3FB0938B}"/>
    <cellStyle name="Normal 4 23 3" xfId="3944" xr:uid="{00000000-0005-0000-0000-0000880F0000}"/>
    <cellStyle name="Normal 4 23 3 2" xfId="3945" xr:uid="{00000000-0005-0000-0000-0000890F0000}"/>
    <cellStyle name="Normal 4 23 3 2 2" xfId="9476" xr:uid="{00000000-0005-0000-0000-0000F81C0000}"/>
    <cellStyle name="Normal 4 23 3 2 2 2" xfId="41965" xr:uid="{7C9489E8-A4C1-4DAE-A904-A6D6A3D47C11}"/>
    <cellStyle name="Normal 4 23 3 2 3" xfId="15595" xr:uid="{CA2B7A33-8A9D-47BB-B072-F1560EBD8560}"/>
    <cellStyle name="Normal 4 23 3 3" xfId="9475" xr:uid="{00000000-0005-0000-0000-0000F71C0000}"/>
    <cellStyle name="Normal 4 23 3 3 2" xfId="41964" xr:uid="{3928FB78-9B96-4AFB-9DF3-F84825AC4A6E}"/>
    <cellStyle name="Normal 4 23 3 4" xfId="15594" xr:uid="{D8150FF5-98AA-4FEE-93A5-19B48BDB2D69}"/>
    <cellStyle name="Normal 4 23 4" xfId="3946" xr:uid="{00000000-0005-0000-0000-00008A0F0000}"/>
    <cellStyle name="Normal 4 23 4 2" xfId="9477" xr:uid="{00000000-0005-0000-0000-0000F91C0000}"/>
    <cellStyle name="Normal 4 23 4 2 2" xfId="41966" xr:uid="{2B145389-BB5B-4EC5-8AD7-C611D45766D6}"/>
    <cellStyle name="Normal 4 23 4 3" xfId="15596" xr:uid="{3E7532DD-780B-4DBB-92EA-D8E06C926453}"/>
    <cellStyle name="Normal 4 23 5" xfId="3947" xr:uid="{00000000-0005-0000-0000-00008B0F0000}"/>
    <cellStyle name="Normal 4 23 6" xfId="18086" xr:uid="{E3D278D5-A6F8-4E00-B903-8DF3AD82AF0C}"/>
    <cellStyle name="Normal 4 24" xfId="3948" xr:uid="{00000000-0005-0000-0000-00008C0F0000}"/>
    <cellStyle name="Normal 4 24 2" xfId="3949" xr:uid="{00000000-0005-0000-0000-00008D0F0000}"/>
    <cellStyle name="Normal 4 24 2 2" xfId="3950" xr:uid="{00000000-0005-0000-0000-00008E0F0000}"/>
    <cellStyle name="Normal 4 24 2 2 2" xfId="3951" xr:uid="{00000000-0005-0000-0000-00008F0F0000}"/>
    <cellStyle name="Normal 4 24 2 2 2 2" xfId="9482" xr:uid="{00000000-0005-0000-0000-0000FC1C0000}"/>
    <cellStyle name="Normal 4 24 2 2 2 2 2" xfId="41971" xr:uid="{688A60D7-CE5D-4750-B12E-6EA87A990639}"/>
    <cellStyle name="Normal 4 24 2 2 2 3" xfId="15599" xr:uid="{0A8EA205-2DD4-4DA3-9421-FF2C305795FA}"/>
    <cellStyle name="Normal 4 24 2 2 3" xfId="9481" xr:uid="{00000000-0005-0000-0000-0000FB1C0000}"/>
    <cellStyle name="Normal 4 24 2 2 3 2" xfId="41970" xr:uid="{E5B127BE-838A-416F-9E65-C16572F7B7B2}"/>
    <cellStyle name="Normal 4 24 2 2 4" xfId="15598" xr:uid="{A6E20961-E3AD-4A15-ABAF-B49B65F5425B}"/>
    <cellStyle name="Normal 4 24 2 3" xfId="3952" xr:uid="{00000000-0005-0000-0000-0000900F0000}"/>
    <cellStyle name="Normal 4 24 2 3 2" xfId="9483" xr:uid="{00000000-0005-0000-0000-0000FD1C0000}"/>
    <cellStyle name="Normal 4 24 2 3 2 2" xfId="41972" xr:uid="{7D5B1EE8-A764-4334-BB4F-DF07F65A96C7}"/>
    <cellStyle name="Normal 4 24 2 3 3" xfId="15600" xr:uid="{23D628D2-3534-4B46-91FE-F51B071D72E1}"/>
    <cellStyle name="Normal 4 24 2 4" xfId="9480" xr:uid="{00000000-0005-0000-0000-0000FA1C0000}"/>
    <cellStyle name="Normal 4 24 2 4 2" xfId="41969" xr:uid="{4AAE0A39-C688-4457-8703-6E7311FD24E5}"/>
    <cellStyle name="Normal 4 24 2 5" xfId="15597" xr:uid="{F63220E1-F93F-4CEA-B345-E0C4716360FF}"/>
    <cellStyle name="Normal 4 24 3" xfId="3953" xr:uid="{00000000-0005-0000-0000-0000910F0000}"/>
    <cellStyle name="Normal 4 24 3 2" xfId="3954" xr:uid="{00000000-0005-0000-0000-0000920F0000}"/>
    <cellStyle name="Normal 4 24 3 2 2" xfId="9485" xr:uid="{00000000-0005-0000-0000-0000FF1C0000}"/>
    <cellStyle name="Normal 4 24 3 2 2 2" xfId="41974" xr:uid="{F9C07122-6E35-405B-8529-C35DE90CEA95}"/>
    <cellStyle name="Normal 4 24 3 2 3" xfId="15602" xr:uid="{15F3D7D2-D4E1-4E3D-B8A3-69A8FEA9BC39}"/>
    <cellStyle name="Normal 4 24 3 3" xfId="9484" xr:uid="{00000000-0005-0000-0000-0000FE1C0000}"/>
    <cellStyle name="Normal 4 24 3 3 2" xfId="41973" xr:uid="{86924386-5CEF-43A7-9AC2-F3777F21CB54}"/>
    <cellStyle name="Normal 4 24 3 4" xfId="15601" xr:uid="{AC8C2C8B-7650-4409-85CE-683C7573CCBE}"/>
    <cellStyle name="Normal 4 24 4" xfId="3955" xr:uid="{00000000-0005-0000-0000-0000930F0000}"/>
    <cellStyle name="Normal 4 24 4 2" xfId="9486" xr:uid="{00000000-0005-0000-0000-0000001D0000}"/>
    <cellStyle name="Normal 4 24 4 2 2" xfId="41975" xr:uid="{9E3E65C4-8B91-4DAA-8006-D095FFA2C373}"/>
    <cellStyle name="Normal 4 24 4 3" xfId="15603" xr:uid="{70DE84FE-7A1A-4882-8963-A9029CE39B57}"/>
    <cellStyle name="Normal 4 24 5" xfId="3956" xr:uid="{00000000-0005-0000-0000-0000940F0000}"/>
    <cellStyle name="Normal 4 24 6" xfId="18087" xr:uid="{FCCDC711-2EB7-4964-9FA7-BA764F55CFEA}"/>
    <cellStyle name="Normal 4 25" xfId="3957" xr:uid="{00000000-0005-0000-0000-0000950F0000}"/>
    <cellStyle name="Normal 4 25 2" xfId="3958" xr:uid="{00000000-0005-0000-0000-0000960F0000}"/>
    <cellStyle name="Normal 4 25 2 2" xfId="3959" xr:uid="{00000000-0005-0000-0000-0000970F0000}"/>
    <cellStyle name="Normal 4 25 2 2 2" xfId="9490" xr:uid="{00000000-0005-0000-0000-0000021D0000}"/>
    <cellStyle name="Normal 4 25 2 2 2 2" xfId="41979" xr:uid="{EF8AF879-2C8F-43A6-9E4A-460A49A1BC22}"/>
    <cellStyle name="Normal 4 25 2 2 3" xfId="15607" xr:uid="{6C808DDD-3D91-46C4-BDDA-0E6CFEF6F389}"/>
    <cellStyle name="Normal 4 25 2 3" xfId="9489" xr:uid="{00000000-0005-0000-0000-0000011D0000}"/>
    <cellStyle name="Normal 4 25 2 3 2" xfId="41978" xr:uid="{AF37BC49-9767-445F-843F-1BEBE5A7CCA9}"/>
    <cellStyle name="Normal 4 25 2 4" xfId="15606" xr:uid="{5562249D-5389-4357-A7D9-E22CF1E794A4}"/>
    <cellStyle name="Normal 4 25 3" xfId="3960" xr:uid="{00000000-0005-0000-0000-0000980F0000}"/>
    <cellStyle name="Normal 4 25 3 2" xfId="9491" xr:uid="{00000000-0005-0000-0000-0000031D0000}"/>
    <cellStyle name="Normal 4 25 3 2 2" xfId="41980" xr:uid="{6147078E-B548-48BD-9F79-F6F4A943CB18}"/>
    <cellStyle name="Normal 4 25 3 3" xfId="15608" xr:uid="{BD8A92DF-455A-40F3-AF12-43CCA6D52884}"/>
    <cellStyle name="Normal 4 25 4" xfId="3961" xr:uid="{00000000-0005-0000-0000-0000990F0000}"/>
    <cellStyle name="Normal 4 25 5" xfId="18088" xr:uid="{B0047575-5C0A-401F-91D8-87864D5B4E05}"/>
    <cellStyle name="Normal 4 26" xfId="3962" xr:uid="{00000000-0005-0000-0000-00009A0F0000}"/>
    <cellStyle name="Normal 4 26 2" xfId="3963" xr:uid="{00000000-0005-0000-0000-00009B0F0000}"/>
    <cellStyle name="Normal 4 26 3" xfId="18089" xr:uid="{909CFC4B-A213-432B-82FF-3FC637A02898}"/>
    <cellStyle name="Normal 4 27" xfId="3964" xr:uid="{00000000-0005-0000-0000-00009C0F0000}"/>
    <cellStyle name="Normal 4 27 2" xfId="3965" xr:uid="{00000000-0005-0000-0000-00009D0F0000}"/>
    <cellStyle name="Normal 4 27 2 2" xfId="3966" xr:uid="{00000000-0005-0000-0000-00009E0F0000}"/>
    <cellStyle name="Normal 4 27 2 2 2" xfId="9497" xr:uid="{00000000-0005-0000-0000-0000051D0000}"/>
    <cellStyle name="Normal 4 27 2 2 2 2" xfId="41986" xr:uid="{F1EBB34D-2120-4122-93DB-E6E644206529}"/>
    <cellStyle name="Normal 4 27 2 2 3" xfId="15614" xr:uid="{922C8DB2-0465-4272-B980-47B9F0FA42B5}"/>
    <cellStyle name="Normal 4 27 2 3" xfId="9496" xr:uid="{00000000-0005-0000-0000-0000041D0000}"/>
    <cellStyle name="Normal 4 27 2 3 2" xfId="41985" xr:uid="{4A32B5E3-F201-44F0-BA57-0E921427D9EE}"/>
    <cellStyle name="Normal 4 27 2 4" xfId="15613" xr:uid="{DB36FD98-64B4-4648-9589-472B112FAAC0}"/>
    <cellStyle name="Normal 4 27 3" xfId="3967" xr:uid="{00000000-0005-0000-0000-00009F0F0000}"/>
    <cellStyle name="Normal 4 27 3 2" xfId="9498" xr:uid="{00000000-0005-0000-0000-0000061D0000}"/>
    <cellStyle name="Normal 4 27 3 2 2" xfId="41987" xr:uid="{8FB54571-0581-4549-987F-031DCC197913}"/>
    <cellStyle name="Normal 4 27 3 3" xfId="15615" xr:uid="{38722BE3-A95A-439B-8D3A-E5D3601D8812}"/>
    <cellStyle name="Normal 4 27 4" xfId="3968" xr:uid="{00000000-0005-0000-0000-0000A00F0000}"/>
    <cellStyle name="Normal 4 27 5" xfId="18090" xr:uid="{D8892E9A-AB87-4218-A1F2-322F2BFE9FF2}"/>
    <cellStyle name="Normal 4 28" xfId="3969" xr:uid="{00000000-0005-0000-0000-0000A10F0000}"/>
    <cellStyle name="Normal 4 28 2" xfId="3970" xr:uid="{00000000-0005-0000-0000-0000A20F0000}"/>
    <cellStyle name="Normal 4 28 2 2" xfId="9501" xr:uid="{00000000-0005-0000-0000-0000071D0000}"/>
    <cellStyle name="Normal 4 28 2 2 2" xfId="41990" xr:uid="{72AE064B-724C-46A1-A5EC-DBF88D6D2666}"/>
    <cellStyle name="Normal 4 28 2 3" xfId="15617" xr:uid="{55E3FBD2-753B-4103-93D8-D8C9B9F34B8A}"/>
    <cellStyle name="Normal 4 28 3" xfId="3971" xr:uid="{00000000-0005-0000-0000-0000A30F0000}"/>
    <cellStyle name="Normal 4 28 4" xfId="18091" xr:uid="{79D797E3-AAF7-4851-BE29-831FCE632389}"/>
    <cellStyle name="Normal 4 29" xfId="3972" xr:uid="{00000000-0005-0000-0000-0000A40F0000}"/>
    <cellStyle name="Normal 4 29 2" xfId="3973" xr:uid="{00000000-0005-0000-0000-0000A50F0000}"/>
    <cellStyle name="Normal 4 29 3" xfId="18092" xr:uid="{3295E924-9824-4460-BA69-AC6E7CD7796D}"/>
    <cellStyle name="Normal 4 3" xfId="3974" xr:uid="{00000000-0005-0000-0000-0000A60F0000}"/>
    <cellStyle name="Normal 4 3 2" xfId="3975" xr:uid="{00000000-0005-0000-0000-0000A70F0000}"/>
    <cellStyle name="Normal 4 3 2 2" xfId="3976" xr:uid="{00000000-0005-0000-0000-0000A80F0000}"/>
    <cellStyle name="Normal 4 3 2 2 2" xfId="3977" xr:uid="{00000000-0005-0000-0000-0000A90F0000}"/>
    <cellStyle name="Normal 4 3 2 3" xfId="3978" xr:uid="{00000000-0005-0000-0000-0000AA0F0000}"/>
    <cellStyle name="Normal 4 3 2 4" xfId="3979" xr:uid="{00000000-0005-0000-0000-0000AB0F0000}"/>
    <cellStyle name="Normal 4 3 3" xfId="3980" xr:uid="{00000000-0005-0000-0000-0000AC0F0000}"/>
    <cellStyle name="Normal 4 3 4" xfId="3981" xr:uid="{00000000-0005-0000-0000-0000AD0F0000}"/>
    <cellStyle name="Normal 4 3 5" xfId="3982" xr:uid="{00000000-0005-0000-0000-0000AE0F0000}"/>
    <cellStyle name="Normal 4 3 5 2" xfId="9512" xr:uid="{00000000-0005-0000-0000-0000081D0000}"/>
    <cellStyle name="Normal 4 3 5 2 2" xfId="42001" xr:uid="{60358A0B-77C5-433D-BBFF-BA5F4A1BCF7D}"/>
    <cellStyle name="Normal 4 3 5 3" xfId="17296" xr:uid="{E4B91A7D-14E1-4405-AB03-3A3350D0A675}"/>
    <cellStyle name="Normal 4 3 6" xfId="18093" xr:uid="{0F168257-2EB2-47EF-ABE4-A1EA1C7D4E30}"/>
    <cellStyle name="Normal 4 30" xfId="3983" xr:uid="{00000000-0005-0000-0000-0000AF0F0000}"/>
    <cellStyle name="Normal 4 30 2" xfId="3984" xr:uid="{00000000-0005-0000-0000-0000B00F0000}"/>
    <cellStyle name="Normal 4 30 3" xfId="18094" xr:uid="{25D13DA9-F4F8-443E-8455-E214D916AF1C}"/>
    <cellStyle name="Normal 4 31" xfId="3985" xr:uid="{00000000-0005-0000-0000-0000B10F0000}"/>
    <cellStyle name="Normal 4 31 2" xfId="3986" xr:uid="{00000000-0005-0000-0000-0000B20F0000}"/>
    <cellStyle name="Normal 4 31 3" xfId="18095" xr:uid="{AFAE59C2-870D-4C64-AC67-6949A5492FB3}"/>
    <cellStyle name="Normal 4 32" xfId="3987" xr:uid="{00000000-0005-0000-0000-0000B30F0000}"/>
    <cellStyle name="Normal 4 32 2" xfId="3988" xr:uid="{00000000-0005-0000-0000-0000B40F0000}"/>
    <cellStyle name="Normal 4 32 3" xfId="18096" xr:uid="{7D27F912-124D-41A3-B2E2-AF722BAC1817}"/>
    <cellStyle name="Normal 4 33" xfId="3989" xr:uid="{00000000-0005-0000-0000-0000B50F0000}"/>
    <cellStyle name="Normal 4 33 2" xfId="3990" xr:uid="{00000000-0005-0000-0000-0000B60F0000}"/>
    <cellStyle name="Normal 4 33 3" xfId="9517" xr:uid="{00000000-0005-0000-0000-0000091D0000}"/>
    <cellStyle name="Normal 4 33 3 2" xfId="18097" xr:uid="{80A9FDAC-83F9-45FE-9773-C95233DCD0F2}"/>
    <cellStyle name="Normal 4 33 4" xfId="15628" xr:uid="{6BC8C165-FF7D-4458-8D34-F021A8C23233}"/>
    <cellStyle name="Normal 4 34" xfId="3991" xr:uid="{00000000-0005-0000-0000-0000B70F0000}"/>
    <cellStyle name="Normal 4 35" xfId="3992" xr:uid="{00000000-0005-0000-0000-0000B80F0000}"/>
    <cellStyle name="Normal 4 36" xfId="3993" xr:uid="{00000000-0005-0000-0000-0000B90F0000}"/>
    <cellStyle name="Normal 4 37" xfId="3994" xr:uid="{00000000-0005-0000-0000-0000BA0F0000}"/>
    <cellStyle name="Normal 4 37 2" xfId="9519" xr:uid="{00000000-0005-0000-0000-00000A1D0000}"/>
    <cellStyle name="Normal 4 37 2 2" xfId="42008" xr:uid="{0C4D1128-3D6D-4B1A-9678-6075D71FCC5E}"/>
    <cellStyle name="Normal 4 38" xfId="3995" xr:uid="{00000000-0005-0000-0000-0000BB0F0000}"/>
    <cellStyle name="Normal 4 38 2" xfId="9520" xr:uid="{00000000-0005-0000-0000-00000B1D0000}"/>
    <cellStyle name="Normal 4 38 2 2" xfId="42009" xr:uid="{460831A1-4050-48E9-A4E3-E7CE3C017009}"/>
    <cellStyle name="Normal 4 39" xfId="3996" xr:uid="{00000000-0005-0000-0000-0000BC0F0000}"/>
    <cellStyle name="Normal 4 39 2" xfId="9521" xr:uid="{00000000-0005-0000-0000-00000C1D0000}"/>
    <cellStyle name="Normal 4 39 2 2" xfId="42010" xr:uid="{EBE32F5C-CC88-4411-9132-4744F29FCF28}"/>
    <cellStyle name="Normal 4 39 3" xfId="5572" xr:uid="{00000000-0005-0000-0000-0000480C0000}"/>
    <cellStyle name="Normal 4 39 4" xfId="38035" xr:uid="{34FE3A69-187E-495C-8F19-9BAB47717D62}"/>
    <cellStyle name="Normal 4 4" xfId="3997" xr:uid="{00000000-0005-0000-0000-0000BD0F0000}"/>
    <cellStyle name="Normal 4 4 2" xfId="3998" xr:uid="{00000000-0005-0000-0000-0000BE0F0000}"/>
    <cellStyle name="Normal 4 4 2 2" xfId="9523" xr:uid="{00000000-0005-0000-0000-00000E1D0000}"/>
    <cellStyle name="Normal 4 4 2 2 2" xfId="42012" xr:uid="{0820CE1D-9FD1-450E-9907-2D6E258071E6}"/>
    <cellStyle name="Normal 4 4 2 3" xfId="5574" xr:uid="{00000000-0005-0000-0000-00004A0C0000}"/>
    <cellStyle name="Normal 4 4 2 4" xfId="38037" xr:uid="{8DB1BFCB-D77A-4942-89E0-2BEEA2DFBB1C}"/>
    <cellStyle name="Normal 4 4 3" xfId="3999" xr:uid="{00000000-0005-0000-0000-0000BF0F0000}"/>
    <cellStyle name="Normal 4 4 3 2" xfId="9524" xr:uid="{00000000-0005-0000-0000-00000F1D0000}"/>
    <cellStyle name="Normal 4 4 3 2 2" xfId="42013" xr:uid="{97FE017A-03CC-45CE-A1D0-B72859AEC50D}"/>
    <cellStyle name="Normal 4 4 3 3" xfId="5575" xr:uid="{00000000-0005-0000-0000-00004B0C0000}"/>
    <cellStyle name="Normal 4 4 3 4" xfId="38038" xr:uid="{241A3F7E-1CE1-43C7-AC7E-7D0135A1E72C}"/>
    <cellStyle name="Normal 4 4 4" xfId="4000" xr:uid="{00000000-0005-0000-0000-0000C00F0000}"/>
    <cellStyle name="Normal 4 4 4 2" xfId="9525" xr:uid="{00000000-0005-0000-0000-0000101D0000}"/>
    <cellStyle name="Normal 4 4 4 2 2" xfId="42014" xr:uid="{C8025D60-68EF-4DF9-B087-4FA1C3B27654}"/>
    <cellStyle name="Normal 4 4 4 3" xfId="5576" xr:uid="{00000000-0005-0000-0000-00004C0C0000}"/>
    <cellStyle name="Normal 4 4 4 4" xfId="38039" xr:uid="{5E584E03-59B8-45BB-B97C-17AEF05CEF7E}"/>
    <cellStyle name="Normal 4 4 5" xfId="9522" xr:uid="{00000000-0005-0000-0000-00000D1D0000}"/>
    <cellStyle name="Normal 4 4 5 2" xfId="18098" xr:uid="{01A40940-CB9F-4729-99E2-28235ACAA17D}"/>
    <cellStyle name="Normal 4 4 5 3" xfId="42011" xr:uid="{AE320446-4C60-435C-80CA-94E0FF83FBAC}"/>
    <cellStyle name="Normal 4 4 6" xfId="5573" xr:uid="{00000000-0005-0000-0000-0000490C0000}"/>
    <cellStyle name="Normal 4 4 7" xfId="38036" xr:uid="{2247A955-CA32-4A39-8FC7-7608FCBB6954}"/>
    <cellStyle name="Normal 4 40" xfId="4001" xr:uid="{00000000-0005-0000-0000-0000C10F0000}"/>
    <cellStyle name="Normal 4 40 2" xfId="9526" xr:uid="{00000000-0005-0000-0000-0000111D0000}"/>
    <cellStyle name="Normal 4 40 2 2" xfId="42015" xr:uid="{62F58E22-5E23-4FCD-8221-267D735C492B}"/>
    <cellStyle name="Normal 4 40 3" xfId="5577" xr:uid="{00000000-0005-0000-0000-00004D0C0000}"/>
    <cellStyle name="Normal 4 40 4" xfId="38040" xr:uid="{5AEB16F6-43BE-407A-8666-B6694EA2EB56}"/>
    <cellStyle name="Normal 4 41" xfId="4002" xr:uid="{00000000-0005-0000-0000-0000C20F0000}"/>
    <cellStyle name="Normal 4 41 2" xfId="9527" xr:uid="{00000000-0005-0000-0000-0000121D0000}"/>
    <cellStyle name="Normal 4 41 2 2" xfId="42016" xr:uid="{8AC4B405-ADC4-4D31-BD1A-110665A3B70E}"/>
    <cellStyle name="Normal 4 41 3" xfId="5578" xr:uid="{00000000-0005-0000-0000-00004E0C0000}"/>
    <cellStyle name="Normal 4 41 4" xfId="38041" xr:uid="{A8A9113A-08AF-4216-B15D-7DF1255AA992}"/>
    <cellStyle name="Normal 4 42" xfId="4003" xr:uid="{00000000-0005-0000-0000-0000C30F0000}"/>
    <cellStyle name="Normal 4 42 2" xfId="9528" xr:uid="{00000000-0005-0000-0000-0000131D0000}"/>
    <cellStyle name="Normal 4 42 2 2" xfId="42017" xr:uid="{C3EFCB81-707F-4449-8CA6-BCF166BC916F}"/>
    <cellStyle name="Normal 4 42 3" xfId="5579" xr:uid="{00000000-0005-0000-0000-00004F0C0000}"/>
    <cellStyle name="Normal 4 42 4" xfId="38042" xr:uid="{20F53D51-E95C-4B0C-B41A-B4733090000C}"/>
    <cellStyle name="Normal 4 43" xfId="4004" xr:uid="{00000000-0005-0000-0000-0000C40F0000}"/>
    <cellStyle name="Normal 4 43 2" xfId="9529" xr:uid="{00000000-0005-0000-0000-0000141D0000}"/>
    <cellStyle name="Normal 4 43 2 2" xfId="42018" xr:uid="{0F5BBB80-6FE9-434C-95EA-9AAB8AAB0966}"/>
    <cellStyle name="Normal 4 43 3" xfId="5580" xr:uid="{00000000-0005-0000-0000-0000500C0000}"/>
    <cellStyle name="Normal 4 43 4" xfId="38043" xr:uid="{A2A18778-7453-43D6-953D-EE9728CF8320}"/>
    <cellStyle name="Normal 4 44" xfId="4005" xr:uid="{00000000-0005-0000-0000-0000C50F0000}"/>
    <cellStyle name="Normal 4 44 2" xfId="9530" xr:uid="{00000000-0005-0000-0000-0000151D0000}"/>
    <cellStyle name="Normal 4 44 2 2" xfId="42019" xr:uid="{DD2CE0D6-69DE-4AD0-8E55-E8D1275019E2}"/>
    <cellStyle name="Normal 4 44 3" xfId="5581" xr:uid="{00000000-0005-0000-0000-0000510C0000}"/>
    <cellStyle name="Normal 4 44 4" xfId="38044" xr:uid="{D33F7743-ADF2-4245-8D90-9AD82BF1F530}"/>
    <cellStyle name="Normal 4 45" xfId="4006" xr:uid="{00000000-0005-0000-0000-0000C60F0000}"/>
    <cellStyle name="Normal 4 45 2" xfId="9531" xr:uid="{00000000-0005-0000-0000-0000161D0000}"/>
    <cellStyle name="Normal 4 45 2 2" xfId="42020" xr:uid="{37D78AD6-C134-428B-9A3E-32E58A2FBC65}"/>
    <cellStyle name="Normal 4 45 3" xfId="5582" xr:uid="{00000000-0005-0000-0000-0000520C0000}"/>
    <cellStyle name="Normal 4 45 4" xfId="38045" xr:uid="{BA2C8923-D29E-40BF-AA4F-20394629A759}"/>
    <cellStyle name="Normal 4 46" xfId="4007" xr:uid="{00000000-0005-0000-0000-0000C70F0000}"/>
    <cellStyle name="Normal 4 46 2" xfId="9532" xr:uid="{00000000-0005-0000-0000-0000171D0000}"/>
    <cellStyle name="Normal 4 46 2 2" xfId="42021" xr:uid="{AD55E214-13DD-41FC-85FA-55ECC52B7087}"/>
    <cellStyle name="Normal 4 46 3" xfId="5583" xr:uid="{00000000-0005-0000-0000-0000530C0000}"/>
    <cellStyle name="Normal 4 46 4" xfId="38046" xr:uid="{24CD3414-4139-4204-A0B7-6DE985998319}"/>
    <cellStyle name="Normal 4 47" xfId="4008" xr:uid="{00000000-0005-0000-0000-0000C80F0000}"/>
    <cellStyle name="Normal 4 47 2" xfId="9533" xr:uid="{00000000-0005-0000-0000-0000181D0000}"/>
    <cellStyle name="Normal 4 47 2 2" xfId="42022" xr:uid="{E15D2620-DA09-4FE0-9BF4-980AE1E5083B}"/>
    <cellStyle name="Normal 4 47 3" xfId="5584" xr:uid="{00000000-0005-0000-0000-0000540C0000}"/>
    <cellStyle name="Normal 4 47 4" xfId="38047" xr:uid="{8AAFEB7F-B627-4A7D-8C68-A36AA962C320}"/>
    <cellStyle name="Normal 4 48" xfId="4009" xr:uid="{00000000-0005-0000-0000-0000C90F0000}"/>
    <cellStyle name="Normal 4 48 2" xfId="9534" xr:uid="{00000000-0005-0000-0000-0000191D0000}"/>
    <cellStyle name="Normal 4 48 2 2" xfId="42023" xr:uid="{0FD3BC6C-51A8-47DE-A762-DBCF6393DEB5}"/>
    <cellStyle name="Normal 4 48 3" xfId="5585" xr:uid="{00000000-0005-0000-0000-0000550C0000}"/>
    <cellStyle name="Normal 4 48 4" xfId="38048" xr:uid="{A54C7E2D-8BC8-46F8-8511-CA78D3933675}"/>
    <cellStyle name="Normal 4 49" xfId="4010" xr:uid="{00000000-0005-0000-0000-0000CA0F0000}"/>
    <cellStyle name="Normal 4 49 2" xfId="9535" xr:uid="{00000000-0005-0000-0000-00001A1D0000}"/>
    <cellStyle name="Normal 4 49 2 2" xfId="42024" xr:uid="{2CF147E6-8223-42AC-9AA8-FDA3923BDD24}"/>
    <cellStyle name="Normal 4 49 3" xfId="5586" xr:uid="{00000000-0005-0000-0000-0000560C0000}"/>
    <cellStyle name="Normal 4 49 4" xfId="38049" xr:uid="{EA8079E7-2C7D-4ACA-8152-0182D5350358}"/>
    <cellStyle name="Normal 4 5" xfId="4011" xr:uid="{00000000-0005-0000-0000-0000CB0F0000}"/>
    <cellStyle name="Normal 4 5 2" xfId="4012" xr:uid="{00000000-0005-0000-0000-0000CC0F0000}"/>
    <cellStyle name="Normal 4 5 2 2" xfId="9537" xr:uid="{00000000-0005-0000-0000-00001C1D0000}"/>
    <cellStyle name="Normal 4 5 2 2 2" xfId="42026" xr:uid="{E82D05E1-9998-4FD6-87E7-6168345CEED8}"/>
    <cellStyle name="Normal 4 5 2 3" xfId="5588" xr:uid="{00000000-0005-0000-0000-0000580C0000}"/>
    <cellStyle name="Normal 4 5 2 4" xfId="38051" xr:uid="{3F72C9C4-F448-4166-886E-BDF4479070A6}"/>
    <cellStyle name="Normal 4 5 3" xfId="9536" xr:uid="{00000000-0005-0000-0000-00001B1D0000}"/>
    <cellStyle name="Normal 4 5 3 2" xfId="18099" xr:uid="{CDA66519-FE51-4781-ABAA-08486EC35E18}"/>
    <cellStyle name="Normal 4 5 3 3" xfId="42025" xr:uid="{DBABDA8D-CE52-4736-A8C3-C68A022D4CD7}"/>
    <cellStyle name="Normal 4 5 4" xfId="5587" xr:uid="{00000000-0005-0000-0000-0000570C0000}"/>
    <cellStyle name="Normal 4 5 5" xfId="15639" xr:uid="{AA1FB46C-96AD-4851-A765-2C622CE37162}"/>
    <cellStyle name="Normal 4 5 6" xfId="38050" xr:uid="{7F200687-199B-4B5A-BC0E-A63F397EDA06}"/>
    <cellStyle name="Normal 4 50" xfId="4013" xr:uid="{00000000-0005-0000-0000-0000CD0F0000}"/>
    <cellStyle name="Normal 4 50 2" xfId="9538" xr:uid="{00000000-0005-0000-0000-00001D1D0000}"/>
    <cellStyle name="Normal 4 50 2 2" xfId="42027" xr:uid="{AAB99F42-B2C4-4F3C-9596-E6C114DDBA36}"/>
    <cellStyle name="Normal 4 50 3" xfId="5589" xr:uid="{00000000-0005-0000-0000-0000590C0000}"/>
    <cellStyle name="Normal 4 50 4" xfId="38052" xr:uid="{72208C3F-168C-4145-9E8F-FD2BFCC65530}"/>
    <cellStyle name="Normal 4 51" xfId="4014" xr:uid="{00000000-0005-0000-0000-0000CE0F0000}"/>
    <cellStyle name="Normal 4 51 2" xfId="9539" xr:uid="{00000000-0005-0000-0000-00001E1D0000}"/>
    <cellStyle name="Normal 4 51 2 2" xfId="42028" xr:uid="{1E3ADC7A-68D9-4E20-9A10-7E612DAF473A}"/>
    <cellStyle name="Normal 4 51 3" xfId="5590" xr:uid="{00000000-0005-0000-0000-00005A0C0000}"/>
    <cellStyle name="Normal 4 51 4" xfId="38053" xr:uid="{32A0DAFA-4DAB-452A-BE6B-B3CE14978245}"/>
    <cellStyle name="Normal 4 52" xfId="4015" xr:uid="{00000000-0005-0000-0000-0000CF0F0000}"/>
    <cellStyle name="Normal 4 52 2" xfId="9540" xr:uid="{00000000-0005-0000-0000-00001F1D0000}"/>
    <cellStyle name="Normal 4 52 2 2" xfId="42029" xr:uid="{7914E2AB-1943-4166-BCE5-C25ABD54EAE8}"/>
    <cellStyle name="Normal 4 52 3" xfId="5591" xr:uid="{00000000-0005-0000-0000-00005B0C0000}"/>
    <cellStyle name="Normal 4 52 4" xfId="38054" xr:uid="{31344599-C91D-4270-A2B5-CB3DEAC9DC8A}"/>
    <cellStyle name="Normal 4 53" xfId="4016" xr:uid="{00000000-0005-0000-0000-0000D00F0000}"/>
    <cellStyle name="Normal 4 53 2" xfId="9541" xr:uid="{00000000-0005-0000-0000-0000201D0000}"/>
    <cellStyle name="Normal 4 53 2 2" xfId="42030" xr:uid="{CA737E5F-0C69-4D98-BE8F-280DBF322959}"/>
    <cellStyle name="Normal 4 53 3" xfId="5592" xr:uid="{00000000-0005-0000-0000-00005C0C0000}"/>
    <cellStyle name="Normal 4 53 4" xfId="38055" xr:uid="{2AD81A9D-DEC3-49BE-A849-9F9B9978EBA1}"/>
    <cellStyle name="Normal 4 54" xfId="4017" xr:uid="{00000000-0005-0000-0000-0000D10F0000}"/>
    <cellStyle name="Normal 4 54 2" xfId="9542" xr:uid="{00000000-0005-0000-0000-0000211D0000}"/>
    <cellStyle name="Normal 4 54 2 2" xfId="42031" xr:uid="{C6216B26-7066-4E59-B0AD-C37B2F2A1CB1}"/>
    <cellStyle name="Normal 4 54 3" xfId="5595" xr:uid="{00000000-0005-0000-0000-00005D0C0000}"/>
    <cellStyle name="Normal 4 54 4" xfId="38056" xr:uid="{D220187B-8DAB-4D5E-B028-68BDACCE7777}"/>
    <cellStyle name="Normal 4 55" xfId="4018" xr:uid="{00000000-0005-0000-0000-0000D20F0000}"/>
    <cellStyle name="Normal 4 55 2" xfId="9543" xr:uid="{00000000-0005-0000-0000-0000221D0000}"/>
    <cellStyle name="Normal 4 55 2 2" xfId="42032" xr:uid="{3BC3B407-DFF3-4075-8BA9-F8D80537E8B8}"/>
    <cellStyle name="Normal 4 55 3" xfId="5596" xr:uid="{00000000-0005-0000-0000-00005E0C0000}"/>
    <cellStyle name="Normal 4 55 4" xfId="38057" xr:uid="{03F62C3D-2DCE-4AAF-8DF8-68AF018C2756}"/>
    <cellStyle name="Normal 4 56" xfId="4019" xr:uid="{00000000-0005-0000-0000-0000D30F0000}"/>
    <cellStyle name="Normal 4 56 2" xfId="9544" xr:uid="{00000000-0005-0000-0000-0000231D0000}"/>
    <cellStyle name="Normal 4 56 2 2" xfId="42033" xr:uid="{D63D2136-4180-4CF2-AF72-0747BBDA9D01}"/>
    <cellStyle name="Normal 4 56 3" xfId="5597" xr:uid="{00000000-0005-0000-0000-00005F0C0000}"/>
    <cellStyle name="Normal 4 56 4" xfId="38058" xr:uid="{21478F94-47C9-4BA8-B204-97A2C3FC3F80}"/>
    <cellStyle name="Normal 4 57" xfId="4020" xr:uid="{00000000-0005-0000-0000-0000D40F0000}"/>
    <cellStyle name="Normal 4 57 2" xfId="9545" xr:uid="{00000000-0005-0000-0000-0000241D0000}"/>
    <cellStyle name="Normal 4 57 2 2" xfId="42034" xr:uid="{4A806896-69B2-4959-893B-24D80662E609}"/>
    <cellStyle name="Normal 4 57 3" xfId="5598" xr:uid="{00000000-0005-0000-0000-0000600C0000}"/>
    <cellStyle name="Normal 4 57 4" xfId="38059" xr:uid="{16C2D339-1851-4917-BD16-3FB1EAF0F322}"/>
    <cellStyle name="Normal 4 58" xfId="4021" xr:uid="{00000000-0005-0000-0000-0000D50F0000}"/>
    <cellStyle name="Normal 4 58 2" xfId="9546" xr:uid="{00000000-0005-0000-0000-0000251D0000}"/>
    <cellStyle name="Normal 4 58 2 2" xfId="42035" xr:uid="{A1C7CE80-D291-4E9D-BB8E-412D3EC711C0}"/>
    <cellStyle name="Normal 4 58 3" xfId="5599" xr:uid="{00000000-0005-0000-0000-0000610C0000}"/>
    <cellStyle name="Normal 4 58 4" xfId="38060" xr:uid="{6BBDB024-836A-46B0-A4F3-E1EA3A002262}"/>
    <cellStyle name="Normal 4 59" xfId="4022" xr:uid="{00000000-0005-0000-0000-0000D60F0000}"/>
    <cellStyle name="Normal 4 59 2" xfId="9547" xr:uid="{00000000-0005-0000-0000-0000261D0000}"/>
    <cellStyle name="Normal 4 59 2 2" xfId="42036" xr:uid="{7C7F3451-6E23-47A0-AF75-3D679C8F9405}"/>
    <cellStyle name="Normal 4 59 3" xfId="5600" xr:uid="{00000000-0005-0000-0000-0000620C0000}"/>
    <cellStyle name="Normal 4 59 4" xfId="38061" xr:uid="{69856BC1-518A-41F2-BAEF-58CA07087D31}"/>
    <cellStyle name="Normal 4 6" xfId="4023" xr:uid="{00000000-0005-0000-0000-0000D70F0000}"/>
    <cellStyle name="Normal 4 6 2" xfId="4024" xr:uid="{00000000-0005-0000-0000-0000D80F0000}"/>
    <cellStyle name="Normal 4 6 2 2" xfId="9549" xr:uid="{00000000-0005-0000-0000-0000281D0000}"/>
    <cellStyle name="Normal 4 6 2 2 2" xfId="42038" xr:uid="{A98FAA6F-435E-4C51-B8D2-9E7A47437A45}"/>
    <cellStyle name="Normal 4 6 2 3" xfId="5606" xr:uid="{00000000-0005-0000-0000-0000640C0000}"/>
    <cellStyle name="Normal 4 6 2 4" xfId="38063" xr:uid="{2C088B5F-4979-4551-A4DC-0D946C8924C3}"/>
    <cellStyle name="Normal 4 6 3" xfId="9548" xr:uid="{00000000-0005-0000-0000-0000271D0000}"/>
    <cellStyle name="Normal 4 6 3 2" xfId="18100" xr:uid="{20006B85-5318-479B-A6CA-30868FB5F17C}"/>
    <cellStyle name="Normal 4 6 3 3" xfId="42037" xr:uid="{6F08EEFF-FD7B-450D-99EB-D2C316E61ABB}"/>
    <cellStyle name="Normal 4 6 4" xfId="5605" xr:uid="{00000000-0005-0000-0000-0000630C0000}"/>
    <cellStyle name="Normal 4 6 5" xfId="15648" xr:uid="{EB1902D7-29C2-4070-B9F4-8FCDC10F14F4}"/>
    <cellStyle name="Normal 4 6 6" xfId="38062" xr:uid="{0FCAE934-10D7-4508-968C-229DD01FB0E5}"/>
    <cellStyle name="Normal 4 60" xfId="4025" xr:uid="{00000000-0005-0000-0000-0000D90F0000}"/>
    <cellStyle name="Normal 4 60 2" xfId="9550" xr:uid="{00000000-0005-0000-0000-0000291D0000}"/>
    <cellStyle name="Normal 4 60 2 2" xfId="42039" xr:uid="{BE8CD557-E3DE-419D-BE0F-A0D906B9C349}"/>
    <cellStyle name="Normal 4 60 3" xfId="5607" xr:uid="{00000000-0005-0000-0000-0000650C0000}"/>
    <cellStyle name="Normal 4 60 4" xfId="38064" xr:uid="{A1CFAFA1-3498-4C7F-8FCF-0D5041204606}"/>
    <cellStyle name="Normal 4 61" xfId="4026" xr:uid="{00000000-0005-0000-0000-0000DA0F0000}"/>
    <cellStyle name="Normal 4 61 2" xfId="9551" xr:uid="{00000000-0005-0000-0000-00002A1D0000}"/>
    <cellStyle name="Normal 4 61 2 2" xfId="42040" xr:uid="{AC4E33BF-1877-4B84-9453-9F6237A8FAB4}"/>
    <cellStyle name="Normal 4 61 3" xfId="5610" xr:uid="{00000000-0005-0000-0000-0000660C0000}"/>
    <cellStyle name="Normal 4 61 4" xfId="38065" xr:uid="{EB8CD3E6-7FD5-41FA-AE6E-DF1306BE4673}"/>
    <cellStyle name="Normal 4 62" xfId="4027" xr:uid="{00000000-0005-0000-0000-0000DB0F0000}"/>
    <cellStyle name="Normal 4 62 2" xfId="9552" xr:uid="{00000000-0005-0000-0000-00002B1D0000}"/>
    <cellStyle name="Normal 4 62 2 2" xfId="42041" xr:uid="{FC89A03A-46CC-4091-96D7-E0C1CB42EF09}"/>
    <cellStyle name="Normal 4 62 3" xfId="5611" xr:uid="{00000000-0005-0000-0000-0000670C0000}"/>
    <cellStyle name="Normal 4 62 4" xfId="38066" xr:uid="{A8D1AC06-D705-417E-94EE-E25B5F460A6D}"/>
    <cellStyle name="Normal 4 63" xfId="4028" xr:uid="{00000000-0005-0000-0000-0000DC0F0000}"/>
    <cellStyle name="Normal 4 63 2" xfId="9553" xr:uid="{00000000-0005-0000-0000-00002C1D0000}"/>
    <cellStyle name="Normal 4 63 2 2" xfId="42042" xr:uid="{F88B79A9-46B6-4B33-9B42-2887BCB9C891}"/>
    <cellStyle name="Normal 4 63 3" xfId="5613" xr:uid="{00000000-0005-0000-0000-0000680C0000}"/>
    <cellStyle name="Normal 4 63 4" xfId="38067" xr:uid="{3F42910E-5C8B-4E09-9EEA-A35F05FB739C}"/>
    <cellStyle name="Normal 4 64" xfId="4029" xr:uid="{00000000-0005-0000-0000-0000DD0F0000}"/>
    <cellStyle name="Normal 4 64 2" xfId="9554" xr:uid="{00000000-0005-0000-0000-00002D1D0000}"/>
    <cellStyle name="Normal 4 64 2 2" xfId="42043" xr:uid="{FE5360A4-C8CF-4325-9E0B-F307963AA89F}"/>
    <cellStyle name="Normal 4 64 3" xfId="5614" xr:uid="{00000000-0005-0000-0000-0000690C0000}"/>
    <cellStyle name="Normal 4 64 4" xfId="38068" xr:uid="{8E340D7E-8F0B-48A3-AD96-6AAA435EADD9}"/>
    <cellStyle name="Normal 4 65" xfId="4030" xr:uid="{00000000-0005-0000-0000-0000DE0F0000}"/>
    <cellStyle name="Normal 4 65 2" xfId="9555" xr:uid="{00000000-0005-0000-0000-00002E1D0000}"/>
    <cellStyle name="Normal 4 65 2 2" xfId="42044" xr:uid="{B71F8029-E48D-4C9A-89BF-5EEC5C41AD72}"/>
    <cellStyle name="Normal 4 65 3" xfId="5615" xr:uid="{00000000-0005-0000-0000-00006A0C0000}"/>
    <cellStyle name="Normal 4 65 4" xfId="38069" xr:uid="{9E645B11-ECA1-4C24-8B7E-3FE1A0A317A3}"/>
    <cellStyle name="Normal 4 66" xfId="4031" xr:uid="{00000000-0005-0000-0000-0000DF0F0000}"/>
    <cellStyle name="Normal 4 66 2" xfId="9556" xr:uid="{00000000-0005-0000-0000-00002F1D0000}"/>
    <cellStyle name="Normal 4 66 2 2" xfId="42045" xr:uid="{33361E53-658D-45E7-9BD5-27F9EFE44811}"/>
    <cellStyle name="Normal 4 66 3" xfId="5616" xr:uid="{00000000-0005-0000-0000-00006B0C0000}"/>
    <cellStyle name="Normal 4 66 4" xfId="38070" xr:uid="{8B79B1C6-2900-443C-9474-71457CCF59D1}"/>
    <cellStyle name="Normal 4 67" xfId="4032" xr:uid="{00000000-0005-0000-0000-0000E00F0000}"/>
    <cellStyle name="Normal 4 67 2" xfId="9557" xr:uid="{00000000-0005-0000-0000-0000301D0000}"/>
    <cellStyle name="Normal 4 67 2 2" xfId="42046" xr:uid="{ADBAD976-1F1D-4D3D-844A-9769DFC3EC23}"/>
    <cellStyle name="Normal 4 67 3" xfId="5617" xr:uid="{00000000-0005-0000-0000-00006C0C0000}"/>
    <cellStyle name="Normal 4 67 4" xfId="38071" xr:uid="{C0F90CEB-75CD-4A4B-8FA6-42E1BB34C33E}"/>
    <cellStyle name="Normal 4 68" xfId="4033" xr:uid="{00000000-0005-0000-0000-0000E10F0000}"/>
    <cellStyle name="Normal 4 68 2" xfId="9558" xr:uid="{00000000-0005-0000-0000-0000311D0000}"/>
    <cellStyle name="Normal 4 68 2 2" xfId="42047" xr:uid="{807E1045-2DBC-4D50-A9FC-FE6BAB9667FF}"/>
    <cellStyle name="Normal 4 68 3" xfId="5618" xr:uid="{00000000-0005-0000-0000-00006D0C0000}"/>
    <cellStyle name="Normal 4 68 4" xfId="38072" xr:uid="{23B0939C-93FD-4CF7-8F8B-C3263972A092}"/>
    <cellStyle name="Normal 4 69" xfId="4034" xr:uid="{00000000-0005-0000-0000-0000E20F0000}"/>
    <cellStyle name="Normal 4 69 2" xfId="9559" xr:uid="{00000000-0005-0000-0000-0000321D0000}"/>
    <cellStyle name="Normal 4 69 2 2" xfId="42048" xr:uid="{2E94A981-147C-4801-98AD-0E297D49A2E7}"/>
    <cellStyle name="Normal 4 69 3" xfId="5619" xr:uid="{00000000-0005-0000-0000-00006E0C0000}"/>
    <cellStyle name="Normal 4 69 4" xfId="38073" xr:uid="{D0678FD0-AFE7-483E-AAB1-6D6A040184CC}"/>
    <cellStyle name="Normal 4 7" xfId="4035" xr:uid="{00000000-0005-0000-0000-0000E30F0000}"/>
    <cellStyle name="Normal 4 7 2" xfId="4036" xr:uid="{00000000-0005-0000-0000-0000E40F0000}"/>
    <cellStyle name="Normal 4 7 2 2" xfId="9561" xr:uid="{00000000-0005-0000-0000-0000341D0000}"/>
    <cellStyle name="Normal 4 7 2 2 2" xfId="42050" xr:uid="{090EAEF4-45C7-4A97-85B0-055ACAF90638}"/>
    <cellStyle name="Normal 4 7 2 3" xfId="5622" xr:uid="{00000000-0005-0000-0000-0000700C0000}"/>
    <cellStyle name="Normal 4 7 2 4" xfId="38075" xr:uid="{CCEF3AEE-B5E1-4BB4-AC79-88053BB67E30}"/>
    <cellStyle name="Normal 4 7 3" xfId="9560" xr:uid="{00000000-0005-0000-0000-0000331D0000}"/>
    <cellStyle name="Normal 4 7 3 2" xfId="18101" xr:uid="{D88FE575-6845-4D60-9DED-ACF2A5782CFF}"/>
    <cellStyle name="Normal 4 7 3 3" xfId="42049" xr:uid="{993FB818-A8EF-41A2-80A8-67DE681248B0}"/>
    <cellStyle name="Normal 4 7 4" xfId="5620" xr:uid="{00000000-0005-0000-0000-00006F0C0000}"/>
    <cellStyle name="Normal 4 7 5" xfId="15654" xr:uid="{471CC92D-C7BD-4A30-8FBF-ABE109E422BB}"/>
    <cellStyle name="Normal 4 7 6" xfId="38074" xr:uid="{6FBA9DF3-A5D4-4AE2-BC7D-564EC72B03B8}"/>
    <cellStyle name="Normal 4 70" xfId="4037" xr:uid="{00000000-0005-0000-0000-0000E50F0000}"/>
    <cellStyle name="Normal 4 70 2" xfId="9562" xr:uid="{00000000-0005-0000-0000-0000351D0000}"/>
    <cellStyle name="Normal 4 70 2 2" xfId="42051" xr:uid="{1F588AEB-7D8C-4508-8497-81510B8FF55D}"/>
    <cellStyle name="Normal 4 70 3" xfId="5623" xr:uid="{00000000-0005-0000-0000-0000710C0000}"/>
    <cellStyle name="Normal 4 70 4" xfId="38076" xr:uid="{E30E50FD-D0FE-403C-9396-3E0FBD1C5D1A}"/>
    <cellStyle name="Normal 4 71" xfId="4038" xr:uid="{00000000-0005-0000-0000-0000E60F0000}"/>
    <cellStyle name="Normal 4 71 2" xfId="9563" xr:uid="{00000000-0005-0000-0000-0000361D0000}"/>
    <cellStyle name="Normal 4 71 2 2" xfId="42052" xr:uid="{4CD94D8F-D095-4730-AA66-A7CC245ADBA4}"/>
    <cellStyle name="Normal 4 71 3" xfId="5624" xr:uid="{00000000-0005-0000-0000-0000720C0000}"/>
    <cellStyle name="Normal 4 71 4" xfId="38077" xr:uid="{3153C8A9-9029-4200-A07E-27CA80D4209B}"/>
    <cellStyle name="Normal 4 72" xfId="4039" xr:uid="{00000000-0005-0000-0000-0000E70F0000}"/>
    <cellStyle name="Normal 4 72 2" xfId="9564" xr:uid="{00000000-0005-0000-0000-0000371D0000}"/>
    <cellStyle name="Normal 4 72 2 2" xfId="42053" xr:uid="{0C0B7163-0918-4B3F-B13B-C7676CD8A433}"/>
    <cellStyle name="Normal 4 72 3" xfId="5625" xr:uid="{00000000-0005-0000-0000-0000730C0000}"/>
    <cellStyle name="Normal 4 72 4" xfId="38078" xr:uid="{B0EE9D83-AB97-41CE-B01E-D0CC52244975}"/>
    <cellStyle name="Normal 4 73" xfId="4040" xr:uid="{00000000-0005-0000-0000-0000E80F0000}"/>
    <cellStyle name="Normal 4 73 2" xfId="9565" xr:uid="{00000000-0005-0000-0000-0000381D0000}"/>
    <cellStyle name="Normal 4 73 2 2" xfId="42054" xr:uid="{C4A0FB2D-CCE3-44AC-A3C4-687DAE3527B1}"/>
    <cellStyle name="Normal 4 73 3" xfId="5626" xr:uid="{00000000-0005-0000-0000-0000740C0000}"/>
    <cellStyle name="Normal 4 73 4" xfId="38079" xr:uid="{9D4E29D6-666E-40DE-8FA9-054793A91A8C}"/>
    <cellStyle name="Normal 4 74" xfId="4041" xr:uid="{00000000-0005-0000-0000-0000E90F0000}"/>
    <cellStyle name="Normal 4 74 2" xfId="9566" xr:uid="{00000000-0005-0000-0000-0000391D0000}"/>
    <cellStyle name="Normal 4 74 2 2" xfId="42055" xr:uid="{36FE2DCB-810D-497D-BE7A-B4E955886883}"/>
    <cellStyle name="Normal 4 74 3" xfId="5627" xr:uid="{00000000-0005-0000-0000-0000750C0000}"/>
    <cellStyle name="Normal 4 74 4" xfId="38080" xr:uid="{C4D25E7D-AEC2-4140-AF53-5B6FB9DD917E}"/>
    <cellStyle name="Normal 4 75" xfId="4042" xr:uid="{00000000-0005-0000-0000-0000EA0F0000}"/>
    <cellStyle name="Normal 4 75 2" xfId="9567" xr:uid="{00000000-0005-0000-0000-00003A1D0000}"/>
    <cellStyle name="Normal 4 75 2 2" xfId="42056" xr:uid="{D2FA6FB7-1528-4E5E-A60E-CF6A6E45FFEC}"/>
    <cellStyle name="Normal 4 75 3" xfId="5628" xr:uid="{00000000-0005-0000-0000-0000760C0000}"/>
    <cellStyle name="Normal 4 75 4" xfId="38081" xr:uid="{B17FA30A-750D-434D-BE60-DFAE9BBA2B8B}"/>
    <cellStyle name="Normal 4 76" xfId="4043" xr:uid="{00000000-0005-0000-0000-0000EB0F0000}"/>
    <cellStyle name="Normal 4 76 2" xfId="9568" xr:uid="{00000000-0005-0000-0000-00003B1D0000}"/>
    <cellStyle name="Normal 4 76 2 2" xfId="42057" xr:uid="{9EF57E65-4785-4832-B439-874C080BE821}"/>
    <cellStyle name="Normal 4 76 3" xfId="5629" xr:uid="{00000000-0005-0000-0000-0000770C0000}"/>
    <cellStyle name="Normal 4 76 4" xfId="38082" xr:uid="{7CDA32AE-58C8-4063-B543-92B6B57047EF}"/>
    <cellStyle name="Normal 4 77" xfId="4044" xr:uid="{00000000-0005-0000-0000-0000EC0F0000}"/>
    <cellStyle name="Normal 4 77 2" xfId="9569" xr:uid="{00000000-0005-0000-0000-00003C1D0000}"/>
    <cellStyle name="Normal 4 77 2 2" xfId="42058" xr:uid="{367873B8-02B4-4AA9-A3F8-F9786BCCE184}"/>
    <cellStyle name="Normal 4 77 3" xfId="5630" xr:uid="{00000000-0005-0000-0000-0000780C0000}"/>
    <cellStyle name="Normal 4 77 4" xfId="38083" xr:uid="{2D5F3C7A-3C70-4940-AA33-29831A869E18}"/>
    <cellStyle name="Normal 4 78" xfId="4045" xr:uid="{00000000-0005-0000-0000-0000ED0F0000}"/>
    <cellStyle name="Normal 4 78 2" xfId="9570" xr:uid="{00000000-0005-0000-0000-00003D1D0000}"/>
    <cellStyle name="Normal 4 78 2 2" xfId="42059" xr:uid="{1DB5305B-50CB-4319-AB36-E431EF8DB2DB}"/>
    <cellStyle name="Normal 4 78 3" xfId="5631" xr:uid="{00000000-0005-0000-0000-0000790C0000}"/>
    <cellStyle name="Normal 4 78 4" xfId="38084" xr:uid="{66CE8D08-FCAF-4198-BF9D-A801317BE5E8}"/>
    <cellStyle name="Normal 4 79" xfId="4046" xr:uid="{00000000-0005-0000-0000-0000EE0F0000}"/>
    <cellStyle name="Normal 4 79 2" xfId="9571" xr:uid="{00000000-0005-0000-0000-00003E1D0000}"/>
    <cellStyle name="Normal 4 79 2 2" xfId="42060" xr:uid="{A4F561C9-57B8-479C-B4D6-1357E5E82265}"/>
    <cellStyle name="Normal 4 79 3" xfId="5632" xr:uid="{00000000-0005-0000-0000-00007A0C0000}"/>
    <cellStyle name="Normal 4 79 4" xfId="38085" xr:uid="{1C74C3BE-D8FF-4758-A9ED-C11D3640A4AC}"/>
    <cellStyle name="Normal 4 8" xfId="4047" xr:uid="{00000000-0005-0000-0000-0000EF0F0000}"/>
    <cellStyle name="Normal 4 8 2" xfId="4048" xr:uid="{00000000-0005-0000-0000-0000F00F0000}"/>
    <cellStyle name="Normal 4 8 2 2" xfId="9573" xr:uid="{00000000-0005-0000-0000-0000401D0000}"/>
    <cellStyle name="Normal 4 8 2 2 2" xfId="42062" xr:uid="{CF83AE76-88E5-492E-AD44-0BA118EE9461}"/>
    <cellStyle name="Normal 4 8 2 3" xfId="5635" xr:uid="{00000000-0005-0000-0000-00007C0C0000}"/>
    <cellStyle name="Normal 4 8 2 4" xfId="38087" xr:uid="{5E75E791-FD65-4156-B4B2-535E5D1BC872}"/>
    <cellStyle name="Normal 4 8 3" xfId="9572" xr:uid="{00000000-0005-0000-0000-00003F1D0000}"/>
    <cellStyle name="Normal 4 8 3 2" xfId="18102" xr:uid="{FC92CA59-982B-44E0-B131-3DF36AAF24D4}"/>
    <cellStyle name="Normal 4 8 3 3" xfId="42061" xr:uid="{23AC4CFB-00F2-42AC-8BDF-D1CE6877C811}"/>
    <cellStyle name="Normal 4 8 4" xfId="5633" xr:uid="{00000000-0005-0000-0000-00007B0C0000}"/>
    <cellStyle name="Normal 4 8 5" xfId="15660" xr:uid="{51742026-1164-493F-AF7A-5B92D474B690}"/>
    <cellStyle name="Normal 4 8 6" xfId="38086" xr:uid="{BAF99BB6-539C-4C4D-B2C0-F3400CFC576A}"/>
    <cellStyle name="Normal 4 80" xfId="4049" xr:uid="{00000000-0005-0000-0000-0000F10F0000}"/>
    <cellStyle name="Normal 4 80 2" xfId="9574" xr:uid="{00000000-0005-0000-0000-0000411D0000}"/>
    <cellStyle name="Normal 4 80 2 2" xfId="42063" xr:uid="{87F8C43D-150D-4E6E-A916-F668ADFBDF74}"/>
    <cellStyle name="Normal 4 80 3" xfId="5638" xr:uid="{00000000-0005-0000-0000-00007D0C0000}"/>
    <cellStyle name="Normal 4 80 4" xfId="38088" xr:uid="{A772B649-FFE6-416F-8021-3564476E0941}"/>
    <cellStyle name="Normal 4 81" xfId="4050" xr:uid="{00000000-0005-0000-0000-0000F20F0000}"/>
    <cellStyle name="Normal 4 81 2" xfId="9575" xr:uid="{00000000-0005-0000-0000-0000421D0000}"/>
    <cellStyle name="Normal 4 81 2 2" xfId="42064" xr:uid="{D6C3A78B-C549-4EB7-A53A-A43096D4D6B6}"/>
    <cellStyle name="Normal 4 81 3" xfId="5640" xr:uid="{00000000-0005-0000-0000-00007E0C0000}"/>
    <cellStyle name="Normal 4 81 4" xfId="38089" xr:uid="{1B81E5EC-F569-43A0-ACCC-6B082A209393}"/>
    <cellStyle name="Normal 4 82" xfId="4051" xr:uid="{00000000-0005-0000-0000-0000F30F0000}"/>
    <cellStyle name="Normal 4 82 2" xfId="9576" xr:uid="{00000000-0005-0000-0000-0000431D0000}"/>
    <cellStyle name="Normal 4 82 2 2" xfId="42065" xr:uid="{7DB96044-26DF-49C3-86C6-9AB96B76E0F4}"/>
    <cellStyle name="Normal 4 82 3" xfId="5641" xr:uid="{00000000-0005-0000-0000-00007F0C0000}"/>
    <cellStyle name="Normal 4 82 4" xfId="38090" xr:uid="{DDE38BF8-D2AA-4580-9947-47E2E71A94C8}"/>
    <cellStyle name="Normal 4 83" xfId="4052" xr:uid="{00000000-0005-0000-0000-0000F40F0000}"/>
    <cellStyle name="Normal 4 83 2" xfId="9577" xr:uid="{00000000-0005-0000-0000-0000441D0000}"/>
    <cellStyle name="Normal 4 83 2 2" xfId="42066" xr:uid="{97F84EAA-796F-42C9-B1CF-E7FF4366E316}"/>
    <cellStyle name="Normal 4 83 3" xfId="5642" xr:uid="{00000000-0005-0000-0000-0000800C0000}"/>
    <cellStyle name="Normal 4 83 4" xfId="38091" xr:uid="{8C47F5B8-3D71-4990-A7B2-3207CC7DB244}"/>
    <cellStyle name="Normal 4 84" xfId="4053" xr:uid="{00000000-0005-0000-0000-0000F50F0000}"/>
    <cellStyle name="Normal 4 84 2" xfId="9578" xr:uid="{00000000-0005-0000-0000-0000451D0000}"/>
    <cellStyle name="Normal 4 84 2 2" xfId="42067" xr:uid="{37626780-E7EF-4E3C-8A9B-48332B6C3EF2}"/>
    <cellStyle name="Normal 4 84 3" xfId="5643" xr:uid="{00000000-0005-0000-0000-0000810C0000}"/>
    <cellStyle name="Normal 4 84 4" xfId="38092" xr:uid="{04210BC5-E6D9-40C5-8FEA-368F9F89BC36}"/>
    <cellStyle name="Normal 4 85" xfId="4054" xr:uid="{00000000-0005-0000-0000-0000F60F0000}"/>
    <cellStyle name="Normal 4 85 2" xfId="9579" xr:uid="{00000000-0005-0000-0000-0000461D0000}"/>
    <cellStyle name="Normal 4 85 2 2" xfId="42068" xr:uid="{7D949768-9ED0-4940-BC6C-CE8D6E16F9BD}"/>
    <cellStyle name="Normal 4 85 3" xfId="5644" xr:uid="{00000000-0005-0000-0000-0000820C0000}"/>
    <cellStyle name="Normal 4 85 4" xfId="38093" xr:uid="{0F01635B-2716-43BA-A936-BF0B57109E3B}"/>
    <cellStyle name="Normal 4 86" xfId="4055" xr:uid="{00000000-0005-0000-0000-0000F70F0000}"/>
    <cellStyle name="Normal 4 86 2" xfId="9580" xr:uid="{00000000-0005-0000-0000-0000471D0000}"/>
    <cellStyle name="Normal 4 86 2 2" xfId="42069" xr:uid="{D0D30CB7-F52E-4EAA-8C9A-76251BEBBD49}"/>
    <cellStyle name="Normal 4 86 3" xfId="5645" xr:uid="{00000000-0005-0000-0000-0000830C0000}"/>
    <cellStyle name="Normal 4 86 4" xfId="38094" xr:uid="{868A9A7A-820C-4A31-9CE9-6D519A2918C8}"/>
    <cellStyle name="Normal 4 87" xfId="4056" xr:uid="{00000000-0005-0000-0000-0000F80F0000}"/>
    <cellStyle name="Normal 4 87 2" xfId="9581" xr:uid="{00000000-0005-0000-0000-0000481D0000}"/>
    <cellStyle name="Normal 4 87 2 2" xfId="42070" xr:uid="{B03C1A88-B650-4E3A-8ECE-B50A2AF55E65}"/>
    <cellStyle name="Normal 4 87 3" xfId="5676" xr:uid="{00000000-0005-0000-0000-0000840C0000}"/>
    <cellStyle name="Normal 4 87 4" xfId="38095" xr:uid="{F6D4826F-C465-4A06-BF7C-D06FDA4B13AC}"/>
    <cellStyle name="Normal 4 88" xfId="4057" xr:uid="{00000000-0005-0000-0000-0000F90F0000}"/>
    <cellStyle name="Normal 4 88 2" xfId="9582" xr:uid="{00000000-0005-0000-0000-0000491D0000}"/>
    <cellStyle name="Normal 4 88 2 2" xfId="42071" xr:uid="{2490EF41-F5EC-427A-A8F8-481907EA76B7}"/>
    <cellStyle name="Normal 4 88 3" xfId="5678" xr:uid="{00000000-0005-0000-0000-0000850C0000}"/>
    <cellStyle name="Normal 4 88 4" xfId="38096" xr:uid="{7103C9DF-9125-48FD-B4A3-2D1408CF6083}"/>
    <cellStyle name="Normal 4 89" xfId="4058" xr:uid="{00000000-0005-0000-0000-0000FA0F0000}"/>
    <cellStyle name="Normal 4 89 2" xfId="9583" xr:uid="{00000000-0005-0000-0000-00004A1D0000}"/>
    <cellStyle name="Normal 4 89 2 2" xfId="42072" xr:uid="{7792114D-DE65-4EF8-AAC8-533699B58040}"/>
    <cellStyle name="Normal 4 89 3" xfId="5681" xr:uid="{00000000-0005-0000-0000-0000860C0000}"/>
    <cellStyle name="Normal 4 89 4" xfId="38097" xr:uid="{DE4CB00C-A770-49C4-AFA4-CA847D1E49D1}"/>
    <cellStyle name="Normal 4 9" xfId="4059" xr:uid="{00000000-0005-0000-0000-0000FB0F0000}"/>
    <cellStyle name="Normal 4 9 2" xfId="4060" xr:uid="{00000000-0005-0000-0000-0000FC0F0000}"/>
    <cellStyle name="Normal 4 9 2 2" xfId="9585" xr:uid="{00000000-0005-0000-0000-00004C1D0000}"/>
    <cellStyle name="Normal 4 9 2 2 2" xfId="42074" xr:uid="{661DD1E1-A2B6-4B7B-919E-E40F5762EF20}"/>
    <cellStyle name="Normal 4 9 2 3" xfId="5684" xr:uid="{00000000-0005-0000-0000-0000880C0000}"/>
    <cellStyle name="Normal 4 9 2 4" xfId="38099" xr:uid="{A4F3CA5E-8FF5-49C9-8DB4-0EFE6DAFBB51}"/>
    <cellStyle name="Normal 4 9 3" xfId="9584" xr:uid="{00000000-0005-0000-0000-00004B1D0000}"/>
    <cellStyle name="Normal 4 9 3 2" xfId="18103" xr:uid="{2CD0F1BA-6901-4DC1-8DEE-383CC1448CAF}"/>
    <cellStyle name="Normal 4 9 3 3" xfId="42073" xr:uid="{FEAC499D-D2DF-46BB-B532-F8D729BCE43A}"/>
    <cellStyle name="Normal 4 9 4" xfId="5683" xr:uid="{00000000-0005-0000-0000-0000870C0000}"/>
    <cellStyle name="Normal 4 9 5" xfId="15667" xr:uid="{E95295D7-5A95-473C-AD9F-3C8C4B5062CE}"/>
    <cellStyle name="Normal 4 9 6" xfId="38098" xr:uid="{275312A4-E125-4EAB-B9BA-411C20EE9057}"/>
    <cellStyle name="Normal 4 90" xfId="4061" xr:uid="{00000000-0005-0000-0000-0000FD0F0000}"/>
    <cellStyle name="Normal 4 90 2" xfId="9586" xr:uid="{00000000-0005-0000-0000-00004D1D0000}"/>
    <cellStyle name="Normal 4 90 2 2" xfId="42075" xr:uid="{C2438EFB-C20A-44F0-B1D4-E8F7B36C4C3A}"/>
    <cellStyle name="Normal 4 90 3" xfId="5685" xr:uid="{00000000-0005-0000-0000-0000890C0000}"/>
    <cellStyle name="Normal 4 90 4" xfId="38100" xr:uid="{B98AFF83-A200-4D2A-8B8E-76C06A0F8D4D}"/>
    <cellStyle name="Normal 4 91" xfId="4062" xr:uid="{00000000-0005-0000-0000-0000FE0F0000}"/>
    <cellStyle name="Normal 4 91 2" xfId="9587" xr:uid="{00000000-0005-0000-0000-00004E1D0000}"/>
    <cellStyle name="Normal 4 91 2 2" xfId="42076" xr:uid="{32188FEE-12BD-4E82-B9A1-67B9BCE1FFD5}"/>
    <cellStyle name="Normal 4 91 3" xfId="5686" xr:uid="{00000000-0005-0000-0000-00008A0C0000}"/>
    <cellStyle name="Normal 4 91 4" xfId="38101" xr:uid="{CB5B330B-DB5E-425F-9271-EBFDE2334149}"/>
    <cellStyle name="Normal 4 92" xfId="4063" xr:uid="{00000000-0005-0000-0000-0000FF0F0000}"/>
    <cellStyle name="Normal 4 92 2" xfId="9588" xr:uid="{00000000-0005-0000-0000-00004F1D0000}"/>
    <cellStyle name="Normal 4 92 2 2" xfId="42077" xr:uid="{7691D09A-4AA6-42B3-A2CA-96E25AF67DF2}"/>
    <cellStyle name="Normal 4 92 3" xfId="5687" xr:uid="{00000000-0005-0000-0000-00008B0C0000}"/>
    <cellStyle name="Normal 4 92 4" xfId="38102" xr:uid="{E444BF1A-48C5-463A-8DE3-F6701213B510}"/>
    <cellStyle name="Normal 4 93" xfId="4064" xr:uid="{00000000-0005-0000-0000-000000100000}"/>
    <cellStyle name="Normal 4 93 2" xfId="9589" xr:uid="{00000000-0005-0000-0000-0000501D0000}"/>
    <cellStyle name="Normal 4 93 2 2" xfId="42078" xr:uid="{FEE1BFB9-2FD1-4E6E-8F23-3E8477F8E2B3}"/>
    <cellStyle name="Normal 4 93 3" xfId="5688" xr:uid="{00000000-0005-0000-0000-00008C0C0000}"/>
    <cellStyle name="Normal 4 93 4" xfId="38103" xr:uid="{25BBC242-71B6-457E-B0F7-0273667A6F24}"/>
    <cellStyle name="Normal 4 94" xfId="4065" xr:uid="{00000000-0005-0000-0000-000001100000}"/>
    <cellStyle name="Normal 4 94 2" xfId="9590" xr:uid="{00000000-0005-0000-0000-0000511D0000}"/>
    <cellStyle name="Normal 4 94 2 2" xfId="42079" xr:uid="{8DE500C8-4E31-4D75-91FB-7332209A3BFA}"/>
    <cellStyle name="Normal 4 94 3" xfId="5719" xr:uid="{00000000-0005-0000-0000-00008D0C0000}"/>
    <cellStyle name="Normal 4 94 4" xfId="38104" xr:uid="{AD01473C-587C-4B9A-9E23-937EF81A768F}"/>
    <cellStyle name="Normal 4 95" xfId="4066" xr:uid="{00000000-0005-0000-0000-000002100000}"/>
    <cellStyle name="Normal 4 95 2" xfId="9591" xr:uid="{00000000-0005-0000-0000-0000521D0000}"/>
    <cellStyle name="Normal 4 95 2 2" xfId="42080" xr:uid="{63E449E6-AD31-4A92-87DF-CB7ECF3DAE66}"/>
    <cellStyle name="Normal 4 95 3" xfId="5721" xr:uid="{00000000-0005-0000-0000-00008E0C0000}"/>
    <cellStyle name="Normal 4 95 4" xfId="38105" xr:uid="{BEA6C293-1F2D-4D9F-A927-D053047B2595}"/>
    <cellStyle name="Normal 4 96" xfId="4067" xr:uid="{00000000-0005-0000-0000-000003100000}"/>
    <cellStyle name="Normal 4 96 2" xfId="9592" xr:uid="{00000000-0005-0000-0000-0000531D0000}"/>
    <cellStyle name="Normal 4 96 2 2" xfId="42081" xr:uid="{EF3A5A4C-838B-4C58-9D60-101A568B7ED4}"/>
    <cellStyle name="Normal 4 96 3" xfId="5724" xr:uid="{00000000-0005-0000-0000-00008F0C0000}"/>
    <cellStyle name="Normal 4 96 4" xfId="38106" xr:uid="{1DC2805B-5C92-4C43-A28A-BC63E37028E9}"/>
    <cellStyle name="Normal 4 97" xfId="4068" xr:uid="{00000000-0005-0000-0000-000004100000}"/>
    <cellStyle name="Normal 4 97 2" xfId="9593" xr:uid="{00000000-0005-0000-0000-0000541D0000}"/>
    <cellStyle name="Normal 4 97 2 2" xfId="42082" xr:uid="{57046E58-CC6D-4A0A-8EC0-9BCC061B65E7}"/>
    <cellStyle name="Normal 4 97 3" xfId="5726" xr:uid="{00000000-0005-0000-0000-0000900C0000}"/>
    <cellStyle name="Normal 4 97 4" xfId="38107" xr:uid="{AF8FEBFB-C569-467A-9434-18DFADCCB0FE}"/>
    <cellStyle name="Normal 4 98" xfId="4069" xr:uid="{00000000-0005-0000-0000-000005100000}"/>
    <cellStyle name="Normal 4 98 2" xfId="9594" xr:uid="{00000000-0005-0000-0000-0000551D0000}"/>
    <cellStyle name="Normal 4 98 2 2" xfId="42083" xr:uid="{E4C0BC66-1493-4C69-9BF9-56F725C0BCB4}"/>
    <cellStyle name="Normal 4 98 3" xfId="5727" xr:uid="{00000000-0005-0000-0000-0000910C0000}"/>
    <cellStyle name="Normal 4 98 4" xfId="38108" xr:uid="{8A33A5F7-9ED5-4E60-8E96-26B33DCB589C}"/>
    <cellStyle name="Normal 4 99" xfId="4070" xr:uid="{00000000-0005-0000-0000-000006100000}"/>
    <cellStyle name="Normal 4 99 2" xfId="9595" xr:uid="{00000000-0005-0000-0000-0000561D0000}"/>
    <cellStyle name="Normal 4 99 2 2" xfId="42084" xr:uid="{32817596-3730-40EB-84A8-A027C215E2B6}"/>
    <cellStyle name="Normal 4 99 3" xfId="5728" xr:uid="{00000000-0005-0000-0000-0000920C0000}"/>
    <cellStyle name="Normal 4 99 4" xfId="38109" xr:uid="{57433808-87CA-40C9-B7EE-1FD147CB9356}"/>
    <cellStyle name="Normal 40" xfId="4071" xr:uid="{00000000-0005-0000-0000-000007100000}"/>
    <cellStyle name="Normal 40 2" xfId="9596" xr:uid="{00000000-0005-0000-0000-0000571D0000}"/>
    <cellStyle name="Normal 40 2 2" xfId="42085" xr:uid="{D6F70CF6-36CC-4BD0-80D3-E9572FF7EDD8}"/>
    <cellStyle name="Normal 40 3" xfId="5729" xr:uid="{00000000-0005-0000-0000-0000930C0000}"/>
    <cellStyle name="Normal 40 4" xfId="38110" xr:uid="{4AD803D3-51BE-4464-B879-BE6A704C3291}"/>
    <cellStyle name="Normal 41" xfId="4072" xr:uid="{00000000-0005-0000-0000-000008100000}"/>
    <cellStyle name="Normal 41 2" xfId="9597" xr:uid="{00000000-0005-0000-0000-0000581D0000}"/>
    <cellStyle name="Normal 41 2 2" xfId="42086" xr:uid="{8F1F2095-BFE2-4B26-A9F6-B1619595046D}"/>
    <cellStyle name="Normal 41 3" xfId="5730" xr:uid="{00000000-0005-0000-0000-0000940C0000}"/>
    <cellStyle name="Normal 41 4" xfId="38111" xr:uid="{BC4F7FA6-028C-4962-B982-15BB7ADA37ED}"/>
    <cellStyle name="Normal 42" xfId="4073" xr:uid="{00000000-0005-0000-0000-000009100000}"/>
    <cellStyle name="Normal 42 2" xfId="9598" xr:uid="{00000000-0005-0000-0000-0000591D0000}"/>
    <cellStyle name="Normal 42 2 2" xfId="42087" xr:uid="{ACA46F3D-DAD2-4527-BFF2-355F53BF5CF9}"/>
    <cellStyle name="Normal 42 3" xfId="5731" xr:uid="{00000000-0005-0000-0000-0000950C0000}"/>
    <cellStyle name="Normal 42 4" xfId="38112" xr:uid="{537E7F89-D578-4FE1-BBAF-08F878B05F9D}"/>
    <cellStyle name="Normal 43" xfId="4074" xr:uid="{00000000-0005-0000-0000-00000A100000}"/>
    <cellStyle name="Normal 43 2" xfId="9599" xr:uid="{00000000-0005-0000-0000-00005A1D0000}"/>
    <cellStyle name="Normal 43 2 2" xfId="42088" xr:uid="{B763003F-6E59-4FB4-9005-F7267009DFFF}"/>
    <cellStyle name="Normal 43 3" xfId="5762" xr:uid="{00000000-0005-0000-0000-0000960C0000}"/>
    <cellStyle name="Normal 43 4" xfId="38113" xr:uid="{D18D7469-9CBC-478A-B615-1657003DA3BC}"/>
    <cellStyle name="Normal 44" xfId="4075" xr:uid="{00000000-0005-0000-0000-00000B100000}"/>
    <cellStyle name="Normal 44 2" xfId="9600" xr:uid="{00000000-0005-0000-0000-00005B1D0000}"/>
    <cellStyle name="Normal 44 2 2" xfId="42089" xr:uid="{3BD4802F-A480-4C9C-97E6-E9FB3D17FB37}"/>
    <cellStyle name="Normal 44 3" xfId="5764" xr:uid="{00000000-0005-0000-0000-0000970C0000}"/>
    <cellStyle name="Normal 44 4" xfId="38114" xr:uid="{EABFF672-C8F6-4B0A-AA95-C74341F69D7A}"/>
    <cellStyle name="Normal 45" xfId="4076" xr:uid="{00000000-0005-0000-0000-00000C100000}"/>
    <cellStyle name="Normal 45 2" xfId="9601" xr:uid="{00000000-0005-0000-0000-00005C1D0000}"/>
    <cellStyle name="Normal 45 2 2" xfId="42090" xr:uid="{EA76D2B5-EC6D-4324-910D-4410D9011BA1}"/>
    <cellStyle name="Normal 45 3" xfId="5767" xr:uid="{00000000-0005-0000-0000-0000980C0000}"/>
    <cellStyle name="Normal 45 4" xfId="38115" xr:uid="{F058F8D1-F381-4A01-A32E-CAB9FFA83962}"/>
    <cellStyle name="Normal 46" xfId="4077" xr:uid="{00000000-0005-0000-0000-00000D100000}"/>
    <cellStyle name="Normal 46 2" xfId="9602" xr:uid="{00000000-0005-0000-0000-00005D1D0000}"/>
    <cellStyle name="Normal 46 2 2" xfId="42091" xr:uid="{D6DE63EA-B84F-408F-BB91-86859B7F1E0B}"/>
    <cellStyle name="Normal 46 3" xfId="5769" xr:uid="{00000000-0005-0000-0000-0000990C0000}"/>
    <cellStyle name="Normal 46 4" xfId="38116" xr:uid="{6C151499-4112-448B-9BF2-2A19AE30C1B8}"/>
    <cellStyle name="Normal 47" xfId="4078" xr:uid="{00000000-0005-0000-0000-00000E100000}"/>
    <cellStyle name="Normal 47 10" xfId="4079" xr:uid="{00000000-0005-0000-0000-00000F100000}"/>
    <cellStyle name="Normal 47 10 2" xfId="9604" xr:uid="{00000000-0005-0000-0000-00005F1D0000}"/>
    <cellStyle name="Normal 47 10 2 2" xfId="42093" xr:uid="{2C96A6C3-ACB3-4FB3-BD92-1F0EEDD500A5}"/>
    <cellStyle name="Normal 47 10 3" xfId="5771" xr:uid="{00000000-0005-0000-0000-00009B0C0000}"/>
    <cellStyle name="Normal 47 10 4" xfId="38117" xr:uid="{F5602C3C-C2E6-4275-9A00-44D8CA1C2855}"/>
    <cellStyle name="Normal 47 11" xfId="4080" xr:uid="{00000000-0005-0000-0000-000010100000}"/>
    <cellStyle name="Normal 47 11 10" xfId="5772" xr:uid="{00000000-0005-0000-0000-00009C0C0000}"/>
    <cellStyle name="Normal 47 11 11" xfId="38118" xr:uid="{6E854D65-8852-4D8D-B87F-FB5F3DDD53C4}"/>
    <cellStyle name="Normal 47 11 2" xfId="4081" xr:uid="{00000000-0005-0000-0000-000011100000}"/>
    <cellStyle name="Normal 47 11 2 2" xfId="9606" xr:uid="{00000000-0005-0000-0000-0000611D0000}"/>
    <cellStyle name="Normal 47 11 2 2 2" xfId="42095" xr:uid="{7ABB30E4-576A-4CDA-AC4D-F5ED8CCF38E7}"/>
    <cellStyle name="Normal 47 11 2 3" xfId="5773" xr:uid="{00000000-0005-0000-0000-00009D0C0000}"/>
    <cellStyle name="Normal 47 11 2 4" xfId="38119" xr:uid="{59084204-ECB0-4F0E-9C4C-35FBF9DAEA72}"/>
    <cellStyle name="Normal 47 11 3" xfId="4082" xr:uid="{00000000-0005-0000-0000-000012100000}"/>
    <cellStyle name="Normal 47 11 3 2" xfId="9607" xr:uid="{00000000-0005-0000-0000-0000621D0000}"/>
    <cellStyle name="Normal 47 11 3 2 2" xfId="42096" xr:uid="{26C8107E-73E3-4E45-AC51-9FED45B299E8}"/>
    <cellStyle name="Normal 47 11 3 3" xfId="5774" xr:uid="{00000000-0005-0000-0000-00009E0C0000}"/>
    <cellStyle name="Normal 47 11 3 4" xfId="38120" xr:uid="{85F942C4-8E7A-4E75-83B2-54E8218485E7}"/>
    <cellStyle name="Normal 47 11 4" xfId="4083" xr:uid="{00000000-0005-0000-0000-000013100000}"/>
    <cellStyle name="Normal 47 11 4 2" xfId="9608" xr:uid="{00000000-0005-0000-0000-0000631D0000}"/>
    <cellStyle name="Normal 47 11 4 2 2" xfId="42097" xr:uid="{344B685F-5090-467A-9E29-FD86556F463A}"/>
    <cellStyle name="Normal 47 11 4 3" xfId="5805" xr:uid="{00000000-0005-0000-0000-00009F0C0000}"/>
    <cellStyle name="Normal 47 11 4 4" xfId="38121" xr:uid="{B8858E4C-83BC-4E3C-A5EB-80FE88EEEE98}"/>
    <cellStyle name="Normal 47 11 5" xfId="4084" xr:uid="{00000000-0005-0000-0000-000014100000}"/>
    <cellStyle name="Normal 47 11 5 2" xfId="9609" xr:uid="{00000000-0005-0000-0000-0000641D0000}"/>
    <cellStyle name="Normal 47 11 5 2 2" xfId="42098" xr:uid="{C549EB71-EC0B-4A14-8666-093D7F50CC63}"/>
    <cellStyle name="Normal 47 11 5 3" xfId="5807" xr:uid="{00000000-0005-0000-0000-0000A00C0000}"/>
    <cellStyle name="Normal 47 11 5 4" xfId="38122" xr:uid="{28DA0478-085D-45D7-8D6C-CA22DE09FCCC}"/>
    <cellStyle name="Normal 47 11 6" xfId="4085" xr:uid="{00000000-0005-0000-0000-000015100000}"/>
    <cellStyle name="Normal 47 11 6 2" xfId="9610" xr:uid="{00000000-0005-0000-0000-0000651D0000}"/>
    <cellStyle name="Normal 47 11 6 2 2" xfId="42099" xr:uid="{CDDFEEB3-6E83-4292-B4E4-064BEC2BFDE9}"/>
    <cellStyle name="Normal 47 11 6 3" xfId="5810" xr:uid="{00000000-0005-0000-0000-0000A10C0000}"/>
    <cellStyle name="Normal 47 11 6 4" xfId="38123" xr:uid="{675625E8-F573-4DA0-A537-07A3C7A6F526}"/>
    <cellStyle name="Normal 47 11 7" xfId="4086" xr:uid="{00000000-0005-0000-0000-000016100000}"/>
    <cellStyle name="Normal 47 11 7 2" xfId="9611" xr:uid="{00000000-0005-0000-0000-0000661D0000}"/>
    <cellStyle name="Normal 47 11 7 2 2" xfId="42100" xr:uid="{0A5E78E2-D046-43B1-A532-CF995C0AA5AA}"/>
    <cellStyle name="Normal 47 11 7 3" xfId="5812" xr:uid="{00000000-0005-0000-0000-0000A20C0000}"/>
    <cellStyle name="Normal 47 11 7 4" xfId="38124" xr:uid="{5D01A776-1BB6-4B7E-9B92-766BE2F17402}"/>
    <cellStyle name="Normal 47 11 8" xfId="4087" xr:uid="{00000000-0005-0000-0000-000017100000}"/>
    <cellStyle name="Normal 47 11 8 2" xfId="9612" xr:uid="{00000000-0005-0000-0000-0000671D0000}"/>
    <cellStyle name="Normal 47 11 8 2 2" xfId="42101" xr:uid="{086DC024-7C74-4C8E-824A-694457082FAF}"/>
    <cellStyle name="Normal 47 11 8 3" xfId="5813" xr:uid="{00000000-0005-0000-0000-0000A30C0000}"/>
    <cellStyle name="Normal 47 11 8 4" xfId="38125" xr:uid="{4F591430-63F6-4682-801E-78AE6A13F05C}"/>
    <cellStyle name="Normal 47 11 9" xfId="9605" xr:uid="{00000000-0005-0000-0000-0000601D0000}"/>
    <cellStyle name="Normal 47 11 9 2" xfId="42094" xr:uid="{9BF9F27B-DB11-450B-9933-C7D6F31F2B61}"/>
    <cellStyle name="Normal 47 12" xfId="4088" xr:uid="{00000000-0005-0000-0000-000018100000}"/>
    <cellStyle name="Normal 47 12 2" xfId="9613" xr:uid="{00000000-0005-0000-0000-0000681D0000}"/>
    <cellStyle name="Normal 47 12 2 2" xfId="42102" xr:uid="{08571A9E-EDCC-4DF0-83BA-4A32A693DCE8}"/>
    <cellStyle name="Normal 47 12 3" xfId="5814" xr:uid="{00000000-0005-0000-0000-0000A40C0000}"/>
    <cellStyle name="Normal 47 12 3 2" xfId="39744" xr:uid="{08C87C6F-2245-4CF8-A8AD-4D303EA78CCE}"/>
    <cellStyle name="Normal 47 12 4" xfId="15679" xr:uid="{B2DB3F84-142C-43D8-9295-56C92A9CE877}"/>
    <cellStyle name="Normal 47 12 5" xfId="38126" xr:uid="{C0F75E6A-D867-49AD-A3F7-CC8B4E7CBA2B}"/>
    <cellStyle name="Normal 47 13" xfId="4089" xr:uid="{00000000-0005-0000-0000-000019100000}"/>
    <cellStyle name="Normal 47 13 2" xfId="9614" xr:uid="{00000000-0005-0000-0000-0000691D0000}"/>
    <cellStyle name="Normal 47 13 2 2" xfId="42103" xr:uid="{86E6918C-0138-4FF9-A07C-BB5AA7C99A5C}"/>
    <cellStyle name="Normal 47 13 3" xfId="5815" xr:uid="{00000000-0005-0000-0000-0000A50C0000}"/>
    <cellStyle name="Normal 47 13 3 2" xfId="39745" xr:uid="{D8F39CE5-0232-453C-9861-45581A884B59}"/>
    <cellStyle name="Normal 47 13 4" xfId="15680" xr:uid="{0AFA9E32-0029-413A-BBE6-E719DC419935}"/>
    <cellStyle name="Normal 47 13 5" xfId="38127" xr:uid="{7141C8AD-0FBD-4076-B6D9-B1E157628CFA}"/>
    <cellStyle name="Normal 47 14" xfId="4090" xr:uid="{00000000-0005-0000-0000-00001A100000}"/>
    <cellStyle name="Normal 47 14 2" xfId="9615" xr:uid="{00000000-0005-0000-0000-00006A1D0000}"/>
    <cellStyle name="Normal 47 14 2 2" xfId="42104" xr:uid="{1C8F6975-52F1-4843-9FDA-ACD00B22C45B}"/>
    <cellStyle name="Normal 47 14 3" xfId="5816" xr:uid="{00000000-0005-0000-0000-0000A60C0000}"/>
    <cellStyle name="Normal 47 14 3 2" xfId="39746" xr:uid="{43BE599E-E092-4E78-BA3F-24E9DDD050E8}"/>
    <cellStyle name="Normal 47 14 4" xfId="15681" xr:uid="{E3EB611A-A189-4211-9B1B-BF335136961D}"/>
    <cellStyle name="Normal 47 14 5" xfId="38128" xr:uid="{070216E7-7DBA-40A0-80D3-26012D59B43B}"/>
    <cellStyle name="Normal 47 15" xfId="4091" xr:uid="{00000000-0005-0000-0000-00001B100000}"/>
    <cellStyle name="Normal 47 15 2" xfId="9616" xr:uid="{00000000-0005-0000-0000-00006B1D0000}"/>
    <cellStyle name="Normal 47 15 2 2" xfId="42105" xr:uid="{F7F62A26-25A3-48D1-9449-90F186A1407E}"/>
    <cellStyle name="Normal 47 15 3" xfId="5817" xr:uid="{00000000-0005-0000-0000-0000A70C0000}"/>
    <cellStyle name="Normal 47 15 3 2" xfId="39747" xr:uid="{1843A8FE-6BDD-4CB4-B221-76B42DBC8D31}"/>
    <cellStyle name="Normal 47 15 4" xfId="15682" xr:uid="{BEDDB2EB-026D-4FCB-9FF4-AD0B1F7D9677}"/>
    <cellStyle name="Normal 47 15 5" xfId="38129" xr:uid="{51DE19FB-9526-41F8-A4C4-8EBCEAE51696}"/>
    <cellStyle name="Normal 47 16" xfId="4092" xr:uid="{00000000-0005-0000-0000-00001C100000}"/>
    <cellStyle name="Normal 47 16 2" xfId="9617" xr:uid="{00000000-0005-0000-0000-00006C1D0000}"/>
    <cellStyle name="Normal 47 16 2 2" xfId="42106" xr:uid="{18AD535D-4C4F-4852-9180-2FB897050CA7}"/>
    <cellStyle name="Normal 47 16 3" xfId="5848" xr:uid="{00000000-0005-0000-0000-0000A80C0000}"/>
    <cellStyle name="Normal 47 16 3 2" xfId="39778" xr:uid="{EA303B1B-161B-4B25-ACA5-4DBB296E3665}"/>
    <cellStyle name="Normal 47 16 4" xfId="15683" xr:uid="{47924050-AAB6-4DF7-A6AA-7F0F49DE20B1}"/>
    <cellStyle name="Normal 47 16 5" xfId="38130" xr:uid="{EE6C5626-6762-4648-ABF5-18ADC001665D}"/>
    <cellStyle name="Normal 47 17" xfId="4093" xr:uid="{00000000-0005-0000-0000-00001D100000}"/>
    <cellStyle name="Normal 47 17 2" xfId="9618" xr:uid="{00000000-0005-0000-0000-00006D1D0000}"/>
    <cellStyle name="Normal 47 17 2 2" xfId="42107" xr:uid="{42578491-F003-43C4-9C58-749905CA6CC4}"/>
    <cellStyle name="Normal 47 17 3" xfId="5850" xr:uid="{00000000-0005-0000-0000-0000A90C0000}"/>
    <cellStyle name="Normal 47 17 3 2" xfId="39780" xr:uid="{3000183C-9195-4DE5-8B54-50C546ED01C6}"/>
    <cellStyle name="Normal 47 17 4" xfId="15684" xr:uid="{8884183F-6C53-485E-A626-90AB58FDC847}"/>
    <cellStyle name="Normal 47 17 5" xfId="38131" xr:uid="{93EE1DD1-F885-4A96-8AD9-88A154958E55}"/>
    <cellStyle name="Normal 47 18" xfId="9603" xr:uid="{00000000-0005-0000-0000-00005E1D0000}"/>
    <cellStyle name="Normal 47 18 2" xfId="42092" xr:uid="{F65F5171-23F8-4FDE-A212-8955E4B061A6}"/>
    <cellStyle name="Normal 47 19" xfId="5770" xr:uid="{00000000-0005-0000-0000-00009A0C0000}"/>
    <cellStyle name="Normal 47 2" xfId="4094" xr:uid="{00000000-0005-0000-0000-00001E100000}"/>
    <cellStyle name="Normal 47 2 2" xfId="9619" xr:uid="{00000000-0005-0000-0000-00006E1D0000}"/>
    <cellStyle name="Normal 47 2 2 2" xfId="42108" xr:uid="{C7CCE760-9363-41B9-A1BC-978C426B2BC6}"/>
    <cellStyle name="Normal 47 2 3" xfId="5853" xr:uid="{00000000-0005-0000-0000-0000AA0C0000}"/>
    <cellStyle name="Normal 47 2 3 2" xfId="39783" xr:uid="{FD3F3BE6-5C2D-4FBB-9411-387E7DE43952}"/>
    <cellStyle name="Normal 47 2 4" xfId="15685" xr:uid="{FF842F2E-FE2E-445C-9A42-2C0C80FAA9C4}"/>
    <cellStyle name="Normal 47 2 5" xfId="38132" xr:uid="{D1CFE96F-B354-4968-843B-44801BA1833B}"/>
    <cellStyle name="Normal 47 3" xfId="4095" xr:uid="{00000000-0005-0000-0000-00001F100000}"/>
    <cellStyle name="Normal 47 3 10" xfId="5855" xr:uid="{00000000-0005-0000-0000-0000AB0C0000}"/>
    <cellStyle name="Normal 47 3 11" xfId="38133" xr:uid="{B0957D15-9DA7-4670-BED8-5D0B69EBBB40}"/>
    <cellStyle name="Normal 47 3 2" xfId="4096" xr:uid="{00000000-0005-0000-0000-000020100000}"/>
    <cellStyle name="Normal 47 3 2 2" xfId="9621" xr:uid="{00000000-0005-0000-0000-0000701D0000}"/>
    <cellStyle name="Normal 47 3 2 2 2" xfId="42110" xr:uid="{5B4D24FD-6892-484A-8FB6-D697B19B5023}"/>
    <cellStyle name="Normal 47 3 2 3" xfId="5856" xr:uid="{00000000-0005-0000-0000-0000AC0C0000}"/>
    <cellStyle name="Normal 47 3 2 4" xfId="38134" xr:uid="{EE6EB58E-0161-4D09-9E8A-FD160D6BAFFB}"/>
    <cellStyle name="Normal 47 3 3" xfId="4097" xr:uid="{00000000-0005-0000-0000-000021100000}"/>
    <cellStyle name="Normal 47 3 3 2" xfId="9622" xr:uid="{00000000-0005-0000-0000-0000711D0000}"/>
    <cellStyle name="Normal 47 3 3 2 2" xfId="42111" xr:uid="{058853DA-5D53-41E3-816F-762E59AA5E49}"/>
    <cellStyle name="Normal 47 3 3 3" xfId="5857" xr:uid="{00000000-0005-0000-0000-0000AD0C0000}"/>
    <cellStyle name="Normal 47 3 3 4" xfId="38135" xr:uid="{1FB43731-2469-479F-B63E-AC841D84B6B2}"/>
    <cellStyle name="Normal 47 3 4" xfId="4098" xr:uid="{00000000-0005-0000-0000-000022100000}"/>
    <cellStyle name="Normal 47 3 4 2" xfId="9623" xr:uid="{00000000-0005-0000-0000-0000721D0000}"/>
    <cellStyle name="Normal 47 3 4 2 2" xfId="42112" xr:uid="{B8C54D48-F7FC-46E0-A28F-44279A9F1A5E}"/>
    <cellStyle name="Normal 47 3 4 3" xfId="5858" xr:uid="{00000000-0005-0000-0000-0000AE0C0000}"/>
    <cellStyle name="Normal 47 3 4 4" xfId="38136" xr:uid="{384859AC-27B3-4C23-8192-EA135BBCCEC0}"/>
    <cellStyle name="Normal 47 3 5" xfId="4099" xr:uid="{00000000-0005-0000-0000-000023100000}"/>
    <cellStyle name="Normal 47 3 5 2" xfId="9624" xr:uid="{00000000-0005-0000-0000-0000731D0000}"/>
    <cellStyle name="Normal 47 3 5 2 2" xfId="42113" xr:uid="{3CA70B20-FFEE-4303-A4DE-018636C29C65}"/>
    <cellStyle name="Normal 47 3 5 3" xfId="5859" xr:uid="{00000000-0005-0000-0000-0000AF0C0000}"/>
    <cellStyle name="Normal 47 3 5 4" xfId="38137" xr:uid="{41C02DB8-1AAD-440B-B194-473D7135438B}"/>
    <cellStyle name="Normal 47 3 6" xfId="4100" xr:uid="{00000000-0005-0000-0000-000024100000}"/>
    <cellStyle name="Normal 47 3 6 2" xfId="9625" xr:uid="{00000000-0005-0000-0000-0000741D0000}"/>
    <cellStyle name="Normal 47 3 6 2 2" xfId="42114" xr:uid="{163649B9-CBDE-4F8F-95BA-B5D210A22BA7}"/>
    <cellStyle name="Normal 47 3 6 3" xfId="5860" xr:uid="{00000000-0005-0000-0000-0000B00C0000}"/>
    <cellStyle name="Normal 47 3 6 4" xfId="38138" xr:uid="{F3FE8B3E-84C5-4861-A55C-C27F7DB038EB}"/>
    <cellStyle name="Normal 47 3 7" xfId="4101" xr:uid="{00000000-0005-0000-0000-000025100000}"/>
    <cellStyle name="Normal 47 3 7 2" xfId="9626" xr:uid="{00000000-0005-0000-0000-0000751D0000}"/>
    <cellStyle name="Normal 47 3 7 2 2" xfId="42115" xr:uid="{021D5BCB-1CEE-4980-9842-24EE80AA961C}"/>
    <cellStyle name="Normal 47 3 7 3" xfId="5891" xr:uid="{00000000-0005-0000-0000-0000B10C0000}"/>
    <cellStyle name="Normal 47 3 7 4" xfId="38139" xr:uid="{6C41AC13-0A0F-44BA-9AEE-9317D7C0E54F}"/>
    <cellStyle name="Normal 47 3 8" xfId="4102" xr:uid="{00000000-0005-0000-0000-000026100000}"/>
    <cellStyle name="Normal 47 3 8 2" xfId="9627" xr:uid="{00000000-0005-0000-0000-0000761D0000}"/>
    <cellStyle name="Normal 47 3 8 2 2" xfId="42116" xr:uid="{A8537849-DEE8-4B32-9E1C-DB5EF0513FCF}"/>
    <cellStyle name="Normal 47 3 8 3" xfId="5892" xr:uid="{00000000-0005-0000-0000-0000B20C0000}"/>
    <cellStyle name="Normal 47 3 8 4" xfId="38140" xr:uid="{A3307A09-904C-43F6-8D86-26DB942EEED9}"/>
    <cellStyle name="Normal 47 3 9" xfId="9620" xr:uid="{00000000-0005-0000-0000-00006F1D0000}"/>
    <cellStyle name="Normal 47 3 9 2" xfId="42109" xr:uid="{3C5A86CB-B1DB-460F-BD56-70901D4B267B}"/>
    <cellStyle name="Normal 47 4" xfId="4103" xr:uid="{00000000-0005-0000-0000-000027100000}"/>
    <cellStyle name="Normal 47 4 10" xfId="5893" xr:uid="{00000000-0005-0000-0000-0000B30C0000}"/>
    <cellStyle name="Normal 47 4 11" xfId="38141" xr:uid="{A7CC4ECD-411E-47B8-97DD-75CE2F91E5AC}"/>
    <cellStyle name="Normal 47 4 2" xfId="4104" xr:uid="{00000000-0005-0000-0000-000028100000}"/>
    <cellStyle name="Normal 47 4 2 2" xfId="9629" xr:uid="{00000000-0005-0000-0000-0000781D0000}"/>
    <cellStyle name="Normal 47 4 2 2 2" xfId="42118" xr:uid="{FBF757A0-B69D-4108-90A6-47374DBF0FE6}"/>
    <cellStyle name="Normal 47 4 2 3" xfId="5894" xr:uid="{00000000-0005-0000-0000-0000B40C0000}"/>
    <cellStyle name="Normal 47 4 2 4" xfId="38142" xr:uid="{68F87453-4D3C-455C-A179-3AC4B200551B}"/>
    <cellStyle name="Normal 47 4 3" xfId="4105" xr:uid="{00000000-0005-0000-0000-000029100000}"/>
    <cellStyle name="Normal 47 4 3 2" xfId="9630" xr:uid="{00000000-0005-0000-0000-0000791D0000}"/>
    <cellStyle name="Normal 47 4 3 2 2" xfId="42119" xr:uid="{27DB7AF0-C014-438B-915B-38C1F69C38B4}"/>
    <cellStyle name="Normal 47 4 3 3" xfId="5895" xr:uid="{00000000-0005-0000-0000-0000B50C0000}"/>
    <cellStyle name="Normal 47 4 3 4" xfId="38143" xr:uid="{78774C02-33A9-40E4-9B64-E75E8146D3BA}"/>
    <cellStyle name="Normal 47 4 4" xfId="4106" xr:uid="{00000000-0005-0000-0000-00002A100000}"/>
    <cellStyle name="Normal 47 4 4 2" xfId="9631" xr:uid="{00000000-0005-0000-0000-00007A1D0000}"/>
    <cellStyle name="Normal 47 4 4 2 2" xfId="42120" xr:uid="{4BFEDA19-68AD-49D7-9673-E836CB400B5F}"/>
    <cellStyle name="Normal 47 4 4 3" xfId="5896" xr:uid="{00000000-0005-0000-0000-0000B60C0000}"/>
    <cellStyle name="Normal 47 4 4 4" xfId="38144" xr:uid="{EB74EB51-34D3-41A1-A062-1ADB0B65B6CA}"/>
    <cellStyle name="Normal 47 4 5" xfId="4107" xr:uid="{00000000-0005-0000-0000-00002B100000}"/>
    <cellStyle name="Normal 47 4 5 2" xfId="9632" xr:uid="{00000000-0005-0000-0000-00007B1D0000}"/>
    <cellStyle name="Normal 47 4 5 2 2" xfId="42121" xr:uid="{2EBBADED-2D50-483A-AA2B-2676590FF3F5}"/>
    <cellStyle name="Normal 47 4 5 3" xfId="5897" xr:uid="{00000000-0005-0000-0000-0000B70C0000}"/>
    <cellStyle name="Normal 47 4 5 4" xfId="38145" xr:uid="{2C38F116-4BD1-4E50-AC91-84E058574528}"/>
    <cellStyle name="Normal 47 4 6" xfId="4108" xr:uid="{00000000-0005-0000-0000-00002C100000}"/>
    <cellStyle name="Normal 47 4 6 2" xfId="9633" xr:uid="{00000000-0005-0000-0000-00007C1D0000}"/>
    <cellStyle name="Normal 47 4 6 2 2" xfId="42122" xr:uid="{4B75AAFD-506F-4D1A-A312-88D5590FDA0B}"/>
    <cellStyle name="Normal 47 4 6 3" xfId="5899" xr:uid="{00000000-0005-0000-0000-0000B80C0000}"/>
    <cellStyle name="Normal 47 4 6 4" xfId="38146" xr:uid="{D3E8B5B0-B5CC-4EB4-9EB2-4DF9A2F801A3}"/>
    <cellStyle name="Normal 47 4 7" xfId="4109" xr:uid="{00000000-0005-0000-0000-00002D100000}"/>
    <cellStyle name="Normal 47 4 7 2" xfId="9634" xr:uid="{00000000-0005-0000-0000-00007D1D0000}"/>
    <cellStyle name="Normal 47 4 7 2 2" xfId="42123" xr:uid="{687E8D31-26EE-4CD5-ACA9-B5A2AEA93FC1}"/>
    <cellStyle name="Normal 47 4 7 3" xfId="5902" xr:uid="{00000000-0005-0000-0000-0000B90C0000}"/>
    <cellStyle name="Normal 47 4 7 4" xfId="38147" xr:uid="{C55D6270-5F49-44F4-B8B6-222105C6F2A7}"/>
    <cellStyle name="Normal 47 4 8" xfId="4110" xr:uid="{00000000-0005-0000-0000-00002E100000}"/>
    <cellStyle name="Normal 47 4 8 2" xfId="9635" xr:uid="{00000000-0005-0000-0000-00007E1D0000}"/>
    <cellStyle name="Normal 47 4 8 2 2" xfId="42124" xr:uid="{AD9C2A95-5CAD-4FF1-BCCF-65260364F356}"/>
    <cellStyle name="Normal 47 4 8 3" xfId="5904" xr:uid="{00000000-0005-0000-0000-0000BA0C0000}"/>
    <cellStyle name="Normal 47 4 8 4" xfId="38148" xr:uid="{F982F235-5276-4CCD-9FAD-AF08804BC259}"/>
    <cellStyle name="Normal 47 4 9" xfId="9628" xr:uid="{00000000-0005-0000-0000-0000771D0000}"/>
    <cellStyle name="Normal 47 4 9 2" xfId="42117" xr:uid="{AB56C246-C9A2-4047-B668-28DAC707212F}"/>
    <cellStyle name="Normal 47 5" xfId="4111" xr:uid="{00000000-0005-0000-0000-00002F100000}"/>
    <cellStyle name="Normal 47 5 10" xfId="5905" xr:uid="{00000000-0005-0000-0000-0000BB0C0000}"/>
    <cellStyle name="Normal 47 5 11" xfId="38149" xr:uid="{1D9BC3A0-5905-43EC-BC59-42BCD45A796C}"/>
    <cellStyle name="Normal 47 5 2" xfId="4112" xr:uid="{00000000-0005-0000-0000-000030100000}"/>
    <cellStyle name="Normal 47 5 2 2" xfId="9637" xr:uid="{00000000-0005-0000-0000-0000801D0000}"/>
    <cellStyle name="Normal 47 5 2 2 2" xfId="42126" xr:uid="{37BFAF2A-F1A5-4130-8F37-96663CBC5597}"/>
    <cellStyle name="Normal 47 5 2 3" xfId="5906" xr:uid="{00000000-0005-0000-0000-0000BC0C0000}"/>
    <cellStyle name="Normal 47 5 2 4" xfId="38150" xr:uid="{9D3D3C56-CF9D-4890-A0F4-8FE31FCC7C69}"/>
    <cellStyle name="Normal 47 5 3" xfId="4113" xr:uid="{00000000-0005-0000-0000-000031100000}"/>
    <cellStyle name="Normal 47 5 3 2" xfId="9638" xr:uid="{00000000-0005-0000-0000-0000811D0000}"/>
    <cellStyle name="Normal 47 5 3 2 2" xfId="42127" xr:uid="{30900E14-7610-4C63-9140-799D1A32B4F1}"/>
    <cellStyle name="Normal 47 5 3 3" xfId="5907" xr:uid="{00000000-0005-0000-0000-0000BD0C0000}"/>
    <cellStyle name="Normal 47 5 3 4" xfId="38151" xr:uid="{37140E76-6822-4DD4-8D57-95503241209F}"/>
    <cellStyle name="Normal 47 5 4" xfId="4114" xr:uid="{00000000-0005-0000-0000-000032100000}"/>
    <cellStyle name="Normal 47 5 4 2" xfId="9639" xr:uid="{00000000-0005-0000-0000-0000821D0000}"/>
    <cellStyle name="Normal 47 5 4 2 2" xfId="42128" xr:uid="{AD30D5F3-0C91-49DE-B367-21360EED08B3}"/>
    <cellStyle name="Normal 47 5 4 3" xfId="5908" xr:uid="{00000000-0005-0000-0000-0000BE0C0000}"/>
    <cellStyle name="Normal 47 5 4 4" xfId="38152" xr:uid="{ED73C7C0-76BF-4B0E-8442-1E5646A8B130}"/>
    <cellStyle name="Normal 47 5 5" xfId="4115" xr:uid="{00000000-0005-0000-0000-000033100000}"/>
    <cellStyle name="Normal 47 5 5 2" xfId="9640" xr:uid="{00000000-0005-0000-0000-0000831D0000}"/>
    <cellStyle name="Normal 47 5 5 2 2" xfId="42129" xr:uid="{49DF66E2-7B52-4FCA-B452-3F4956ED436D}"/>
    <cellStyle name="Normal 47 5 5 3" xfId="5909" xr:uid="{00000000-0005-0000-0000-0000BF0C0000}"/>
    <cellStyle name="Normal 47 5 5 4" xfId="38153" xr:uid="{4A61AA88-F2CC-43F3-B31A-2970A7DFCE99}"/>
    <cellStyle name="Normal 47 5 6" xfId="4116" xr:uid="{00000000-0005-0000-0000-000034100000}"/>
    <cellStyle name="Normal 47 5 6 2" xfId="9641" xr:uid="{00000000-0005-0000-0000-0000841D0000}"/>
    <cellStyle name="Normal 47 5 6 2 2" xfId="42130" xr:uid="{77AB8F82-27E4-477D-BCE9-948217C0654B}"/>
    <cellStyle name="Normal 47 5 6 3" xfId="5940" xr:uid="{00000000-0005-0000-0000-0000C00C0000}"/>
    <cellStyle name="Normal 47 5 6 4" xfId="38154" xr:uid="{C61780B8-3DCB-4F96-B1AC-C0F1F32ADC00}"/>
    <cellStyle name="Normal 47 5 7" xfId="4117" xr:uid="{00000000-0005-0000-0000-000035100000}"/>
    <cellStyle name="Normal 47 5 7 2" xfId="9642" xr:uid="{00000000-0005-0000-0000-0000851D0000}"/>
    <cellStyle name="Normal 47 5 7 2 2" xfId="42131" xr:uid="{329A763B-57C5-4C00-8AD9-0953E80864F4}"/>
    <cellStyle name="Normal 47 5 7 3" xfId="5942" xr:uid="{00000000-0005-0000-0000-0000C10C0000}"/>
    <cellStyle name="Normal 47 5 7 4" xfId="38155" xr:uid="{5B2D7CF7-1215-4A44-9D82-81DE64FE8A36}"/>
    <cellStyle name="Normal 47 5 8" xfId="4118" xr:uid="{00000000-0005-0000-0000-000036100000}"/>
    <cellStyle name="Normal 47 5 8 2" xfId="9643" xr:uid="{00000000-0005-0000-0000-0000861D0000}"/>
    <cellStyle name="Normal 47 5 8 2 2" xfId="42132" xr:uid="{63CAE6E5-C2FC-4585-9409-2F0628F53C22}"/>
    <cellStyle name="Normal 47 5 8 3" xfId="5945" xr:uid="{00000000-0005-0000-0000-0000C20C0000}"/>
    <cellStyle name="Normal 47 5 8 4" xfId="38156" xr:uid="{69559D21-C6BC-4430-AD06-4D7602CD38A1}"/>
    <cellStyle name="Normal 47 5 9" xfId="9636" xr:uid="{00000000-0005-0000-0000-00007F1D0000}"/>
    <cellStyle name="Normal 47 5 9 2" xfId="42125" xr:uid="{0725467A-6428-4975-8ED8-FBE9E522FEAF}"/>
    <cellStyle name="Normal 47 6" xfId="4119" xr:uid="{00000000-0005-0000-0000-000037100000}"/>
    <cellStyle name="Normal 47 6 10" xfId="5947" xr:uid="{00000000-0005-0000-0000-0000C30C0000}"/>
    <cellStyle name="Normal 47 6 11" xfId="38157" xr:uid="{93E47B51-D703-4827-9944-EC997BB3D00E}"/>
    <cellStyle name="Normal 47 6 2" xfId="4120" xr:uid="{00000000-0005-0000-0000-000038100000}"/>
    <cellStyle name="Normal 47 6 2 2" xfId="9645" xr:uid="{00000000-0005-0000-0000-0000881D0000}"/>
    <cellStyle name="Normal 47 6 2 2 2" xfId="42134" xr:uid="{112AD9BD-2FCC-418F-9E5A-6794C86D6E9B}"/>
    <cellStyle name="Normal 47 6 2 3" xfId="5948" xr:uid="{00000000-0005-0000-0000-0000C40C0000}"/>
    <cellStyle name="Normal 47 6 2 4" xfId="38158" xr:uid="{81A765E7-E0E8-4AE2-B857-EBC0877B3840}"/>
    <cellStyle name="Normal 47 6 3" xfId="4121" xr:uid="{00000000-0005-0000-0000-000039100000}"/>
    <cellStyle name="Normal 47 6 3 2" xfId="9646" xr:uid="{00000000-0005-0000-0000-0000891D0000}"/>
    <cellStyle name="Normal 47 6 3 2 2" xfId="42135" xr:uid="{10DDFA57-907E-4D4E-821D-C70CB90BB56D}"/>
    <cellStyle name="Normal 47 6 3 3" xfId="5949" xr:uid="{00000000-0005-0000-0000-0000C50C0000}"/>
    <cellStyle name="Normal 47 6 3 4" xfId="38159" xr:uid="{E0870B2A-B465-4783-AE3F-1D3D22DC2D04}"/>
    <cellStyle name="Normal 47 6 4" xfId="4122" xr:uid="{00000000-0005-0000-0000-00003A100000}"/>
    <cellStyle name="Normal 47 6 4 2" xfId="9647" xr:uid="{00000000-0005-0000-0000-00008A1D0000}"/>
    <cellStyle name="Normal 47 6 4 2 2" xfId="42136" xr:uid="{307208B4-38BA-4809-AC3C-BD8A45AE2EB4}"/>
    <cellStyle name="Normal 47 6 4 3" xfId="5950" xr:uid="{00000000-0005-0000-0000-0000C60C0000}"/>
    <cellStyle name="Normal 47 6 4 4" xfId="38160" xr:uid="{A0B3B36F-D758-49ED-9815-5925A22C4657}"/>
    <cellStyle name="Normal 47 6 5" xfId="4123" xr:uid="{00000000-0005-0000-0000-00003B100000}"/>
    <cellStyle name="Normal 47 6 5 2" xfId="9648" xr:uid="{00000000-0005-0000-0000-00008B1D0000}"/>
    <cellStyle name="Normal 47 6 5 2 2" xfId="42137" xr:uid="{0042B857-4BDD-41AC-94B2-9A35A9C01CBB}"/>
    <cellStyle name="Normal 47 6 5 3" xfId="5951" xr:uid="{00000000-0005-0000-0000-0000C70C0000}"/>
    <cellStyle name="Normal 47 6 5 4" xfId="38161" xr:uid="{82F2BE7B-30EB-4F1A-BAD1-BDA00E061E2D}"/>
    <cellStyle name="Normal 47 6 6" xfId="4124" xr:uid="{00000000-0005-0000-0000-00003C100000}"/>
    <cellStyle name="Normal 47 6 6 2" xfId="9649" xr:uid="{00000000-0005-0000-0000-00008C1D0000}"/>
    <cellStyle name="Normal 47 6 6 2 2" xfId="42138" xr:uid="{0AC4FAB5-0675-4724-8AC8-85BE3DDCA66C}"/>
    <cellStyle name="Normal 47 6 6 3" xfId="5952" xr:uid="{00000000-0005-0000-0000-0000C80C0000}"/>
    <cellStyle name="Normal 47 6 6 4" xfId="38162" xr:uid="{48EE02D8-5F4C-4090-A15E-8AE174DCDC47}"/>
    <cellStyle name="Normal 47 6 7" xfId="4125" xr:uid="{00000000-0005-0000-0000-00003D100000}"/>
    <cellStyle name="Normal 47 6 7 2" xfId="9650" xr:uid="{00000000-0005-0000-0000-00008D1D0000}"/>
    <cellStyle name="Normal 47 6 7 2 2" xfId="42139" xr:uid="{64FCDBBC-1990-4376-8F74-4B9E1C873942}"/>
    <cellStyle name="Normal 47 6 7 3" xfId="5983" xr:uid="{00000000-0005-0000-0000-0000C90C0000}"/>
    <cellStyle name="Normal 47 6 7 4" xfId="38163" xr:uid="{20A9B25B-4FFE-4145-9257-16298EA73670}"/>
    <cellStyle name="Normal 47 6 8" xfId="4126" xr:uid="{00000000-0005-0000-0000-00003E100000}"/>
    <cellStyle name="Normal 47 6 8 2" xfId="9651" xr:uid="{00000000-0005-0000-0000-00008E1D0000}"/>
    <cellStyle name="Normal 47 6 8 2 2" xfId="42140" xr:uid="{711D1ED8-3E6A-4DAC-A8FE-B3700A0FD0E5}"/>
    <cellStyle name="Normal 47 6 8 3" xfId="5985" xr:uid="{00000000-0005-0000-0000-0000CA0C0000}"/>
    <cellStyle name="Normal 47 6 8 4" xfId="38164" xr:uid="{5F2FB75F-1DC9-458A-B8FA-AA95776395EC}"/>
    <cellStyle name="Normal 47 6 9" xfId="9644" xr:uid="{00000000-0005-0000-0000-0000871D0000}"/>
    <cellStyle name="Normal 47 6 9 2" xfId="42133" xr:uid="{05DC537C-0048-4F33-A3B6-34154293E94D}"/>
    <cellStyle name="Normal 47 7" xfId="4127" xr:uid="{00000000-0005-0000-0000-00003F100000}"/>
    <cellStyle name="Normal 47 7 10" xfId="5988" xr:uid="{00000000-0005-0000-0000-0000CB0C0000}"/>
    <cellStyle name="Normal 47 7 11" xfId="38165" xr:uid="{619AA0F4-3369-4FF2-9E56-C30B84019CC7}"/>
    <cellStyle name="Normal 47 7 2" xfId="4128" xr:uid="{00000000-0005-0000-0000-000040100000}"/>
    <cellStyle name="Normal 47 7 2 2" xfId="9653" xr:uid="{00000000-0005-0000-0000-0000901D0000}"/>
    <cellStyle name="Normal 47 7 2 2 2" xfId="42142" xr:uid="{AB99D654-68C9-4B5C-A2E8-6DA3D7BF57A3}"/>
    <cellStyle name="Normal 47 7 2 3" xfId="5990" xr:uid="{00000000-0005-0000-0000-0000CC0C0000}"/>
    <cellStyle name="Normal 47 7 2 4" xfId="38166" xr:uid="{AD78BA93-D11E-41F8-8976-65C5186A8194}"/>
    <cellStyle name="Normal 47 7 3" xfId="4129" xr:uid="{00000000-0005-0000-0000-000041100000}"/>
    <cellStyle name="Normal 47 7 3 2" xfId="9654" xr:uid="{00000000-0005-0000-0000-0000911D0000}"/>
    <cellStyle name="Normal 47 7 3 2 2" xfId="42143" xr:uid="{1A9DD4F0-F9E5-40E4-8785-F8269953DAD4}"/>
    <cellStyle name="Normal 47 7 3 3" xfId="5991" xr:uid="{00000000-0005-0000-0000-0000CD0C0000}"/>
    <cellStyle name="Normal 47 7 3 4" xfId="38167" xr:uid="{5D3F694A-5784-4D37-802F-1A24DE4ECA22}"/>
    <cellStyle name="Normal 47 7 4" xfId="4130" xr:uid="{00000000-0005-0000-0000-000042100000}"/>
    <cellStyle name="Normal 47 7 4 2" xfId="9655" xr:uid="{00000000-0005-0000-0000-0000921D0000}"/>
    <cellStyle name="Normal 47 7 4 2 2" xfId="42144" xr:uid="{89F1CEA8-7218-43C6-93BE-2A6CDC1CCB40}"/>
    <cellStyle name="Normal 47 7 4 3" xfId="5992" xr:uid="{00000000-0005-0000-0000-0000CE0C0000}"/>
    <cellStyle name="Normal 47 7 4 4" xfId="38168" xr:uid="{52549604-3171-46FC-97DB-98A3B0C6C562}"/>
    <cellStyle name="Normal 47 7 5" xfId="4131" xr:uid="{00000000-0005-0000-0000-000043100000}"/>
    <cellStyle name="Normal 47 7 5 2" xfId="9656" xr:uid="{00000000-0005-0000-0000-0000931D0000}"/>
    <cellStyle name="Normal 47 7 5 2 2" xfId="42145" xr:uid="{0F4704DF-7F10-4848-A7CE-C9E82A38F3E7}"/>
    <cellStyle name="Normal 47 7 5 3" xfId="5993" xr:uid="{00000000-0005-0000-0000-0000CF0C0000}"/>
    <cellStyle name="Normal 47 7 5 4" xfId="38169" xr:uid="{F8E4FBE3-05AF-4029-9CAD-E20E7317D270}"/>
    <cellStyle name="Normal 47 7 6" xfId="4132" xr:uid="{00000000-0005-0000-0000-000044100000}"/>
    <cellStyle name="Normal 47 7 6 2" xfId="9657" xr:uid="{00000000-0005-0000-0000-0000941D0000}"/>
    <cellStyle name="Normal 47 7 6 2 2" xfId="42146" xr:uid="{A8B46003-0004-48DE-919E-1BB1A9CC2DB1}"/>
    <cellStyle name="Normal 47 7 6 3" xfId="5994" xr:uid="{00000000-0005-0000-0000-0000D00C0000}"/>
    <cellStyle name="Normal 47 7 6 4" xfId="38170" xr:uid="{A052098F-C813-4DB3-B86E-61F987D260EA}"/>
    <cellStyle name="Normal 47 7 7" xfId="4133" xr:uid="{00000000-0005-0000-0000-000045100000}"/>
    <cellStyle name="Normal 47 7 7 2" xfId="9658" xr:uid="{00000000-0005-0000-0000-0000951D0000}"/>
    <cellStyle name="Normal 47 7 7 2 2" xfId="42147" xr:uid="{384F519C-4390-490D-9077-AD1840A3BD64}"/>
    <cellStyle name="Normal 47 7 7 3" xfId="5995" xr:uid="{00000000-0005-0000-0000-0000D10C0000}"/>
    <cellStyle name="Normal 47 7 7 4" xfId="38171" xr:uid="{140A32CF-4651-4B1F-AA2D-DCF70BDA1E4F}"/>
    <cellStyle name="Normal 47 7 8" xfId="4134" xr:uid="{00000000-0005-0000-0000-000046100000}"/>
    <cellStyle name="Normal 47 7 8 2" xfId="9659" xr:uid="{00000000-0005-0000-0000-0000961D0000}"/>
    <cellStyle name="Normal 47 7 8 2 2" xfId="42148" xr:uid="{1062B69A-A3C5-4A03-BD10-80F92619D7AB}"/>
    <cellStyle name="Normal 47 7 8 3" xfId="6026" xr:uid="{00000000-0005-0000-0000-0000D20C0000}"/>
    <cellStyle name="Normal 47 7 8 4" xfId="38172" xr:uid="{62BE7CFA-D75C-4DF4-977A-F88DABB56090}"/>
    <cellStyle name="Normal 47 7 9" xfId="9652" xr:uid="{00000000-0005-0000-0000-00008F1D0000}"/>
    <cellStyle name="Normal 47 7 9 2" xfId="42141" xr:uid="{AEA2A98D-666F-4523-9973-1664DD4B5625}"/>
    <cellStyle name="Normal 47 8" xfId="4135" xr:uid="{00000000-0005-0000-0000-000047100000}"/>
    <cellStyle name="Normal 47 8 10" xfId="6028" xr:uid="{00000000-0005-0000-0000-0000D30C0000}"/>
    <cellStyle name="Normal 47 8 11" xfId="38173" xr:uid="{6D2B1BDB-FDA4-4A53-9B48-ADA0FE379BC6}"/>
    <cellStyle name="Normal 47 8 2" xfId="4136" xr:uid="{00000000-0005-0000-0000-000048100000}"/>
    <cellStyle name="Normal 47 8 2 2" xfId="9661" xr:uid="{00000000-0005-0000-0000-0000981D0000}"/>
    <cellStyle name="Normal 47 8 2 2 2" xfId="42150" xr:uid="{617DB161-3DE0-49CE-9D1F-15E2D90514B6}"/>
    <cellStyle name="Normal 47 8 2 3" xfId="6031" xr:uid="{00000000-0005-0000-0000-0000D40C0000}"/>
    <cellStyle name="Normal 47 8 2 4" xfId="38174" xr:uid="{4B1DC2E6-36E8-4836-92F4-C29A42FE2CFF}"/>
    <cellStyle name="Normal 47 8 3" xfId="4137" xr:uid="{00000000-0005-0000-0000-000049100000}"/>
    <cellStyle name="Normal 47 8 3 2" xfId="9662" xr:uid="{00000000-0005-0000-0000-0000991D0000}"/>
    <cellStyle name="Normal 47 8 3 2 2" xfId="42151" xr:uid="{F6616E0F-BA70-4A5E-B93B-D47B4B2733EF}"/>
    <cellStyle name="Normal 47 8 3 3" xfId="6033" xr:uid="{00000000-0005-0000-0000-0000D50C0000}"/>
    <cellStyle name="Normal 47 8 3 4" xfId="38175" xr:uid="{EFAF98BC-411A-47A9-906D-CF6AD5991DE5}"/>
    <cellStyle name="Normal 47 8 4" xfId="4138" xr:uid="{00000000-0005-0000-0000-00004A100000}"/>
    <cellStyle name="Normal 47 8 4 2" xfId="9663" xr:uid="{00000000-0005-0000-0000-00009A1D0000}"/>
    <cellStyle name="Normal 47 8 4 2 2" xfId="42152" xr:uid="{3613F63C-2CFE-494A-99D1-7D6B6A3E2298}"/>
    <cellStyle name="Normal 47 8 4 3" xfId="6034" xr:uid="{00000000-0005-0000-0000-0000D60C0000}"/>
    <cellStyle name="Normal 47 8 4 4" xfId="38176" xr:uid="{1C67BF94-754B-4ABD-AF49-1E180BBC84B4}"/>
    <cellStyle name="Normal 47 8 5" xfId="4139" xr:uid="{00000000-0005-0000-0000-00004B100000}"/>
    <cellStyle name="Normal 47 8 5 2" xfId="9664" xr:uid="{00000000-0005-0000-0000-00009B1D0000}"/>
    <cellStyle name="Normal 47 8 5 2 2" xfId="42153" xr:uid="{E02070AF-E860-465D-9F3C-75C6C482EC56}"/>
    <cellStyle name="Normal 47 8 5 3" xfId="6035" xr:uid="{00000000-0005-0000-0000-0000D70C0000}"/>
    <cellStyle name="Normal 47 8 5 4" xfId="38177" xr:uid="{BB7F500A-55BF-4CFE-B50C-56E9B07716C3}"/>
    <cellStyle name="Normal 47 8 6" xfId="4140" xr:uid="{00000000-0005-0000-0000-00004C100000}"/>
    <cellStyle name="Normal 47 8 6 2" xfId="9665" xr:uid="{00000000-0005-0000-0000-00009C1D0000}"/>
    <cellStyle name="Normal 47 8 6 2 2" xfId="42154" xr:uid="{AA19C5F3-B45C-4CA1-A817-E89645AE8BE5}"/>
    <cellStyle name="Normal 47 8 6 3" xfId="6036" xr:uid="{00000000-0005-0000-0000-0000D80C0000}"/>
    <cellStyle name="Normal 47 8 6 4" xfId="38178" xr:uid="{B78733B0-4ED1-40D8-813D-3DC0B0DF854D}"/>
    <cellStyle name="Normal 47 8 7" xfId="4141" xr:uid="{00000000-0005-0000-0000-00004D100000}"/>
    <cellStyle name="Normal 47 8 7 2" xfId="9666" xr:uid="{00000000-0005-0000-0000-00009D1D0000}"/>
    <cellStyle name="Normal 47 8 7 2 2" xfId="42155" xr:uid="{F7CB0423-C218-454F-9B84-CE987A399729}"/>
    <cellStyle name="Normal 47 8 7 3" xfId="6037" xr:uid="{00000000-0005-0000-0000-0000D90C0000}"/>
    <cellStyle name="Normal 47 8 7 4" xfId="38179" xr:uid="{AB9A42F6-E3B5-4613-9E4B-128CBC55E57F}"/>
    <cellStyle name="Normal 47 8 8" xfId="4142" xr:uid="{00000000-0005-0000-0000-00004E100000}"/>
    <cellStyle name="Normal 47 8 8 2" xfId="9667" xr:uid="{00000000-0005-0000-0000-00009E1D0000}"/>
    <cellStyle name="Normal 47 8 8 2 2" xfId="42156" xr:uid="{EB272554-87D1-4159-AE2A-16A0442FB574}"/>
    <cellStyle name="Normal 47 8 8 3" xfId="6038" xr:uid="{00000000-0005-0000-0000-0000DA0C0000}"/>
    <cellStyle name="Normal 47 8 8 4" xfId="38180" xr:uid="{C7BE0319-CDA5-4B13-BB93-0088D1F8FD07}"/>
    <cellStyle name="Normal 47 8 9" xfId="9660" xr:uid="{00000000-0005-0000-0000-0000971D0000}"/>
    <cellStyle name="Normal 47 8 9 2" xfId="42149" xr:uid="{2C09C610-7D3D-4BA5-B046-5121678AB9B8}"/>
    <cellStyle name="Normal 47 9" xfId="4143" xr:uid="{00000000-0005-0000-0000-00004F100000}"/>
    <cellStyle name="Normal 47 9 2" xfId="9668" xr:uid="{00000000-0005-0000-0000-00009F1D0000}"/>
    <cellStyle name="Normal 47 9 2 2" xfId="42157" xr:uid="{0D7ABD8E-8CF0-47D4-9408-73A7B771652A}"/>
    <cellStyle name="Normal 47 9 3" xfId="6069" xr:uid="{00000000-0005-0000-0000-0000DB0C0000}"/>
    <cellStyle name="Normal 47 9 4" xfId="38181" xr:uid="{346F8E43-70EE-4E33-B205-8604490E911D}"/>
    <cellStyle name="Normal 48" xfId="4144" xr:uid="{00000000-0005-0000-0000-000050100000}"/>
    <cellStyle name="Normal 48 2" xfId="9669" xr:uid="{00000000-0005-0000-0000-0000A01D0000}"/>
    <cellStyle name="Normal 48 2 2" xfId="42158" xr:uid="{0919F43F-2AFD-4D10-9BF9-91554100D0ED}"/>
    <cellStyle name="Normal 48 3" xfId="6071" xr:uid="{00000000-0005-0000-0000-0000DC0C0000}"/>
    <cellStyle name="Normal 48 4" xfId="38182" xr:uid="{76FE1AF8-DE61-4E45-AFCC-37DA84356FD1}"/>
    <cellStyle name="Normal 49" xfId="4145" xr:uid="{00000000-0005-0000-0000-000051100000}"/>
    <cellStyle name="Normal 49 10" xfId="6074" xr:uid="{00000000-0005-0000-0000-0000DD0C0000}"/>
    <cellStyle name="Normal 49 10 2" xfId="39974" xr:uid="{136691E4-BE42-4967-A73B-D4E34A002416}"/>
    <cellStyle name="Normal 49 11" xfId="15705" xr:uid="{2C806C93-12EC-457B-AFC2-4791ECF07188}"/>
    <cellStyle name="Normal 49 12" xfId="38183" xr:uid="{39658D5B-B7B4-4ED3-920D-ECDA0535C11F}"/>
    <cellStyle name="Normal 49 2" xfId="4146" xr:uid="{00000000-0005-0000-0000-000052100000}"/>
    <cellStyle name="Normal 49 2 2" xfId="4147" xr:uid="{00000000-0005-0000-0000-000053100000}"/>
    <cellStyle name="Normal 49 2 2 2" xfId="4148" xr:uid="{00000000-0005-0000-0000-000054100000}"/>
    <cellStyle name="Normal 49 2 2 2 2" xfId="4149" xr:uid="{00000000-0005-0000-0000-000055100000}"/>
    <cellStyle name="Normal 49 2 2 2 2 2" xfId="9674" xr:uid="{00000000-0005-0000-0000-0000A51D0000}"/>
    <cellStyle name="Normal 49 2 2 2 2 2 2" xfId="42163" xr:uid="{62C9AA21-2F11-4D82-9363-D486C821A25D}"/>
    <cellStyle name="Normal 49 2 2 2 2 3" xfId="6079" xr:uid="{00000000-0005-0000-0000-0000E10C0000}"/>
    <cellStyle name="Normal 49 2 2 2 2 3 2" xfId="39979" xr:uid="{A37D5C38-61CB-4445-9B87-B5D854098078}"/>
    <cellStyle name="Normal 49 2 2 2 2 4" xfId="15709" xr:uid="{F0C3B802-72BE-4543-BF39-9762027EC872}"/>
    <cellStyle name="Normal 49 2 2 2 2 5" xfId="38187" xr:uid="{9EC5CBB7-C0F0-4E79-888E-CAFC0D172D39}"/>
    <cellStyle name="Normal 49 2 2 2 3" xfId="9673" xr:uid="{00000000-0005-0000-0000-0000A41D0000}"/>
    <cellStyle name="Normal 49 2 2 2 3 2" xfId="42162" xr:uid="{62E57C85-CE16-4184-8D76-789BF42FC488}"/>
    <cellStyle name="Normal 49 2 2 2 4" xfId="6078" xr:uid="{00000000-0005-0000-0000-0000E00C0000}"/>
    <cellStyle name="Normal 49 2 2 2 4 2" xfId="39978" xr:uid="{59BFCACB-D366-42C2-8392-1640BEF7C1D3}"/>
    <cellStyle name="Normal 49 2 2 2 5" xfId="15708" xr:uid="{44882252-6AAF-4BA8-961F-0D614CC21F7E}"/>
    <cellStyle name="Normal 49 2 2 2 6" xfId="38186" xr:uid="{50489411-D39C-440E-8B30-567543308171}"/>
    <cellStyle name="Normal 49 2 2 3" xfId="4150" xr:uid="{00000000-0005-0000-0000-000056100000}"/>
    <cellStyle name="Normal 49 2 2 3 2" xfId="9675" xr:uid="{00000000-0005-0000-0000-0000A61D0000}"/>
    <cellStyle name="Normal 49 2 2 3 2 2" xfId="42164" xr:uid="{22028DC4-EF3B-49D2-85D7-101934B6557C}"/>
    <cellStyle name="Normal 49 2 2 3 3" xfId="6080" xr:uid="{00000000-0005-0000-0000-0000E20C0000}"/>
    <cellStyle name="Normal 49 2 2 3 3 2" xfId="39980" xr:uid="{ECDF8C9B-3EBF-484A-A1F1-B7D43AA28E10}"/>
    <cellStyle name="Normal 49 2 2 3 4" xfId="15710" xr:uid="{AAF23E9C-959C-4B55-BB77-DA85DC2742E2}"/>
    <cellStyle name="Normal 49 2 2 3 5" xfId="38188" xr:uid="{812970C0-45BE-4687-B038-F0B5968BDF62}"/>
    <cellStyle name="Normal 49 2 2 4" xfId="9672" xr:uid="{00000000-0005-0000-0000-0000A31D0000}"/>
    <cellStyle name="Normal 49 2 2 4 2" xfId="42161" xr:uid="{99300117-59D2-4E4E-83B4-86A5F49FADF3}"/>
    <cellStyle name="Normal 49 2 2 5" xfId="6077" xr:uid="{00000000-0005-0000-0000-0000DF0C0000}"/>
    <cellStyle name="Normal 49 2 2 5 2" xfId="39977" xr:uid="{BDC903F4-CCE9-450A-AE33-D216E68CBAF3}"/>
    <cellStyle name="Normal 49 2 2 6" xfId="15707" xr:uid="{BAD1FAB3-36DB-4942-991D-9D2C26D36C8D}"/>
    <cellStyle name="Normal 49 2 2 7" xfId="38185" xr:uid="{EFC6B770-E192-41BA-B61D-D67B811B8491}"/>
    <cellStyle name="Normal 49 2 3" xfId="4151" xr:uid="{00000000-0005-0000-0000-000057100000}"/>
    <cellStyle name="Normal 49 2 3 2" xfId="4152" xr:uid="{00000000-0005-0000-0000-000058100000}"/>
    <cellStyle name="Normal 49 2 3 2 2" xfId="9677" xr:uid="{00000000-0005-0000-0000-0000A81D0000}"/>
    <cellStyle name="Normal 49 2 3 2 2 2" xfId="42166" xr:uid="{3F570198-BC93-474A-AE72-BC65EE80EBBF}"/>
    <cellStyle name="Normal 49 2 3 2 3" xfId="6112" xr:uid="{00000000-0005-0000-0000-0000E40C0000}"/>
    <cellStyle name="Normal 49 2 3 2 3 2" xfId="40012" xr:uid="{E4599B69-4B4D-47F4-955A-528C3BB832A2}"/>
    <cellStyle name="Normal 49 2 3 2 4" xfId="15712" xr:uid="{8D5291F6-5867-4230-8E7E-3609037C8F32}"/>
    <cellStyle name="Normal 49 2 3 2 5" xfId="38190" xr:uid="{9C0D94B5-B6D4-423A-B17A-D78422945728}"/>
    <cellStyle name="Normal 49 2 3 3" xfId="9676" xr:uid="{00000000-0005-0000-0000-0000A71D0000}"/>
    <cellStyle name="Normal 49 2 3 3 2" xfId="42165" xr:uid="{C0C2E9D0-DE55-4276-B49F-AC2B4C63B64C}"/>
    <cellStyle name="Normal 49 2 3 4" xfId="6081" xr:uid="{00000000-0005-0000-0000-0000E30C0000}"/>
    <cellStyle name="Normal 49 2 3 4 2" xfId="39981" xr:uid="{5CFE82AA-7CC8-4F6B-A4FD-C75901AC2068}"/>
    <cellStyle name="Normal 49 2 3 5" xfId="15711" xr:uid="{37E27B61-2630-4057-A91E-A92365E35874}"/>
    <cellStyle name="Normal 49 2 3 6" xfId="38189" xr:uid="{0EB63D18-0802-4761-A6C2-2BB8CF374BD5}"/>
    <cellStyle name="Normal 49 2 4" xfId="4153" xr:uid="{00000000-0005-0000-0000-000059100000}"/>
    <cellStyle name="Normal 49 2 4 2" xfId="9678" xr:uid="{00000000-0005-0000-0000-0000A91D0000}"/>
    <cellStyle name="Normal 49 2 4 2 2" xfId="42167" xr:uid="{63211731-34AC-4B24-BC3C-D8615EE08CA1}"/>
    <cellStyle name="Normal 49 2 4 3" xfId="6114" xr:uid="{00000000-0005-0000-0000-0000E50C0000}"/>
    <cellStyle name="Normal 49 2 4 3 2" xfId="40014" xr:uid="{0E9BF6CB-4EBC-4D49-821A-A1F2901AF9B8}"/>
    <cellStyle name="Normal 49 2 4 4" xfId="15713" xr:uid="{B6E68880-143D-4F98-B347-FCCB16CD3E1D}"/>
    <cellStyle name="Normal 49 2 4 5" xfId="38191" xr:uid="{6EC760CE-D561-47FB-A631-D136A8F5D739}"/>
    <cellStyle name="Normal 49 2 5" xfId="9671" xr:uid="{00000000-0005-0000-0000-0000A21D0000}"/>
    <cellStyle name="Normal 49 2 5 2" xfId="42160" xr:uid="{B7A07253-C646-4FED-8E82-5D1CF52D8933}"/>
    <cellStyle name="Normal 49 2 6" xfId="6076" xr:uid="{00000000-0005-0000-0000-0000DE0C0000}"/>
    <cellStyle name="Normal 49 2 6 2" xfId="39976" xr:uid="{9F4A719B-3BC5-4810-9F62-259C1445D0D1}"/>
    <cellStyle name="Normal 49 2 7" xfId="15706" xr:uid="{9F02B1F2-A189-48EA-AF11-86D86AA8F873}"/>
    <cellStyle name="Normal 49 2 8" xfId="38184" xr:uid="{9CA9DFB7-6A7C-4DC2-AE30-222EF0CB70F9}"/>
    <cellStyle name="Normal 49 3" xfId="4154" xr:uid="{00000000-0005-0000-0000-00005A100000}"/>
    <cellStyle name="Normal 49 3 2" xfId="4155" xr:uid="{00000000-0005-0000-0000-00005B100000}"/>
    <cellStyle name="Normal 49 3 2 2" xfId="4156" xr:uid="{00000000-0005-0000-0000-00005C100000}"/>
    <cellStyle name="Normal 49 3 2 2 2" xfId="4157" xr:uid="{00000000-0005-0000-0000-00005D100000}"/>
    <cellStyle name="Normal 49 3 2 2 2 2" xfId="9682" xr:uid="{00000000-0005-0000-0000-0000AD1D0000}"/>
    <cellStyle name="Normal 49 3 2 2 2 2 2" xfId="42171" xr:uid="{29B3F46A-639E-4444-AD1D-9F9B22E1C00B}"/>
    <cellStyle name="Normal 49 3 2 2 2 3" xfId="6121" xr:uid="{00000000-0005-0000-0000-0000E90C0000}"/>
    <cellStyle name="Normal 49 3 2 2 2 3 2" xfId="40021" xr:uid="{1A2AEDCC-4644-4971-B81E-020CD3B7A2B6}"/>
    <cellStyle name="Normal 49 3 2 2 2 4" xfId="15717" xr:uid="{4918CF60-384F-4A62-9E2D-5BD06F48AFC0}"/>
    <cellStyle name="Normal 49 3 2 2 2 5" xfId="38195" xr:uid="{2CE341B0-4BE4-49EF-99BF-18D4B7A51AF5}"/>
    <cellStyle name="Normal 49 3 2 2 3" xfId="9681" xr:uid="{00000000-0005-0000-0000-0000AC1D0000}"/>
    <cellStyle name="Normal 49 3 2 2 3 2" xfId="42170" xr:uid="{32C5FDD5-6D3C-4128-A922-37704EE26475}"/>
    <cellStyle name="Normal 49 3 2 2 4" xfId="6120" xr:uid="{00000000-0005-0000-0000-0000E80C0000}"/>
    <cellStyle name="Normal 49 3 2 2 4 2" xfId="40020" xr:uid="{249E61A5-2B36-4031-9E8D-A8689B2BA9DD}"/>
    <cellStyle name="Normal 49 3 2 2 5" xfId="15716" xr:uid="{72AE66F3-CF7B-4A78-BCE3-03D7B87134CA}"/>
    <cellStyle name="Normal 49 3 2 2 6" xfId="38194" xr:uid="{379F13C0-B4CB-4D9B-A59F-0A1A339AC25D}"/>
    <cellStyle name="Normal 49 3 2 3" xfId="4158" xr:uid="{00000000-0005-0000-0000-00005E100000}"/>
    <cellStyle name="Normal 49 3 2 3 2" xfId="9683" xr:uid="{00000000-0005-0000-0000-0000AE1D0000}"/>
    <cellStyle name="Normal 49 3 2 3 2 2" xfId="42172" xr:uid="{CD2BDE83-C7B0-4300-82C8-73773D5B7E3B}"/>
    <cellStyle name="Normal 49 3 2 3 3" xfId="6122" xr:uid="{00000000-0005-0000-0000-0000EA0C0000}"/>
    <cellStyle name="Normal 49 3 2 3 3 2" xfId="40022" xr:uid="{40AB061A-6456-4F6D-A20D-87A1A2602741}"/>
    <cellStyle name="Normal 49 3 2 3 4" xfId="15718" xr:uid="{52CD6E1B-126E-4D0B-B3C6-65B3F3A36E43}"/>
    <cellStyle name="Normal 49 3 2 3 5" xfId="38196" xr:uid="{04C781B2-5523-49B7-8FD7-91AE2DE17FF3}"/>
    <cellStyle name="Normal 49 3 2 4" xfId="9680" xr:uid="{00000000-0005-0000-0000-0000AB1D0000}"/>
    <cellStyle name="Normal 49 3 2 4 2" xfId="42169" xr:uid="{C4A2ECF3-48F0-4027-80A1-AD20126FD241}"/>
    <cellStyle name="Normal 49 3 2 5" xfId="6119" xr:uid="{00000000-0005-0000-0000-0000E70C0000}"/>
    <cellStyle name="Normal 49 3 2 5 2" xfId="40019" xr:uid="{E38689E0-C27E-4910-A837-D662E80FBF42}"/>
    <cellStyle name="Normal 49 3 2 6" xfId="15715" xr:uid="{02EAF9BE-FCB9-4D5C-AA8C-120EE43E7BFE}"/>
    <cellStyle name="Normal 49 3 2 7" xfId="38193" xr:uid="{C8CFBCF3-2419-4204-BCCF-5524C8F46DC0}"/>
    <cellStyle name="Normal 49 3 3" xfId="4159" xr:uid="{00000000-0005-0000-0000-00005F100000}"/>
    <cellStyle name="Normal 49 3 3 2" xfId="4160" xr:uid="{00000000-0005-0000-0000-000060100000}"/>
    <cellStyle name="Normal 49 3 3 2 2" xfId="9685" xr:uid="{00000000-0005-0000-0000-0000B01D0000}"/>
    <cellStyle name="Normal 49 3 3 2 2 2" xfId="42174" xr:uid="{88C5FB9B-D900-444B-90DC-ADFFD6945962}"/>
    <cellStyle name="Normal 49 3 3 2 3" xfId="6124" xr:uid="{00000000-0005-0000-0000-0000EC0C0000}"/>
    <cellStyle name="Normal 49 3 3 2 3 2" xfId="40024" xr:uid="{379D823A-6ABC-4143-BA09-3E8ACAB6D209}"/>
    <cellStyle name="Normal 49 3 3 2 4" xfId="15720" xr:uid="{985A6978-88A9-4295-9040-DFE58A41A815}"/>
    <cellStyle name="Normal 49 3 3 2 5" xfId="38198" xr:uid="{28F56FDC-6F16-49C1-A17D-7AD44F5669C6}"/>
    <cellStyle name="Normal 49 3 3 3" xfId="9684" xr:uid="{00000000-0005-0000-0000-0000AF1D0000}"/>
    <cellStyle name="Normal 49 3 3 3 2" xfId="42173" xr:uid="{C9C487AE-B9D0-4F6C-9966-9F05E2D4E431}"/>
    <cellStyle name="Normal 49 3 3 4" xfId="6123" xr:uid="{00000000-0005-0000-0000-0000EB0C0000}"/>
    <cellStyle name="Normal 49 3 3 4 2" xfId="40023" xr:uid="{BC96FA3D-861E-4306-B005-6E4AABAABA03}"/>
    <cellStyle name="Normal 49 3 3 5" xfId="15719" xr:uid="{7123A6D4-78AF-4C66-9E3F-BF6EACC76A43}"/>
    <cellStyle name="Normal 49 3 3 6" xfId="38197" xr:uid="{E267B9E0-B5D7-4B30-BE38-DFCB6AFD84B2}"/>
    <cellStyle name="Normal 49 3 4" xfId="4161" xr:uid="{00000000-0005-0000-0000-000061100000}"/>
    <cellStyle name="Normal 49 3 4 2" xfId="9686" xr:uid="{00000000-0005-0000-0000-0000B11D0000}"/>
    <cellStyle name="Normal 49 3 4 2 2" xfId="42175" xr:uid="{1E9BA3A8-A393-4DAF-989B-8E3B926EEA3D}"/>
    <cellStyle name="Normal 49 3 4 3" xfId="6155" xr:uid="{00000000-0005-0000-0000-0000ED0C0000}"/>
    <cellStyle name="Normal 49 3 4 3 2" xfId="40055" xr:uid="{870D9592-F9D9-4EBB-AE4A-A51FCDB9B5C4}"/>
    <cellStyle name="Normal 49 3 4 4" xfId="15721" xr:uid="{818C6F02-B5EF-4959-83BB-50B800C12DDD}"/>
    <cellStyle name="Normal 49 3 4 5" xfId="38199" xr:uid="{6123471F-528D-4323-B447-8930320E9A3C}"/>
    <cellStyle name="Normal 49 3 5" xfId="9679" xr:uid="{00000000-0005-0000-0000-0000AA1D0000}"/>
    <cellStyle name="Normal 49 3 5 2" xfId="42168" xr:uid="{D6D73312-254A-4187-B90C-D262FE2F848F}"/>
    <cellStyle name="Normal 49 3 6" xfId="6117" xr:uid="{00000000-0005-0000-0000-0000E60C0000}"/>
    <cellStyle name="Normal 49 3 6 2" xfId="40017" xr:uid="{C3D55A60-97D2-4421-9192-CDBD5085F8A1}"/>
    <cellStyle name="Normal 49 3 7" xfId="15714" xr:uid="{B4F00D8F-D65F-49FF-9227-E09F95A7B699}"/>
    <cellStyle name="Normal 49 3 8" xfId="38192" xr:uid="{8E514AF7-609A-4689-BAAF-5BF6B42D5E47}"/>
    <cellStyle name="Normal 49 4" xfId="4162" xr:uid="{00000000-0005-0000-0000-000062100000}"/>
    <cellStyle name="Normal 49 4 2" xfId="4163" xr:uid="{00000000-0005-0000-0000-000063100000}"/>
    <cellStyle name="Normal 49 4 2 2" xfId="4164" xr:uid="{00000000-0005-0000-0000-000064100000}"/>
    <cellStyle name="Normal 49 4 2 2 2" xfId="4165" xr:uid="{00000000-0005-0000-0000-000065100000}"/>
    <cellStyle name="Normal 49 4 2 2 2 2" xfId="9690" xr:uid="{00000000-0005-0000-0000-0000B51D0000}"/>
    <cellStyle name="Normal 49 4 2 2 2 2 2" xfId="42179" xr:uid="{77B9FD3B-DA6C-4EC9-A415-CC3272684245}"/>
    <cellStyle name="Normal 49 4 2 2 2 3" xfId="6159" xr:uid="{00000000-0005-0000-0000-0000F10C0000}"/>
    <cellStyle name="Normal 49 4 2 2 2 3 2" xfId="40059" xr:uid="{0E0E31A2-99BA-4BB1-A619-893AD882D584}"/>
    <cellStyle name="Normal 49 4 2 2 2 4" xfId="15725" xr:uid="{2CD761A9-37B3-463A-AC57-57A1A412E157}"/>
    <cellStyle name="Normal 49 4 2 2 2 5" xfId="38203" xr:uid="{E39CF40F-1542-4BAD-AA58-E661D0A402B2}"/>
    <cellStyle name="Normal 49 4 2 2 3" xfId="9689" xr:uid="{00000000-0005-0000-0000-0000B41D0000}"/>
    <cellStyle name="Normal 49 4 2 2 3 2" xfId="42178" xr:uid="{98C4D5AC-B7EA-4707-94E1-66C1FEDAFCCF}"/>
    <cellStyle name="Normal 49 4 2 2 4" xfId="6158" xr:uid="{00000000-0005-0000-0000-0000F00C0000}"/>
    <cellStyle name="Normal 49 4 2 2 4 2" xfId="40058" xr:uid="{9D2AD8FB-73A4-4E9B-B30F-FFC7212FA617}"/>
    <cellStyle name="Normal 49 4 2 2 5" xfId="15724" xr:uid="{EF4C2881-9647-4145-87D0-E5A30891BFCD}"/>
    <cellStyle name="Normal 49 4 2 2 6" xfId="38202" xr:uid="{E20BBD8A-38C5-4114-AA57-E4D4E77218A3}"/>
    <cellStyle name="Normal 49 4 2 3" xfId="4166" xr:uid="{00000000-0005-0000-0000-000066100000}"/>
    <cellStyle name="Normal 49 4 2 3 2" xfId="9691" xr:uid="{00000000-0005-0000-0000-0000B61D0000}"/>
    <cellStyle name="Normal 49 4 2 3 2 2" xfId="42180" xr:uid="{F9F7ECAA-0326-4762-8E07-31E9383CEBDB}"/>
    <cellStyle name="Normal 49 4 2 3 3" xfId="6160" xr:uid="{00000000-0005-0000-0000-0000F20C0000}"/>
    <cellStyle name="Normal 49 4 2 3 3 2" xfId="40060" xr:uid="{BC25C1F7-7288-4C2E-ABEE-8DDEF4ABB789}"/>
    <cellStyle name="Normal 49 4 2 3 4" xfId="15726" xr:uid="{87B577D9-B475-4EFD-B357-75E2597716F4}"/>
    <cellStyle name="Normal 49 4 2 3 5" xfId="38204" xr:uid="{2247BEF5-EC9E-41C1-B293-7FB067A62F86}"/>
    <cellStyle name="Normal 49 4 2 4" xfId="9688" xr:uid="{00000000-0005-0000-0000-0000B31D0000}"/>
    <cellStyle name="Normal 49 4 2 4 2" xfId="42177" xr:uid="{E18999E4-67E1-4203-BECD-BB3D05728298}"/>
    <cellStyle name="Normal 49 4 2 5" xfId="6157" xr:uid="{00000000-0005-0000-0000-0000EF0C0000}"/>
    <cellStyle name="Normal 49 4 2 5 2" xfId="40057" xr:uid="{ED55189D-82B7-498B-9D74-82A0BF73DBC6}"/>
    <cellStyle name="Normal 49 4 2 6" xfId="15723" xr:uid="{E0DDFEB0-196A-4CE8-AE66-A820A0C68217}"/>
    <cellStyle name="Normal 49 4 2 7" xfId="38201" xr:uid="{BCB7A93B-CBAA-499A-BB60-3EDD2A94A957}"/>
    <cellStyle name="Normal 49 4 3" xfId="4167" xr:uid="{00000000-0005-0000-0000-000067100000}"/>
    <cellStyle name="Normal 49 4 3 2" xfId="4168" xr:uid="{00000000-0005-0000-0000-000068100000}"/>
    <cellStyle name="Normal 49 4 3 2 2" xfId="9693" xr:uid="{00000000-0005-0000-0000-0000B81D0000}"/>
    <cellStyle name="Normal 49 4 3 2 2 2" xfId="42182" xr:uid="{2FFB9396-556A-4D80-BD8B-186C9229E437}"/>
    <cellStyle name="Normal 49 4 3 2 3" xfId="6162" xr:uid="{00000000-0005-0000-0000-0000F40C0000}"/>
    <cellStyle name="Normal 49 4 3 2 3 2" xfId="40062" xr:uid="{D73CF9A4-96CE-489C-AA77-14BBC0C2D0D1}"/>
    <cellStyle name="Normal 49 4 3 2 4" xfId="15728" xr:uid="{F30A37C5-E2B4-4C4E-BDEC-0C6B1FE6413F}"/>
    <cellStyle name="Normal 49 4 3 2 5" xfId="38206" xr:uid="{C9FF47A1-B0F9-4CF0-A4D2-52584DDA11F2}"/>
    <cellStyle name="Normal 49 4 3 3" xfId="9692" xr:uid="{00000000-0005-0000-0000-0000B71D0000}"/>
    <cellStyle name="Normal 49 4 3 3 2" xfId="42181" xr:uid="{F182FDEA-4B66-4715-AA02-D00676B3514E}"/>
    <cellStyle name="Normal 49 4 3 4" xfId="6161" xr:uid="{00000000-0005-0000-0000-0000F30C0000}"/>
    <cellStyle name="Normal 49 4 3 4 2" xfId="40061" xr:uid="{C4E89AFE-0210-4FB8-8514-6A214C0AEDA4}"/>
    <cellStyle name="Normal 49 4 3 5" xfId="15727" xr:uid="{A9250BB2-B9BA-4F22-8BEB-84C91DAA2C98}"/>
    <cellStyle name="Normal 49 4 3 6" xfId="38205" xr:uid="{616E3107-25D2-436E-91FA-C022306CB789}"/>
    <cellStyle name="Normal 49 4 4" xfId="4169" xr:uid="{00000000-0005-0000-0000-000069100000}"/>
    <cellStyle name="Normal 49 4 4 2" xfId="9694" xr:uid="{00000000-0005-0000-0000-0000B91D0000}"/>
    <cellStyle name="Normal 49 4 4 2 2" xfId="42183" xr:uid="{188E512A-6D11-4561-9623-31B6B0DD99D7}"/>
    <cellStyle name="Normal 49 4 4 3" xfId="6163" xr:uid="{00000000-0005-0000-0000-0000F50C0000}"/>
    <cellStyle name="Normal 49 4 4 3 2" xfId="40063" xr:uid="{1258167A-86A4-4493-982A-8B4AC8FA09AB}"/>
    <cellStyle name="Normal 49 4 4 4" xfId="15729" xr:uid="{96ED06F9-4E7A-464F-BCCC-4B98939A0548}"/>
    <cellStyle name="Normal 49 4 4 5" xfId="38207" xr:uid="{4FB5B939-9CBA-4654-8579-1489BCE77F57}"/>
    <cellStyle name="Normal 49 4 5" xfId="9687" xr:uid="{00000000-0005-0000-0000-0000B21D0000}"/>
    <cellStyle name="Normal 49 4 5 2" xfId="42176" xr:uid="{2242AB6F-E878-4216-900C-F62B3236F16D}"/>
    <cellStyle name="Normal 49 4 6" xfId="6156" xr:uid="{00000000-0005-0000-0000-0000EE0C0000}"/>
    <cellStyle name="Normal 49 4 6 2" xfId="40056" xr:uid="{8788A530-5C18-42E2-96FA-5B830DB46C67}"/>
    <cellStyle name="Normal 49 4 7" xfId="15722" xr:uid="{C6BC3E7C-26CC-4624-B438-AA7C690CA5B9}"/>
    <cellStyle name="Normal 49 4 8" xfId="38200" xr:uid="{E9E63377-EE4A-479E-BCCE-B8B22633C4C2}"/>
    <cellStyle name="Normal 49 5" xfId="4170" xr:uid="{00000000-0005-0000-0000-00006A100000}"/>
    <cellStyle name="Normal 49 5 2" xfId="4171" xr:uid="{00000000-0005-0000-0000-00006B100000}"/>
    <cellStyle name="Normal 49 5 2 2" xfId="4172" xr:uid="{00000000-0005-0000-0000-00006C100000}"/>
    <cellStyle name="Normal 49 5 2 2 2" xfId="9697" xr:uid="{00000000-0005-0000-0000-0000BC1D0000}"/>
    <cellStyle name="Normal 49 5 2 2 2 2" xfId="42186" xr:uid="{F77F3694-D33C-4902-AA8D-2B3B3E58273D}"/>
    <cellStyle name="Normal 49 5 2 2 3" xfId="6166" xr:uid="{00000000-0005-0000-0000-0000F80C0000}"/>
    <cellStyle name="Normal 49 5 2 2 3 2" xfId="40066" xr:uid="{195428BC-C9BF-4B63-807B-16C41F0DBE6C}"/>
    <cellStyle name="Normal 49 5 2 2 4" xfId="15732" xr:uid="{65420695-6AAE-450A-9A34-9F394B9310E9}"/>
    <cellStyle name="Normal 49 5 2 2 5" xfId="38210" xr:uid="{C48C8C42-8979-402D-A123-386387FB665B}"/>
    <cellStyle name="Normal 49 5 2 3" xfId="9696" xr:uid="{00000000-0005-0000-0000-0000BB1D0000}"/>
    <cellStyle name="Normal 49 5 2 3 2" xfId="42185" xr:uid="{010E218F-7605-49BF-8FBC-FE2A5A4FEBAA}"/>
    <cellStyle name="Normal 49 5 2 4" xfId="6165" xr:uid="{00000000-0005-0000-0000-0000F70C0000}"/>
    <cellStyle name="Normal 49 5 2 4 2" xfId="40065" xr:uid="{77C3B4C0-8D76-440F-95B2-6A46E4981BF6}"/>
    <cellStyle name="Normal 49 5 2 5" xfId="15731" xr:uid="{09697873-10A0-42AC-B0FB-F43DEBC62B09}"/>
    <cellStyle name="Normal 49 5 2 6" xfId="38209" xr:uid="{AB428F7D-DF64-4A10-84B0-380F4E5A1498}"/>
    <cellStyle name="Normal 49 5 3" xfId="4173" xr:uid="{00000000-0005-0000-0000-00006D100000}"/>
    <cellStyle name="Normal 49 5 3 2" xfId="9698" xr:uid="{00000000-0005-0000-0000-0000BD1D0000}"/>
    <cellStyle name="Normal 49 5 3 2 2" xfId="42187" xr:uid="{E87BCB4B-2B2A-43AA-A30B-80555350B297}"/>
    <cellStyle name="Normal 49 5 3 3" xfId="6167" xr:uid="{00000000-0005-0000-0000-0000F90C0000}"/>
    <cellStyle name="Normal 49 5 3 3 2" xfId="40067" xr:uid="{412F3666-94F3-47FA-A3CF-E0620F36038F}"/>
    <cellStyle name="Normal 49 5 3 4" xfId="15733" xr:uid="{75DBEE4B-50E2-4602-8B9A-D97D24877E5F}"/>
    <cellStyle name="Normal 49 5 3 5" xfId="38211" xr:uid="{4F4ED062-0959-4515-9184-3085BA85E610}"/>
    <cellStyle name="Normal 49 5 4" xfId="9695" xr:uid="{00000000-0005-0000-0000-0000BA1D0000}"/>
    <cellStyle name="Normal 49 5 4 2" xfId="42184" xr:uid="{24E987A2-380A-4BA3-8816-AFA7F9994C34}"/>
    <cellStyle name="Normal 49 5 5" xfId="6164" xr:uid="{00000000-0005-0000-0000-0000F60C0000}"/>
    <cellStyle name="Normal 49 5 5 2" xfId="40064" xr:uid="{F8FF7790-FD3F-4768-A5A5-817D53ACE06C}"/>
    <cellStyle name="Normal 49 5 6" xfId="15730" xr:uid="{D2B6BE2D-533B-4DFD-BACB-24AFE2CE6729}"/>
    <cellStyle name="Normal 49 5 7" xfId="38208" xr:uid="{40959747-EDFA-4056-8CB7-F686DFF2E4B8}"/>
    <cellStyle name="Normal 49 6" xfId="4174" xr:uid="{00000000-0005-0000-0000-00006E100000}"/>
    <cellStyle name="Normal 49 6 2" xfId="4175" xr:uid="{00000000-0005-0000-0000-00006F100000}"/>
    <cellStyle name="Normal 49 6 2 2" xfId="9700" xr:uid="{00000000-0005-0000-0000-0000BF1D0000}"/>
    <cellStyle name="Normal 49 6 2 2 2" xfId="42189" xr:uid="{401576FA-DFFA-4CA7-B55D-554F67DACC99}"/>
    <cellStyle name="Normal 49 6 2 3" xfId="6169" xr:uid="{00000000-0005-0000-0000-0000FB0C0000}"/>
    <cellStyle name="Normal 49 6 2 3 2" xfId="40069" xr:uid="{60959792-F28C-4399-B08C-E4EA5B7EC7AE}"/>
    <cellStyle name="Normal 49 6 2 4" xfId="15735" xr:uid="{9AAE11E5-B125-4DAB-9874-E17B83A477CC}"/>
    <cellStyle name="Normal 49 6 2 5" xfId="38213" xr:uid="{6EDFB6AD-44B4-48F4-B097-620DD17144A2}"/>
    <cellStyle name="Normal 49 6 3" xfId="9699" xr:uid="{00000000-0005-0000-0000-0000BE1D0000}"/>
    <cellStyle name="Normal 49 6 3 2" xfId="42188" xr:uid="{1A5D9476-1993-43AC-B577-8257EFBB568D}"/>
    <cellStyle name="Normal 49 6 4" xfId="6168" xr:uid="{00000000-0005-0000-0000-0000FA0C0000}"/>
    <cellStyle name="Normal 49 6 4 2" xfId="40068" xr:uid="{BF1F6524-EFE8-4A9F-82ED-8556D3C5C450}"/>
    <cellStyle name="Normal 49 6 5" xfId="15734" xr:uid="{D6F62758-B785-478F-B927-DA5C151D6718}"/>
    <cellStyle name="Normal 49 6 6" xfId="38212" xr:uid="{6FAACFEC-C88B-45EB-B285-6DA95A53CFBF}"/>
    <cellStyle name="Normal 49 7" xfId="4176" xr:uid="{00000000-0005-0000-0000-000070100000}"/>
    <cellStyle name="Normal 49 7 2" xfId="9701" xr:uid="{00000000-0005-0000-0000-0000C01D0000}"/>
    <cellStyle name="Normal 49 7 2 2" xfId="42190" xr:uid="{DDED57D8-34F3-4AFB-8878-530141FA8CB8}"/>
    <cellStyle name="Normal 49 7 3" xfId="6170" xr:uid="{00000000-0005-0000-0000-0000FC0C0000}"/>
    <cellStyle name="Normal 49 7 3 2" xfId="40070" xr:uid="{35DAF082-14AD-4936-88A7-24D4C80DF5A8}"/>
    <cellStyle name="Normal 49 7 4" xfId="15736" xr:uid="{56A476E0-E2A7-4872-98B6-B8C79B1AC101}"/>
    <cellStyle name="Normal 49 7 5" xfId="38214" xr:uid="{2EF68557-4F53-441F-8626-D0B0F4CB7CDD}"/>
    <cellStyle name="Normal 49 8" xfId="4177" xr:uid="{00000000-0005-0000-0000-000071100000}"/>
    <cellStyle name="Normal 49 8 2" xfId="9702" xr:uid="{00000000-0005-0000-0000-0000C11D0000}"/>
    <cellStyle name="Normal 49 8 2 2" xfId="42191" xr:uid="{6B86DF4D-90B0-4D42-B9EB-0D76903DA000}"/>
    <cellStyle name="Normal 49 8 3" xfId="6171" xr:uid="{00000000-0005-0000-0000-0000FD0C0000}"/>
    <cellStyle name="Normal 49 8 3 2" xfId="40071" xr:uid="{1D418F86-DC80-42FF-95F3-8488640A6D65}"/>
    <cellStyle name="Normal 49 8 4" xfId="15737" xr:uid="{79A59E6D-5FF4-44A8-BC2A-C77EC864B4A6}"/>
    <cellStyle name="Normal 49 8 5" xfId="38215" xr:uid="{93EDF075-365B-4897-86B1-9D43AFD7E495}"/>
    <cellStyle name="Normal 49 9" xfId="9670" xr:uid="{00000000-0005-0000-0000-0000A11D0000}"/>
    <cellStyle name="Normal 49 9 2" xfId="42159" xr:uid="{0BD11C5C-CCD2-4670-BB8A-65C8FE29D307}"/>
    <cellStyle name="Normal 5" xfId="4178" xr:uid="{00000000-0005-0000-0000-000072100000}"/>
    <cellStyle name="Normal-- 5" xfId="4179" xr:uid="{00000000-0005-0000-0000-000073100000}"/>
    <cellStyle name="Normal 5 10" xfId="4180" xr:uid="{00000000-0005-0000-0000-000074100000}"/>
    <cellStyle name="Normal-- 5 10" xfId="8131" xr:uid="{00000000-0005-0000-0000-0000DC230000}"/>
    <cellStyle name="Normal 5 10 10" xfId="12112" xr:uid="{00000000-0005-0000-0000-000073250000}"/>
    <cellStyle name="Normal 5 10 10 2" xfId="44595" xr:uid="{EEE0BB16-0837-4314-81C8-9A9004DCB411}"/>
    <cellStyle name="Normal 5 10 11" xfId="8172" xr:uid="{00000000-0005-0000-0000-0000BD250000}"/>
    <cellStyle name="Normal 5 10 11 2" xfId="40969" xr:uid="{C6AFDFF0-A5AF-4BCF-A92A-48B49F562F67}"/>
    <cellStyle name="Normal 5 10 12" xfId="12127" xr:uid="{00000000-0005-0000-0000-00000B260000}"/>
    <cellStyle name="Normal 5 10 12 2" xfId="44610" xr:uid="{F6FA69D0-AE90-4F1A-BE14-07B79A3F1634}"/>
    <cellStyle name="Normal 5 10 13" xfId="8177" xr:uid="{00000000-0005-0000-0000-00005D260000}"/>
    <cellStyle name="Normal 5 10 13 2" xfId="40974" xr:uid="{25394BFD-4435-43DF-A24E-9E0AF4E76D84}"/>
    <cellStyle name="Normal 5 10 14" xfId="12141" xr:uid="{00000000-0005-0000-0000-0000B3260000}"/>
    <cellStyle name="Normal 5 10 14 2" xfId="44624" xr:uid="{65D780BF-6F46-43EB-A2F5-10E13D2EFA14}"/>
    <cellStyle name="Normal 5 10 15" xfId="8192" xr:uid="{00000000-0005-0000-0000-00000D270000}"/>
    <cellStyle name="Normal 5 10 15 2" xfId="40986" xr:uid="{0A30AF85-05BD-4F9A-879C-CCD71C87AAE8}"/>
    <cellStyle name="Normal 5 10 16" xfId="12158" xr:uid="{00000000-0005-0000-0000-00006B270000}"/>
    <cellStyle name="Normal 5 10 16 2" xfId="44641" xr:uid="{CC583235-D94B-4374-8B51-6FC9CB11C494}"/>
    <cellStyle name="Normal 5 10 17" xfId="6174" xr:uid="{00000000-0005-0000-0000-0000000D0000}"/>
    <cellStyle name="Normal 5 10 18" xfId="12994" xr:uid="{00000000-0005-0000-0000-00008C300000}"/>
    <cellStyle name="Normal 5 10 18 2" xfId="45458" xr:uid="{2D23F08C-AD43-470D-80DA-62EAE621607D}"/>
    <cellStyle name="Normal 5 10 19" xfId="11654" xr:uid="{00000000-0005-0000-0000-0000F6300000}"/>
    <cellStyle name="Normal 5 10 19 2" xfId="44142" xr:uid="{0AC93D9F-100B-4B5F-8B85-54DA75ABD86B}"/>
    <cellStyle name="Normal 5 10 2" xfId="4181" xr:uid="{00000000-0005-0000-0000-000075100000}"/>
    <cellStyle name="Normal-- 5 10 2" xfId="40932" xr:uid="{9E7AB99B-F032-46A8-9779-A04B61A46744}"/>
    <cellStyle name="Normal 5 10 2 10" xfId="15485" xr:uid="{EF1576BE-6045-48B3-ACAD-497264CDBD76}"/>
    <cellStyle name="Normal 5 10 2 11" xfId="16515" xr:uid="{A8F300E4-218E-4029-B634-F2992BDCEF11}"/>
    <cellStyle name="Normal 5 10 2 2" xfId="9706" xr:uid="{00000000-0005-0000-0000-0000C51D0000}"/>
    <cellStyle name="Normal 5 10 2 2 2" xfId="42195" xr:uid="{6E480153-BDC5-4363-B01C-6CC850A236E1}"/>
    <cellStyle name="Normal 5 10 2 3" xfId="6175" xr:uid="{00000000-0005-0000-0000-0000010D0000}"/>
    <cellStyle name="Normal 5 10 2 4" xfId="38219" xr:uid="{EACBCF5C-F151-4933-BD64-210DFBD734C7}"/>
    <cellStyle name="Normal 5 10 2 5" xfId="15180" xr:uid="{6869862D-89A1-45AA-863F-33E725AFDDFC}"/>
    <cellStyle name="Normal 5 10 2 6" xfId="46266" xr:uid="{CAD81890-874F-44DF-8301-CAF483084E63}"/>
    <cellStyle name="Normal 5 10 2 7" xfId="48007" xr:uid="{C3243133-9A4E-4D7E-8911-E6B776C1695B}"/>
    <cellStyle name="Normal 5 10 2 8" xfId="15127" xr:uid="{BDCD0268-16CF-4769-8CA7-EDBCF7BAC39E}"/>
    <cellStyle name="Normal 5 10 2 9" xfId="49315" xr:uid="{37457123-F721-46A6-937D-199C7178AE37}"/>
    <cellStyle name="Normal 5 10 20" xfId="12997" xr:uid="{00000000-0005-0000-0000-000064310000}"/>
    <cellStyle name="Normal 5 10 20 2" xfId="45461" xr:uid="{ED9C96D0-21BC-4E9D-B9E1-F53A1D655978}"/>
    <cellStyle name="Normal 5 10 21" xfId="11651" xr:uid="{00000000-0005-0000-0000-0000D6310000}"/>
    <cellStyle name="Normal 5 10 21 2" xfId="44139" xr:uid="{82F638D2-C614-47F0-9506-AFFA7F5C00F2}"/>
    <cellStyle name="Normal 5 10 22" xfId="13001" xr:uid="{00000000-0005-0000-0000-00004C320000}"/>
    <cellStyle name="Normal 5 10 22 2" xfId="45465" xr:uid="{F7159A0F-6DBA-41D5-AFB2-1F3F4B0D3A4E}"/>
    <cellStyle name="Normal 5 10 23" xfId="11647" xr:uid="{00000000-0005-0000-0000-0000C6320000}"/>
    <cellStyle name="Normal 5 10 23 2" xfId="44135" xr:uid="{33001538-C4A9-49C8-A263-3CEC0C69773A}"/>
    <cellStyle name="Normal 5 10 24" xfId="13008" xr:uid="{00000000-0005-0000-0000-000044330000}"/>
    <cellStyle name="Normal 5 10 24 2" xfId="45472" xr:uid="{9952478D-3AF8-4666-AB79-FE9B3F45E0DA}"/>
    <cellStyle name="Normal 5 10 25" xfId="11642" xr:uid="{00000000-0005-0000-0000-0000C6330000}"/>
    <cellStyle name="Normal 5 10 25 2" xfId="44130" xr:uid="{09EA0956-D413-4190-BB09-EC5CA50F3EC2}"/>
    <cellStyle name="Normal 5 10 26" xfId="13021" xr:uid="{00000000-0005-0000-0000-00004C340000}"/>
    <cellStyle name="Normal 5 10 26 2" xfId="45485" xr:uid="{85650CCE-89C0-4080-B293-158DB937F499}"/>
    <cellStyle name="Normal 5 10 27" xfId="11629" xr:uid="{00000000-0005-0000-0000-0000D6340000}"/>
    <cellStyle name="Normal 5 10 27 2" xfId="44117" xr:uid="{95C72FA7-6D62-49B8-85DF-BD0CCD66AECB}"/>
    <cellStyle name="Normal 5 10 28" xfId="15740" xr:uid="{972A1770-6308-4E8A-BEB0-CDF90452321C}"/>
    <cellStyle name="Normal 5 10 29" xfId="38218" xr:uid="{FF8F0745-624C-4DF2-8FC7-CE6E003C556B}"/>
    <cellStyle name="Normal 5 10 3" xfId="9705" xr:uid="{00000000-0005-0000-0000-0000C41D0000}"/>
    <cellStyle name="Normal-- 5 10 3" xfId="46745" xr:uid="{872C25F1-D16D-45E5-945F-8228F9454D83}"/>
    <cellStyle name="Normal 5 10 3 2" xfId="18104" xr:uid="{75B3A4AD-4F70-4C95-AF9A-6737AA2256EF}"/>
    <cellStyle name="Normal 5 10 3 3" xfId="42194" xr:uid="{75683F0F-AB66-4439-8D79-B346E0CED1E2}"/>
    <cellStyle name="Normal 5 10 3 4" xfId="46453" xr:uid="{BB2DD2EF-A411-4661-B7C7-9ED94E65BB21}"/>
    <cellStyle name="Normal 5 10 3 5" xfId="40666" xr:uid="{9A89E6F8-9AE6-47C4-8EEB-AF6556FBEBD1}"/>
    <cellStyle name="Normal 5 10 3 6" xfId="15489" xr:uid="{87A6B1A3-4B45-45C2-967F-8CF3CF3F5D48}"/>
    <cellStyle name="Normal 5 10 3 7" xfId="48061" xr:uid="{13203989-F3C7-4A02-BE27-770B472E2591}"/>
    <cellStyle name="Normal 5 10 3 8" xfId="48052" xr:uid="{72FFA04D-6274-4EFD-9B6D-1400D7AAFEA5}"/>
    <cellStyle name="Normal 5 10 3 9" xfId="16508" xr:uid="{04EE34EB-79D6-42E2-A166-476C2DC8F498}"/>
    <cellStyle name="Normal 5 10 30" xfId="15179" xr:uid="{47639F55-1B2D-4FFF-9E4A-86EE2F6D1988}"/>
    <cellStyle name="Normal 5 10 31" xfId="47984" xr:uid="{A9E57CB2-4E96-4573-A53D-8C6D26D7A76B}"/>
    <cellStyle name="Normal 5 10 32" xfId="37836" xr:uid="{B1701837-E37F-48D5-A808-4749774DA519}"/>
    <cellStyle name="Normal 5 10 33" xfId="40383" xr:uid="{61727A7A-D0A5-4D70-B617-C1F29BFA2BD1}"/>
    <cellStyle name="Normal 5 10 34" xfId="46623" xr:uid="{7B9D1552-CDE2-4624-88C4-E547C8DA904C}"/>
    <cellStyle name="Normal 5 10 35" xfId="46150" xr:uid="{BC92F26E-82D4-4404-86D0-65B268860B80}"/>
    <cellStyle name="Normal 5 10 36" xfId="49843" xr:uid="{2127E5F0-6F89-4306-BEE4-CC977B1885B4}"/>
    <cellStyle name="Normal 5 10 4" xfId="12090" xr:uid="{00000000-0005-0000-0000-00000B240000}"/>
    <cellStyle name="Normal-- 5 10 4" xfId="47216" xr:uid="{E0C57C81-9D2B-4464-8C03-1F1DAF88DCB4}"/>
    <cellStyle name="Normal 5 10 4 2" xfId="44573" xr:uid="{7B08EC6E-1D32-47D2-8C1E-66C13A17339E}"/>
    <cellStyle name="Normal 5 10 4 3" xfId="47299" xr:uid="{3072BD88-7C01-40DE-A515-8DBAF485E62B}"/>
    <cellStyle name="Normal 5 10 4 4" xfId="46251" xr:uid="{44EB881B-6106-488C-AF70-C34977C049DB}"/>
    <cellStyle name="Normal 5 10 4 5" xfId="15111" xr:uid="{5E510F67-BD65-465D-91EC-5CA441B95B33}"/>
    <cellStyle name="Normal 5 10 4 6" xfId="40238" xr:uid="{6C36FEBF-8238-4805-A100-6C0FE4C4C3E6}"/>
    <cellStyle name="Normal 5 10 4 7" xfId="15256" xr:uid="{20142B9D-F9D5-4790-8750-9A255F0B4B7A}"/>
    <cellStyle name="Normal 5 10 5" xfId="8138" xr:uid="{00000000-0005-0000-0000-00003D240000}"/>
    <cellStyle name="Normal-- 5 10 5" xfId="48437" xr:uid="{A35333F1-CADD-407B-8E7D-60400337917C}"/>
    <cellStyle name="Normal 5 10 5 2" xfId="40938" xr:uid="{08AA88D0-AF59-4A00-B45C-A37AA543364F}"/>
    <cellStyle name="Normal 5 10 5 3" xfId="48952" xr:uid="{E7178E89-F724-4748-95EF-7EE5B002687C}"/>
    <cellStyle name="Normal 5 10 5 4" xfId="47120" xr:uid="{FB3EB52A-B79A-4FE7-95DF-D714618CE9A4}"/>
    <cellStyle name="Normal 5 10 5 5" xfId="47747" xr:uid="{55DE2FC3-2DE3-46F7-96DC-0874019F817F}"/>
    <cellStyle name="Normal 5 10 5 6" xfId="41461" xr:uid="{A29EB5CC-E8B3-4D76-B57B-B00741E10116}"/>
    <cellStyle name="Normal 5 10 6" xfId="12097" xr:uid="{00000000-0005-0000-0000-000073240000}"/>
    <cellStyle name="Normal-- 5 10 6" xfId="37989" xr:uid="{256682C7-075E-42A5-A253-FD19287ED241}"/>
    <cellStyle name="Normal 5 10 6 2" xfId="44580" xr:uid="{30F78E72-302A-41DE-AB32-48A0D6A5A945}"/>
    <cellStyle name="Normal 5 10 6 3" xfId="40427" xr:uid="{05CF3105-1E1C-49A3-982D-388F8F3437CD}"/>
    <cellStyle name="Normal 5 10 6 4" xfId="15467" xr:uid="{6D405709-162E-4CC9-AB87-2E6ECF065BAE}"/>
    <cellStyle name="Normal 5 10 6 5" xfId="48041" xr:uid="{E9A9942C-DD5F-4481-894B-BA8883AF8C2D}"/>
    <cellStyle name="Normal 5 10 7" xfId="8144" xr:uid="{00000000-0005-0000-0000-0000AD240000}"/>
    <cellStyle name="Normal-- 5 10 7" xfId="46746" xr:uid="{A9C62B78-1235-4842-87F3-B7A17A888DA9}"/>
    <cellStyle name="Normal 5 10 7 2" xfId="40943" xr:uid="{9D91ADCF-DE95-4A23-9837-E3B1EE3D8B1A}"/>
    <cellStyle name="Normal 5 10 7 3" xfId="37775" xr:uid="{9F7EFD6C-AAC2-436D-929B-F97A6F9A8042}"/>
    <cellStyle name="Normal 5 10 7 4" xfId="47495" xr:uid="{D28DFE6F-CAFE-46B4-8CC4-2678B16A9331}"/>
    <cellStyle name="Normal 5 10 8" xfId="12105" xr:uid="{00000000-0005-0000-0000-0000EB240000}"/>
    <cellStyle name="Normal-- 5 10 8" xfId="48493" xr:uid="{0C5D7308-36EB-4408-BFA2-146476AC7774}"/>
    <cellStyle name="Normal 5 10 8 2" xfId="44588" xr:uid="{BA48E57F-F4B1-4CB2-8C3B-E8B9D224C965}"/>
    <cellStyle name="Normal 5 10 8 3" xfId="15669" xr:uid="{4B82981A-5288-419F-B971-42EBC50E2EC6}"/>
    <cellStyle name="Normal 5 10 9" xfId="8153" xr:uid="{00000000-0005-0000-0000-00002D250000}"/>
    <cellStyle name="Normal-- 5 10 9" xfId="49371" xr:uid="{BB652C93-D96D-4D0E-B17F-A35F652298E8}"/>
    <cellStyle name="Normal 5 10 9 2" xfId="40951" xr:uid="{FB48FBCE-05CC-4095-BDD6-22CABE80F172}"/>
    <cellStyle name="Normal 5 100" xfId="4182" xr:uid="{00000000-0005-0000-0000-000076100000}"/>
    <cellStyle name="Normal 5 100 2" xfId="9707" xr:uid="{00000000-0005-0000-0000-0000C61D0000}"/>
    <cellStyle name="Normal 5 100 2 2" xfId="42196" xr:uid="{27B0AF52-F8ED-4244-9F5E-9300A34EA5AA}"/>
    <cellStyle name="Normal 5 100 3" xfId="6176" xr:uid="{00000000-0005-0000-0000-0000020D0000}"/>
    <cellStyle name="Normal 5 100 4" xfId="38220" xr:uid="{4BFF8B5D-147D-4B0C-A093-63ED5EDFCDB6}"/>
    <cellStyle name="Normal 5 101" xfId="4183" xr:uid="{00000000-0005-0000-0000-000077100000}"/>
    <cellStyle name="Normal 5 101 2" xfId="9708" xr:uid="{00000000-0005-0000-0000-0000C71D0000}"/>
    <cellStyle name="Normal 5 101 2 2" xfId="42197" xr:uid="{88718C9F-0486-4AD5-9930-28D8FE40215A}"/>
    <cellStyle name="Normal 5 101 3" xfId="6177" xr:uid="{00000000-0005-0000-0000-0000030D0000}"/>
    <cellStyle name="Normal 5 101 4" xfId="38221" xr:uid="{190C4C21-B847-409B-B9F2-FFA32CE4122E}"/>
    <cellStyle name="Normal 5 102" xfId="4184" xr:uid="{00000000-0005-0000-0000-000078100000}"/>
    <cellStyle name="Normal 5 102 2" xfId="9709" xr:uid="{00000000-0005-0000-0000-0000C81D0000}"/>
    <cellStyle name="Normal 5 102 2 2" xfId="42198" xr:uid="{4D894195-93BA-46B9-8A1E-C3C42127A506}"/>
    <cellStyle name="Normal 5 102 3" xfId="6178" xr:uid="{00000000-0005-0000-0000-0000040D0000}"/>
    <cellStyle name="Normal 5 102 4" xfId="38222" xr:uid="{6814744F-B278-4DF9-AFC5-5135840A8B30}"/>
    <cellStyle name="Normal 5 103" xfId="4185" xr:uid="{00000000-0005-0000-0000-000079100000}"/>
    <cellStyle name="Normal 5 103 2" xfId="9710" xr:uid="{00000000-0005-0000-0000-0000C91D0000}"/>
    <cellStyle name="Normal 5 103 2 2" xfId="42199" xr:uid="{D69C5B25-C980-41F2-B96B-7918D8F41EEF}"/>
    <cellStyle name="Normal 5 103 3" xfId="6179" xr:uid="{00000000-0005-0000-0000-0000050D0000}"/>
    <cellStyle name="Normal 5 103 4" xfId="38223" xr:uid="{6159CDE7-A060-4C3C-91BC-BC4DB646C074}"/>
    <cellStyle name="Normal 5 104" xfId="4186" xr:uid="{00000000-0005-0000-0000-00007A100000}"/>
    <cellStyle name="Normal 5 104 2" xfId="9711" xr:uid="{00000000-0005-0000-0000-0000CA1D0000}"/>
    <cellStyle name="Normal 5 104 2 2" xfId="42200" xr:uid="{54ED9E91-ABCA-40A6-A022-A7B0875960BC}"/>
    <cellStyle name="Normal 5 104 3" xfId="6180" xr:uid="{00000000-0005-0000-0000-0000060D0000}"/>
    <cellStyle name="Normal 5 104 4" xfId="38224" xr:uid="{66B28919-D723-4AAB-B36A-71EEF275C577}"/>
    <cellStyle name="Normal 5 105" xfId="4187" xr:uid="{00000000-0005-0000-0000-00007B100000}"/>
    <cellStyle name="Normal 5 105 2" xfId="9712" xr:uid="{00000000-0005-0000-0000-0000CB1D0000}"/>
    <cellStyle name="Normal 5 105 2 2" xfId="42201" xr:uid="{C91FF776-0692-4D15-85A1-6983F68A2A26}"/>
    <cellStyle name="Normal 5 105 3" xfId="6181" xr:uid="{00000000-0005-0000-0000-0000070D0000}"/>
    <cellStyle name="Normal 5 105 4" xfId="38225" xr:uid="{ED6BFF1A-6D91-4C9C-B22C-2C87575DF75A}"/>
    <cellStyle name="Normal 5 106" xfId="4188" xr:uid="{00000000-0005-0000-0000-00007C100000}"/>
    <cellStyle name="Normal 5 106 2" xfId="9713" xr:uid="{00000000-0005-0000-0000-0000CC1D0000}"/>
    <cellStyle name="Normal 5 106 2 2" xfId="42202" xr:uid="{0B0F021B-1194-4E2A-8238-B377E20F54EE}"/>
    <cellStyle name="Normal 5 106 3" xfId="6182" xr:uid="{00000000-0005-0000-0000-0000080D0000}"/>
    <cellStyle name="Normal 5 106 4" xfId="38226" xr:uid="{A8A55D92-F5F5-4531-B157-EF133E8AB407}"/>
    <cellStyle name="Normal 5 107" xfId="4189" xr:uid="{00000000-0005-0000-0000-00007D100000}"/>
    <cellStyle name="Normal 5 107 2" xfId="9714" xr:uid="{00000000-0005-0000-0000-0000CD1D0000}"/>
    <cellStyle name="Normal 5 107 2 2" xfId="42203" xr:uid="{590B1D33-5723-4695-8EDA-00FCD74B50D0}"/>
    <cellStyle name="Normal 5 107 3" xfId="6183" xr:uid="{00000000-0005-0000-0000-0000090D0000}"/>
    <cellStyle name="Normal 5 107 4" xfId="38227" xr:uid="{F8D7CFD8-2068-40EA-94C4-EAED66080CC2}"/>
    <cellStyle name="Normal 5 108" xfId="4190" xr:uid="{00000000-0005-0000-0000-00007E100000}"/>
    <cellStyle name="Normal 5 108 2" xfId="9715" xr:uid="{00000000-0005-0000-0000-0000CE1D0000}"/>
    <cellStyle name="Normal 5 108 2 2" xfId="42204" xr:uid="{5F24120F-1DF6-4152-BDBA-E309169C0BED}"/>
    <cellStyle name="Normal 5 108 3" xfId="6184" xr:uid="{00000000-0005-0000-0000-00000A0D0000}"/>
    <cellStyle name="Normal 5 108 4" xfId="38228" xr:uid="{2563634D-3185-4D05-9E33-3F46244C8BDF}"/>
    <cellStyle name="Normal 5 109" xfId="4191" xr:uid="{00000000-0005-0000-0000-00007F100000}"/>
    <cellStyle name="Normal 5 109 2" xfId="4192" xr:uid="{00000000-0005-0000-0000-000080100000}"/>
    <cellStyle name="Normal 5 109 2 2" xfId="9717" xr:uid="{00000000-0005-0000-0000-0000D01D0000}"/>
    <cellStyle name="Normal 5 109 2 2 2" xfId="42206" xr:uid="{6E43BE23-25EF-45C3-8DC8-3548619134A3}"/>
    <cellStyle name="Normal 5 109 2 3" xfId="17297" xr:uid="{3A42158D-753F-413B-8F14-FC99061BCE24}"/>
    <cellStyle name="Normal 5 109 2 4" xfId="38230" xr:uid="{BEBE4F0C-D122-4ED9-9407-06F7D95ED667}"/>
    <cellStyle name="Normal 5 109 3" xfId="9716" xr:uid="{00000000-0005-0000-0000-0000CF1D0000}"/>
    <cellStyle name="Normal 5 109 3 2" xfId="18105" xr:uid="{2F512D0C-EBF2-4ED4-853F-1F140BE9BE73}"/>
    <cellStyle name="Normal 5 109 3 3" xfId="42205" xr:uid="{11DF3A97-BDDF-4AEE-904D-1D3EEE3BB561}"/>
    <cellStyle name="Normal 5 109 4" xfId="6185" xr:uid="{00000000-0005-0000-0000-00000B0D0000}"/>
    <cellStyle name="Normal 5 109 5" xfId="15744" xr:uid="{2665F841-92AE-49BD-9EAA-EAFCA6DA0488}"/>
    <cellStyle name="Normal 5 109 6" xfId="38229" xr:uid="{6BD855C5-3F13-41C8-8B8D-B836132F2809}"/>
    <cellStyle name="Normal 5 11" xfId="4193" xr:uid="{00000000-0005-0000-0000-000081100000}"/>
    <cellStyle name="Normal-- 5 11" xfId="12089" xr:uid="{00000000-0005-0000-0000-00000A240000}"/>
    <cellStyle name="Normal 5 11 10" xfId="8198" xr:uid="{00000000-0005-0000-0000-0000BE250000}"/>
    <cellStyle name="Normal 5 11 10 2" xfId="40992" xr:uid="{D807FFBD-148D-4B0A-9EDE-297E5D60BB3E}"/>
    <cellStyle name="Normal 5 11 11" xfId="12154" xr:uid="{00000000-0005-0000-0000-00000C260000}"/>
    <cellStyle name="Normal 5 11 11 2" xfId="44637" xr:uid="{5BAA48EB-9C6B-46B8-A882-EA8ECC7643C8}"/>
    <cellStyle name="Normal 5 11 12" xfId="8207" xr:uid="{00000000-0005-0000-0000-00005E260000}"/>
    <cellStyle name="Normal 5 11 12 2" xfId="41001" xr:uid="{3101BDED-B095-420E-9D1F-9A62945B5621}"/>
    <cellStyle name="Normal 5 11 13" xfId="12167" xr:uid="{00000000-0005-0000-0000-0000B4260000}"/>
    <cellStyle name="Normal 5 11 13 2" xfId="44650" xr:uid="{3279EDEC-B5CA-4596-8AF1-1123BCDC5588}"/>
    <cellStyle name="Normal 5 11 14" xfId="8226" xr:uid="{00000000-0005-0000-0000-00000E270000}"/>
    <cellStyle name="Normal 5 11 14 2" xfId="41020" xr:uid="{51A18507-8D44-49D0-9DFE-C7A84AF709F3}"/>
    <cellStyle name="Normal 5 11 15" xfId="12193" xr:uid="{00000000-0005-0000-0000-00006C270000}"/>
    <cellStyle name="Normal 5 11 15 2" xfId="44676" xr:uid="{E909C694-2B7A-46FD-8F07-0207692E5497}"/>
    <cellStyle name="Normal 5 11 16" xfId="6186" xr:uid="{00000000-0005-0000-0000-00000C0D0000}"/>
    <cellStyle name="Normal 5 11 17" xfId="12999" xr:uid="{00000000-0005-0000-0000-00008D300000}"/>
    <cellStyle name="Normal 5 11 17 2" xfId="45463" xr:uid="{C59C21D2-0AFC-4A3A-A604-EB59942D5691}"/>
    <cellStyle name="Normal 5 11 18" xfId="11649" xr:uid="{00000000-0005-0000-0000-0000F7300000}"/>
    <cellStyle name="Normal 5 11 18 2" xfId="44137" xr:uid="{FA2BBDED-C6EF-47A9-965D-CC6CE6A479CC}"/>
    <cellStyle name="Normal 5 11 19" xfId="13004" xr:uid="{00000000-0005-0000-0000-000065310000}"/>
    <cellStyle name="Normal 5 11 19 2" xfId="45468" xr:uid="{7F1C4363-ACE3-46D0-935E-3985842B6CC4}"/>
    <cellStyle name="Normal 5 11 2" xfId="4194" xr:uid="{00000000-0005-0000-0000-000082100000}"/>
    <cellStyle name="Normal-- 5 11 2" xfId="44572" xr:uid="{EDFC39DA-F4E4-46E0-93CA-F6D2BA2ADD55}"/>
    <cellStyle name="Normal 5 11 2 10" xfId="40583" xr:uid="{0C3E492C-CD93-45D4-A935-96178165C0F1}"/>
    <cellStyle name="Normal 5 11 2 11" xfId="49354" xr:uid="{16B7E426-4976-4103-BC86-E013D46344A1}"/>
    <cellStyle name="Normal 5 11 2 2" xfId="9719" xr:uid="{00000000-0005-0000-0000-0000D21D0000}"/>
    <cellStyle name="Normal 5 11 2 2 2" xfId="42208" xr:uid="{B5667891-96E3-4037-8A24-9F79BDA6757F}"/>
    <cellStyle name="Normal 5 11 2 3" xfId="6187" xr:uid="{00000000-0005-0000-0000-00000D0D0000}"/>
    <cellStyle name="Normal 5 11 2 4" xfId="38232" xr:uid="{CB0B66D0-B5F3-487D-B130-0F1B8F14988B}"/>
    <cellStyle name="Normal 5 11 2 5" xfId="15186" xr:uid="{A723A942-0361-42F3-81D6-2716EAF4CBC5}"/>
    <cellStyle name="Normal 5 11 2 6" xfId="46265" xr:uid="{5C10B3EE-C201-437B-A9E2-613F627FBD3E}"/>
    <cellStyle name="Normal 5 11 2 7" xfId="38033" xr:uid="{969EEDDF-3B39-4C8E-8ACB-C9BD0E70802D}"/>
    <cellStyle name="Normal 5 11 2 8" xfId="15136" xr:uid="{FDEB41AA-4657-4BCD-8E52-D49BB908BE14}"/>
    <cellStyle name="Normal 5 11 2 9" xfId="47017" xr:uid="{9B73CB47-A8CA-469B-90DA-5A7E008A783F}"/>
    <cellStyle name="Normal 5 11 20" xfId="11658" xr:uid="{00000000-0005-0000-0000-0000D7310000}"/>
    <cellStyle name="Normal 5 11 20 2" xfId="44145" xr:uid="{F69963A5-A3C1-4BE3-A150-24A9BDB40131}"/>
    <cellStyle name="Normal 5 11 21" xfId="13017" xr:uid="{00000000-0005-0000-0000-00004D320000}"/>
    <cellStyle name="Normal 5 11 21 2" xfId="45481" xr:uid="{3E8AFEB5-FBE9-47AF-A1DB-089777A8BC15}"/>
    <cellStyle name="Normal 5 11 22" xfId="11633" xr:uid="{00000000-0005-0000-0000-0000C7320000}"/>
    <cellStyle name="Normal 5 11 22 2" xfId="44121" xr:uid="{25241384-3FF1-4480-A63D-AFD28AD8B3A4}"/>
    <cellStyle name="Normal 5 11 23" xfId="13034" xr:uid="{00000000-0005-0000-0000-000045330000}"/>
    <cellStyle name="Normal 5 11 23 2" xfId="45498" xr:uid="{3DBFEC71-FD8A-485C-AB50-8C00588C264D}"/>
    <cellStyle name="Normal 5 11 24" xfId="11613" xr:uid="{00000000-0005-0000-0000-0000C7330000}"/>
    <cellStyle name="Normal 5 11 24 2" xfId="44101" xr:uid="{15D858CF-24C7-405C-8534-3BA0D51D1130}"/>
    <cellStyle name="Normal 5 11 25" xfId="13052" xr:uid="{00000000-0005-0000-0000-00004D340000}"/>
    <cellStyle name="Normal 5 11 25 2" xfId="45516" xr:uid="{74121BC5-AA7A-42D6-A097-06BF73DC3580}"/>
    <cellStyle name="Normal 5 11 26" xfId="11585" xr:uid="{00000000-0005-0000-0000-0000D7340000}"/>
    <cellStyle name="Normal 5 11 26 2" xfId="44073" xr:uid="{F47C7736-2675-4A7C-8F42-52EE59AE49C6}"/>
    <cellStyle name="Normal 5 11 27" xfId="15745" xr:uid="{0FA751A3-6A32-4AD9-9423-0D54562483AC}"/>
    <cellStyle name="Normal 5 11 28" xfId="38231" xr:uid="{2C883750-81DE-469F-BAD4-FE3EAF1B1B9F}"/>
    <cellStyle name="Normal 5 11 29" xfId="15185" xr:uid="{9F341B3B-678F-4E62-84E4-B57EB7691972}"/>
    <cellStyle name="Normal 5 11 3" xfId="9718" xr:uid="{00000000-0005-0000-0000-0000D11D0000}"/>
    <cellStyle name="Normal-- 5 11 3" xfId="48225" xr:uid="{E2E1AB17-AC00-4E22-A936-92B7F31A0EAC}"/>
    <cellStyle name="Normal 5 11 3 2" xfId="18106" xr:uid="{7B8D3AC5-5D6E-4C3A-96C2-6558E5EB7AB6}"/>
    <cellStyle name="Normal 5 11 3 3" xfId="42207" xr:uid="{A44C6972-238B-4679-92A7-728AEAB68FDE}"/>
    <cellStyle name="Normal 5 11 3 4" xfId="48162" xr:uid="{649BADF0-4120-4A21-8031-F7C99CAD8F48}"/>
    <cellStyle name="Normal 5 11 3 5" xfId="46797" xr:uid="{2D40EFBE-233D-4363-B9A7-0C3E0CF16F43}"/>
    <cellStyle name="Normal 5 11 3 6" xfId="15487" xr:uid="{0993BD6F-E48A-478B-97AA-473E1005A9D1}"/>
    <cellStyle name="Normal 5 11 3 7" xfId="48048" xr:uid="{27C5FA0E-BB81-4299-BB56-BD320534538E}"/>
    <cellStyle name="Normal 5 11 3 8" xfId="47900" xr:uid="{63880102-59CF-4D80-AC5C-CD85D1BB913D}"/>
    <cellStyle name="Normal 5 11 3 9" xfId="37629" xr:uid="{FE033693-9576-487A-B0A9-5B102AD3C696}"/>
    <cellStyle name="Normal 5 11 30" xfId="47452" xr:uid="{838116A9-8B7A-4B4C-8058-F304340FA8B3}"/>
    <cellStyle name="Normal 5 11 31" xfId="48852" xr:uid="{0973B68F-D279-4D60-BD4A-A6E6A3B5999C}"/>
    <cellStyle name="Normal 5 11 32" xfId="15432" xr:uid="{2894DD60-541D-45F2-B3D5-0FA0FC67BDAF}"/>
    <cellStyle name="Normal 5 11 33" xfId="48107" xr:uid="{3701528A-FBE5-45AC-80E3-69A475FF2515}"/>
    <cellStyle name="Normal 5 11 34" xfId="46347" xr:uid="{B37276F5-CAA9-4246-8AD3-3D568E70A682}"/>
    <cellStyle name="Normal 5 11 35" xfId="46292" xr:uid="{EFA213B9-0F14-4B3B-8D4F-7C2C741DD851}"/>
    <cellStyle name="Normal 5 11 4" xfId="8151" xr:uid="{00000000-0005-0000-0000-00003E240000}"/>
    <cellStyle name="Normal-- 5 11 4" xfId="16480" xr:uid="{15E1F931-D6A8-43F3-8390-63CDD9FA58EF}"/>
    <cellStyle name="Normal 5 11 4 2" xfId="40949" xr:uid="{A613860B-0872-48FC-88DE-4844DB2F1F0B}"/>
    <cellStyle name="Normal 5 11 4 3" xfId="17180" xr:uid="{390A8CB1-3367-40D6-989E-7C941DBA61A5}"/>
    <cellStyle name="Normal 5 11 4 4" xfId="48497" xr:uid="{2FFCD50B-8AF0-4DB2-8156-B850B43FCA7A}"/>
    <cellStyle name="Normal 5 11 4 5" xfId="49182" xr:uid="{551BF308-2C6E-452A-95AD-C406A921AE04}"/>
    <cellStyle name="Normal 5 11 4 6" xfId="41789" xr:uid="{98F3FB67-D6C1-4B70-9EFA-A7294FAE118C}"/>
    <cellStyle name="Normal 5 11 4 7" xfId="14135" xr:uid="{DE56CA2D-5DD1-43DD-8CA8-9318252C9D86}"/>
    <cellStyle name="Normal 5 11 5" xfId="12110" xr:uid="{00000000-0005-0000-0000-000074240000}"/>
    <cellStyle name="Normal-- 5 11 5" xfId="16454" xr:uid="{8382628B-8C2E-4BF2-8780-4BC8BE64E22D}"/>
    <cellStyle name="Normal 5 11 5 2" xfId="44593" xr:uid="{BC3AE46A-2068-49DD-B86E-13C4C0C66A95}"/>
    <cellStyle name="Normal 5 11 5 3" xfId="37662" xr:uid="{EB6D6AFE-A357-4945-8935-32696EAADF71}"/>
    <cellStyle name="Normal 5 11 5 4" xfId="38023" xr:uid="{2D17FF26-F593-4C9D-8F04-2BC7FA35665B}"/>
    <cellStyle name="Normal 5 11 5 5" xfId="47059" xr:uid="{D71DEC41-857D-4338-AF86-9B8DE8085F2A}"/>
    <cellStyle name="Normal 5 11 5 6" xfId="47686" xr:uid="{62ED0603-C96A-4250-8B5D-FAC1001FA720}"/>
    <cellStyle name="Normal 5 11 6" xfId="8170" xr:uid="{00000000-0005-0000-0000-0000AE240000}"/>
    <cellStyle name="Normal-- 5 11 6" xfId="16521" xr:uid="{D7AA80AA-6256-4545-88D0-B52A241250F5}"/>
    <cellStyle name="Normal 5 11 6 2" xfId="40967" xr:uid="{CEE27534-4E49-423D-B350-2B1C27C64E10}"/>
    <cellStyle name="Normal 5 11 6 3" xfId="41623" xr:uid="{96619B0E-BDC3-4969-8EED-21C185BC9FF1}"/>
    <cellStyle name="Normal 5 11 6 4" xfId="14979" xr:uid="{C163AFEA-6D89-4D63-9CF6-CFD007CAEFCE}"/>
    <cellStyle name="Normal 5 11 6 5" xfId="37651" xr:uid="{73F2FA9E-176D-4261-80E0-0440D8E79DEF}"/>
    <cellStyle name="Normal 5 11 7" xfId="12120" xr:uid="{00000000-0005-0000-0000-0000EC240000}"/>
    <cellStyle name="Normal-- 5 11 7" xfId="46792" xr:uid="{0D67A180-B2F8-468F-950D-39A789D5DF61}"/>
    <cellStyle name="Normal 5 11 7 2" xfId="44603" xr:uid="{427A2B6B-0F98-4803-80E9-30216523AE6E}"/>
    <cellStyle name="Normal 5 11 7 3" xfId="47742" xr:uid="{14EBB034-82C1-4967-860E-E2FB8FAED970}"/>
    <cellStyle name="Normal 5 11 7 4" xfId="46163" xr:uid="{73270D5B-7F4B-4F65-89A7-11708734B3D5}"/>
    <cellStyle name="Normal 5 11 8" xfId="8182" xr:uid="{00000000-0005-0000-0000-00002E250000}"/>
    <cellStyle name="Normal-- 5 11 8" xfId="40474" xr:uid="{5A3F0FDA-AAAB-4055-B4B0-950DB70EAE2C}"/>
    <cellStyle name="Normal 5 11 8 2" xfId="40978" xr:uid="{5765304D-0320-47A1-ADEB-84AE4AEF62CB}"/>
    <cellStyle name="Normal 5 11 8 3" xfId="15086" xr:uid="{8C36CFFA-2B72-4F32-A382-0FC78E8FDF9C}"/>
    <cellStyle name="Normal 5 11 9" xfId="12131" xr:uid="{00000000-0005-0000-0000-000074250000}"/>
    <cellStyle name="Normal-- 5 11 9" xfId="48770" xr:uid="{3B95DE30-F3B1-456F-85F6-D939512FE7F7}"/>
    <cellStyle name="Normal 5 11 9 2" xfId="44614" xr:uid="{2235DDBD-BDCF-445C-AD23-7B3FBF385FA2}"/>
    <cellStyle name="Normal 5 110" xfId="4195" xr:uid="{00000000-0005-0000-0000-000083100000}"/>
    <cellStyle name="Normal 5 110 2" xfId="4196" xr:uid="{00000000-0005-0000-0000-000084100000}"/>
    <cellStyle name="Normal 5 110 2 2" xfId="9721" xr:uid="{00000000-0005-0000-0000-0000D41D0000}"/>
    <cellStyle name="Normal 5 110 2 2 2" xfId="42210" xr:uid="{A4C2DBF2-DF50-4241-BBB5-7A936AAEED17}"/>
    <cellStyle name="Normal 5 110 2 3" xfId="17298" xr:uid="{0AAAD769-6C75-4DA1-AB35-C4E04B6EDD57}"/>
    <cellStyle name="Normal 5 110 2 4" xfId="38234" xr:uid="{6364937E-0630-4AD2-A309-8C2EA971141E}"/>
    <cellStyle name="Normal 5 110 3" xfId="9720" xr:uid="{00000000-0005-0000-0000-0000D31D0000}"/>
    <cellStyle name="Normal 5 110 3 2" xfId="18107" xr:uid="{531F6F96-F65C-443D-A852-AAB9C2C185C6}"/>
    <cellStyle name="Normal 5 110 3 3" xfId="42209" xr:uid="{2DAB8AE4-68C6-46D8-99AF-18DCD5843249}"/>
    <cellStyle name="Normal 5 110 4" xfId="6188" xr:uid="{00000000-0005-0000-0000-00000E0D0000}"/>
    <cellStyle name="Normal 5 110 5" xfId="15747" xr:uid="{3CD53FF9-4EDC-4240-BA54-D99C5F4ADC89}"/>
    <cellStyle name="Normal 5 110 6" xfId="38233" xr:uid="{C46B4F34-A905-4491-AB56-2C3D3A3EFCD3}"/>
    <cellStyle name="Normal 5 111" xfId="4197" xr:uid="{00000000-0005-0000-0000-000085100000}"/>
    <cellStyle name="Normal 5 111 2" xfId="9722" xr:uid="{00000000-0005-0000-0000-0000D51D0000}"/>
    <cellStyle name="Normal 5 111 2 2" xfId="42211" xr:uid="{68A379D5-FD89-4D35-90FD-DEB0EF50074D}"/>
    <cellStyle name="Normal 5 111 3" xfId="6189" xr:uid="{00000000-0005-0000-0000-00000F0D0000}"/>
    <cellStyle name="Normal 5 111 4" xfId="38235" xr:uid="{7C11B349-F80D-4758-B74D-CD338843FE24}"/>
    <cellStyle name="Normal 5 112" xfId="4198" xr:uid="{00000000-0005-0000-0000-000086100000}"/>
    <cellStyle name="Normal 5 112 2" xfId="9723" xr:uid="{00000000-0005-0000-0000-0000D61D0000}"/>
    <cellStyle name="Normal 5 112 2 2" xfId="42212" xr:uid="{C4B3DEB9-2784-4ACA-9641-17807D45FCC3}"/>
    <cellStyle name="Normal 5 112 3" xfId="6190" xr:uid="{00000000-0005-0000-0000-0000100D0000}"/>
    <cellStyle name="Normal 5 112 4" xfId="38236" xr:uid="{7F6B1B0C-4D21-42D2-85DC-BDEC528DDFC2}"/>
    <cellStyle name="Normal 5 113" xfId="4199" xr:uid="{00000000-0005-0000-0000-000087100000}"/>
    <cellStyle name="Normal 5 113 2" xfId="9724" xr:uid="{00000000-0005-0000-0000-0000D71D0000}"/>
    <cellStyle name="Normal 5 113 2 2" xfId="42213" xr:uid="{5C040A46-1915-42FF-B596-01565590BAD3}"/>
    <cellStyle name="Normal 5 113 3" xfId="6191" xr:uid="{00000000-0005-0000-0000-0000110D0000}"/>
    <cellStyle name="Normal 5 113 4" xfId="38237" xr:uid="{161F4E8C-BC4A-403E-A005-847CCB6DFE3B}"/>
    <cellStyle name="Normal 5 114" xfId="4200" xr:uid="{00000000-0005-0000-0000-000088100000}"/>
    <cellStyle name="Normal 5 114 2" xfId="9725" xr:uid="{00000000-0005-0000-0000-0000D81D0000}"/>
    <cellStyle name="Normal 5 114 2 2" xfId="18738" xr:uid="{ED98B3F7-450E-4C1F-A498-6608BA550AD0}"/>
    <cellStyle name="Normal 5 114 2 3" xfId="42214" xr:uid="{39078001-3B6F-46A9-8FF9-B0E2D70BEA8E}"/>
    <cellStyle name="Normal 5 114 3" xfId="9353" xr:uid="{00000000-0005-0000-0000-000056210000}"/>
    <cellStyle name="Normal 5 114 3 2" xfId="41869" xr:uid="{53815843-3E0E-4F3F-8DC1-23C330D3A15D}"/>
    <cellStyle name="Normal 5 114 4" xfId="15738" xr:uid="{3D8DAC49-B415-44D2-9944-D6F032E05049}"/>
    <cellStyle name="Normal 5 114 5" xfId="38238" xr:uid="{7E5B6D36-9164-4B79-ADE8-5A443CFA6BAD}"/>
    <cellStyle name="Normal 5 115" xfId="9703" xr:uid="{00000000-0005-0000-0000-0000C21D0000}"/>
    <cellStyle name="Normal 5 115 2" xfId="18779" xr:uid="{61C94DDF-7E05-45A5-82A1-CA0BF781AB04}"/>
    <cellStyle name="Normal 5 115 3" xfId="42192" xr:uid="{2ED79B3C-E2E9-49BE-96AF-9C92A6E1C09F}"/>
    <cellStyle name="Normal 5 116" xfId="12064" xr:uid="{00000000-0005-0000-0000-000009230000}"/>
    <cellStyle name="Normal 5 116 2" xfId="17375" xr:uid="{F7F9B56D-A335-4F3C-A151-6F485A902386}"/>
    <cellStyle name="Normal 5 116 3" xfId="44547" xr:uid="{AA477B55-7E13-4381-84EA-87D7E3054334}"/>
    <cellStyle name="Normal 5 117" xfId="8111" xr:uid="{00000000-0005-0000-0000-00001B230000}"/>
    <cellStyle name="Normal 5 117 2" xfId="23092" xr:uid="{E0522B91-1DA7-4027-A4AF-1608F571FD58}"/>
    <cellStyle name="Normal 5 117 3" xfId="40917" xr:uid="{8D744C82-FB88-486B-9144-B867AB23557E}"/>
    <cellStyle name="Normal 5 118" xfId="12070" xr:uid="{00000000-0005-0000-0000-000031230000}"/>
    <cellStyle name="Normal 5 118 2" xfId="23704" xr:uid="{433F64E7-1712-4A0D-A8EA-016E9D9E2D39}"/>
    <cellStyle name="Normal 5 118 3" xfId="44553" xr:uid="{9D50D31A-585E-4D9A-B58A-3F9E38CC0D4D}"/>
    <cellStyle name="Normal 5 119" xfId="8118" xr:uid="{00000000-0005-0000-0000-00004B230000}"/>
    <cellStyle name="Normal 5 119 2" xfId="40920" xr:uid="{19824A49-6EA8-4946-89A9-2F23C0DC9E8C}"/>
    <cellStyle name="Normal 5 12" xfId="4201" xr:uid="{00000000-0005-0000-0000-000089100000}"/>
    <cellStyle name="Normal-- 5 12" xfId="8137" xr:uid="{00000000-0005-0000-0000-00003C240000}"/>
    <cellStyle name="Normal 5 12 10" xfId="12166" xr:uid="{00000000-0005-0000-0000-00000D260000}"/>
    <cellStyle name="Normal 5 12 10 2" xfId="44649" xr:uid="{4AFE7FD1-580D-498E-AAA9-AF9308A7F7D8}"/>
    <cellStyle name="Normal 5 12 11" xfId="8223" xr:uid="{00000000-0005-0000-0000-00005F260000}"/>
    <cellStyle name="Normal 5 12 11 2" xfId="41017" xr:uid="{5EE4D7D0-4016-4B55-A7A7-77827C323D01}"/>
    <cellStyle name="Normal 5 12 12" xfId="12185" xr:uid="{00000000-0005-0000-0000-0000B5260000}"/>
    <cellStyle name="Normal 5 12 12 2" xfId="44668" xr:uid="{53F662A7-BF3E-4C73-B3FF-38C72A404FA1}"/>
    <cellStyle name="Normal 5 12 13" xfId="8253" xr:uid="{00000000-0005-0000-0000-00000F270000}"/>
    <cellStyle name="Normal 5 12 13 2" xfId="41047" xr:uid="{618CD3D2-B7D6-4995-98A0-7DFA961F7DCF}"/>
    <cellStyle name="Normal 5 12 14" xfId="12212" xr:uid="{00000000-0005-0000-0000-00006D270000}"/>
    <cellStyle name="Normal 5 12 14 2" xfId="44695" xr:uid="{23AD7AAE-04A6-48D1-B697-9F56F87B00BE}"/>
    <cellStyle name="Normal 5 12 15" xfId="6192" xr:uid="{00000000-0005-0000-0000-0000120D0000}"/>
    <cellStyle name="Normal 5 12 16" xfId="13003" xr:uid="{00000000-0005-0000-0000-00008E300000}"/>
    <cellStyle name="Normal 5 12 16 2" xfId="45467" xr:uid="{716E5423-40E4-4B48-AEB6-07F804E20107}"/>
    <cellStyle name="Normal 5 12 17" xfId="11645" xr:uid="{00000000-0005-0000-0000-0000F8300000}"/>
    <cellStyle name="Normal 5 12 17 2" xfId="44133" xr:uid="{F1A6F290-F6D2-4B1D-894B-FCB25A7981A2}"/>
    <cellStyle name="Normal 5 12 18" xfId="13016" xr:uid="{00000000-0005-0000-0000-000066310000}"/>
    <cellStyle name="Normal 5 12 18 2" xfId="45480" xr:uid="{A11F60F7-B4D9-4DDE-B88B-D8C30F994EA9}"/>
    <cellStyle name="Normal 5 12 19" xfId="11634" xr:uid="{00000000-0005-0000-0000-0000D8310000}"/>
    <cellStyle name="Normal 5 12 19 2" xfId="44122" xr:uid="{7619D3FA-DAF5-4C4A-A450-BB1F134C140D}"/>
    <cellStyle name="Normal 5 12 2" xfId="4202" xr:uid="{00000000-0005-0000-0000-00008A100000}"/>
    <cellStyle name="Normal-- 5 12 2" xfId="40937" xr:uid="{1743148C-7EDB-45E6-876B-811D095412EF}"/>
    <cellStyle name="Normal 5 12 2 10" xfId="37881" xr:uid="{BE824E31-CB45-4073-B5C5-29C1BDC8CDB6}"/>
    <cellStyle name="Normal 5 12 2 11" xfId="16459" xr:uid="{9AEFCD6D-D12F-4457-8894-0F4626825549}"/>
    <cellStyle name="Normal 5 12 2 2" xfId="9727" xr:uid="{00000000-0005-0000-0000-0000DA1D0000}"/>
    <cellStyle name="Normal 5 12 2 2 2" xfId="42216" xr:uid="{D1A3D5F9-E783-4571-B1CD-62749520EF69}"/>
    <cellStyle name="Normal 5 12 2 3" xfId="6193" xr:uid="{00000000-0005-0000-0000-0000130D0000}"/>
    <cellStyle name="Normal 5 12 2 4" xfId="38240" xr:uid="{7EC302F7-6347-45A9-A3BD-9803AD608098}"/>
    <cellStyle name="Normal 5 12 2 5" xfId="15190" xr:uid="{CE02582B-FDC7-46F8-8F9E-EAEFF0E3D75F}"/>
    <cellStyle name="Normal 5 12 2 6" xfId="48648" xr:uid="{FBC54CD0-14A2-4E0F-909D-8F2A08D97465}"/>
    <cellStyle name="Normal 5 12 2 7" xfId="48651" xr:uid="{4D0F4AE9-2B8C-4D01-AD86-78DC97973972}"/>
    <cellStyle name="Normal 5 12 2 8" xfId="15463" xr:uid="{46AB1D8D-994F-4E35-8C25-F7F496E3475B}"/>
    <cellStyle name="Normal 5 12 2 9" xfId="49243" xr:uid="{6CBB92A5-7B78-415B-B4E6-4FA609F851D9}"/>
    <cellStyle name="Normal 5 12 20" xfId="13033" xr:uid="{00000000-0005-0000-0000-00004E320000}"/>
    <cellStyle name="Normal 5 12 20 2" xfId="45497" xr:uid="{0F79869E-9774-4561-AF44-91D1B43EBF32}"/>
    <cellStyle name="Normal 5 12 21" xfId="11614" xr:uid="{00000000-0005-0000-0000-0000C8320000}"/>
    <cellStyle name="Normal 5 12 21 2" xfId="44102" xr:uid="{D47459A9-B979-4459-88B7-0D6DE9EB595F}"/>
    <cellStyle name="Normal 5 12 22" xfId="13051" xr:uid="{00000000-0005-0000-0000-000046330000}"/>
    <cellStyle name="Normal 5 12 22 2" xfId="45515" xr:uid="{116381BE-C1DA-48DC-B4B3-CE4DBB965C8D}"/>
    <cellStyle name="Normal 5 12 23" xfId="11588" xr:uid="{00000000-0005-0000-0000-0000C8330000}"/>
    <cellStyle name="Normal 5 12 23 2" xfId="44076" xr:uid="{15F29A20-B0B9-4AA7-A233-52F85412BFB1}"/>
    <cellStyle name="Normal 5 12 24" xfId="13074" xr:uid="{00000000-0005-0000-0000-00004E340000}"/>
    <cellStyle name="Normal 5 12 24 2" xfId="45538" xr:uid="{E42DE2F9-94F1-4F77-919A-ABBB203F8843}"/>
    <cellStyle name="Normal 5 12 25" xfId="11563" xr:uid="{00000000-0005-0000-0000-0000D8340000}"/>
    <cellStyle name="Normal 5 12 25 2" xfId="44051" xr:uid="{3931B577-BD64-468B-8B55-FA8BCC34C190}"/>
    <cellStyle name="Normal 5 12 26" xfId="15749" xr:uid="{DF65AF0A-0EF9-45FB-94DF-674A60B08B19}"/>
    <cellStyle name="Normal 5 12 27" xfId="38239" xr:uid="{C140BC51-94AC-49D2-A7EA-1E7D9B69DADF}"/>
    <cellStyle name="Normal 5 12 28" xfId="15189" xr:uid="{D2506A6D-7D5D-4DD8-B5C3-56077882F33E}"/>
    <cellStyle name="Normal 5 12 29" xfId="47985" xr:uid="{40D454DC-9C94-4D90-BF80-3B189F0EE3BA}"/>
    <cellStyle name="Normal 5 12 3" xfId="9726" xr:uid="{00000000-0005-0000-0000-0000D91D0000}"/>
    <cellStyle name="Normal-- 5 12 3" xfId="46747" xr:uid="{DCFE172C-E9FB-433F-9930-2CCC6880D923}"/>
    <cellStyle name="Normal 5 12 3 2" xfId="18108" xr:uid="{2CD409B7-EBDC-4BDF-8880-FE6BF72D7DB3}"/>
    <cellStyle name="Normal 5 12 3 3" xfId="42215" xr:uid="{32AA4B6B-9F7A-41B9-842C-C8FB7FBF4A92}"/>
    <cellStyle name="Normal 5 12 3 4" xfId="37781" xr:uid="{9C1C6077-ED35-48F9-B6D8-050A856FC236}"/>
    <cellStyle name="Normal 5 12 3 5" xfId="40316" xr:uid="{C23325DF-2B53-4A2B-958D-1717EE2F3B67}"/>
    <cellStyle name="Normal 5 12 3 6" xfId="47850" xr:uid="{1D0DD6BD-E752-42F2-9FDD-32B0C9F5B14A}"/>
    <cellStyle name="Normal 5 12 3 7" xfId="48168" xr:uid="{471DF1C5-A4DE-408A-867F-1EF67B47CE4C}"/>
    <cellStyle name="Normal 5 12 3 8" xfId="49271" xr:uid="{2965BA8A-0212-43AD-B52A-528D99BB2467}"/>
    <cellStyle name="Normal 5 12 3 9" xfId="46436" xr:uid="{ACC9D07E-1330-448D-96AC-89FA5C47590D}"/>
    <cellStyle name="Normal 5 12 30" xfId="48185" xr:uid="{55188927-FB4A-47BC-945A-13DFEF10DE6F}"/>
    <cellStyle name="Normal 5 12 31" xfId="49148" xr:uid="{E99D4E5D-9B74-4F73-B929-980521C7A5DD}"/>
    <cellStyle name="Normal 5 12 32" xfId="49344" xr:uid="{D117F57C-5EC3-4A78-8AE9-447EB1C5F243}"/>
    <cellStyle name="Normal 5 12 33" xfId="41762" xr:uid="{1729B538-C3F3-4DFB-99D1-0240EB72674B}"/>
    <cellStyle name="Normal 5 12 34" xfId="48316" xr:uid="{98D8901E-5CF4-459D-9D39-380F28868A5A}"/>
    <cellStyle name="Normal 5 12 4" xfId="12119" xr:uid="{00000000-0005-0000-0000-000075240000}"/>
    <cellStyle name="Normal-- 5 12 4" xfId="14182" xr:uid="{FC029F94-5E83-4383-9091-6E92E908F562}"/>
    <cellStyle name="Normal 5 12 4 2" xfId="44602" xr:uid="{BF5E67FE-EC06-4287-BC4F-3660BED72012}"/>
    <cellStyle name="Normal 5 12 4 3" xfId="47788" xr:uid="{D6A5A2FE-FCC8-4E66-B9DC-7AE58EC7BFB5}"/>
    <cellStyle name="Normal 5 12 4 4" xfId="48583" xr:uid="{1CEDAEFF-903B-4FB7-8E3F-7624C5DF500B}"/>
    <cellStyle name="Normal 5 12 4 5" xfId="46359" xr:uid="{111AFAFC-B706-4013-9E18-D6EE5B0D0AF6}"/>
    <cellStyle name="Normal 5 12 4 6" xfId="40503" xr:uid="{06859B34-507B-4A88-8A1C-DA3FF5164035}"/>
    <cellStyle name="Normal 5 12 4 7" xfId="37760" xr:uid="{587B7E6B-7A9B-424E-9216-2D05ACD71A44}"/>
    <cellStyle name="Normal 5 12 5" xfId="8181" xr:uid="{00000000-0005-0000-0000-0000AF240000}"/>
    <cellStyle name="Normal-- 5 12 5" xfId="47593" xr:uid="{1EEA0152-5ECB-4A34-AD13-99E573892DDA}"/>
    <cellStyle name="Normal 5 12 5 2" xfId="40977" xr:uid="{49B9913C-2C4F-4E62-8729-E10C3B0ADF46}"/>
    <cellStyle name="Normal 5 12 5 3" xfId="47868" xr:uid="{4E309623-6D6C-42D3-A1A5-CBF51D6D2BDA}"/>
    <cellStyle name="Normal 5 12 5 4" xfId="46936" xr:uid="{12B696C5-7359-48FA-BD10-7BF5E607629E}"/>
    <cellStyle name="Normal 5 12 5 5" xfId="47351" xr:uid="{B002F4F1-2EB6-4665-A06C-C3D255256C84}"/>
    <cellStyle name="Normal 5 12 5 6" xfId="49179" xr:uid="{F2EEA79E-7A23-44C8-9154-5F4A542F5946}"/>
    <cellStyle name="Normal 5 12 6" xfId="12130" xr:uid="{00000000-0005-0000-0000-0000ED240000}"/>
    <cellStyle name="Normal-- 5 12 6" xfId="46223" xr:uid="{42BDF72A-9A0B-4B5E-9210-76584B74E945}"/>
    <cellStyle name="Normal 5 12 6 2" xfId="44613" xr:uid="{A239A7C0-6A49-43C3-A7C3-FE904E3CD49B}"/>
    <cellStyle name="Normal 5 12 6 3" xfId="40542" xr:uid="{AC03C225-A1DD-477B-B940-FDBBAC6A6EA2}"/>
    <cellStyle name="Normal 5 12 6 4" xfId="15324" xr:uid="{0FF11EEC-79DD-421F-9D64-40656F4AF242}"/>
    <cellStyle name="Normal 5 12 6 5" xfId="40730" xr:uid="{9756A094-6E74-46DA-A280-642982A21ECC}"/>
    <cellStyle name="Normal 5 12 7" xfId="8197" xr:uid="{00000000-0005-0000-0000-00002F250000}"/>
    <cellStyle name="Normal-- 5 12 7" xfId="46581" xr:uid="{4B173489-298E-420E-8BAD-C38BAA60ED48}"/>
    <cellStyle name="Normal 5 12 7 2" xfId="40991" xr:uid="{876371DA-596D-4A8E-923F-BFEB35B435D0}"/>
    <cellStyle name="Normal 5 12 7 3" xfId="40121" xr:uid="{29BB0CBE-1769-4A41-8379-37D43572C8B0}"/>
    <cellStyle name="Normal 5 12 7 4" xfId="15320" xr:uid="{D4205A2D-0003-4046-8AB0-766677CC13F7}"/>
    <cellStyle name="Normal 5 12 8" xfId="12143" xr:uid="{00000000-0005-0000-0000-000075250000}"/>
    <cellStyle name="Normal-- 5 12 8" xfId="40098" xr:uid="{3DF59DD9-392F-4041-BA56-E7300477B911}"/>
    <cellStyle name="Normal 5 12 8 2" xfId="44626" xr:uid="{3C62720C-2069-49EA-BA06-3061854CA60E}"/>
    <cellStyle name="Normal 5 12 8 3" xfId="48823" xr:uid="{AA51104A-4465-42E8-B431-B13A0B32528D}"/>
    <cellStyle name="Normal 5 12 9" xfId="8211" xr:uid="{00000000-0005-0000-0000-0000BF250000}"/>
    <cellStyle name="Normal-- 5 12 9" xfId="14249" xr:uid="{9D077F69-F08A-4CD3-8353-F874AE930B54}"/>
    <cellStyle name="Normal 5 12 9 2" xfId="41005" xr:uid="{9F77D090-3C29-4851-88A2-7D9CC90993BD}"/>
    <cellStyle name="Normal 5 120" xfId="12076" xr:uid="{00000000-0005-0000-0000-000069230000}"/>
    <cellStyle name="Normal 5 120 2" xfId="44559" xr:uid="{E4458E86-C65E-4486-9775-55BF3A9BF182}"/>
    <cellStyle name="Normal 5 121" xfId="8124" xr:uid="{00000000-0005-0000-0000-00008B230000}"/>
    <cellStyle name="Normal 5 121 2" xfId="40926" xr:uid="{BC594631-111F-48F6-B72E-5236DFB1FF3D}"/>
    <cellStyle name="Normal 5 122" xfId="12082" xr:uid="{00000000-0005-0000-0000-0000B1230000}"/>
    <cellStyle name="Normal 5 122 2" xfId="44565" xr:uid="{0ACDBAB9-BDF0-4E35-9660-853F5937AC9A}"/>
    <cellStyle name="Normal 5 123" xfId="8130" xr:uid="{00000000-0005-0000-0000-0000DB230000}"/>
    <cellStyle name="Normal 5 123 2" xfId="40931" xr:uid="{E2B075CA-7BAF-4C72-A557-4F0E4EFCB72B}"/>
    <cellStyle name="Normal 5 124" xfId="12088" xr:uid="{00000000-0005-0000-0000-000009240000}"/>
    <cellStyle name="Normal 5 124 2" xfId="44571" xr:uid="{99FBE4BA-C752-44FA-BA65-F39A0F53157D}"/>
    <cellStyle name="Normal 5 125" xfId="8136" xr:uid="{00000000-0005-0000-0000-00003B240000}"/>
    <cellStyle name="Normal 5 125 2" xfId="40936" xr:uid="{3EF3D4D2-1CB9-4D4E-8B0A-AD64A57DCC2D}"/>
    <cellStyle name="Normal 5 126" xfId="12095" xr:uid="{00000000-0005-0000-0000-000071240000}"/>
    <cellStyle name="Normal 5 126 2" xfId="44578" xr:uid="{2424AEE0-D8A2-4677-88FD-39A6FDF28821}"/>
    <cellStyle name="Normal 5 127" xfId="8142" xr:uid="{00000000-0005-0000-0000-0000AB240000}"/>
    <cellStyle name="Normal 5 127 2" xfId="40941" xr:uid="{49DA461D-5671-40B1-9D5B-786A7C94A802}"/>
    <cellStyle name="Normal 5 128" xfId="12102" xr:uid="{00000000-0005-0000-0000-0000E9240000}"/>
    <cellStyle name="Normal 5 128 2" xfId="44585" xr:uid="{E2582741-6239-48BD-B9EF-92E401159369}"/>
    <cellStyle name="Normal 5 129" xfId="8149" xr:uid="{00000000-0005-0000-0000-00002B250000}"/>
    <cellStyle name="Normal 5 129 2" xfId="40947" xr:uid="{2FE3613B-DC1A-4DA0-B6E6-2ABD07F74386}"/>
    <cellStyle name="Normal 5 13" xfId="4203" xr:uid="{00000000-0005-0000-0000-00008B100000}"/>
    <cellStyle name="Normal-- 5 13" xfId="12096" xr:uid="{00000000-0005-0000-0000-000072240000}"/>
    <cellStyle name="Normal 5 13 10" xfId="8227" xr:uid="{00000000-0005-0000-0000-000060260000}"/>
    <cellStyle name="Normal 5 13 10 2" xfId="41021" xr:uid="{33D94DF0-F00B-480C-A8EE-BF9FA20BE58B}"/>
    <cellStyle name="Normal 5 13 11" xfId="12191" xr:uid="{00000000-0005-0000-0000-0000B6260000}"/>
    <cellStyle name="Normal 5 13 11 2" xfId="44674" xr:uid="{2182F13B-D622-4AEA-9B9F-0F61E0BB291F}"/>
    <cellStyle name="Normal 5 13 12" xfId="8255" xr:uid="{00000000-0005-0000-0000-000010270000}"/>
    <cellStyle name="Normal 5 13 12 2" xfId="41049" xr:uid="{5F634804-9ED1-4A35-8E50-2821A6F10A55}"/>
    <cellStyle name="Normal 5 13 13" xfId="12218" xr:uid="{00000000-0005-0000-0000-00006E270000}"/>
    <cellStyle name="Normal 5 13 13 2" xfId="44701" xr:uid="{5DB09DB9-DE10-404D-9F2E-D70BD90610F0}"/>
    <cellStyle name="Normal 5 13 14" xfId="6194" xr:uid="{00000000-0005-0000-0000-0000140D0000}"/>
    <cellStyle name="Normal 5 13 15" xfId="13005" xr:uid="{00000000-0005-0000-0000-00008F300000}"/>
    <cellStyle name="Normal 5 13 15 2" xfId="45469" xr:uid="{37752132-E922-426E-93FC-B079787AC773}"/>
    <cellStyle name="Normal 5 13 16" xfId="9283" xr:uid="{00000000-0005-0000-0000-0000F9300000}"/>
    <cellStyle name="Normal 5 13 16 2" xfId="41817" xr:uid="{B1E07313-59D0-4AD9-B809-A223C58F95D4}"/>
    <cellStyle name="Normal 5 13 17" xfId="13018" xr:uid="{00000000-0005-0000-0000-000067310000}"/>
    <cellStyle name="Normal 5 13 17 2" xfId="45482" xr:uid="{04C8C749-263F-4FD3-90AC-9F2CD7503632}"/>
    <cellStyle name="Normal 5 13 18" xfId="11632" xr:uid="{00000000-0005-0000-0000-0000D9310000}"/>
    <cellStyle name="Normal 5 13 18 2" xfId="44120" xr:uid="{CADF2043-9C97-41FE-990F-C9EA5781BECC}"/>
    <cellStyle name="Normal 5 13 19" xfId="13035" xr:uid="{00000000-0005-0000-0000-00004F320000}"/>
    <cellStyle name="Normal 5 13 19 2" xfId="45499" xr:uid="{50C0F2CF-BB59-4793-8A9A-EA44FF6B3BDD}"/>
    <cellStyle name="Normal 5 13 2" xfId="4204" xr:uid="{00000000-0005-0000-0000-00008C100000}"/>
    <cellStyle name="Normal-- 5 13 2" xfId="44579" xr:uid="{977A493C-8011-4D7F-921A-BE3D3015E2EF}"/>
    <cellStyle name="Normal 5 13 2 10" xfId="46072" xr:uid="{FF1DC644-6A8F-4A4F-9C3E-316C795536B8}"/>
    <cellStyle name="Normal 5 13 2 11" xfId="49162" xr:uid="{06B91F50-5541-4EFB-BAA6-A8C2BB782F70}"/>
    <cellStyle name="Normal 5 13 2 2" xfId="9729" xr:uid="{00000000-0005-0000-0000-0000DC1D0000}"/>
    <cellStyle name="Normal 5 13 2 2 2" xfId="42218" xr:uid="{D9E85D72-DE0C-4DA7-BF71-7760A6D81CC7}"/>
    <cellStyle name="Normal 5 13 2 3" xfId="6195" xr:uid="{00000000-0005-0000-0000-0000150D0000}"/>
    <cellStyle name="Normal 5 13 2 4" xfId="38242" xr:uid="{6D51C474-7133-4E34-88C5-2DDFB9AD7D13}"/>
    <cellStyle name="Normal 5 13 2 5" xfId="40511" xr:uid="{AB61BFE3-7EC1-4274-AA61-6EBE97A835D0}"/>
    <cellStyle name="Normal 5 13 2 6" xfId="46263" xr:uid="{91FEDFAE-14C1-4EF9-965E-1E475E1D7EC6}"/>
    <cellStyle name="Normal 5 13 2 7" xfId="48082" xr:uid="{61911C8F-5616-4A47-8655-D50092A577D9}"/>
    <cellStyle name="Normal 5 13 2 8" xfId="46956" xr:uid="{D3E58178-AAC5-4051-A200-756655463065}"/>
    <cellStyle name="Normal 5 13 2 9" xfId="47809" xr:uid="{2021515B-354D-4577-AD5B-A894BCAB4DDE}"/>
    <cellStyle name="Normal 5 13 20" xfId="11612" xr:uid="{00000000-0005-0000-0000-0000C9320000}"/>
    <cellStyle name="Normal 5 13 20 2" xfId="44100" xr:uid="{89423B6A-B886-48D1-884B-C266CBFD0656}"/>
    <cellStyle name="Normal 5 13 21" xfId="13053" xr:uid="{00000000-0005-0000-0000-000047330000}"/>
    <cellStyle name="Normal 5 13 21 2" xfId="45517" xr:uid="{C0090708-B1CE-488D-8737-255EB8B34BDD}"/>
    <cellStyle name="Normal 5 13 22" xfId="11584" xr:uid="{00000000-0005-0000-0000-0000C9330000}"/>
    <cellStyle name="Normal 5 13 22 2" xfId="44072" xr:uid="{026904A5-835C-4647-96BB-C1DB0EF44695}"/>
    <cellStyle name="Normal 5 13 23" xfId="13076" xr:uid="{00000000-0005-0000-0000-00004F340000}"/>
    <cellStyle name="Normal 5 13 23 2" xfId="45540" xr:uid="{851AC5BB-8145-439A-B22B-7BD1503860BA}"/>
    <cellStyle name="Normal 5 13 24" xfId="11560" xr:uid="{00000000-0005-0000-0000-0000D9340000}"/>
    <cellStyle name="Normal 5 13 24 2" xfId="44048" xr:uid="{A033B1C4-1B78-4CF4-A6D2-61933A6A983E}"/>
    <cellStyle name="Normal 5 13 25" xfId="15750" xr:uid="{FD934DA3-B3F7-4148-8F82-8B8A167C723B}"/>
    <cellStyle name="Normal 5 13 26" xfId="38241" xr:uid="{231BE413-7101-446F-B9C5-BAA378D8E7F6}"/>
    <cellStyle name="Normal 5 13 27" xfId="40508" xr:uid="{8C63BB23-8FE8-47D1-AEAD-090040EE5763}"/>
    <cellStyle name="Normal 5 13 28" xfId="47996" xr:uid="{A7057F15-92AA-47A6-8DF2-3CFD9D3C43AE}"/>
    <cellStyle name="Normal 5 13 29" xfId="41355" xr:uid="{E073C51E-1517-40CB-9A44-EDA732159F12}"/>
    <cellStyle name="Normal 5 13 3" xfId="9728" xr:uid="{00000000-0005-0000-0000-0000DB1D0000}"/>
    <cellStyle name="Normal-- 5 13 3" xfId="48229" xr:uid="{7099F7E7-CE6C-4883-BF34-A29F661B3D53}"/>
    <cellStyle name="Normal 5 13 3 2" xfId="18109" xr:uid="{8480D9AB-C665-4701-B805-2EE79A3861F7}"/>
    <cellStyle name="Normal 5 13 3 3" xfId="42217" xr:uid="{E4EB6C71-A7B9-4988-B1C0-2FE08C7154FD}"/>
    <cellStyle name="Normal 5 13 3 4" xfId="46447" xr:uid="{ACF7B456-4B03-4247-9261-F37D23FDB0C9}"/>
    <cellStyle name="Normal 5 13 3 5" xfId="40237" xr:uid="{2E3D3F14-DFAE-43AA-98D5-881504BB3BBB}"/>
    <cellStyle name="Normal 5 13 3 6" xfId="47775" xr:uid="{833B6424-6AE8-4BBF-8D44-3969AAC60C53}"/>
    <cellStyle name="Normal 5 13 3 7" xfId="48672" xr:uid="{B7173ADA-89D7-49D8-B014-7166EB9A67EA}"/>
    <cellStyle name="Normal 5 13 3 8" xfId="49430" xr:uid="{CF8BA55E-267E-45E9-934B-569CD416D025}"/>
    <cellStyle name="Normal 5 13 3 9" xfId="37852" xr:uid="{6179AE6D-E8FC-4680-9E20-EB3413940256}"/>
    <cellStyle name="Normal 5 13 30" xfId="49123" xr:uid="{81AFDD72-96D2-43A0-B60E-B8536E780DEE}"/>
    <cellStyle name="Normal 5 13 31" xfId="49333" xr:uid="{723D8996-882F-4D16-A5E0-6079880E8917}"/>
    <cellStyle name="Normal 5 13 32" xfId="46796" xr:uid="{433D94B4-7EA4-46B7-934B-91F723954917}"/>
    <cellStyle name="Normal 5 13 33" xfId="38016" xr:uid="{A8782761-2FF5-400E-97A0-9851D56971E8}"/>
    <cellStyle name="Normal 5 13 4" xfId="8184" xr:uid="{00000000-0005-0000-0000-0000B0240000}"/>
    <cellStyle name="Normal-- 5 13 4" xfId="40533" xr:uid="{D05CC5C1-1A17-41BB-858D-5B9A0134686B}"/>
    <cellStyle name="Normal 5 13 4 2" xfId="40980" xr:uid="{0D73461C-63B6-41AC-9B46-EE715EAC0A72}"/>
    <cellStyle name="Normal 5 13 4 3" xfId="46139" xr:uid="{885B3D40-0050-47F0-9182-68F5A03F4778}"/>
    <cellStyle name="Normal 5 13 4 4" xfId="48764" xr:uid="{CB293B6E-2DFA-4624-A24A-A699CE5272CD}"/>
    <cellStyle name="Normal 5 13 4 5" xfId="15621" xr:uid="{984554EA-A15B-42D3-B6EB-3F8A08362EBD}"/>
    <cellStyle name="Normal 5 13 4 6" xfId="49192" xr:uid="{561955CC-5BD7-4D71-8618-5C07D320821B}"/>
    <cellStyle name="Normal 5 13 4 7" xfId="13874" xr:uid="{8710BDF5-F453-4E19-8FD0-A1DA6F5DA206}"/>
    <cellStyle name="Normal 5 13 5" xfId="12132" xr:uid="{00000000-0005-0000-0000-0000EE240000}"/>
    <cellStyle name="Normal-- 5 13 5" xfId="16455" xr:uid="{8CF466F5-5CAF-40B6-957E-61D632171882}"/>
    <cellStyle name="Normal 5 13 5 2" xfId="44615" xr:uid="{8D3E8A71-EEF4-4B84-B726-FCEDFBFFCBD3}"/>
    <cellStyle name="Normal 5 13 5 3" xfId="48341" xr:uid="{2A2DB1A4-F520-4A13-B237-056BEB1F90FE}"/>
    <cellStyle name="Normal 5 13 5 4" xfId="40124" xr:uid="{C43F344C-9CC7-41C1-88FD-5C9A73CA7236}"/>
    <cellStyle name="Normal 5 13 5 5" xfId="46698" xr:uid="{AB811F1D-5E33-42C9-8509-8118610D7112}"/>
    <cellStyle name="Normal 5 13 5 6" xfId="16573" xr:uid="{2426ADF0-6F86-4FDF-9AF8-C898B1419E03}"/>
    <cellStyle name="Normal 5 13 6" xfId="8199" xr:uid="{00000000-0005-0000-0000-000030250000}"/>
    <cellStyle name="Normal-- 5 13 6" xfId="48591" xr:uid="{2F1C5753-E561-4AF8-BD2B-D7B17CA1DF59}"/>
    <cellStyle name="Normal 5 13 6 2" xfId="40993" xr:uid="{F9A7595F-AF94-4627-BF2E-01FA5B863690}"/>
    <cellStyle name="Normal 5 13 6 3" xfId="47748" xr:uid="{BF698AB0-A087-42DD-9CBE-7738DC2660A0}"/>
    <cellStyle name="Normal 5 13 6 4" xfId="49171" xr:uid="{ED4844C4-FF15-4892-965E-20B5F669BC82}"/>
    <cellStyle name="Normal 5 13 6 5" xfId="38010" xr:uid="{B1AB052D-7B04-432C-9981-11A40415F052}"/>
    <cellStyle name="Normal 5 13 7" xfId="12145" xr:uid="{00000000-0005-0000-0000-000076250000}"/>
    <cellStyle name="Normal-- 5 13 7" xfId="46197" xr:uid="{C6F5CFA7-1D72-4624-A9A9-88697E744AA2}"/>
    <cellStyle name="Normal 5 13 7 2" xfId="44628" xr:uid="{F037ED2C-C6C5-471E-BAF1-8C82620303CB}"/>
    <cellStyle name="Normal 5 13 7 3" xfId="48488" xr:uid="{7FFD4F30-D97E-4A11-B60D-CAA2A50CD5A5}"/>
    <cellStyle name="Normal 5 13 7 4" xfId="46244" xr:uid="{4676AB3E-B687-433E-9462-332CDD399449}"/>
    <cellStyle name="Normal 5 13 8" xfId="8214" xr:uid="{00000000-0005-0000-0000-0000C0250000}"/>
    <cellStyle name="Normal-- 5 13 8" xfId="46321" xr:uid="{2C8CE2A7-03EE-4A6E-8694-00AF226FD23F}"/>
    <cellStyle name="Normal 5 13 8 2" xfId="41008" xr:uid="{8A1998AC-3685-42F3-9AC7-2513906733B7}"/>
    <cellStyle name="Normal 5 13 8 3" xfId="48132" xr:uid="{2FF27D26-1BE0-4B09-A614-07BECCC99D62}"/>
    <cellStyle name="Normal 5 13 9" xfId="12169" xr:uid="{00000000-0005-0000-0000-00000E260000}"/>
    <cellStyle name="Normal-- 5 13 9" xfId="47716" xr:uid="{E5FFB15C-82CB-4917-A2DF-23E71A0B7E4E}"/>
    <cellStyle name="Normal 5 13 9 2" xfId="44652" xr:uid="{DE57420D-744F-4912-85AA-265163C5F0A4}"/>
    <cellStyle name="Normal 5 130" xfId="12109" xr:uid="{00000000-0005-0000-0000-000071250000}"/>
    <cellStyle name="Normal 5 130 2" xfId="44592" xr:uid="{90A34ECC-8448-4FFA-A480-8CB540A5F634}"/>
    <cellStyle name="Normal 5 131" xfId="8165" xr:uid="{00000000-0005-0000-0000-0000BB250000}"/>
    <cellStyle name="Normal 5 131 2" xfId="40962" xr:uid="{7AD700BB-925A-4D5C-B51F-37B34FAE167D}"/>
    <cellStyle name="Normal 5 132" xfId="12125" xr:uid="{00000000-0005-0000-0000-000009260000}"/>
    <cellStyle name="Normal 5 132 2" xfId="44608" xr:uid="{F10347E6-ECA6-4D61-A80A-AECF23A1B0CC}"/>
    <cellStyle name="Normal 5 133" xfId="8173" xr:uid="{00000000-0005-0000-0000-00005B260000}"/>
    <cellStyle name="Normal 5 133 2" xfId="40970" xr:uid="{DBB0C8C5-D7B8-4757-9FC1-4A8023A13F56}"/>
    <cellStyle name="Normal 5 134" xfId="12138" xr:uid="{00000000-0005-0000-0000-0000B1260000}"/>
    <cellStyle name="Normal 5 134 2" xfId="44621" xr:uid="{0ABC0A4F-A97D-41D3-A604-34C9853C2B7A}"/>
    <cellStyle name="Normal 5 135" xfId="8188" xr:uid="{00000000-0005-0000-0000-00000B270000}"/>
    <cellStyle name="Normal 5 135 2" xfId="40983" xr:uid="{3AE742F4-E6AB-4705-AB5B-817E3BD74B4C}"/>
    <cellStyle name="Normal 5 136" xfId="12156" xr:uid="{00000000-0005-0000-0000-000069270000}"/>
    <cellStyle name="Normal 5 136 2" xfId="44639" xr:uid="{62099BC5-D469-42A2-ABF5-4A7FE3CEF283}"/>
    <cellStyle name="Normal 5 137" xfId="6172" xr:uid="{00000000-0005-0000-0000-0000FE0C0000}"/>
    <cellStyle name="Normal 5 138" xfId="12992" xr:uid="{00000000-0005-0000-0000-00008A300000}"/>
    <cellStyle name="Normal 5 138 2" xfId="45456" xr:uid="{8F202288-D3E5-4D1F-BFDD-3A419733C652}"/>
    <cellStyle name="Normal 5 139" xfId="11656" xr:uid="{00000000-0005-0000-0000-0000F4300000}"/>
    <cellStyle name="Normal 5 139 2" xfId="44144" xr:uid="{397ACB20-626E-4D97-B4ED-D4AB158AA60B}"/>
    <cellStyle name="Normal 5 14" xfId="4205" xr:uid="{00000000-0005-0000-0000-00008D100000}"/>
    <cellStyle name="Normal-- 5 14" xfId="8143" xr:uid="{00000000-0005-0000-0000-0000AC240000}"/>
    <cellStyle name="Normal 5 14 10" xfId="12194" xr:uid="{00000000-0005-0000-0000-0000B7260000}"/>
    <cellStyle name="Normal 5 14 10 2" xfId="44677" xr:uid="{68DAE64A-B1A6-4FA1-ACAF-B4DCB133EC6A}"/>
    <cellStyle name="Normal 5 14 11" xfId="8258" xr:uid="{00000000-0005-0000-0000-000011270000}"/>
    <cellStyle name="Normal 5 14 11 2" xfId="41052" xr:uid="{D9AC3AE4-C91E-4C9A-87C2-5A0EDFD30E96}"/>
    <cellStyle name="Normal 5 14 12" xfId="12220" xr:uid="{00000000-0005-0000-0000-00006F270000}"/>
    <cellStyle name="Normal 5 14 12 2" xfId="44703" xr:uid="{390699F2-FAB7-4D0D-8E8E-3BE969BF51E6}"/>
    <cellStyle name="Normal 5 14 13" xfId="6196" xr:uid="{00000000-0005-0000-0000-0000160D0000}"/>
    <cellStyle name="Normal 5 14 14" xfId="13007" xr:uid="{00000000-0005-0000-0000-000090300000}"/>
    <cellStyle name="Normal 5 14 14 2" xfId="45471" xr:uid="{93C1D498-A835-42F7-95E6-1C5E54B96019}"/>
    <cellStyle name="Normal 5 14 15" xfId="11643" xr:uid="{00000000-0005-0000-0000-0000FA300000}"/>
    <cellStyle name="Normal 5 14 15 2" xfId="44131" xr:uid="{273260CB-0ADA-4D2F-AF95-3CF212F7D0B6}"/>
    <cellStyle name="Normal 5 14 16" xfId="13020" xr:uid="{00000000-0005-0000-0000-000068310000}"/>
    <cellStyle name="Normal 5 14 16 2" xfId="45484" xr:uid="{A426DD52-D096-4C01-870A-703268BED442}"/>
    <cellStyle name="Normal 5 14 17" xfId="11630" xr:uid="{00000000-0005-0000-0000-0000DA310000}"/>
    <cellStyle name="Normal 5 14 17 2" xfId="44118" xr:uid="{F71B1269-99D9-4A72-868E-D651154983C2}"/>
    <cellStyle name="Normal 5 14 18" xfId="13036" xr:uid="{00000000-0005-0000-0000-000050320000}"/>
    <cellStyle name="Normal 5 14 18 2" xfId="45500" xr:uid="{41F12A80-C76A-42D9-9A5C-B05650ECCD16}"/>
    <cellStyle name="Normal 5 14 19" xfId="11610" xr:uid="{00000000-0005-0000-0000-0000CA320000}"/>
    <cellStyle name="Normal 5 14 19 2" xfId="44098" xr:uid="{5B5F2C2A-C452-4219-9AB5-066D3C6139DD}"/>
    <cellStyle name="Normal 5 14 2" xfId="4206" xr:uid="{00000000-0005-0000-0000-00008E100000}"/>
    <cellStyle name="Normal-- 5 14 2" xfId="40942" xr:uid="{946178AA-ACC0-405C-B3E6-67463B69F497}"/>
    <cellStyle name="Normal 5 14 2 10" xfId="49534" xr:uid="{7A47B763-62D6-4DD3-9495-3499FF6C3261}"/>
    <cellStyle name="Normal 5 14 2 11" xfId="48907" xr:uid="{995E3D1F-C860-4F19-9322-71133C1C4066}"/>
    <cellStyle name="Normal 5 14 2 2" xfId="9731" xr:uid="{00000000-0005-0000-0000-0000DE1D0000}"/>
    <cellStyle name="Normal 5 14 2 2 2" xfId="42220" xr:uid="{96E592EE-09F9-4A25-A4CF-101CDD61A188}"/>
    <cellStyle name="Normal 5 14 2 3" xfId="6197" xr:uid="{00000000-0005-0000-0000-0000170D0000}"/>
    <cellStyle name="Normal 5 14 2 4" xfId="38244" xr:uid="{9C3BE9DA-0B2A-425B-BA7D-684B66714B30}"/>
    <cellStyle name="Normal 5 14 2 5" xfId="40509" xr:uid="{3EF0E7AC-20AF-4789-AADC-00559CD64DBD}"/>
    <cellStyle name="Normal 5 14 2 6" xfId="46264" xr:uid="{C414C6F8-3DD6-47DA-820C-BA391621F94E}"/>
    <cellStyle name="Normal 5 14 2 7" xfId="46631" xr:uid="{BF03D1FE-C10E-46F5-96CF-CC4374FC0EA9}"/>
    <cellStyle name="Normal 5 14 2 8" xfId="47248" xr:uid="{C226711B-406C-4668-8B94-82ADFDECB7F3}"/>
    <cellStyle name="Normal 5 14 2 9" xfId="39581" xr:uid="{0E4A4660-37C9-4C7E-A8A6-E7816A1A3F14}"/>
    <cellStyle name="Normal 5 14 20" xfId="13055" xr:uid="{00000000-0005-0000-0000-000048330000}"/>
    <cellStyle name="Normal 5 14 20 2" xfId="45519" xr:uid="{269E35CA-5B2A-4702-8E05-3A618EDEC872}"/>
    <cellStyle name="Normal 5 14 21" xfId="11582" xr:uid="{00000000-0005-0000-0000-0000CA330000}"/>
    <cellStyle name="Normal 5 14 21 2" xfId="44070" xr:uid="{275196D2-68FA-4F4F-B87B-B7A5C7866596}"/>
    <cellStyle name="Normal 5 14 22" xfId="13078" xr:uid="{00000000-0005-0000-0000-000050340000}"/>
    <cellStyle name="Normal 5 14 22 2" xfId="45542" xr:uid="{98AD2971-065F-4091-9FEC-2EB47A95B74C}"/>
    <cellStyle name="Normal 5 14 23" xfId="11557" xr:uid="{00000000-0005-0000-0000-0000DA340000}"/>
    <cellStyle name="Normal 5 14 23 2" xfId="44045" xr:uid="{3F0D8B7F-607A-49BA-B546-EBA91DFD7F74}"/>
    <cellStyle name="Normal 5 14 24" xfId="15751" xr:uid="{A53AE0AD-A516-4F23-BB61-17B613AAFFD7}"/>
    <cellStyle name="Normal 5 14 25" xfId="38243" xr:uid="{CE7C7265-9457-46C1-83A9-CE671EB211EE}"/>
    <cellStyle name="Normal 5 14 26" xfId="15191" xr:uid="{43ED59CC-5A97-4A19-AEB1-B2E220CD1D6B}"/>
    <cellStyle name="Normal 5 14 27" xfId="47450" xr:uid="{5CA191FA-432D-4D62-9327-24836B5EDD94}"/>
    <cellStyle name="Normal 5 14 28" xfId="41305" xr:uid="{AF3DA45B-BC51-4F68-9614-AF0F5F043193}"/>
    <cellStyle name="Normal 5 14 29" xfId="49114" xr:uid="{AFD5AEFD-3130-44E8-BBD4-760CCC17DDDD}"/>
    <cellStyle name="Normal 5 14 3" xfId="9730" xr:uid="{00000000-0005-0000-0000-0000DD1D0000}"/>
    <cellStyle name="Normal-- 5 14 3" xfId="46749" xr:uid="{310A571E-EF10-43AC-A65D-58F82CFF41E0}"/>
    <cellStyle name="Normal 5 14 3 2" xfId="18110" xr:uid="{871D0C0B-E73C-402D-9445-902E559D61A8}"/>
    <cellStyle name="Normal 5 14 3 3" xfId="42219" xr:uid="{A1B5F6EC-9C87-4F07-965D-D22B1A872613}"/>
    <cellStyle name="Normal 5 14 3 4" xfId="37782" xr:uid="{648EB155-4A72-4D68-8E51-63C406FA4D2D}"/>
    <cellStyle name="Normal 5 14 3 5" xfId="15033" xr:uid="{0D43EE74-6070-403F-BD09-69425C8BD897}"/>
    <cellStyle name="Normal 5 14 3 6" xfId="48775" xr:uid="{5181C8EF-9D8E-4273-A006-DE37B49117DA}"/>
    <cellStyle name="Normal 5 14 3 7" xfId="14912" xr:uid="{4EEAD9CC-14D9-4B07-A3E3-4E21A6A8A55B}"/>
    <cellStyle name="Normal 5 14 3 8" xfId="49083" xr:uid="{02BE0124-E37D-42B7-BB88-9B4C922FE363}"/>
    <cellStyle name="Normal 5 14 3 9" xfId="47807" xr:uid="{C4A3792B-7B9E-4031-8DED-1315DFCDEF8F}"/>
    <cellStyle name="Normal 5 14 30" xfId="41302" xr:uid="{2D17BC7B-3306-4881-AD96-FA6C5DA697DF}"/>
    <cellStyle name="Normal 5 14 31" xfId="49627" xr:uid="{1A50D5F8-C5E9-4A31-8AE4-A4571B84D487}"/>
    <cellStyle name="Normal 5 14 32" xfId="47554" xr:uid="{BF00D246-BB22-4F63-BBA3-3313C38057A0}"/>
    <cellStyle name="Normal 5 14 4" xfId="12134" xr:uid="{00000000-0005-0000-0000-0000EF240000}"/>
    <cellStyle name="Normal-- 5 14 4" xfId="14179" xr:uid="{82BF7F78-4362-48B9-9646-AABA36CAC2AE}"/>
    <cellStyle name="Normal 5 14 4 2" xfId="44617" xr:uid="{C8E86919-A30E-4FE2-962C-3665FFDF90E0}"/>
    <cellStyle name="Normal 5 14 4 3" xfId="15494" xr:uid="{88CBDD36-CDCF-4D6E-B8D7-C2E1F4A2BAA2}"/>
    <cellStyle name="Normal 5 14 4 4" xfId="48153" xr:uid="{8982253F-2740-492D-BA20-50E1AF8687F4}"/>
    <cellStyle name="Normal 5 14 4 5" xfId="40109" xr:uid="{DC5079DC-8970-4596-9EE5-79C2FD32B90E}"/>
    <cellStyle name="Normal 5 14 4 6" xfId="49062" xr:uid="{D8B3F25B-2C67-40AB-873B-D61BFDB20CAC}"/>
    <cellStyle name="Normal 5 14 4 7" xfId="48895" xr:uid="{9F597E08-4752-4590-90CF-10139E7FF62E}"/>
    <cellStyle name="Normal 5 14 5" xfId="8201" xr:uid="{00000000-0005-0000-0000-000031250000}"/>
    <cellStyle name="Normal-- 5 14 5" xfId="40759" xr:uid="{B652E13C-56C8-440A-A1BE-584F84BDD929}"/>
    <cellStyle name="Normal 5 14 5 2" xfId="40995" xr:uid="{CAF33549-ABA0-4516-ACC5-1AE79932256B}"/>
    <cellStyle name="Normal 5 14 5 3" xfId="39561" xr:uid="{B142BD5A-3836-42D7-B465-BC4AD3B44C4A}"/>
    <cellStyle name="Normal 5 14 5 4" xfId="40580" xr:uid="{DF007050-6521-4738-B3C4-8EAA605677B4}"/>
    <cellStyle name="Normal 5 14 5 5" xfId="46711" xr:uid="{87A807FB-203C-4027-872E-EFBA6C9CA632}"/>
    <cellStyle name="Normal 5 14 5 6" xfId="47694" xr:uid="{15D7E88B-B68F-4F65-AF01-E80B0CAF1C39}"/>
    <cellStyle name="Normal 5 14 6" xfId="12148" xr:uid="{00000000-0005-0000-0000-000077250000}"/>
    <cellStyle name="Normal-- 5 14 6" xfId="15813" xr:uid="{D0A7108B-217C-4EA2-A782-79A3B272D658}"/>
    <cellStyle name="Normal 5 14 6 2" xfId="44631" xr:uid="{03986473-94F6-4FE1-BAFB-A4DD3662670D}"/>
    <cellStyle name="Normal 5 14 6 3" xfId="41363" xr:uid="{C65728F4-58A0-434D-8AA2-80C2D0CC528F}"/>
    <cellStyle name="Normal 5 14 6 4" xfId="46590" xr:uid="{66AA5992-6AEE-4E64-8558-AC084200B879}"/>
    <cellStyle name="Normal 5 14 6 5" xfId="47371" xr:uid="{F429674D-275B-46E5-874B-CCC17E0F3748}"/>
    <cellStyle name="Normal 5 14 7" xfId="8217" xr:uid="{00000000-0005-0000-0000-0000C1250000}"/>
    <cellStyle name="Normal-- 5 14 7" xfId="15811" xr:uid="{A9C0ECC8-5561-42BD-8EEB-66DBC18CA5E8}"/>
    <cellStyle name="Normal 5 14 7 2" xfId="41011" xr:uid="{604A4028-DA5F-48D3-8DA9-EEDA0A2A1308}"/>
    <cellStyle name="Normal 5 14 7 3" xfId="40668" xr:uid="{9F89AAFB-DDA6-4E64-8DBE-F3F61A4E5DAD}"/>
    <cellStyle name="Normal 5 14 7 4" xfId="48738" xr:uid="{215A3A3B-12BB-444A-A22C-4900EA363F9B}"/>
    <cellStyle name="Normal 5 14 8" xfId="12171" xr:uid="{00000000-0005-0000-0000-00000F260000}"/>
    <cellStyle name="Normal-- 5 14 8" xfId="15162" xr:uid="{BA2673E2-89F0-448E-A55F-76C58FC4661D}"/>
    <cellStyle name="Normal 5 14 8 2" xfId="44654" xr:uid="{90D3E509-B07B-4D13-928B-0421E896214E}"/>
    <cellStyle name="Normal 5 14 8 3" xfId="46853" xr:uid="{F32EE938-4A18-4502-A11F-8C2C0963CAEA}"/>
    <cellStyle name="Normal 5 14 9" xfId="8230" xr:uid="{00000000-0005-0000-0000-000061260000}"/>
    <cellStyle name="Normal-- 5 14 9" xfId="46247" xr:uid="{86DB8C59-FF26-41E9-8686-F1A47D23050D}"/>
    <cellStyle name="Normal 5 14 9 2" xfId="41024" xr:uid="{79FA28EC-749C-4366-9F0E-8D821016858D}"/>
    <cellStyle name="Normal 5 140" xfId="12995" xr:uid="{00000000-0005-0000-0000-000062310000}"/>
    <cellStyle name="Normal 5 140 2" xfId="45459" xr:uid="{F90BD930-C884-41B3-81CB-72C62309FCC4}"/>
    <cellStyle name="Normal 5 141" xfId="11653" xr:uid="{00000000-0005-0000-0000-0000D4310000}"/>
    <cellStyle name="Normal 5 141 2" xfId="44141" xr:uid="{1F589785-B55E-4BDC-951A-5616972B34E2}"/>
    <cellStyle name="Normal 5 142" xfId="12998" xr:uid="{00000000-0005-0000-0000-00004A320000}"/>
    <cellStyle name="Normal 5 142 2" xfId="45462" xr:uid="{C3A22B88-C93A-4813-814E-218EE2C3156B}"/>
    <cellStyle name="Normal 5 143" xfId="11650" xr:uid="{00000000-0005-0000-0000-0000C4320000}"/>
    <cellStyle name="Normal 5 143 2" xfId="44138" xr:uid="{2F223398-2924-4D7D-84A6-CF9F0B1FA0A0}"/>
    <cellStyle name="Normal 5 144" xfId="13002" xr:uid="{00000000-0005-0000-0000-000042330000}"/>
    <cellStyle name="Normal 5 144 2" xfId="45466" xr:uid="{A7CF356A-4DFC-4C13-8254-6C063174F79B}"/>
    <cellStyle name="Normal 5 145" xfId="11646" xr:uid="{00000000-0005-0000-0000-0000C4330000}"/>
    <cellStyle name="Normal 5 145 2" xfId="44134" xr:uid="{FE6754C6-E507-4B75-8D48-3A27BD739745}"/>
    <cellStyle name="Normal 5 146" xfId="13014" xr:uid="{00000000-0005-0000-0000-00004A340000}"/>
    <cellStyle name="Normal 5 146 2" xfId="45478" xr:uid="{F66A2A59-B855-46A0-AFEF-49B803CA3972}"/>
    <cellStyle name="Normal 5 147" xfId="11636" xr:uid="{00000000-0005-0000-0000-0000D4340000}"/>
    <cellStyle name="Normal 5 147 2" xfId="44124" xr:uid="{A4B052DE-1590-412B-B9AA-B0714081C869}"/>
    <cellStyle name="Normal 5 148" xfId="13643" xr:uid="{C6BE912D-2293-4E59-AF86-05A72C53A179}"/>
    <cellStyle name="Normal 5 149" xfId="38216" xr:uid="{F9C017E3-642A-4B89-AB3A-F056190934F2}"/>
    <cellStyle name="Normal 5 15" xfId="4207" xr:uid="{00000000-0005-0000-0000-00008F100000}"/>
    <cellStyle name="Normal-- 5 15" xfId="12104" xr:uid="{00000000-0005-0000-0000-0000EA240000}"/>
    <cellStyle name="Normal 5 15 10" xfId="8263" xr:uid="{00000000-0005-0000-0000-000012270000}"/>
    <cellStyle name="Normal 5 15 10 2" xfId="41057" xr:uid="{1991150F-2656-4B85-8904-3DBDDD50436E}"/>
    <cellStyle name="Normal 5 15 11" xfId="12223" xr:uid="{00000000-0005-0000-0000-000070270000}"/>
    <cellStyle name="Normal 5 15 11 2" xfId="44706" xr:uid="{69A83F03-432B-4FE2-832B-771E9923FE2F}"/>
    <cellStyle name="Normal 5 15 12" xfId="6198" xr:uid="{00000000-0005-0000-0000-0000180D0000}"/>
    <cellStyle name="Normal 5 15 13" xfId="13009" xr:uid="{00000000-0005-0000-0000-000091300000}"/>
    <cellStyle name="Normal 5 15 13 2" xfId="45473" xr:uid="{D5A07672-8744-410C-BF48-767FC907430E}"/>
    <cellStyle name="Normal 5 15 14" xfId="11641" xr:uid="{00000000-0005-0000-0000-0000FB300000}"/>
    <cellStyle name="Normal 5 15 14 2" xfId="44129" xr:uid="{5B0C6092-3D1A-4B25-B473-5816EF14D7C4}"/>
    <cellStyle name="Normal 5 15 15" xfId="13022" xr:uid="{00000000-0005-0000-0000-000069310000}"/>
    <cellStyle name="Normal 5 15 15 2" xfId="45486" xr:uid="{29926A20-6FBD-402B-AA02-24730C9C0A0E}"/>
    <cellStyle name="Normal 5 15 16" xfId="11628" xr:uid="{00000000-0005-0000-0000-0000DB310000}"/>
    <cellStyle name="Normal 5 15 16 2" xfId="44116" xr:uid="{9B428900-B70E-41CC-8E3C-E6AF255A71E3}"/>
    <cellStyle name="Normal 5 15 17" xfId="13037" xr:uid="{00000000-0005-0000-0000-000051320000}"/>
    <cellStyle name="Normal 5 15 17 2" xfId="45501" xr:uid="{AFD17D71-C03E-4CD8-954D-4978C6497D9F}"/>
    <cellStyle name="Normal 5 15 18" xfId="11609" xr:uid="{00000000-0005-0000-0000-0000CB320000}"/>
    <cellStyle name="Normal 5 15 18 2" xfId="44097" xr:uid="{61CD6C3D-C604-4ECA-8877-EA880FFEA4DC}"/>
    <cellStyle name="Normal 5 15 19" xfId="13057" xr:uid="{00000000-0005-0000-0000-000049330000}"/>
    <cellStyle name="Normal 5 15 19 2" xfId="45521" xr:uid="{08C0EB83-133A-4C1B-8E5E-80E960649894}"/>
    <cellStyle name="Normal 5 15 2" xfId="4208" xr:uid="{00000000-0005-0000-0000-000090100000}"/>
    <cellStyle name="Normal-- 5 15 2" xfId="44587" xr:uid="{2491850D-636F-4CBA-9262-F5EF13042575}"/>
    <cellStyle name="Normal 5 15 2 10" xfId="46158" xr:uid="{D323A9F6-1A89-4A81-B594-768BC164AC7B}"/>
    <cellStyle name="Normal 5 15 2 11" xfId="48932" xr:uid="{5E75F51D-3338-41C7-93DA-E85B6EFBF3E7}"/>
    <cellStyle name="Normal 5 15 2 2" xfId="9733" xr:uid="{00000000-0005-0000-0000-0000E01D0000}"/>
    <cellStyle name="Normal 5 15 2 2 2" xfId="42222" xr:uid="{96D6360E-978F-4F80-82BF-A24B7CB1DA9F}"/>
    <cellStyle name="Normal 5 15 2 3" xfId="6199" xr:uid="{00000000-0005-0000-0000-0000190D0000}"/>
    <cellStyle name="Normal 5 15 2 4" xfId="38246" xr:uid="{377E59A5-577B-421F-86E5-3085586AD9A6}"/>
    <cellStyle name="Normal 5 15 2 5" xfId="15192" xr:uid="{CDE68202-A18C-486E-A82C-0018EE233E7F}"/>
    <cellStyle name="Normal 5 15 2 6" xfId="47911" xr:uid="{ECB82A60-4F6C-4A88-843B-98DC0D1A8DE8}"/>
    <cellStyle name="Normal 5 15 2 7" xfId="13869" xr:uid="{F1D39243-51F4-4147-9D86-B734BCC6CA2E}"/>
    <cellStyle name="Normal 5 15 2 8" xfId="47731" xr:uid="{E316951B-C54E-4D9D-9A21-4E0C45A31B27}"/>
    <cellStyle name="Normal 5 15 2 9" xfId="46810" xr:uid="{773CBF87-5D2F-4296-8105-D0A1824428D3}"/>
    <cellStyle name="Normal 5 15 20" xfId="11580" xr:uid="{00000000-0005-0000-0000-0000CB330000}"/>
    <cellStyle name="Normal 5 15 20 2" xfId="44068" xr:uid="{46767DC0-ACFE-4DD6-9AA2-462F324AB55A}"/>
    <cellStyle name="Normal 5 15 21" xfId="13079" xr:uid="{00000000-0005-0000-0000-000051340000}"/>
    <cellStyle name="Normal 5 15 21 2" xfId="45543" xr:uid="{F51FF188-9D2A-48D4-8A35-D550B59A503B}"/>
    <cellStyle name="Normal 5 15 22" xfId="11556" xr:uid="{00000000-0005-0000-0000-0000DB340000}"/>
    <cellStyle name="Normal 5 15 22 2" xfId="44044" xr:uid="{FCB00E34-46AD-439D-AECD-57962D7DAC3C}"/>
    <cellStyle name="Normal 5 15 23" xfId="15752" xr:uid="{1EAF1789-601B-4553-81B9-EEDA680F97EE}"/>
    <cellStyle name="Normal 5 15 24" xfId="38245" xr:uid="{73C92151-4985-4DD9-A690-277F300852DC}"/>
    <cellStyle name="Normal 5 15 25" xfId="40510" xr:uid="{A0F17CAB-7590-48F7-A009-729AD1253B65}"/>
    <cellStyle name="Normal 5 15 26" xfId="47451" xr:uid="{729342EC-9545-45C2-82C0-B7708D7E5C67}"/>
    <cellStyle name="Normal 5 15 27" xfId="41270" xr:uid="{E160AE60-8785-4CAD-AFB2-C8A5658BA2F3}"/>
    <cellStyle name="Normal 5 15 28" xfId="49104" xr:uid="{69AE0AA1-E8E7-44A7-8BFD-3F20EF8AA635}"/>
    <cellStyle name="Normal 5 15 29" xfId="49327" xr:uid="{D292B560-87B5-4BF4-A322-A996D3178A77}"/>
    <cellStyle name="Normal 5 15 3" xfId="9732" xr:uid="{00000000-0005-0000-0000-0000DF1D0000}"/>
    <cellStyle name="Normal-- 5 15 3" xfId="48232" xr:uid="{98C5ED9E-945A-46B6-A163-DDD7E5F07DAE}"/>
    <cellStyle name="Normal 5 15 3 2" xfId="18111" xr:uid="{BA150C4E-D5B1-4F4A-84C3-39597C5EAA55}"/>
    <cellStyle name="Normal 5 15 3 3" xfId="42221" xr:uid="{72192DE9-F62E-4CBB-AEF1-EF861878CF77}"/>
    <cellStyle name="Normal 5 15 3 4" xfId="46448" xr:uid="{F7939FB5-4DEB-4BA1-B374-E8447C517D91}"/>
    <cellStyle name="Normal 5 15 3 5" xfId="40139" xr:uid="{51E38FCC-8E3A-4844-9B59-90FD4501B185}"/>
    <cellStyle name="Normal 5 15 3 6" xfId="18805" xr:uid="{EBACC6FC-3439-4D22-99D1-E4D89FAFACE4}"/>
    <cellStyle name="Normal 5 15 3 7" xfId="39861" xr:uid="{A41CB64F-E51C-4FC6-866B-B7616511220B}"/>
    <cellStyle name="Normal 5 15 3 8" xfId="49081" xr:uid="{A197FEF6-37F8-49EE-8D08-EF1724989F6F}"/>
    <cellStyle name="Normal 5 15 3 9" xfId="46429" xr:uid="{6A03F2CE-C729-44E1-93A3-A06265A3C8A1}"/>
    <cellStyle name="Normal 5 15 30" xfId="49616" xr:uid="{9400570F-CF9B-4237-A7F4-FCC8FE5DA686}"/>
    <cellStyle name="Normal 5 15 31" xfId="41147" xr:uid="{7473DFBA-7100-476B-9428-F993472F7F35}"/>
    <cellStyle name="Normal 5 15 4" xfId="8205" xr:uid="{00000000-0005-0000-0000-000032250000}"/>
    <cellStyle name="Normal-- 5 15 4" xfId="16478" xr:uid="{F970543B-47CC-4134-AF3C-AFD42F8274AD}"/>
    <cellStyle name="Normal 5 15 4 2" xfId="40999" xr:uid="{96494D19-6059-44DB-8F02-BC8D875D881B}"/>
    <cellStyle name="Normal 5 15 4 3" xfId="14902" xr:uid="{60289D09-DB50-47C8-85E5-05FD11FB00AC}"/>
    <cellStyle name="Normal 5 15 4 4" xfId="14230" xr:uid="{8C155A2E-F173-44E7-8803-B801A379832A}"/>
    <cellStyle name="Normal 5 15 4 5" xfId="48594" xr:uid="{251566AC-949B-44EA-95AB-7A34D37390DD}"/>
    <cellStyle name="Normal 5 15 4 6" xfId="37982" xr:uid="{43964EDB-F78B-4158-A16C-317932691EC5}"/>
    <cellStyle name="Normal 5 15 4 7" xfId="49383" xr:uid="{552D17B8-6C05-4FCA-A15A-CC2125BEAF11}"/>
    <cellStyle name="Normal 5 15 5" xfId="12151" xr:uid="{00000000-0005-0000-0000-000078250000}"/>
    <cellStyle name="Normal-- 5 15 5" xfId="47786" xr:uid="{3CB7637E-AFBF-4867-917E-94522EFB53BD}"/>
    <cellStyle name="Normal 5 15 5 2" xfId="44634" xr:uid="{12D57592-7BB1-439B-AA76-9611A6361539}"/>
    <cellStyle name="Normal 5 15 5 3" xfId="46466" xr:uid="{912E54B2-682F-4D6A-A63C-032731A7C2E2}"/>
    <cellStyle name="Normal 5 15 5 4" xfId="47625" xr:uid="{3888A3AA-C3BA-4004-941E-C7F8CC6C1564}"/>
    <cellStyle name="Normal 5 15 5 5" xfId="46979" xr:uid="{F01C3E31-4A43-4D0A-8269-F1895E8EB4C1}"/>
    <cellStyle name="Normal 5 15 5 6" xfId="49119" xr:uid="{1B3F68CF-ACE1-4C66-B55E-9EFD009AC92A}"/>
    <cellStyle name="Normal 5 15 6" xfId="8219" xr:uid="{00000000-0005-0000-0000-0000C2250000}"/>
    <cellStyle name="Normal-- 5 15 6" xfId="46954" xr:uid="{C059C254-4772-409E-97C3-E5DF238C9FB1}"/>
    <cellStyle name="Normal 5 15 6 2" xfId="41013" xr:uid="{4237D69E-FF8F-4490-BED9-981B899A1B64}"/>
    <cellStyle name="Normal 5 15 6 3" xfId="15694" xr:uid="{85574E32-A4D4-4C04-B06B-70DD2BDDC1CE}"/>
    <cellStyle name="Normal 5 15 6 4" xfId="41146" xr:uid="{7FD5C081-7A6F-48EB-A39F-139419593938}"/>
    <cellStyle name="Normal 5 15 6 5" xfId="48900" xr:uid="{FD16A702-077D-40D8-9D10-118A6FCA6B19}"/>
    <cellStyle name="Normal 5 15 7" xfId="12173" xr:uid="{00000000-0005-0000-0000-000010260000}"/>
    <cellStyle name="Normal-- 5 15 7" xfId="46463" xr:uid="{2303D2F9-F90D-4284-98BC-F1293BB08CB9}"/>
    <cellStyle name="Normal 5 15 7 2" xfId="44656" xr:uid="{18501D61-1C7F-48A6-8249-9754BB0F978B}"/>
    <cellStyle name="Normal 5 15 7 3" xfId="47795" xr:uid="{6D0B2375-C454-4F35-9E91-1D03C554C264}"/>
    <cellStyle name="Normal 5 15 7 4" xfId="48859" xr:uid="{1CF8198D-89B9-4D1B-89AC-8084C95A3598}"/>
    <cellStyle name="Normal 5 15 8" xfId="8235" xr:uid="{00000000-0005-0000-0000-000062260000}"/>
    <cellStyle name="Normal-- 5 15 8" xfId="47492" xr:uid="{93D19AC3-E30E-4ECE-A7D6-F662BD02E8DE}"/>
    <cellStyle name="Normal 5 15 8 2" xfId="41029" xr:uid="{20DB9194-FD6C-4F78-895A-1C7DBF51995D}"/>
    <cellStyle name="Normal 5 15 8 3" xfId="40735" xr:uid="{334CA379-0E53-41BD-B0A5-3618F53545A5}"/>
    <cellStyle name="Normal 5 15 9" xfId="12196" xr:uid="{00000000-0005-0000-0000-0000B8260000}"/>
    <cellStyle name="Normal-- 5 15 9" xfId="16924" xr:uid="{A9D2B288-377E-44DF-BD6D-39A09E80E349}"/>
    <cellStyle name="Normal 5 15 9 2" xfId="44679" xr:uid="{3660772F-2BAF-468A-9BF3-48C3E6CCAC0E}"/>
    <cellStyle name="Normal 5 150" xfId="15178" xr:uid="{0842FDD1-CACD-4E28-AA0B-2ECDF8E8CDFB}"/>
    <cellStyle name="Normal 5 151" xfId="47966" xr:uid="{83D8FCBB-0033-42A8-B4D0-94240697AC35}"/>
    <cellStyle name="Normal 5 152" xfId="37837" xr:uid="{9858C92E-7BD7-4EF8-855F-31F62C0354E4}"/>
    <cellStyle name="Normal 5 153" xfId="47187" xr:uid="{6DB19DCC-F78B-4B95-830A-F3104D7FDE8B}"/>
    <cellStyle name="Normal 5 154" xfId="48083" xr:uid="{9D659837-61A0-4F22-B4CD-E9C46296443F}"/>
    <cellStyle name="Normal 5 155" xfId="49617" xr:uid="{DBFA00FC-E929-4567-96E5-E336D0900290}"/>
    <cellStyle name="Normal 5 156" xfId="49846" xr:uid="{AD988455-08AD-4527-AB40-B55E8A8B026D}"/>
    <cellStyle name="Normal 5 16" xfId="4209" xr:uid="{00000000-0005-0000-0000-000091100000}"/>
    <cellStyle name="Normal-- 5 16" xfId="8152" xr:uid="{00000000-0005-0000-0000-00002C250000}"/>
    <cellStyle name="Normal 5 16 10" xfId="12225" xr:uid="{00000000-0005-0000-0000-000071270000}"/>
    <cellStyle name="Normal 5 16 10 2" xfId="44708" xr:uid="{AF0683B4-20D3-4926-A4E5-F336CFF16767}"/>
    <cellStyle name="Normal 5 16 11" xfId="6200" xr:uid="{00000000-0005-0000-0000-00001A0D0000}"/>
    <cellStyle name="Normal 5 16 12" xfId="13010" xr:uid="{00000000-0005-0000-0000-000092300000}"/>
    <cellStyle name="Normal 5 16 12 2" xfId="45474" xr:uid="{48483224-43B7-4199-90C7-DA6D46BC9CF5}"/>
    <cellStyle name="Normal 5 16 13" xfId="11640" xr:uid="{00000000-0005-0000-0000-0000FC300000}"/>
    <cellStyle name="Normal 5 16 13 2" xfId="44128" xr:uid="{19AB3E3A-2A2D-49ED-BED0-2B456326036F}"/>
    <cellStyle name="Normal 5 16 14" xfId="13025" xr:uid="{00000000-0005-0000-0000-00006A310000}"/>
    <cellStyle name="Normal 5 16 14 2" xfId="45489" xr:uid="{1E95648E-66F0-45F4-AE0B-6C5752F5DEB7}"/>
    <cellStyle name="Normal 5 16 15" xfId="11625" xr:uid="{00000000-0005-0000-0000-0000DC310000}"/>
    <cellStyle name="Normal 5 16 15 2" xfId="44113" xr:uid="{13B0644E-17A3-4D5F-8083-8152EC0D3D8A}"/>
    <cellStyle name="Normal 5 16 16" xfId="13041" xr:uid="{00000000-0005-0000-0000-000052320000}"/>
    <cellStyle name="Normal 5 16 16 2" xfId="45505" xr:uid="{4B3F62A0-2EF5-4543-9FA4-38077E6E265D}"/>
    <cellStyle name="Normal 5 16 17" xfId="11604" xr:uid="{00000000-0005-0000-0000-0000CC320000}"/>
    <cellStyle name="Normal 5 16 17 2" xfId="44092" xr:uid="{35138176-050C-441B-8F9B-C1FE0C16A8EC}"/>
    <cellStyle name="Normal 5 16 18" xfId="13060" xr:uid="{00000000-0005-0000-0000-00004A330000}"/>
    <cellStyle name="Normal 5 16 18 2" xfId="45524" xr:uid="{F06BC6F9-0FB4-4554-80C6-7C4173D76701}"/>
    <cellStyle name="Normal 5 16 19" xfId="11577" xr:uid="{00000000-0005-0000-0000-0000CC330000}"/>
    <cellStyle name="Normal 5 16 19 2" xfId="44065" xr:uid="{F7E0F02D-87F6-46E4-93B9-90384D20A081}"/>
    <cellStyle name="Normal 5 16 2" xfId="4210" xr:uid="{00000000-0005-0000-0000-000092100000}"/>
    <cellStyle name="Normal-- 5 16 2" xfId="40950" xr:uid="{CBAD3F2C-F581-462D-B9C4-16A0EE205DD1}"/>
    <cellStyle name="Normal 5 16 2 10" xfId="40704" xr:uid="{AE8BCD7D-F9CB-4F76-851F-62267A43AB20}"/>
    <cellStyle name="Normal 5 16 2 11" xfId="47223" xr:uid="{369DC508-0D5F-4630-A838-ECD9CF23C986}"/>
    <cellStyle name="Normal 5 16 2 2" xfId="9735" xr:uid="{00000000-0005-0000-0000-0000E21D0000}"/>
    <cellStyle name="Normal 5 16 2 2 2" xfId="42224" xr:uid="{5C4650DA-C957-424A-BA92-FC7820574EC9}"/>
    <cellStyle name="Normal 5 16 2 3" xfId="6201" xr:uid="{00000000-0005-0000-0000-00001B0D0000}"/>
    <cellStyle name="Normal 5 16 2 4" xfId="38248" xr:uid="{3ED56AAF-C803-4014-A2B2-549995B8131D}"/>
    <cellStyle name="Normal 5 16 2 5" xfId="15194" xr:uid="{12A2A13A-ACBF-4463-86CC-EE8515D2B7A6}"/>
    <cellStyle name="Normal 5 16 2 6" xfId="47942" xr:uid="{E8B93BDE-BA5C-4EB5-A578-5E2D157DE73C}"/>
    <cellStyle name="Normal 5 16 2 7" xfId="46647" xr:uid="{AE52876E-1536-4658-8158-54FC6FAC25A7}"/>
    <cellStyle name="Normal 5 16 2 8" xfId="15318" xr:uid="{5293FEA1-2DF5-4CB7-899E-C6A153CC8144}"/>
    <cellStyle name="Normal 5 16 2 9" xfId="46798" xr:uid="{59D2A1AA-DC5F-49A1-AE8F-3B158CE5E91F}"/>
    <cellStyle name="Normal 5 16 20" xfId="13084" xr:uid="{00000000-0005-0000-0000-000052340000}"/>
    <cellStyle name="Normal 5 16 20 2" xfId="45548" xr:uid="{24568C09-36F3-4F44-B708-34C424595606}"/>
    <cellStyle name="Normal 5 16 21" xfId="11552" xr:uid="{00000000-0005-0000-0000-0000DC340000}"/>
    <cellStyle name="Normal 5 16 21 2" xfId="44040" xr:uid="{7B72AE9E-66C9-4B77-8727-CFF84B66181A}"/>
    <cellStyle name="Normal 5 16 22" xfId="15753" xr:uid="{34DD4359-D3A7-448C-AEC0-19F96786CC06}"/>
    <cellStyle name="Normal 5 16 23" xfId="38247" xr:uid="{EF706749-1E24-4DF5-A45D-FEB948A19E5D}"/>
    <cellStyle name="Normal 5 16 24" xfId="15193" xr:uid="{23FD9040-57B3-4833-AF66-CF4B2AE0B8A3}"/>
    <cellStyle name="Normal 5 16 25" xfId="48715" xr:uid="{8E72BE59-7A35-4C2F-A8CE-AC4E40418FDD}"/>
    <cellStyle name="Normal 5 16 26" xfId="41240" xr:uid="{466BF902-4437-4E4C-94F2-36790D7AA945}"/>
    <cellStyle name="Normal 5 16 27" xfId="49092" xr:uid="{C62B2DD1-B21D-4A84-981B-3BC98BBDBEB8}"/>
    <cellStyle name="Normal 5 16 28" xfId="49319" xr:uid="{FB395DFA-7CC8-42F5-88BC-F07494EEA12B}"/>
    <cellStyle name="Normal 5 16 29" xfId="48182" xr:uid="{F77F28BA-F598-4F44-A926-AE3365A9714C}"/>
    <cellStyle name="Normal 5 16 3" xfId="9734" xr:uid="{00000000-0005-0000-0000-0000E11D0000}"/>
    <cellStyle name="Normal-- 5 16 3" xfId="46754" xr:uid="{15232CCF-FB3A-4A19-80C4-2078F540BB8B}"/>
    <cellStyle name="Normal 5 16 3 2" xfId="18112" xr:uid="{E0768BF9-FCF9-40CA-98B4-167997AE49D9}"/>
    <cellStyle name="Normal 5 16 3 3" xfId="42223" xr:uid="{25A7B571-67A5-40C8-BB42-6CFFC5A878D6}"/>
    <cellStyle name="Normal 5 16 3 4" xfId="37783" xr:uid="{B553E576-42C7-4978-9F0F-E525F47B32FA}"/>
    <cellStyle name="Normal 5 16 3 5" xfId="40655" xr:uid="{1CB5E798-C8F9-4CD8-9F7E-575EB75F107D}"/>
    <cellStyle name="Normal 5 16 3 6" xfId="48735" xr:uid="{5B30F488-0DB8-430B-AF86-CF1999B4CBA0}"/>
    <cellStyle name="Normal 5 16 3 7" xfId="16457" xr:uid="{DD101E0A-6354-438A-A91D-237B4F2E89C0}"/>
    <cellStyle name="Normal 5 16 3 8" xfId="48452" xr:uid="{87C1ACAC-C956-4424-A85C-DA6247C415D8}"/>
    <cellStyle name="Normal 5 16 3 9" xfId="40683" xr:uid="{F084CABF-D973-4986-97FF-0467BB07AAB0}"/>
    <cellStyle name="Normal 5 16 30" xfId="16607" xr:uid="{39B61BB4-F753-4C5C-B97F-C18031681077}"/>
    <cellStyle name="Normal 5 16 4" xfId="12153" xr:uid="{00000000-0005-0000-0000-000079250000}"/>
    <cellStyle name="Normal-- 5 16 4" xfId="14174" xr:uid="{80FA2CF2-D471-4DD7-BEC3-5577CAF8A529}"/>
    <cellStyle name="Normal 5 16 4 2" xfId="44636" xr:uid="{EEBCF545-8861-46A3-8DC6-DA5AD8064A47}"/>
    <cellStyle name="Normal 5 16 4 3" xfId="16469" xr:uid="{1311786A-4264-4EDE-B67A-C12EAECB4CB0}"/>
    <cellStyle name="Normal 5 16 4 4" xfId="37664" xr:uid="{D3DA6FED-983D-4E76-9F61-0BA81904651C}"/>
    <cellStyle name="Normal 5 16 4 5" xfId="16461" xr:uid="{D5B6A4C6-DFD8-4593-952D-0604094784FD}"/>
    <cellStyle name="Normal 5 16 4 6" xfId="41450" xr:uid="{073B7D47-DBB9-4466-8307-92F0F5EC073B}"/>
    <cellStyle name="Normal 5 16 4 7" xfId="48954" xr:uid="{37871329-34D4-47B9-8BAD-D4BDD048073B}"/>
    <cellStyle name="Normal 5 16 5" xfId="8222" xr:uid="{00000000-0005-0000-0000-0000C3250000}"/>
    <cellStyle name="Normal-- 5 16 5" xfId="40340" xr:uid="{C06E08A6-DFE0-4463-A7BE-CF826E6404E8}"/>
    <cellStyle name="Normal 5 16 5 2" xfId="41016" xr:uid="{B80ED0C6-CFCC-48D0-B625-6AA24947E47A}"/>
    <cellStyle name="Normal 5 16 5 3" xfId="47751" xr:uid="{43C63340-C5C4-454C-809A-C945C1DD055D}"/>
    <cellStyle name="Normal 5 16 5 4" xfId="41615" xr:uid="{0B0A86D6-9112-4BF3-BE38-2937C8F73AAB}"/>
    <cellStyle name="Normal 5 16 5 5" xfId="15632" xr:uid="{7172CF1A-0D8B-4492-A20D-872929E9B553}"/>
    <cellStyle name="Normal 5 16 5 6" xfId="46309" xr:uid="{39CEC7CE-64ED-4EF2-A4EA-6240853FE8EC}"/>
    <cellStyle name="Normal 5 16 6" xfId="12176" xr:uid="{00000000-0005-0000-0000-000011260000}"/>
    <cellStyle name="Normal-- 5 16 6" xfId="40113" xr:uid="{C61138B2-E15A-491C-87A9-1E24DD6B7C46}"/>
    <cellStyle name="Normal 5 16 6 2" xfId="44659" xr:uid="{9E51408A-C6C9-4088-A6E0-1EDBDC9018D2}"/>
    <cellStyle name="Normal 5 16 6 3" xfId="47156" xr:uid="{6436B248-7333-43E0-8F53-6BA53587655C}"/>
    <cellStyle name="Normal 5 16 6 4" xfId="46393" xr:uid="{B3678B2B-572A-438A-BE0A-F3A0BAE02CEE}"/>
    <cellStyle name="Normal 5 16 6 5" xfId="47209" xr:uid="{4461D623-820C-4E6C-86F6-038F570389ED}"/>
    <cellStyle name="Normal 5 16 7" xfId="8238" xr:uid="{00000000-0005-0000-0000-000063260000}"/>
    <cellStyle name="Normal-- 5 16 7" xfId="47168" xr:uid="{70354F50-3D7D-4B60-BCA7-5391ACAD67BD}"/>
    <cellStyle name="Normal 5 16 7 2" xfId="41032" xr:uid="{D070BB7E-D4B0-4006-8253-F8804BAD3169}"/>
    <cellStyle name="Normal 5 16 7 3" xfId="40619" xr:uid="{FD7D953F-83C5-410A-9508-46D96D24756B}"/>
    <cellStyle name="Normal 5 16 7 4" xfId="46084" xr:uid="{388C3BB1-293A-457A-9E35-2C5B2AD511C1}"/>
    <cellStyle name="Normal 5 16 8" xfId="12198" xr:uid="{00000000-0005-0000-0000-0000B9260000}"/>
    <cellStyle name="Normal-- 5 16 8" xfId="49208" xr:uid="{07253CDD-42C1-41D0-A796-AD2F03773B62}"/>
    <cellStyle name="Normal 5 16 8 2" xfId="44681" xr:uid="{A6B8D6B8-FC99-4076-9532-C739FB6639A7}"/>
    <cellStyle name="Normal 5 16 8 3" xfId="49252" xr:uid="{B2546C38-FF5E-4AE0-9452-6D366FF22054}"/>
    <cellStyle name="Normal 5 16 9" xfId="8265" xr:uid="{00000000-0005-0000-0000-000013270000}"/>
    <cellStyle name="Normal-- 5 16 9" xfId="15052" xr:uid="{D245C8CC-33D7-4652-96EC-9EDE9726844E}"/>
    <cellStyle name="Normal 5 16 9 2" xfId="41059" xr:uid="{FDC9689D-FBA7-439A-B892-BDBCC4750782}"/>
    <cellStyle name="Normal 5 17" xfId="4211" xr:uid="{00000000-0005-0000-0000-000093100000}"/>
    <cellStyle name="Normal-- 5 17" xfId="12111" xr:uid="{00000000-0005-0000-0000-000072250000}"/>
    <cellStyle name="Normal 5 17 10" xfId="6202" xr:uid="{00000000-0005-0000-0000-00001C0D0000}"/>
    <cellStyle name="Normal 5 17 11" xfId="13011" xr:uid="{00000000-0005-0000-0000-000093300000}"/>
    <cellStyle name="Normal 5 17 11 2" xfId="45475" xr:uid="{2C2659AB-9960-48FA-8DFE-893E89295998}"/>
    <cellStyle name="Normal 5 17 12" xfId="11639" xr:uid="{00000000-0005-0000-0000-0000FD300000}"/>
    <cellStyle name="Normal 5 17 12 2" xfId="44127" xr:uid="{B3A1163F-305F-4915-85CC-BACB650BE3ED}"/>
    <cellStyle name="Normal 5 17 13" xfId="13027" xr:uid="{00000000-0005-0000-0000-00006B310000}"/>
    <cellStyle name="Normal 5 17 13 2" xfId="45491" xr:uid="{9B47E281-993A-4AA7-B95D-B3382760AA01}"/>
    <cellStyle name="Normal 5 17 14" xfId="11623" xr:uid="{00000000-0005-0000-0000-0000DD310000}"/>
    <cellStyle name="Normal 5 17 14 2" xfId="44111" xr:uid="{CBE4DE52-2F21-4E8E-BEB3-303F8A73062A}"/>
    <cellStyle name="Normal 5 17 15" xfId="13043" xr:uid="{00000000-0005-0000-0000-000053320000}"/>
    <cellStyle name="Normal 5 17 15 2" xfId="45507" xr:uid="{8C69CA7E-89DB-4A20-B65F-35CD644AC2DA}"/>
    <cellStyle name="Normal 5 17 16" xfId="11601" xr:uid="{00000000-0005-0000-0000-0000CD320000}"/>
    <cellStyle name="Normal 5 17 16 2" xfId="44089" xr:uid="{11B5E4C5-4092-452D-B3D6-E6991E54AA99}"/>
    <cellStyle name="Normal 5 17 17" xfId="13063" xr:uid="{00000000-0005-0000-0000-00004B330000}"/>
    <cellStyle name="Normal 5 17 17 2" xfId="45527" xr:uid="{7DEE7AE0-4047-41DE-9635-72CAC1319F7B}"/>
    <cellStyle name="Normal 5 17 18" xfId="11574" xr:uid="{00000000-0005-0000-0000-0000CD330000}"/>
    <cellStyle name="Normal 5 17 18 2" xfId="44062" xr:uid="{0824BF79-3179-4A45-802B-0B4206829CC4}"/>
    <cellStyle name="Normal 5 17 19" xfId="13086" xr:uid="{00000000-0005-0000-0000-000053340000}"/>
    <cellStyle name="Normal 5 17 19 2" xfId="45550" xr:uid="{193A3492-3143-40F1-BDE3-FC752F4F3949}"/>
    <cellStyle name="Normal 5 17 2" xfId="4212" xr:uid="{00000000-0005-0000-0000-000094100000}"/>
    <cellStyle name="Normal-- 5 17 2" xfId="44594" xr:uid="{E62CDAB4-8D34-45A9-9C76-B92C770D4171}"/>
    <cellStyle name="Normal 5 17 2 10" xfId="47702" xr:uid="{9A12A1F1-7064-40C4-AE24-B4A83B124DF8}"/>
    <cellStyle name="Normal 5 17 2 11" xfId="37778" xr:uid="{670AE326-F69B-422C-803A-8559E968674B}"/>
    <cellStyle name="Normal 5 17 2 2" xfId="9737" xr:uid="{00000000-0005-0000-0000-0000E41D0000}"/>
    <cellStyle name="Normal 5 17 2 2 2" xfId="42226" xr:uid="{0A4CF1FF-23DE-437C-AEDE-842348BD385D}"/>
    <cellStyle name="Normal 5 17 2 3" xfId="6203" xr:uid="{00000000-0005-0000-0000-00001D0D0000}"/>
    <cellStyle name="Normal 5 17 2 4" xfId="38250" xr:uid="{B7E2CE96-1069-4ED6-9DDD-0529B08EF15E}"/>
    <cellStyle name="Normal 5 17 2 5" xfId="15196" xr:uid="{56894CF8-C1AC-4850-B545-669BF122B54E}"/>
    <cellStyle name="Normal 5 17 2 6" xfId="48661" xr:uid="{E428892E-B6DC-49B9-80DB-8C98953D9EC4}"/>
    <cellStyle name="Normal 5 17 2 7" xfId="46650" xr:uid="{1FB8A542-2663-48F3-9532-F9D0CB6D9B54}"/>
    <cellStyle name="Normal 5 17 2 8" xfId="46817" xr:uid="{61D9B041-945C-46BA-936D-B0F43DDCDB2F}"/>
    <cellStyle name="Normal 5 17 2 9" xfId="46630" xr:uid="{FA1ACEB6-B671-4719-B06A-2118594EC62C}"/>
    <cellStyle name="Normal 5 17 20" xfId="11550" xr:uid="{00000000-0005-0000-0000-0000DD340000}"/>
    <cellStyle name="Normal 5 17 20 2" xfId="44038" xr:uid="{927CAC26-2DFF-42B0-A2BD-BA0931F5BA8C}"/>
    <cellStyle name="Normal 5 17 21" xfId="15754" xr:uid="{E4EFB9EA-BB66-4D74-83B1-B0D958E560B9}"/>
    <cellStyle name="Normal 5 17 22" xfId="38249" xr:uid="{28CBC424-7C20-4094-800C-6A4F570E3507}"/>
    <cellStyle name="Normal 5 17 23" xfId="15195" xr:uid="{5A356B15-687A-489B-994E-8FDADC50C67B}"/>
    <cellStyle name="Normal 5 17 24" xfId="48684" xr:uid="{7E07DF34-AAE6-4ABD-8716-3F878422CCD9}"/>
    <cellStyle name="Normal 5 17 25" xfId="41134" xr:uid="{929B4757-8AFA-4987-8C0C-572D137135CE}"/>
    <cellStyle name="Normal 5 17 26" xfId="47481" xr:uid="{B979FC13-7779-42EF-8E48-C39CAD78FDDA}"/>
    <cellStyle name="Normal 5 17 27" xfId="49314" xr:uid="{846E8578-0241-4F4D-BDEF-B88426D57246}"/>
    <cellStyle name="Normal 5 17 28" xfId="49611" xr:uid="{BCC2303E-8A87-4DB1-9C6C-51091D83B386}"/>
    <cellStyle name="Normal 5 17 29" xfId="14143" xr:uid="{5035775B-E93C-4A77-BA73-76626E0FACD5}"/>
    <cellStyle name="Normal 5 17 3" xfId="9736" xr:uid="{00000000-0005-0000-0000-0000E31D0000}"/>
    <cellStyle name="Normal-- 5 17 3" xfId="48235" xr:uid="{BE952173-1C8A-4655-A430-9FFF7D84D5E4}"/>
    <cellStyle name="Normal 5 17 3 2" xfId="18113" xr:uid="{4D34D15C-5B86-4BE4-820D-051505369DB6}"/>
    <cellStyle name="Normal 5 17 3 3" xfId="42225" xr:uid="{43E81C00-55F5-41E2-9762-130744251048}"/>
    <cellStyle name="Normal 5 17 3 4" xfId="37785" xr:uid="{A4430058-0032-4CC7-A21B-EB1AF598B45F}"/>
    <cellStyle name="Normal 5 17 3 5" xfId="47644" xr:uid="{0D00406D-A61B-40CC-9245-124219754952}"/>
    <cellStyle name="Normal 5 17 3 6" xfId="37919" xr:uid="{FD329F10-7E8E-49B5-AABD-C042F9E8663D}"/>
    <cellStyle name="Normal 5 17 3 7" xfId="15097" xr:uid="{EA8F99F2-B39A-449E-B1EB-C1440A0F3CA4}"/>
    <cellStyle name="Normal 5 17 3 8" xfId="47088" xr:uid="{E9F70E4A-9A8A-4198-AF6D-53ED427142E7}"/>
    <cellStyle name="Normal 5 17 3 9" xfId="48287" xr:uid="{3F78163D-63D1-4EFC-8646-86DAEB5EABA1}"/>
    <cellStyle name="Normal 5 17 4" xfId="8225" xr:uid="{00000000-0005-0000-0000-0000C4250000}"/>
    <cellStyle name="Normal-- 5 17 4" xfId="16477" xr:uid="{DD862051-13D4-4F12-ABF3-46832C14C965}"/>
    <cellStyle name="Normal 5 17 4 2" xfId="41019" xr:uid="{1D4273F6-D9A7-487F-B3D7-1651CAC8CAD5}"/>
    <cellStyle name="Normal 5 17 4 3" xfId="14906" xr:uid="{98EAB8F4-97E5-4F42-9735-E1FA0C35415C}"/>
    <cellStyle name="Normal 5 17 4 4" xfId="48953" xr:uid="{E86FEAD0-5B09-4C58-9342-B658BAF860AE}"/>
    <cellStyle name="Normal 5 17 4 5" xfId="15412" xr:uid="{B1F7E95A-562F-423A-A867-270C83F45627}"/>
    <cellStyle name="Normal 5 17 4 6" xfId="48211" xr:uid="{69703DA9-2726-4047-BEF6-1D7188907119}"/>
    <cellStyle name="Normal 5 17 4 7" xfId="47766" xr:uid="{E282E435-CE7C-422A-AD28-4C6069316151}"/>
    <cellStyle name="Normal 5 17 5" xfId="12179" xr:uid="{00000000-0005-0000-0000-000012260000}"/>
    <cellStyle name="Normal-- 5 17 5" xfId="47787" xr:uid="{9A00FC47-75FC-4DC9-8B4A-26C71EBCDC58}"/>
    <cellStyle name="Normal 5 17 5 2" xfId="44662" xr:uid="{292FEB19-2661-4F4F-BD5C-4010BC4F2BBC}"/>
    <cellStyle name="Normal 5 17 5 3" xfId="47463" xr:uid="{5FE8458F-1791-406E-9AAC-C255CB925F2A}"/>
    <cellStyle name="Normal 5 17 5 4" xfId="46937" xr:uid="{F77931CA-D12A-4D45-99F3-86D6B517331D}"/>
    <cellStyle name="Normal 5 17 5 5" xfId="15233" xr:uid="{FCEAFCC5-2ABA-43DF-9ABE-7D5AB2D4B700}"/>
    <cellStyle name="Normal 5 17 5 6" xfId="38027" xr:uid="{8718BA0F-70E4-42AB-979D-50FAB75EA08D}"/>
    <cellStyle name="Normal 5 17 6" xfId="8240" xr:uid="{00000000-0005-0000-0000-000064260000}"/>
    <cellStyle name="Normal-- 5 17 6" xfId="16520" xr:uid="{D36CFE11-3FC9-4733-9101-2B30A646B8C7}"/>
    <cellStyle name="Normal 5 17 6 2" xfId="41034" xr:uid="{E6EC81F6-00F1-44F3-98B2-4E9FB6BCA0B5}"/>
    <cellStyle name="Normal 5 17 6 3" xfId="41451" xr:uid="{EB204FC5-3880-4D29-8B08-42E376C11E17}"/>
    <cellStyle name="Normal 5 17 6 4" xfId="37909" xr:uid="{4B1E4F36-0FC2-4E50-AF90-8109FF68EDF1}"/>
    <cellStyle name="Normal 5 17 6 5" xfId="15792" xr:uid="{A75613C3-BC61-42D9-8A9F-B470ABD7B5D0}"/>
    <cellStyle name="Normal 5 17 7" xfId="12202" xr:uid="{00000000-0005-0000-0000-0000BA260000}"/>
    <cellStyle name="Normal-- 5 17 7" xfId="40688" xr:uid="{0A6EE0C6-FA81-4CD9-BDDB-E7CE3E370A35}"/>
    <cellStyle name="Normal 5 17 7 2" xfId="44685" xr:uid="{4485D1DA-4DC8-418F-BF95-DBB6C0D60B85}"/>
    <cellStyle name="Normal 5 17 7 3" xfId="15137" xr:uid="{73C3C3A5-21F6-4DE9-B331-BF5A1B53100A}"/>
    <cellStyle name="Normal 5 17 7 4" xfId="49127" xr:uid="{32EA016F-170B-4225-BAEE-9D45F723618B}"/>
    <cellStyle name="Normal 5 17 8" xfId="8267" xr:uid="{00000000-0005-0000-0000-000014270000}"/>
    <cellStyle name="Normal-- 5 17 8" xfId="40271" xr:uid="{D6A94BC4-E617-48C5-926F-2A29EF2C09BA}"/>
    <cellStyle name="Normal 5 17 8 2" xfId="41061" xr:uid="{F3A753C3-EE92-4809-BB0B-B67C4BD623B3}"/>
    <cellStyle name="Normal 5 17 8 3" xfId="48255" xr:uid="{58EA2637-4070-46F3-B1BA-3043F606F4CE}"/>
    <cellStyle name="Normal 5 17 9" xfId="12230" xr:uid="{00000000-0005-0000-0000-000072270000}"/>
    <cellStyle name="Normal-- 5 17 9" xfId="48912" xr:uid="{81D04E6B-7787-4070-B87F-BEAE9DD4E6CE}"/>
    <cellStyle name="Normal 5 17 9 2" xfId="44713" xr:uid="{6BC780F3-6AD7-4586-900F-C83B2E3760FA}"/>
    <cellStyle name="Normal 5 18" xfId="4213" xr:uid="{00000000-0005-0000-0000-000095100000}"/>
    <cellStyle name="Normal-- 5 18" xfId="8171" xr:uid="{00000000-0005-0000-0000-0000BC250000}"/>
    <cellStyle name="Normal 5 18 10" xfId="13012" xr:uid="{00000000-0005-0000-0000-000094300000}"/>
    <cellStyle name="Normal 5 18 10 2" xfId="45476" xr:uid="{481AFEB7-F740-4F95-A780-E5D7B93CCAE3}"/>
    <cellStyle name="Normal 5 18 11" xfId="11638" xr:uid="{00000000-0005-0000-0000-0000FE300000}"/>
    <cellStyle name="Normal 5 18 11 2" xfId="44126" xr:uid="{B775F221-BB61-47C4-85FB-6CD608A7FBF6}"/>
    <cellStyle name="Normal 5 18 12" xfId="13028" xr:uid="{00000000-0005-0000-0000-00006C310000}"/>
    <cellStyle name="Normal 5 18 12 2" xfId="45492" xr:uid="{E88D5EED-91BE-40D5-9039-1001A0E99539}"/>
    <cellStyle name="Normal 5 18 13" xfId="11622" xr:uid="{00000000-0005-0000-0000-0000DE310000}"/>
    <cellStyle name="Normal 5 18 13 2" xfId="44110" xr:uid="{2035C612-E23C-404A-8344-1A7B9631A7D9}"/>
    <cellStyle name="Normal 5 18 14" xfId="13044" xr:uid="{00000000-0005-0000-0000-000054320000}"/>
    <cellStyle name="Normal 5 18 14 2" xfId="45508" xr:uid="{E7E25403-C9E6-462B-8F6E-5F6E99003125}"/>
    <cellStyle name="Normal 5 18 15" xfId="11599" xr:uid="{00000000-0005-0000-0000-0000CE320000}"/>
    <cellStyle name="Normal 5 18 15 2" xfId="44087" xr:uid="{C40DDC59-A798-493D-9278-1783B69F890F}"/>
    <cellStyle name="Normal 5 18 16" xfId="13064" xr:uid="{00000000-0005-0000-0000-00004C330000}"/>
    <cellStyle name="Normal 5 18 16 2" xfId="45528" xr:uid="{C0FCFF9F-CC0E-4E41-A7CE-A7F34D04CA8B}"/>
    <cellStyle name="Normal 5 18 17" xfId="11573" xr:uid="{00000000-0005-0000-0000-0000CE330000}"/>
    <cellStyle name="Normal 5 18 17 2" xfId="44061" xr:uid="{1D168E24-73E5-4632-BA05-2453A610F568}"/>
    <cellStyle name="Normal 5 18 18" xfId="13087" xr:uid="{00000000-0005-0000-0000-000054340000}"/>
    <cellStyle name="Normal 5 18 18 2" xfId="45551" xr:uid="{8F051E56-84C0-42A3-B51A-6417B4CB027D}"/>
    <cellStyle name="Normal 5 18 19" xfId="11548" xr:uid="{00000000-0005-0000-0000-0000DE340000}"/>
    <cellStyle name="Normal 5 18 19 2" xfId="44036" xr:uid="{02477847-7AB3-4704-92C5-4520DCEF2AC4}"/>
    <cellStyle name="Normal 5 18 2" xfId="4214" xr:uid="{00000000-0005-0000-0000-000096100000}"/>
    <cellStyle name="Normal-- 5 18 2" xfId="40968" xr:uid="{C98D5B15-147D-4FEA-9DFC-E5A4D263A70F}"/>
    <cellStyle name="Normal 5 18 2 10" xfId="16436" xr:uid="{298CFC70-0B65-461F-B7AD-B03901747DF3}"/>
    <cellStyle name="Normal 5 18 2 11" xfId="47254" xr:uid="{B55DF443-B11A-4844-B666-16EC0CB654DE}"/>
    <cellStyle name="Normal 5 18 2 2" xfId="9739" xr:uid="{00000000-0005-0000-0000-0000E61D0000}"/>
    <cellStyle name="Normal 5 18 2 2 2" xfId="42228" xr:uid="{5CA8DBFB-C98C-44DE-A719-A09BA3FB31AC}"/>
    <cellStyle name="Normal 5 18 2 3" xfId="6205" xr:uid="{00000000-0005-0000-0000-00001F0D0000}"/>
    <cellStyle name="Normal 5 18 2 4" xfId="38252" xr:uid="{93B6A802-E1FA-4643-BC92-B34AAA76486A}"/>
    <cellStyle name="Normal 5 18 2 5" xfId="40507" xr:uid="{4AE4733F-BF25-4816-94D7-9130A5FD7FE4}"/>
    <cellStyle name="Normal 5 18 2 6" xfId="48647" xr:uid="{1F88D978-AD7A-4C89-A7C7-B2B673E8E3CB}"/>
    <cellStyle name="Normal 5 18 2 7" xfId="46392" xr:uid="{F7882970-173A-43F2-9202-31D0320BC404}"/>
    <cellStyle name="Normal 5 18 2 8" xfId="37824" xr:uid="{DC84D1A6-6C3E-4F40-9E55-D362D7AD03C6}"/>
    <cellStyle name="Normal 5 18 2 9" xfId="46206" xr:uid="{6C26EAC1-A8A4-4CC6-9B61-7596D69BA6F0}"/>
    <cellStyle name="Normal 5 18 20" xfId="15755" xr:uid="{2939C3A3-72E8-4A6E-9ABB-1848D97272B6}"/>
    <cellStyle name="Normal 5 18 21" xfId="38251" xr:uid="{43BDFCC4-7E0E-4794-9E38-0C0433A2B6B6}"/>
    <cellStyle name="Normal 5 18 22" xfId="40480" xr:uid="{A431A830-AECE-468E-8379-B95400B773D2}"/>
    <cellStyle name="Normal 5 18 23" xfId="47986" xr:uid="{5B9153D7-A91C-4D10-8093-60C2E2A7EB82}"/>
    <cellStyle name="Normal 5 18 24" xfId="40574" xr:uid="{8D828A8C-E1BB-49AD-A846-C1F15E9D5624}"/>
    <cellStyle name="Normal 5 18 25" xfId="40374" xr:uid="{B6557C84-6967-413E-8E98-E384472863B5}"/>
    <cellStyle name="Normal 5 18 26" xfId="48017" xr:uid="{7C38B6A2-7F19-44AE-BBDC-ADC6B9D45FE8}"/>
    <cellStyle name="Normal 5 18 27" xfId="49604" xr:uid="{3AADC6F8-0605-42D0-A5B9-EF7DED20B291}"/>
    <cellStyle name="Normal 5 18 28" xfId="48509" xr:uid="{2D7205B0-9E33-424E-B4D3-4E82C6AFC2C5}"/>
    <cellStyle name="Normal 5 18 3" xfId="9738" xr:uid="{00000000-0005-0000-0000-0000E51D0000}"/>
    <cellStyle name="Normal-- 5 18 3" xfId="46759" xr:uid="{2C5E26C8-838C-48ED-A8EB-418C9996DD4E}"/>
    <cellStyle name="Normal 5 18 3 2" xfId="18114" xr:uid="{A5CEA889-C310-4999-A63F-97D48F548501}"/>
    <cellStyle name="Normal 5 18 3 3" xfId="42227" xr:uid="{A12A7618-F053-4698-933C-8D6D1A5577F2}"/>
    <cellStyle name="Normal 5 18 3 4" xfId="37786" xr:uid="{508EE5F7-B976-48BC-AEBF-4F199E7AA9B1}"/>
    <cellStyle name="Normal 5 18 3 5" xfId="40239" xr:uid="{57AAC0E2-7329-48B4-8557-A4AF10776F92}"/>
    <cellStyle name="Normal 5 18 3 6" xfId="47526" xr:uid="{E3B3D698-91F3-40A2-B5AF-E9A7CBE3CF96}"/>
    <cellStyle name="Normal 5 18 3 7" xfId="37797" xr:uid="{77178E30-F209-4B7A-9515-09E77FE6FACA}"/>
    <cellStyle name="Normal 5 18 3 8" xfId="40302" xr:uid="{6FA2ED69-CAF4-4947-9EC1-02C4BB9B930A}"/>
    <cellStyle name="Normal 5 18 3 9" xfId="47878" xr:uid="{5AEA73B6-C990-459E-983A-341AE35FD19F}"/>
    <cellStyle name="Normal 5 18 4" xfId="12182" xr:uid="{00000000-0005-0000-0000-000013260000}"/>
    <cellStyle name="Normal-- 5 18 4" xfId="14172" xr:uid="{4941ABF3-3223-4333-AF35-3AAFF8C26449}"/>
    <cellStyle name="Normal 5 18 4 2" xfId="44665" xr:uid="{E4028834-D5FE-4543-8566-4BA582AF7D03}"/>
    <cellStyle name="Normal 5 18 4 3" xfId="47086" xr:uid="{89665D68-534D-4DC1-9A82-58C47D33F92A}"/>
    <cellStyle name="Normal 5 18 4 4" xfId="37766" xr:uid="{BDC96399-3959-4A43-9844-C1E8174B03D3}"/>
    <cellStyle name="Normal 5 18 4 5" xfId="15028" xr:uid="{077A2C1A-5BD4-466D-A439-531B59DCC422}"/>
    <cellStyle name="Normal 5 18 4 6" xfId="48261" xr:uid="{53CAF7E0-0A81-4AC1-BE8A-BEE936020FB2}"/>
    <cellStyle name="Normal 5 18 4 7" xfId="48871" xr:uid="{7F0B0145-F08C-4523-A77A-314161163EF2}"/>
    <cellStyle name="Normal 5 18 5" xfId="8246" xr:uid="{00000000-0005-0000-0000-000065260000}"/>
    <cellStyle name="Normal-- 5 18 5" xfId="48397" xr:uid="{1C65712C-73E3-4856-AAFC-B99356455ACF}"/>
    <cellStyle name="Normal 5 18 5 2" xfId="41040" xr:uid="{F2350E84-23D1-473C-9794-8FCD959544C7}"/>
    <cellStyle name="Normal 5 18 5 3" xfId="47392" xr:uid="{86E87B08-F1FF-46D8-9574-F7E8F022896A}"/>
    <cellStyle name="Normal 5 18 5 4" xfId="49181" xr:uid="{D776756B-AD95-483F-A464-E5552806FB51}"/>
    <cellStyle name="Normal 5 18 5 5" xfId="15121" xr:uid="{A2F55168-25CF-4C8A-AF80-E522F8AE564A}"/>
    <cellStyle name="Normal 5 18 5 6" xfId="49121" xr:uid="{57931B37-2B94-45FE-BB37-3764AAEDFC54}"/>
    <cellStyle name="Normal 5 18 6" xfId="12205" xr:uid="{00000000-0005-0000-0000-0000BB260000}"/>
    <cellStyle name="Normal-- 5 18 6" xfId="48700" xr:uid="{54B4CB88-A9F9-4932-AEDC-6A15D5A72825}"/>
    <cellStyle name="Normal 5 18 6 2" xfId="44688" xr:uid="{A5B8E645-8B50-475B-8816-0BDD28CFAFB0}"/>
    <cellStyle name="Normal 5 18 6 3" xfId="15115" xr:uid="{DA759B08-4C70-416E-BF71-86A50BCC1094}"/>
    <cellStyle name="Normal 5 18 6 4" xfId="39706" xr:uid="{EAB9AB32-F201-44B4-946D-BE9518C4B6EF}"/>
    <cellStyle name="Normal 5 18 6 5" xfId="40732" xr:uid="{F57CDFEE-A429-44B1-B973-D1DF76EF8803}"/>
    <cellStyle name="Normal 5 18 7" xfId="8269" xr:uid="{00000000-0005-0000-0000-000015270000}"/>
    <cellStyle name="Normal-- 5 18 7" xfId="47632" xr:uid="{FBB82448-3850-4B90-800E-D88145A112B6}"/>
    <cellStyle name="Normal 5 18 7 2" xfId="41063" xr:uid="{BA48BC8A-9DAD-4EEE-B8E2-0C4C832BCD27}"/>
    <cellStyle name="Normal 5 18 7 3" xfId="49366" xr:uid="{AF056B81-F23F-4679-8CA8-D08BA5503D93}"/>
    <cellStyle name="Normal 5 18 7 4" xfId="37758" xr:uid="{02911395-F86C-4F87-B71F-33A5558B056D}"/>
    <cellStyle name="Normal 5 18 8" xfId="12235" xr:uid="{00000000-0005-0000-0000-000073270000}"/>
    <cellStyle name="Normal-- 5 18 8" xfId="47711" xr:uid="{8C908BD9-F8A5-43D1-8C12-DB4F1129E1C5}"/>
    <cellStyle name="Normal 5 18 8 2" xfId="44718" xr:uid="{C5B5E4F3-0720-4747-94B9-2CF6F4D6E4D9}"/>
    <cellStyle name="Normal 5 18 8 3" xfId="15044" xr:uid="{44553199-EB00-4884-8870-9BF9AB51DD91}"/>
    <cellStyle name="Normal 5 18 9" xfId="6204" xr:uid="{00000000-0005-0000-0000-00001E0D0000}"/>
    <cellStyle name="Normal-- 5 18 9" xfId="47438" xr:uid="{FEBBBE7E-F049-40A3-AE14-71AEB03AC5DF}"/>
    <cellStyle name="Normal 5 19" xfId="4215" xr:uid="{00000000-0005-0000-0000-000097100000}"/>
    <cellStyle name="Normal-- 5 19" xfId="12126" xr:uid="{00000000-0005-0000-0000-00000A260000}"/>
    <cellStyle name="Normal 5 19 10" xfId="11637" xr:uid="{00000000-0005-0000-0000-0000FF300000}"/>
    <cellStyle name="Normal 5 19 10 2" xfId="44125" xr:uid="{84AAFA01-EE9A-46AF-B3F4-FFB00A303E86}"/>
    <cellStyle name="Normal 5 19 11" xfId="13031" xr:uid="{00000000-0005-0000-0000-00006D310000}"/>
    <cellStyle name="Normal 5 19 11 2" xfId="45495" xr:uid="{1A927197-B1D2-48B0-BAC1-67AE5CFD9B87}"/>
    <cellStyle name="Normal 5 19 12" xfId="11618" xr:uid="{00000000-0005-0000-0000-0000DF310000}"/>
    <cellStyle name="Normal 5 19 12 2" xfId="44106" xr:uid="{7F78C2A0-6432-4D51-8FC7-E58F7B05D9E9}"/>
    <cellStyle name="Normal 5 19 13" xfId="13047" xr:uid="{00000000-0005-0000-0000-000055320000}"/>
    <cellStyle name="Normal 5 19 13 2" xfId="45511" xr:uid="{E6678F49-052B-466A-A6CE-6AE1427EA31F}"/>
    <cellStyle name="Normal 5 19 14" xfId="11595" xr:uid="{00000000-0005-0000-0000-0000CF320000}"/>
    <cellStyle name="Normal 5 19 14 2" xfId="44083" xr:uid="{FA061011-9674-4CDE-8E5E-8AE50077CE7B}"/>
    <cellStyle name="Normal 5 19 15" xfId="13067" xr:uid="{00000000-0005-0000-0000-00004D330000}"/>
    <cellStyle name="Normal 5 19 15 2" xfId="45531" xr:uid="{F12EC909-AC17-4420-A2AF-9387EB0ED3CF}"/>
    <cellStyle name="Normal 5 19 16" xfId="11570" xr:uid="{00000000-0005-0000-0000-0000CF330000}"/>
    <cellStyle name="Normal 5 19 16 2" xfId="44058" xr:uid="{20E148E1-DB6D-4882-89DC-C66EE7B1FB25}"/>
    <cellStyle name="Normal 5 19 17" xfId="13091" xr:uid="{00000000-0005-0000-0000-000055340000}"/>
    <cellStyle name="Normal 5 19 17 2" xfId="45555" xr:uid="{412B884A-AEAC-4241-A6A9-2C53BA232197}"/>
    <cellStyle name="Normal 5 19 18" xfId="11544" xr:uid="{00000000-0005-0000-0000-0000DF340000}"/>
    <cellStyle name="Normal 5 19 18 2" xfId="44032" xr:uid="{0AFD8E19-9825-4A2F-8EB0-7EAF5208CE06}"/>
    <cellStyle name="Normal 5 19 19" xfId="15756" xr:uid="{5A4AC7B6-5076-44AA-B114-09BD42C1145C}"/>
    <cellStyle name="Normal 5 19 2" xfId="4216" xr:uid="{00000000-0005-0000-0000-000098100000}"/>
    <cellStyle name="Normal-- 5 19 2" xfId="44609" xr:uid="{115D6FC0-270E-4BE5-B3AA-020808BF7A7C}"/>
    <cellStyle name="Normal 5 19 2 10" xfId="47867" xr:uid="{332B2102-4FC3-465F-938E-963B5A32E5F1}"/>
    <cellStyle name="Normal 5 19 2 11" xfId="15988" xr:uid="{C8A6143F-50FE-444C-BB08-E2382A4DE0DA}"/>
    <cellStyle name="Normal 5 19 2 2" xfId="9741" xr:uid="{00000000-0005-0000-0000-0000E81D0000}"/>
    <cellStyle name="Normal 5 19 2 2 2" xfId="42230" xr:uid="{602290B3-C12B-4870-9E24-50CD5C56389B}"/>
    <cellStyle name="Normal 5 19 2 3" xfId="6207" xr:uid="{00000000-0005-0000-0000-0000210D0000}"/>
    <cellStyle name="Normal 5 19 2 4" xfId="38254" xr:uid="{234DBF54-AFD5-471D-8E0A-B8FE659279C0}"/>
    <cellStyle name="Normal 5 19 2 5" xfId="40505" xr:uid="{9528668D-9B28-4A2E-A6F1-B67E4180ECA0}"/>
    <cellStyle name="Normal 5 19 2 6" xfId="48633" xr:uid="{6D71D952-2CF6-4F52-A7C0-7A430A8BCF47}"/>
    <cellStyle name="Normal 5 19 2 7" xfId="47429" xr:uid="{4DB985E7-68E2-426C-B458-936785898BE8}"/>
    <cellStyle name="Normal 5 19 2 8" xfId="47605" xr:uid="{27F6870F-529F-4C7D-9992-73058E2E46BC}"/>
    <cellStyle name="Normal 5 19 2 9" xfId="40255" xr:uid="{A2FF2144-1F5C-4835-8721-BA1D12BE167E}"/>
    <cellStyle name="Normal 5 19 20" xfId="38253" xr:uid="{E7BD5920-E0CA-43ED-A605-6AFB4C4EBC5D}"/>
    <cellStyle name="Normal 5 19 21" xfId="15197" xr:uid="{36309AC2-4BFC-43FE-9086-FF7E3358CA05}"/>
    <cellStyle name="Normal 5 19 22" xfId="47997" xr:uid="{F95A4471-E394-45CA-80F1-278CEEE07CCC}"/>
    <cellStyle name="Normal 5 19 23" xfId="46395" xr:uid="{AF5FF5CB-0C0F-4A42-B668-D0A96EB4516E}"/>
    <cellStyle name="Normal 5 19 24" xfId="48580" xr:uid="{3378AF4B-7245-4D0D-8C04-6C378FB2EFDA}"/>
    <cellStyle name="Normal 5 19 25" xfId="15159" xr:uid="{0DA0518D-5A5C-4475-86BE-D130CBD9FFD9}"/>
    <cellStyle name="Normal 5 19 26" xfId="49599" xr:uid="{80B3D842-63C4-4CD9-A0E0-224DEA6350D6}"/>
    <cellStyle name="Normal 5 19 27" xfId="47041" xr:uid="{526017E4-1B63-401F-9893-817288A927AD}"/>
    <cellStyle name="Normal 5 19 3" xfId="9740" xr:uid="{00000000-0005-0000-0000-0000E71D0000}"/>
    <cellStyle name="Normal-- 5 19 3" xfId="48240" xr:uid="{A3A59166-3C68-48CF-91C9-E53EC2DAFD25}"/>
    <cellStyle name="Normal 5 19 3 2" xfId="18115" xr:uid="{3BED8B17-A227-411A-A7A4-8EC0838D228A}"/>
    <cellStyle name="Normal 5 19 3 3" xfId="42229" xr:uid="{156398F6-82E5-4379-9495-D62C1B50F16F}"/>
    <cellStyle name="Normal 5 19 3 4" xfId="46440" xr:uid="{4D98627E-3F63-4A7E-8E9E-77C9DE804FE8}"/>
    <cellStyle name="Normal 5 19 3 5" xfId="40659" xr:uid="{C63B5263-11F7-4507-B770-DF262FA0AACC}"/>
    <cellStyle name="Normal 5 19 3 6" xfId="47374" xr:uid="{86C13EF5-B371-46E2-B3EB-36B74CB0F34D}"/>
    <cellStyle name="Normal 5 19 3 7" xfId="40605" xr:uid="{8D79CDD6-3654-4838-8D66-CEDFB40F2ECD}"/>
    <cellStyle name="Normal 5 19 3 8" xfId="41322" xr:uid="{DC8C78F6-2E2D-43BC-8C83-EB04470E94A1}"/>
    <cellStyle name="Normal 5 19 3 9" xfId="48268" xr:uid="{0846FF9B-49DE-430A-B111-23C08A56CBB9}"/>
    <cellStyle name="Normal 5 19 4" xfId="8249" xr:uid="{00000000-0005-0000-0000-000066260000}"/>
    <cellStyle name="Normal-- 5 19 4" xfId="16474" xr:uid="{5B8F0713-1F86-4B71-A8E4-E37BA892CB70}"/>
    <cellStyle name="Normal 5 19 4 2" xfId="41043" xr:uid="{78C95A37-5B27-452F-81DA-BC8384EAE7E3}"/>
    <cellStyle name="Normal 5 19 4 3" xfId="14905" xr:uid="{1DEB70C2-BA33-470E-BE40-29D5D77388D7}"/>
    <cellStyle name="Normal 5 19 4 4" xfId="47013" xr:uid="{9B5C44DC-748A-4B0F-9D45-9AA0FCDD17D4}"/>
    <cellStyle name="Normal 5 19 4 5" xfId="41409" xr:uid="{FDBA5F5B-E716-4E65-BFBA-65021BA42337}"/>
    <cellStyle name="Normal 5 19 4 6" xfId="37692" xr:uid="{4C15AD18-E197-45DF-9AD5-80C14916F991}"/>
    <cellStyle name="Normal 5 19 4 7" xfId="39560" xr:uid="{4C98EC63-D2F3-4EFE-955F-E0274141B41D}"/>
    <cellStyle name="Normal 5 19 5" xfId="12208" xr:uid="{00000000-0005-0000-0000-0000BC260000}"/>
    <cellStyle name="Normal-- 5 19 5" xfId="47789" xr:uid="{27AF76C5-4735-4F67-83A4-1682164454F0}"/>
    <cellStyle name="Normal 5 19 5 2" xfId="44691" xr:uid="{F362FEE6-BA9C-498A-B617-EF53606504AC}"/>
    <cellStyle name="Normal 5 19 5 3" xfId="46462" xr:uid="{D2262363-C3A8-441C-AE59-B12B934B7BF6}"/>
    <cellStyle name="Normal 5 19 5 4" xfId="40585" xr:uid="{D1229941-149F-4221-8EA4-47E58BC3AAD3}"/>
    <cellStyle name="Normal 5 19 5 5" xfId="47314" xr:uid="{C5E44D16-9302-40B6-ACDB-B2AA3333D2A7}"/>
    <cellStyle name="Normal 5 19 5 6" xfId="37916" xr:uid="{8D35016E-2FC1-4693-BB8C-684EFE3A1269}"/>
    <cellStyle name="Normal 5 19 6" xfId="8274" xr:uid="{00000000-0005-0000-0000-000016270000}"/>
    <cellStyle name="Normal-- 5 19 6" xfId="37663" xr:uid="{1C8E35B0-9EF4-4C95-9D05-4CF46D4EC66B}"/>
    <cellStyle name="Normal 5 19 6 2" xfId="41068" xr:uid="{DE7006CF-FCBD-4E1B-BEAE-90BFE78C3CD5}"/>
    <cellStyle name="Normal 5 19 6 3" xfId="47621" xr:uid="{5BD53E98-A0CE-499D-A79C-53B4832EEEBF}"/>
    <cellStyle name="Normal 5 19 6 4" xfId="49189" xr:uid="{6356FCEB-BBF3-45C8-83F1-FD813BF9F99A}"/>
    <cellStyle name="Normal 5 19 6 5" xfId="46472" xr:uid="{A66D9305-A31B-4F32-9980-5968DFDEF8A3}"/>
    <cellStyle name="Normal 5 19 7" xfId="12237" xr:uid="{00000000-0005-0000-0000-000074270000}"/>
    <cellStyle name="Normal-- 5 19 7" xfId="47626" xr:uid="{D78476B5-56CB-4A2F-86B3-86AE06FE1510}"/>
    <cellStyle name="Normal 5 19 7 2" xfId="44720" xr:uid="{22139F17-BB10-40DC-93E5-BB11837C52AC}"/>
    <cellStyle name="Normal 5 19 7 3" xfId="40665" xr:uid="{2C27529C-3A4C-4159-9A37-7E313CF20AE8}"/>
    <cellStyle name="Normal 5 19 7 4" xfId="47162" xr:uid="{CDC4D1BC-14F1-467D-BCE3-757C70CC3C1D}"/>
    <cellStyle name="Normal 5 19 8" xfId="6206" xr:uid="{00000000-0005-0000-0000-0000200D0000}"/>
    <cellStyle name="Normal-- 5 19 8" xfId="15992" xr:uid="{C5F625F4-624F-4155-AADC-DDA7E589184E}"/>
    <cellStyle name="Normal 5 19 9" xfId="13013" xr:uid="{00000000-0005-0000-0000-000095300000}"/>
    <cellStyle name="Normal-- 5 19 9" xfId="47115" xr:uid="{8FA74433-7A1F-4272-95EB-E2991C350B06}"/>
    <cellStyle name="Normal 5 19 9 2" xfId="45477" xr:uid="{90744C9F-18EA-444B-BBBC-2F77988AAD84}"/>
    <cellStyle name="Normal 5 2" xfId="4217" xr:uid="{00000000-0005-0000-0000-000099100000}"/>
    <cellStyle name="Normal-- 5 2" xfId="9704" xr:uid="{00000000-0005-0000-0000-0000C31D0000}"/>
    <cellStyle name="Normal 5 2 10" xfId="12108" xr:uid="{00000000-0005-0000-0000-000033230000}"/>
    <cellStyle name="Normal 5 2 10 2" xfId="44591" xr:uid="{6E795F74-F02A-448F-9759-4E608BAB9ACC}"/>
    <cellStyle name="Normal 5 2 11" xfId="8163" xr:uid="{00000000-0005-0000-0000-00004D230000}"/>
    <cellStyle name="Normal 5 2 11 2" xfId="40960" xr:uid="{64BE4D5E-62BA-455E-A4B1-E9FFDECF9098}"/>
    <cellStyle name="Normal 5 2 12" xfId="12115" xr:uid="{00000000-0005-0000-0000-00006B230000}"/>
    <cellStyle name="Normal 5 2 12 2" xfId="44598" xr:uid="{925153F1-75D1-4D76-9982-A0DBA352AE1A}"/>
    <cellStyle name="Normal 5 2 13" xfId="8175" xr:uid="{00000000-0005-0000-0000-00008D230000}"/>
    <cellStyle name="Normal 5 2 13 2" xfId="40972" xr:uid="{B6B12EB2-384C-420F-9212-3E677DA0E907}"/>
    <cellStyle name="Normal 5 2 14" xfId="12122" xr:uid="{00000000-0005-0000-0000-0000B3230000}"/>
    <cellStyle name="Normal 5 2 14 2" xfId="44605" xr:uid="{12734F53-BFA2-446A-A09F-97B8046187FF}"/>
    <cellStyle name="Normal 5 2 15" xfId="8183" xr:uid="{00000000-0005-0000-0000-0000DD230000}"/>
    <cellStyle name="Normal 5 2 15 2" xfId="40979" xr:uid="{40D5BA3A-319B-4B61-9D79-E8C4AF35A61E}"/>
    <cellStyle name="Normal 5 2 16" xfId="12129" xr:uid="{00000000-0005-0000-0000-00000C240000}"/>
    <cellStyle name="Normal 5 2 16 2" xfId="44612" xr:uid="{64133226-2B5F-43D4-A0EC-247FB0733263}"/>
    <cellStyle name="Normal 5 2 17" xfId="8193" xr:uid="{00000000-0005-0000-0000-00003F240000}"/>
    <cellStyle name="Normal 5 2 17 2" xfId="40987" xr:uid="{A8002A6D-B3B6-4E87-B39C-928B5857408B}"/>
    <cellStyle name="Normal 5 2 18" xfId="12137" xr:uid="{00000000-0005-0000-0000-000076240000}"/>
    <cellStyle name="Normal 5 2 18 2" xfId="44620" xr:uid="{D64BEA53-9E7B-49E1-9F15-FE4A73081631}"/>
    <cellStyle name="Normal 5 2 19" xfId="8203" xr:uid="{00000000-0005-0000-0000-0000B1240000}"/>
    <cellStyle name="Normal 5 2 19 2" xfId="40997" xr:uid="{997E5BE9-912B-41AA-B51E-C538405C290A}"/>
    <cellStyle name="Normal 5 2 2" xfId="4218" xr:uid="{00000000-0005-0000-0000-00009A100000}"/>
    <cellStyle name="Normal-- 5 2 2" xfId="42193" xr:uid="{3E36A47E-024F-4F72-976A-955DDFB69EA5}"/>
    <cellStyle name="Normal 5 2 2 10" xfId="14937" xr:uid="{87F6BE90-E73D-4F79-961F-5BC665C27D4A}"/>
    <cellStyle name="Normal 5 2 2 11" xfId="48110" xr:uid="{DF116B48-5C1E-4124-85A5-E72C083DADDD}"/>
    <cellStyle name="Normal 5 2 2 12" xfId="37955" xr:uid="{1C5D9DDF-8457-44CD-96B8-D697213F3F96}"/>
    <cellStyle name="Normal 5 2 2 13" xfId="46238" xr:uid="{6B3DA925-6E12-44C0-B45B-5641E59B2DC4}"/>
    <cellStyle name="Normal 5 2 2 2" xfId="4219" xr:uid="{00000000-0005-0000-0000-00009B100000}"/>
    <cellStyle name="Normal 5 2 2 2 2" xfId="9744" xr:uid="{00000000-0005-0000-0000-0000EB1D0000}"/>
    <cellStyle name="Normal 5 2 2 2 2 2" xfId="42233" xr:uid="{9DBF6A38-3BD4-45AA-998F-B6FCAC678CB3}"/>
    <cellStyle name="Normal 5 2 2 2 3" xfId="17299" xr:uid="{7001CEA8-F372-4B77-A676-B2E18346726F}"/>
    <cellStyle name="Normal 5 2 2 2 4" xfId="38257" xr:uid="{CFF212A6-3BF9-430D-BA22-FA1D3C621D2B}"/>
    <cellStyle name="Normal 5 2 2 3" xfId="9743" xr:uid="{00000000-0005-0000-0000-0000EA1D0000}"/>
    <cellStyle name="Normal 5 2 2 3 2" xfId="18116" xr:uid="{C90BA9B4-3BC4-4B6F-BCDA-499691503722}"/>
    <cellStyle name="Normal 5 2 2 3 3" xfId="42232" xr:uid="{B78F1A20-DA5E-4797-B38D-48002327A02C}"/>
    <cellStyle name="Normal 5 2 2 4" xfId="6209" xr:uid="{00000000-0005-0000-0000-0000230D0000}"/>
    <cellStyle name="Normal 5 2 2 5" xfId="15758" xr:uid="{6D6FF6EA-BB80-4DFB-8027-C563D2A763E8}"/>
    <cellStyle name="Normal 5 2 2 6" xfId="38256" xr:uid="{F05AAFE4-B4B8-495B-979F-7E6726FA918E}"/>
    <cellStyle name="Normal 5 2 2 7" xfId="15198" xr:uid="{410A1827-0B1F-4743-BFC7-68B1B4C794F7}"/>
    <cellStyle name="Normal 5 2 2 8" xfId="47448" xr:uid="{6D6E06D7-4515-4F3D-965E-59883493485B}"/>
    <cellStyle name="Normal 5 2 2 9" xfId="48073" xr:uid="{87A28B6D-44DC-4D32-B6CF-67C424667FDE}"/>
    <cellStyle name="Normal 5 2 20" xfId="12149" xr:uid="{00000000-0005-0000-0000-0000F0240000}"/>
    <cellStyle name="Normal 5 2 20 2" xfId="44632" xr:uid="{71E9B3B1-6E20-49DA-B6C5-B757832A3F2F}"/>
    <cellStyle name="Normal 5 2 21" xfId="8216" xr:uid="{00000000-0005-0000-0000-000033250000}"/>
    <cellStyle name="Normal 5 2 21 2" xfId="41010" xr:uid="{E2A5994A-2CE2-45A8-8EA4-DB0AECD9E1F9}"/>
    <cellStyle name="Normal 5 2 22" xfId="12163" xr:uid="{00000000-0005-0000-0000-00007A250000}"/>
    <cellStyle name="Normal 5 2 22 2" xfId="44646" xr:uid="{C8C48506-669E-45EF-819A-CD7047B195E5}"/>
    <cellStyle name="Normal 5 2 23" xfId="8233" xr:uid="{00000000-0005-0000-0000-0000C5250000}"/>
    <cellStyle name="Normal 5 2 23 2" xfId="41027" xr:uid="{A4CA37C9-A63B-45BE-87BD-CB52B95B5B53}"/>
    <cellStyle name="Normal 5 2 24" xfId="12186" xr:uid="{00000000-0005-0000-0000-000014260000}"/>
    <cellStyle name="Normal 5 2 24 2" xfId="44669" xr:uid="{C607A3DD-538B-470F-AE43-E36164FAE6E5}"/>
    <cellStyle name="Normal 5 2 25" xfId="8252" xr:uid="{00000000-0005-0000-0000-000067260000}"/>
    <cellStyle name="Normal 5 2 25 2" xfId="41046" xr:uid="{3CB3637A-C4F9-4B91-A718-7EBB18B2F285}"/>
    <cellStyle name="Normal 5 2 26" xfId="12210" xr:uid="{00000000-0005-0000-0000-0000BD260000}"/>
    <cellStyle name="Normal 5 2 26 2" xfId="44693" xr:uid="{2008AA22-E1DC-4BBF-880C-5FD86A4C82B8}"/>
    <cellStyle name="Normal 5 2 27" xfId="8276" xr:uid="{00000000-0005-0000-0000-000017270000}"/>
    <cellStyle name="Normal 5 2 27 2" xfId="41070" xr:uid="{BB2BEA49-4227-4404-A14A-3085080C8ED7}"/>
    <cellStyle name="Normal 5 2 28" xfId="12239" xr:uid="{00000000-0005-0000-0000-000075270000}"/>
    <cellStyle name="Normal 5 2 28 2" xfId="44722" xr:uid="{3ED0F13C-1F41-473D-BFF8-1F28212CCDB4}"/>
    <cellStyle name="Normal 5 2 29" xfId="6208" xr:uid="{00000000-0005-0000-0000-0000220D0000}"/>
    <cellStyle name="Normal 5 2 3" xfId="4220" xr:uid="{00000000-0005-0000-0000-00009C100000}"/>
    <cellStyle name="Normal-- 5 2 3" xfId="47310" xr:uid="{FA488204-2BD1-49FE-8698-E24C8A253B8F}"/>
    <cellStyle name="Normal 5 2 3 10" xfId="37676" xr:uid="{6E41A09C-4311-432C-87A3-DD8329B55A44}"/>
    <cellStyle name="Normal 5 2 3 11" xfId="37635" xr:uid="{3B1A6E64-6E60-40DD-8831-5F1BEBE58179}"/>
    <cellStyle name="Normal 5 2 3 12" xfId="15444" xr:uid="{82C4ADA6-BF58-410C-8F7F-31D99A36C1CE}"/>
    <cellStyle name="Normal 5 2 3 2" xfId="4221" xr:uid="{00000000-0005-0000-0000-00009D100000}"/>
    <cellStyle name="Normal 5 2 3 2 2" xfId="9746" xr:uid="{00000000-0005-0000-0000-0000ED1D0000}"/>
    <cellStyle name="Normal 5 2 3 2 2 2" xfId="42235" xr:uid="{1CABF79F-B4E4-48F2-85D8-F9D5E6620FA8}"/>
    <cellStyle name="Normal 5 2 3 2 3" xfId="17300" xr:uid="{D895C41C-B839-4A96-AB29-FA337A9974EF}"/>
    <cellStyle name="Normal 5 2 3 2 4" xfId="38259" xr:uid="{97BAA4E7-A5AB-476F-B2E9-367C13052E28}"/>
    <cellStyle name="Normal 5 2 3 3" xfId="9745" xr:uid="{00000000-0005-0000-0000-0000EC1D0000}"/>
    <cellStyle name="Normal 5 2 3 3 2" xfId="18117" xr:uid="{0F5A83F5-FAC1-48BB-BD06-E8A3D2AE8DB2}"/>
    <cellStyle name="Normal 5 2 3 3 3" xfId="42234" xr:uid="{AE8D2163-C6D5-4182-9987-F20E44DEA874}"/>
    <cellStyle name="Normal 5 2 3 4" xfId="6210" xr:uid="{00000000-0005-0000-0000-0000240D0000}"/>
    <cellStyle name="Normal 5 2 3 5" xfId="15759" xr:uid="{1AE28F3C-FA2C-405E-B241-C4E23C870274}"/>
    <cellStyle name="Normal 5 2 3 6" xfId="38258" xr:uid="{6A16250C-0AA5-4104-A8CD-3ABA17B7EB5D}"/>
    <cellStyle name="Normal 5 2 3 7" xfId="47449" xr:uid="{8FC3F82E-3DB4-493C-B4AD-8D084485EFA5}"/>
    <cellStyle name="Normal 5 2 3 8" xfId="48071" xr:uid="{0CA35712-B904-43E7-A13B-50C84DEAB833}"/>
    <cellStyle name="Normal 5 2 3 9" xfId="41800" xr:uid="{086D1648-396F-4727-AE3F-61965E05D2D2}"/>
    <cellStyle name="Normal 5 2 30" xfId="13015" xr:uid="{00000000-0005-0000-0000-000096300000}"/>
    <cellStyle name="Normal 5 2 30 2" xfId="45479" xr:uid="{621180E2-6DF0-489E-AB7D-C2351CBB9C99}"/>
    <cellStyle name="Normal 5 2 31" xfId="11635" xr:uid="{00000000-0005-0000-0000-000000310000}"/>
    <cellStyle name="Normal 5 2 31 2" xfId="44123" xr:uid="{C70A086F-33EE-4E44-A890-7889769323CE}"/>
    <cellStyle name="Normal 5 2 32" xfId="13032" xr:uid="{00000000-0005-0000-0000-00006E310000}"/>
    <cellStyle name="Normal 5 2 32 2" xfId="45496" xr:uid="{64EE56ED-814B-41CC-8FD5-51425E526504}"/>
    <cellStyle name="Normal 5 2 33" xfId="11616" xr:uid="{00000000-0005-0000-0000-0000E0310000}"/>
    <cellStyle name="Normal 5 2 33 2" xfId="44104" xr:uid="{206FC507-203E-463A-9A58-3F29D1C09BF3}"/>
    <cellStyle name="Normal 5 2 34" xfId="13050" xr:uid="{00000000-0005-0000-0000-000056320000}"/>
    <cellStyle name="Normal 5 2 34 2" xfId="45514" xr:uid="{D837AAE4-8714-444F-8513-8E486C168BD3}"/>
    <cellStyle name="Normal 5 2 35" xfId="11591" xr:uid="{00000000-0005-0000-0000-0000D0320000}"/>
    <cellStyle name="Normal 5 2 35 2" xfId="44079" xr:uid="{457E833A-29BB-4997-8241-C91FEE7D5899}"/>
    <cellStyle name="Normal 5 2 36" xfId="13070" xr:uid="{00000000-0005-0000-0000-00004E330000}"/>
    <cellStyle name="Normal 5 2 36 2" xfId="45534" xr:uid="{6346906B-99B1-4305-9DD3-BF67762B6F7A}"/>
    <cellStyle name="Normal 5 2 37" xfId="11566" xr:uid="{00000000-0005-0000-0000-0000D0330000}"/>
    <cellStyle name="Normal 5 2 37 2" xfId="44054" xr:uid="{E4FBE0A1-5B48-4674-9A3C-42B80A3F1623}"/>
    <cellStyle name="Normal 5 2 38" xfId="13096" xr:uid="{00000000-0005-0000-0000-000056340000}"/>
    <cellStyle name="Normal 5 2 38 2" xfId="45560" xr:uid="{9DD31859-B743-431D-9F24-1436E61552C9}"/>
    <cellStyle name="Normal 5 2 39" xfId="11539" xr:uid="{00000000-0005-0000-0000-0000E0340000}"/>
    <cellStyle name="Normal 5 2 39 2" xfId="44027" xr:uid="{B5809815-059E-489E-80EA-ADEBCBE5CA0F}"/>
    <cellStyle name="Normal 5 2 4" xfId="4222" xr:uid="{00000000-0005-0000-0000-00009E100000}"/>
    <cellStyle name="Normal-- 5 2 4" xfId="46452" xr:uid="{9618210B-CBE1-4460-A968-C23CC93F2B02}"/>
    <cellStyle name="Normal 5 2 4 2" xfId="9747" xr:uid="{00000000-0005-0000-0000-0000EE1D0000}"/>
    <cellStyle name="Normal 5 2 4 2 2" xfId="42236" xr:uid="{590CE090-3587-4A33-A8E0-00CF5C63D0FE}"/>
    <cellStyle name="Normal 5 2 4 3" xfId="6211" xr:uid="{00000000-0005-0000-0000-0000250D0000}"/>
    <cellStyle name="Normal 5 2 4 4" xfId="38260" xr:uid="{1DB76F65-E7E4-43D0-912C-47745650FCD9}"/>
    <cellStyle name="Normal 5 2 4 5" xfId="41880" xr:uid="{9B928753-8B65-449F-98F4-B5CA6CC37166}"/>
    <cellStyle name="Normal 5 2 4 6" xfId="47853" xr:uid="{6974639B-9A27-4192-B2DB-127CCF39F81B}"/>
    <cellStyle name="Normal 5 2 4 7" xfId="46246" xr:uid="{3EE51CE7-5B33-4C8D-9139-5C93578FB436}"/>
    <cellStyle name="Normal 5 2 4 8" xfId="46169" xr:uid="{A8B649A9-6F1D-4DF8-B7C1-7575DB2B793B}"/>
    <cellStyle name="Normal 5 2 4 9" xfId="48031" xr:uid="{8F0E765C-DD13-44BB-8162-27162B88C154}"/>
    <cellStyle name="Normal 5 2 40" xfId="13644" xr:uid="{47A0BC09-07CE-4390-AE5B-A7DB8688C27C}"/>
    <cellStyle name="Normal 5 2 41" xfId="38255" xr:uid="{2B58BB67-6706-4A4F-AEE4-EB7A75585121}"/>
    <cellStyle name="Normal 5 2 42" xfId="40506" xr:uid="{1EA169A9-C7CE-4EB6-BEDF-9C94F8739CAC}"/>
    <cellStyle name="Normal 5 2 43" xfId="46259" xr:uid="{26513350-0843-447D-8188-00412B172066}"/>
    <cellStyle name="Normal 5 2 44" xfId="41110" xr:uid="{BAFDFE2B-35D3-4909-8E82-C5BF95ECF612}"/>
    <cellStyle name="Normal 5 2 45" xfId="16501" xr:uid="{9CEF70B0-0595-4D4F-B656-52D9481C8FA9}"/>
    <cellStyle name="Normal 5 2 46" xfId="48762" xr:uid="{43222D2C-7F3B-4C37-8B0E-9751C6B631F4}"/>
    <cellStyle name="Normal 5 2 47" xfId="47159" xr:uid="{0E68BECC-4789-4504-9A6A-8438C38B270B}"/>
    <cellStyle name="Normal 5 2 48" xfId="15458" xr:uid="{ED8992C9-96B2-46C3-9A19-79539C7D5818}"/>
    <cellStyle name="Normal 5 2 5" xfId="4223" xr:uid="{00000000-0005-0000-0000-00009F100000}"/>
    <cellStyle name="Normal-- 5 2 5" xfId="15032" xr:uid="{45C8B757-C1C6-43D7-9D78-15B28F7312E9}"/>
    <cellStyle name="Normal 5 2 5 2" xfId="9748" xr:uid="{00000000-0005-0000-0000-0000EF1D0000}"/>
    <cellStyle name="Normal 5 2 5 2 2" xfId="42237" xr:uid="{1DECB7D9-0B8B-4B1E-B5A9-D55350B4B4EE}"/>
    <cellStyle name="Normal 5 2 5 3" xfId="6212" xr:uid="{00000000-0005-0000-0000-0000260D0000}"/>
    <cellStyle name="Normal 5 2 5 3 2" xfId="40089" xr:uid="{F574925A-67D7-4B64-880D-02CA54727BC9}"/>
    <cellStyle name="Normal 5 2 5 4" xfId="15760" xr:uid="{5BDB52B7-0868-45F3-AB04-E3CA12FF6D9D}"/>
    <cellStyle name="Normal 5 2 5 5" xfId="38261" xr:uid="{A6488C8F-6B41-4EB9-A054-E783148E4BA8}"/>
    <cellStyle name="Normal 5 2 5 6" xfId="40217" xr:uid="{39696054-D624-40A5-858A-2B7EF18BE759}"/>
    <cellStyle name="Normal 5 2 5 7" xfId="48782" xr:uid="{312FA13F-C70F-43DA-AD5C-0A1CAA497621}"/>
    <cellStyle name="Normal 5 2 5 8" xfId="15087" xr:uid="{69739ED1-4EC5-4EEF-B9F2-B60005240C44}"/>
    <cellStyle name="Normal 5 2 5 9" xfId="40631" xr:uid="{2B37C959-546A-4901-A28F-A76241CFB232}"/>
    <cellStyle name="Normal 5 2 6" xfId="4224" xr:uid="{00000000-0005-0000-0000-0000A0100000}"/>
    <cellStyle name="Normal-- 5 2 6" xfId="37918" xr:uid="{61309856-8351-4D9A-8237-713EF16690E2}"/>
    <cellStyle name="Normal 5 2 6 2" xfId="9749" xr:uid="{00000000-0005-0000-0000-0000F01D0000}"/>
    <cellStyle name="Normal 5 2 6 2 2" xfId="42238" xr:uid="{09F75EBC-FEFD-4B4E-8EF6-08C1EB097DCD}"/>
    <cellStyle name="Normal 5 2 6 3" xfId="15757" xr:uid="{1B44387C-B01A-4A8D-924D-D993C1195B25}"/>
    <cellStyle name="Normal 5 2 6 4" xfId="38262" xr:uid="{33B3DAA0-11B1-46C0-9375-5F60CD7F98E8}"/>
    <cellStyle name="Normal 5 2 6 5" xfId="47308" xr:uid="{EF2D5ECE-7831-4A96-9F36-738F95FBBFE6}"/>
    <cellStyle name="Normal 5 2 6 6" xfId="47628" xr:uid="{F38A83B8-B105-4DEA-9FBA-2D5D0FFA3E62}"/>
    <cellStyle name="Normal 5 2 6 7" xfId="16925" xr:uid="{E6505392-7613-4B47-AF71-990DF233401F}"/>
    <cellStyle name="Normal 5 2 7" xfId="9742" xr:uid="{00000000-0005-0000-0000-0000E91D0000}"/>
    <cellStyle name="Normal-- 5 2 7" xfId="46715" xr:uid="{29C13772-9261-4BA3-88A8-C8214528966F}"/>
    <cellStyle name="Normal 5 2 7 2" xfId="42231" xr:uid="{E524FDFE-B176-4D7A-A774-19C1542A1CA3}"/>
    <cellStyle name="Normal 5 2 7 3" xfId="47624" xr:uid="{4A97EA1A-F1E1-4639-9307-31CFC60DEC12}"/>
    <cellStyle name="Normal 5 2 7 4" xfId="37938" xr:uid="{0A0EED68-097F-4B1B-B3E6-C020CBF1EB1E}"/>
    <cellStyle name="Normal 5 2 8" xfId="12103" xr:uid="{00000000-0005-0000-0000-00000B230000}"/>
    <cellStyle name="Normal-- 5 2 8" xfId="49408" xr:uid="{AA6FC46A-515C-4258-A05D-6B1F0DB44537}"/>
    <cellStyle name="Normal 5 2 8 2" xfId="44586" xr:uid="{2B23E1E9-EE8F-4B29-917E-D7B8477A6654}"/>
    <cellStyle name="Normal 5 2 8 3" xfId="48908" xr:uid="{0F96A92D-C5D8-4B9E-8B7E-6AB92086ED0B}"/>
    <cellStyle name="Normal 5 2 9" xfId="8150" xr:uid="{00000000-0005-0000-0000-00001D230000}"/>
    <cellStyle name="Normal-- 5 2 9" xfId="46727" xr:uid="{E13AEFDF-4316-4E0D-9AB8-9DEA809FEA14}"/>
    <cellStyle name="Normal 5 2 9 2" xfId="40948" xr:uid="{4A302A1D-1506-4B68-B347-BE52FA990364}"/>
    <cellStyle name="Normal 5 20" xfId="4225" xr:uid="{00000000-0005-0000-0000-0000A1100000}"/>
    <cellStyle name="Normal-- 5 20" xfId="8176" xr:uid="{00000000-0005-0000-0000-00005C260000}"/>
    <cellStyle name="Normal 5 20 10" xfId="13038" xr:uid="{00000000-0005-0000-0000-00006F310000}"/>
    <cellStyle name="Normal 5 20 10 2" xfId="45502" xr:uid="{0F3B4802-BDD2-4133-BA13-7B718AE7ADFD}"/>
    <cellStyle name="Normal 5 20 11" xfId="11607" xr:uid="{00000000-0005-0000-0000-0000E1310000}"/>
    <cellStyle name="Normal 5 20 11 2" xfId="44095" xr:uid="{E682A53D-8165-4819-A270-507070335D45}"/>
    <cellStyle name="Normal 5 20 12" xfId="13058" xr:uid="{00000000-0005-0000-0000-000057320000}"/>
    <cellStyle name="Normal 5 20 12 2" xfId="45522" xr:uid="{520D1711-2FC8-4211-B7DE-E962D9C5ECE2}"/>
    <cellStyle name="Normal 5 20 13" xfId="11579" xr:uid="{00000000-0005-0000-0000-0000D1320000}"/>
    <cellStyle name="Normal 5 20 13 2" xfId="44067" xr:uid="{CEF963BE-BC02-4737-94BB-E392C09690FC}"/>
    <cellStyle name="Normal 5 20 14" xfId="13081" xr:uid="{00000000-0005-0000-0000-00004F330000}"/>
    <cellStyle name="Normal 5 20 14 2" xfId="45545" xr:uid="{39AD2588-F38E-4760-88F8-341115581100}"/>
    <cellStyle name="Normal 5 20 15" xfId="11554" xr:uid="{00000000-0005-0000-0000-0000D1330000}"/>
    <cellStyle name="Normal 5 20 15 2" xfId="44042" xr:uid="{DDD4488B-B77F-42A5-8D27-0670D42FC71B}"/>
    <cellStyle name="Normal 5 20 16" xfId="13105" xr:uid="{00000000-0005-0000-0000-000057340000}"/>
    <cellStyle name="Normal 5 20 16 2" xfId="45569" xr:uid="{B01C0C1F-A98D-4C9D-A1BC-65183B491F8C}"/>
    <cellStyle name="Normal 5 20 17" xfId="11530" xr:uid="{00000000-0005-0000-0000-0000E1340000}"/>
    <cellStyle name="Normal 5 20 17 2" xfId="44018" xr:uid="{769FC019-8403-4E0F-BBEB-9B8688D0C476}"/>
    <cellStyle name="Normal 5 20 18" xfId="15761" xr:uid="{1BB6FFAD-A09B-43A3-B518-B40FC27D372C}"/>
    <cellStyle name="Normal 5 20 19" xfId="38263" xr:uid="{87977A71-B55C-47B5-9A61-1AF064EE4E1E}"/>
    <cellStyle name="Normal 5 20 2" xfId="4226" xr:uid="{00000000-0005-0000-0000-0000A2100000}"/>
    <cellStyle name="Normal-- 5 20 2" xfId="40973" xr:uid="{A3FD8E7D-0B41-4A06-9221-F8B55C8B818D}"/>
    <cellStyle name="Normal 5 20 2 10" xfId="47641" xr:uid="{D46C8B14-5B6A-4A12-8EA1-259683D21282}"/>
    <cellStyle name="Normal 5 20 2 11" xfId="48794" xr:uid="{342FF0BD-C2F7-45A8-A91B-10979E976C2B}"/>
    <cellStyle name="Normal 5 20 2 2" xfId="9751" xr:uid="{00000000-0005-0000-0000-0000F21D0000}"/>
    <cellStyle name="Normal 5 20 2 2 2" xfId="42240" xr:uid="{15475088-695B-44A1-BBE7-A362AADF63F3}"/>
    <cellStyle name="Normal 5 20 2 3" xfId="6214" xr:uid="{00000000-0005-0000-0000-0000280D0000}"/>
    <cellStyle name="Normal 5 20 2 4" xfId="38264" xr:uid="{918B1DBE-1781-452A-90A8-11B5F3E22BE0}"/>
    <cellStyle name="Normal 5 20 2 5" xfId="15201" xr:uid="{B7E0407F-DC21-4257-B985-839904B26B2E}"/>
    <cellStyle name="Normal 5 20 2 6" xfId="47968" xr:uid="{2C935E8F-137C-4E8E-BAA6-2C50DF1429A3}"/>
    <cellStyle name="Normal 5 20 2 7" xfId="48068" xr:uid="{4B7DD23D-89DF-41F1-A16B-0C5E53CF1AC9}"/>
    <cellStyle name="Normal 5 20 2 8" xfId="40639" xr:uid="{3570DAEA-4240-484F-985A-53579291A436}"/>
    <cellStyle name="Normal 5 20 2 9" xfId="48157" xr:uid="{2ABC4534-56AE-44FA-8BE7-9596617EBDAB}"/>
    <cellStyle name="Normal 5 20 20" xfId="15200" xr:uid="{ADC5CF84-5D33-429A-81C9-4666FADA947F}"/>
    <cellStyle name="Normal 5 20 21" xfId="48683" xr:uid="{F85DCEA0-CED0-42F3-90CB-4F6DA9E8BAF1}"/>
    <cellStyle name="Normal 5 20 22" xfId="16383" xr:uid="{57575328-144D-4EC9-8FFC-C5E74EFBB10C}"/>
    <cellStyle name="Normal 5 20 23" xfId="17287" xr:uid="{57401B10-5280-4189-9B7A-81DC8BE0E516}"/>
    <cellStyle name="Normal 5 20 24" xfId="47105" xr:uid="{5D7DA0EE-7CD2-43A7-8015-7F23F61B56CF}"/>
    <cellStyle name="Normal 5 20 25" xfId="37953" xr:uid="{F352E183-6AED-47CF-9DB1-B4074EFB0F00}"/>
    <cellStyle name="Normal 5 20 26" xfId="46716" xr:uid="{DE8649F7-4DAF-451E-8EBB-EA13A04C7877}"/>
    <cellStyle name="Normal 5 20 3" xfId="9750" xr:uid="{00000000-0005-0000-0000-0000F11D0000}"/>
    <cellStyle name="Normal-- 5 20 3" xfId="46761" xr:uid="{33209CC0-EC9D-4FA8-9EFB-15E645588CC9}"/>
    <cellStyle name="Normal 5 20 3 2" xfId="18118" xr:uid="{CDB0F723-5E3A-47E5-8D56-B16243DE9208}"/>
    <cellStyle name="Normal 5 20 3 3" xfId="42239" xr:uid="{DABC7907-E461-42BF-A921-84C07AC06DF7}"/>
    <cellStyle name="Normal 5 20 3 4" xfId="46445" xr:uid="{0BEC6361-A276-47AB-93C9-E6E68B09E0F2}"/>
    <cellStyle name="Normal 5 20 3 5" xfId="40317" xr:uid="{F8AFD2B0-1FD8-4223-8C3D-B20D72A0C6AE}"/>
    <cellStyle name="Normal 5 20 3 6" xfId="47950" xr:uid="{2CCB3BB5-74D4-4DBB-9184-C47C2813172F}"/>
    <cellStyle name="Normal 5 20 3 7" xfId="48905" xr:uid="{066512AC-9C8A-4CB5-B35E-1BC6D4E4AFCF}"/>
    <cellStyle name="Normal 5 20 3 8" xfId="49076" xr:uid="{AD1923BF-3746-43EA-89AB-6359D39A64C5}"/>
    <cellStyle name="Normal 5 20 3 9" xfId="48013" xr:uid="{81E6CC7F-923B-4B6B-9A9B-C18180BFE865}"/>
    <cellStyle name="Normal 5 20 4" xfId="12222" xr:uid="{00000000-0005-0000-0000-0000BE260000}"/>
    <cellStyle name="Normal-- 5 20 4" xfId="14169" xr:uid="{305939BB-8EF5-4F53-95D0-E81C91B28479}"/>
    <cellStyle name="Normal 5 20 4 2" xfId="44705" xr:uid="{5B133C83-CAF6-44DA-BC08-FDD61F90F2C4}"/>
    <cellStyle name="Normal 5 20 4 3" xfId="45002" xr:uid="{9FEE38F8-9290-49A0-886E-17B5442A3881}"/>
    <cellStyle name="Normal 5 20 4 4" xfId="37767" xr:uid="{9A457930-EE74-4DCF-8DB8-5101A6E9D4B1}"/>
    <cellStyle name="Normal 5 20 4 5" xfId="46793" xr:uid="{B8D6D13E-BA49-408E-A82F-E0F74A6F315B}"/>
    <cellStyle name="Normal 5 20 4 6" xfId="46693" xr:uid="{D2ED2C06-CDAA-49DD-9B97-C1552A2B4616}"/>
    <cellStyle name="Normal 5 20 4 7" xfId="37895" xr:uid="{4D860698-82B1-4381-9B6F-EC9D69CAADE3}"/>
    <cellStyle name="Normal 5 20 5" xfId="8288" xr:uid="{00000000-0005-0000-0000-000018270000}"/>
    <cellStyle name="Normal-- 5 20 5" xfId="47050" xr:uid="{953E52AE-857D-42C2-8D5D-E2C5A10F92C2}"/>
    <cellStyle name="Normal 5 20 5 2" xfId="41080" xr:uid="{06336C33-A241-48CD-A36C-3F2FDD5BFF7D}"/>
    <cellStyle name="Normal 5 20 5 3" xfId="14223" xr:uid="{CE2BA1E7-546A-4510-9359-F5A8B5F7F91F}"/>
    <cellStyle name="Normal 5 20 5 4" xfId="41612" xr:uid="{7A75121E-9495-4E5A-B5D8-A40B193FFE2F}"/>
    <cellStyle name="Normal 5 20 5 5" xfId="46285" xr:uid="{9CDBD6F0-10AE-4017-945B-0E75AA34D096}"/>
    <cellStyle name="Normal 5 20 5 6" xfId="46119" xr:uid="{A9D9102C-FEB3-4114-BED1-983FC94B1160}"/>
    <cellStyle name="Normal 5 20 6" xfId="12248" xr:uid="{00000000-0005-0000-0000-000076270000}"/>
    <cellStyle name="Normal-- 5 20 6" xfId="47845" xr:uid="{9B945B76-E3A4-448D-8AFD-7CE5A2559425}"/>
    <cellStyle name="Normal 5 20 6 2" xfId="44731" xr:uid="{11420EA0-9849-4E11-926D-05915A19597D}"/>
    <cellStyle name="Normal 5 20 6 3" xfId="47623" xr:uid="{046866D7-8C9D-4690-AE6D-083084BFE604}"/>
    <cellStyle name="Normal 5 20 6 4" xfId="47489" xr:uid="{8B91E105-76A8-4B96-BB56-69B6DFDC1DE5}"/>
    <cellStyle name="Normal 5 20 6 5" xfId="15495" xr:uid="{29893723-C40B-4005-8EF2-8D515E035B64}"/>
    <cellStyle name="Normal 5 20 7" xfId="6213" xr:uid="{00000000-0005-0000-0000-0000270D0000}"/>
    <cellStyle name="Normal-- 5 20 7" xfId="48456" xr:uid="{EB49AA39-2466-4E9A-A0CA-599E04AAD546}"/>
    <cellStyle name="Normal 5 20 8" xfId="13023" xr:uid="{00000000-0005-0000-0000-000097300000}"/>
    <cellStyle name="Normal-- 5 20 8" xfId="15662" xr:uid="{6BE4876C-5EBB-4939-9446-70A3A6973921}"/>
    <cellStyle name="Normal 5 20 8 2" xfId="45487" xr:uid="{4F7C16B5-CF49-484F-B489-EF0BBD0E9533}"/>
    <cellStyle name="Normal 5 20 8 3" xfId="50163" xr:uid="{A5C5ECCC-646D-4ED1-87B4-8B5F106CF9B9}"/>
    <cellStyle name="Normal 5 20 9" xfId="11627" xr:uid="{00000000-0005-0000-0000-000001310000}"/>
    <cellStyle name="Normal-- 5 20 9" xfId="47688" xr:uid="{4C4E9869-66B1-4DE2-9243-1740AD33F103}"/>
    <cellStyle name="Normal 5 20 9 2" xfId="44115" xr:uid="{2515C4AE-7600-4E62-8B5C-FEC83A11449B}"/>
    <cellStyle name="Normal 5 21" xfId="4227" xr:uid="{00000000-0005-0000-0000-0000A3100000}"/>
    <cellStyle name="Normal-- 5 21" xfId="12140" xr:uid="{00000000-0005-0000-0000-0000B2260000}"/>
    <cellStyle name="Normal 5 21 10" xfId="11605" xr:uid="{00000000-0005-0000-0000-0000E2310000}"/>
    <cellStyle name="Normal 5 21 10 2" xfId="44093" xr:uid="{A3E2894B-61A1-4F4B-B644-134881268191}"/>
    <cellStyle name="Normal 5 21 11" xfId="13059" xr:uid="{00000000-0005-0000-0000-000058320000}"/>
    <cellStyle name="Normal 5 21 11 2" xfId="45523" xr:uid="{E0EEE454-217E-42FD-8907-39C85E0C95D4}"/>
    <cellStyle name="Normal 5 21 12" xfId="11578" xr:uid="{00000000-0005-0000-0000-0000D2320000}"/>
    <cellStyle name="Normal 5 21 12 2" xfId="44066" xr:uid="{1E4227A3-46AA-46DE-B096-22313489A4C0}"/>
    <cellStyle name="Normal 5 21 13" xfId="13083" xr:uid="{00000000-0005-0000-0000-000050330000}"/>
    <cellStyle name="Normal 5 21 13 2" xfId="45547" xr:uid="{E63B7299-A689-4B00-B539-BC5F64C30FE2}"/>
    <cellStyle name="Normal 5 21 14" xfId="11553" xr:uid="{00000000-0005-0000-0000-0000D2330000}"/>
    <cellStyle name="Normal 5 21 14 2" xfId="44041" xr:uid="{3073C6E7-2544-4A8B-8080-6F7D58E948DD}"/>
    <cellStyle name="Normal 5 21 15" xfId="13106" xr:uid="{00000000-0005-0000-0000-000058340000}"/>
    <cellStyle name="Normal 5 21 15 2" xfId="45570" xr:uid="{E4962F64-FC3D-4975-BB9C-6173934BC096}"/>
    <cellStyle name="Normal 5 21 16" xfId="11528" xr:uid="{00000000-0005-0000-0000-0000E2340000}"/>
    <cellStyle name="Normal 5 21 16 2" xfId="44016" xr:uid="{56C56087-016C-4EF4-A34E-E9973E0F62AD}"/>
    <cellStyle name="Normal 5 21 17" xfId="15763" xr:uid="{69EEBACB-411C-4ECA-83F7-5E5CC64D7B86}"/>
    <cellStyle name="Normal 5 21 18" xfId="38265" xr:uid="{29A5D72C-72BA-4635-AF20-BF7B56D2F8AB}"/>
    <cellStyle name="Normal 5 21 19" xfId="15202" xr:uid="{FB415644-B732-41AE-81BB-C3B294385254}"/>
    <cellStyle name="Normal 5 21 2" xfId="4228" xr:uid="{00000000-0005-0000-0000-0000A4100000}"/>
    <cellStyle name="Normal-- 5 21 2" xfId="44623" xr:uid="{698FC573-EAF1-4A2F-BB69-635246C3B993}"/>
    <cellStyle name="Normal 5 21 2 10" xfId="47325" xr:uid="{5A8B1A25-E1D5-492A-AF70-E8D3E59F3C47}"/>
    <cellStyle name="Normal 5 21 2 11" xfId="49195" xr:uid="{4023EDDD-90A6-4F26-8171-2D9CB895F618}"/>
    <cellStyle name="Normal 5 21 2 2" xfId="9753" xr:uid="{00000000-0005-0000-0000-0000F41D0000}"/>
    <cellStyle name="Normal 5 21 2 2 2" xfId="42242" xr:uid="{0DFFD98D-CADF-4013-B87A-A3F385BE84F2}"/>
    <cellStyle name="Normal 5 21 2 3" xfId="6216" xr:uid="{00000000-0005-0000-0000-00002A0D0000}"/>
    <cellStyle name="Normal 5 21 2 4" xfId="38266" xr:uid="{133F4CB4-CC7D-4BBC-A4BE-23D94D604488}"/>
    <cellStyle name="Normal 5 21 2 5" xfId="40497" xr:uid="{52A5E0C7-3CC3-41DD-9855-5F445ADF956E}"/>
    <cellStyle name="Normal 5 21 2 6" xfId="48660" xr:uid="{E986636F-2785-4D9C-B0F5-B1C937B0C1AE}"/>
    <cellStyle name="Normal 5 21 2 7" xfId="47220" xr:uid="{B4A6B631-97B7-47D1-8EE6-20DA2AA86508}"/>
    <cellStyle name="Normal 5 21 2 8" xfId="40563" xr:uid="{0EDD72A0-A757-4169-85CC-829C08BC47EE}"/>
    <cellStyle name="Normal 5 21 2 9" xfId="37970" xr:uid="{C86AFB8A-9869-4EEF-8648-7918A011DF73}"/>
    <cellStyle name="Normal 5 21 20" xfId="46136" xr:uid="{6B4C8B75-AC85-4B33-B7A8-7379FEC72393}"/>
    <cellStyle name="Normal 5 21 21" xfId="48833" xr:uid="{DCFC4FBE-C152-453F-B6CE-595E45656697}"/>
    <cellStyle name="Normal 5 21 22" xfId="40640" xr:uid="{E9E64861-3DD1-46CA-B6F5-92D6D7CE49C6}"/>
    <cellStyle name="Normal 5 21 23" xfId="37674" xr:uid="{C4BBE2F8-F637-4FAE-B47E-FB210797CC86}"/>
    <cellStyle name="Normal 5 21 24" xfId="46605" xr:uid="{32482502-D12F-4A70-ABC1-F7DB58BF5EBD}"/>
    <cellStyle name="Normal 5 21 25" xfId="46300" xr:uid="{DFAD5972-7AF4-46BA-B19C-92A7F655B167}"/>
    <cellStyle name="Normal 5 21 3" xfId="9752" xr:uid="{00000000-0005-0000-0000-0000F31D0000}"/>
    <cellStyle name="Normal-- 5 21 3" xfId="48243" xr:uid="{1641DCE0-AF7F-44BB-AD54-F889C14DD48C}"/>
    <cellStyle name="Normal 5 21 3 2" xfId="18119" xr:uid="{17828489-600E-4010-A2DC-6041FC8D1DEA}"/>
    <cellStyle name="Normal 5 21 3 3" xfId="42241" xr:uid="{B7177271-CA40-443F-ABFC-272D54BF4C8D}"/>
    <cellStyle name="Normal 5 21 3 4" xfId="48163" xr:uid="{5FA2309A-02D3-44F5-B547-31E475AB0027}"/>
    <cellStyle name="Normal 5 21 3 5" xfId="40656" xr:uid="{BF219309-A5E8-40BC-B86C-E3B64DB424FB}"/>
    <cellStyle name="Normal 5 21 3 6" xfId="46311" xr:uid="{967DB002-7279-484C-A314-750B6AB04170}"/>
    <cellStyle name="Normal 5 21 3 7" xfId="47099" xr:uid="{87855086-E7B7-41FA-ACF3-40AAB9C616D6}"/>
    <cellStyle name="Normal 5 21 3 8" xfId="47954" xr:uid="{DEC4D4B5-C6BA-43DA-A7B2-EAD15C74B1DA}"/>
    <cellStyle name="Normal 5 21 3 9" xfId="48644" xr:uid="{218BFDE2-52B6-44C0-82FA-04BC323698D2}"/>
    <cellStyle name="Normal 5 21 4" xfId="8291" xr:uid="{00000000-0005-0000-0000-000019270000}"/>
    <cellStyle name="Normal-- 5 21 4" xfId="16471" xr:uid="{7AFC3DA0-624D-453D-85FE-86CB125D9E02}"/>
    <cellStyle name="Normal 5 21 4 2" xfId="41083" xr:uid="{3130E16A-2802-4F05-8D8D-13B31B8BF943}"/>
    <cellStyle name="Normal 5 21 4 3" xfId="40749" xr:uid="{3DDA71FF-DC66-423A-90F0-6EEA37C9F80F}"/>
    <cellStyle name="Normal 5 21 4 4" xfId="14170" xr:uid="{C4D607BA-D586-4181-B8C7-9A65672ABB19}"/>
    <cellStyle name="Normal 5 21 4 5" xfId="41545" xr:uid="{6F838222-1641-4A32-9AA7-479A874DB01D}"/>
    <cellStyle name="Normal 5 21 4 6" xfId="37905" xr:uid="{1A24013A-056E-41FA-95F1-1EF0D83857F2}"/>
    <cellStyle name="Normal 5 21 4 7" xfId="47350" xr:uid="{84D51585-92C0-46AD-9A0C-2AE7044C388C}"/>
    <cellStyle name="Normal 5 21 5" xfId="12250" xr:uid="{00000000-0005-0000-0000-000077270000}"/>
    <cellStyle name="Normal-- 5 21 5" xfId="40214" xr:uid="{ED5D8516-8943-4A40-A306-744F121A9175}"/>
    <cellStyle name="Normal 5 21 5 2" xfId="44733" xr:uid="{5124756E-5621-4D78-9A06-51310C0E7C6E}"/>
    <cellStyle name="Normal 5 21 5 3" xfId="48719" xr:uid="{798F2C42-D65F-4B07-BA04-C58D66F3ECB7}"/>
    <cellStyle name="Normal 5 21 5 4" xfId="40651" xr:uid="{E775C7D0-720B-45BF-9E08-61FE244EC914}"/>
    <cellStyle name="Normal 5 21 5 5" xfId="40935" xr:uid="{8945320E-961A-4483-B39B-180BCEA20B5A}"/>
    <cellStyle name="Normal 5 21 5 6" xfId="40916" xr:uid="{413FDCF2-7BD4-45AA-9129-E7CE58F491F1}"/>
    <cellStyle name="Normal 5 21 6" xfId="6215" xr:uid="{00000000-0005-0000-0000-0000290D0000}"/>
    <cellStyle name="Normal-- 5 21 6" xfId="15293" xr:uid="{A119BC33-6629-4F5F-8FAD-E16B23DC80F2}"/>
    <cellStyle name="Normal 5 21 7" xfId="13024" xr:uid="{00000000-0005-0000-0000-000098300000}"/>
    <cellStyle name="Normal-- 5 21 7" xfId="46465" xr:uid="{BBB6BB5E-867D-40C9-998D-2FAABD465A73}"/>
    <cellStyle name="Normal 5 21 7 2" xfId="45488" xr:uid="{BB61E006-6A6B-4E96-9BDC-7B670825BC67}"/>
    <cellStyle name="Normal 5 21 7 3" xfId="49811" xr:uid="{264D4B4B-B9C9-426F-9726-1610FE9770A1}"/>
    <cellStyle name="Normal 5 21 7 4" xfId="50164" xr:uid="{83F53FCA-B35C-404B-9F79-1B8ED7F79061}"/>
    <cellStyle name="Normal 5 21 8" xfId="11626" xr:uid="{00000000-0005-0000-0000-000002310000}"/>
    <cellStyle name="Normal-- 5 21 8" xfId="47790" xr:uid="{B3B5DA74-6120-40D9-9129-449F0E5CC898}"/>
    <cellStyle name="Normal 5 21 8 2" xfId="44114" xr:uid="{D3CDC6AA-87BB-4197-A776-17C42A2D699B}"/>
    <cellStyle name="Normal 5 21 8 3" xfId="49329" xr:uid="{AEC9CCDC-5C03-4B29-90B1-601872E5DA1A}"/>
    <cellStyle name="Normal 5 21 9" xfId="13040" xr:uid="{00000000-0005-0000-0000-000070310000}"/>
    <cellStyle name="Normal-- 5 21 9" xfId="47642" xr:uid="{85FF3733-BDAB-419D-BDAD-F0B262290FC4}"/>
    <cellStyle name="Normal 5 21 9 2" xfId="45504" xr:uid="{F079A758-E65F-47A6-91AA-F16F77611CFF}"/>
    <cellStyle name="Normal 5 22" xfId="4229" xr:uid="{00000000-0005-0000-0000-0000A5100000}"/>
    <cellStyle name="Normal-- 5 22" xfId="8190" xr:uid="{00000000-0005-0000-0000-00000C270000}"/>
    <cellStyle name="Normal 5 22 10" xfId="13042" xr:uid="{00000000-0005-0000-0000-000071310000}"/>
    <cellStyle name="Normal 5 22 10 2" xfId="45506" xr:uid="{D1DB7329-D172-4B09-82F0-FF68499D3B1D}"/>
    <cellStyle name="Normal 5 22 11" xfId="11603" xr:uid="{00000000-0005-0000-0000-0000E3310000}"/>
    <cellStyle name="Normal 5 22 11 2" xfId="44091" xr:uid="{DD6D0079-3034-4E77-82B6-2E5E3CDD1C23}"/>
    <cellStyle name="Normal 5 22 12" xfId="13061" xr:uid="{00000000-0005-0000-0000-000059320000}"/>
    <cellStyle name="Normal 5 22 12 2" xfId="45525" xr:uid="{B4CE889E-DBAC-48AA-9796-6E40F6CC84C6}"/>
    <cellStyle name="Normal 5 22 13" xfId="11575" xr:uid="{00000000-0005-0000-0000-0000D3320000}"/>
    <cellStyle name="Normal 5 22 13 2" xfId="44063" xr:uid="{8EF97A64-DEB9-432A-B76C-DA4924B794D9}"/>
    <cellStyle name="Normal 5 22 14" xfId="13085" xr:uid="{00000000-0005-0000-0000-000051330000}"/>
    <cellStyle name="Normal 5 22 14 2" xfId="45549" xr:uid="{68B9AA95-A66D-4AD6-B3F9-E9AB1ED97F09}"/>
    <cellStyle name="Normal 5 22 15" xfId="11551" xr:uid="{00000000-0005-0000-0000-0000D3330000}"/>
    <cellStyle name="Normal 5 22 15 2" xfId="44039" xr:uid="{40E30064-9F4B-4FFA-A9FA-05D75ED5D535}"/>
    <cellStyle name="Normal 5 22 16" xfId="13108" xr:uid="{00000000-0005-0000-0000-000059340000}"/>
    <cellStyle name="Normal 5 22 16 2" xfId="45572" xr:uid="{73B546F4-226E-4426-835E-109AE8C5AAD2}"/>
    <cellStyle name="Normal 5 22 17" xfId="11527" xr:uid="{00000000-0005-0000-0000-0000E3340000}"/>
    <cellStyle name="Normal 5 22 17 2" xfId="44015" xr:uid="{D9CD39F5-2CD7-4B3F-ACA6-23632BE1C94E}"/>
    <cellStyle name="Normal 5 22 18" xfId="15765" xr:uid="{93E7EBC4-8E82-4F0D-A847-F6BF7A262638}"/>
    <cellStyle name="Normal 5 22 19" xfId="38267" xr:uid="{57CDCEC9-73E7-44F3-AFF6-9539C45711E2}"/>
    <cellStyle name="Normal 5 22 2" xfId="4230" xr:uid="{00000000-0005-0000-0000-0000A6100000}"/>
    <cellStyle name="Normal-- 5 22 2" xfId="40985" xr:uid="{1D8DBFA1-8E03-430D-BD3B-EB2AEAA0B8C6}"/>
    <cellStyle name="Normal 5 22 2 10" xfId="48428" xr:uid="{8DF0CAA6-2FF7-49D5-9C9B-EB4A96D61DF8}"/>
    <cellStyle name="Normal 5 22 2 11" xfId="37684" xr:uid="{4A64C449-A99B-4035-A026-89C9EAAF7B2C}"/>
    <cellStyle name="Normal 5 22 2 12" xfId="14997" xr:uid="{99FD05E4-2B51-4CF5-A326-19FE7C3DCC8F}"/>
    <cellStyle name="Normal 5 22 2 13" xfId="41515" xr:uid="{1915073F-E03A-403C-8971-CB4488B24A7B}"/>
    <cellStyle name="Normal 5 22 2 2" xfId="4231" xr:uid="{00000000-0005-0000-0000-0000A7100000}"/>
    <cellStyle name="Normal 5 22 2 2 2" xfId="9756" xr:uid="{00000000-0005-0000-0000-0000F71D0000}"/>
    <cellStyle name="Normal 5 22 2 2 2 2" xfId="42245" xr:uid="{E5228CC6-E774-45D9-9527-B33B7D70BE87}"/>
    <cellStyle name="Normal 5 22 2 2 3" xfId="6219" xr:uid="{00000000-0005-0000-0000-00002D0D0000}"/>
    <cellStyle name="Normal 5 22 2 2 3 2" xfId="40092" xr:uid="{C3581F3D-9331-41CB-95A7-CC653CAA296E}"/>
    <cellStyle name="Normal 5 22 2 2 4" xfId="15767" xr:uid="{25AA94A6-B28B-4B2E-8C42-D60AA4E09077}"/>
    <cellStyle name="Normal 5 22 2 2 5" xfId="38269" xr:uid="{6BEFA609-223D-4644-848D-AE18E346F513}"/>
    <cellStyle name="Normal 5 22 2 3" xfId="9755" xr:uid="{00000000-0005-0000-0000-0000F61D0000}"/>
    <cellStyle name="Normal 5 22 2 3 2" xfId="42244" xr:uid="{E635156E-405A-45B4-B2DC-A71B2065A91C}"/>
    <cellStyle name="Normal 5 22 2 4" xfId="6218" xr:uid="{00000000-0005-0000-0000-00002C0D0000}"/>
    <cellStyle name="Normal 5 22 2 4 2" xfId="40091" xr:uid="{BC9D3289-E7E0-4460-8163-8658E2CE3981}"/>
    <cellStyle name="Normal 5 22 2 5" xfId="15766" xr:uid="{BF936A9E-F3CE-4543-8D85-814DFD4A30C6}"/>
    <cellStyle name="Normal 5 22 2 6" xfId="38268" xr:uid="{C2F9A502-CCC4-4E72-91D1-DB3A4B2746BE}"/>
    <cellStyle name="Normal 5 22 2 7" xfId="15203" xr:uid="{CA6E543E-905F-4939-8283-AC16177652C4}"/>
    <cellStyle name="Normal 5 22 2 8" xfId="48646" xr:uid="{93620569-90AC-40C2-8B40-42D7A4C94C32}"/>
    <cellStyle name="Normal 5 22 2 9" xfId="46625" xr:uid="{6A5155D8-9EFD-4025-99C4-31620750527B}"/>
    <cellStyle name="Normal 5 22 20" xfId="40502" xr:uid="{DC025606-1099-42F3-9EBA-3DCA497C478C}"/>
    <cellStyle name="Normal 5 22 21" xfId="47987" xr:uid="{9267A931-EFAB-4A29-A754-96BF9C4D4A5B}"/>
    <cellStyle name="Normal 5 22 22" xfId="15970" xr:uid="{E0DA9D19-82A2-4595-A077-FFDE34AA2E5D}"/>
    <cellStyle name="Normal 5 22 23" xfId="40219" xr:uid="{1493A321-1E68-4D2D-9F35-906757843B1C}"/>
    <cellStyle name="Normal 5 22 24" xfId="48460" xr:uid="{DFD5D911-9D36-471B-A1DE-75BD217CE60A}"/>
    <cellStyle name="Normal 5 22 25" xfId="37885" xr:uid="{47D7DADB-7CB4-44F8-90EC-CDE9BC4A750E}"/>
    <cellStyle name="Normal 5 22 26" xfId="49007" xr:uid="{9A959447-438D-4B71-B9E7-48CAE0FDE9FE}"/>
    <cellStyle name="Normal 5 22 3" xfId="4232" xr:uid="{00000000-0005-0000-0000-0000A8100000}"/>
    <cellStyle name="Normal-- 5 22 3" xfId="46769" xr:uid="{B4921B40-1758-49C9-9735-DD53EBC7E574}"/>
    <cellStyle name="Normal 5 22 3 10" xfId="15473" xr:uid="{6C25C37E-D25C-4948-BD10-AE9772E1BA96}"/>
    <cellStyle name="Normal 5 22 3 11" xfId="47556" xr:uid="{A7DA0CBE-B0FD-4EBC-B6B3-D8938F4B67F5}"/>
    <cellStyle name="Normal 5 22 3 2" xfId="9757" xr:uid="{00000000-0005-0000-0000-0000F81D0000}"/>
    <cellStyle name="Normal 5 22 3 2 2" xfId="42246" xr:uid="{F7BE9B79-E201-4FD1-A6DD-F843DF952D48}"/>
    <cellStyle name="Normal 5 22 3 3" xfId="6220" xr:uid="{00000000-0005-0000-0000-00002E0D0000}"/>
    <cellStyle name="Normal 5 22 3 3 2" xfId="40093" xr:uid="{64F5AA1B-F565-4356-8FDE-D03E2C361BDD}"/>
    <cellStyle name="Normal 5 22 3 4" xfId="15768" xr:uid="{B0BEA595-F7EA-423D-BD68-895CF73C3A40}"/>
    <cellStyle name="Normal 5 22 3 5" xfId="38270" xr:uid="{A0E858A0-80F9-492C-B140-8400D44F76F9}"/>
    <cellStyle name="Normal 5 22 3 6" xfId="48632" xr:uid="{41A6A828-FEA3-41E9-89B4-ACD48A374DAD}"/>
    <cellStyle name="Normal 5 22 3 7" xfId="13798" xr:uid="{08DAE981-0B1A-4983-BA53-CA41C1635273}"/>
    <cellStyle name="Normal 5 22 3 8" xfId="46120" xr:uid="{F8654191-0E6C-4FC9-AE53-11B640527869}"/>
    <cellStyle name="Normal 5 22 3 9" xfId="49343" xr:uid="{4367C17A-3DDE-4C5F-9F85-C422343472F2}"/>
    <cellStyle name="Normal 5 22 4" xfId="4233" xr:uid="{00000000-0005-0000-0000-0000A9100000}"/>
    <cellStyle name="Normal-- 5 22 4" xfId="14164" xr:uid="{90F67862-A0BE-4E51-A761-7CF8625BBACE}"/>
    <cellStyle name="Normal 5 22 4 2" xfId="9758" xr:uid="{00000000-0005-0000-0000-0000F91D0000}"/>
    <cellStyle name="Normal 5 22 4 2 2" xfId="42247" xr:uid="{678148DA-DCC3-4CD8-9A4F-24913F18E025}"/>
    <cellStyle name="Normal 5 22 4 3" xfId="6221" xr:uid="{00000000-0005-0000-0000-00002F0D0000}"/>
    <cellStyle name="Normal 5 22 4 4" xfId="38271" xr:uid="{B332B2E7-6047-4C9C-832C-A101B0248160}"/>
    <cellStyle name="Normal 5 22 4 5" xfId="47218" xr:uid="{8D0C53C7-A15F-44A8-B591-9DC5F3476448}"/>
    <cellStyle name="Normal 5 22 4 6" xfId="48600" xr:uid="{8087EC1C-AEC3-4523-BDBA-62A94EEE1FC4}"/>
    <cellStyle name="Normal 5 22 4 7" xfId="48021" xr:uid="{BE8160AE-813E-4D5C-BB7E-D0F64E625026}"/>
    <cellStyle name="Normal 5 22 4 8" xfId="40462" xr:uid="{9921D68C-47B9-4576-90EB-5A5B93646A31}"/>
    <cellStyle name="Normal 5 22 4 9" xfId="47514" xr:uid="{C511B584-64AF-43BB-BD3C-FC75553DBD96}"/>
    <cellStyle name="Normal 5 22 5" xfId="9754" xr:uid="{00000000-0005-0000-0000-0000F51D0000}"/>
    <cellStyle name="Normal-- 5 22 5" xfId="41801" xr:uid="{AE2CF3E1-AD57-4B66-A439-E64BC2D29093}"/>
    <cellStyle name="Normal 5 22 5 2" xfId="18120" xr:uid="{2ACC0D45-0000-4106-84B4-77F004614726}"/>
    <cellStyle name="Normal 5 22 5 3" xfId="42243" xr:uid="{034B8D70-5252-4D64-B105-7D78893CEA4F}"/>
    <cellStyle name="Normal 5 22 5 4" xfId="48477" xr:uid="{897886E0-3113-4599-999C-0BEE08A3D59E}"/>
    <cellStyle name="Normal 5 22 5 5" xfId="14539" xr:uid="{2C4E0554-72EA-4139-814F-54669E09430A}"/>
    <cellStyle name="Normal 5 22 5 6" xfId="48674" xr:uid="{33F11A40-FAAF-496F-AB7D-F7243D1D00EE}"/>
    <cellStyle name="Normal 5 22 5 7" xfId="49350" xr:uid="{62328365-E474-4E42-87B5-2DAD52EE9E21}"/>
    <cellStyle name="Normal 5 22 6" xfId="12253" xr:uid="{00000000-0005-0000-0000-000078270000}"/>
    <cellStyle name="Normal-- 5 22 6" xfId="48701" xr:uid="{68944967-C1E7-405A-ACB2-FBDB7BFA749F}"/>
    <cellStyle name="Normal 5 22 6 2" xfId="44736" xr:uid="{00B93D62-3F57-41D4-A00F-9CBA86C93CA5}"/>
    <cellStyle name="Normal 5 22 6 3" xfId="48607" xr:uid="{5952EABE-F626-49D2-87A1-E0CB4FDC52D7}"/>
    <cellStyle name="Normal 5 22 6 4" xfId="47946" xr:uid="{3C22AB96-8628-4A22-846E-753D282B0F67}"/>
    <cellStyle name="Normal 5 22 6 5" xfId="40755" xr:uid="{0FEFE0D4-BFB0-4C26-A81C-427CDFC50D1C}"/>
    <cellStyle name="Normal 5 22 7" xfId="6217" xr:uid="{00000000-0005-0000-0000-00002B0D0000}"/>
    <cellStyle name="Normal-- 5 22 7" xfId="49180" xr:uid="{2D2AC698-ADAE-4E0D-8D88-DB39E6DB5E71}"/>
    <cellStyle name="Normal 5 22 8" xfId="13026" xr:uid="{00000000-0005-0000-0000-000099300000}"/>
    <cellStyle name="Normal-- 5 22 8" xfId="49392" xr:uid="{8BCE9BD3-FFCC-4843-B438-7B2F055F09A5}"/>
    <cellStyle name="Normal 5 22 8 2" xfId="45490" xr:uid="{CFBA263A-C8AE-4C75-A7C3-A021D794722B}"/>
    <cellStyle name="Normal 5 22 8 3" xfId="50165" xr:uid="{1BF1135C-5D6C-4ED3-A223-BB0E50305AB8}"/>
    <cellStyle name="Normal 5 22 9" xfId="11624" xr:uid="{00000000-0005-0000-0000-000003310000}"/>
    <cellStyle name="Normal-- 5 22 9" xfId="49139" xr:uid="{06CC9CBC-7549-46B5-B6E9-41839F6BFC4A}"/>
    <cellStyle name="Normal 5 22 9 2" xfId="44112" xr:uid="{475DAFC6-EC48-4166-99D8-1F2E8F5BF843}"/>
    <cellStyle name="Normal 5 23" xfId="4234" xr:uid="{00000000-0005-0000-0000-0000AA100000}"/>
    <cellStyle name="Normal-- 5 23" xfId="12157" xr:uid="{00000000-0005-0000-0000-00006A270000}"/>
    <cellStyle name="Normal 5 23 10" xfId="11572" xr:uid="{00000000-0005-0000-0000-0000D4320000}"/>
    <cellStyle name="Normal 5 23 10 2" xfId="44060" xr:uid="{7321A926-E50F-40A0-ABE6-B23D9A1143B1}"/>
    <cellStyle name="Normal 5 23 11" xfId="13088" xr:uid="{00000000-0005-0000-0000-000052330000}"/>
    <cellStyle name="Normal 5 23 11 2" xfId="45552" xr:uid="{B993E74D-0DD0-476F-A87D-7262073F4EC7}"/>
    <cellStyle name="Normal 5 23 12" xfId="11547" xr:uid="{00000000-0005-0000-0000-0000D4330000}"/>
    <cellStyle name="Normal 5 23 12 2" xfId="44035" xr:uid="{1D3CADA8-F18C-4379-9C87-936321279147}"/>
    <cellStyle name="Normal 5 23 13" xfId="13110" xr:uid="{00000000-0005-0000-0000-00005A340000}"/>
    <cellStyle name="Normal 5 23 13 2" xfId="45574" xr:uid="{E13CCF59-B032-4AB9-9B4F-F3983647D608}"/>
    <cellStyle name="Normal 5 23 14" xfId="11525" xr:uid="{00000000-0005-0000-0000-0000E4340000}"/>
    <cellStyle name="Normal 5 23 14 2" xfId="44013" xr:uid="{17D48584-E5D2-48AA-A186-F55C90950509}"/>
    <cellStyle name="Normal 5 23 15" xfId="15770" xr:uid="{4DF434AE-FD51-4511-BD19-3D90A92635E9}"/>
    <cellStyle name="Normal 5 23 16" xfId="38272" xr:uid="{1F481349-E67B-4711-ACB6-261A88EEB2C5}"/>
    <cellStyle name="Normal 5 23 17" xfId="15204" xr:uid="{6301FCD5-84E8-4C64-AC4F-402B85404002}"/>
    <cellStyle name="Normal 5 23 18" xfId="47446" xr:uid="{16976851-99F4-4D12-BC1E-6AA41CAD72AB}"/>
    <cellStyle name="Normal 5 23 19" xfId="37835" xr:uid="{2B227608-1512-46AA-B264-210D46660320}"/>
    <cellStyle name="Normal 5 23 2" xfId="4235" xr:uid="{00000000-0005-0000-0000-0000AB100000}"/>
    <cellStyle name="Normal-- 5 23 2" xfId="44640" xr:uid="{3FD86C1B-8012-4B7F-B2E4-2329406EA812}"/>
    <cellStyle name="Normal 5 23 2 10" xfId="49626" xr:uid="{9BF4B7C7-789C-4595-99F5-4A5A0CB4F739}"/>
    <cellStyle name="Normal 5 23 2 11" xfId="46208" xr:uid="{D8D0D930-37A5-4BAA-9A32-DC2D6B89F26E}"/>
    <cellStyle name="Normal 5 23 2 2" xfId="9760" xr:uid="{00000000-0005-0000-0000-0000FB1D0000}"/>
    <cellStyle name="Normal 5 23 2 2 2" xfId="42249" xr:uid="{D109ED1A-96DC-4FF7-A762-324B83D23DCB}"/>
    <cellStyle name="Normal 5 23 2 3" xfId="6223" xr:uid="{00000000-0005-0000-0000-0000310D0000}"/>
    <cellStyle name="Normal 5 23 2 4" xfId="38273" xr:uid="{9369E3BD-EF07-4D46-87E3-6BC4B9D15FDD}"/>
    <cellStyle name="Normal 5 23 2 5" xfId="40498" xr:uid="{4A6B7814-3532-4203-9020-27E7F12F3CEA}"/>
    <cellStyle name="Normal 5 23 2 6" xfId="46258" xr:uid="{3994612D-A49A-490C-9DAC-CBDBBD1EF568}"/>
    <cellStyle name="Normal 5 23 2 7" xfId="46193" xr:uid="{CBBFCA04-A22C-4D8D-B055-DC9B5632B207}"/>
    <cellStyle name="Normal 5 23 2 8" xfId="47317" xr:uid="{AD9DD742-F0FB-4E9A-ABE8-53672F4085CF}"/>
    <cellStyle name="Normal 5 23 2 9" xfId="40413" xr:uid="{01E6ACC7-6CA9-43C4-ABAE-4AA10EC068E0}"/>
    <cellStyle name="Normal 5 23 20" xfId="18371" xr:uid="{D1891361-8204-4150-AC38-03CC34BDE855}"/>
    <cellStyle name="Normal 5 23 21" xfId="49332" xr:uid="{6BFE4A13-9AB9-44CD-A1D5-33D96A3D342E}"/>
    <cellStyle name="Normal 5 23 22" xfId="40289" xr:uid="{92D2EC06-837E-4C6A-9C01-65A995DE2057}"/>
    <cellStyle name="Normal 5 23 23" xfId="47865" xr:uid="{9167325E-AE77-4ABC-AA1A-4AF40D7D22DC}"/>
    <cellStyle name="Normal 5 23 3" xfId="9759" xr:uid="{00000000-0005-0000-0000-0000FA1D0000}"/>
    <cellStyle name="Normal-- 5 23 3" xfId="48245" xr:uid="{09265B47-90D7-4835-B7FD-B25A29C63A85}"/>
    <cellStyle name="Normal 5 23 3 2" xfId="18121" xr:uid="{B7120190-2733-40DF-ACF8-D121266033FE}"/>
    <cellStyle name="Normal 5 23 3 3" xfId="42248" xr:uid="{A91FB5CE-916A-45F0-8555-8B9B215BBFEE}"/>
    <cellStyle name="Normal 5 23 3 4" xfId="46441" xr:uid="{070CC0F6-C504-4685-9F56-5F7EEB60F759}"/>
    <cellStyle name="Normal 5 23 3 5" xfId="41825" xr:uid="{1F1E4D82-7320-4136-A4B5-6B6E0D630A58}"/>
    <cellStyle name="Normal 5 23 3 6" xfId="48502" xr:uid="{D6C3F196-2477-47E8-BD78-AE2DE4A7B343}"/>
    <cellStyle name="Normal 5 23 3 7" xfId="15687" xr:uid="{AAF0C831-8A92-440B-BEE3-5888AE7BC1A0}"/>
    <cellStyle name="Normal 5 23 3 8" xfId="46889" xr:uid="{6C194241-E212-456C-B652-E0367BEC188C}"/>
    <cellStyle name="Normal 5 23 3 9" xfId="46322" xr:uid="{F17EC456-E5C7-411A-B48A-84DC313CD708}"/>
    <cellStyle name="Normal 5 23 4" xfId="6222" xr:uid="{00000000-0005-0000-0000-0000300D0000}"/>
    <cellStyle name="Normal-- 5 23 4" xfId="40801" xr:uid="{D35DE679-E596-4CB6-9566-084C31BA23CD}"/>
    <cellStyle name="Normal 5 23 5" xfId="13029" xr:uid="{00000000-0005-0000-0000-00009A300000}"/>
    <cellStyle name="Normal-- 5 23 5" xfId="47304" xr:uid="{B4E28D90-9ADC-4599-A314-E8F694D82746}"/>
    <cellStyle name="Normal 5 23 5 2" xfId="45493" xr:uid="{CD790DB5-E711-41B3-8DA2-733BE3326B80}"/>
    <cellStyle name="Normal 5 23 5 3" xfId="49285" xr:uid="{578D4B39-CCF2-42F1-ADA3-4200180A0D3E}"/>
    <cellStyle name="Normal 5 23 5 4" xfId="49576" xr:uid="{56C22D23-4755-47C1-8FDE-1745002C2461}"/>
    <cellStyle name="Normal 5 23 5 5" xfId="49812" xr:uid="{17F53C3B-3FCF-49C9-96D3-6B203B21B72B}"/>
    <cellStyle name="Normal 5 23 5 6" xfId="50166" xr:uid="{9F9CCEC2-0248-4200-8EB5-5BCBFE591CFD}"/>
    <cellStyle name="Normal 5 23 6" xfId="11621" xr:uid="{00000000-0005-0000-0000-000004310000}"/>
    <cellStyle name="Normal-- 5 23 6" xfId="46250" xr:uid="{CD7DAEE1-E8F3-440E-B639-D8237B0D50DC}"/>
    <cellStyle name="Normal 5 23 6 2" xfId="44109" xr:uid="{4CA2DF54-A7B5-402B-A4E4-7A1E2F9F5CE6}"/>
    <cellStyle name="Normal 5 23 6 3" xfId="15450" xr:uid="{6C92A8F4-607C-4206-812C-D2351F389D28}"/>
    <cellStyle name="Normal 5 23 6 4" xfId="46969" xr:uid="{E6B0C78E-ABED-4460-8198-576116DF27E1}"/>
    <cellStyle name="Normal 5 23 6 5" xfId="46614" xr:uid="{7D97BAA5-6C94-4120-BCDD-7ABCCD76321E}"/>
    <cellStyle name="Normal 5 23 7" xfId="13045" xr:uid="{00000000-0005-0000-0000-000072310000}"/>
    <cellStyle name="Normal-- 5 23 7" xfId="40669" xr:uid="{3A4E55BF-18C9-4160-94CC-F9EF09728F7D}"/>
    <cellStyle name="Normal 5 23 7 2" xfId="45509" xr:uid="{652426A6-3010-4167-B700-E2F151A2ECFC}"/>
    <cellStyle name="Normal 5 23 7 3" xfId="49813" xr:uid="{EAC2C809-6A7E-4FA5-9B5C-0610CE40C24D}"/>
    <cellStyle name="Normal 5 23 7 4" xfId="50167" xr:uid="{79968859-11C5-4DCE-807C-9B871245813C}"/>
    <cellStyle name="Normal 5 23 8" xfId="11598" xr:uid="{00000000-0005-0000-0000-0000E4310000}"/>
    <cellStyle name="Normal-- 5 23 8" xfId="15323" xr:uid="{6C9182C5-0ED2-4A8D-A623-30CA63DEBC63}"/>
    <cellStyle name="Normal 5 23 8 2" xfId="44086" xr:uid="{625C6834-05EF-4DE1-94BF-86C7B0E500B3}"/>
    <cellStyle name="Normal 5 23 8 3" xfId="13683" xr:uid="{4FF6D105-4D22-4683-A315-267D99897B82}"/>
    <cellStyle name="Normal 5 23 9" xfId="13065" xr:uid="{00000000-0005-0000-0000-00005A320000}"/>
    <cellStyle name="Normal-- 5 23 9" xfId="40664" xr:uid="{34122BD9-5034-4CC6-98E7-C7113EC965FF}"/>
    <cellStyle name="Normal 5 23 9 2" xfId="45529" xr:uid="{F349B578-6FFD-4909-B696-C5EB1560BD24}"/>
    <cellStyle name="Normal 5 24" xfId="4236" xr:uid="{00000000-0005-0000-0000-0000AC100000}"/>
    <cellStyle name="Normal-- 5 24" xfId="6173" xr:uid="{00000000-0005-0000-0000-0000FF0C0000}"/>
    <cellStyle name="Normal 5 24 10" xfId="11571" xr:uid="{00000000-0005-0000-0000-0000D5320000}"/>
    <cellStyle name="Normal 5 24 10 2" xfId="44059" xr:uid="{1C663F91-EFF0-47FB-8DC1-93454186714F}"/>
    <cellStyle name="Normal 5 24 11" xfId="13090" xr:uid="{00000000-0005-0000-0000-000053330000}"/>
    <cellStyle name="Normal 5 24 11 2" xfId="45554" xr:uid="{D843AB0E-B0A0-4356-9246-D4B180C0D5B0}"/>
    <cellStyle name="Normal 5 24 12" xfId="11545" xr:uid="{00000000-0005-0000-0000-0000D5330000}"/>
    <cellStyle name="Normal 5 24 12 2" xfId="44033" xr:uid="{621164E4-8A76-476C-9B15-7D1C57B525DB}"/>
    <cellStyle name="Normal 5 24 13" xfId="13111" xr:uid="{00000000-0005-0000-0000-00005B340000}"/>
    <cellStyle name="Normal 5 24 13 2" xfId="45575" xr:uid="{80F7936E-B59E-4704-8E01-D85D016F8BA7}"/>
    <cellStyle name="Normal 5 24 14" xfId="11523" xr:uid="{00000000-0005-0000-0000-0000E5340000}"/>
    <cellStyle name="Normal 5 24 14 2" xfId="44011" xr:uid="{568E458E-74EA-4540-9F8E-638B6C25EB09}"/>
    <cellStyle name="Normal 5 24 15" xfId="15772" xr:uid="{8EE6BAAA-73F3-4AF6-BB2C-D5E66B1A1427}"/>
    <cellStyle name="Normal 5 24 16" xfId="38274" xr:uid="{C3C1093B-2C8D-4E84-81E5-23F188B57E09}"/>
    <cellStyle name="Normal 5 24 17" xfId="40501" xr:uid="{0C46BFFA-FA04-4F9E-A368-41939D977A56}"/>
    <cellStyle name="Normal 5 24 18" xfId="47447" xr:uid="{1E175CA6-89B2-4312-ACB5-2D0FD086FEC4}"/>
    <cellStyle name="Normal 5 24 19" xfId="48881" xr:uid="{27C12E47-E830-4010-B6A2-D1D778C6273C}"/>
    <cellStyle name="Normal 5 24 2" xfId="4237" xr:uid="{00000000-0005-0000-0000-0000AD100000}"/>
    <cellStyle name="Normal 5 24 2 2" xfId="9762" xr:uid="{00000000-0005-0000-0000-0000FD1D0000}"/>
    <cellStyle name="Normal 5 24 2 2 2" xfId="42251" xr:uid="{A5443541-88FD-4D56-B1CC-9C5A2AD66645}"/>
    <cellStyle name="Normal 5 24 2 3" xfId="6225" xr:uid="{00000000-0005-0000-0000-0000330D0000}"/>
    <cellStyle name="Normal 5 24 2 4" xfId="38275" xr:uid="{9B81ACF5-1797-462D-A537-0060770953DB}"/>
    <cellStyle name="Normal 5 24 20" xfId="14916" xr:uid="{387F938D-C6A0-473A-B3D8-C551E2D2B710}"/>
    <cellStyle name="Normal 5 24 21" xfId="49326" xr:uid="{34C96484-4E8E-4C85-8437-2A29721FE17A}"/>
    <cellStyle name="Normal 5 24 22" xfId="47613" xr:uid="{0EEB541A-DCFC-4E83-9E0F-42244A4BF2E4}"/>
    <cellStyle name="Normal 5 24 23" xfId="37995" xr:uid="{DC40B76D-9B93-49E8-8FA3-4E46CB481EE2}"/>
    <cellStyle name="Normal 5 24 3" xfId="9761" xr:uid="{00000000-0005-0000-0000-0000FC1D0000}"/>
    <cellStyle name="Normal 5 24 3 2" xfId="18122" xr:uid="{8108C4A0-654B-4DB2-B839-1DC002E6848B}"/>
    <cellStyle name="Normal 5 24 3 3" xfId="42250" xr:uid="{FDF9B11F-F80A-436E-969E-F0375FAAB1D4}"/>
    <cellStyle name="Normal 5 24 4" xfId="6224" xr:uid="{00000000-0005-0000-0000-0000320D0000}"/>
    <cellStyle name="Normal 5 24 5" xfId="13030" xr:uid="{00000000-0005-0000-0000-00009B300000}"/>
    <cellStyle name="Normal 5 24 5 2" xfId="45494" xr:uid="{940E3B51-5F82-41DF-8C37-19795D633FB9}"/>
    <cellStyle name="Normal 5 24 6" xfId="11620" xr:uid="{00000000-0005-0000-0000-000005310000}"/>
    <cellStyle name="Normal 5 24 6 2" xfId="44108" xr:uid="{7C7B6DA7-2006-4196-8C5A-4230B3C89353}"/>
    <cellStyle name="Normal 5 24 7" xfId="13046" xr:uid="{00000000-0005-0000-0000-000073310000}"/>
    <cellStyle name="Normal 5 24 7 2" xfId="45510" xr:uid="{86C65194-27BE-4791-911E-8E7DBE2A3C06}"/>
    <cellStyle name="Normal 5 24 8" xfId="11596" xr:uid="{00000000-0005-0000-0000-0000E5310000}"/>
    <cellStyle name="Normal 5 24 8 2" xfId="44084" xr:uid="{3EC47774-10CE-472F-B63A-E37EBD7BBF79}"/>
    <cellStyle name="Normal 5 24 9" xfId="13066" xr:uid="{00000000-0005-0000-0000-00005B320000}"/>
    <cellStyle name="Normal 5 24 9 2" xfId="45530" xr:uid="{5A3A1349-1580-4EAB-939A-568E79CD919B}"/>
    <cellStyle name="Normal 5 25" xfId="4238" xr:uid="{00000000-0005-0000-0000-0000AE100000}"/>
    <cellStyle name="Normal-- 5 25" xfId="12993" xr:uid="{00000000-0005-0000-0000-00008B300000}"/>
    <cellStyle name="Normal 5 25 10" xfId="13093" xr:uid="{00000000-0005-0000-0000-000054330000}"/>
    <cellStyle name="Normal 5 25 10 2" xfId="45557" xr:uid="{6BF17AB5-F0BA-460E-9469-BE4F4D73B879}"/>
    <cellStyle name="Normal 5 25 11" xfId="11543" xr:uid="{00000000-0005-0000-0000-0000D6330000}"/>
    <cellStyle name="Normal 5 25 11 2" xfId="44031" xr:uid="{CE7605E2-6EA5-4167-8F6C-A3F108E7F30A}"/>
    <cellStyle name="Normal 5 25 12" xfId="13112" xr:uid="{00000000-0005-0000-0000-00005C340000}"/>
    <cellStyle name="Normal 5 25 12 2" xfId="45576" xr:uid="{A47A95C2-AAEC-49A3-9C1A-694BC4A0D5DB}"/>
    <cellStyle name="Normal 5 25 13" xfId="11521" xr:uid="{00000000-0005-0000-0000-0000E6340000}"/>
    <cellStyle name="Normal 5 25 13 2" xfId="44009" xr:uid="{F5C58A62-C176-44DA-ACE2-1B446829939F}"/>
    <cellStyle name="Normal 5 25 14" xfId="15773" xr:uid="{A62790A9-C4C9-42D1-883F-8457E9EB95E4}"/>
    <cellStyle name="Normal 5 25 15" xfId="38276" xr:uid="{3F5E6086-E76B-4EF4-9857-9BD596A0E35C}"/>
    <cellStyle name="Normal 5 25 16" xfId="40499" xr:uid="{E31345AB-E744-4FFA-9E90-287AC848E33F}"/>
    <cellStyle name="Normal 5 25 17" xfId="48712" xr:uid="{9F7DDE89-1BDD-48F4-A9DF-7E3CC02EB15B}"/>
    <cellStyle name="Normal 5 25 18" xfId="48863" xr:uid="{61BC0A58-C15F-4D33-AEE8-35E3BFADB084}"/>
    <cellStyle name="Normal 5 25 19" xfId="39898" xr:uid="{047A4FD6-E6FE-4CFE-B3A6-A838EEBE948E}"/>
    <cellStyle name="Normal 5 25 2" xfId="4239" xr:uid="{00000000-0005-0000-0000-0000AF100000}"/>
    <cellStyle name="Normal-- 5 25 2" xfId="45457" xr:uid="{80C19CCA-8639-45CE-A822-54973089045E}"/>
    <cellStyle name="Normal 5 25 2 10" xfId="49610" xr:uid="{87C003A4-8E3C-4CA5-A4EE-694EB0675665}"/>
    <cellStyle name="Normal 5 25 2 11" xfId="15491" xr:uid="{EDDC3CAE-8575-4D1A-AE2E-351974A6E2D9}"/>
    <cellStyle name="Normal 5 25 2 2" xfId="9764" xr:uid="{00000000-0005-0000-0000-0000FF1D0000}"/>
    <cellStyle name="Normal 5 25 2 2 2" xfId="42253" xr:uid="{E6AA9BFB-12D7-43EC-8132-DFCF815193C1}"/>
    <cellStyle name="Normal 5 25 2 3" xfId="6227" xr:uid="{00000000-0005-0000-0000-0000350D0000}"/>
    <cellStyle name="Normal 5 25 2 4" xfId="38277" xr:uid="{D77BEDA5-91D4-40A9-B042-29C3A09A29BC}"/>
    <cellStyle name="Normal 5 25 2 5" xfId="40500" xr:uid="{080BE9C9-5787-4524-9583-F10C0B66C892}"/>
    <cellStyle name="Normal 5 25 2 6" xfId="47947" xr:uid="{51D508CA-E5AD-4AB4-8DDF-3ADA900C9EB6}"/>
    <cellStyle name="Normal 5 25 2 7" xfId="46172" xr:uid="{0B079D97-043B-4E47-B992-5A829F04CA9A}"/>
    <cellStyle name="Normal 5 25 2 8" xfId="49091" xr:uid="{8FA57436-5CC5-47E0-A905-6FC5791891F6}"/>
    <cellStyle name="Normal 5 25 2 9" xfId="13695" xr:uid="{02935D62-3F3C-47A9-8294-2DDCB497BB53}"/>
    <cellStyle name="Normal 5 25 20" xfId="37925" xr:uid="{0249201E-7CB1-47A3-94FA-9EBDA1E349E3}"/>
    <cellStyle name="Normal 5 25 21" xfId="47700" xr:uid="{2253E04F-7F6F-4C16-9CD4-EAFB19A5DFB0}"/>
    <cellStyle name="Normal 5 25 22" xfId="37640" xr:uid="{5DB665DF-04A3-4160-8D84-44DC0E5196AB}"/>
    <cellStyle name="Normal 5 25 3" xfId="9763" xr:uid="{00000000-0005-0000-0000-0000FE1D0000}"/>
    <cellStyle name="Normal-- 5 25 3" xfId="48570" xr:uid="{7082A783-9DF5-40B9-B69C-58CA7E7DE8D6}"/>
    <cellStyle name="Normal 5 25 3 2" xfId="18123" xr:uid="{AA398264-DF8B-495A-B166-CB7634EF7C46}"/>
    <cellStyle name="Normal 5 25 3 3" xfId="42252" xr:uid="{138C5533-FE09-4635-B683-14BA745979E0}"/>
    <cellStyle name="Normal 5 25 3 4" xfId="46444" xr:uid="{65456B0F-8FA6-44B7-BEDE-7A8D8428FD06}"/>
    <cellStyle name="Normal 5 25 3 5" xfId="40241" xr:uid="{F0CFE385-9869-44A1-A4DA-BB2EB5CDDAA2}"/>
    <cellStyle name="Normal 5 25 3 6" xfId="48612" xr:uid="{22B565DE-FDE8-476B-8815-BBD33116C76C}"/>
    <cellStyle name="Normal 5 25 3 7" xfId="48490" xr:uid="{4C5D79EE-94CA-4B7A-A6DE-07817E27E7B7}"/>
    <cellStyle name="Normal 5 25 3 8" xfId="37787" xr:uid="{D6ACCC55-5257-4297-BDD0-7C8DCF556FBF}"/>
    <cellStyle name="Normal 5 25 3 9" xfId="48588" xr:uid="{A00DAD55-A386-4A06-95AF-55865AAD7C3A}"/>
    <cellStyle name="Normal 5 25 4" xfId="6226" xr:uid="{00000000-0005-0000-0000-0000340D0000}"/>
    <cellStyle name="Normal-- 5 25 4" xfId="41749" xr:uid="{5495EDFC-E1E7-405F-98A7-78A5F731DFDB}"/>
    <cellStyle name="Normal 5 25 5" xfId="11617" xr:uid="{00000000-0005-0000-0000-000006310000}"/>
    <cellStyle name="Normal-- 5 25 5" xfId="49052" xr:uid="{0D8BB05C-EF77-49D5-B8C0-7F2AAA9336CE}"/>
    <cellStyle name="Normal 5 25 5 2" xfId="44105" xr:uid="{52C3D430-0A51-411C-938D-370D9F4345B0}"/>
    <cellStyle name="Normal 5 25 5 3" xfId="15221" xr:uid="{73087194-891F-4459-AA29-35859F2E6E20}"/>
    <cellStyle name="Normal 5 25 5 4" xfId="14983" xr:uid="{6F2769AE-6849-4F3B-8DD2-E6DDF648D5A3}"/>
    <cellStyle name="Normal 5 25 5 5" xfId="16487" xr:uid="{0CCDAB94-99B7-4347-97E3-8D3C2D949314}"/>
    <cellStyle name="Normal 5 25 5 6" xfId="37945" xr:uid="{529AF193-A165-4ACC-9052-B292524152E2}"/>
    <cellStyle name="Normal 5 25 6" xfId="13048" xr:uid="{00000000-0005-0000-0000-000074310000}"/>
    <cellStyle name="Normal-- 5 25 6" xfId="49277" xr:uid="{CA899C87-4A4A-42E7-9616-0C2F166D703E}"/>
    <cellStyle name="Normal 5 25 6 2" xfId="45512" xr:uid="{0DBD17ED-FC93-4D66-A6FF-9D6891E7F390}"/>
    <cellStyle name="Normal 5 25 6 3" xfId="49577" xr:uid="{229CC59D-5663-4AB5-B2C8-200A45BC49C7}"/>
    <cellStyle name="Normal 5 25 6 4" xfId="49814" xr:uid="{8F8FD7D6-CC1D-499E-96D3-58D8DA1F1CEA}"/>
    <cellStyle name="Normal 5 25 6 5" xfId="50168" xr:uid="{8E2DC86F-CD51-4701-8B8A-9AA1A66AFFAB}"/>
    <cellStyle name="Normal 5 25 7" xfId="11594" xr:uid="{00000000-0005-0000-0000-0000E6310000}"/>
    <cellStyle name="Normal-- 5 25 7" xfId="49568" xr:uid="{4C97B8B1-CB8D-4347-93CF-50FDAF6AE334}"/>
    <cellStyle name="Normal 5 25 7 2" xfId="44082" xr:uid="{1D53EE3F-7987-488E-B4DF-AAB1676C6522}"/>
    <cellStyle name="Normal 5 25 7 3" xfId="46458" xr:uid="{A2690A71-2835-41CF-BE33-36254EE05B97}"/>
    <cellStyle name="Normal 5 25 7 4" xfId="46369" xr:uid="{6165CFDB-CCB4-4658-8F0B-7D5089AF183A}"/>
    <cellStyle name="Normal 5 25 8" xfId="13068" xr:uid="{00000000-0005-0000-0000-00005C320000}"/>
    <cellStyle name="Normal-- 5 25 8" xfId="49806" xr:uid="{B6AF6CD5-60A1-4D12-9C56-210DD6B75830}"/>
    <cellStyle name="Normal 5 25 8 2" xfId="45532" xr:uid="{0DA63242-48D5-4D1B-B937-D7AE3E6C5BF3}"/>
    <cellStyle name="Normal 5 25 8 3" xfId="50170" xr:uid="{9251D38A-EA17-480C-B9B8-05C10DFEF822}"/>
    <cellStyle name="Normal 5 25 9" xfId="11569" xr:uid="{00000000-0005-0000-0000-0000D6320000}"/>
    <cellStyle name="Normal-- 5 25 9" xfId="50158" xr:uid="{F959F38F-2AB4-44C4-9527-44C1932CD116}"/>
    <cellStyle name="Normal 5 25 9 2" xfId="44057" xr:uid="{58ABB2E5-8364-4A6D-A4A9-5B93E9291307}"/>
    <cellStyle name="Normal 5 26" xfId="4240" xr:uid="{00000000-0005-0000-0000-0000B0100000}"/>
    <cellStyle name="Normal-- 5 26" xfId="11655" xr:uid="{00000000-0005-0000-0000-0000F5300000}"/>
    <cellStyle name="Normal 5 26 10" xfId="11541" xr:uid="{00000000-0005-0000-0000-0000D7330000}"/>
    <cellStyle name="Normal 5 26 10 2" xfId="44029" xr:uid="{591B0324-9901-4217-98DC-6B8478281DBD}"/>
    <cellStyle name="Normal 5 26 11" xfId="13115" xr:uid="{00000000-0005-0000-0000-00005D340000}"/>
    <cellStyle name="Normal 5 26 11 2" xfId="45579" xr:uid="{90B7BA1C-5187-45EA-B365-58094D163C56}"/>
    <cellStyle name="Normal 5 26 12" xfId="11520" xr:uid="{00000000-0005-0000-0000-0000E7340000}"/>
    <cellStyle name="Normal 5 26 12 2" xfId="44008" xr:uid="{D5C033B9-C62C-4FAC-88E1-AAD5E177E759}"/>
    <cellStyle name="Normal 5 26 13" xfId="15774" xr:uid="{F74271D7-C257-45ED-A111-6B403D7B4B4A}"/>
    <cellStyle name="Normal 5 26 14" xfId="38278" xr:uid="{2D0A2765-06D1-43C9-9942-8AD748FD7764}"/>
    <cellStyle name="Normal 5 26 15" xfId="15205" xr:uid="{0F2317B4-7891-491A-823B-14CF47D13864}"/>
    <cellStyle name="Normal 5 26 16" xfId="48682" xr:uid="{966B7BDE-403E-4A75-8492-989A2A33B45B}"/>
    <cellStyle name="Normal 5 26 17" xfId="48851" xr:uid="{611DCF07-BD79-49E9-859C-E53668855375}"/>
    <cellStyle name="Normal 5 26 18" xfId="47480" xr:uid="{C8D9B2D1-5C1D-4D82-83A0-D6BAC4673AEA}"/>
    <cellStyle name="Normal 5 26 19" xfId="49318" xr:uid="{70405D63-FE5D-4BA9-A54B-3098E0F4F30F}"/>
    <cellStyle name="Normal 5 26 2" xfId="4241" xr:uid="{00000000-0005-0000-0000-0000B1100000}"/>
    <cellStyle name="Normal-- 5 26 2" xfId="44143" xr:uid="{2EF73195-A5EE-47FE-898F-6441CF1A28BF}"/>
    <cellStyle name="Normal 5 26 2 10" xfId="16523" xr:uid="{4ACFEF7F-EDE6-43C6-8242-B70BA3EEC600}"/>
    <cellStyle name="Normal 5 26 2 11" xfId="49196" xr:uid="{A155E97A-CA08-44D8-9374-CC6AEAD4258A}"/>
    <cellStyle name="Normal 5 26 2 2" xfId="9766" xr:uid="{00000000-0005-0000-0000-0000011E0000}"/>
    <cellStyle name="Normal 5 26 2 2 2" xfId="42255" xr:uid="{D1B5BC89-EFB1-4AC8-85B7-B801747ACF77}"/>
    <cellStyle name="Normal 5 26 2 3" xfId="6229" xr:uid="{00000000-0005-0000-0000-0000370D0000}"/>
    <cellStyle name="Normal 5 26 2 4" xfId="38279" xr:uid="{C89D8C40-4B6C-46FF-ABE3-4F528207B6C2}"/>
    <cellStyle name="Normal 5 26 2 5" xfId="15206" xr:uid="{6B8DCB3A-84E5-4E5E-BD16-4520DB1FDFF5}"/>
    <cellStyle name="Normal 5 26 2 6" xfId="47969" xr:uid="{4B600503-6723-41CC-95B8-C8831F269FB5}"/>
    <cellStyle name="Normal 5 26 2 7" xfId="39570" xr:uid="{6A204848-FD8C-4874-8BC5-07ACBDFF783A}"/>
    <cellStyle name="Normal 5 26 2 8" xfId="40209" xr:uid="{6D64913E-9316-436D-9673-5805FFE339A0}"/>
    <cellStyle name="Normal 5 26 2 9" xfId="46280" xr:uid="{78150E78-C222-44FD-8B78-77270980C303}"/>
    <cellStyle name="Normal 5 26 20" xfId="48765" xr:uid="{BEA5008A-62E5-4138-BDDE-B023F7E598D7}"/>
    <cellStyle name="Normal 5 26 21" xfId="37817" xr:uid="{2738FFE1-5DCC-4A76-A7B1-639B4D0B5ECC}"/>
    <cellStyle name="Normal 5 26 3" xfId="9765" xr:uid="{00000000-0005-0000-0000-0000001E0000}"/>
    <cellStyle name="Normal-- 5 26 3" xfId="48058" xr:uid="{A0FA6DD6-5624-48D5-8E8B-74FC4D65B282}"/>
    <cellStyle name="Normal 5 26 3 2" xfId="18124" xr:uid="{8286385E-189E-465B-B2EF-D47EAAF94AAC}"/>
    <cellStyle name="Normal 5 26 3 3" xfId="42254" xr:uid="{30996837-AEC9-445F-BA4D-7390B75AA704}"/>
    <cellStyle name="Normal 5 26 3 4" xfId="37789" xr:uid="{8F853CEF-C6DB-44E6-BF48-1438D9F9E776}"/>
    <cellStyle name="Normal 5 26 3 5" xfId="40657" xr:uid="{C08E81DC-F2AB-480B-BF33-E9ED3F7D7D2F}"/>
    <cellStyle name="Normal 5 26 3 6" xfId="47069" xr:uid="{2416BB31-E0DB-4A30-A45E-24EAAA48BDDB}"/>
    <cellStyle name="Normal 5 26 3 7" xfId="46468" xr:uid="{0446F170-C55C-4E06-A623-71394BDBE3FB}"/>
    <cellStyle name="Normal 5 26 3 8" xfId="46835" xr:uid="{994A8CCD-9EEF-4F0A-B7E9-E7A063C08770}"/>
    <cellStyle name="Normal 5 26 3 9" xfId="16588" xr:uid="{E8100650-05AE-4FC6-81F4-4A6CE2B96D31}"/>
    <cellStyle name="Normal 5 26 4" xfId="6228" xr:uid="{00000000-0005-0000-0000-0000360D0000}"/>
    <cellStyle name="Normal-- 5 26 4" xfId="39739" xr:uid="{3E07901D-023A-4240-865C-26407C693FE1}"/>
    <cellStyle name="Normal 5 26 5" xfId="13049" xr:uid="{00000000-0005-0000-0000-000075310000}"/>
    <cellStyle name="Normal-- 5 26 5" xfId="47009" xr:uid="{B74CCB43-8466-4A9A-81C7-DBB6FFAE9DC9}"/>
    <cellStyle name="Normal 5 26 5 2" xfId="45513" xr:uid="{AEAEC4AE-EBF1-438C-992E-9DB7AD8F0A8E}"/>
    <cellStyle name="Normal 5 26 5 3" xfId="49288" xr:uid="{21A2D2BA-FBD3-4F62-848A-1C8541E0453E}"/>
    <cellStyle name="Normal 5 26 5 4" xfId="49578" xr:uid="{F8E2F464-F1CB-4765-9159-523983D6F62A}"/>
    <cellStyle name="Normal 5 26 5 5" xfId="49815" xr:uid="{520581F3-4810-4927-8E61-838AF4FE792D}"/>
    <cellStyle name="Normal 5 26 5 6" xfId="50169" xr:uid="{8505BD5D-62FE-4C14-B454-C5590FD2FE09}"/>
    <cellStyle name="Normal 5 26 6" xfId="11592" xr:uid="{00000000-0005-0000-0000-0000E7310000}"/>
    <cellStyle name="Normal-- 5 26 6" xfId="46781" xr:uid="{ED249069-8DEA-4E2E-9930-8F66E32E9014}"/>
    <cellStyle name="Normal 5 26 6 2" xfId="44080" xr:uid="{752126D5-144F-4A5A-8F94-805B091FB04C}"/>
    <cellStyle name="Normal 5 26 6 3" xfId="40685" xr:uid="{15F31423-CA0F-41D9-8F22-C1DD7DEBA825}"/>
    <cellStyle name="Normal 5 26 6 4" xfId="46681" xr:uid="{BC5F3406-C23D-423A-A963-FE98D2DD8D41}"/>
    <cellStyle name="Normal 5 26 6 5" xfId="39559" xr:uid="{BC861467-7308-4AE5-A293-C051EC69C4F1}"/>
    <cellStyle name="Normal 5 26 7" xfId="13069" xr:uid="{00000000-0005-0000-0000-00005D320000}"/>
    <cellStyle name="Normal-- 5 26 7" xfId="47619" xr:uid="{F45097D5-D12D-481D-83D4-FBF57D66CEF8}"/>
    <cellStyle name="Normal 5 26 7 2" xfId="45533" xr:uid="{FE25CAFC-41B3-4CA5-8A6E-272EFA8604AF}"/>
    <cellStyle name="Normal 5 26 7 3" xfId="49817" xr:uid="{417E674B-6FD3-43B5-88C3-1C93CEF687CB}"/>
    <cellStyle name="Normal 5 26 7 4" xfId="50171" xr:uid="{7C1D85B6-5F61-4964-B65F-1FE40D62659B}"/>
    <cellStyle name="Normal 5 26 8" xfId="11567" xr:uid="{00000000-0005-0000-0000-0000D7320000}"/>
    <cellStyle name="Normal-- 5 26 8" xfId="48951" xr:uid="{E767E88C-4DF7-407F-B8AA-1585A5F1F250}"/>
    <cellStyle name="Normal 5 26 8 2" xfId="44055" xr:uid="{5EA061C4-6FAB-4796-9F86-3BDBA58EC829}"/>
    <cellStyle name="Normal 5 26 8 3" xfId="46545" xr:uid="{ADD3C52E-9C32-4C45-BD2F-BC5F5499FAE7}"/>
    <cellStyle name="Normal 5 26 9" xfId="13094" xr:uid="{00000000-0005-0000-0000-000055330000}"/>
    <cellStyle name="Normal-- 5 26 9" xfId="48463" xr:uid="{9D950F3E-C3CD-4045-935C-C49D91C65BF4}"/>
    <cellStyle name="Normal 5 26 9 2" xfId="45558" xr:uid="{5DAA25B8-F6F2-4918-B891-149FCBC2CF36}"/>
    <cellStyle name="Normal 5 27" xfId="4242" xr:uid="{00000000-0005-0000-0000-0000B2100000}"/>
    <cellStyle name="Normal-- 5 27" xfId="12996" xr:uid="{00000000-0005-0000-0000-000063310000}"/>
    <cellStyle name="Normal 5 27 10" xfId="13116" xr:uid="{00000000-0005-0000-0000-00005E340000}"/>
    <cellStyle name="Normal 5 27 10 2" xfId="45580" xr:uid="{E327EF2F-F129-41A0-9C6C-07C315A16520}"/>
    <cellStyle name="Normal 5 27 11" xfId="11518" xr:uid="{00000000-0005-0000-0000-0000E8340000}"/>
    <cellStyle name="Normal 5 27 11 2" xfId="44006" xr:uid="{3871948A-1B71-452B-8E40-FA9D162C17AB}"/>
    <cellStyle name="Normal 5 27 12" xfId="15775" xr:uid="{1EBD190E-6C06-42BE-9E1E-BE454ADB14DA}"/>
    <cellStyle name="Normal 5 27 13" xfId="38280" xr:uid="{45B9A9D6-CE87-4789-B67D-F7C54BB2CEE4}"/>
    <cellStyle name="Normal 5 27 14" xfId="15207" xr:uid="{B9C86BB9-CCBC-41A2-84D7-7A7EB9BA175A}"/>
    <cellStyle name="Normal 5 27 15" xfId="47999" xr:uid="{6488EFDF-F803-4F9D-A939-0AF8DABE3AF4}"/>
    <cellStyle name="Normal 5 27 16" xfId="48842" xr:uid="{8E09000E-1561-4798-B541-6A4158B78BA6}"/>
    <cellStyle name="Normal 5 27 17" xfId="14943" xr:uid="{678A43A0-68E7-4099-8CF6-AB8C2775324B}"/>
    <cellStyle name="Normal 5 27 18" xfId="49313" xr:uid="{652C01D5-810D-4D80-A2C7-937E915AD34A}"/>
    <cellStyle name="Normal 5 27 19" xfId="46159" xr:uid="{CF37ACEC-90B3-4887-8D25-1529F2C5B8C5}"/>
    <cellStyle name="Normal 5 27 2" xfId="4243" xr:uid="{00000000-0005-0000-0000-0000B3100000}"/>
    <cellStyle name="Normal-- 5 27 2" xfId="45460" xr:uid="{B5A2AC28-2512-4F13-B09C-4858C593BA12}"/>
    <cellStyle name="Normal 5 27 2 10" xfId="49603" xr:uid="{8718CE3C-4795-4DB1-A999-949D6BE658B0}"/>
    <cellStyle name="Normal 5 27 2 11" xfId="47912" xr:uid="{8FEE50D3-7F25-4A99-86AA-D3199F07E17A}"/>
    <cellStyle name="Normal 5 27 2 2" xfId="9768" xr:uid="{00000000-0005-0000-0000-0000031E0000}"/>
    <cellStyle name="Normal 5 27 2 2 2" xfId="42257" xr:uid="{D6E6DAD6-2950-4103-A988-F796EA8792C1}"/>
    <cellStyle name="Normal 5 27 2 3" xfId="6231" xr:uid="{00000000-0005-0000-0000-0000390D0000}"/>
    <cellStyle name="Normal 5 27 2 4" xfId="38281" xr:uid="{A2758CDC-55B1-4F43-9A59-4BCFF4FD5DA2}"/>
    <cellStyle name="Normal 5 27 2 5" xfId="15208" xr:uid="{A7C50223-E3FF-4DA7-9971-A2D8E2BBD557}"/>
    <cellStyle name="Normal 5 27 2 6" xfId="48631" xr:uid="{6282A4D8-1AE9-44CC-8DE8-56ACE20F93C5}"/>
    <cellStyle name="Normal 5 27 2 7" xfId="39573" xr:uid="{D2849D9E-B818-4E97-B8F1-9B3BE35458CF}"/>
    <cellStyle name="Normal 5 27 2 8" xfId="46760" xr:uid="{8CBB7FCD-7ECF-4B3B-90FA-11E481FDED6C}"/>
    <cellStyle name="Normal 5 27 2 9" xfId="40648" xr:uid="{A3DD659C-FEF5-4AED-8EDE-1355A195B210}"/>
    <cellStyle name="Normal 5 27 20" xfId="47015" xr:uid="{7BB31DDE-895C-43AC-84DA-B6693A8E3598}"/>
    <cellStyle name="Normal 5 27 3" xfId="9767" xr:uid="{00000000-0005-0000-0000-0000021E0000}"/>
    <cellStyle name="Normal-- 5 27 3" xfId="48572" xr:uid="{E0987C2A-2C43-4C73-9D4B-8E8EB934D3C8}"/>
    <cellStyle name="Normal 5 27 3 2" xfId="18125" xr:uid="{CFAF07C7-9C0E-48EB-9635-CF1169BD7F7D}"/>
    <cellStyle name="Normal 5 27 3 3" xfId="42256" xr:uid="{B2630E61-9D72-4139-8C95-54FC132C53A8}"/>
    <cellStyle name="Normal 5 27 3 4" xfId="48166" xr:uid="{3CAD1FE9-CCB2-4DF6-9CE9-E1BE81985C16}"/>
    <cellStyle name="Normal 5 27 3 5" xfId="46801" xr:uid="{7D6E66C4-44E9-42E3-9C7A-AF13BE890F23}"/>
    <cellStyle name="Normal 5 27 3 6" xfId="47293" xr:uid="{27522174-F51A-49E7-A07B-16D14F8B3C14}"/>
    <cellStyle name="Normal 5 27 3 7" xfId="37657" xr:uid="{56425EB5-1DF9-4E3F-BC68-B30DA98854C8}"/>
    <cellStyle name="Normal 5 27 3 8" xfId="15043" xr:uid="{A59DA6E9-7D37-440A-BB21-41AD2F96E721}"/>
    <cellStyle name="Normal 5 27 3 9" xfId="17368" xr:uid="{0C96902F-F6EE-4CB6-82D0-1169C11E2CBA}"/>
    <cellStyle name="Normal 5 27 4" xfId="6230" xr:uid="{00000000-0005-0000-0000-0000380D0000}"/>
    <cellStyle name="Normal-- 5 27 4" xfId="15673" xr:uid="{0EB3FF74-3AC7-4E15-ADA3-3BDD83F481BC}"/>
    <cellStyle name="Normal 5 27 5" xfId="11589" xr:uid="{00000000-0005-0000-0000-0000E8310000}"/>
    <cellStyle name="Normal-- 5 27 5" xfId="49053" xr:uid="{3B3FD2EC-9E1A-4A37-BAD6-C72B85E9BFE9}"/>
    <cellStyle name="Normal 5 27 5 2" xfId="44077" xr:uid="{F8B4C3E0-63AB-41CB-A9A2-C44AE496ADED}"/>
    <cellStyle name="Normal 5 27 5 3" xfId="47473" xr:uid="{4C71ECE4-931A-4E46-9C45-9152F8A74845}"/>
    <cellStyle name="Normal 5 27 5 4" xfId="40112" xr:uid="{DFDA3BDD-2284-4C08-9874-6866CB766B35}"/>
    <cellStyle name="Normal 5 27 5 5" xfId="47498" xr:uid="{6F2547C6-CDE5-43E7-A978-EA153401D304}"/>
    <cellStyle name="Normal 5 27 5 6" xfId="48929" xr:uid="{FB1B816D-5EF3-47F8-9992-0895E1A2641C}"/>
    <cellStyle name="Normal 5 27 6" xfId="13072" xr:uid="{00000000-0005-0000-0000-00005E320000}"/>
    <cellStyle name="Normal-- 5 27 6" xfId="49278" xr:uid="{CC66B0AB-5219-4ACC-A53B-5597E0C04BAD}"/>
    <cellStyle name="Normal 5 27 6 2" xfId="45536" xr:uid="{814CA18C-5455-4C4E-A4F2-32C2C4A5CA43}"/>
    <cellStyle name="Normal 5 27 6 3" xfId="49579" xr:uid="{BACA75A7-94D0-4EE9-A010-BED823519DC7}"/>
    <cellStyle name="Normal 5 27 6 4" xfId="49819" xr:uid="{3FF2668B-9979-4439-9CD6-A4D600634A3F}"/>
    <cellStyle name="Normal 5 27 6 5" xfId="50172" xr:uid="{85A55D6A-2D25-4506-815D-F6B8CBAD167C}"/>
    <cellStyle name="Normal 5 27 7" xfId="11564" xr:uid="{00000000-0005-0000-0000-0000D8320000}"/>
    <cellStyle name="Normal-- 5 27 7" xfId="49569" xr:uid="{228B0F92-6D27-40B9-8CE1-B83DC18D2EC4}"/>
    <cellStyle name="Normal 5 27 7 2" xfId="44052" xr:uid="{9FDD1FCC-7B85-469E-B62E-906D61FDAC35}"/>
    <cellStyle name="Normal 5 27 7 3" xfId="47545" xr:uid="{1D168B0C-5191-472B-9B22-5B4E70BDAA2D}"/>
    <cellStyle name="Normal 5 27 7 4" xfId="40698" xr:uid="{AE950AF6-54DC-4DF5-B4B8-56F28F66FDBA}"/>
    <cellStyle name="Normal 5 27 8" xfId="13097" xr:uid="{00000000-0005-0000-0000-000056330000}"/>
    <cellStyle name="Normal-- 5 27 8" xfId="49807" xr:uid="{B3714EB6-8BD7-4424-87E9-A8A4E36EF3DE}"/>
    <cellStyle name="Normal 5 27 8 2" xfId="45561" xr:uid="{363BB08F-4F1A-4366-A6A7-3F71A2F1ED7C}"/>
    <cellStyle name="Normal 5 27 8 3" xfId="50174" xr:uid="{BFBCEA1A-4EA0-4AB9-BF36-9ADC1B840A9F}"/>
    <cellStyle name="Normal 5 27 9" xfId="11538" xr:uid="{00000000-0005-0000-0000-0000D8330000}"/>
    <cellStyle name="Normal-- 5 27 9" xfId="50159" xr:uid="{E47A15EB-37AD-42C6-8D6B-93316E892B5F}"/>
    <cellStyle name="Normal 5 27 9 2" xfId="44026" xr:uid="{B2A41050-04BF-48F2-A9E9-A13944744317}"/>
    <cellStyle name="Normal 5 28" xfId="4244" xr:uid="{00000000-0005-0000-0000-0000B4100000}"/>
    <cellStyle name="Normal-- 5 28" xfId="11652" xr:uid="{00000000-0005-0000-0000-0000D5310000}"/>
    <cellStyle name="Normal 5 28 10" xfId="11517" xr:uid="{00000000-0005-0000-0000-0000E9340000}"/>
    <cellStyle name="Normal 5 28 10 2" xfId="44005" xr:uid="{8CCDA930-6B18-437B-A56E-53076C7176BC}"/>
    <cellStyle name="Normal 5 28 11" xfId="15776" xr:uid="{CA804C1D-EA18-418F-96B8-FE935A95C714}"/>
    <cellStyle name="Normal 5 28 12" xfId="38282" xr:uid="{3D306761-46F5-44ED-ADE7-03103F8B11DB}"/>
    <cellStyle name="Normal 5 28 13" xfId="40485" xr:uid="{EB0B1BD0-859D-4CDF-B379-BEFE5130776B}"/>
    <cellStyle name="Normal 5 28 14" xfId="46253" xr:uid="{B2BA9692-086F-42C0-9D60-D68E7C52F4BA}"/>
    <cellStyle name="Normal 5 28 15" xfId="40575" xr:uid="{4928D788-7797-4A1E-B424-613C52B02674}"/>
    <cellStyle name="Normal 5 28 16" xfId="46670" xr:uid="{622FA7FD-9F21-4D7A-8E04-2D6555732BA9}"/>
    <cellStyle name="Normal 5 28 17" xfId="46547" xr:uid="{90407876-536D-4ECC-AB89-FB13C9AE4FE0}"/>
    <cellStyle name="Normal 5 28 18" xfId="40709" xr:uid="{E3FCE289-5275-49A1-96D4-A9C18F7DD8CD}"/>
    <cellStyle name="Normal 5 28 19" xfId="49095" xr:uid="{07812A3E-8376-4104-9033-E09D8916BEA2}"/>
    <cellStyle name="Normal 5 28 2" xfId="4245" xr:uid="{00000000-0005-0000-0000-0000B5100000}"/>
    <cellStyle name="Normal-- 5 28 2" xfId="44140" xr:uid="{942DBFCD-B46E-4134-889E-874945EAD8DD}"/>
    <cellStyle name="Normal 5 28 2 10" xfId="49598" xr:uid="{AA7C8745-EB1D-4961-8684-C6FC7F9D88C9}"/>
    <cellStyle name="Normal 5 28 2 11" xfId="48940" xr:uid="{DB74B480-AF72-4FFB-9370-E587B45AEDAF}"/>
    <cellStyle name="Normal 5 28 2 2" xfId="9770" xr:uid="{00000000-0005-0000-0000-0000051E0000}"/>
    <cellStyle name="Normal 5 28 2 2 2" xfId="42259" xr:uid="{6FB877D2-FA57-4704-8CC8-F593BA1D0538}"/>
    <cellStyle name="Normal 5 28 2 3" xfId="6233" xr:uid="{00000000-0005-0000-0000-00003B0D0000}"/>
    <cellStyle name="Normal 5 28 2 4" xfId="38283" xr:uid="{A7EBED8B-3659-49A5-B80D-C50D39DF294A}"/>
    <cellStyle name="Normal 5 28 2 5" xfId="40496" xr:uid="{890A2567-3029-474A-84C8-07E87E3E23BB}"/>
    <cellStyle name="Normal 5 28 2 6" xfId="48409" xr:uid="{3C5C03C8-84E6-4F85-A33D-4EC6DD690927}"/>
    <cellStyle name="Normal 5 28 2 7" xfId="15976" xr:uid="{3303609C-778D-40DD-A432-A2F2B3ED34E2}"/>
    <cellStyle name="Normal 5 28 2 8" xfId="47659" xr:uid="{EDD7B958-F718-4A4E-9484-6F9595929F63}"/>
    <cellStyle name="Normal 5 28 2 9" xfId="47871" xr:uid="{450B5C15-AB08-4D21-BD3D-8D20119C6F6A}"/>
    <cellStyle name="Normal 5 28 3" xfId="9769" xr:uid="{00000000-0005-0000-0000-0000041E0000}"/>
    <cellStyle name="Normal-- 5 28 3" xfId="48057" xr:uid="{544F20A6-B148-4554-9D6C-3EA2B158603B}"/>
    <cellStyle name="Normal 5 28 3 2" xfId="18126" xr:uid="{50E901E5-3049-4191-B9BD-FCB5B43336BE}"/>
    <cellStyle name="Normal 5 28 3 3" xfId="42258" xr:uid="{1336731F-3CF2-4D70-A088-139CA4D29E97}"/>
    <cellStyle name="Normal 5 28 3 4" xfId="46443" xr:uid="{025936AB-752B-481B-94D8-16ABC54331F3}"/>
    <cellStyle name="Normal 5 28 3 5" xfId="15041" xr:uid="{2F0DE33C-B051-46EC-89C6-9BF0875580EF}"/>
    <cellStyle name="Normal 5 28 3 6" xfId="47527" xr:uid="{102C82DF-35FD-4CD1-A3B8-EEC82F469E46}"/>
    <cellStyle name="Normal 5 28 3 7" xfId="48587" xr:uid="{11E0FCE7-048B-41ED-AA47-994DC72DA817}"/>
    <cellStyle name="Normal 5 28 3 8" xfId="40329" xr:uid="{B71CA8F0-DAE3-45C8-A2AD-30D421C0DC0F}"/>
    <cellStyle name="Normal 5 28 3 9" xfId="49349" xr:uid="{A273848E-5B6B-450D-9040-7EE30F2849C0}"/>
    <cellStyle name="Normal 5 28 4" xfId="6232" xr:uid="{00000000-0005-0000-0000-00003A0D0000}"/>
    <cellStyle name="Normal-- 5 28 4" xfId="39708" xr:uid="{E8FAA77B-AE88-4B99-9484-23ABCD2E74B2}"/>
    <cellStyle name="Normal 5 28 5" xfId="13075" xr:uid="{00000000-0005-0000-0000-00005F320000}"/>
    <cellStyle name="Normal-- 5 28 5" xfId="40263" xr:uid="{0F5F296A-452C-499A-9CB4-86DE1F787250}"/>
    <cellStyle name="Normal 5 28 5 2" xfId="45539" xr:uid="{E3E7A889-DAED-45B1-8FF1-0D3D1236B393}"/>
    <cellStyle name="Normal 5 28 5 3" xfId="49291" xr:uid="{53C5730E-C7F2-43AB-B9B8-E426EB68F9C7}"/>
    <cellStyle name="Normal 5 28 5 4" xfId="49580" xr:uid="{438A1157-362B-4528-BB9A-662B406E5CB5}"/>
    <cellStyle name="Normal 5 28 5 5" xfId="49821" xr:uid="{8793D8E0-16D0-401C-B9F5-75B615746C9F}"/>
    <cellStyle name="Normal 5 28 5 6" xfId="50173" xr:uid="{B681D0EA-6742-4EAD-A3F5-1A7F764D1CE2}"/>
    <cellStyle name="Normal 5 28 6" xfId="11562" xr:uid="{00000000-0005-0000-0000-0000D9320000}"/>
    <cellStyle name="Normal-- 5 28 6" xfId="13679" xr:uid="{A5019AF4-C2A5-408B-8A05-2DB410D1022B}"/>
    <cellStyle name="Normal 5 28 6 2" xfId="44050" xr:uid="{15EBAB75-C592-47AB-873B-F525BCF1D43C}"/>
    <cellStyle name="Normal 5 28 6 3" xfId="40090" xr:uid="{F461C56C-ADCB-4058-83C4-8AA3894A01C9}"/>
    <cellStyle name="Normal 5 28 6 4" xfId="48264" xr:uid="{96AFD2A7-7421-41DB-AF2A-7278C31A1D1C}"/>
    <cellStyle name="Normal 5 28 6 5" xfId="48945" xr:uid="{BD5D7864-68FF-4234-8E1C-757DCB0CB5D4}"/>
    <cellStyle name="Normal 5 28 7" xfId="13099" xr:uid="{00000000-0005-0000-0000-000057330000}"/>
    <cellStyle name="Normal-- 5 28 7" xfId="40703" xr:uid="{68581E02-8289-44A9-8480-D7C2D2092711}"/>
    <cellStyle name="Normal 5 28 7 2" xfId="45563" xr:uid="{3F5AB2E6-4AC6-4873-8354-55AA1D0827E2}"/>
    <cellStyle name="Normal 5 28 7 3" xfId="49825" xr:uid="{7ADC053B-60E1-498C-96D4-B1D43E143CE7}"/>
    <cellStyle name="Normal 5 28 7 4" xfId="50175" xr:uid="{E3C60360-267C-49A2-AD97-727BDAC8E9D2}"/>
    <cellStyle name="Normal 5 28 8" xfId="11537" xr:uid="{00000000-0005-0000-0000-0000D9330000}"/>
    <cellStyle name="Normal-- 5 28 8" xfId="15422" xr:uid="{3E282D3B-D219-4EE5-B1F2-5883D6A035DA}"/>
    <cellStyle name="Normal 5 28 8 2" xfId="44025" xr:uid="{8272BADF-B1E3-4E67-9173-E830C979BAC8}"/>
    <cellStyle name="Normal 5 28 8 3" xfId="48891" xr:uid="{7B8D1EED-67ED-4303-BBAA-FE9EECCAC8DF}"/>
    <cellStyle name="Normal 5 28 9" xfId="13118" xr:uid="{00000000-0005-0000-0000-00005F340000}"/>
    <cellStyle name="Normal-- 5 28 9" xfId="48226" xr:uid="{5B636E57-7DD6-40DE-A1A1-3667534A002F}"/>
    <cellStyle name="Normal 5 28 9 2" xfId="45582" xr:uid="{C63B5E97-E63E-426B-B495-4CE2861DAB91}"/>
    <cellStyle name="Normal 5 29" xfId="4246" xr:uid="{00000000-0005-0000-0000-0000B6100000}"/>
    <cellStyle name="Normal-- 5 29" xfId="13000" xr:uid="{00000000-0005-0000-0000-00004B320000}"/>
    <cellStyle name="Normal 5 29 10" xfId="15777" xr:uid="{47427E0D-CA3A-4249-931B-AC1A7CC2A92A}"/>
    <cellStyle name="Normal 5 29 11" xfId="38284" xr:uid="{F3EFC2EB-BFBC-4FBB-8698-B7DD36CF4938}"/>
    <cellStyle name="Normal 5 29 12" xfId="15209" xr:uid="{1BED4CD5-3CE7-48DA-B861-2ABDADDD4619}"/>
    <cellStyle name="Normal 5 29 13" xfId="47441" xr:uid="{5367AAE1-42B5-4FD9-A446-4B57FBFE3E13}"/>
    <cellStyle name="Normal 5 29 14" xfId="13696" xr:uid="{FBF1D100-D6A0-4C1B-8E35-629B6A388328}"/>
    <cellStyle name="Normal 5 29 15" xfId="40273" xr:uid="{2D605FDF-6057-497B-8924-D03C3604D4B7}"/>
    <cellStyle name="Normal 5 29 16" xfId="47965" xr:uid="{D590D1C5-AAF1-4B8F-8F89-48C16B802DD5}"/>
    <cellStyle name="Normal 5 29 17" xfId="40628" xr:uid="{0F8B7009-EA04-4E88-9C91-6F34513699C2}"/>
    <cellStyle name="Normal 5 29 18" xfId="46977" xr:uid="{F83D97A5-28C1-4EA9-A86B-B7C8F1077AE2}"/>
    <cellStyle name="Normal 5 29 2" xfId="4247" xr:uid="{00000000-0005-0000-0000-0000B7100000}"/>
    <cellStyle name="Normal-- 5 29 2" xfId="45464" xr:uid="{DB9CB7C3-2E09-4251-884F-779BF20B8777}"/>
    <cellStyle name="Normal 5 29 2 10" xfId="16465" xr:uid="{478DF2BE-BC22-4B58-B584-6F00F084F3CF}"/>
    <cellStyle name="Normal 5 29 2 11" xfId="47835" xr:uid="{442EDCA9-7641-4AE5-8BC3-5B8B8508F76B}"/>
    <cellStyle name="Normal 5 29 2 2" xfId="9772" xr:uid="{00000000-0005-0000-0000-0000071E0000}"/>
    <cellStyle name="Normal 5 29 2 2 2" xfId="42261" xr:uid="{CA0104CB-63A7-4314-B4C3-63AB435D8367}"/>
    <cellStyle name="Normal 5 29 2 3" xfId="6235" xr:uid="{00000000-0005-0000-0000-00003D0D0000}"/>
    <cellStyle name="Normal 5 29 2 4" xfId="38285" xr:uid="{6ECB1EBB-632D-489B-8E0D-ECC30039D83E}"/>
    <cellStyle name="Normal 5 29 2 5" xfId="40494" xr:uid="{EE22C3C7-C131-4547-B788-19A8788F568C}"/>
    <cellStyle name="Normal 5 29 2 6" xfId="46257" xr:uid="{6FF70935-6EA1-429A-8450-8E6D2AB50815}"/>
    <cellStyle name="Normal 5 29 2 7" xfId="41296" xr:uid="{6E518E25-2928-4622-B6F7-5CF0051D4A8D}"/>
    <cellStyle name="Normal 5 29 2 8" xfId="49141" xr:uid="{D2EFA979-4D59-4979-B02C-861766848409}"/>
    <cellStyle name="Normal 5 29 2 9" xfId="47870" xr:uid="{A283842E-871C-442B-B08B-008B73E4B4D1}"/>
    <cellStyle name="Normal 5 29 3" xfId="9771" xr:uid="{00000000-0005-0000-0000-0000061E0000}"/>
    <cellStyle name="Normal-- 5 29 3" xfId="48575" xr:uid="{398A96EF-B01C-41C3-95F5-FCE4FF9EC07F}"/>
    <cellStyle name="Normal 5 29 3 2" xfId="18127" xr:uid="{4DDF20C9-1696-4FC3-A21B-997EC4AC43D6}"/>
    <cellStyle name="Normal 5 29 3 3" xfId="42260" xr:uid="{A87CCE7D-7421-4580-BE35-498053BE3F07}"/>
    <cellStyle name="Normal 5 29 3 4" xfId="48165" xr:uid="{372F1E0F-4341-47F8-BC01-4FF9865728AB}"/>
    <cellStyle name="Normal 5 29 3 5" xfId="15423" xr:uid="{78531E54-6768-4EE1-BD1E-4273BA9E4951}"/>
    <cellStyle name="Normal 5 29 3 6" xfId="48221" xr:uid="{5611BF64-BEB9-4D65-81B2-407182C4DF38}"/>
    <cellStyle name="Normal 5 29 3 7" xfId="41468" xr:uid="{A5BE377A-FEB1-462D-8844-4D074B3E817B}"/>
    <cellStyle name="Normal 5 29 3 8" xfId="15183" xr:uid="{277A91FE-EDEE-4351-9509-F15EA21A82FD}"/>
    <cellStyle name="Normal 5 29 3 9" xfId="49300" xr:uid="{FE939E74-3B53-4000-AECB-3D8443058287}"/>
    <cellStyle name="Normal 5 29 4" xfId="6234" xr:uid="{00000000-0005-0000-0000-00003C0D0000}"/>
    <cellStyle name="Normal-- 5 29 4" xfId="15676" xr:uid="{B29D5DBC-C028-48A0-8317-A656CB03EB38}"/>
    <cellStyle name="Normal 5 29 5" xfId="11561" xr:uid="{00000000-0005-0000-0000-0000DA320000}"/>
    <cellStyle name="Normal-- 5 29 5" xfId="49054" xr:uid="{90B4196E-ED77-4953-98A4-66FC94286DE1}"/>
    <cellStyle name="Normal 5 29 5 2" xfId="44049" xr:uid="{3AA67092-B7C3-4855-99EA-09C2C94D2819}"/>
    <cellStyle name="Normal 5 29 5 3" xfId="47346" xr:uid="{6E9E9E7A-0774-4A70-9B5F-09002A57D9D5}"/>
    <cellStyle name="Normal 5 29 5 4" xfId="47018" xr:uid="{DDC29403-CFE5-4E89-8C00-035FFD8EFD66}"/>
    <cellStyle name="Normal 5 29 5 5" xfId="37904" xr:uid="{67D3FF1A-F2E9-47BC-BBE1-DC9ABE991F7A}"/>
    <cellStyle name="Normal 5 29 5 6" xfId="47349" xr:uid="{C59F8D0A-9E46-492B-95A8-C7A44FA45EDC}"/>
    <cellStyle name="Normal 5 29 6" xfId="13100" xr:uid="{00000000-0005-0000-0000-000058330000}"/>
    <cellStyle name="Normal-- 5 29 6" xfId="49280" xr:uid="{41D71ADD-B429-4099-BE8C-9469170DF322}"/>
    <cellStyle name="Normal 5 29 6 2" xfId="45564" xr:uid="{8D649825-894D-4356-A8A0-BA1C349C3ED2}"/>
    <cellStyle name="Normal 5 29 6 3" xfId="49583" xr:uid="{4C8C221F-28B6-449E-B487-4339AADD26C2}"/>
    <cellStyle name="Normal 5 29 6 4" xfId="49826" xr:uid="{0E88831D-6633-45C4-A1D8-23DB5602DEA6}"/>
    <cellStyle name="Normal 5 29 6 5" xfId="50176" xr:uid="{D12110BB-C690-4FCB-9B87-EBEFA3D3FCFD}"/>
    <cellStyle name="Normal 5 29 7" xfId="11535" xr:uid="{00000000-0005-0000-0000-0000DA330000}"/>
    <cellStyle name="Normal-- 5 29 7" xfId="49570" xr:uid="{851F6379-77BE-4096-8D76-E7EF10DB0286}"/>
    <cellStyle name="Normal 5 29 7 2" xfId="44023" xr:uid="{8BC50BD4-6AC4-4D46-A016-24F88D4CC84D}"/>
    <cellStyle name="Normal 5 29 7 3" xfId="15036" xr:uid="{4A80EFA8-9DC3-4B56-A500-B7D35AEFD867}"/>
    <cellStyle name="Normal 5 29 7 4" xfId="37999" xr:uid="{1C15C0B5-2171-419C-95C7-AC0090F2573C}"/>
    <cellStyle name="Normal 5 29 8" xfId="13119" xr:uid="{00000000-0005-0000-0000-000060340000}"/>
    <cellStyle name="Normal-- 5 29 8" xfId="49808" xr:uid="{84C40D14-2D70-4D11-AC92-0DF42B0EFC9F}"/>
    <cellStyle name="Normal 5 29 8 2" xfId="45583" xr:uid="{84470D0A-5E32-45FD-8DF4-29BFF06F9D85}"/>
    <cellStyle name="Normal 5 29 8 3" xfId="50178" xr:uid="{4C96F1C9-C4AE-465E-B5A6-0A615DC86CFC}"/>
    <cellStyle name="Normal 5 29 9" xfId="11516" xr:uid="{00000000-0005-0000-0000-0000EA340000}"/>
    <cellStyle name="Normal-- 5 29 9" xfId="50160" xr:uid="{12F48267-83F3-401E-82EA-8F0E945FE3B0}"/>
    <cellStyle name="Normal 5 29 9 2" xfId="44004" xr:uid="{22BCD3CA-DBCD-4F7D-9EBB-7934D91C8342}"/>
    <cellStyle name="Normal 5 3" xfId="4248" xr:uid="{00000000-0005-0000-0000-0000B8100000}"/>
    <cellStyle name="Normal-- 5 3" xfId="12065" xr:uid="{00000000-0005-0000-0000-00000A230000}"/>
    <cellStyle name="Normal 5 3 10" xfId="8220" xr:uid="{00000000-0005-0000-0000-0000DE230000}"/>
    <cellStyle name="Normal 5 3 10 2" xfId="41014" xr:uid="{542CF340-950E-4E93-991B-A2B07B98D6C6}"/>
    <cellStyle name="Normal 5 3 11" xfId="12164" xr:uid="{00000000-0005-0000-0000-00000D240000}"/>
    <cellStyle name="Normal 5 3 11 2" xfId="44647" xr:uid="{4A16D6D0-91A6-418D-BDF7-222233AB2242}"/>
    <cellStyle name="Normal 5 3 12" xfId="8229" xr:uid="{00000000-0005-0000-0000-000040240000}"/>
    <cellStyle name="Normal 5 3 12 2" xfId="41023" xr:uid="{E71246E9-8A8B-4245-B7B8-17BB8BF357FB}"/>
    <cellStyle name="Normal 5 3 13" xfId="12174" xr:uid="{00000000-0005-0000-0000-000077240000}"/>
    <cellStyle name="Normal 5 3 13 2" xfId="44657" xr:uid="{36D67304-CD84-4C80-8184-CC7B3FA9B106}"/>
    <cellStyle name="Normal 5 3 14" xfId="8242" xr:uid="{00000000-0005-0000-0000-0000B2240000}"/>
    <cellStyle name="Normal 5 3 14 2" xfId="41036" xr:uid="{A5ADD897-F61C-4F38-9744-E7231241347E}"/>
    <cellStyle name="Normal 5 3 15" xfId="12188" xr:uid="{00000000-0005-0000-0000-0000F1240000}"/>
    <cellStyle name="Normal 5 3 15 2" xfId="44671" xr:uid="{B5E2681C-7414-45A6-A0CA-C731408AF7AA}"/>
    <cellStyle name="Normal 5 3 16" xfId="8261" xr:uid="{00000000-0005-0000-0000-000034250000}"/>
    <cellStyle name="Normal 5 3 16 2" xfId="41055" xr:uid="{2D665611-074B-46D9-889A-7145FE541AED}"/>
    <cellStyle name="Normal 5 3 17" xfId="12206" xr:uid="{00000000-0005-0000-0000-00007B250000}"/>
    <cellStyle name="Normal 5 3 17 2" xfId="44689" xr:uid="{3822523C-6581-41CA-8C60-44CD59629DAF}"/>
    <cellStyle name="Normal 5 3 18" xfId="8279" xr:uid="{00000000-0005-0000-0000-0000C6250000}"/>
    <cellStyle name="Normal 5 3 18 2" xfId="41073" xr:uid="{23085EF1-6DD6-4468-B6B7-38FB736981D7}"/>
    <cellStyle name="Normal 5 3 19" xfId="12233" xr:uid="{00000000-0005-0000-0000-000015260000}"/>
    <cellStyle name="Normal 5 3 19 2" xfId="44716" xr:uid="{7384CD1F-15FF-460A-8E17-9204D33F7146}"/>
    <cellStyle name="Normal 5 3 2" xfId="4249" xr:uid="{00000000-0005-0000-0000-0000B9100000}"/>
    <cellStyle name="Normal-- 5 3 2" xfId="44548" xr:uid="{1DE79618-FEE1-463D-9CF5-C62F3B1C38B0}"/>
    <cellStyle name="Normal 5 3 2 10" xfId="46766" xr:uid="{22A00824-2052-41A8-BD23-1FB0D35030BD}"/>
    <cellStyle name="Normal 5 3 2 11" xfId="48418" xr:uid="{A47D923B-D86B-451B-84CE-9716FE7D95AA}"/>
    <cellStyle name="Normal 5 3 2 2" xfId="9774" xr:uid="{00000000-0005-0000-0000-0000091E0000}"/>
    <cellStyle name="Normal 5 3 2 2 2" xfId="42263" xr:uid="{099FC550-EDFF-4FE7-AB69-59EB3303BEBA}"/>
    <cellStyle name="Normal 5 3 2 3" xfId="6237" xr:uid="{00000000-0005-0000-0000-00003F0D0000}"/>
    <cellStyle name="Normal 5 3 2 4" xfId="38287" xr:uid="{83BB8D0F-86D5-4277-9905-231B5F72487B}"/>
    <cellStyle name="Normal 5 3 2 5" xfId="15210" xr:uid="{A61882CD-78B0-4274-81D2-606A55B5498B}"/>
    <cellStyle name="Normal 5 3 2 6" xfId="40439" xr:uid="{7F5AABBE-C640-4C99-8FDF-6632527BDBAB}"/>
    <cellStyle name="Normal 5 3 2 7" xfId="39557" xr:uid="{B98067AB-5308-40A2-953D-AEA830E7F5E7}"/>
    <cellStyle name="Normal 5 3 2 8" xfId="49122" xr:uid="{0FC62899-36B5-43D6-B110-D12DE0C75297}"/>
    <cellStyle name="Normal 5 3 2 9" xfId="41823" xr:uid="{B8E114FE-AFEC-484B-B3AD-A07CA2DDFB11}"/>
    <cellStyle name="Normal 5 3 20" xfId="8295" xr:uid="{00000000-0005-0000-0000-000068260000}"/>
    <cellStyle name="Normal 5 3 20 2" xfId="41086" xr:uid="{76F8DF86-B40C-4FE4-B7F1-F67EFC777343}"/>
    <cellStyle name="Normal 5 3 21" xfId="12252" xr:uid="{00000000-0005-0000-0000-0000BF260000}"/>
    <cellStyle name="Normal 5 3 21 2" xfId="44735" xr:uid="{7E4843FF-3998-4F14-916F-424D7999CC1E}"/>
    <cellStyle name="Normal 5 3 22" xfId="8321" xr:uid="{00000000-0005-0000-0000-00001A270000}"/>
    <cellStyle name="Normal 5 3 22 2" xfId="41103" xr:uid="{842C9102-787A-42C8-B43E-02597E30A83F}"/>
    <cellStyle name="Normal 5 3 23" xfId="12270" xr:uid="{00000000-0005-0000-0000-000079270000}"/>
    <cellStyle name="Normal 5 3 23 2" xfId="44753" xr:uid="{F7E209B2-F27F-401D-9E05-88F879A773F7}"/>
    <cellStyle name="Normal 5 3 24" xfId="6236" xr:uid="{00000000-0005-0000-0000-00003E0D0000}"/>
    <cellStyle name="Normal 5 3 25" xfId="13039" xr:uid="{00000000-0005-0000-0000-00009C300000}"/>
    <cellStyle name="Normal 5 3 25 2" xfId="45503" xr:uid="{A8247309-C150-425E-B1BC-0ECA65642CE8}"/>
    <cellStyle name="Normal 5 3 26" xfId="11608" xr:uid="{00000000-0005-0000-0000-000007310000}"/>
    <cellStyle name="Normal 5 3 26 2" xfId="44096" xr:uid="{12306FA1-DCA1-4F83-93DE-437328108801}"/>
    <cellStyle name="Normal 5 3 27" xfId="13056" xr:uid="{00000000-0005-0000-0000-000076310000}"/>
    <cellStyle name="Normal 5 3 27 2" xfId="45520" xr:uid="{01C2517C-E647-4920-B7A8-F5F7DB769CFE}"/>
    <cellStyle name="Normal 5 3 28" xfId="11581" xr:uid="{00000000-0005-0000-0000-0000E9310000}"/>
    <cellStyle name="Normal 5 3 28 2" xfId="44069" xr:uid="{9D9B4B8A-6F77-448B-939B-CD81B1D18129}"/>
    <cellStyle name="Normal 5 3 29" xfId="13077" xr:uid="{00000000-0005-0000-0000-000060320000}"/>
    <cellStyle name="Normal 5 3 29 2" xfId="45541" xr:uid="{92E5D098-8F51-4619-B9D4-A031A5666163}"/>
    <cellStyle name="Normal 5 3 3" xfId="9773" xr:uid="{00000000-0005-0000-0000-0000081E0000}"/>
    <cellStyle name="Normal-- 5 3 3" xfId="48215" xr:uid="{D25E168C-C810-4DA5-98C6-28E3D83A7892}"/>
    <cellStyle name="Normal 5 3 3 2" xfId="18128" xr:uid="{97EAA46F-5A5B-4682-A7DD-62F9CDB64337}"/>
    <cellStyle name="Normal 5 3 3 3" xfId="42262" xr:uid="{D6C55597-0DEC-41B0-83B0-F337624BCDFC}"/>
    <cellStyle name="Normal 5 3 3 4" xfId="46442" xr:uid="{834A152A-C3E0-468F-B6D3-B53332509059}"/>
    <cellStyle name="Normal 5 3 3 5" xfId="15040" xr:uid="{CACE03B3-8614-4E10-97F6-50F06EF7D090}"/>
    <cellStyle name="Normal 5 3 3 6" xfId="48427" xr:uid="{27FA1755-B220-4BC1-BA20-467FE81AA2A1}"/>
    <cellStyle name="Normal 5 3 3 7" xfId="47272" xr:uid="{66DC761B-ECF4-489E-BD3B-6838EEF57D2D}"/>
    <cellStyle name="Normal 5 3 3 8" xfId="48593" xr:uid="{200068E3-6611-4570-8A84-5FAAA896C984}"/>
    <cellStyle name="Normal 5 3 3 9" xfId="48358" xr:uid="{34888F70-34C3-4C4A-B519-CB896334E9B4}"/>
    <cellStyle name="Normal 5 3 30" xfId="11559" xr:uid="{00000000-0005-0000-0000-0000DB320000}"/>
    <cellStyle name="Normal 5 3 30 2" xfId="44047" xr:uid="{923497C9-C7AD-4BD0-913E-129C68D421DB}"/>
    <cellStyle name="Normal 5 3 31" xfId="13102" xr:uid="{00000000-0005-0000-0000-000059330000}"/>
    <cellStyle name="Normal 5 3 31 2" xfId="45566" xr:uid="{340DC8AA-17A0-49EF-B1A6-3C0AC01A3404}"/>
    <cellStyle name="Normal 5 3 32" xfId="11534" xr:uid="{00000000-0005-0000-0000-0000DB330000}"/>
    <cellStyle name="Normal 5 3 32 2" xfId="44022" xr:uid="{171573BC-ED44-41BF-84D6-D2A36D7F7868}"/>
    <cellStyle name="Normal 5 3 33" xfId="13120" xr:uid="{00000000-0005-0000-0000-000061340000}"/>
    <cellStyle name="Normal 5 3 33 2" xfId="45584" xr:uid="{D66C80BF-1660-4996-9B7A-6E3AD0F7B433}"/>
    <cellStyle name="Normal 5 3 34" xfId="11515" xr:uid="{00000000-0005-0000-0000-0000EB340000}"/>
    <cellStyle name="Normal 5 3 34 2" xfId="44003" xr:uid="{DFEBD379-C345-43AF-83DD-39D08A0EE89E}"/>
    <cellStyle name="Normal 5 3 35" xfId="15778" xr:uid="{0176F54C-F8A3-42EF-8362-74A920EEA427}"/>
    <cellStyle name="Normal 5 3 36" xfId="38286" xr:uid="{B6B47032-3806-4E91-B63D-B291181EDA43}"/>
    <cellStyle name="Normal 5 3 37" xfId="40495" xr:uid="{514E4C12-871F-482B-9933-BF2C4D5EEE79}"/>
    <cellStyle name="Normal 5 3 38" xfId="47445" xr:uid="{DA287F46-8FA4-4288-8A75-138F4DB96522}"/>
    <cellStyle name="Normal 5 3 39" xfId="46634" xr:uid="{0CE7C639-C102-4AE7-AADB-84D7D43E6AE6}"/>
    <cellStyle name="Normal 5 3 4" xfId="8196" xr:uid="{00000000-0005-0000-0000-00001E230000}"/>
    <cellStyle name="Normal-- 5 3 4" xfId="40516" xr:uid="{2BB8CF32-4332-4AD3-910B-8D4ABD170499}"/>
    <cellStyle name="Normal 5 3 4 2" xfId="40990" xr:uid="{D21E865E-6B86-42E3-A9D6-68D4A75C3CC4}"/>
    <cellStyle name="Normal 5 3 4 3" xfId="47151" xr:uid="{6C3131A0-1EA1-43D7-9D4F-781541DDCA73}"/>
    <cellStyle name="Normal 5 3 4 4" xfId="41371" xr:uid="{29654E6F-7FE2-418C-BB29-6D539313460C}"/>
    <cellStyle name="Normal 5 3 4 5" xfId="15455" xr:uid="{A18BF2E8-A4C8-45BE-B4B2-6C4320572EF5}"/>
    <cellStyle name="Normal 5 3 4 6" xfId="46645" xr:uid="{2AEF8CFC-979D-4209-A941-D738F54FDAEC}"/>
    <cellStyle name="Normal 5 3 4 7" xfId="40367" xr:uid="{D7F3ED4B-68CA-42B5-8313-F6B5A80E0B22}"/>
    <cellStyle name="Normal 5 3 40" xfId="47724" xr:uid="{9164A028-3574-41D4-9A1B-7ADC6DD1664A}"/>
    <cellStyle name="Normal 5 3 41" xfId="48616" xr:uid="{671D0EAD-825C-41DC-B61E-F68FC2FC46CF}"/>
    <cellStyle name="Normal 5 3 42" xfId="14998" xr:uid="{C8600745-9B5E-449B-9006-45681C58D591}"/>
    <cellStyle name="Normal 5 3 43" xfId="13624" xr:uid="{21F2C443-68A1-4516-BBF0-C58E79A31F67}"/>
    <cellStyle name="Normal 5 3 5" xfId="12139" xr:uid="{00000000-0005-0000-0000-000034230000}"/>
    <cellStyle name="Normal-- 5 3 5" xfId="15169" xr:uid="{BFB5DF58-5644-49CB-A1B8-20007D576C4D}"/>
    <cellStyle name="Normal 5 3 5 2" xfId="44622" xr:uid="{4F703796-ECB0-46BB-B670-0AC100DFDA25}"/>
    <cellStyle name="Normal 5 3 5 3" xfId="48099" xr:uid="{D40F4C8A-672B-4997-A0B3-C3ED389085BA}"/>
    <cellStyle name="Normal 5 3 5 4" xfId="16611" xr:uid="{A759C51F-3288-4EEA-89A3-E6060966A733}"/>
    <cellStyle name="Normal 5 3 5 5" xfId="47383" xr:uid="{64AA11A2-76ED-4073-9187-19BB478891AD}"/>
    <cellStyle name="Normal 5 3 5 6" xfId="48125" xr:uid="{518601E5-1149-4704-9563-F071FB4703A6}"/>
    <cellStyle name="Normal 5 3 6" xfId="8204" xr:uid="{00000000-0005-0000-0000-00004E230000}"/>
    <cellStyle name="Normal-- 5 3 6" xfId="48604" xr:uid="{2FC80337-BBE9-4D7D-A878-9C9940ECE5A6}"/>
    <cellStyle name="Normal 5 3 6 2" xfId="40998" xr:uid="{D08B45A7-3FCB-4FFD-8896-3A7915753F4B}"/>
    <cellStyle name="Normal 5 3 6 3" xfId="38009" xr:uid="{8B73ED8B-5EAF-4FE0-954E-7426C6E9FA74}"/>
    <cellStyle name="Normal 5 3 6 4" xfId="49164" xr:uid="{5D851E03-AFEB-4B06-887F-EC2DAD576464}"/>
    <cellStyle name="Normal 5 3 6 5" xfId="46102" xr:uid="{C85987F6-139A-4BE0-BDA3-008363FD14BA}"/>
    <cellStyle name="Normal 5 3 7" xfId="12147" xr:uid="{00000000-0005-0000-0000-00006C230000}"/>
    <cellStyle name="Normal-- 5 3 7" xfId="14988" xr:uid="{19CCA9D4-1F3D-4ED1-9002-C8DD83265A00}"/>
    <cellStyle name="Normal 5 3 7 2" xfId="44630" xr:uid="{DD0AD416-F19D-480E-B5D1-2C7956C367EE}"/>
    <cellStyle name="Normal 5 3 7 3" xfId="48474" xr:uid="{F972B065-D939-46B8-9678-6C266E790781}"/>
    <cellStyle name="Normal 5 3 7 4" xfId="15157" xr:uid="{5952E200-C038-4274-8DAF-0FE6D519A5B2}"/>
    <cellStyle name="Normal 5 3 8" xfId="8212" xr:uid="{00000000-0005-0000-0000-00008E230000}"/>
    <cellStyle name="Normal-- 5 3 8" xfId="46085" xr:uid="{3FAC1AB4-8CFB-4D7F-810A-0638F249DE4D}"/>
    <cellStyle name="Normal 5 3 8 2" xfId="41006" xr:uid="{B59AB50A-C789-47B7-A6F1-94A71CF95F08}"/>
    <cellStyle name="Normal 5 3 8 3" xfId="47378" xr:uid="{CA85C5CC-98B6-4402-BABE-7F2B18830B7A}"/>
    <cellStyle name="Normal 5 3 9" xfId="12155" xr:uid="{00000000-0005-0000-0000-0000B4230000}"/>
    <cellStyle name="Normal-- 5 3 9" xfId="47292" xr:uid="{BB5EE431-71A9-4587-B0A3-2B795821CF90}"/>
    <cellStyle name="Normal 5 3 9 2" xfId="44638" xr:uid="{857A0C40-B0C4-41D4-9A68-70835F778A77}"/>
    <cellStyle name="Normal 5 30" xfId="4250" xr:uid="{00000000-0005-0000-0000-0000BA100000}"/>
    <cellStyle name="Normal-- 5 30" xfId="11648" xr:uid="{00000000-0005-0000-0000-0000C5320000}"/>
    <cellStyle name="Normal 5 30 10" xfId="38288" xr:uid="{C7D54E56-5861-40A4-9617-E990B4C25B1E}"/>
    <cellStyle name="Normal 5 30 11" xfId="15211" xr:uid="{E61A39CD-F466-49A3-ACED-DE8B5552735E}"/>
    <cellStyle name="Normal 5 30 12" xfId="46256" xr:uid="{1804DC32-2DD1-4357-A9C0-776527DB8CC3}"/>
    <cellStyle name="Normal 5 30 13" xfId="15122" xr:uid="{6BD6A649-BD2C-45D3-B56F-B1E49C8D6F4D}"/>
    <cellStyle name="Normal 5 30 14" xfId="47729" xr:uid="{06BDAA2A-55CB-46CF-ADA5-16C77B5B41B2}"/>
    <cellStyle name="Normal 5 30 15" xfId="14155" xr:uid="{F24A37BA-2E4F-4B63-85A4-D08B2CE7D27A}"/>
    <cellStyle name="Normal 5 30 16" xfId="39580" xr:uid="{F7931BC0-0E45-460A-A56A-5F96B5BA04CB}"/>
    <cellStyle name="Normal 5 30 17" xfId="40630" xr:uid="{29510E9A-1569-4E46-834F-AABC8F390972}"/>
    <cellStyle name="Normal 5 30 2" xfId="4251" xr:uid="{00000000-0005-0000-0000-0000BB100000}"/>
    <cellStyle name="Normal-- 5 30 2" xfId="44136" xr:uid="{DDA3D47D-0A3F-4964-BA45-09D70B2DE407}"/>
    <cellStyle name="Normal 5 30 2 10" xfId="47630" xr:uid="{6A04E7EB-B25D-4B24-B48B-BC92DD6D9C1D}"/>
    <cellStyle name="Normal 5 30 2 11" xfId="37828" xr:uid="{031015E4-90FA-46F5-B8DF-C3084791D2B3}"/>
    <cellStyle name="Normal 5 30 2 2" xfId="9776" xr:uid="{00000000-0005-0000-0000-00000B1E0000}"/>
    <cellStyle name="Normal 5 30 2 2 2" xfId="42265" xr:uid="{9A437ED6-8280-4A3D-88D9-0CCCB2E23D1D}"/>
    <cellStyle name="Normal 5 30 2 3" xfId="6239" xr:uid="{00000000-0005-0000-0000-0000410D0000}"/>
    <cellStyle name="Normal 5 30 2 4" xfId="38289" xr:uid="{340A611E-FB25-49BA-A2D0-F56F5C9DC1EB}"/>
    <cellStyle name="Normal 5 30 2 5" xfId="40490" xr:uid="{17830E60-6871-4733-8EAA-D3DFF65AD9BD}"/>
    <cellStyle name="Normal 5 30 2 6" xfId="47444" xr:uid="{9090B92D-EF97-4225-8FFD-3978B28D5B71}"/>
    <cellStyle name="Normal 5 30 2 7" xfId="46397" xr:uid="{B9059255-2B03-4941-A576-92BB5A649578}"/>
    <cellStyle name="Normal 5 30 2 8" xfId="49112" xr:uid="{B8AF0ADD-086D-4870-A906-E6F9F38B25C4}"/>
    <cellStyle name="Normal 5 30 2 9" xfId="14132" xr:uid="{799E4D75-AA4C-46DE-834C-86D4B7DE8354}"/>
    <cellStyle name="Normal 5 30 3" xfId="9775" xr:uid="{00000000-0005-0000-0000-00000A1E0000}"/>
    <cellStyle name="Normal-- 5 30 3" xfId="48056" xr:uid="{F681DDA1-2B5E-4755-9A2C-EC54611DD0E3}"/>
    <cellStyle name="Normal 5 30 3 2" xfId="18129" xr:uid="{57E1F669-ECBC-4F2C-B632-7B2D04BB97C1}"/>
    <cellStyle name="Normal 5 30 3 3" xfId="42264" xr:uid="{26FBAB2C-6DA5-440D-ACF7-92B59A8D562A}"/>
    <cellStyle name="Normal 5 30 3 4" xfId="37790" xr:uid="{448F7A4E-C366-40E1-AECA-EBEF4C0A60F5}"/>
    <cellStyle name="Normal 5 30 3 5" xfId="47646" xr:uid="{E76299F2-0B2C-419A-96BD-0B16AC06C1C9}"/>
    <cellStyle name="Normal 5 30 3 6" xfId="47373" xr:uid="{51F4E02A-FA95-44A1-8FB2-A1A0E89558E9}"/>
    <cellStyle name="Normal 5 30 3 7" xfId="46210" xr:uid="{B2517067-565A-42C1-9C99-5B48A1D293DC}"/>
    <cellStyle name="Normal 5 30 3 8" xfId="15497" xr:uid="{C80DCEB1-5A16-40E4-8E93-AA5E850220CE}"/>
    <cellStyle name="Normal 5 30 3 9" xfId="37949" xr:uid="{FA0EC9E4-6303-4255-A8A7-EAD1A99A4AB8}"/>
    <cellStyle name="Normal 5 30 4" xfId="6238" xr:uid="{00000000-0005-0000-0000-0000400D0000}"/>
    <cellStyle name="Normal-- 5 30 4" xfId="39705" xr:uid="{1BB03300-E883-4D8B-80BD-D1B22D2C8ABE}"/>
    <cellStyle name="Normal 5 30 5" xfId="13103" xr:uid="{00000000-0005-0000-0000-00005A330000}"/>
    <cellStyle name="Normal-- 5 30 5" xfId="47006" xr:uid="{1915C9FF-3551-4DF9-AFCE-57F58D888B00}"/>
    <cellStyle name="Normal 5 30 5 2" xfId="45567" xr:uid="{4AD191D4-94F8-42D7-A059-A16CB3039DB9}"/>
    <cellStyle name="Normal 5 30 5 3" xfId="49301" xr:uid="{AE663784-C0BC-4554-90C3-CCA5D4AEE3E2}"/>
    <cellStyle name="Normal 5 30 5 4" xfId="49585" xr:uid="{70BD9676-B734-4D98-8E45-E39D4A34EF84}"/>
    <cellStyle name="Normal 5 30 5 5" xfId="49827" xr:uid="{A14F6836-481B-4272-84D2-1CB4E02E1494}"/>
    <cellStyle name="Normal 5 30 5 6" xfId="50177" xr:uid="{536805BC-1757-440D-B572-68192943F1FC}"/>
    <cellStyle name="Normal 5 30 6" xfId="11533" xr:uid="{00000000-0005-0000-0000-0000DC330000}"/>
    <cellStyle name="Normal-- 5 30 6" xfId="47634" xr:uid="{FCC2E473-82D7-4204-B284-5232C70F47E6}"/>
    <cellStyle name="Normal 5 30 6 2" xfId="44021" xr:uid="{276ACE08-06E5-4162-B917-A50B6B4DEEEE}"/>
    <cellStyle name="Normal 5 30 6 3" xfId="40540" xr:uid="{42EAC356-104E-4793-ACD4-FF988F6C4087}"/>
    <cellStyle name="Normal 5 30 6 4" xfId="46291" xr:uid="{8EAFBCF9-97FA-453A-B18A-2DF23DC1AFD5}"/>
    <cellStyle name="Normal 5 30 6 5" xfId="47327" xr:uid="{43FBFF6B-A104-4C45-B4D6-42FDD0717110}"/>
    <cellStyle name="Normal 5 30 7" xfId="13122" xr:uid="{00000000-0005-0000-0000-000062340000}"/>
    <cellStyle name="Normal-- 5 30 7" xfId="15107" xr:uid="{A2764311-FB9E-41CD-9585-9108176F4FA6}"/>
    <cellStyle name="Normal 5 30 7 2" xfId="45586" xr:uid="{44AE6E97-B736-41F7-B9D9-C75993015DAD}"/>
    <cellStyle name="Normal 5 30 7 3" xfId="49831" xr:uid="{D6230156-FBA1-4AA2-AD68-2473B749A469}"/>
    <cellStyle name="Normal 5 30 7 4" xfId="50179" xr:uid="{50FF92D6-0807-4FBE-B233-F98C12DF8496}"/>
    <cellStyle name="Normal 5 30 8" xfId="11513" xr:uid="{00000000-0005-0000-0000-0000EC340000}"/>
    <cellStyle name="Normal-- 5 30 8" xfId="47356" xr:uid="{790EBBFE-96AB-4E7E-AEC9-0FE1CA7F0F26}"/>
    <cellStyle name="Normal 5 30 8 2" xfId="44001" xr:uid="{15C3EC6C-857E-49A1-84A7-D06248400EF1}"/>
    <cellStyle name="Normal 5 30 8 3" xfId="37946" xr:uid="{2AF7826A-1C63-4ED2-A6BD-C45EB7DAB151}"/>
    <cellStyle name="Normal 5 30 9" xfId="15780" xr:uid="{92112928-7C73-4273-A99D-77B7894EA639}"/>
    <cellStyle name="Normal-- 5 30 9" xfId="48737" xr:uid="{722B91B1-017C-445A-8732-C5385D7E84D3}"/>
    <cellStyle name="Normal 5 31" xfId="4252" xr:uid="{00000000-0005-0000-0000-0000BC100000}"/>
    <cellStyle name="Normal-- 5 31" xfId="13006" xr:uid="{00000000-0005-0000-0000-000043330000}"/>
    <cellStyle name="Normal 5 31 10" xfId="40493" xr:uid="{FBB9EA20-20B1-4D96-92FC-1AADFE8E9EC4}"/>
    <cellStyle name="Normal 5 31 11" xfId="40432" xr:uid="{9E01EF82-CA2B-45F0-9A4D-1C3836435ECF}"/>
    <cellStyle name="Normal 5 31 12" xfId="46192" xr:uid="{DF70BACA-C0A7-4DC4-BC54-593F45BB6E85}"/>
    <cellStyle name="Normal 5 31 13" xfId="46962" xr:uid="{61D765CA-ADDC-441D-B1A9-88A01113E485}"/>
    <cellStyle name="Normal 5 31 14" xfId="47318" xr:uid="{38E31C23-D8ED-4D85-930B-4F32590D4346}"/>
    <cellStyle name="Normal 5 31 15" xfId="38000" xr:uid="{F8382041-734E-4FFD-B08F-9B706C8986CD}"/>
    <cellStyle name="Normal 5 31 16" xfId="46924" xr:uid="{8B78755A-5C6B-4C82-982C-DFCBF70FFC87}"/>
    <cellStyle name="Normal 5 31 2" xfId="4253" xr:uid="{00000000-0005-0000-0000-0000BD100000}"/>
    <cellStyle name="Normal-- 5 31 2" xfId="45470" xr:uid="{296E99FE-D277-4C20-B9BB-AB85EB57698C}"/>
    <cellStyle name="Normal 5 31 2 10" xfId="16464" xr:uid="{7DF7FBEF-A699-4452-864C-BB0A5B092D20}"/>
    <cellStyle name="Normal 5 31 2 11" xfId="46641" xr:uid="{A5F447A9-CBE2-487E-AFB6-D04E6F9CF17F}"/>
    <cellStyle name="Normal 5 31 2 2" xfId="9778" xr:uid="{00000000-0005-0000-0000-00000D1E0000}"/>
    <cellStyle name="Normal 5 31 2 2 2" xfId="42267" xr:uid="{F95559C7-8B9F-425E-BF6A-12BC8D589D7D}"/>
    <cellStyle name="Normal 5 31 2 3" xfId="6241" xr:uid="{00000000-0005-0000-0000-0000430D0000}"/>
    <cellStyle name="Normal 5 31 2 4" xfId="38291" xr:uid="{457960F2-3F38-429B-9100-AD92FC7A4793}"/>
    <cellStyle name="Normal 5 31 2 5" xfId="15212" xr:uid="{C90ED792-7526-4DAE-A0E9-DA5D2CAE70D9}"/>
    <cellStyle name="Normal 5 31 2 6" xfId="46254" xr:uid="{993CD5A1-965B-472D-BFEC-D21CC9DE04F7}"/>
    <cellStyle name="Normal 5 31 2 7" xfId="48880" xr:uid="{668E3BAB-6568-4712-B122-8E4F83E65C94}"/>
    <cellStyle name="Normal 5 31 2 8" xfId="49102" xr:uid="{1655B31B-B502-4967-AB12-1A1438E3583B}"/>
    <cellStyle name="Normal 5 31 2 9" xfId="46374" xr:uid="{15A09A3B-8296-482F-B20E-A94F7BA6DF7E}"/>
    <cellStyle name="Normal 5 31 3" xfId="9777" xr:uid="{00000000-0005-0000-0000-00000C1E0000}"/>
    <cellStyle name="Normal-- 5 31 3" xfId="48578" xr:uid="{3E12D7EE-0375-4386-8D0D-45A49DB08972}"/>
    <cellStyle name="Normal 5 31 3 2" xfId="18130" xr:uid="{4F5D8B44-A95F-44C5-A19E-A396C299D454}"/>
    <cellStyle name="Normal 5 31 3 3" xfId="42266" xr:uid="{AA67C845-C5D2-403A-AFBC-20C80A8DEEC6}"/>
    <cellStyle name="Normal 5 31 3 4" xfId="37791" xr:uid="{46AC6498-32D2-4FC2-8936-2976CDD06461}"/>
    <cellStyle name="Normal 5 31 3 5" xfId="47645" xr:uid="{13FAEB68-A358-441E-9AF0-B2C077FAF669}"/>
    <cellStyle name="Normal 5 31 3 6" xfId="47014" xr:uid="{150F4AC2-06CB-4723-AD1A-50D160A092A3}"/>
    <cellStyle name="Normal 5 31 3 7" xfId="15098" xr:uid="{407CD829-882C-4AFB-80FC-E038C61F07F0}"/>
    <cellStyle name="Normal 5 31 3 8" xfId="46293" xr:uid="{46538199-5093-46ED-9A58-C959E3B9141F}"/>
    <cellStyle name="Normal 5 31 3 9" xfId="47844" xr:uid="{3584A93B-A1AF-40D3-AE77-5B36B69F3BB1}"/>
    <cellStyle name="Normal 5 31 4" xfId="6240" xr:uid="{00000000-0005-0000-0000-0000420D0000}"/>
    <cellStyle name="Normal-- 5 31 4" xfId="15674" xr:uid="{5DF6D245-9773-4B34-8F07-A1C85D13D016}"/>
    <cellStyle name="Normal 5 31 5" xfId="11531" xr:uid="{00000000-0005-0000-0000-0000DD330000}"/>
    <cellStyle name="Normal-- 5 31 5" xfId="49056" xr:uid="{482470C1-B1F3-4E55-9FF4-E8F5A4400CFF}"/>
    <cellStyle name="Normal 5 31 5 2" xfId="44019" xr:uid="{23F68125-6422-4DEB-A327-A29D143BAF5F}"/>
    <cellStyle name="Normal 5 31 5 3" xfId="48259" xr:uid="{EF23C68A-DAB7-4483-AAF9-1A03C7502736}"/>
    <cellStyle name="Normal 5 31 5 4" xfId="40679" xr:uid="{9EA84C42-3BF8-4E6C-A077-EF280A27E174}"/>
    <cellStyle name="Normal 5 31 5 5" xfId="14201" xr:uid="{67FAD953-F1AC-4237-8FFA-124A2BAD6D5F}"/>
    <cellStyle name="Normal 5 31 5 6" xfId="46373" xr:uid="{61C879B7-1CEF-4D0F-9FDD-9F8AC1A62430}"/>
    <cellStyle name="Normal 5 31 6" xfId="13123" xr:uid="{00000000-0005-0000-0000-000063340000}"/>
    <cellStyle name="Normal-- 5 31 6" xfId="49281" xr:uid="{4217F69F-BFF5-4015-9077-83BC6BE11D3F}"/>
    <cellStyle name="Normal 5 31 6 2" xfId="45587" xr:uid="{2A3DEF57-576C-4586-80A7-CAF21F174254}"/>
    <cellStyle name="Normal 5 31 6 3" xfId="49590" xr:uid="{5319A279-E089-4EAE-B3AF-0AD43CD71FF2}"/>
    <cellStyle name="Normal 5 31 6 4" xfId="49832" xr:uid="{ACF25D10-64BF-41EE-BAEC-4C64B9D66912}"/>
    <cellStyle name="Normal 5 31 6 5" xfId="50180" xr:uid="{DB2A3B7B-47ED-4E33-8069-D267DCF82B7E}"/>
    <cellStyle name="Normal 5 31 7" xfId="11511" xr:uid="{00000000-0005-0000-0000-0000ED340000}"/>
    <cellStyle name="Normal-- 5 31 7" xfId="49571" xr:uid="{B834D88C-CE2F-40C1-937D-063A2BF30320}"/>
    <cellStyle name="Normal 5 31 7 2" xfId="43999" xr:uid="{A751EA7B-0738-4D83-8B3C-9701B51A41A4}"/>
    <cellStyle name="Normal 5 31 7 3" xfId="47110" xr:uid="{E86CE568-8318-4C39-B892-03C2152D6D5A}"/>
    <cellStyle name="Normal 5 31 7 4" xfId="40529" xr:uid="{340E5CD9-FABD-4AB7-8372-8EEDF07B561F}"/>
    <cellStyle name="Normal 5 31 8" xfId="15782" xr:uid="{404699D9-3CE7-405D-A46C-06A4C3F4D0C2}"/>
    <cellStyle name="Normal-- 5 31 8" xfId="49809" xr:uid="{296BACD9-F0A1-41E1-A9C1-F63ADB17AC9A}"/>
    <cellStyle name="Normal 5 31 9" xfId="38290" xr:uid="{B5748565-BA67-490E-B414-ABD032C8B2FC}"/>
    <cellStyle name="Normal-- 5 31 9" xfId="50161" xr:uid="{A8EFD0BA-6B3D-42DB-B28D-C6316577E29A}"/>
    <cellStyle name="Normal 5 32" xfId="4254" xr:uid="{00000000-0005-0000-0000-0000BE100000}"/>
    <cellStyle name="Normal-- 5 32" xfId="11644" xr:uid="{00000000-0005-0000-0000-0000C5330000}"/>
    <cellStyle name="Normal 5 32 10" xfId="47442" xr:uid="{2505C94D-3FD5-4A84-8280-A1989625CA62}"/>
    <cellStyle name="Normal 5 32 11" xfId="38026" xr:uid="{443FDBD1-61F5-44D6-A822-C0577B8C6BFF}"/>
    <cellStyle name="Normal 5 32 12" xfId="41310" xr:uid="{3AB31BF8-14FD-4B83-9327-542BC41A229E}"/>
    <cellStyle name="Normal 5 32 13" xfId="37924" xr:uid="{50697950-B792-4672-819F-B176E5CE43B2}"/>
    <cellStyle name="Normal 5 32 14" xfId="37672" xr:uid="{76069239-68CE-4C49-892E-8F566D56298C}"/>
    <cellStyle name="Normal 5 32 15" xfId="46212" xr:uid="{8B338EBF-B360-4C2F-AFB4-B018A09F827F}"/>
    <cellStyle name="Normal 5 32 2" xfId="4255" xr:uid="{00000000-0005-0000-0000-0000BF100000}"/>
    <cellStyle name="Normal-- 5 32 2" xfId="44132" xr:uid="{7E2F6B0A-A649-428A-BEE3-D9276EDF4765}"/>
    <cellStyle name="Normal 5 32 2 10" xfId="47294" xr:uid="{12D06E37-7AAC-4064-A8CE-09EC0A827C89}"/>
    <cellStyle name="Normal 5 32 2 11" xfId="49176" xr:uid="{3D0C2DC1-A3A1-4E4C-8FDD-E18EB0900D0D}"/>
    <cellStyle name="Normal 5 32 2 2" xfId="9780" xr:uid="{00000000-0005-0000-0000-00000F1E0000}"/>
    <cellStyle name="Normal 5 32 2 2 2" xfId="42269" xr:uid="{F9879907-2090-49EC-93AB-0C7D1762F484}"/>
    <cellStyle name="Normal 5 32 2 3" xfId="6243" xr:uid="{00000000-0005-0000-0000-0000450D0000}"/>
    <cellStyle name="Normal 5 32 2 4" xfId="38293" xr:uid="{170ED3F6-5AED-4B5E-81E3-6F720BF7EA9E}"/>
    <cellStyle name="Normal 5 32 2 5" xfId="40492" xr:uid="{328712FA-B95A-4FC6-B79A-59657F69EC73}"/>
    <cellStyle name="Normal 5 32 2 6" xfId="46255" xr:uid="{89AA5CCB-FFBF-4733-B3FA-7B2B07810370}"/>
    <cellStyle name="Normal 5 32 2 7" xfId="48862" xr:uid="{E8826256-9F2C-439A-ADC4-008DB8C1A125}"/>
    <cellStyle name="Normal 5 32 2 8" xfId="46635" xr:uid="{49818A72-D967-48D5-8707-946F3F426587}"/>
    <cellStyle name="Normal 5 32 2 9" xfId="47052" xr:uid="{A9E26A9E-442B-49E2-9723-23D737BD1363}"/>
    <cellStyle name="Normal 5 32 3" xfId="9779" xr:uid="{00000000-0005-0000-0000-00000E1E0000}"/>
    <cellStyle name="Normal-- 5 32 3" xfId="48054" xr:uid="{CBD56D20-0F34-416B-BA74-6158421C7984}"/>
    <cellStyle name="Normal 5 32 3 2" xfId="18131" xr:uid="{9C38F5AD-0184-408B-8984-8EBA444AA4DA}"/>
    <cellStyle name="Normal 5 32 3 3" xfId="42268" xr:uid="{5CF18F15-1FA6-4E85-9E52-3051367A9A81}"/>
    <cellStyle name="Normal 5 32 3 4" xfId="37792" xr:uid="{06371681-BFA4-4C09-8590-D5FB3E2EDFD8}"/>
    <cellStyle name="Normal 5 32 3 5" xfId="15042" xr:uid="{9C03D79F-E63C-49B4-962C-7245CF435ED0}"/>
    <cellStyle name="Normal 5 32 3 6" xfId="46307" xr:uid="{94C50E82-968B-4292-B3E4-5D8E63847CC5}"/>
    <cellStyle name="Normal 5 32 3 7" xfId="48938" xr:uid="{EA8384BB-312F-43D4-9954-B31127A26C01}"/>
    <cellStyle name="Normal 5 32 3 8" xfId="40738" xr:uid="{AF267BB4-B52E-41D8-97A5-9CBB8AA0CC22}"/>
    <cellStyle name="Normal 5 32 3 9" xfId="49374" xr:uid="{20B06487-F381-4FF7-A9E5-660756374F44}"/>
    <cellStyle name="Normal 5 32 4" xfId="6242" xr:uid="{00000000-0005-0000-0000-0000440D0000}"/>
    <cellStyle name="Normal-- 5 32 4" xfId="39670" xr:uid="{C0AE11B6-418F-4EAC-963D-50FDE2B265ED}"/>
    <cellStyle name="Normal 5 32 5" xfId="13125" xr:uid="{00000000-0005-0000-0000-000064340000}"/>
    <cellStyle name="Normal-- 5 32 5" xfId="47746" xr:uid="{52725E44-F516-47E8-86A2-75D7EBEE0A2E}"/>
    <cellStyle name="Normal 5 32 5 2" xfId="45589" xr:uid="{908310F8-9E4D-4C42-B58E-5D8D0D0E4292}"/>
    <cellStyle name="Normal 5 32 5 3" xfId="49305" xr:uid="{4668E03C-29A7-4B44-8CD5-AF9BAA4AA8C5}"/>
    <cellStyle name="Normal 5 32 5 4" xfId="49591" xr:uid="{EAE8CC4F-3982-4796-AF0F-F9A548488EC0}"/>
    <cellStyle name="Normal 5 32 5 5" xfId="49833" xr:uid="{A9571FC7-44EA-479C-80DA-3C8FDE7015C7}"/>
    <cellStyle name="Normal 5 32 5 6" xfId="50181" xr:uid="{31692682-6433-4FC5-AEAA-BB49D5BC7E86}"/>
    <cellStyle name="Normal 5 32 6" xfId="11510" xr:uid="{00000000-0005-0000-0000-0000EE340000}"/>
    <cellStyle name="Normal-- 5 32 6" xfId="46608" xr:uid="{7069F06D-7308-4F32-86FB-B14B5E063C97}"/>
    <cellStyle name="Normal 5 32 6 2" xfId="43998" xr:uid="{C558815A-8C24-45FA-8356-8F2D01F176B0}"/>
    <cellStyle name="Normal 5 32 6 3" xfId="40707" xr:uid="{6078DAA3-ED2D-45E9-99D9-43494FFAECCB}"/>
    <cellStyle name="Normal 5 32 6 4" xfId="40242" xr:uid="{3261031A-B0E6-4693-91C1-EBB9F4618502}"/>
    <cellStyle name="Normal 5 32 6 5" xfId="49339" xr:uid="{D6C404FD-6CBC-423C-BB48-FCB2E2006BCD}"/>
    <cellStyle name="Normal 5 32 7" xfId="15784" xr:uid="{E38F80D9-79C3-4A36-8C63-C891A9393DAC}"/>
    <cellStyle name="Normal-- 5 32 7" xfId="15579" xr:uid="{51622F7C-C095-45F0-913A-5351A8B64643}"/>
    <cellStyle name="Normal 5 32 8" xfId="38292" xr:uid="{35972C7A-91F5-47DB-9EF6-A78E4D739B44}"/>
    <cellStyle name="Normal-- 5 32 8" xfId="13977" xr:uid="{3AF30490-9A3A-4A5F-BFC2-271A2B3FA20D}"/>
    <cellStyle name="Normal 5 32 9" xfId="40491" xr:uid="{5AEE1632-5FBA-438D-901E-915194563FC3}"/>
    <cellStyle name="Normal-- 5 32 9" xfId="48825" xr:uid="{6D2163B3-D2C6-4886-AB6F-57BEB74514A2}"/>
    <cellStyle name="Normal 5 33" xfId="4256" xr:uid="{00000000-0005-0000-0000-0000C0100000}"/>
    <cellStyle name="Normal-- 5 33" xfId="13019" xr:uid="{00000000-0005-0000-0000-00004B340000}"/>
    <cellStyle name="Normal 5 33 10" xfId="38030" xr:uid="{E1ECE1A3-A87C-444F-AC3B-C9AAC65E322A}"/>
    <cellStyle name="Normal 5 33 11" xfId="47817" xr:uid="{B62B5456-77F8-4E19-930E-7754D4BFA16E}"/>
    <cellStyle name="Normal 5 33 12" xfId="47995" xr:uid="{2D127B87-AD31-42CB-86D7-C292D2A6827F}"/>
    <cellStyle name="Normal 5 33 13" xfId="48627" xr:uid="{95687BDB-ECF9-47C9-81FA-F0B68CEA63EC}"/>
    <cellStyle name="Normal 5 33 14" xfId="37763" xr:uid="{8D67CCBD-6A09-46D6-8753-A1967CE43267}"/>
    <cellStyle name="Normal 5 33 2" xfId="4257" xr:uid="{00000000-0005-0000-0000-0000C1100000}"/>
    <cellStyle name="Normal-- 5 33 2" xfId="45483" xr:uid="{FD19D6EC-E129-4BF1-9B44-A3BD12DB1423}"/>
    <cellStyle name="Normal 5 33 2 10" xfId="41511" xr:uid="{B004AE9D-3597-4903-8A4A-F823351A5651}"/>
    <cellStyle name="Normal 5 33 2 11" xfId="46685" xr:uid="{AF413732-ADBD-42DB-9BE8-228C6B076C89}"/>
    <cellStyle name="Normal 5 33 2 2" xfId="9782" xr:uid="{00000000-0005-0000-0000-0000111E0000}"/>
    <cellStyle name="Normal 5 33 2 2 2" xfId="42271" xr:uid="{F4A1E8B0-99D4-4ECE-A1CE-A837AC24AA60}"/>
    <cellStyle name="Normal 5 33 2 3" xfId="6245" xr:uid="{00000000-0005-0000-0000-0000470D0000}"/>
    <cellStyle name="Normal 5 33 2 4" xfId="38295" xr:uid="{E595EFB0-D8AF-40E6-89AC-35BF3BE9FD4F}"/>
    <cellStyle name="Normal 5 33 2 5" xfId="15214" xr:uid="{ECE1B176-58DD-4DA5-B756-0BD18AC1BA19}"/>
    <cellStyle name="Normal 5 33 2 6" xfId="15282" xr:uid="{79914FA6-F982-4824-AB61-C64D0078A9FD}"/>
    <cellStyle name="Normal 5 33 2 7" xfId="48850" xr:uid="{9FED6C42-AA86-4991-B0C6-774327A85311}"/>
    <cellStyle name="Normal 5 33 2 8" xfId="40725" xr:uid="{52A2839D-784E-4BA1-8113-053E93D06711}"/>
    <cellStyle name="Normal 5 33 2 9" xfId="46305" xr:uid="{B6ABD625-F749-4712-AC9D-E37B2A52584C}"/>
    <cellStyle name="Normal 5 33 3" xfId="9781" xr:uid="{00000000-0005-0000-0000-0000101E0000}"/>
    <cellStyle name="Normal-- 5 33 3" xfId="48584" xr:uid="{3D16DD3C-E649-4291-8D2C-4A4E909A16D8}"/>
    <cellStyle name="Normal 5 33 3 2" xfId="18132" xr:uid="{FBA1746E-B3B7-4721-9B7A-6B95685DD0DB}"/>
    <cellStyle name="Normal 5 33 3 3" xfId="42270" xr:uid="{9B1E8458-65B2-4C1F-B7BC-C97C5EBD0736}"/>
    <cellStyle name="Normal 5 33 3 4" xfId="46420" xr:uid="{1D9273B3-6099-4D3F-9E1E-78FA8BCEFC67}"/>
    <cellStyle name="Normal 5 33 3 5" xfId="46800" xr:uid="{8B3A4D4C-810A-4AC9-BCC9-43EE2AF2D6CD}"/>
    <cellStyle name="Normal 5 33 3 6" xfId="41872" xr:uid="{DE4BB27C-1416-49B9-9EE6-3E0DCCAA0131}"/>
    <cellStyle name="Normal 5 33 3 7" xfId="15096" xr:uid="{17E229A9-CE69-4EAC-A9DA-C9805AA479A6}"/>
    <cellStyle name="Normal 5 33 3 8" xfId="47184" xr:uid="{CCE968DA-F15A-488E-B717-4F455A48F48A}"/>
    <cellStyle name="Normal 5 33 3 9" xfId="40658" xr:uid="{DF4AAD3D-F3D2-415A-BDD0-620C9DB8F262}"/>
    <cellStyle name="Normal 5 33 4" xfId="6244" xr:uid="{00000000-0005-0000-0000-0000460D0000}"/>
    <cellStyle name="Normal-- 5 33 4" xfId="15670" xr:uid="{160BA551-FC22-42FE-A14B-4603F2354AA8}"/>
    <cellStyle name="Normal 5 33 5" xfId="11509" xr:uid="{00000000-0005-0000-0000-0000EF340000}"/>
    <cellStyle name="Normal-- 5 33 5" xfId="49063" xr:uid="{8FD7B0BE-EFD7-4507-82C7-0CF1DA7A61A0}"/>
    <cellStyle name="Normal 5 33 5 2" xfId="43997" xr:uid="{FF65F3DD-214F-4E90-9E41-7E24F3BEF26D}"/>
    <cellStyle name="Normal 5 33 5 3" xfId="46622" xr:uid="{4CD3DF8D-5ABD-4878-8AEB-A6213819F8CC}"/>
    <cellStyle name="Normal 5 33 5 4" xfId="15004" xr:uid="{C397C9DF-EFEF-43D8-A174-8FD7EE3C6FDE}"/>
    <cellStyle name="Normal 5 33 5 5" xfId="15545" xr:uid="{F053F554-23D2-4F57-8E82-1EA128439852}"/>
    <cellStyle name="Normal 5 33 5 6" xfId="48085" xr:uid="{E8C57874-E7AB-43E5-A84D-6C1B6B8828C7}"/>
    <cellStyle name="Normal 5 33 6" xfId="15786" xr:uid="{28FFF4E7-8C90-463D-AFD7-9CADC7551D6F}"/>
    <cellStyle name="Normal-- 5 33 6" xfId="49283" xr:uid="{9215BE09-ACB8-400D-9E2D-965E340B6E96}"/>
    <cellStyle name="Normal 5 33 7" xfId="38294" xr:uid="{2330E66A-8C45-4A47-8760-8B0BAAD9C68E}"/>
    <cellStyle name="Normal-- 5 33 7" xfId="49574" xr:uid="{522DF820-CE54-4C59-BB43-78271DFD5EB5}"/>
    <cellStyle name="Normal 5 33 8" xfId="15213" xr:uid="{4B644A35-8F06-4193-A891-7BD9FC4C3F35}"/>
    <cellStyle name="Normal-- 5 33 8" xfId="49810" xr:uid="{FE85EA95-07DE-4432-B493-167CF029B740}"/>
    <cellStyle name="Normal 5 33 9" xfId="47443" xr:uid="{8B5B8CF3-6F89-4485-8AAE-AAF48EA96B79}"/>
    <cellStyle name="Normal-- 5 33 9" xfId="50162" xr:uid="{EFD775F9-FCAB-4FF3-AED6-1A05EC37B7DD}"/>
    <cellStyle name="Normal 5 34" xfId="4258" xr:uid="{00000000-0005-0000-0000-0000C2100000}"/>
    <cellStyle name="Normal-- 5 34" xfId="11631" xr:uid="{00000000-0005-0000-0000-0000D5340000}"/>
    <cellStyle name="Normal 5 34 10" xfId="46767" xr:uid="{74D82DB9-E343-403B-AD91-124033E25C8B}"/>
    <cellStyle name="Normal 5 34 11" xfId="14130" xr:uid="{49DEC2E2-2188-48E9-AB5F-EF7EDA579624}"/>
    <cellStyle name="Normal 5 34 12" xfId="46379" xr:uid="{6213C143-C422-49CA-A7F5-F7BC23D4878C}"/>
    <cellStyle name="Normal 5 34 13" xfId="48579" xr:uid="{65C8CCDC-6766-44DB-AFAE-E3AC1AE460B0}"/>
    <cellStyle name="Normal 5 34 2" xfId="4259" xr:uid="{00000000-0005-0000-0000-0000C3100000}"/>
    <cellStyle name="Normal-- 5 34 2" xfId="44119" xr:uid="{324B0D7A-3015-4165-B9F4-85F7DF4FDEF5}"/>
    <cellStyle name="Normal 5 34 2 10" xfId="48531" xr:uid="{E7E36AFF-0EDB-444C-B47B-C35B87B3415B}"/>
    <cellStyle name="Normal 5 34 2 11" xfId="46714" xr:uid="{10AF09CC-41F3-4707-95C4-4BBBDAE87119}"/>
    <cellStyle name="Normal 5 34 2 2" xfId="9784" xr:uid="{00000000-0005-0000-0000-0000131E0000}"/>
    <cellStyle name="Normal 5 34 2 2 2" xfId="42273" xr:uid="{D8889C21-0BA7-4182-A8AF-90DA2BF1DDF5}"/>
    <cellStyle name="Normal 5 34 2 3" xfId="6247" xr:uid="{00000000-0005-0000-0000-0000490D0000}"/>
    <cellStyle name="Normal 5 34 2 4" xfId="38297" xr:uid="{138BCCAF-ED86-4303-A962-15D0157AB8F2}"/>
    <cellStyle name="Normal 5 34 2 5" xfId="40486" xr:uid="{46FFB515-7816-4C3C-B35F-723E6983EB94}"/>
    <cellStyle name="Normal 5 34 2 6" xfId="48707" xr:uid="{CC0189B2-D6AD-46CF-A1EA-748142F72911}"/>
    <cellStyle name="Normal 5 34 2 7" xfId="48840" xr:uid="{8F2F728C-02C7-41E9-B3DA-179730FFA3AE}"/>
    <cellStyle name="Normal 5 34 2 8" xfId="14938" xr:uid="{43C8D036-9689-438B-ABB7-ADA3A0EABB3D}"/>
    <cellStyle name="Normal 5 34 2 9" xfId="47186" xr:uid="{BCCCA239-BF88-402B-8867-E006C160168F}"/>
    <cellStyle name="Normal 5 34 3" xfId="9783" xr:uid="{00000000-0005-0000-0000-0000121E0000}"/>
    <cellStyle name="Normal-- 5 34 3" xfId="48050" xr:uid="{4FCA41A5-1CF0-4899-ACEE-711C7AB8FE8E}"/>
    <cellStyle name="Normal 5 34 3 2" xfId="18133" xr:uid="{152A3058-925A-4B87-AAEC-8CA581BD6070}"/>
    <cellStyle name="Normal 5 34 3 3" xfId="42272" xr:uid="{3FAE969A-141E-461C-8C2E-F2BAE8E06FDE}"/>
    <cellStyle name="Normal 5 34 3 4" xfId="37793" xr:uid="{2E059A1C-AF15-4E66-8DEA-C0DAE03DBEBA}"/>
    <cellStyle name="Normal 5 34 3 5" xfId="40654" xr:uid="{6939F388-AC35-4E8C-89A1-692D81986C36}"/>
    <cellStyle name="Normal 5 34 3 6" xfId="46310" xr:uid="{453D5EDE-4662-476D-88C1-8D307455A0FA}"/>
    <cellStyle name="Normal 5 34 3 7" xfId="47685" xr:uid="{4E3400FF-FF7C-4857-9CA3-5EE3353DE099}"/>
    <cellStyle name="Normal 5 34 3 8" xfId="48469" xr:uid="{17B9900B-3C55-46E2-A358-CAB24A228378}"/>
    <cellStyle name="Normal 5 34 3 9" xfId="46589" xr:uid="{27A22581-0006-43ED-9222-CA78F1DD002C}"/>
    <cellStyle name="Normal 5 34 4" xfId="6246" xr:uid="{00000000-0005-0000-0000-0000480D0000}"/>
    <cellStyle name="Normal-- 5 34 4" xfId="46147" xr:uid="{6B297261-649F-4718-AB4B-6596277299F4}"/>
    <cellStyle name="Normal 5 34 5" xfId="15787" xr:uid="{C29649B8-BB90-4FDC-97A3-A59F250180E1}"/>
    <cellStyle name="Normal-- 5 34 5" xfId="46998" xr:uid="{89B16B93-F567-4ACC-8DB0-1FFCFE3A3688}"/>
    <cellStyle name="Normal 5 34 6" xfId="38296" xr:uid="{98E7F7AA-E18D-480E-8E07-609682636138}"/>
    <cellStyle name="Normal-- 5 34 6" xfId="46276" xr:uid="{7D0F79CE-0823-43C8-B2A0-9EAF86BA095B}"/>
    <cellStyle name="Normal 5 34 7" xfId="15215" xr:uid="{9C804144-DD92-4AF7-9A0D-32CE573431FD}"/>
    <cellStyle name="Normal-- 5 34 7" xfId="15410" xr:uid="{8F2D847C-EE81-466E-8540-30053D7A5941}"/>
    <cellStyle name="Normal 5 34 8" xfId="47913" xr:uid="{C08FBDB8-9439-42A5-A2D3-D43FDF80BE38}"/>
    <cellStyle name="Normal-- 5 34 8" xfId="47497" xr:uid="{842A754B-B23F-41C2-9E02-C6255445971F}"/>
    <cellStyle name="Normal 5 34 9" xfId="48337" xr:uid="{C7151EF6-5A8E-43DC-B623-15A08970931C}"/>
    <cellStyle name="Normal-- 5 34 9" xfId="46626" xr:uid="{E982EA65-4651-471B-A6DC-B87BE05F9136}"/>
    <cellStyle name="Normal 5 35" xfId="4260" xr:uid="{00000000-0005-0000-0000-0000C4100000}"/>
    <cellStyle name="Normal-- 5 35" xfId="15739" xr:uid="{89646695-5837-4214-894D-FE6B6988CA1C}"/>
    <cellStyle name="Normal 5 35 10" xfId="40410" xr:uid="{09FE6551-382F-4B7D-91FC-E3678FF480AB}"/>
    <cellStyle name="Normal 5 35 11" xfId="47994" xr:uid="{F4FE99FF-04B9-4A4F-92C8-3AEFE351A3D5}"/>
    <cellStyle name="Normal 5 35 12" xfId="46856" xr:uid="{6BECC13B-60CC-49AE-B1F7-5F29E100980B}"/>
    <cellStyle name="Normal 5 35 13" xfId="15046" xr:uid="{8E4F1F28-6CA3-439E-9B0D-38A497610908}"/>
    <cellStyle name="Normal 5 35 2" xfId="4261" xr:uid="{00000000-0005-0000-0000-0000C5100000}"/>
    <cellStyle name="Normal 5 35 2 2" xfId="9786" xr:uid="{00000000-0005-0000-0000-0000151E0000}"/>
    <cellStyle name="Normal 5 35 2 2 2" xfId="42275" xr:uid="{FF31AA6A-C66B-4F35-986E-162B6016C73A}"/>
    <cellStyle name="Normal 5 35 2 3" xfId="6249" xr:uid="{00000000-0005-0000-0000-00004B0D0000}"/>
    <cellStyle name="Normal 5 35 2 4" xfId="38299" xr:uid="{118759F1-5DD6-458C-8676-EC0FF719700A}"/>
    <cellStyle name="Normal 5 35 3" xfId="9785" xr:uid="{00000000-0005-0000-0000-0000141E0000}"/>
    <cellStyle name="Normal 5 35 3 2" xfId="18134" xr:uid="{24072343-4B86-4D07-96F0-10DAC7EE7264}"/>
    <cellStyle name="Normal 5 35 3 3" xfId="42274" xr:uid="{A2F6AF4C-B705-41FC-B3A5-9CEC7246EA3E}"/>
    <cellStyle name="Normal 5 35 4" xfId="6248" xr:uid="{00000000-0005-0000-0000-00004A0D0000}"/>
    <cellStyle name="Normal 5 35 5" xfId="15788" xr:uid="{774F6E75-C47B-4FB6-86A2-BFF56AEBA92F}"/>
    <cellStyle name="Normal 5 35 6" xfId="38298" xr:uid="{7E13024F-A1A6-43F6-8FEE-C4ACD0FCA1BF}"/>
    <cellStyle name="Normal 5 35 7" xfId="40489" xr:uid="{E4AEEF9D-3B23-48EC-B929-FF3593B8B712}"/>
    <cellStyle name="Normal 5 35 8" xfId="47948" xr:uid="{AB78A6D7-2ED3-42FE-B546-72CF9F0016A2}"/>
    <cellStyle name="Normal 5 35 9" xfId="39575" xr:uid="{044CF723-F225-4DF2-90D4-8D0F43AD5889}"/>
    <cellStyle name="Normal 5 36" xfId="4262" xr:uid="{00000000-0005-0000-0000-0000C6100000}"/>
    <cellStyle name="Normal-- 5 36" xfId="38217" xr:uid="{923DAA6C-4A35-4C8D-BCAD-27F38AC22C12}"/>
    <cellStyle name="Normal 5 36 10" xfId="40567" xr:uid="{210797A8-343D-4411-8F59-343689F7F582}"/>
    <cellStyle name="Normal 5 36 11" xfId="47778" xr:uid="{B5D9BD9B-98BC-4F19-AF0B-20F5648931BB}"/>
    <cellStyle name="Normal 5 36 12" xfId="16486" xr:uid="{AEDA277F-7F01-45FD-8753-CCB8A7F6AACF}"/>
    <cellStyle name="Normal 5 36 13" xfId="14141" xr:uid="{EB839106-3C91-4829-BA74-0001CCCA5C2C}"/>
    <cellStyle name="Normal 5 36 2" xfId="4263" xr:uid="{00000000-0005-0000-0000-0000C7100000}"/>
    <cellStyle name="Normal 5 36 2 2" xfId="9788" xr:uid="{00000000-0005-0000-0000-0000171E0000}"/>
    <cellStyle name="Normal 5 36 2 2 2" xfId="42277" xr:uid="{BA853025-E2CC-4FE8-AF1E-ADDB69B4C5C9}"/>
    <cellStyle name="Normal 5 36 2 3" xfId="6251" xr:uid="{00000000-0005-0000-0000-00004D0D0000}"/>
    <cellStyle name="Normal 5 36 2 4" xfId="38301" xr:uid="{3D9AFD2D-93C0-4044-91A6-A724BBBA5D3B}"/>
    <cellStyle name="Normal 5 36 3" xfId="9787" xr:uid="{00000000-0005-0000-0000-0000161E0000}"/>
    <cellStyle name="Normal 5 36 3 2" xfId="18135" xr:uid="{B5531ADB-2171-4798-BB32-BE5DAEFB130D}"/>
    <cellStyle name="Normal 5 36 3 3" xfId="42276" xr:uid="{C5DEEF5E-4FD0-4374-9E32-0D8A83594F4A}"/>
    <cellStyle name="Normal 5 36 4" xfId="6250" xr:uid="{00000000-0005-0000-0000-00004C0D0000}"/>
    <cellStyle name="Normal 5 36 5" xfId="15790" xr:uid="{A0EE3212-3A08-437D-A89A-13DA984B373B}"/>
    <cellStyle name="Normal 5 36 6" xfId="38300" xr:uid="{4B71009A-1C58-4CA5-8FA9-A3316398C99A}"/>
    <cellStyle name="Normal 5 36 7" xfId="40488" xr:uid="{87811C77-BE41-4BC6-ABED-D7B20089B438}"/>
    <cellStyle name="Normal 5 36 8" xfId="47971" xr:uid="{C78820A8-9EDF-4520-B3FF-D543B19B235C}"/>
    <cellStyle name="Normal 5 36 9" xfId="41341" xr:uid="{A39BEEA8-AD53-468F-A8D8-4EAD4E8CF95B}"/>
    <cellStyle name="Normal 5 37" xfId="4264" xr:uid="{00000000-0005-0000-0000-0000C8100000}"/>
    <cellStyle name="Normal-- 5 37" xfId="44505" xr:uid="{4B60A844-7583-44B3-8A23-155981C8B24C}"/>
    <cellStyle name="Normal 5 37 10" xfId="15134" xr:uid="{C0390F35-3298-4AB6-923A-B4A7C4A32F74}"/>
    <cellStyle name="Normal 5 37 11" xfId="15064" xr:uid="{E7FD8D80-008B-459E-8E0E-AAC6902B4AD6}"/>
    <cellStyle name="Normal 5 37 12" xfId="48917" xr:uid="{06D39919-AE49-4652-976F-D40A73093269}"/>
    <cellStyle name="Normal 5 37 2" xfId="4265" xr:uid="{00000000-0005-0000-0000-0000C9100000}"/>
    <cellStyle name="Normal 5 37 2 2" xfId="9790" xr:uid="{00000000-0005-0000-0000-0000191E0000}"/>
    <cellStyle name="Normal 5 37 2 2 2" xfId="42279" xr:uid="{ECB06987-C298-4916-85A3-89144C5CCED9}"/>
    <cellStyle name="Normal 5 37 2 3" xfId="6253" xr:uid="{00000000-0005-0000-0000-00004F0D0000}"/>
    <cellStyle name="Normal 5 37 2 4" xfId="38303" xr:uid="{1E635619-7DE5-4691-8B9E-2867F653B0E5}"/>
    <cellStyle name="Normal 5 37 3" xfId="9789" xr:uid="{00000000-0005-0000-0000-0000181E0000}"/>
    <cellStyle name="Normal 5 37 3 2" xfId="18136" xr:uid="{3F9F1448-753A-4D2A-A61E-A566FE0E90ED}"/>
    <cellStyle name="Normal 5 37 3 3" xfId="42278" xr:uid="{40D8BF14-7621-4C98-9623-0C0FF4660336}"/>
    <cellStyle name="Normal 5 37 4" xfId="6252" xr:uid="{00000000-0005-0000-0000-00004E0D0000}"/>
    <cellStyle name="Normal 5 37 5" xfId="15791" xr:uid="{0665A6E8-1ED1-48D1-9BC5-8815C21E2DBE}"/>
    <cellStyle name="Normal 5 37 6" xfId="38302" xr:uid="{AE7AB78B-055B-413B-959B-1FB62A32B54F}"/>
    <cellStyle name="Normal 5 37 7" xfId="47989" xr:uid="{84EB9225-1DB8-48FC-A6EB-FCC68443765D}"/>
    <cellStyle name="Normal 5 37 8" xfId="15995" xr:uid="{AC59B236-377E-4392-865F-BEFA18017BAE}"/>
    <cellStyle name="Normal 5 37 9" xfId="46950" xr:uid="{16BA115E-4C64-47D1-BCB4-76370077E632}"/>
    <cellStyle name="Normal 5 38" xfId="4266" xr:uid="{00000000-0005-0000-0000-0000CA100000}"/>
    <cellStyle name="Normal-- 5 38" xfId="48662" xr:uid="{24882637-9FE6-4028-978E-F08BDD189B07}"/>
    <cellStyle name="Normal 5 38 2" xfId="9791" xr:uid="{00000000-0005-0000-0000-00001A1E0000}"/>
    <cellStyle name="Normal 5 38 2 2" xfId="42280" xr:uid="{24AA62DE-9E25-4401-8F29-2E1E87B6BDE3}"/>
    <cellStyle name="Normal 5 38 3" xfId="6254" xr:uid="{00000000-0005-0000-0000-0000500D0000}"/>
    <cellStyle name="Normal 5 38 4" xfId="38304" xr:uid="{4E0E786F-EB0D-413F-B176-C6004C1AE6F7}"/>
    <cellStyle name="Normal 5 38 5" xfId="16004" xr:uid="{A5161F3A-FA30-4C0A-AD48-5A87DFA3E37C}"/>
    <cellStyle name="Normal 5 38 6" xfId="46959" xr:uid="{743C0599-15D4-42FB-BF6C-85CDED2843E8}"/>
    <cellStyle name="Normal 5 38 7" xfId="48500" xr:uid="{F28CEAF6-B311-4A9D-936E-E37BDA64F6E3}"/>
    <cellStyle name="Normal 5 38 8" xfId="47011" xr:uid="{5D87C15D-91F1-45AC-8A6B-EFE3B84B190A}"/>
    <cellStyle name="Normal 5 38 9" xfId="48139" xr:uid="{6D458A47-C68F-484A-9979-B3C747E8BF73}"/>
    <cellStyle name="Normal 5 39" xfId="4267" xr:uid="{00000000-0005-0000-0000-0000CB100000}"/>
    <cellStyle name="Normal-- 5 39" xfId="48624" xr:uid="{BD8DD6C3-FE52-47B8-8194-828BADE24AE9}"/>
    <cellStyle name="Normal 5 39 2" xfId="9792" xr:uid="{00000000-0005-0000-0000-00001B1E0000}"/>
    <cellStyle name="Normal 5 39 2 2" xfId="42281" xr:uid="{676C6B5C-A311-409B-A26B-8A03A8E4B7C7}"/>
    <cellStyle name="Normal 5 39 3" xfId="6255" xr:uid="{00000000-0005-0000-0000-0000510D0000}"/>
    <cellStyle name="Normal 5 39 4" xfId="38305" xr:uid="{E446B344-4FC2-4743-B432-42011F5B07D9}"/>
    <cellStyle name="Normal 5 39 5" xfId="49111" xr:uid="{6E9D1A84-09FA-4CF5-921C-4C72A802F545}"/>
    <cellStyle name="Normal 5 39 6" xfId="48223" xr:uid="{8CED9EB9-1E02-43AC-A58D-3B2DCF9228CC}"/>
    <cellStyle name="Normal 5 39 7" xfId="16620" xr:uid="{5CFEFF37-7295-4DC2-91DB-2949F490724E}"/>
    <cellStyle name="Normal 5 39 8" xfId="49175" xr:uid="{9737A3B6-3194-4D26-B209-A4379A628398}"/>
    <cellStyle name="Normal 5 4" xfId="4268" xr:uid="{00000000-0005-0000-0000-0000CC100000}"/>
    <cellStyle name="Normal-- 5 4" xfId="8113" xr:uid="{00000000-0005-0000-0000-00001C230000}"/>
    <cellStyle name="Normal 5 4 10" xfId="12187" xr:uid="{00000000-0005-0000-0000-00000E240000}"/>
    <cellStyle name="Normal 5 4 10 2" xfId="44670" xr:uid="{F6CED660-2729-404B-9744-583F0E391E62}"/>
    <cellStyle name="Normal 5 4 11" xfId="8257" xr:uid="{00000000-0005-0000-0000-000041240000}"/>
    <cellStyle name="Normal 5 4 11 2" xfId="41051" xr:uid="{1B053AE7-8944-40B4-AEC3-406408146C51}"/>
    <cellStyle name="Normal 5 4 12" xfId="12199" xr:uid="{00000000-0005-0000-0000-000078240000}"/>
    <cellStyle name="Normal 5 4 12 2" xfId="44682" xr:uid="{07046F4D-95DC-427B-96A6-F3D8FC51BF5B}"/>
    <cellStyle name="Normal 5 4 13" xfId="8270" xr:uid="{00000000-0005-0000-0000-0000B3240000}"/>
    <cellStyle name="Normal 5 4 13 2" xfId="41064" xr:uid="{B7778C5F-42CD-40D9-A68B-C1395E1DC534}"/>
    <cellStyle name="Normal 5 4 14" xfId="12216" xr:uid="{00000000-0005-0000-0000-0000F2240000}"/>
    <cellStyle name="Normal 5 4 14 2" xfId="44699" xr:uid="{ECE7B5DE-63A6-418E-BF25-F20E26EAF4A4}"/>
    <cellStyle name="Normal 5 4 15" xfId="8287" xr:uid="{00000000-0005-0000-0000-000035250000}"/>
    <cellStyle name="Normal 5 4 15 2" xfId="41079" xr:uid="{F39907FE-FC9A-4CF8-BC6F-92E2D0FF9F1B}"/>
    <cellStyle name="Normal 5 4 16" xfId="12234" xr:uid="{00000000-0005-0000-0000-00007C250000}"/>
    <cellStyle name="Normal 5 4 16 2" xfId="44717" xr:uid="{391E29FD-C6EA-4CDA-AAA2-18CFCB9919D3}"/>
    <cellStyle name="Normal 5 4 17" xfId="8307" xr:uid="{00000000-0005-0000-0000-0000C7250000}"/>
    <cellStyle name="Normal 5 4 17 2" xfId="41095" xr:uid="{67123D7F-D6B1-4A40-98D0-4865507E384D}"/>
    <cellStyle name="Normal 5 4 18" xfId="12255" xr:uid="{00000000-0005-0000-0000-000016260000}"/>
    <cellStyle name="Normal 5 4 18 2" xfId="44738" xr:uid="{7CDD63DA-EE8E-448F-9C74-80861270E16A}"/>
    <cellStyle name="Normal 5 4 19" xfId="8325" xr:uid="{00000000-0005-0000-0000-000069260000}"/>
    <cellStyle name="Normal 5 4 19 2" xfId="41106" xr:uid="{7915C844-A39E-4184-A94C-5BEC2A40BA65}"/>
    <cellStyle name="Normal 5 4 2" xfId="4269" xr:uid="{00000000-0005-0000-0000-0000CD100000}"/>
    <cellStyle name="Normal-- 5 4 2" xfId="40918" xr:uid="{1B2B3578-4F65-445A-AE33-EE3CC106393E}"/>
    <cellStyle name="Normal 5 4 2 10" xfId="46404" xr:uid="{11A06221-36E6-49FA-B86B-E6F58C812345}"/>
    <cellStyle name="Normal 5 4 2 11" xfId="41656" xr:uid="{7E499639-D981-4E80-98FA-340E95B44D5E}"/>
    <cellStyle name="Normal 5 4 2 2" xfId="9794" xr:uid="{00000000-0005-0000-0000-00001D1E0000}"/>
    <cellStyle name="Normal 5 4 2 2 2" xfId="42283" xr:uid="{3F522878-0571-4494-B10E-9F199D7AE6F7}"/>
    <cellStyle name="Normal 5 4 2 3" xfId="6257" xr:uid="{00000000-0005-0000-0000-0000530D0000}"/>
    <cellStyle name="Normal 5 4 2 4" xfId="38307" xr:uid="{51857684-9B2A-4972-AEA2-30E8E32F5585}"/>
    <cellStyle name="Normal 5 4 2 5" xfId="40487" xr:uid="{AAF5F357-07BA-46FF-8C1C-5C530D810205}"/>
    <cellStyle name="Normal 5 4 2 6" xfId="46955" xr:uid="{56BBC68A-997B-4094-942E-64714FF11AFB}"/>
    <cellStyle name="Normal 5 4 2 7" xfId="47222" xr:uid="{CDA57F89-DE62-4EC0-B8D9-63C8276F148F}"/>
    <cellStyle name="Normal 5 4 2 8" xfId="49100" xr:uid="{740ECA62-9D12-47D8-9181-6A4D8D4FE0C1}"/>
    <cellStyle name="Normal 5 4 2 9" xfId="40642" xr:uid="{816D4D2D-6F15-473F-98BA-506156C8B11C}"/>
    <cellStyle name="Normal 5 4 20" xfId="12269" xr:uid="{00000000-0005-0000-0000-0000C0260000}"/>
    <cellStyle name="Normal 5 4 20 2" xfId="44752" xr:uid="{9957501C-9815-4197-A8B0-E3A20E79BDC5}"/>
    <cellStyle name="Normal 5 4 21" xfId="8349" xr:uid="{00000000-0005-0000-0000-00001B270000}"/>
    <cellStyle name="Normal 5 4 21 2" xfId="41128" xr:uid="{EF7029DC-77FA-49DB-94C4-8B137775F7CF}"/>
    <cellStyle name="Normal 5 4 22" xfId="12294" xr:uid="{00000000-0005-0000-0000-00007A270000}"/>
    <cellStyle name="Normal 5 4 22 2" xfId="44776" xr:uid="{C58F2D41-905B-471D-88D6-DDA4E58FFDF6}"/>
    <cellStyle name="Normal 5 4 23" xfId="6256" xr:uid="{00000000-0005-0000-0000-0000520D0000}"/>
    <cellStyle name="Normal 5 4 24" xfId="13054" xr:uid="{00000000-0005-0000-0000-00009D300000}"/>
    <cellStyle name="Normal 5 4 24 2" xfId="45518" xr:uid="{D7183E18-0EDD-471C-A68B-6F68D17B190E}"/>
    <cellStyle name="Normal 5 4 25" xfId="11587" xr:uid="{00000000-0005-0000-0000-000008310000}"/>
    <cellStyle name="Normal 5 4 25 2" xfId="44075" xr:uid="{8E83E4F3-40D7-4A4D-980E-238D6AF1C8F3}"/>
    <cellStyle name="Normal 5 4 26" xfId="13073" xr:uid="{00000000-0005-0000-0000-000077310000}"/>
    <cellStyle name="Normal 5 4 26 2" xfId="45537" xr:uid="{D3DFE91D-52DF-4E32-A1EE-12CAD321238C}"/>
    <cellStyle name="Normal 5 4 27" xfId="11565" xr:uid="{00000000-0005-0000-0000-0000EA310000}"/>
    <cellStyle name="Normal 5 4 27 2" xfId="44053" xr:uid="{F63DC2CF-5E16-4D3D-8C4E-C3E1CA652EA3}"/>
    <cellStyle name="Normal 5 4 28" xfId="13095" xr:uid="{00000000-0005-0000-0000-000061320000}"/>
    <cellStyle name="Normal 5 4 28 2" xfId="45559" xr:uid="{D92500C5-AC61-4FF7-9F62-8420E26D8366}"/>
    <cellStyle name="Normal 5 4 29" xfId="11542" xr:uid="{00000000-0005-0000-0000-0000DC320000}"/>
    <cellStyle name="Normal 5 4 29 2" xfId="44030" xr:uid="{8B56F578-7774-4AE0-92BC-F4394D524A60}"/>
    <cellStyle name="Normal 5 4 3" xfId="9793" xr:uid="{00000000-0005-0000-0000-00001C1E0000}"/>
    <cellStyle name="Normal-- 5 4 3" xfId="46739" xr:uid="{043129A4-E8BE-461E-BFA7-673A6606C4AE}"/>
    <cellStyle name="Normal 5 4 3 2" xfId="18137" xr:uid="{42F6DE87-F77D-4BAC-B7C7-97574045A82A}"/>
    <cellStyle name="Normal 5 4 3 3" xfId="42282" xr:uid="{F0A0A23B-C0A8-43BA-9D9A-B7DED679DE5F}"/>
    <cellStyle name="Normal 5 4 3 4" xfId="48167" xr:uid="{27A725B7-4454-4E10-8444-3575CC9D1576}"/>
    <cellStyle name="Normal 5 4 3 5" xfId="40652" xr:uid="{3A73F09F-CABF-491D-BDD6-10755A524FE2}"/>
    <cellStyle name="Normal 5 4 3 6" xfId="15488" xr:uid="{B79CCB47-E731-4388-B45C-0C3D034849E5}"/>
    <cellStyle name="Normal 5 4 3 7" xfId="46577" xr:uid="{CD41A20A-7BE1-4ED9-9FB7-AC4817367D03}"/>
    <cellStyle name="Normal 5 4 3 8" xfId="40285" xr:uid="{A55EDE2C-920B-4813-8A17-1E85813683F5}"/>
    <cellStyle name="Normal 5 4 3 9" xfId="37990" xr:uid="{4187F9E9-B53C-40FC-902D-1477339AC3F9}"/>
    <cellStyle name="Normal 5 4 30" xfId="13114" xr:uid="{00000000-0005-0000-0000-00005B330000}"/>
    <cellStyle name="Normal 5 4 30 2" xfId="45578" xr:uid="{1F07D758-E952-4CB7-A12F-68C1FA619F7D}"/>
    <cellStyle name="Normal 5 4 31" xfId="11522" xr:uid="{00000000-0005-0000-0000-0000DE330000}"/>
    <cellStyle name="Normal 5 4 31 2" xfId="44010" xr:uid="{444C388D-6A4F-4AA6-A892-01B59EE07CB2}"/>
    <cellStyle name="Normal 5 4 32" xfId="13128" xr:uid="{00000000-0005-0000-0000-000065340000}"/>
    <cellStyle name="Normal 5 4 32 2" xfId="45592" xr:uid="{12E09CBA-F5F2-4F0F-A3FC-8EB37DAB39A6}"/>
    <cellStyle name="Normal 5 4 33" xfId="11506" xr:uid="{00000000-0005-0000-0000-0000F0340000}"/>
    <cellStyle name="Normal 5 4 33 2" xfId="43994" xr:uid="{55E4C714-5326-42AA-884C-C0C5F6BED13F}"/>
    <cellStyle name="Normal 5 4 34" xfId="15793" xr:uid="{EDE44893-3A0B-46FF-8633-B182700E5386}"/>
    <cellStyle name="Normal 5 4 35" xfId="38306" xr:uid="{26291DC1-8414-40C8-8D82-F2650DEFC1A6}"/>
    <cellStyle name="Normal 5 4 36" xfId="15216" xr:uid="{9329FB50-4FF2-472B-9DF0-96449DC57A46}"/>
    <cellStyle name="Normal 5 4 37" xfId="48407" xr:uid="{1FF95C46-2602-48F2-AAE5-D7E8EDEF0672}"/>
    <cellStyle name="Normal 5 4 38" xfId="38021" xr:uid="{3C8164B7-A832-4104-9D45-D7FEFB6EF1A4}"/>
    <cellStyle name="Normal 5 4 39" xfId="40556" xr:uid="{193DA072-CF15-49A6-A8E5-B4578821DCBC}"/>
    <cellStyle name="Normal 5 4 4" xfId="12159" xr:uid="{00000000-0005-0000-0000-000035230000}"/>
    <cellStyle name="Normal-- 5 4 4" xfId="14203" xr:uid="{1147E2BD-1240-4BBA-BC4D-837E07069403}"/>
    <cellStyle name="Normal 5 4 4 2" xfId="44642" xr:uid="{D63C3E05-7014-4719-A8A7-2E8C3F0ABB88}"/>
    <cellStyle name="Normal 5 4 4 3" xfId="47302" xr:uid="{C3338F3E-52BC-4EAA-8A29-414EF9B06A26}"/>
    <cellStyle name="Normal 5 4 4 4" xfId="48217" xr:uid="{66FFC722-DD77-4C25-A7C1-08DBF1CF8B21}"/>
    <cellStyle name="Normal 5 4 4 5" xfId="37839" xr:uid="{7220FABD-FAB0-4DCA-941B-EEA6A0A93881}"/>
    <cellStyle name="Normal 5 4 4 6" xfId="41462" xr:uid="{819568E6-2455-4A54-B60D-24EFBC7A3FBB}"/>
    <cellStyle name="Normal 5 4 4 7" xfId="47219" xr:uid="{F58BFEFA-E1AF-469B-A931-09153C8D401A}"/>
    <cellStyle name="Normal 5 4 40" xfId="14131" xr:uid="{1E242096-BDB6-4535-939E-6805FF02986C}"/>
    <cellStyle name="Normal 5 4 41" xfId="41642" xr:uid="{3427188D-52E7-4DC2-B282-64EA89DCB4D8}"/>
    <cellStyle name="Normal 5 4 42" xfId="46906" xr:uid="{452710D5-FA89-4CC2-981B-61A98BF62A0D}"/>
    <cellStyle name="Normal 5 4 5" xfId="8224" xr:uid="{00000000-0005-0000-0000-00004F230000}"/>
    <cellStyle name="Normal-- 5 4 5" xfId="47917" xr:uid="{B9614514-7790-4E99-BF17-95D8454F6EB6}"/>
    <cellStyle name="Normal 5 4 5 2" xfId="41018" xr:uid="{C7E857D0-3E89-43C4-9BC8-0E6D3B873498}"/>
    <cellStyle name="Normal 5 4 5 3" xfId="14173" xr:uid="{FD9284A4-8EF3-4377-BA7E-CDCF8088C3CE}"/>
    <cellStyle name="Normal 5 4 5 4" xfId="48978" xr:uid="{C3E5560A-F897-4DF5-A04E-DA0407DFA441}"/>
    <cellStyle name="Normal 5 4 5 5" xfId="47719" xr:uid="{086F90E0-D86B-4FCC-9751-839313785F7F}"/>
    <cellStyle name="Normal 5 4 5 6" xfId="49402" xr:uid="{65235C3C-E00F-4941-8077-21DA58ED72A5}"/>
    <cellStyle name="Normal 5 4 6" xfId="12168" xr:uid="{00000000-0005-0000-0000-00006D230000}"/>
    <cellStyle name="Normal-- 5 4 6" xfId="14996" xr:uid="{D489D2CF-FCD3-4094-BB98-B01F73EFBD58}"/>
    <cellStyle name="Normal 5 4 6 2" xfId="44651" xr:uid="{D17A0FD9-DEE1-46AB-851A-B98AA1757BC8}"/>
    <cellStyle name="Normal 5 4 6 3" xfId="16466" xr:uid="{B341974D-39C4-4B7C-B3A9-5074B9A39572}"/>
    <cellStyle name="Normal 5 4 6 4" xfId="48755" xr:uid="{9122BF18-195E-426C-8A35-5B17F7D236BB}"/>
    <cellStyle name="Normal 5 4 6 5" xfId="15631" xr:uid="{AC477FD3-A8F7-4DD0-9961-6E07DADA282A}"/>
    <cellStyle name="Normal 5 4 7" xfId="8234" xr:uid="{00000000-0005-0000-0000-00008F230000}"/>
    <cellStyle name="Normal-- 5 4 7" xfId="15009" xr:uid="{FB0B6F05-2082-4B31-8748-5035231E74D7}"/>
    <cellStyle name="Normal 5 4 7 2" xfId="41028" xr:uid="{DFE0F272-2E39-4DEE-BAA6-10ACE9CF3E76}"/>
    <cellStyle name="Normal 5 4 7 3" xfId="47840" xr:uid="{2DFF51C3-7621-42CB-9930-CE978CA1B531}"/>
    <cellStyle name="Normal 5 4 7 4" xfId="48114" xr:uid="{6FB09B28-7DA1-4B19-AA26-37057BCE2B8E}"/>
    <cellStyle name="Normal 5 4 8" xfId="12177" xr:uid="{00000000-0005-0000-0000-0000B5230000}"/>
    <cellStyle name="Normal-- 5 4 8" xfId="47615" xr:uid="{45DF99DD-511C-4EFE-9C0B-DF75FE49F046}"/>
    <cellStyle name="Normal 5 4 8 2" xfId="44660" xr:uid="{F781066F-8E19-4227-9075-E018D8988D28}"/>
    <cellStyle name="Normal 5 4 8 3" xfId="47425" xr:uid="{24726421-6416-490C-8BC7-E1D5E57206AE}"/>
    <cellStyle name="Normal 5 4 9" xfId="8247" xr:uid="{00000000-0005-0000-0000-0000DF230000}"/>
    <cellStyle name="Normal-- 5 4 9" xfId="48310" xr:uid="{D774EDC5-9A91-4C9C-9B4F-95908FC1D835}"/>
    <cellStyle name="Normal 5 4 9 2" xfId="41041" xr:uid="{2DA4F855-B799-4F02-86A8-8D0416BCE306}"/>
    <cellStyle name="Normal 5 40" xfId="4270" xr:uid="{00000000-0005-0000-0000-0000CE100000}"/>
    <cellStyle name="Normal-- 5 40" xfId="46672" xr:uid="{8E917C60-9D79-42E9-8796-E2FC9A4194F3}"/>
    <cellStyle name="Normal 5 40 2" xfId="9795" xr:uid="{00000000-0005-0000-0000-00001E1E0000}"/>
    <cellStyle name="Normal 5 40 2 2" xfId="42284" xr:uid="{6F350861-C763-45E5-BD24-E50B1C97E061}"/>
    <cellStyle name="Normal 5 40 3" xfId="6258" xr:uid="{00000000-0005-0000-0000-0000540D0000}"/>
    <cellStyle name="Normal 5 40 4" xfId="38308" xr:uid="{F7859EC2-B86F-4A6F-AD95-85E877DDECF0}"/>
    <cellStyle name="Normal 5 40 5" xfId="46509" xr:uid="{067A90EF-2A4B-4BC3-8817-659DE6233C58}"/>
    <cellStyle name="Normal 5 40 6" xfId="37660" xr:uid="{02F15552-5FA1-424F-98BF-0593C62870BA}"/>
    <cellStyle name="Normal 5 40 7" xfId="40670" xr:uid="{9C217990-D873-46F1-ABFC-B2A14FC7061E}"/>
    <cellStyle name="Normal 5 41" xfId="4271" xr:uid="{00000000-0005-0000-0000-0000CF100000}"/>
    <cellStyle name="Normal-- 5 41" xfId="49320" xr:uid="{33B26788-1AD7-40C4-ADF9-B70746183B9C}"/>
    <cellStyle name="Normal 5 41 2" xfId="9796" xr:uid="{00000000-0005-0000-0000-00001F1E0000}"/>
    <cellStyle name="Normal 5 41 2 2" xfId="42285" xr:uid="{59CEB42B-2F22-4D35-BCF0-1E3D4566C037}"/>
    <cellStyle name="Normal 5 41 3" xfId="6259" xr:uid="{00000000-0005-0000-0000-0000550D0000}"/>
    <cellStyle name="Normal 5 41 4" xfId="38309" xr:uid="{8C23B30A-9CEB-4E18-A3C9-2960487E0682}"/>
    <cellStyle name="Normal 5 41 5" xfId="15779" xr:uid="{6EB127EC-1EDB-4E6B-8F59-9F526E42CE09}"/>
    <cellStyle name="Normal 5 41 6" xfId="46968" xr:uid="{97DD168D-81FA-4C60-9D22-DBE78087B03C}"/>
    <cellStyle name="Normal 5 42" xfId="4272" xr:uid="{00000000-0005-0000-0000-0000D0100000}"/>
    <cellStyle name="Normal-- 5 42" xfId="47570" xr:uid="{3224F492-19CA-49B6-BD2D-A9834517C5CD}"/>
    <cellStyle name="Normal 5 42 2" xfId="9797" xr:uid="{00000000-0005-0000-0000-0000201E0000}"/>
    <cellStyle name="Normal 5 42 2 2" xfId="42286" xr:uid="{81F2CECF-0549-4F0D-861C-BB7566B9DC57}"/>
    <cellStyle name="Normal 5 42 3" xfId="6260" xr:uid="{00000000-0005-0000-0000-0000560D0000}"/>
    <cellStyle name="Normal 5 42 4" xfId="38310" xr:uid="{EB857EDE-9EA2-4C21-8970-6AA321964C10}"/>
    <cellStyle name="Normal 5 42 5" xfId="16299" xr:uid="{550F3B3A-EF37-4569-A270-45034369C90C}"/>
    <cellStyle name="Normal 5 43" xfId="4273" xr:uid="{00000000-0005-0000-0000-0000D1100000}"/>
    <cellStyle name="Normal-- 5 43" xfId="40250" xr:uid="{90A33DC9-0A0C-4005-AC18-95632F1BC72C}"/>
    <cellStyle name="Normal 5 43 2" xfId="9798" xr:uid="{00000000-0005-0000-0000-0000211E0000}"/>
    <cellStyle name="Normal 5 43 2 2" xfId="42287" xr:uid="{AA3EAC35-DC3F-4E91-81C5-0899A4AD15E7}"/>
    <cellStyle name="Normal 5 43 3" xfId="6261" xr:uid="{00000000-0005-0000-0000-0000570D0000}"/>
    <cellStyle name="Normal 5 43 4" xfId="38311" xr:uid="{0290AB4C-06A8-4778-8DFA-0FE1B1C962FD}"/>
    <cellStyle name="Normal 5 44" xfId="4274" xr:uid="{00000000-0005-0000-0000-0000D2100000}"/>
    <cellStyle name="Normal 5 44 2" xfId="9799" xr:uid="{00000000-0005-0000-0000-0000221E0000}"/>
    <cellStyle name="Normal 5 44 2 2" xfId="42288" xr:uid="{7F05044C-540B-4CCE-81E9-02316C4BBC8F}"/>
    <cellStyle name="Normal 5 44 3" xfId="6262" xr:uid="{00000000-0005-0000-0000-0000580D0000}"/>
    <cellStyle name="Normal 5 44 4" xfId="38312" xr:uid="{2BF5FCB9-2885-46E5-A40C-0817B996E48A}"/>
    <cellStyle name="Normal 5 45" xfId="4275" xr:uid="{00000000-0005-0000-0000-0000D3100000}"/>
    <cellStyle name="Normal 5 45 2" xfId="9800" xr:uid="{00000000-0005-0000-0000-0000231E0000}"/>
    <cellStyle name="Normal 5 45 2 2" xfId="42289" xr:uid="{9F37C949-146F-4265-AD78-485DDCF2BE02}"/>
    <cellStyle name="Normal 5 45 3" xfId="6263" xr:uid="{00000000-0005-0000-0000-0000590D0000}"/>
    <cellStyle name="Normal 5 45 4" xfId="38313" xr:uid="{C58AE125-E3D3-46E9-B1E1-D530508AF726}"/>
    <cellStyle name="Normal 5 46" xfId="4276" xr:uid="{00000000-0005-0000-0000-0000D4100000}"/>
    <cellStyle name="Normal 5 46 2" xfId="9801" xr:uid="{00000000-0005-0000-0000-0000241E0000}"/>
    <cellStyle name="Normal 5 46 2 2" xfId="42290" xr:uid="{7C6696F7-FF4E-49AF-90DC-BCD4A7E9CB96}"/>
    <cellStyle name="Normal 5 46 3" xfId="6264" xr:uid="{00000000-0005-0000-0000-00005A0D0000}"/>
    <cellStyle name="Normal 5 46 4" xfId="38314" xr:uid="{8711CC87-41D1-44D4-B291-D564C668B31A}"/>
    <cellStyle name="Normal 5 47" xfId="4277" xr:uid="{00000000-0005-0000-0000-0000D5100000}"/>
    <cellStyle name="Normal 5 47 2" xfId="9802" xr:uid="{00000000-0005-0000-0000-0000251E0000}"/>
    <cellStyle name="Normal 5 47 2 2" xfId="42291" xr:uid="{26599FE0-4E70-45C6-9450-367F6D78EACF}"/>
    <cellStyle name="Normal 5 47 3" xfId="6265" xr:uid="{00000000-0005-0000-0000-00005B0D0000}"/>
    <cellStyle name="Normal 5 47 4" xfId="38315" xr:uid="{9B9F1FE3-3BC6-4191-9815-FF362155DBDB}"/>
    <cellStyle name="Normal 5 48" xfId="4278" xr:uid="{00000000-0005-0000-0000-0000D6100000}"/>
    <cellStyle name="Normal 5 48 2" xfId="9803" xr:uid="{00000000-0005-0000-0000-0000261E0000}"/>
    <cellStyle name="Normal 5 48 2 2" xfId="42292" xr:uid="{460AA144-F134-484F-9B4B-DE6AAF917ED6}"/>
    <cellStyle name="Normal 5 48 3" xfId="6266" xr:uid="{00000000-0005-0000-0000-00005C0D0000}"/>
    <cellStyle name="Normal 5 48 4" xfId="38316" xr:uid="{2657E7D4-5247-4DB5-B982-A286FFC23F25}"/>
    <cellStyle name="Normal 5 49" xfId="4279" xr:uid="{00000000-0005-0000-0000-0000D7100000}"/>
    <cellStyle name="Normal 5 49 2" xfId="9804" xr:uid="{00000000-0005-0000-0000-0000271E0000}"/>
    <cellStyle name="Normal 5 49 2 2" xfId="42293" xr:uid="{D117574D-0BBF-4E48-BAB9-F6E901622487}"/>
    <cellStyle name="Normal 5 49 3" xfId="6267" xr:uid="{00000000-0005-0000-0000-00005D0D0000}"/>
    <cellStyle name="Normal 5 49 4" xfId="38317" xr:uid="{ABFBDEFE-903F-457F-8615-78988BBB50E5}"/>
    <cellStyle name="Normal 5 5" xfId="4280" xr:uid="{00000000-0005-0000-0000-0000D8100000}"/>
    <cellStyle name="Normal-- 5 5" xfId="12071" xr:uid="{00000000-0005-0000-0000-000032230000}"/>
    <cellStyle name="Normal 5 5 10" xfId="8271" xr:uid="{00000000-0005-0000-0000-000042240000}"/>
    <cellStyle name="Normal 5 5 10 2" xfId="41065" xr:uid="{6EB1D794-5D1D-48BF-B3F6-702D00CB3B60}"/>
    <cellStyle name="Normal 5 5 11" xfId="12213" xr:uid="{00000000-0005-0000-0000-000079240000}"/>
    <cellStyle name="Normal 5 5 11 2" xfId="44696" xr:uid="{4C79179A-C31D-492E-89CA-2D1044547ED9}"/>
    <cellStyle name="Normal 5 5 12" xfId="8285" xr:uid="{00000000-0005-0000-0000-0000B4240000}"/>
    <cellStyle name="Normal 5 5 12 2" xfId="41077" xr:uid="{35F51F3C-8FB7-4129-AC6D-FA1473872897}"/>
    <cellStyle name="Normal 5 5 13" xfId="12231" xr:uid="{00000000-0005-0000-0000-0000F3240000}"/>
    <cellStyle name="Normal 5 5 13 2" xfId="44714" xr:uid="{4968BB5A-BFF9-4553-A6A0-8AFE54FEA681}"/>
    <cellStyle name="Normal 5 5 14" xfId="8303" xr:uid="{00000000-0005-0000-0000-000036250000}"/>
    <cellStyle name="Normal 5 5 14 2" xfId="41091" xr:uid="{E85AB8F7-BE37-4393-A661-4A517D32D9B3}"/>
    <cellStyle name="Normal 5 5 15" xfId="12247" xr:uid="{00000000-0005-0000-0000-00007D250000}"/>
    <cellStyle name="Normal 5 5 15 2" xfId="44730" xr:uid="{38A02AAA-B37A-4AFD-87B2-2A1EDCAA9BC8}"/>
    <cellStyle name="Normal 5 5 16" xfId="8323" xr:uid="{00000000-0005-0000-0000-0000C8250000}"/>
    <cellStyle name="Normal 5 5 16 2" xfId="41105" xr:uid="{6BB2B235-CB74-4CFC-8715-5E342B36BFB6}"/>
    <cellStyle name="Normal 5 5 17" xfId="12264" xr:uid="{00000000-0005-0000-0000-000017260000}"/>
    <cellStyle name="Normal 5 5 17 2" xfId="44747" xr:uid="{E4AE317C-0EAE-4E62-9D3B-16ACEDDCA428}"/>
    <cellStyle name="Normal 5 5 18" xfId="8340" xr:uid="{00000000-0005-0000-0000-00006A260000}"/>
    <cellStyle name="Normal 5 5 18 2" xfId="41120" xr:uid="{9127B14C-22F2-4D6D-9D66-92F6528F3B5B}"/>
    <cellStyle name="Normal 5 5 19" xfId="12283" xr:uid="{00000000-0005-0000-0000-0000C1260000}"/>
    <cellStyle name="Normal 5 5 19 2" xfId="44765" xr:uid="{67CFC861-2113-4559-B835-FD44BE126654}"/>
    <cellStyle name="Normal 5 5 2" xfId="4281" xr:uid="{00000000-0005-0000-0000-0000D9100000}"/>
    <cellStyle name="Normal-- 5 5 2" xfId="44554" xr:uid="{3FAC161F-00F1-4278-B73A-09DFB751B8B2}"/>
    <cellStyle name="Normal 5 5 2 10" xfId="40705" xr:uid="{836B8E70-CBED-4DE6-8D55-E68B2D5647AB}"/>
    <cellStyle name="Normal 5 5 2 11" xfId="49368" xr:uid="{EF1630EB-C9A1-4C3A-942C-2DF7AB3BC382}"/>
    <cellStyle name="Normal 5 5 2 2" xfId="9806" xr:uid="{00000000-0005-0000-0000-0000291E0000}"/>
    <cellStyle name="Normal 5 5 2 2 2" xfId="42295" xr:uid="{946B03D4-6CF7-46D6-8650-7B3A5B1A27B2}"/>
    <cellStyle name="Normal 5 5 2 3" xfId="6269" xr:uid="{00000000-0005-0000-0000-00005F0D0000}"/>
    <cellStyle name="Normal 5 5 2 4" xfId="38319" xr:uid="{68488C58-6D32-409E-9368-76A61D0E58ED}"/>
    <cellStyle name="Normal 5 5 2 5" xfId="15220" xr:uid="{D5E9A0CA-91A9-485D-B748-6B9D270F8729}"/>
    <cellStyle name="Normal 5 5 2 6" xfId="15279" xr:uid="{F8452553-5AD9-4533-8CB6-56C955C52BB1}"/>
    <cellStyle name="Normal 5 5 2 7" xfId="13621" xr:uid="{E12965EE-7BAC-4D2A-A94C-833AF0BF50FA}"/>
    <cellStyle name="Normal 5 5 2 8" xfId="49023" xr:uid="{214B3035-8F90-4DA0-BED2-84BE12BC45EC}"/>
    <cellStyle name="Normal 5 5 2 9" xfId="16569" xr:uid="{43C59032-811C-4464-B2E4-B6924F3ED476}"/>
    <cellStyle name="Normal 5 5 20" xfId="8365" xr:uid="{00000000-0005-0000-0000-00001C270000}"/>
    <cellStyle name="Normal 5 5 20 2" xfId="41139" xr:uid="{79DE4ABD-5BBD-4CA3-9F3E-83ACC68A1F9F}"/>
    <cellStyle name="Normal 5 5 21" xfId="12310" xr:uid="{00000000-0005-0000-0000-00007B270000}"/>
    <cellStyle name="Normal 5 5 21 2" xfId="44792" xr:uid="{48E40222-89ED-43AA-A092-E9B590E898E9}"/>
    <cellStyle name="Normal 5 5 22" xfId="6268" xr:uid="{00000000-0005-0000-0000-00005E0D0000}"/>
    <cellStyle name="Normal 5 5 23" xfId="13062" xr:uid="{00000000-0005-0000-0000-00009E300000}"/>
    <cellStyle name="Normal 5 5 23 2" xfId="45526" xr:uid="{7AADC175-A345-4EC0-9E72-F0F989E02C4B}"/>
    <cellStyle name="Normal 5 5 24" xfId="11576" xr:uid="{00000000-0005-0000-0000-000009310000}"/>
    <cellStyle name="Normal 5 5 24 2" xfId="44064" xr:uid="{DE6569E7-81E3-4563-8F78-04AB129805E4}"/>
    <cellStyle name="Normal 5 5 25" xfId="13082" xr:uid="{00000000-0005-0000-0000-000078310000}"/>
    <cellStyle name="Normal 5 5 25 2" xfId="45546" xr:uid="{B2CC0972-A135-4866-AC1E-6777F4147AF6}"/>
    <cellStyle name="Normal 5 5 26" xfId="11555" xr:uid="{00000000-0005-0000-0000-0000EB310000}"/>
    <cellStyle name="Normal 5 5 26 2" xfId="44043" xr:uid="{6AFDFBA0-3E0E-4164-9902-8F121A6A2F7E}"/>
    <cellStyle name="Normal 5 5 27" xfId="13104" xr:uid="{00000000-0005-0000-0000-000062320000}"/>
    <cellStyle name="Normal 5 5 27 2" xfId="45568" xr:uid="{5778CFBE-B965-40BC-ADE1-916FB7313693}"/>
    <cellStyle name="Normal 5 5 28" xfId="11532" xr:uid="{00000000-0005-0000-0000-0000DD320000}"/>
    <cellStyle name="Normal 5 5 28 2" xfId="44020" xr:uid="{A8754BCC-F8A0-4C03-8EFA-E96F82F8CDB4}"/>
    <cellStyle name="Normal 5 5 29" xfId="13121" xr:uid="{00000000-0005-0000-0000-00005C330000}"/>
    <cellStyle name="Normal 5 5 29 2" xfId="45585" xr:uid="{674A119D-10D3-431F-BA5B-FC1A6126F158}"/>
    <cellStyle name="Normal 5 5 3" xfId="9805" xr:uid="{00000000-0005-0000-0000-0000281E0000}"/>
    <cellStyle name="Normal-- 5 5 3" xfId="48218" xr:uid="{99168F32-F57C-4A28-9F72-FB5707CF2718}"/>
    <cellStyle name="Normal 5 5 3 2" xfId="18138" xr:uid="{2D068068-BB94-4D35-AF98-F58421540F1B}"/>
    <cellStyle name="Normal 5 5 3 3" xfId="42294" xr:uid="{8E001023-672B-4C9C-93EC-D5D63B18E987}"/>
    <cellStyle name="Normal 5 5 3 4" xfId="46437" xr:uid="{B0C239CE-376A-4E86-95F6-F2B64F20B56F}"/>
    <cellStyle name="Normal 5 5 3 5" xfId="47038" xr:uid="{FC5EE0C7-A6C9-4F40-8130-3CC237939298}"/>
    <cellStyle name="Normal 5 5 3 6" xfId="47895" xr:uid="{1E8E2AF2-70D4-44D4-88E6-2535C296BF39}"/>
    <cellStyle name="Normal 5 5 3 7" xfId="15818" xr:uid="{F56DC7F3-3450-4A28-BBA2-10A75B52E4AD}"/>
    <cellStyle name="Normal 5 5 3 8" xfId="47579" xr:uid="{279F883C-0B58-4777-A6E5-EE89818D903B}"/>
    <cellStyle name="Normal 5 5 3 9" xfId="46225" xr:uid="{EA8D2E98-3C72-477C-B579-4B851FBBD97B}"/>
    <cellStyle name="Normal 5 5 30" xfId="11514" xr:uid="{00000000-0005-0000-0000-0000DF330000}"/>
    <cellStyle name="Normal 5 5 30 2" xfId="44002" xr:uid="{98135785-B572-40FC-9F93-9669082AF9C5}"/>
    <cellStyle name="Normal 5 5 31" xfId="13130" xr:uid="{00000000-0005-0000-0000-000066340000}"/>
    <cellStyle name="Normal 5 5 31 2" xfId="45594" xr:uid="{3D101C73-62CF-433B-9DE0-6FAB543AD319}"/>
    <cellStyle name="Normal 5 5 32" xfId="11504" xr:uid="{00000000-0005-0000-0000-0000F1340000}"/>
    <cellStyle name="Normal 5 5 32 2" xfId="43992" xr:uid="{F8DFD4D1-733E-41A1-A456-9EF4CB72A0C2}"/>
    <cellStyle name="Normal 5 5 33" xfId="15795" xr:uid="{87DB3BCD-F390-466A-B06C-54286FF35895}"/>
    <cellStyle name="Normal 5 5 34" xfId="38318" xr:uid="{6395C580-505D-48B6-907C-9100F63B6891}"/>
    <cellStyle name="Normal 5 5 35" xfId="40484" xr:uid="{0C68AB05-3D96-4944-9362-A79460B0E4FA}"/>
    <cellStyle name="Normal 5 5 36" xfId="47440" xr:uid="{16C46748-E7EC-401B-A778-CCDD59C9277D}"/>
    <cellStyle name="Normal 5 5 37" xfId="47221" xr:uid="{BD8E1216-4BEC-46A5-A797-227EE51733C1}"/>
    <cellStyle name="Normal 5 5 38" xfId="49140" xr:uid="{28932790-5CE5-4400-BC84-64E097AEE431}"/>
    <cellStyle name="Normal 5 5 39" xfId="46146" xr:uid="{BC7EAE85-E599-48D8-AE8C-BE575D41EF8F}"/>
    <cellStyle name="Normal 5 5 4" xfId="8237" xr:uid="{00000000-0005-0000-0000-000050230000}"/>
    <cellStyle name="Normal-- 5 5 4" xfId="40522" xr:uid="{78D1B89E-9FCA-452C-B8E4-78594C579DEB}"/>
    <cellStyle name="Normal 5 5 4 2" xfId="41031" xr:uid="{214EC09E-48E3-43AB-953D-005D59FA93BB}"/>
    <cellStyle name="Normal 5 5 4 3" xfId="39816" xr:uid="{1A5E8D2A-5FD5-4ACF-834E-7968FCDE013C}"/>
    <cellStyle name="Normal 5 5 4 4" xfId="47752" xr:uid="{96756E1A-C49B-45F7-8D85-43D80AB084B9}"/>
    <cellStyle name="Normal 5 5 4 5" xfId="47717" xr:uid="{E8D4E0DA-0B36-495A-9652-D3C581B66EDB}"/>
    <cellStyle name="Normal 5 5 4 6" xfId="39562" xr:uid="{5F95A884-104B-4259-B8B2-E2C1C184CDBC}"/>
    <cellStyle name="Normal 5 5 4 7" xfId="47967" xr:uid="{720E569F-57E4-4C04-BAB4-8197CA16D821}"/>
    <cellStyle name="Normal 5 5 40" xfId="47901" xr:uid="{E80668EC-B1CF-4BB4-AD15-E559D4FA34D1}"/>
    <cellStyle name="Normal 5 5 41" xfId="41241" xr:uid="{746846E0-2AA2-4B9B-8B29-878C16C6C57B}"/>
    <cellStyle name="Normal 5 5 5" xfId="12180" xr:uid="{00000000-0005-0000-0000-00006E230000}"/>
    <cellStyle name="Normal-- 5 5 5" xfId="16467" xr:uid="{CC70615A-6D91-4535-A278-04D6CA9E6F19}"/>
    <cellStyle name="Normal 5 5 5 2" xfId="44663" xr:uid="{7B9FCBB5-014E-440A-9B56-289A3C6C28DF}"/>
    <cellStyle name="Normal 5 5 5 3" xfId="47338" xr:uid="{A371A469-4CBA-4D8D-975D-56DBB46B5E8E}"/>
    <cellStyle name="Normal 5 5 5 4" xfId="40762" xr:uid="{B7D68DEF-C098-4D10-99CD-CA8D409DCAFC}"/>
    <cellStyle name="Normal 5 5 5 5" xfId="14908" xr:uid="{3A788041-ED52-4AA6-8C26-339AD1486EB8}"/>
    <cellStyle name="Normal 5 5 5 6" xfId="14940" xr:uid="{DA7B4197-C846-4CD9-99C4-17525C84609E}"/>
    <cellStyle name="Normal 5 5 6" xfId="8250" xr:uid="{00000000-0005-0000-0000-000090230000}"/>
    <cellStyle name="Normal-- 5 5 6" xfId="37964" xr:uid="{15076438-1FD0-4896-A6D2-3ECB7CFCCBCB}"/>
    <cellStyle name="Normal 5 5 6 2" xfId="41044" xr:uid="{3F543683-4172-4DEB-9FDC-AE4565011EC4}"/>
    <cellStyle name="Normal 5 5 6 3" xfId="46922" xr:uid="{9C0F4A6A-1ECE-4B46-97F2-E261C32F7213}"/>
    <cellStyle name="Normal 5 5 6 4" xfId="18346" xr:uid="{E38FCD2D-63AB-4322-BD02-C3809C90FAE9}"/>
    <cellStyle name="Normal 5 5 6 5" xfId="48557" xr:uid="{BEAE4C8A-0812-41C7-BF58-C52266D7D7CD}"/>
    <cellStyle name="Normal 5 5 7" xfId="12190" xr:uid="{00000000-0005-0000-0000-0000B6230000}"/>
    <cellStyle name="Normal-- 5 5 7" xfId="47227" xr:uid="{BC138B69-AAE9-4E26-9C67-D035B2FD7018}"/>
    <cellStyle name="Normal 5 5 7 2" xfId="44673" xr:uid="{DE1FF64B-F3D9-4982-B2AE-93B8730DA5AE}"/>
    <cellStyle name="Normal 5 5 7 3" xfId="39817" xr:uid="{8D182433-0AF8-4E2A-8DFF-7415FEF382E3}"/>
    <cellStyle name="Normal 5 5 7 4" xfId="46469" xr:uid="{A7F2BC9E-B320-42C7-9051-157F20A74935}"/>
    <cellStyle name="Normal 5 5 8" xfId="8260" xr:uid="{00000000-0005-0000-0000-0000E0230000}"/>
    <cellStyle name="Normal-- 5 5 8" xfId="40233" xr:uid="{E48506EB-7D95-46CB-B080-EF333E3356FD}"/>
    <cellStyle name="Normal 5 5 8 2" xfId="41054" xr:uid="{263DCA3A-89E0-404D-A1F8-74E8B2EC55B7}"/>
    <cellStyle name="Normal 5 5 8 3" xfId="15671" xr:uid="{0175F58C-337E-446A-8036-CBC3786013AE}"/>
    <cellStyle name="Normal 5 5 9" xfId="12201" xr:uid="{00000000-0005-0000-0000-00000F240000}"/>
    <cellStyle name="Normal-- 5 5 9" xfId="47726" xr:uid="{E5FC9A59-4912-48EF-9090-35408FB4AAA9}"/>
    <cellStyle name="Normal 5 5 9 2" xfId="44684" xr:uid="{2BA6D9E4-8A05-443D-890B-8F53F84EDC0D}"/>
    <cellStyle name="Normal 5 50" xfId="4282" xr:uid="{00000000-0005-0000-0000-0000DA100000}"/>
    <cellStyle name="Normal 5 50 2" xfId="9807" xr:uid="{00000000-0005-0000-0000-00002A1E0000}"/>
    <cellStyle name="Normal 5 50 2 2" xfId="42296" xr:uid="{739234AD-3F2E-4D6F-8824-AA495A553C51}"/>
    <cellStyle name="Normal 5 50 3" xfId="6270" xr:uid="{00000000-0005-0000-0000-0000600D0000}"/>
    <cellStyle name="Normal 5 50 4" xfId="38320" xr:uid="{1231D424-DB8E-4B56-9BDC-F6A64E2764AB}"/>
    <cellStyle name="Normal 5 51" xfId="4283" xr:uid="{00000000-0005-0000-0000-0000DB100000}"/>
    <cellStyle name="Normal 5 51 2" xfId="9808" xr:uid="{00000000-0005-0000-0000-00002B1E0000}"/>
    <cellStyle name="Normal 5 51 2 2" xfId="42297" xr:uid="{4D03F128-29EE-44CD-901A-EA6A98C4A5B0}"/>
    <cellStyle name="Normal 5 51 3" xfId="6271" xr:uid="{00000000-0005-0000-0000-0000610D0000}"/>
    <cellStyle name="Normal 5 51 4" xfId="38321" xr:uid="{1633A5A8-4FA1-42EE-B334-8E77A97F1DC2}"/>
    <cellStyle name="Normal 5 52" xfId="4284" xr:uid="{00000000-0005-0000-0000-0000DC100000}"/>
    <cellStyle name="Normal 5 52 2" xfId="9809" xr:uid="{00000000-0005-0000-0000-00002C1E0000}"/>
    <cellStyle name="Normal 5 52 2 2" xfId="42298" xr:uid="{AEEAB3BC-DA3F-43CD-A38A-3F4F0AAA4157}"/>
    <cellStyle name="Normal 5 52 3" xfId="6272" xr:uid="{00000000-0005-0000-0000-0000620D0000}"/>
    <cellStyle name="Normal 5 52 4" xfId="38322" xr:uid="{586B0FBF-BB93-45F1-B115-A89BBC7F48B0}"/>
    <cellStyle name="Normal 5 53" xfId="4285" xr:uid="{00000000-0005-0000-0000-0000DD100000}"/>
    <cellStyle name="Normal 5 53 2" xfId="9810" xr:uid="{00000000-0005-0000-0000-00002D1E0000}"/>
    <cellStyle name="Normal 5 53 2 2" xfId="42299" xr:uid="{ACE23A4B-3E63-4926-B2C1-065B96E2B995}"/>
    <cellStyle name="Normal 5 53 3" xfId="6273" xr:uid="{00000000-0005-0000-0000-0000630D0000}"/>
    <cellStyle name="Normal 5 53 4" xfId="38323" xr:uid="{3B8D240A-2F17-452C-BB18-8718DC4C336C}"/>
    <cellStyle name="Normal 5 54" xfId="4286" xr:uid="{00000000-0005-0000-0000-0000DE100000}"/>
    <cellStyle name="Normal 5 54 2" xfId="9811" xr:uid="{00000000-0005-0000-0000-00002E1E0000}"/>
    <cellStyle name="Normal 5 54 2 2" xfId="42300" xr:uid="{277B3447-4EB5-494B-97CE-67A467A91B6C}"/>
    <cellStyle name="Normal 5 54 3" xfId="6274" xr:uid="{00000000-0005-0000-0000-0000640D0000}"/>
    <cellStyle name="Normal 5 54 4" xfId="38324" xr:uid="{FBDDC58B-2684-497F-8E81-CFAFE93AA796}"/>
    <cellStyle name="Normal 5 55" xfId="4287" xr:uid="{00000000-0005-0000-0000-0000DF100000}"/>
    <cellStyle name="Normal 5 55 2" xfId="9812" xr:uid="{00000000-0005-0000-0000-00002F1E0000}"/>
    <cellStyle name="Normal 5 55 2 2" xfId="42301" xr:uid="{8E64E33F-F40A-485D-9918-4AF8872F5933}"/>
    <cellStyle name="Normal 5 55 3" xfId="6275" xr:uid="{00000000-0005-0000-0000-0000650D0000}"/>
    <cellStyle name="Normal 5 55 4" xfId="38325" xr:uid="{E6729C25-916F-40DD-9FF9-8822FBE5EE65}"/>
    <cellStyle name="Normal 5 56" xfId="4288" xr:uid="{00000000-0005-0000-0000-0000E0100000}"/>
    <cellStyle name="Normal 5 56 2" xfId="9813" xr:uid="{00000000-0005-0000-0000-0000301E0000}"/>
    <cellStyle name="Normal 5 56 2 2" xfId="42302" xr:uid="{38B29B82-BBF8-45B7-8F8C-6E2AB0523F94}"/>
    <cellStyle name="Normal 5 56 3" xfId="6276" xr:uid="{00000000-0005-0000-0000-0000660D0000}"/>
    <cellStyle name="Normal 5 56 4" xfId="38326" xr:uid="{68C9CD51-CB8C-44DF-BB85-544542FF2DB0}"/>
    <cellStyle name="Normal 5 57" xfId="4289" xr:uid="{00000000-0005-0000-0000-0000E1100000}"/>
    <cellStyle name="Normal 5 57 2" xfId="9814" xr:uid="{00000000-0005-0000-0000-0000311E0000}"/>
    <cellStyle name="Normal 5 57 2 2" xfId="42303" xr:uid="{77AE2F6F-0A99-415E-8F7C-936E5AAD4151}"/>
    <cellStyle name="Normal 5 57 3" xfId="6277" xr:uid="{00000000-0005-0000-0000-0000670D0000}"/>
    <cellStyle name="Normal 5 57 4" xfId="38327" xr:uid="{089B5ABF-C398-415A-B26B-4680BC1CD5F9}"/>
    <cellStyle name="Normal 5 58" xfId="4290" xr:uid="{00000000-0005-0000-0000-0000E2100000}"/>
    <cellStyle name="Normal 5 58 2" xfId="9815" xr:uid="{00000000-0005-0000-0000-0000321E0000}"/>
    <cellStyle name="Normal 5 58 2 2" xfId="42304" xr:uid="{865E694A-C06D-402A-BDF2-C985182E79D2}"/>
    <cellStyle name="Normal 5 58 3" xfId="6278" xr:uid="{00000000-0005-0000-0000-0000680D0000}"/>
    <cellStyle name="Normal 5 58 4" xfId="38328" xr:uid="{3B158131-A0A3-4257-B883-F1F4AEC7D3C2}"/>
    <cellStyle name="Normal 5 59" xfId="4291" xr:uid="{00000000-0005-0000-0000-0000E3100000}"/>
    <cellStyle name="Normal 5 59 2" xfId="9816" xr:uid="{00000000-0005-0000-0000-0000331E0000}"/>
    <cellStyle name="Normal 5 59 2 2" xfId="42305" xr:uid="{EB557D8F-8314-4045-85C5-2BD356F334E0}"/>
    <cellStyle name="Normal 5 59 3" xfId="6279" xr:uid="{00000000-0005-0000-0000-0000690D0000}"/>
    <cellStyle name="Normal 5 59 4" xfId="38329" xr:uid="{9AA6452F-DEBE-47B1-B9DE-EB66FEC0ADDA}"/>
    <cellStyle name="Normal 5 6" xfId="4292" xr:uid="{00000000-0005-0000-0000-0000E4100000}"/>
    <cellStyle name="Normal-- 5 6" xfId="8119" xr:uid="{00000000-0005-0000-0000-00004C230000}"/>
    <cellStyle name="Normal 5 6 10" xfId="12229" xr:uid="{00000000-0005-0000-0000-00007A240000}"/>
    <cellStyle name="Normal 5 6 10 2" xfId="44712" xr:uid="{0F7A66E9-6F79-4D27-8C61-ADD655FF6FFA}"/>
    <cellStyle name="Normal 5 6 11" xfId="8300" xr:uid="{00000000-0005-0000-0000-0000B5240000}"/>
    <cellStyle name="Normal 5 6 11 2" xfId="41090" xr:uid="{ABE0C55D-B61A-464B-AF86-230C8599AA69}"/>
    <cellStyle name="Normal 5 6 12" xfId="12245" xr:uid="{00000000-0005-0000-0000-0000F4240000}"/>
    <cellStyle name="Normal 5 6 12 2" xfId="44728" xr:uid="{50D29774-F5A4-4958-9D83-997AD8FD7BF7}"/>
    <cellStyle name="Normal 5 6 13" xfId="8317" xr:uid="{00000000-0005-0000-0000-000037250000}"/>
    <cellStyle name="Normal 5 6 13 2" xfId="41100" xr:uid="{9395FA70-8056-43CC-B7D7-D6EBA99BC30F}"/>
    <cellStyle name="Normal 5 6 14" xfId="12256" xr:uid="{00000000-0005-0000-0000-00007E250000}"/>
    <cellStyle name="Normal 5 6 14 2" xfId="44739" xr:uid="{3C1DE40A-83CD-4945-AEC8-0185D3EFFAEC}"/>
    <cellStyle name="Normal 5 6 15" xfId="8336" xr:uid="{00000000-0005-0000-0000-0000C9250000}"/>
    <cellStyle name="Normal 5 6 15 2" xfId="41116" xr:uid="{E87DF5CD-AA56-436E-9139-048DE15265BE}"/>
    <cellStyle name="Normal 5 6 16" xfId="12274" xr:uid="{00000000-0005-0000-0000-000018260000}"/>
    <cellStyle name="Normal 5 6 16 2" xfId="44756" xr:uid="{003B41E3-A871-4CF2-8F81-C9A0C2301E13}"/>
    <cellStyle name="Normal 5 6 17" xfId="8354" xr:uid="{00000000-0005-0000-0000-00006B260000}"/>
    <cellStyle name="Normal 5 6 17 2" xfId="41131" xr:uid="{4731BA04-CAA8-4008-9DB4-DE6DF82E754C}"/>
    <cellStyle name="Normal 5 6 18" xfId="12296" xr:uid="{00000000-0005-0000-0000-0000C2260000}"/>
    <cellStyle name="Normal 5 6 18 2" xfId="44778" xr:uid="{9C9EB8D7-7327-4BE9-A545-2DD93ED3CE46}"/>
    <cellStyle name="Normal 5 6 19" xfId="8379" xr:uid="{00000000-0005-0000-0000-00001D270000}"/>
    <cellStyle name="Normal 5 6 19 2" xfId="41150" xr:uid="{C532FE72-8002-41B4-9E50-5626E19CCC0F}"/>
    <cellStyle name="Normal 5 6 2" xfId="4293" xr:uid="{00000000-0005-0000-0000-0000E5100000}"/>
    <cellStyle name="Normal-- 5 6 2" xfId="40921" xr:uid="{BD8880A5-ECDB-413A-9EFA-5E9F89045045}"/>
    <cellStyle name="Normal 5 6 2 10" xfId="46695" xr:uid="{286C61F3-60C2-4F37-9CDA-D3A8D27973F5}"/>
    <cellStyle name="Normal 5 6 2 11" xfId="47780" xr:uid="{84D000DE-70B7-4FD3-A37C-9019FA131711}"/>
    <cellStyle name="Normal 5 6 2 2" xfId="9818" xr:uid="{00000000-0005-0000-0000-0000351E0000}"/>
    <cellStyle name="Normal 5 6 2 2 2" xfId="42307" xr:uid="{BB2D9898-755F-4685-9F7E-FF4FF940A6C8}"/>
    <cellStyle name="Normal 5 6 2 3" xfId="6281" xr:uid="{00000000-0005-0000-0000-00006B0D0000}"/>
    <cellStyle name="Normal 5 6 2 4" xfId="38331" xr:uid="{B945769B-753C-4EA4-8AE6-DFFD01395395}"/>
    <cellStyle name="Normal 5 6 2 5" xfId="15222" xr:uid="{EBCC0121-3FF8-45E1-93E8-933E4AB592B7}"/>
    <cellStyle name="Normal 5 6 2 6" xfId="46194" xr:uid="{EE13E15A-FC4F-4B8F-8370-2F1099CEAA26}"/>
    <cellStyle name="Normal 5 6 2 7" xfId="46171" xr:uid="{2077803C-E708-458F-BADE-125FED9D5942}"/>
    <cellStyle name="Normal 5 6 2 8" xfId="47808" xr:uid="{74EA1ACE-D181-4618-944F-C27A25DA0DD9}"/>
    <cellStyle name="Normal 5 6 2 9" xfId="13730" xr:uid="{8F7A7D4B-E040-4E90-8B34-6802ABF3CE51}"/>
    <cellStyle name="Normal 5 6 20" xfId="12329" xr:uid="{00000000-0005-0000-0000-00007C270000}"/>
    <cellStyle name="Normal 5 6 20 2" xfId="44810" xr:uid="{080148D8-F738-4103-BCC8-6FEED2112E06}"/>
    <cellStyle name="Normal 5 6 21" xfId="6280" xr:uid="{00000000-0005-0000-0000-00006A0D0000}"/>
    <cellStyle name="Normal 5 6 22" xfId="13071" xr:uid="{00000000-0005-0000-0000-00009F300000}"/>
    <cellStyle name="Normal 5 6 22 2" xfId="45535" xr:uid="{E9D47317-0033-4533-B252-6BBCFA1AC55C}"/>
    <cellStyle name="Normal 5 6 23" xfId="11568" xr:uid="{00000000-0005-0000-0000-00000A310000}"/>
    <cellStyle name="Normal 5 6 23 2" xfId="44056" xr:uid="{00B88D39-532C-4137-9EF1-0A7DC7F24196}"/>
    <cellStyle name="Normal 5 6 24" xfId="13092" xr:uid="{00000000-0005-0000-0000-000079310000}"/>
    <cellStyle name="Normal 5 6 24 2" xfId="45556" xr:uid="{43783377-944E-4037-B3C4-E82A8D501E36}"/>
    <cellStyle name="Normal 5 6 25" xfId="11546" xr:uid="{00000000-0005-0000-0000-0000EC310000}"/>
    <cellStyle name="Normal 5 6 25 2" xfId="44034" xr:uid="{8281C2EA-2331-4ABF-8D28-1CD54F194813}"/>
    <cellStyle name="Normal 5 6 26" xfId="13109" xr:uid="{00000000-0005-0000-0000-000063320000}"/>
    <cellStyle name="Normal 5 6 26 2" xfId="45573" xr:uid="{24911FC4-BBDB-456E-8F56-093305B6B8FE}"/>
    <cellStyle name="Normal 5 6 27" xfId="11526" xr:uid="{00000000-0005-0000-0000-0000DE320000}"/>
    <cellStyle name="Normal 5 6 27 2" xfId="44014" xr:uid="{E2EAD692-7558-4835-B776-01FFC46F7B34}"/>
    <cellStyle name="Normal 5 6 28" xfId="13126" xr:uid="{00000000-0005-0000-0000-00005D330000}"/>
    <cellStyle name="Normal 5 6 28 2" xfId="45590" xr:uid="{17F787AA-29C2-4A41-A8A2-0482B38EE40B}"/>
    <cellStyle name="Normal 5 6 29" xfId="11508" xr:uid="{00000000-0005-0000-0000-0000E0330000}"/>
    <cellStyle name="Normal 5 6 29 2" xfId="43996" xr:uid="{9C9A0258-EEC4-494B-BAF0-BE20B4C501A5}"/>
    <cellStyle name="Normal 5 6 3" xfId="9817" xr:uid="{00000000-0005-0000-0000-0000341E0000}"/>
    <cellStyle name="Normal-- 5 6 3" xfId="46740" xr:uid="{22D7C625-4116-4B37-A18B-698CE1A8E28D}"/>
    <cellStyle name="Normal 5 6 3 2" xfId="18139" xr:uid="{B6B4AC24-B58E-4F56-B1CC-C7D5E8ACE4CF}"/>
    <cellStyle name="Normal 5 6 3 3" xfId="42306" xr:uid="{B99E693B-C61E-4E29-9A44-47CF123D266B}"/>
    <cellStyle name="Normal 5 6 3 4" xfId="37796" xr:uid="{BE1DD196-AB02-42E3-891B-0F1BAE91F8CC}"/>
    <cellStyle name="Normal 5 6 3 5" xfId="47177" xr:uid="{82FF0EBC-A3D7-4D80-B9AD-4B9831AC7FA8}"/>
    <cellStyle name="Normal 5 6 3 6" xfId="48753" xr:uid="{6EF46F67-B3C1-47E7-85E6-1C92C7171E1B}"/>
    <cellStyle name="Normal 5 6 3 7" xfId="46578" xr:uid="{FA238C39-3F43-43C6-BA04-1D6105094C10}"/>
    <cellStyle name="Normal 5 6 3 8" xfId="37899" xr:uid="{D5A2DFC9-680C-4506-9C61-4135FA540816}"/>
    <cellStyle name="Normal 5 6 3 9" xfId="40227" xr:uid="{C6FF46EA-B6ED-42FA-97A8-ECBB0A948BCD}"/>
    <cellStyle name="Normal 5 6 30" xfId="13132" xr:uid="{00000000-0005-0000-0000-000067340000}"/>
    <cellStyle name="Normal 5 6 30 2" xfId="45596" xr:uid="{901EFF0E-4379-462B-9244-C0C9DA29F578}"/>
    <cellStyle name="Normal 5 6 31" xfId="11502" xr:uid="{00000000-0005-0000-0000-0000F2340000}"/>
    <cellStyle name="Normal 5 6 31 2" xfId="43990" xr:uid="{FDFCF5EA-1FEA-4D0A-956F-01FFF9F64A49}"/>
    <cellStyle name="Normal 5 6 32" xfId="15800" xr:uid="{91171BD0-B75A-4F28-BF4C-303B76685842}"/>
    <cellStyle name="Normal 5 6 33" xfId="38330" xr:uid="{EB6A4272-FBD0-49B4-85F6-258B080FBAE0}"/>
    <cellStyle name="Normal 5 6 34" xfId="40483" xr:uid="{1B7C396E-6422-4F53-A732-948C9014EAE3}"/>
    <cellStyle name="Normal 5 6 35" xfId="48630" xr:uid="{152F68AA-5175-4B31-948F-67E1102D51F9}"/>
    <cellStyle name="Normal 5 6 36" xfId="48861" xr:uid="{A74F0CC7-C0BD-4972-A23B-3CFFDC63E208}"/>
    <cellStyle name="Normal 5 6 37" xfId="14936" xr:uid="{52061B46-43B4-488B-A36B-88DC50148ED4}"/>
    <cellStyle name="Normal 5 6 38" xfId="49330" xr:uid="{3AA44A30-D6CB-4BA0-8AFC-4EE83FCC4A0A}"/>
    <cellStyle name="Normal 5 6 39" xfId="49623" xr:uid="{859D4EA7-8793-4753-8974-00763A8E3EC3}"/>
    <cellStyle name="Normal 5 6 4" xfId="12192" xr:uid="{00000000-0005-0000-0000-00006F230000}"/>
    <cellStyle name="Normal-- 5 6 4" xfId="14198" xr:uid="{8CA419E4-C5F1-4136-BDCA-84272D02D08C}"/>
    <cellStyle name="Normal 5 6 4 2" xfId="44675" xr:uid="{73F6DF38-65C5-4A8A-AFC5-C44EC5DE3CAE}"/>
    <cellStyle name="Normal 5 6 4 3" xfId="15496" xr:uid="{4A00F2B2-E4BF-4457-9AF7-E7D9C78C84B2}"/>
    <cellStyle name="Normal 5 6 4 4" xfId="37966" xr:uid="{8BE599EF-5CED-4F0B-8AF8-58F737209F46}"/>
    <cellStyle name="Normal 5 6 4 5" xfId="46893" xr:uid="{152AA8E5-E5AA-4947-97D8-BEC81CED4B17}"/>
    <cellStyle name="Normal 5 6 4 6" xfId="47491" xr:uid="{2A548FF5-7E95-4696-B5FC-1E64B989971A}"/>
    <cellStyle name="Normal 5 6 4 7" xfId="48016" xr:uid="{F7FA5BA6-98D1-4C63-BE93-E8CA2A5F98FD}"/>
    <cellStyle name="Normal 5 6 40" xfId="13635" xr:uid="{9F9259A6-44A3-46FE-8D8F-E599322E473E}"/>
    <cellStyle name="Normal 5 6 5" xfId="8262" xr:uid="{00000000-0005-0000-0000-000091230000}"/>
    <cellStyle name="Normal-- 5 6 5" xfId="48408" xr:uid="{493BC333-E92A-4F4A-8503-E240F369124E}"/>
    <cellStyle name="Normal 5 6 5 2" xfId="41056" xr:uid="{28D5311F-920C-4311-9E78-2F4AC1475999}"/>
    <cellStyle name="Normal 5 6 5 3" xfId="47753" xr:uid="{75766D68-AF98-4A1E-B44C-E537C370753A}"/>
    <cellStyle name="Normal 5 6 5 4" xfId="48916" xr:uid="{0EEE0744-AF5A-4428-9636-561EC4E7D4F6}"/>
    <cellStyle name="Normal 5 6 5 5" xfId="15796" xr:uid="{1B5EF77B-3C8E-4107-9DF2-5391B6938267}"/>
    <cellStyle name="Normal 5 6 5 6" xfId="46449" xr:uid="{8679EDF0-FDD2-4EB2-8055-000D35CB319D}"/>
    <cellStyle name="Normal 5 6 6" xfId="12203" xr:uid="{00000000-0005-0000-0000-0000B7230000}"/>
    <cellStyle name="Normal-- 5 6 6" xfId="46214" xr:uid="{89A3F597-2AD6-4847-BE33-260246D920F3}"/>
    <cellStyle name="Normal 5 6 6 2" xfId="44686" xr:uid="{7A587879-BFAC-4380-A486-984B9A0BCDEE}"/>
    <cellStyle name="Normal 5 6 6 3" xfId="47627" xr:uid="{6E040CE8-F72C-4CDD-B3B4-70ECF4C5A88F}"/>
    <cellStyle name="Normal 5 6 6 4" xfId="48736" xr:uid="{7AA248C1-8CF0-4662-B750-AC5B97A03A6C}"/>
    <cellStyle name="Normal 5 6 6 5" xfId="42006" xr:uid="{76FF6AA5-5CE9-4476-BAEF-EA880196020B}"/>
    <cellStyle name="Normal 5 6 7" xfId="8272" xr:uid="{00000000-0005-0000-0000-0000E1230000}"/>
    <cellStyle name="Normal-- 5 6 7" xfId="41643" xr:uid="{5684D7EF-9D08-4314-83E6-2EE83A47295F}"/>
    <cellStyle name="Normal 5 6 7 2" xfId="41066" xr:uid="{D1D90AB6-CBEF-4139-AC0E-3DDE4DD60415}"/>
    <cellStyle name="Normal 5 6 7 3" xfId="47703" xr:uid="{6E309B5F-2676-4704-9B89-EF5BF943A888}"/>
    <cellStyle name="Normal 5 6 7 4" xfId="16646" xr:uid="{E1313205-1B25-4ADD-BA71-22774D03145B}"/>
    <cellStyle name="Normal 5 6 8" xfId="12214" xr:uid="{00000000-0005-0000-0000-000010240000}"/>
    <cellStyle name="Normal-- 5 6 8" xfId="15493" xr:uid="{CEB1B644-B809-4D6C-AD81-27EF19769EF4}"/>
    <cellStyle name="Normal 5 6 8 2" xfId="44697" xr:uid="{8BE777BE-F642-4019-8C35-D12AA68C7D8B}"/>
    <cellStyle name="Normal 5 6 8 3" xfId="37685" xr:uid="{600BD3B8-43C6-4F9F-A2AF-71FC62E6804F}"/>
    <cellStyle name="Normal 5 6 9" xfId="8283" xr:uid="{00000000-0005-0000-0000-000043240000}"/>
    <cellStyle name="Normal-- 5 6 9" xfId="48283" xr:uid="{BA1E8387-1BEF-490D-B5A0-5FD2688F5BA9}"/>
    <cellStyle name="Normal 5 6 9 2" xfId="41075" xr:uid="{11A2499E-08C9-4C9E-A9DC-3E32E340BB8D}"/>
    <cellStyle name="Normal 5 60" xfId="4294" xr:uid="{00000000-0005-0000-0000-0000E6100000}"/>
    <cellStyle name="Normal 5 60 2" xfId="9819" xr:uid="{00000000-0005-0000-0000-0000361E0000}"/>
    <cellStyle name="Normal 5 60 2 2" xfId="42308" xr:uid="{4D279693-305B-4DE9-B680-383A27C35DAF}"/>
    <cellStyle name="Normal 5 60 3" xfId="6282" xr:uid="{00000000-0005-0000-0000-00006C0D0000}"/>
    <cellStyle name="Normal 5 60 4" xfId="38332" xr:uid="{576476C2-E0CD-493E-BD97-4D5BFB28BB20}"/>
    <cellStyle name="Normal 5 61" xfId="4295" xr:uid="{00000000-0005-0000-0000-0000E7100000}"/>
    <cellStyle name="Normal 5 61 2" xfId="9820" xr:uid="{00000000-0005-0000-0000-0000371E0000}"/>
    <cellStyle name="Normal 5 61 2 2" xfId="42309" xr:uid="{62C06ECA-EC94-41A9-801E-B7EA39585DE9}"/>
    <cellStyle name="Normal 5 61 3" xfId="6283" xr:uid="{00000000-0005-0000-0000-00006D0D0000}"/>
    <cellStyle name="Normal 5 61 4" xfId="38333" xr:uid="{2BC5E8D8-B463-4D60-ADB7-C1930CDAC77C}"/>
    <cellStyle name="Normal 5 62" xfId="4296" xr:uid="{00000000-0005-0000-0000-0000E8100000}"/>
    <cellStyle name="Normal 5 62 2" xfId="9821" xr:uid="{00000000-0005-0000-0000-0000381E0000}"/>
    <cellStyle name="Normal 5 62 2 2" xfId="42310" xr:uid="{839F2BCD-0E52-4408-B609-F8A1BFE6B221}"/>
    <cellStyle name="Normal 5 62 3" xfId="6284" xr:uid="{00000000-0005-0000-0000-00006E0D0000}"/>
    <cellStyle name="Normal 5 62 4" xfId="38334" xr:uid="{C85CE4BE-8783-4C7A-B2AF-A69ECBED1518}"/>
    <cellStyle name="Normal 5 63" xfId="4297" xr:uid="{00000000-0005-0000-0000-0000E9100000}"/>
    <cellStyle name="Normal 5 63 2" xfId="9822" xr:uid="{00000000-0005-0000-0000-0000391E0000}"/>
    <cellStyle name="Normal 5 63 2 2" xfId="42311" xr:uid="{691CD481-11CE-44BE-AEEC-9DEFB5395999}"/>
    <cellStyle name="Normal 5 63 3" xfId="6285" xr:uid="{00000000-0005-0000-0000-00006F0D0000}"/>
    <cellStyle name="Normal 5 63 4" xfId="38335" xr:uid="{C4AEAB97-DCA9-480B-AD66-378AAD0CAA7B}"/>
    <cellStyle name="Normal 5 64" xfId="4298" xr:uid="{00000000-0005-0000-0000-0000EA100000}"/>
    <cellStyle name="Normal 5 64 2" xfId="9823" xr:uid="{00000000-0005-0000-0000-00003A1E0000}"/>
    <cellStyle name="Normal 5 64 2 2" xfId="42312" xr:uid="{71101584-FE87-42FD-9A21-D4DFBEEBDC43}"/>
    <cellStyle name="Normal 5 64 3" xfId="6286" xr:uid="{00000000-0005-0000-0000-0000700D0000}"/>
    <cellStyle name="Normal 5 64 4" xfId="38336" xr:uid="{79D4A6E1-1A29-4838-9D7E-DB286CF0BEDF}"/>
    <cellStyle name="Normal 5 65" xfId="4299" xr:uid="{00000000-0005-0000-0000-0000EB100000}"/>
    <cellStyle name="Normal 5 65 2" xfId="9824" xr:uid="{00000000-0005-0000-0000-00003B1E0000}"/>
    <cellStyle name="Normal 5 65 2 2" xfId="42313" xr:uid="{890F760E-B2F1-44BA-B362-E0609E4ABDC2}"/>
    <cellStyle name="Normal 5 65 3" xfId="6287" xr:uid="{00000000-0005-0000-0000-0000710D0000}"/>
    <cellStyle name="Normal 5 65 4" xfId="38337" xr:uid="{CBDA90E5-E683-45F8-A747-365C03D3614C}"/>
    <cellStyle name="Normal 5 66" xfId="4300" xr:uid="{00000000-0005-0000-0000-0000EC100000}"/>
    <cellStyle name="Normal 5 66 2" xfId="9825" xr:uid="{00000000-0005-0000-0000-00003C1E0000}"/>
    <cellStyle name="Normal 5 66 2 2" xfId="42314" xr:uid="{C567F5A0-4258-4D00-AC56-D999F6566938}"/>
    <cellStyle name="Normal 5 66 3" xfId="6288" xr:uid="{00000000-0005-0000-0000-0000720D0000}"/>
    <cellStyle name="Normal 5 66 4" xfId="38338" xr:uid="{2289F5AB-DBD9-4F13-8A68-6CF8917281D3}"/>
    <cellStyle name="Normal 5 67" xfId="4301" xr:uid="{00000000-0005-0000-0000-0000ED100000}"/>
    <cellStyle name="Normal 5 67 2" xfId="9826" xr:uid="{00000000-0005-0000-0000-00003D1E0000}"/>
    <cellStyle name="Normal 5 67 2 2" xfId="42315" xr:uid="{5011F372-D963-4B54-9EDA-E3E8E7905E5F}"/>
    <cellStyle name="Normal 5 67 3" xfId="6289" xr:uid="{00000000-0005-0000-0000-0000730D0000}"/>
    <cellStyle name="Normal 5 67 4" xfId="38339" xr:uid="{4F366038-308E-4221-82BE-492B7017EC69}"/>
    <cellStyle name="Normal 5 68" xfId="4302" xr:uid="{00000000-0005-0000-0000-0000EE100000}"/>
    <cellStyle name="Normal 5 68 2" xfId="9827" xr:uid="{00000000-0005-0000-0000-00003E1E0000}"/>
    <cellStyle name="Normal 5 68 2 2" xfId="42316" xr:uid="{295E539E-712D-4A21-A47B-029A7BA397F4}"/>
    <cellStyle name="Normal 5 68 3" xfId="6290" xr:uid="{00000000-0005-0000-0000-0000740D0000}"/>
    <cellStyle name="Normal 5 68 4" xfId="38340" xr:uid="{7B5F4FC2-8353-44DB-93CB-569243B5DC54}"/>
    <cellStyle name="Normal 5 69" xfId="4303" xr:uid="{00000000-0005-0000-0000-0000EF100000}"/>
    <cellStyle name="Normal 5 69 2" xfId="9828" xr:uid="{00000000-0005-0000-0000-00003F1E0000}"/>
    <cellStyle name="Normal 5 69 2 2" xfId="42317" xr:uid="{FB316C98-0144-45F8-934C-401B879E18EF}"/>
    <cellStyle name="Normal 5 69 3" xfId="6291" xr:uid="{00000000-0005-0000-0000-0000750D0000}"/>
    <cellStyle name="Normal 5 69 4" xfId="38341" xr:uid="{19FD3BE8-17E6-47A0-93D1-4AC6B3CA7CF5}"/>
    <cellStyle name="Normal 5 7" xfId="4304" xr:uid="{00000000-0005-0000-0000-0000F0100000}"/>
    <cellStyle name="Normal-- 5 7" xfId="12077" xr:uid="{00000000-0005-0000-0000-00006A230000}"/>
    <cellStyle name="Normal 5 7 10" xfId="8313" xr:uid="{00000000-0005-0000-0000-0000B6240000}"/>
    <cellStyle name="Normal 5 7 10 2" xfId="41099" xr:uid="{67779695-391A-4637-85DC-9662A62EA4A7}"/>
    <cellStyle name="Normal 5 7 11" xfId="12254" xr:uid="{00000000-0005-0000-0000-0000F5240000}"/>
    <cellStyle name="Normal 5 7 11 2" xfId="44737" xr:uid="{624452EC-B28F-4B17-8307-E8738839A73A}"/>
    <cellStyle name="Normal 5 7 12" xfId="8330" xr:uid="{00000000-0005-0000-0000-000038250000}"/>
    <cellStyle name="Normal 5 7 12 2" xfId="41111" xr:uid="{2E7BE15D-34C0-411D-BEC0-9C6A417D723F}"/>
    <cellStyle name="Normal 5 7 13" xfId="12266" xr:uid="{00000000-0005-0000-0000-00007F250000}"/>
    <cellStyle name="Normal 5 7 13 2" xfId="44749" xr:uid="{2446973B-8666-45C5-A486-24F974B44513}"/>
    <cellStyle name="Normal 5 7 14" xfId="8350" xr:uid="{00000000-0005-0000-0000-0000CA250000}"/>
    <cellStyle name="Normal 5 7 14 2" xfId="41129" xr:uid="{D4FD7E85-DF7B-4175-A273-E0E185894E49}"/>
    <cellStyle name="Normal 5 7 15" xfId="12288" xr:uid="{00000000-0005-0000-0000-000019260000}"/>
    <cellStyle name="Normal 5 7 15 2" xfId="44770" xr:uid="{7AE9E9F9-2729-468B-9D76-BCC59AFD5C88}"/>
    <cellStyle name="Normal 5 7 16" xfId="8368" xr:uid="{00000000-0005-0000-0000-00006C260000}"/>
    <cellStyle name="Normal 5 7 16 2" xfId="41142" xr:uid="{F937412B-3DDA-475F-879D-287CD9A48E5B}"/>
    <cellStyle name="Normal 5 7 17" xfId="12311" xr:uid="{00000000-0005-0000-0000-0000C3260000}"/>
    <cellStyle name="Normal 5 7 17 2" xfId="44793" xr:uid="{5FF62350-C1C2-4A52-B8F2-395452F4C8F6}"/>
    <cellStyle name="Normal 5 7 18" xfId="8394" xr:uid="{00000000-0005-0000-0000-00001E270000}"/>
    <cellStyle name="Normal 5 7 18 2" xfId="41165" xr:uid="{4F1E7851-6865-42C2-8607-D0BA73643FEB}"/>
    <cellStyle name="Normal 5 7 19" xfId="12343" xr:uid="{00000000-0005-0000-0000-00007D270000}"/>
    <cellStyle name="Normal 5 7 19 2" xfId="44824" xr:uid="{73F8F009-869E-4219-AEBA-A69E18A9E172}"/>
    <cellStyle name="Normal 5 7 2" xfId="4305" xr:uid="{00000000-0005-0000-0000-0000F1100000}"/>
    <cellStyle name="Normal-- 5 7 2" xfId="44560" xr:uid="{EC7B60C6-8830-4C36-9D36-D86411BBE33F}"/>
    <cellStyle name="Normal 5 7 2 10" xfId="40608" xr:uid="{5863D0AB-E097-4DFD-8FC1-F5EC82A25065}"/>
    <cellStyle name="Normal 5 7 2 11" xfId="48608" xr:uid="{C53468A1-527D-42F4-BDB3-BCCABF3207A7}"/>
    <cellStyle name="Normal 5 7 2 2" xfId="9830" xr:uid="{00000000-0005-0000-0000-0000411E0000}"/>
    <cellStyle name="Normal 5 7 2 2 2" xfId="42319" xr:uid="{88F38BC9-3732-406C-8A5B-D3C52E04AC37}"/>
    <cellStyle name="Normal 5 7 2 3" xfId="6293" xr:uid="{00000000-0005-0000-0000-0000770D0000}"/>
    <cellStyle name="Normal 5 7 2 4" xfId="38343" xr:uid="{AEDD392E-5366-4799-B175-24D87602C0DB}"/>
    <cellStyle name="Normal 5 7 2 5" xfId="15226" xr:uid="{8CF53D4F-C8C6-4C46-B6F6-CC7C4C3BAF04}"/>
    <cellStyle name="Normal 5 7 2 6" xfId="48658" xr:uid="{8506807D-FC9B-4107-AC77-C0107A34EED1}"/>
    <cellStyle name="Normal 5 7 2 7" xfId="41258" xr:uid="{99657BDD-68E9-4763-ABA1-9813E10FD5FD}"/>
    <cellStyle name="Normal 5 7 2 8" xfId="41316" xr:uid="{DF769414-EA82-4FB1-B563-97C787F849D7}"/>
    <cellStyle name="Normal 5 7 2 9" xfId="47027" xr:uid="{E62D3E57-9DE3-4433-A141-B5B6126C92BD}"/>
    <cellStyle name="Normal 5 7 20" xfId="6292" xr:uid="{00000000-0005-0000-0000-0000760D0000}"/>
    <cellStyle name="Normal 5 7 21" xfId="13080" xr:uid="{00000000-0005-0000-0000-0000A0300000}"/>
    <cellStyle name="Normal 5 7 21 2" xfId="45544" xr:uid="{A982CB36-2218-45CD-A00E-BCA6FE6A08A7}"/>
    <cellStyle name="Normal 5 7 22" xfId="11558" xr:uid="{00000000-0005-0000-0000-00000B310000}"/>
    <cellStyle name="Normal 5 7 22 2" xfId="44046" xr:uid="{7C90A2A5-0F7E-4661-80A7-26CA87E76E5B}"/>
    <cellStyle name="Normal 5 7 23" xfId="13101" xr:uid="{00000000-0005-0000-0000-00007A310000}"/>
    <cellStyle name="Normal 5 7 23 2" xfId="45565" xr:uid="{E90107EC-6C42-4B92-A8AB-B82D17412E24}"/>
    <cellStyle name="Normal 5 7 24" xfId="11536" xr:uid="{00000000-0005-0000-0000-0000ED310000}"/>
    <cellStyle name="Normal 5 7 24 2" xfId="44024" xr:uid="{4EC7C356-8AA2-4C4B-86E2-EC78E3E0244D}"/>
    <cellStyle name="Normal 5 7 25" xfId="13117" xr:uid="{00000000-0005-0000-0000-000064320000}"/>
    <cellStyle name="Normal 5 7 25 2" xfId="45581" xr:uid="{78DDE768-DA32-429A-8CFE-0F1A5DDDCD74}"/>
    <cellStyle name="Normal 5 7 26" xfId="11519" xr:uid="{00000000-0005-0000-0000-0000DF320000}"/>
    <cellStyle name="Normal 5 7 26 2" xfId="44007" xr:uid="{D261B3B9-F922-4605-B67C-F70B6EC9D81C}"/>
    <cellStyle name="Normal 5 7 27" xfId="13129" xr:uid="{00000000-0005-0000-0000-00005E330000}"/>
    <cellStyle name="Normal 5 7 27 2" xfId="45593" xr:uid="{F0C252F0-80A3-4D2E-8763-A2F64B3826A5}"/>
    <cellStyle name="Normal 5 7 28" xfId="11505" xr:uid="{00000000-0005-0000-0000-0000E1330000}"/>
    <cellStyle name="Normal 5 7 28 2" xfId="43993" xr:uid="{356ABBA2-25C1-4F1B-A803-B1381CFD3F0E}"/>
    <cellStyle name="Normal 5 7 29" xfId="13134" xr:uid="{00000000-0005-0000-0000-000068340000}"/>
    <cellStyle name="Normal 5 7 29 2" xfId="45598" xr:uid="{DE60CA18-250C-4CC3-886C-041EA87B4C03}"/>
    <cellStyle name="Normal 5 7 3" xfId="9829" xr:uid="{00000000-0005-0000-0000-0000401E0000}"/>
    <cellStyle name="Normal-- 5 7 3" xfId="48219" xr:uid="{C844F2F7-E7B0-4049-AD94-3C0C600F2E87}"/>
    <cellStyle name="Normal 5 7 3 2" xfId="18140" xr:uid="{64E58A2F-334D-41DF-AA2A-6BFF5ACA422F}"/>
    <cellStyle name="Normal 5 7 3 3" xfId="42318" xr:uid="{9ACAA278-3A57-4ED7-8529-19823476FE01}"/>
    <cellStyle name="Normal 5 7 3 4" xfId="46434" xr:uid="{F8359961-DE2B-4D08-BE48-134BF093E5A8}"/>
    <cellStyle name="Normal 5 7 3 5" xfId="47039" xr:uid="{06C42957-3B27-430A-8FEE-C8BC3F147A1D}"/>
    <cellStyle name="Normal 5 7 3 6" xfId="16303" xr:uid="{BC1D499C-58D7-47EE-B01D-A7E31C1F88E1}"/>
    <cellStyle name="Normal 5 7 3 7" xfId="47153" xr:uid="{F28503D0-F602-4F09-A030-26BADFA23664}"/>
    <cellStyle name="Normal 5 7 3 8" xfId="47215" xr:uid="{E99A630E-A2E3-4CD5-A1DA-F34A293305D1}"/>
    <cellStyle name="Normal 5 7 3 9" xfId="49073" xr:uid="{DBCA9EDB-23F5-4E4F-9F41-82E2ACC5A0A0}"/>
    <cellStyle name="Normal 5 7 30" xfId="11497" xr:uid="{00000000-0005-0000-0000-0000F3340000}"/>
    <cellStyle name="Normal 5 7 30 2" xfId="43985" xr:uid="{B1DEE5F9-CFA9-4D79-91C3-C2C24ECCAA8E}"/>
    <cellStyle name="Normal 5 7 31" xfId="15804" xr:uid="{EAA14BFC-84AD-4BFA-81F8-36CD5FF920C0}"/>
    <cellStyle name="Normal 5 7 32" xfId="38342" xr:uid="{A7CDC00A-A7AA-4D26-86AC-6BC039385D4F}"/>
    <cellStyle name="Normal 5 7 33" xfId="15225" xr:uid="{C766604E-C94D-4162-92ED-FFC1E6CCF34D}"/>
    <cellStyle name="Normal 5 7 34" xfId="47972" xr:uid="{404E0F43-0815-4151-8B8E-56CA3A43628C}"/>
    <cellStyle name="Normal 5 7 35" xfId="48079" xr:uid="{A021CAF7-F77E-4AFB-9471-3BC045A22D56}"/>
    <cellStyle name="Normal 5 7 36" xfId="49098" xr:uid="{4A01C69D-7156-4886-90C4-653F832A3F69}"/>
    <cellStyle name="Normal 5 7 37" xfId="47334" xr:uid="{2D6B4442-5D3A-43A9-8319-7B1782BA794B}"/>
    <cellStyle name="Normal 5 7 38" xfId="47164" xr:uid="{33567970-7718-404A-943B-C9A17D535F1C}"/>
    <cellStyle name="Normal 5 7 39" xfId="14944" xr:uid="{2159D974-B2AE-41B8-95DA-12687E83C632}"/>
    <cellStyle name="Normal 5 7 4" xfId="8273" xr:uid="{00000000-0005-0000-0000-000092230000}"/>
    <cellStyle name="Normal-- 5 7 4" xfId="40527" xr:uid="{58EE9B25-77F9-442A-AB96-3E2D901B9542}"/>
    <cellStyle name="Normal 5 7 4 2" xfId="41067" xr:uid="{E710265A-57F4-4AA4-9324-5294961B6797}"/>
    <cellStyle name="Normal 5 7 4 3" xfId="48475" xr:uid="{12329831-4BE9-4327-9E9D-4EC9FE6E1D50}"/>
    <cellStyle name="Normal 5 7 4 4" xfId="47240" xr:uid="{479808BE-89B9-4114-AEE2-2F65F2BB1DE8}"/>
    <cellStyle name="Normal 5 7 4 5" xfId="46785" xr:uid="{9247B4FA-14AB-4329-8271-BC2ECD4C24A5}"/>
    <cellStyle name="Normal 5 7 4 6" xfId="46978" xr:uid="{C9EEC111-1D0E-4E71-8C6F-046ACAA54033}"/>
    <cellStyle name="Normal 5 7 4 7" xfId="37947" xr:uid="{69131CF6-A189-45B2-8562-8A27E8DA1CD6}"/>
    <cellStyle name="Normal 5 7 5" xfId="12215" xr:uid="{00000000-0005-0000-0000-0000B8230000}"/>
    <cellStyle name="Normal-- 5 7 5" xfId="40243" xr:uid="{142A84ED-0A65-410A-A662-0FD1BF40F12A}"/>
    <cellStyle name="Normal 5 7 5 2" xfId="44698" xr:uid="{1DF60086-4B87-4669-B417-6E8E377AE767}"/>
    <cellStyle name="Normal 5 7 5 3" xfId="46564" xr:uid="{1F7533E8-6471-45B3-A99A-E37BE1529FC3}"/>
    <cellStyle name="Normal 5 7 5 4" xfId="46196" xr:uid="{23888A06-4CA4-4E51-8770-853041495417}"/>
    <cellStyle name="Normal 5 7 5 5" xfId="49156" xr:uid="{7071B3A4-A8AC-4C19-92BB-5B20D7584022}"/>
    <cellStyle name="Normal 5 7 5 6" xfId="14091" xr:uid="{53F08495-4C49-4B61-99B9-AC11FAAF6CE7}"/>
    <cellStyle name="Normal 5 7 6" xfId="8284" xr:uid="{00000000-0005-0000-0000-0000E2230000}"/>
    <cellStyle name="Normal-- 5 7 6" xfId="16500" xr:uid="{7F56BF8B-3C50-4602-BED4-B298AF0ADDAC}"/>
    <cellStyle name="Normal 5 7 6 2" xfId="41076" xr:uid="{C60EDD8D-67D6-4581-83F4-5BD103B3F991}"/>
    <cellStyle name="Normal 5 7 6 3" xfId="47267" xr:uid="{3FE40AEB-E71E-4E8B-9AC2-89FE965AB7DA}"/>
    <cellStyle name="Normal 5 7 6 4" xfId="49407" xr:uid="{788907F3-ACA5-4751-B042-1CB103C550C3}"/>
    <cellStyle name="Normal 5 7 6 5" xfId="49306" xr:uid="{B209EBE3-6C2C-493C-95E0-88544EE940F3}"/>
    <cellStyle name="Normal 5 7 7" xfId="12228" xr:uid="{00000000-0005-0000-0000-000011240000}"/>
    <cellStyle name="Normal-- 5 7 7" xfId="40690" xr:uid="{6A02E4C0-656B-4A57-B17B-227BCE59E2EA}"/>
    <cellStyle name="Normal 5 7 7 2" xfId="44711" xr:uid="{8CC82973-E885-49C2-BDDF-E3D9E0D7098B}"/>
    <cellStyle name="Normal 5 7 7 3" xfId="41097" xr:uid="{7269868B-DF92-4F20-A3D0-DF83F816FDBD}"/>
    <cellStyle name="Normal 5 7 7 4" xfId="40423" xr:uid="{F0A37A0A-23DA-449E-9121-77D5A8169886}"/>
    <cellStyle name="Normal 5 7 8" xfId="8298" xr:uid="{00000000-0005-0000-0000-000044240000}"/>
    <cellStyle name="Normal-- 5 7 8" xfId="40366" xr:uid="{81155A2F-4306-41BF-A64D-BBF7FE3EEAC6}"/>
    <cellStyle name="Normal 5 7 8 2" xfId="41089" xr:uid="{582A1991-975F-458E-9AD5-1590C528CFB2}"/>
    <cellStyle name="Normal 5 7 8 3" xfId="37857" xr:uid="{25497C5B-E510-4517-9FBD-9393D0EDAE46}"/>
    <cellStyle name="Normal 5 7 9" xfId="12242" xr:uid="{00000000-0005-0000-0000-00007B240000}"/>
    <cellStyle name="Normal-- 5 7 9" xfId="15031" xr:uid="{9EE21697-85EA-4EDE-8DA8-68C883479D78}"/>
    <cellStyle name="Normal 5 7 9 2" xfId="44725" xr:uid="{4C0C77DF-C504-4C4B-9ACD-873E12AD50EC}"/>
    <cellStyle name="Normal 5 70" xfId="4306" xr:uid="{00000000-0005-0000-0000-0000F2100000}"/>
    <cellStyle name="Normal 5 70 2" xfId="9831" xr:uid="{00000000-0005-0000-0000-0000421E0000}"/>
    <cellStyle name="Normal 5 70 2 2" xfId="42320" xr:uid="{ED698C30-EC76-4638-A45F-C75D5DFE18E9}"/>
    <cellStyle name="Normal 5 70 3" xfId="6294" xr:uid="{00000000-0005-0000-0000-0000780D0000}"/>
    <cellStyle name="Normal 5 70 4" xfId="38344" xr:uid="{EDBDE862-ABD8-49A8-B8B8-09BDADCAC4F1}"/>
    <cellStyle name="Normal 5 71" xfId="4307" xr:uid="{00000000-0005-0000-0000-0000F3100000}"/>
    <cellStyle name="Normal 5 71 2" xfId="9832" xr:uid="{00000000-0005-0000-0000-0000431E0000}"/>
    <cellStyle name="Normal 5 71 2 2" xfId="42321" xr:uid="{DC6D5617-D37B-4A75-BA41-AAAD37F601B9}"/>
    <cellStyle name="Normal 5 71 3" xfId="6295" xr:uid="{00000000-0005-0000-0000-0000790D0000}"/>
    <cellStyle name="Normal 5 71 4" xfId="38345" xr:uid="{6B782464-66EB-4641-8627-F0CE00E9E2FD}"/>
    <cellStyle name="Normal 5 72" xfId="4308" xr:uid="{00000000-0005-0000-0000-0000F4100000}"/>
    <cellStyle name="Normal 5 72 2" xfId="9833" xr:uid="{00000000-0005-0000-0000-0000441E0000}"/>
    <cellStyle name="Normal 5 72 2 2" xfId="42322" xr:uid="{CC6982EE-23F5-4390-852B-E5CB001C442F}"/>
    <cellStyle name="Normal 5 72 3" xfId="6296" xr:uid="{00000000-0005-0000-0000-00007A0D0000}"/>
    <cellStyle name="Normal 5 72 4" xfId="38346" xr:uid="{86157225-E614-4379-82D2-F0B4811F1970}"/>
    <cellStyle name="Normal 5 73" xfId="4309" xr:uid="{00000000-0005-0000-0000-0000F5100000}"/>
    <cellStyle name="Normal 5 73 2" xfId="9834" xr:uid="{00000000-0005-0000-0000-0000451E0000}"/>
    <cellStyle name="Normal 5 73 2 2" xfId="42323" xr:uid="{786E7B1E-D71C-43E7-A6FE-1F6F7FD76363}"/>
    <cellStyle name="Normal 5 73 3" xfId="6297" xr:uid="{00000000-0005-0000-0000-00007B0D0000}"/>
    <cellStyle name="Normal 5 73 4" xfId="38347" xr:uid="{E7CEB049-984D-48AD-9336-B5D2C6DBFA47}"/>
    <cellStyle name="Normal 5 74" xfId="4310" xr:uid="{00000000-0005-0000-0000-0000F6100000}"/>
    <cellStyle name="Normal 5 74 2" xfId="9835" xr:uid="{00000000-0005-0000-0000-0000461E0000}"/>
    <cellStyle name="Normal 5 74 2 2" xfId="42324" xr:uid="{712F635F-66DF-46BE-8B0C-6B2090A84B2D}"/>
    <cellStyle name="Normal 5 74 3" xfId="6298" xr:uid="{00000000-0005-0000-0000-00007C0D0000}"/>
    <cellStyle name="Normal 5 74 4" xfId="38348" xr:uid="{1E66924E-0B78-40CE-8EAA-DE43467EB5BF}"/>
    <cellStyle name="Normal 5 75" xfId="4311" xr:uid="{00000000-0005-0000-0000-0000F7100000}"/>
    <cellStyle name="Normal 5 75 2" xfId="9836" xr:uid="{00000000-0005-0000-0000-0000471E0000}"/>
    <cellStyle name="Normal 5 75 2 2" xfId="42325" xr:uid="{E8905F13-18B0-4599-9785-9260D29CE269}"/>
    <cellStyle name="Normal 5 75 3" xfId="6299" xr:uid="{00000000-0005-0000-0000-00007D0D0000}"/>
    <cellStyle name="Normal 5 75 4" xfId="38349" xr:uid="{ED5D28EC-D9A0-42A2-A729-78D128A1754C}"/>
    <cellStyle name="Normal 5 76" xfId="4312" xr:uid="{00000000-0005-0000-0000-0000F8100000}"/>
    <cellStyle name="Normal 5 76 2" xfId="9837" xr:uid="{00000000-0005-0000-0000-0000481E0000}"/>
    <cellStyle name="Normal 5 76 2 2" xfId="42326" xr:uid="{FF565776-3AC4-48D7-80C5-72EB8CEF062A}"/>
    <cellStyle name="Normal 5 76 3" xfId="6300" xr:uid="{00000000-0005-0000-0000-00007E0D0000}"/>
    <cellStyle name="Normal 5 76 4" xfId="38350" xr:uid="{0A9D514F-C18F-4412-ADB9-2E8F72D0C8B9}"/>
    <cellStyle name="Normal 5 77" xfId="4313" xr:uid="{00000000-0005-0000-0000-0000F9100000}"/>
    <cellStyle name="Normal 5 77 2" xfId="9838" xr:uid="{00000000-0005-0000-0000-0000491E0000}"/>
    <cellStyle name="Normal 5 77 2 2" xfId="42327" xr:uid="{A4E0F00E-33AC-4F19-95AD-C555BC0A2950}"/>
    <cellStyle name="Normal 5 77 3" xfId="6301" xr:uid="{00000000-0005-0000-0000-00007F0D0000}"/>
    <cellStyle name="Normal 5 77 4" xfId="38351" xr:uid="{288D6100-25B3-49DB-8E31-9134AB8341EA}"/>
    <cellStyle name="Normal 5 78" xfId="4314" xr:uid="{00000000-0005-0000-0000-0000FA100000}"/>
    <cellStyle name="Normal 5 78 2" xfId="9839" xr:uid="{00000000-0005-0000-0000-00004A1E0000}"/>
    <cellStyle name="Normal 5 78 2 2" xfId="42328" xr:uid="{00EA5C13-7688-4F92-B298-1BC270AE2118}"/>
    <cellStyle name="Normal 5 78 3" xfId="6302" xr:uid="{00000000-0005-0000-0000-0000800D0000}"/>
    <cellStyle name="Normal 5 78 4" xfId="38352" xr:uid="{4E65D105-BBE1-4F7D-AE75-DD46D333EA5B}"/>
    <cellStyle name="Normal 5 79" xfId="4315" xr:uid="{00000000-0005-0000-0000-0000FB100000}"/>
    <cellStyle name="Normal 5 79 2" xfId="9840" xr:uid="{00000000-0005-0000-0000-00004B1E0000}"/>
    <cellStyle name="Normal 5 79 2 2" xfId="42329" xr:uid="{5C026E06-8882-4C38-B924-5F748C61D925}"/>
    <cellStyle name="Normal 5 79 3" xfId="6303" xr:uid="{00000000-0005-0000-0000-0000810D0000}"/>
    <cellStyle name="Normal 5 79 4" xfId="38353" xr:uid="{2897F11D-E8EE-498A-A09D-C07FFFA242B3}"/>
    <cellStyle name="Normal 5 8" xfId="4316" xr:uid="{00000000-0005-0000-0000-0000FC100000}"/>
    <cellStyle name="Normal-- 5 8" xfId="8125" xr:uid="{00000000-0005-0000-0000-00008C230000}"/>
    <cellStyle name="Normal 5 8 10" xfId="12260" xr:uid="{00000000-0005-0000-0000-0000F6240000}"/>
    <cellStyle name="Normal 5 8 10 2" xfId="44743" xr:uid="{2A1F1F2B-CCFD-4D30-9015-8207F1E00F0B}"/>
    <cellStyle name="Normal 5 8 11" xfId="8343" xr:uid="{00000000-0005-0000-0000-000039250000}"/>
    <cellStyle name="Normal 5 8 11 2" xfId="41123" xr:uid="{D2BF2B48-70F6-452F-9CBF-88AB5D358AEF}"/>
    <cellStyle name="Normal 5 8 12" xfId="12275" xr:uid="{00000000-0005-0000-0000-000080250000}"/>
    <cellStyle name="Normal 5 8 12 2" xfId="44757" xr:uid="{7FC5E402-2999-4C1D-B7E8-556702E686BC}"/>
    <cellStyle name="Normal 5 8 13" xfId="8363" xr:uid="{00000000-0005-0000-0000-0000CB250000}"/>
    <cellStyle name="Normal 5 8 13 2" xfId="41137" xr:uid="{90CF1335-DDC0-48B3-96A2-68DB6AB6DC3E}"/>
    <cellStyle name="Normal 5 8 14" xfId="12299" xr:uid="{00000000-0005-0000-0000-00001A260000}"/>
    <cellStyle name="Normal 5 8 14 2" xfId="44781" xr:uid="{A56FB2FD-650F-43AF-92AF-A20BA53B3813}"/>
    <cellStyle name="Normal 5 8 15" xfId="8381" xr:uid="{00000000-0005-0000-0000-00006D260000}"/>
    <cellStyle name="Normal 5 8 15 2" xfId="41152" xr:uid="{7438B7D4-C952-49F0-B1E7-B619D45E6C06}"/>
    <cellStyle name="Normal 5 8 16" xfId="12328" xr:uid="{00000000-0005-0000-0000-0000C4260000}"/>
    <cellStyle name="Normal 5 8 16 2" xfId="44809" xr:uid="{8C028F1B-6D41-4DF5-95B5-6AD69204B669}"/>
    <cellStyle name="Normal 5 8 17" xfId="8411" xr:uid="{00000000-0005-0000-0000-00001F270000}"/>
    <cellStyle name="Normal 5 8 17 2" xfId="41182" xr:uid="{1179F53A-7035-4E7C-821D-B24F552C4B38}"/>
    <cellStyle name="Normal 5 8 18" xfId="12360" xr:uid="{00000000-0005-0000-0000-00007E270000}"/>
    <cellStyle name="Normal 5 8 18 2" xfId="44841" xr:uid="{23148A33-CF71-42B1-A563-5B381E96C24E}"/>
    <cellStyle name="Normal 5 8 19" xfId="6304" xr:uid="{00000000-0005-0000-0000-0000820D0000}"/>
    <cellStyle name="Normal 5 8 2" xfId="4317" xr:uid="{00000000-0005-0000-0000-0000FD100000}"/>
    <cellStyle name="Normal-- 5 8 2" xfId="40927" xr:uid="{3D630650-606B-4391-AABD-C981F53FD5FB}"/>
    <cellStyle name="Normal 5 8 2 10" xfId="14923" xr:uid="{16618D06-FD3A-4EE7-8794-52BB8DCDC1C4}"/>
    <cellStyle name="Normal 5 8 2 11" xfId="48686" xr:uid="{E5EB6295-A8D7-427B-82EB-C36E093BFD72}"/>
    <cellStyle name="Normal 5 8 2 2" xfId="9842" xr:uid="{00000000-0005-0000-0000-00004D1E0000}"/>
    <cellStyle name="Normal 5 8 2 2 2" xfId="42331" xr:uid="{48C23CBE-E887-48F8-AA97-77245E8B9697}"/>
    <cellStyle name="Normal 5 8 2 3" xfId="6305" xr:uid="{00000000-0005-0000-0000-0000830D0000}"/>
    <cellStyle name="Normal 5 8 2 4" xfId="38355" xr:uid="{31E8E550-2475-461C-BFAE-7B813E1C4DBB}"/>
    <cellStyle name="Normal 5 8 2 5" xfId="40479" xr:uid="{5078A5BA-2A23-451A-B47C-6023ADA937C9}"/>
    <cellStyle name="Normal 5 8 2 6" xfId="47919" xr:uid="{B5B2E5E5-9E2F-4F46-9648-984DFA3E3564}"/>
    <cellStyle name="Normal 5 8 2 7" xfId="39571" xr:uid="{3EBF3832-C992-43C2-9AF6-0648757D7226}"/>
    <cellStyle name="Normal 5 8 2 8" xfId="49138" xr:uid="{E01C83FD-2D5A-48EA-805B-DB1227F7703E}"/>
    <cellStyle name="Normal 5 8 2 9" xfId="41719" xr:uid="{089CE53A-7009-4DCF-AF19-BE65C58297E0}"/>
    <cellStyle name="Normal 5 8 20" xfId="13089" xr:uid="{00000000-0005-0000-0000-0000A1300000}"/>
    <cellStyle name="Normal 5 8 20 2" xfId="45553" xr:uid="{9D7B0802-9978-4D9A-8E6F-B6A444F0169B}"/>
    <cellStyle name="Normal 5 8 21" xfId="11549" xr:uid="{00000000-0005-0000-0000-00000C310000}"/>
    <cellStyle name="Normal 5 8 21 2" xfId="44037" xr:uid="{AEFD2F34-55EE-403C-B59F-FA177EB26259}"/>
    <cellStyle name="Normal 5 8 22" xfId="13107" xr:uid="{00000000-0005-0000-0000-00007B310000}"/>
    <cellStyle name="Normal 5 8 22 2" xfId="45571" xr:uid="{895B5979-0050-4106-A508-5A0E510D9917}"/>
    <cellStyle name="Normal 5 8 23" xfId="11529" xr:uid="{00000000-0005-0000-0000-0000EE310000}"/>
    <cellStyle name="Normal 5 8 23 2" xfId="44017" xr:uid="{0BA26ABD-A964-4161-9539-7CE5E52F8E0A}"/>
    <cellStyle name="Normal 5 8 24" xfId="13124" xr:uid="{00000000-0005-0000-0000-000065320000}"/>
    <cellStyle name="Normal 5 8 24 2" xfId="45588" xr:uid="{9E716BB1-9DAA-414C-98BD-C8EF2FEC8D01}"/>
    <cellStyle name="Normal 5 8 25" xfId="11512" xr:uid="{00000000-0005-0000-0000-0000E0320000}"/>
    <cellStyle name="Normal 5 8 25 2" xfId="44000" xr:uid="{6EA97CDA-5C5C-4853-B2D7-942E74FE8B81}"/>
    <cellStyle name="Normal 5 8 26" xfId="13131" xr:uid="{00000000-0005-0000-0000-00005F330000}"/>
    <cellStyle name="Normal 5 8 26 2" xfId="45595" xr:uid="{C244BBAE-3D99-402E-9053-D52310594831}"/>
    <cellStyle name="Normal 5 8 27" xfId="11503" xr:uid="{00000000-0005-0000-0000-0000E2330000}"/>
    <cellStyle name="Normal 5 8 27 2" xfId="43991" xr:uid="{0A30E438-C25F-47F0-B9F7-1683A1097B47}"/>
    <cellStyle name="Normal 5 8 28" xfId="13138" xr:uid="{00000000-0005-0000-0000-000069340000}"/>
    <cellStyle name="Normal 5 8 28 2" xfId="45602" xr:uid="{0DC9B512-E43C-433A-963B-133EEE0FF355}"/>
    <cellStyle name="Normal 5 8 29" xfId="11495" xr:uid="{00000000-0005-0000-0000-0000F4340000}"/>
    <cellStyle name="Normal 5 8 29 2" xfId="43983" xr:uid="{873CC56A-4150-4C2C-9DD9-EF33F172D445}"/>
    <cellStyle name="Normal 5 8 3" xfId="9841" xr:uid="{00000000-0005-0000-0000-00004C1E0000}"/>
    <cellStyle name="Normal-- 5 8 3" xfId="46742" xr:uid="{7943D3C8-F276-4D04-A3D2-C8CEFD22F6E1}"/>
    <cellStyle name="Normal 5 8 3 2" xfId="18141" xr:uid="{E3963FCC-4EB9-44B1-A643-2D19DE9711C1}"/>
    <cellStyle name="Normal 5 8 3 3" xfId="42330" xr:uid="{E94DECD5-2D64-4D4F-875A-C6018A0D17E8}"/>
    <cellStyle name="Normal 5 8 3 4" xfId="37799" xr:uid="{C9C27AB8-516C-49BB-B746-663A86AF1679}"/>
    <cellStyle name="Normal 5 8 3 5" xfId="40650" xr:uid="{80971A0F-FBF1-4BD0-A55D-8310980E71C1}"/>
    <cellStyle name="Normal 5 8 3 6" xfId="37922" xr:uid="{9097AD1B-3453-4C22-B546-9D659D58E968}"/>
    <cellStyle name="Normal 5 8 3 7" xfId="47687" xr:uid="{5B6E7D53-5EAE-4CC3-94E4-47B39CF42ECE}"/>
    <cellStyle name="Normal 5 8 3 8" xfId="46661" xr:uid="{1FD5C2C1-4FE6-4970-8577-6EC270C280FF}"/>
    <cellStyle name="Normal 5 8 3 9" xfId="47305" xr:uid="{58B0C59A-CB7C-4D5D-A2FB-16F94FFCDABF}"/>
    <cellStyle name="Normal 5 8 30" xfId="15809" xr:uid="{F302452B-48F3-4E89-8E8E-68146E7BD966}"/>
    <cellStyle name="Normal 5 8 31" xfId="38354" xr:uid="{10A0CB47-3A51-44F1-9C05-1CA5CBC6E953}"/>
    <cellStyle name="Normal 5 8 32" xfId="15228" xr:uid="{6F5CD0CF-3A26-4DA1-AF73-5C5CC3756029}"/>
    <cellStyle name="Normal 5 8 33" xfId="15276" xr:uid="{4780FA99-8215-4693-A371-DA8D4A2A7AE6}"/>
    <cellStyle name="Normal 5 8 34" xfId="48848" xr:uid="{E2367E84-5A5B-4099-A93B-5CBB342628BE}"/>
    <cellStyle name="Normal 5 8 35" xfId="47237" xr:uid="{914D36AC-B42A-4733-8304-4BCA682F027A}"/>
    <cellStyle name="Normal 5 8 36" xfId="15001" xr:uid="{73EC0ED4-E920-415E-A2E9-D485E8B94E61}"/>
    <cellStyle name="Normal 5 8 37" xfId="48883" xr:uid="{06929CCE-7FB7-4C2C-8CF7-F47F6291585C}"/>
    <cellStyle name="Normal 5 8 38" xfId="41679" xr:uid="{3F44B50E-8791-4810-B116-83CEB37E199A}"/>
    <cellStyle name="Normal 5 8 4" xfId="12227" xr:uid="{00000000-0005-0000-0000-0000B9230000}"/>
    <cellStyle name="Normal-- 5 8 4" xfId="14190" xr:uid="{0554BCEA-60EA-4CD6-BDB6-C5D2E47AE383}"/>
    <cellStyle name="Normal 5 8 4 2" xfId="44710" xr:uid="{5013E06E-F394-4C53-AFC2-AFE93F26161B}"/>
    <cellStyle name="Normal 5 8 4 3" xfId="47311" xr:uid="{F640A9F2-37F6-4595-A699-2C265B384AFB}"/>
    <cellStyle name="Normal 5 8 4 4" xfId="37967" xr:uid="{CF16ED70-C83F-451C-9261-3F26AC31EC9A}"/>
    <cellStyle name="Normal 5 8 4 5" xfId="15114" xr:uid="{2B0D6806-65C5-4CE0-ACCD-DC789936FE42}"/>
    <cellStyle name="Normal 5 8 4 6" xfId="47032" xr:uid="{3C64E06E-452E-4C8B-A011-6D46E071C0B2}"/>
    <cellStyle name="Normal 5 8 4 7" xfId="47118" xr:uid="{97BE41FA-0741-4684-9EE9-0C7BA2261BC1}"/>
    <cellStyle name="Normal 5 8 5" xfId="8297" xr:uid="{00000000-0005-0000-0000-0000E3230000}"/>
    <cellStyle name="Normal-- 5 8 5" xfId="48416" xr:uid="{7F7DED9E-3D36-4F3A-A07A-9464DFA5D672}"/>
    <cellStyle name="Normal 5 8 5 2" xfId="41088" xr:uid="{9D32A2E8-29B5-45B9-8A8E-8C6D8F9D9689}"/>
    <cellStyle name="Normal 5 8 5 3" xfId="48499" xr:uid="{2F6C4C8A-D31B-46A5-816A-EE1A480450E8}"/>
    <cellStyle name="Normal 5 8 5 4" xfId="46216" xr:uid="{B1BD8836-FFCB-4785-89A9-671B2A876F0B}"/>
    <cellStyle name="Normal 5 8 5 5" xfId="46967" xr:uid="{1F8D7273-F153-4462-B03A-E6A7EA5480C4}"/>
    <cellStyle name="Normal 5 8 5 6" xfId="40213" xr:uid="{ACE28A08-4029-4B4B-B99E-3A58F27857A5}"/>
    <cellStyle name="Normal 5 8 6" xfId="12240" xr:uid="{00000000-0005-0000-0000-000012240000}"/>
    <cellStyle name="Normal-- 5 8 6" xfId="14237" xr:uid="{548C4714-1450-42AC-8292-8C21FB2E1730}"/>
    <cellStyle name="Normal 5 8 6 2" xfId="44723" xr:uid="{F0D98E93-3154-4D77-977F-F1B3DA3CB4B7}"/>
    <cellStyle name="Normal 5 8 6 3" xfId="47706" xr:uid="{A1ACD2DF-F8E3-418A-A53F-A8E927103C0C}"/>
    <cellStyle name="Normal 5 8 6 4" xfId="16575" xr:uid="{6F0830EF-A4B9-42F8-AECB-0329C689AF2C}"/>
    <cellStyle name="Normal 5 8 6 5" xfId="41870" xr:uid="{BE4A90EC-EE3A-4487-8792-5CA6715D95A7}"/>
    <cellStyle name="Normal 5 8 7" xfId="8311" xr:uid="{00000000-0005-0000-0000-000045240000}"/>
    <cellStyle name="Normal-- 5 8 7" xfId="47710" xr:uid="{7BE13A74-6B3D-4821-B7DE-5BEA56DC3DC7}"/>
    <cellStyle name="Normal 5 8 7 2" xfId="41098" xr:uid="{603F2520-704A-40B5-8EF5-5BB9C21183E5}"/>
    <cellStyle name="Normal 5 8 7 3" xfId="39568" xr:uid="{A16C5CF5-84B7-477A-9C89-F74C8E538844}"/>
    <cellStyle name="Normal 5 8 7 4" xfId="46338" xr:uid="{675938ED-B470-4045-84D5-176A0CD2B890}"/>
    <cellStyle name="Normal 5 8 8" xfId="12251" xr:uid="{00000000-0005-0000-0000-00007C240000}"/>
    <cellStyle name="Normal-- 5 8 8" xfId="47863" xr:uid="{B00F83F8-4994-4995-8353-EFD277A50EB6}"/>
    <cellStyle name="Normal 5 8 8 2" xfId="44734" xr:uid="{2CFB4D84-4098-4FB4-BBFA-E7D0A98E27AD}"/>
    <cellStyle name="Normal 5 8 8 3" xfId="46611" xr:uid="{52085B76-EB89-4437-AE5A-7C140F6D9E27}"/>
    <cellStyle name="Normal 5 8 9" xfId="8326" xr:uid="{00000000-0005-0000-0000-0000B7240000}"/>
    <cellStyle name="Normal-- 5 8 9" xfId="15102" xr:uid="{02AE431D-52E2-4795-A2D9-A483A065ABA1}"/>
    <cellStyle name="Normal 5 8 9 2" xfId="41107" xr:uid="{40E3870A-5E56-4FBF-8E7E-FD34C9C94B37}"/>
    <cellStyle name="Normal 5 80" xfId="4318" xr:uid="{00000000-0005-0000-0000-0000FE100000}"/>
    <cellStyle name="Normal 5 80 2" xfId="9843" xr:uid="{00000000-0005-0000-0000-00004E1E0000}"/>
    <cellStyle name="Normal 5 80 2 2" xfId="42332" xr:uid="{770E3639-8C9A-487C-BF13-8394D8DFBD4E}"/>
    <cellStyle name="Normal 5 80 3" xfId="6306" xr:uid="{00000000-0005-0000-0000-0000840D0000}"/>
    <cellStyle name="Normal 5 80 4" xfId="38356" xr:uid="{19715C10-9EA3-47A9-947E-15BECC7DE283}"/>
    <cellStyle name="Normal 5 81" xfId="4319" xr:uid="{00000000-0005-0000-0000-0000FF100000}"/>
    <cellStyle name="Normal 5 81 2" xfId="9844" xr:uid="{00000000-0005-0000-0000-00004F1E0000}"/>
    <cellStyle name="Normal 5 81 2 2" xfId="42333" xr:uid="{10EEFBFB-0AF4-4F12-B3F0-816D7F960457}"/>
    <cellStyle name="Normal 5 81 3" xfId="6307" xr:uid="{00000000-0005-0000-0000-0000850D0000}"/>
    <cellStyle name="Normal 5 81 4" xfId="38357" xr:uid="{C1A7E8AE-95EB-4462-8AFC-C32FD173E1F9}"/>
    <cellStyle name="Normal 5 82" xfId="4320" xr:uid="{00000000-0005-0000-0000-000000110000}"/>
    <cellStyle name="Normal 5 82 2" xfId="9845" xr:uid="{00000000-0005-0000-0000-0000501E0000}"/>
    <cellStyle name="Normal 5 82 2 2" xfId="42334" xr:uid="{063C2441-2A9A-4DBA-A74C-33714E492427}"/>
    <cellStyle name="Normal 5 82 3" xfId="6308" xr:uid="{00000000-0005-0000-0000-0000860D0000}"/>
    <cellStyle name="Normal 5 82 4" xfId="38358" xr:uid="{AEA843D8-3A34-4269-9358-777FC704C20E}"/>
    <cellStyle name="Normal 5 83" xfId="4321" xr:uid="{00000000-0005-0000-0000-000001110000}"/>
    <cellStyle name="Normal 5 83 2" xfId="9846" xr:uid="{00000000-0005-0000-0000-0000511E0000}"/>
    <cellStyle name="Normal 5 83 2 2" xfId="42335" xr:uid="{66D5E971-96F9-4A29-8FCB-57A79DBF425D}"/>
    <cellStyle name="Normal 5 83 3" xfId="6309" xr:uid="{00000000-0005-0000-0000-0000870D0000}"/>
    <cellStyle name="Normal 5 83 4" xfId="38359" xr:uid="{1E961BAD-692E-4908-981F-BCFE6191F38B}"/>
    <cellStyle name="Normal 5 84" xfId="4322" xr:uid="{00000000-0005-0000-0000-000002110000}"/>
    <cellStyle name="Normal 5 84 2" xfId="9847" xr:uid="{00000000-0005-0000-0000-0000521E0000}"/>
    <cellStyle name="Normal 5 84 2 2" xfId="42336" xr:uid="{50795A74-AAA7-4443-8C28-24ACEBE463E3}"/>
    <cellStyle name="Normal 5 84 3" xfId="6310" xr:uid="{00000000-0005-0000-0000-0000880D0000}"/>
    <cellStyle name="Normal 5 84 4" xfId="38360" xr:uid="{D67667BB-B15E-47AF-9A45-DBEA2290B5A5}"/>
    <cellStyle name="Normal 5 85" xfId="4323" xr:uid="{00000000-0005-0000-0000-000003110000}"/>
    <cellStyle name="Normal 5 85 2" xfId="9848" xr:uid="{00000000-0005-0000-0000-0000531E0000}"/>
    <cellStyle name="Normal 5 85 2 2" xfId="42337" xr:uid="{FBFE8D14-C314-4262-8436-A2A937ED850F}"/>
    <cellStyle name="Normal 5 85 3" xfId="6311" xr:uid="{00000000-0005-0000-0000-0000890D0000}"/>
    <cellStyle name="Normal 5 85 4" xfId="38361" xr:uid="{0DE77986-9159-4AA7-BE1C-9CECC7BE3AB0}"/>
    <cellStyle name="Normal 5 86" xfId="4324" xr:uid="{00000000-0005-0000-0000-000004110000}"/>
    <cellStyle name="Normal 5 86 2" xfId="9849" xr:uid="{00000000-0005-0000-0000-0000541E0000}"/>
    <cellStyle name="Normal 5 86 2 2" xfId="42338" xr:uid="{EFAA4767-655B-4D5E-8A1F-64A0A821D227}"/>
    <cellStyle name="Normal 5 86 3" xfId="6312" xr:uid="{00000000-0005-0000-0000-00008A0D0000}"/>
    <cellStyle name="Normal 5 86 4" xfId="38362" xr:uid="{16E29BDB-2923-4E99-8302-960224FD0B68}"/>
    <cellStyle name="Normal 5 87" xfId="4325" xr:uid="{00000000-0005-0000-0000-000005110000}"/>
    <cellStyle name="Normal 5 87 2" xfId="9850" xr:uid="{00000000-0005-0000-0000-0000551E0000}"/>
    <cellStyle name="Normal 5 87 2 2" xfId="42339" xr:uid="{1A998390-73DC-4084-A68F-877D6C158FBF}"/>
    <cellStyle name="Normal 5 87 3" xfId="6313" xr:uid="{00000000-0005-0000-0000-00008B0D0000}"/>
    <cellStyle name="Normal 5 87 4" xfId="38363" xr:uid="{B1A42DE7-149E-4D99-9111-70C9E24D0492}"/>
    <cellStyle name="Normal 5 88" xfId="4326" xr:uid="{00000000-0005-0000-0000-000006110000}"/>
    <cellStyle name="Normal 5 88 2" xfId="9851" xr:uid="{00000000-0005-0000-0000-0000561E0000}"/>
    <cellStyle name="Normal 5 88 2 2" xfId="42340" xr:uid="{99A5F99A-8F14-47B1-B6B1-B38FFD8F8DD9}"/>
    <cellStyle name="Normal 5 88 3" xfId="6314" xr:uid="{00000000-0005-0000-0000-00008C0D0000}"/>
    <cellStyle name="Normal 5 88 4" xfId="38364" xr:uid="{BCED5761-47CD-48A0-BAFA-926D58426B1C}"/>
    <cellStyle name="Normal 5 89" xfId="4327" xr:uid="{00000000-0005-0000-0000-000007110000}"/>
    <cellStyle name="Normal 5 89 2" xfId="9852" xr:uid="{00000000-0005-0000-0000-0000571E0000}"/>
    <cellStyle name="Normal 5 89 2 2" xfId="42341" xr:uid="{E8F96FE8-0ACB-4287-9ADE-DB1248B61D17}"/>
    <cellStyle name="Normal 5 89 3" xfId="6315" xr:uid="{00000000-0005-0000-0000-00008D0D0000}"/>
    <cellStyle name="Normal 5 89 4" xfId="38365" xr:uid="{23391323-5025-4C1C-B09A-DFAB14B64023}"/>
    <cellStyle name="Normal 5 9" xfId="4328" xr:uid="{00000000-0005-0000-0000-000008110000}"/>
    <cellStyle name="Normal-- 5 9" xfId="12083" xr:uid="{00000000-0005-0000-0000-0000B2230000}"/>
    <cellStyle name="Normal 5 9 10" xfId="8355" xr:uid="{00000000-0005-0000-0000-00003A250000}"/>
    <cellStyle name="Normal 5 9 10 2" xfId="41132" xr:uid="{02BC326B-F0FB-4849-8361-C3361B3F0426}"/>
    <cellStyle name="Normal 5 9 11" xfId="12287" xr:uid="{00000000-0005-0000-0000-000081250000}"/>
    <cellStyle name="Normal 5 9 11 2" xfId="44769" xr:uid="{49799C0E-8EB8-41FE-B414-40995646CE39}"/>
    <cellStyle name="Normal 5 9 12" xfId="8375" xr:uid="{00000000-0005-0000-0000-0000CC250000}"/>
    <cellStyle name="Normal 5 9 12 2" xfId="41148" xr:uid="{151A4BB4-DE1D-40F9-A397-5A83F240CC82}"/>
    <cellStyle name="Normal 5 9 13" xfId="12315" xr:uid="{00000000-0005-0000-0000-00001B260000}"/>
    <cellStyle name="Normal 5 9 13 2" xfId="44797" xr:uid="{763FD50A-0B63-4835-B7B4-3B2EE7D1012E}"/>
    <cellStyle name="Normal 5 9 14" xfId="8397" xr:uid="{00000000-0005-0000-0000-00006E260000}"/>
    <cellStyle name="Normal 5 9 14 2" xfId="41168" xr:uid="{E1456007-52BA-4864-BB34-8E23C7758954}"/>
    <cellStyle name="Normal 5 9 15" xfId="12341" xr:uid="{00000000-0005-0000-0000-0000C5260000}"/>
    <cellStyle name="Normal 5 9 15 2" xfId="44822" xr:uid="{6C2930B3-8F2E-46A0-ABDE-6203D1E68414}"/>
    <cellStyle name="Normal 5 9 16" xfId="8425" xr:uid="{00000000-0005-0000-0000-000020270000}"/>
    <cellStyle name="Normal 5 9 16 2" xfId="41195" xr:uid="{A107986F-A25A-41F5-9CC2-995E39386F28}"/>
    <cellStyle name="Normal 5 9 17" xfId="12376" xr:uid="{00000000-0005-0000-0000-00007F270000}"/>
    <cellStyle name="Normal 5 9 17 2" xfId="44856" xr:uid="{14A570C8-E837-4A23-ABE4-F806DD758E79}"/>
    <cellStyle name="Normal 5 9 18" xfId="6316" xr:uid="{00000000-0005-0000-0000-00008E0D0000}"/>
    <cellStyle name="Normal 5 9 19" xfId="13098" xr:uid="{00000000-0005-0000-0000-0000A2300000}"/>
    <cellStyle name="Normal 5 9 19 2" xfId="45562" xr:uid="{1C861713-C575-4601-9BA4-5ECF728F95F8}"/>
    <cellStyle name="Normal 5 9 2" xfId="4329" xr:uid="{00000000-0005-0000-0000-000009110000}"/>
    <cellStyle name="Normal-- 5 9 2" xfId="44566" xr:uid="{55BB21F1-9293-4632-8293-5AAB7AE6C7A5}"/>
    <cellStyle name="Normal 5 9 2 10" xfId="47924" xr:uid="{7AD69DCA-EBB8-4B3A-AF9C-3388C546E793}"/>
    <cellStyle name="Normal 5 9 2 11" xfId="47365" xr:uid="{886C3279-631A-48B2-BA2D-E824D374115F}"/>
    <cellStyle name="Normal 5 9 2 2" xfId="9854" xr:uid="{00000000-0005-0000-0000-0000591E0000}"/>
    <cellStyle name="Normal 5 9 2 2 2" xfId="42343" xr:uid="{36EF8737-1AC4-4234-AB40-E174E3CB5385}"/>
    <cellStyle name="Normal 5 9 2 3" xfId="6317" xr:uid="{00000000-0005-0000-0000-00008F0D0000}"/>
    <cellStyle name="Normal 5 9 2 4" xfId="38367" xr:uid="{4CE2993D-4D67-4BA3-8256-36F2AFF4D27D}"/>
    <cellStyle name="Normal 5 9 2 5" xfId="40476" xr:uid="{6FC6ECF7-E638-4251-A9DD-CDBD77320490}"/>
    <cellStyle name="Normal 5 9 2 6" xfId="48629" xr:uid="{E59BD693-3A8E-4FB0-9D5F-CC0394F2738A}"/>
    <cellStyle name="Normal 5 9 2 7" xfId="48829" xr:uid="{1D72C84F-8216-477E-BDC4-04E20602CAF1}"/>
    <cellStyle name="Normal 5 9 2 8" xfId="47816" xr:uid="{9CBA3B44-A722-4390-B30C-1CBB3B5E28FA}"/>
    <cellStyle name="Normal 5 9 2 9" xfId="41739" xr:uid="{BD5E437C-BAC0-4317-94F1-F5913AB56215}"/>
    <cellStyle name="Normal 5 9 20" xfId="11540" xr:uid="{00000000-0005-0000-0000-00000D310000}"/>
    <cellStyle name="Normal 5 9 20 2" xfId="44028" xr:uid="{74457B02-EEB4-4F3E-A94A-B1B42105ED0C}"/>
    <cellStyle name="Normal 5 9 21" xfId="13113" xr:uid="{00000000-0005-0000-0000-00007C310000}"/>
    <cellStyle name="Normal 5 9 21 2" xfId="45577" xr:uid="{9D1F014C-3C03-44AE-B482-0343B0392B21}"/>
    <cellStyle name="Normal 5 9 22" xfId="11524" xr:uid="{00000000-0005-0000-0000-0000EF310000}"/>
    <cellStyle name="Normal 5 9 22 2" xfId="44012" xr:uid="{1FE2A8F0-681E-4748-A0A5-1BBC2852DD2B}"/>
    <cellStyle name="Normal 5 9 23" xfId="13127" xr:uid="{00000000-0005-0000-0000-000066320000}"/>
    <cellStyle name="Normal 5 9 23 2" xfId="45591" xr:uid="{129EE42E-BEB7-45FE-AE91-B7B6B391BB42}"/>
    <cellStyle name="Normal 5 9 24" xfId="11507" xr:uid="{00000000-0005-0000-0000-0000E1320000}"/>
    <cellStyle name="Normal 5 9 24 2" xfId="43995" xr:uid="{8D9E4872-539B-40CB-A6D8-F4EF3E389977}"/>
    <cellStyle name="Normal 5 9 25" xfId="13133" xr:uid="{00000000-0005-0000-0000-000060330000}"/>
    <cellStyle name="Normal 5 9 25 2" xfId="45597" xr:uid="{77D2FFE9-01B0-491E-9369-F0E8E6661E2C}"/>
    <cellStyle name="Normal 5 9 26" xfId="11501" xr:uid="{00000000-0005-0000-0000-0000E3330000}"/>
    <cellStyle name="Normal 5 9 26 2" xfId="43989" xr:uid="{EEEFEF2A-4827-4B73-9701-37535DB8B8E3}"/>
    <cellStyle name="Normal 5 9 27" xfId="13140" xr:uid="{00000000-0005-0000-0000-00006A340000}"/>
    <cellStyle name="Normal 5 9 27 2" xfId="45604" xr:uid="{4DECB9AA-FE2C-44A7-807C-62EFC8779C88}"/>
    <cellStyle name="Normal 5 9 28" xfId="11494" xr:uid="{00000000-0005-0000-0000-0000F5340000}"/>
    <cellStyle name="Normal 5 9 28 2" xfId="43982" xr:uid="{F5CA423B-383F-4304-8796-E3AF8CE97CD3}"/>
    <cellStyle name="Normal 5 9 29" xfId="15814" xr:uid="{6DC3F4DC-6B98-4EEA-B079-D68BE1E06378}"/>
    <cellStyle name="Normal 5 9 3" xfId="9853" xr:uid="{00000000-0005-0000-0000-0000581E0000}"/>
    <cellStyle name="Normal-- 5 9 3" xfId="48222" xr:uid="{3CD27701-B9DE-460F-B278-B696F74384E9}"/>
    <cellStyle name="Normal 5 9 3 2" xfId="18142" xr:uid="{855494FD-AE9C-407E-9916-26DF28539E2D}"/>
    <cellStyle name="Normal 5 9 3 3" xfId="42342" xr:uid="{BE154029-93FE-4E5D-91FF-A25B11076337}"/>
    <cellStyle name="Normal 5 9 3 4" xfId="46432" xr:uid="{5E809454-A8B3-4DEC-854F-96C480A129B3}"/>
    <cellStyle name="Normal 5 9 3 5" xfId="47834" xr:uid="{92201415-F2C7-41A5-8C37-AC04FC836A47}"/>
    <cellStyle name="Normal 5 9 3 6" xfId="16304" xr:uid="{BFA4F8AC-9FA6-4DF4-8A95-287CB270C572}"/>
    <cellStyle name="Normal 5 9 3 7" xfId="48273" xr:uid="{413B990E-E06B-4E78-A961-B8801F0C3743}"/>
    <cellStyle name="Normal 5 9 3 8" xfId="40073" xr:uid="{09E82CA2-8B66-4F16-8CD4-E756AC7987BD}"/>
    <cellStyle name="Normal 5 9 3 9" xfId="49346" xr:uid="{95BD7D57-0A14-4E17-BA85-BEF13FB6F129}"/>
    <cellStyle name="Normal 5 9 30" xfId="38366" xr:uid="{06CDB6CC-1D70-409F-B1B1-2FBA250E765E}"/>
    <cellStyle name="Normal 5 9 31" xfId="15230" xr:uid="{9ED39AF4-6DDD-40FC-B561-041F2A244DAE}"/>
    <cellStyle name="Normal 5 9 32" xfId="48000" xr:uid="{BEEB5B81-8CF6-4712-88CE-5587E9912AE7}"/>
    <cellStyle name="Normal 5 9 33" xfId="46166" xr:uid="{E7D10C3E-A1B5-4EDB-8AFC-0E36522815CE}"/>
    <cellStyle name="Normal 5 9 34" xfId="47963" xr:uid="{DE13C46D-E5A3-44F4-9DC9-A4A571B6AB38}"/>
    <cellStyle name="Normal 5 9 35" xfId="15045" xr:uid="{40C5E67B-3D91-4F06-B94C-3A7A2F654EDA}"/>
    <cellStyle name="Normal 5 9 36" xfId="47618" xr:uid="{E3A00C52-FADA-4E52-B613-2EF3194B9745}"/>
    <cellStyle name="Normal 5 9 37" xfId="40823" xr:uid="{C42171D3-CBE7-47B9-A839-5105080B0CD3}"/>
    <cellStyle name="Normal 5 9 4" xfId="8309" xr:uid="{00000000-0005-0000-0000-0000E4230000}"/>
    <cellStyle name="Normal-- 5 9 4" xfId="40530" xr:uid="{8D5F1B32-6335-4122-BD8F-E85C8DF3F616}"/>
    <cellStyle name="Normal 5 9 4 2" xfId="41096" xr:uid="{7BD76F54-CA6F-4752-9329-FE0A22FF22E8}"/>
    <cellStyle name="Normal 5 9 4 3" xfId="39824" xr:uid="{D77E63AC-FF54-446F-9F64-06BF7C64BB27}"/>
    <cellStyle name="Normal 5 9 4 4" xfId="46229" xr:uid="{798BD7E3-15E3-4ECC-BF66-FE6BB16C15C6}"/>
    <cellStyle name="Normal 5 9 4 5" xfId="46275" xr:uid="{D8946A77-18FF-417F-9CD7-AABC57DE9F30}"/>
    <cellStyle name="Normal 5 9 4 6" xfId="14244" xr:uid="{B22CDB33-648C-454D-9291-AB6D073FA1B9}"/>
    <cellStyle name="Normal 5 9 4 7" xfId="47544" xr:uid="{80569359-AFB5-4681-92D4-FC73313D63A7}"/>
    <cellStyle name="Normal 5 9 5" xfId="12249" xr:uid="{00000000-0005-0000-0000-000013240000}"/>
    <cellStyle name="Normal-- 5 9 5" xfId="47079" xr:uid="{7C49707E-0A9E-4439-B927-2477F3EEC2D0}"/>
    <cellStyle name="Normal 5 9 5 2" xfId="44732" xr:uid="{31D7416D-58AB-402A-A6E1-A9DF4CDC04AD}"/>
    <cellStyle name="Normal 5 9 5 3" xfId="46461" xr:uid="{A14F8E95-5C87-4A83-BD4E-992402BF36CA}"/>
    <cellStyle name="Normal 5 9 5 4" xfId="48326" xr:uid="{DD9AE6A1-7EC9-4A1C-944E-D5D7B7278779}"/>
    <cellStyle name="Normal 5 9 5 5" xfId="40387" xr:uid="{A17F8967-358F-4DE0-8662-AD6A180BB397}"/>
    <cellStyle name="Normal 5 9 5 6" xfId="40754" xr:uid="{1F26B92B-4420-490B-A717-52AD15A42C46}"/>
    <cellStyle name="Normal 5 9 6" xfId="8322" xr:uid="{00000000-0005-0000-0000-000046240000}"/>
    <cellStyle name="Normal-- 5 9 6" xfId="37965" xr:uid="{3B444393-8C26-460F-A8BA-0749DDDC5FC2}"/>
    <cellStyle name="Normal 5 9 6 2" xfId="41104" xr:uid="{FDD084F0-59BB-4B97-8E3B-7E8E22105342}"/>
    <cellStyle name="Normal 5 9 6 3" xfId="41909" xr:uid="{41A30247-995A-4175-B65C-E869B16488CF}"/>
    <cellStyle name="Normal 5 9 6 4" xfId="16204" xr:uid="{77A2BDFF-04C3-48A4-BC03-CE117F650F75}"/>
    <cellStyle name="Normal 5 9 6 5" xfId="13873" xr:uid="{D1277935-3DF7-4E41-B23E-79F8F07C3489}"/>
    <cellStyle name="Normal 5 9 7" xfId="12257" xr:uid="{00000000-0005-0000-0000-00007D240000}"/>
    <cellStyle name="Normal-- 5 9 7" xfId="15112" xr:uid="{B1A8D6D6-13A0-4FB0-88F6-A7850A4FFB82}"/>
    <cellStyle name="Normal 5 9 7 2" xfId="44740" xr:uid="{6B8C41CF-9BA3-4C7F-AB4C-D542174CE88E}"/>
    <cellStyle name="Normal 5 9 7 3" xfId="46794" xr:uid="{395DDB33-05FD-4C08-8E03-9EB0583D11B9}"/>
    <cellStyle name="Normal 5 9 7 4" xfId="48090" xr:uid="{10B5F5B4-9A59-41F6-AE2D-CF9A7E104DA0}"/>
    <cellStyle name="Normal 5 9 8" xfId="8337" xr:uid="{00000000-0005-0000-0000-0000B8240000}"/>
    <cellStyle name="Normal-- 5 9 8" xfId="37754" xr:uid="{5765C7C0-8F0B-4718-A77A-A2450025E813}"/>
    <cellStyle name="Normal 5 9 8 2" xfId="41117" xr:uid="{92A2D136-F6F4-46C8-98BB-113CCF8DC7A4}"/>
    <cellStyle name="Normal 5 9 8 3" xfId="46941" xr:uid="{01F91F06-93E2-45B6-8C48-BEE0408DB2D8}"/>
    <cellStyle name="Normal 5 9 9" xfId="12268" xr:uid="{00000000-0005-0000-0000-0000F7240000}"/>
    <cellStyle name="Normal-- 5 9 9" xfId="48379" xr:uid="{E0A2282D-BB72-4ED3-8E05-3B030274C58B}"/>
    <cellStyle name="Normal 5 9 9 2" xfId="44751" xr:uid="{2DD97D61-7884-4081-BE8C-CF01518874D3}"/>
    <cellStyle name="Normal 5 90" xfId="4330" xr:uid="{00000000-0005-0000-0000-00000A110000}"/>
    <cellStyle name="Normal 5 90 2" xfId="9855" xr:uid="{00000000-0005-0000-0000-00005A1E0000}"/>
    <cellStyle name="Normal 5 90 2 2" xfId="42344" xr:uid="{C48A7046-1311-4E84-84B4-01372E2B8F75}"/>
    <cellStyle name="Normal 5 90 3" xfId="6318" xr:uid="{00000000-0005-0000-0000-0000900D0000}"/>
    <cellStyle name="Normal 5 90 4" xfId="38368" xr:uid="{B0AA5A10-E6CE-440D-8A88-A2BA7992634C}"/>
    <cellStyle name="Normal 5 91" xfId="4331" xr:uid="{00000000-0005-0000-0000-00000B110000}"/>
    <cellStyle name="Normal 5 91 2" xfId="9856" xr:uid="{00000000-0005-0000-0000-00005B1E0000}"/>
    <cellStyle name="Normal 5 91 2 2" xfId="42345" xr:uid="{535ABC14-01F4-4DF5-871D-23A32C95B461}"/>
    <cellStyle name="Normal 5 91 3" xfId="6319" xr:uid="{00000000-0005-0000-0000-0000910D0000}"/>
    <cellStyle name="Normal 5 91 4" xfId="38369" xr:uid="{41B90CBB-ECFD-44F5-A2DE-23079FB5EBE0}"/>
    <cellStyle name="Normal 5 92" xfId="4332" xr:uid="{00000000-0005-0000-0000-00000C110000}"/>
    <cellStyle name="Normal 5 92 2" xfId="9857" xr:uid="{00000000-0005-0000-0000-00005C1E0000}"/>
    <cellStyle name="Normal 5 92 2 2" xfId="42346" xr:uid="{CFAE00EA-DD84-4EF4-9267-F28D326D6354}"/>
    <cellStyle name="Normal 5 92 3" xfId="6320" xr:uid="{00000000-0005-0000-0000-0000920D0000}"/>
    <cellStyle name="Normal 5 92 4" xfId="38370" xr:uid="{BA776381-2430-479A-9150-C163EB7ED6C4}"/>
    <cellStyle name="Normal 5 93" xfId="4333" xr:uid="{00000000-0005-0000-0000-00000D110000}"/>
    <cellStyle name="Normal 5 93 2" xfId="9858" xr:uid="{00000000-0005-0000-0000-00005D1E0000}"/>
    <cellStyle name="Normal 5 93 2 2" xfId="42347" xr:uid="{7DBDB088-1004-4837-92A3-711F84153637}"/>
    <cellStyle name="Normal 5 93 3" xfId="6321" xr:uid="{00000000-0005-0000-0000-0000930D0000}"/>
    <cellStyle name="Normal 5 93 4" xfId="38371" xr:uid="{D16BC860-20C1-45C8-A4BE-74A6C077D728}"/>
    <cellStyle name="Normal 5 94" xfId="4334" xr:uid="{00000000-0005-0000-0000-00000E110000}"/>
    <cellStyle name="Normal 5 94 2" xfId="9859" xr:uid="{00000000-0005-0000-0000-00005E1E0000}"/>
    <cellStyle name="Normal 5 94 2 2" xfId="42348" xr:uid="{8DE05B4F-2437-4EB1-945D-2D6651766C32}"/>
    <cellStyle name="Normal 5 94 3" xfId="6322" xr:uid="{00000000-0005-0000-0000-0000940D0000}"/>
    <cellStyle name="Normal 5 94 4" xfId="38372" xr:uid="{22F36D58-A7A2-41B1-AFB3-9D36A6D044D3}"/>
    <cellStyle name="Normal 5 95" xfId="4335" xr:uid="{00000000-0005-0000-0000-00000F110000}"/>
    <cellStyle name="Normal 5 95 2" xfId="9860" xr:uid="{00000000-0005-0000-0000-00005F1E0000}"/>
    <cellStyle name="Normal 5 95 2 2" xfId="42349" xr:uid="{61000968-299C-4E02-8959-3854E6A73023}"/>
    <cellStyle name="Normal 5 95 3" xfId="6323" xr:uid="{00000000-0005-0000-0000-0000950D0000}"/>
    <cellStyle name="Normal 5 95 4" xfId="38373" xr:uid="{CAF7E050-E415-4430-BAE3-C82870CB3584}"/>
    <cellStyle name="Normal 5 96" xfId="4336" xr:uid="{00000000-0005-0000-0000-000010110000}"/>
    <cellStyle name="Normal 5 96 2" xfId="9861" xr:uid="{00000000-0005-0000-0000-0000601E0000}"/>
    <cellStyle name="Normal 5 96 2 2" xfId="42350" xr:uid="{78977F0C-E4CF-4588-A1B6-D03C466325DD}"/>
    <cellStyle name="Normal 5 96 3" xfId="6324" xr:uid="{00000000-0005-0000-0000-0000960D0000}"/>
    <cellStyle name="Normal 5 96 4" xfId="38374" xr:uid="{9AE0D72C-0706-4342-9492-8824D6D8C360}"/>
    <cellStyle name="Normal 5 97" xfId="4337" xr:uid="{00000000-0005-0000-0000-000011110000}"/>
    <cellStyle name="Normal 5 97 2" xfId="9862" xr:uid="{00000000-0005-0000-0000-0000611E0000}"/>
    <cellStyle name="Normal 5 97 2 2" xfId="42351" xr:uid="{D6A93C62-2397-4E81-A551-59ED4138DE6C}"/>
    <cellStyle name="Normal 5 97 3" xfId="6325" xr:uid="{00000000-0005-0000-0000-0000970D0000}"/>
    <cellStyle name="Normal 5 97 4" xfId="38375" xr:uid="{86615FD0-93E7-4757-BD17-912747E2410D}"/>
    <cellStyle name="Normal 5 98" xfId="4338" xr:uid="{00000000-0005-0000-0000-000012110000}"/>
    <cellStyle name="Normal 5 98 2" xfId="9863" xr:uid="{00000000-0005-0000-0000-0000621E0000}"/>
    <cellStyle name="Normal 5 98 2 2" xfId="42352" xr:uid="{17912CC5-21DA-4EDC-9BE2-AD440E816379}"/>
    <cellStyle name="Normal 5 98 3" xfId="6326" xr:uid="{00000000-0005-0000-0000-0000980D0000}"/>
    <cellStyle name="Normal 5 98 4" xfId="38376" xr:uid="{7A84324E-2B00-4A1E-B939-1DD3AAE81E9A}"/>
    <cellStyle name="Normal 5 99" xfId="4339" xr:uid="{00000000-0005-0000-0000-000013110000}"/>
    <cellStyle name="Normal 5 99 2" xfId="9864" xr:uid="{00000000-0005-0000-0000-0000631E0000}"/>
    <cellStyle name="Normal 5 99 2 2" xfId="42353" xr:uid="{83FA2D9F-B594-4771-A4CB-E68C9B357E4A}"/>
    <cellStyle name="Normal 5 99 3" xfId="6327" xr:uid="{00000000-0005-0000-0000-0000990D0000}"/>
    <cellStyle name="Normal 5 99 4" xfId="38377" xr:uid="{AFDE9086-E1A3-4763-84C0-0BEDCF052ABD}"/>
    <cellStyle name="Normal 50" xfId="4340" xr:uid="{00000000-0005-0000-0000-000014110000}"/>
    <cellStyle name="Normal 50 10" xfId="6328" xr:uid="{00000000-0005-0000-0000-00009A0D0000}"/>
    <cellStyle name="Normal 50 11" xfId="38378" xr:uid="{78EC1F58-B75B-4FBB-81C5-11FD114D60C2}"/>
    <cellStyle name="Normal 50 2" xfId="4341" xr:uid="{00000000-0005-0000-0000-000015110000}"/>
    <cellStyle name="Normal 50 2 2" xfId="9866" xr:uid="{00000000-0005-0000-0000-0000651E0000}"/>
    <cellStyle name="Normal 50 2 2 2" xfId="42355" xr:uid="{57F334B5-DD54-467C-A3B2-CBD68E4F9E3E}"/>
    <cellStyle name="Normal 50 2 3" xfId="6329" xr:uid="{00000000-0005-0000-0000-00009B0D0000}"/>
    <cellStyle name="Normal 50 2 3 2" xfId="40125" xr:uid="{7099E914-B1E6-4B30-9793-7507B7218DA2}"/>
    <cellStyle name="Normal 50 2 4" xfId="15819" xr:uid="{C940C113-E005-4BEC-AF18-F0DDC813397F}"/>
    <cellStyle name="Normal 50 2 5" xfId="38379" xr:uid="{8AE8677F-69CE-4815-89B0-BFA9F3BFAC0E}"/>
    <cellStyle name="Normal 50 3" xfId="4342" xr:uid="{00000000-0005-0000-0000-000016110000}"/>
    <cellStyle name="Normal 50 3 2" xfId="9867" xr:uid="{00000000-0005-0000-0000-0000661E0000}"/>
    <cellStyle name="Normal 50 3 2 2" xfId="42356" xr:uid="{EC7800BF-88E8-49B7-8004-1B2CA590416A}"/>
    <cellStyle name="Normal 50 3 3" xfId="6330" xr:uid="{00000000-0005-0000-0000-00009C0D0000}"/>
    <cellStyle name="Normal 50 3 3 2" xfId="40126" xr:uid="{9A1EBF3B-9FB0-4BCE-AB06-9E691D8E183B}"/>
    <cellStyle name="Normal 50 3 4" xfId="15820" xr:uid="{6063933A-B2C3-45AC-B452-431415C1B12A}"/>
    <cellStyle name="Normal 50 3 5" xfId="38380" xr:uid="{F8025508-160A-40B7-BC7F-EF00599F0007}"/>
    <cellStyle name="Normal 50 4" xfId="4343" xr:uid="{00000000-0005-0000-0000-000017110000}"/>
    <cellStyle name="Normal 50 4 2" xfId="9868" xr:uid="{00000000-0005-0000-0000-0000671E0000}"/>
    <cellStyle name="Normal 50 4 2 2" xfId="42357" xr:uid="{3F5D3A18-48FD-4F74-B4A7-4B0C44862B14}"/>
    <cellStyle name="Normal 50 4 3" xfId="6331" xr:uid="{00000000-0005-0000-0000-00009D0D0000}"/>
    <cellStyle name="Normal 50 4 3 2" xfId="40127" xr:uid="{42E7A345-5874-429E-8A91-199D9C7350A7}"/>
    <cellStyle name="Normal 50 4 4" xfId="15821" xr:uid="{71D886F3-58D5-4476-AA91-B958D971CA73}"/>
    <cellStyle name="Normal 50 4 5" xfId="38381" xr:uid="{9FEB64BF-6326-4284-99A6-F6678AB5282C}"/>
    <cellStyle name="Normal 50 5" xfId="4344" xr:uid="{00000000-0005-0000-0000-000018110000}"/>
    <cellStyle name="Normal 50 5 2" xfId="9869" xr:uid="{00000000-0005-0000-0000-0000681E0000}"/>
    <cellStyle name="Normal 50 5 2 2" xfId="42358" xr:uid="{47E79BE6-346D-4BA0-BEF0-102EB0B8C916}"/>
    <cellStyle name="Normal 50 5 3" xfId="6332" xr:uid="{00000000-0005-0000-0000-00009E0D0000}"/>
    <cellStyle name="Normal 50 5 3 2" xfId="40128" xr:uid="{62C122AA-9F15-4FA0-B3E3-99965E61FB0D}"/>
    <cellStyle name="Normal 50 5 4" xfId="15822" xr:uid="{3C6166D9-7C33-4261-8D76-48707FCD5ECD}"/>
    <cellStyle name="Normal 50 5 5" xfId="38382" xr:uid="{6943EC16-1B08-41CE-A335-3DFA3C6552A0}"/>
    <cellStyle name="Normal 50 6" xfId="4345" xr:uid="{00000000-0005-0000-0000-000019110000}"/>
    <cellStyle name="Normal 50 6 2" xfId="9870" xr:uid="{00000000-0005-0000-0000-0000691E0000}"/>
    <cellStyle name="Normal 50 6 2 2" xfId="42359" xr:uid="{F3136E74-4500-4489-9688-3FEDF1693E47}"/>
    <cellStyle name="Normal 50 6 3" xfId="6333" xr:uid="{00000000-0005-0000-0000-00009F0D0000}"/>
    <cellStyle name="Normal 50 6 3 2" xfId="40129" xr:uid="{170BBE0B-5438-4EBE-8FCE-0B5F967C9634}"/>
    <cellStyle name="Normal 50 6 4" xfId="15823" xr:uid="{1C813341-98EB-4B0B-9D58-3A2CB51A178F}"/>
    <cellStyle name="Normal 50 6 5" xfId="38383" xr:uid="{BAF37A44-77CE-4EB1-A561-3CDFFCDFD823}"/>
    <cellStyle name="Normal 50 7" xfId="4346" xr:uid="{00000000-0005-0000-0000-00001A110000}"/>
    <cellStyle name="Normal 50 7 2" xfId="9871" xr:uid="{00000000-0005-0000-0000-00006A1E0000}"/>
    <cellStyle name="Normal 50 7 2 2" xfId="42360" xr:uid="{3B0A231F-8E03-40BE-8A4A-755926FDEE05}"/>
    <cellStyle name="Normal 50 7 3" xfId="6334" xr:uid="{00000000-0005-0000-0000-0000A00D0000}"/>
    <cellStyle name="Normal 50 7 3 2" xfId="40130" xr:uid="{6FD25AEC-163C-42EB-A2BA-9E6288F05033}"/>
    <cellStyle name="Normal 50 7 4" xfId="15824" xr:uid="{F3E089AE-77FE-4096-93C1-26B2522B6D82}"/>
    <cellStyle name="Normal 50 7 5" xfId="38384" xr:uid="{D43826DA-7C0A-48B6-88C2-3D98D7E8D335}"/>
    <cellStyle name="Normal 50 8" xfId="4347" xr:uid="{00000000-0005-0000-0000-00001B110000}"/>
    <cellStyle name="Normal 50 8 2" xfId="9872" xr:uid="{00000000-0005-0000-0000-00006B1E0000}"/>
    <cellStyle name="Normal 50 8 2 2" xfId="42361" xr:uid="{945E3145-7FC8-4771-AB5C-2212112E2770}"/>
    <cellStyle name="Normal 50 8 3" xfId="6335" xr:uid="{00000000-0005-0000-0000-0000A10D0000}"/>
    <cellStyle name="Normal 50 8 3 2" xfId="40131" xr:uid="{697C1B52-D5A2-4D42-930E-24C93067B783}"/>
    <cellStyle name="Normal 50 8 4" xfId="15825" xr:uid="{EDB21D64-73B5-4EF9-97B6-ED03771C466D}"/>
    <cellStyle name="Normal 50 8 5" xfId="38385" xr:uid="{B9559855-141D-449C-A0EB-7634E4B3D417}"/>
    <cellStyle name="Normal 50 9" xfId="9865" xr:uid="{00000000-0005-0000-0000-0000641E0000}"/>
    <cellStyle name="Normal 50 9 2" xfId="42354" xr:uid="{57838D6B-6F5C-40B0-9F5A-1AE037463F97}"/>
    <cellStyle name="Normal 51" xfId="4348" xr:uid="{00000000-0005-0000-0000-00001C110000}"/>
    <cellStyle name="Normal 51 10" xfId="6336" xr:uid="{00000000-0005-0000-0000-0000A20D0000}"/>
    <cellStyle name="Normal 51 10 2" xfId="40132" xr:uid="{DAC7F820-1908-4AF5-A290-8A9C6F094BB7}"/>
    <cellStyle name="Normal 51 11" xfId="15826" xr:uid="{48BC5F3F-6FA1-4F9E-A599-ADE3B025770A}"/>
    <cellStyle name="Normal 51 12" xfId="38386" xr:uid="{5B574E7F-5989-454A-A589-B8F39089FD5A}"/>
    <cellStyle name="Normal 51 2" xfId="4349" xr:uid="{00000000-0005-0000-0000-00001D110000}"/>
    <cellStyle name="Normal 51 2 2" xfId="4350" xr:uid="{00000000-0005-0000-0000-00001E110000}"/>
    <cellStyle name="Normal 51 2 2 2" xfId="4351" xr:uid="{00000000-0005-0000-0000-00001F110000}"/>
    <cellStyle name="Normal 51 2 2 2 2" xfId="4352" xr:uid="{00000000-0005-0000-0000-000020110000}"/>
    <cellStyle name="Normal 51 2 2 2 2 2" xfId="9877" xr:uid="{00000000-0005-0000-0000-0000701E0000}"/>
    <cellStyle name="Normal 51 2 2 2 2 2 2" xfId="42366" xr:uid="{3AB10FEB-B485-407B-9632-C529A5BFB206}"/>
    <cellStyle name="Normal 51 2 2 2 2 3" xfId="6340" xr:uid="{00000000-0005-0000-0000-0000A60D0000}"/>
    <cellStyle name="Normal 51 2 2 2 2 3 2" xfId="40136" xr:uid="{895882D1-259F-4577-92BA-2251A7DA8645}"/>
    <cellStyle name="Normal 51 2 2 2 2 4" xfId="15830" xr:uid="{F0AD0F10-F23B-412E-9B27-42082ED5094E}"/>
    <cellStyle name="Normal 51 2 2 2 2 5" xfId="38390" xr:uid="{80A6A943-ED59-4757-8B1D-78E78659D52D}"/>
    <cellStyle name="Normal 51 2 2 2 3" xfId="9876" xr:uid="{00000000-0005-0000-0000-00006F1E0000}"/>
    <cellStyle name="Normal 51 2 2 2 3 2" xfId="42365" xr:uid="{9C6878BA-75CF-4EF0-937B-45CBDFFD490F}"/>
    <cellStyle name="Normal 51 2 2 2 4" xfId="6339" xr:uid="{00000000-0005-0000-0000-0000A50D0000}"/>
    <cellStyle name="Normal 51 2 2 2 4 2" xfId="40135" xr:uid="{9D405B5D-6B48-4614-A008-B0A28B7C2780}"/>
    <cellStyle name="Normal 51 2 2 2 5" xfId="15829" xr:uid="{6363DDC0-A7AC-4F37-96CB-BB8F80EF526F}"/>
    <cellStyle name="Normal 51 2 2 2 6" xfId="38389" xr:uid="{D2990C20-E5F9-4C60-9067-E3666641D350}"/>
    <cellStyle name="Normal 51 2 2 3" xfId="4353" xr:uid="{00000000-0005-0000-0000-000021110000}"/>
    <cellStyle name="Normal 51 2 2 3 2" xfId="9878" xr:uid="{00000000-0005-0000-0000-0000711E0000}"/>
    <cellStyle name="Normal 51 2 2 3 2 2" xfId="42367" xr:uid="{1D8B8F1D-9277-412B-B1A9-B655FBACEB67}"/>
    <cellStyle name="Normal 51 2 2 3 3" xfId="6341" xr:uid="{00000000-0005-0000-0000-0000A70D0000}"/>
    <cellStyle name="Normal 51 2 2 3 3 2" xfId="40137" xr:uid="{3B2A7301-2EDA-4C32-A81D-542EA1AB84D4}"/>
    <cellStyle name="Normal 51 2 2 3 4" xfId="15831" xr:uid="{5B7FAADC-886E-4F85-80FE-B0432BFEDB31}"/>
    <cellStyle name="Normal 51 2 2 3 5" xfId="38391" xr:uid="{E671B2C3-0851-4EA1-A3FD-A2CC1135D16E}"/>
    <cellStyle name="Normal 51 2 2 4" xfId="9875" xr:uid="{00000000-0005-0000-0000-00006E1E0000}"/>
    <cellStyle name="Normal 51 2 2 4 2" xfId="42364" xr:uid="{80ABD9B5-8BD0-4AEF-A8A7-863E9FA5EA52}"/>
    <cellStyle name="Normal 51 2 2 5" xfId="6338" xr:uid="{00000000-0005-0000-0000-0000A40D0000}"/>
    <cellStyle name="Normal 51 2 2 5 2" xfId="40134" xr:uid="{FAF06954-D93F-469D-AC55-B7191D7C91DB}"/>
    <cellStyle name="Normal 51 2 2 6" xfId="15828" xr:uid="{47AB4331-5C59-4DF1-BEB9-66A23F2CB2DE}"/>
    <cellStyle name="Normal 51 2 2 7" xfId="38388" xr:uid="{8444144A-A21D-4DCB-B990-4D0A4C43D237}"/>
    <cellStyle name="Normal 51 2 3" xfId="4354" xr:uid="{00000000-0005-0000-0000-000022110000}"/>
    <cellStyle name="Normal 51 2 3 2" xfId="4355" xr:uid="{00000000-0005-0000-0000-000023110000}"/>
    <cellStyle name="Normal 51 2 3 2 2" xfId="9880" xr:uid="{00000000-0005-0000-0000-0000731E0000}"/>
    <cellStyle name="Normal 51 2 3 2 2 2" xfId="42369" xr:uid="{C42373C3-0D36-43FC-B8D9-B19C2A706462}"/>
    <cellStyle name="Normal 51 2 3 2 3" xfId="6348" xr:uid="{00000000-0005-0000-0000-0000A90D0000}"/>
    <cellStyle name="Normal 51 2 3 2 3 2" xfId="40140" xr:uid="{09D6A63D-40BD-47AB-8D70-0012E7303BAE}"/>
    <cellStyle name="Normal 51 2 3 2 4" xfId="15833" xr:uid="{1A6D7406-66A9-4AD3-8B76-B3C0B533B827}"/>
    <cellStyle name="Normal 51 2 3 2 5" xfId="38393" xr:uid="{8BAAB204-5109-4DEC-B592-FB0C0C573F4C}"/>
    <cellStyle name="Normal 51 2 3 3" xfId="9879" xr:uid="{00000000-0005-0000-0000-0000721E0000}"/>
    <cellStyle name="Normal 51 2 3 3 2" xfId="42368" xr:uid="{3F605C39-038F-4C57-B5E1-902D3E69A1D2}"/>
    <cellStyle name="Normal 51 2 3 4" xfId="6343" xr:uid="{00000000-0005-0000-0000-0000A80D0000}"/>
    <cellStyle name="Normal 51 2 3 4 2" xfId="40138" xr:uid="{1B98E000-9E12-4479-99C4-1023FC512FD4}"/>
    <cellStyle name="Normal 51 2 3 5" xfId="15832" xr:uid="{AA7933F0-9618-4D01-9C83-4BBCF8E5C190}"/>
    <cellStyle name="Normal 51 2 3 6" xfId="38392" xr:uid="{7B862339-5CF6-4E12-913F-F037E7D70AC4}"/>
    <cellStyle name="Normal 51 2 4" xfId="4356" xr:uid="{00000000-0005-0000-0000-000024110000}"/>
    <cellStyle name="Normal 51 2 4 2" xfId="9881" xr:uid="{00000000-0005-0000-0000-0000741E0000}"/>
    <cellStyle name="Normal 51 2 4 2 2" xfId="42370" xr:uid="{26D8208E-0DE2-43A6-B613-D7E3680D824B}"/>
    <cellStyle name="Normal 51 2 4 3" xfId="6350" xr:uid="{00000000-0005-0000-0000-0000AA0D0000}"/>
    <cellStyle name="Normal 51 2 4 3 2" xfId="40142" xr:uid="{3217AAA6-5DC2-43B7-9F14-5016EA1A4328}"/>
    <cellStyle name="Normal 51 2 4 4" xfId="15834" xr:uid="{10D07BED-0C58-448D-8BFC-DFAD84A58E31}"/>
    <cellStyle name="Normal 51 2 4 5" xfId="38394" xr:uid="{C776E15A-AA3D-4D25-97BB-9C7F40D2B567}"/>
    <cellStyle name="Normal 51 2 5" xfId="9874" xr:uid="{00000000-0005-0000-0000-00006D1E0000}"/>
    <cellStyle name="Normal 51 2 5 2" xfId="42363" xr:uid="{CBCDC7D6-F8CA-4E09-9325-CEA9A909FC0F}"/>
    <cellStyle name="Normal 51 2 6" xfId="6337" xr:uid="{00000000-0005-0000-0000-0000A30D0000}"/>
    <cellStyle name="Normal 51 2 6 2" xfId="40133" xr:uid="{4FBBB7B0-B94B-48E0-BE88-CFB33EDC161D}"/>
    <cellStyle name="Normal 51 2 7" xfId="15827" xr:uid="{9B9828D4-23BD-4365-8E7C-6FC969E63E54}"/>
    <cellStyle name="Normal 51 2 8" xfId="38387" xr:uid="{8E7391AA-A7A8-4BB3-9D0B-AF04C8C880AA}"/>
    <cellStyle name="Normal 51 3" xfId="4357" xr:uid="{00000000-0005-0000-0000-000025110000}"/>
    <cellStyle name="Normal 51 3 2" xfId="4358" xr:uid="{00000000-0005-0000-0000-000026110000}"/>
    <cellStyle name="Normal 51 3 2 2" xfId="4359" xr:uid="{00000000-0005-0000-0000-000027110000}"/>
    <cellStyle name="Normal 51 3 2 2 2" xfId="9884" xr:uid="{00000000-0005-0000-0000-0000771E0000}"/>
    <cellStyle name="Normal 51 3 2 2 2 2" xfId="42373" xr:uid="{E42131D1-DBD0-446D-A1D5-BD5C5E6FEEB9}"/>
    <cellStyle name="Normal 51 3 2 2 3" xfId="6354" xr:uid="{00000000-0005-0000-0000-0000AD0D0000}"/>
    <cellStyle name="Normal 51 3 2 2 3 2" xfId="40146" xr:uid="{52448CC1-FA7E-4620-B490-797CE60B26C2}"/>
    <cellStyle name="Normal 51 3 2 2 4" xfId="15837" xr:uid="{4B69DC1E-0839-4BBB-ACC4-C731087D2B62}"/>
    <cellStyle name="Normal 51 3 2 2 5" xfId="38397" xr:uid="{34C67D18-0DE5-488A-B5B9-82634181B662}"/>
    <cellStyle name="Normal 51 3 2 3" xfId="9883" xr:uid="{00000000-0005-0000-0000-0000761E0000}"/>
    <cellStyle name="Normal 51 3 2 3 2" xfId="42372" xr:uid="{02A30428-F48D-4BF4-AEC0-70FBD9008252}"/>
    <cellStyle name="Normal 51 3 2 4" xfId="6353" xr:uid="{00000000-0005-0000-0000-0000AC0D0000}"/>
    <cellStyle name="Normal 51 3 2 4 2" xfId="40145" xr:uid="{08B47F59-FD96-415C-A209-163DBF9CF264}"/>
    <cellStyle name="Normal 51 3 2 5" xfId="15836" xr:uid="{969B2FA3-20AE-4140-8CF9-91E8C1CE8959}"/>
    <cellStyle name="Normal 51 3 2 6" xfId="38396" xr:uid="{13660BC6-7768-47D7-8A76-68E08FB7A0B4}"/>
    <cellStyle name="Normal 51 3 3" xfId="4360" xr:uid="{00000000-0005-0000-0000-000028110000}"/>
    <cellStyle name="Normal 51 3 3 2" xfId="9885" xr:uid="{00000000-0005-0000-0000-0000781E0000}"/>
    <cellStyle name="Normal 51 3 3 2 2" xfId="42374" xr:uid="{A8051515-8B9B-4544-A1F4-746254AC9289}"/>
    <cellStyle name="Normal 51 3 3 3" xfId="6355" xr:uid="{00000000-0005-0000-0000-0000AE0D0000}"/>
    <cellStyle name="Normal 51 3 3 3 2" xfId="40147" xr:uid="{654BC805-B8F6-40DF-9D7A-9AC782C492B4}"/>
    <cellStyle name="Normal 51 3 3 4" xfId="15838" xr:uid="{73BD6324-76F9-4F0B-A001-48129BC0C2BC}"/>
    <cellStyle name="Normal 51 3 3 5" xfId="38398" xr:uid="{7300F621-51ED-4AC9-A362-1CFB478DD04A}"/>
    <cellStyle name="Normal 51 3 4" xfId="9882" xr:uid="{00000000-0005-0000-0000-0000751E0000}"/>
    <cellStyle name="Normal 51 3 4 2" xfId="42371" xr:uid="{A7BB3BFF-7910-4EEE-B2CD-B90D518D9D4C}"/>
    <cellStyle name="Normal 51 3 5" xfId="6352" xr:uid="{00000000-0005-0000-0000-0000AB0D0000}"/>
    <cellStyle name="Normal 51 3 5 2" xfId="40144" xr:uid="{981872C1-E813-4C70-B718-4893ADE032B8}"/>
    <cellStyle name="Normal 51 3 6" xfId="15835" xr:uid="{3AB008A5-D870-40B3-BEDF-DA2410DFC0F3}"/>
    <cellStyle name="Normal 51 3 7" xfId="38395" xr:uid="{3078EC0F-C9A1-4F45-90D4-EA980AF22D0D}"/>
    <cellStyle name="Normal 51 4" xfId="4361" xr:uid="{00000000-0005-0000-0000-000029110000}"/>
    <cellStyle name="Normal 51 4 2" xfId="4362" xr:uid="{00000000-0005-0000-0000-00002A110000}"/>
    <cellStyle name="Normal 51 4 2 2" xfId="9887" xr:uid="{00000000-0005-0000-0000-00007A1E0000}"/>
    <cellStyle name="Normal 51 4 2 2 2" xfId="42376" xr:uid="{D2F91459-1F57-4BEA-883B-33442C41ACD6}"/>
    <cellStyle name="Normal 51 4 2 3" xfId="6357" xr:uid="{00000000-0005-0000-0000-0000B00D0000}"/>
    <cellStyle name="Normal 51 4 2 3 2" xfId="40149" xr:uid="{193B8923-2B90-4AAA-9364-122C9F2FF20B}"/>
    <cellStyle name="Normal 51 4 2 4" xfId="15840" xr:uid="{A8279311-6BFB-4C2F-A3A6-B51947B38D70}"/>
    <cellStyle name="Normal 51 4 2 5" xfId="38400" xr:uid="{C58AF462-E69E-487B-89E9-D509039E3234}"/>
    <cellStyle name="Normal 51 4 3" xfId="9886" xr:uid="{00000000-0005-0000-0000-0000791E0000}"/>
    <cellStyle name="Normal 51 4 3 2" xfId="42375" xr:uid="{C606A32D-2387-43C9-970B-757FC524D651}"/>
    <cellStyle name="Normal 51 4 4" xfId="6356" xr:uid="{00000000-0005-0000-0000-0000AF0D0000}"/>
    <cellStyle name="Normal 51 4 4 2" xfId="40148" xr:uid="{EB8FE2F5-E73A-40A9-A3FA-3C5C80C95584}"/>
    <cellStyle name="Normal 51 4 5" xfId="15839" xr:uid="{F651F45D-CCC8-4678-8FB7-3E90B6C01AF1}"/>
    <cellStyle name="Normal 51 4 6" xfId="38399" xr:uid="{9653C051-713A-4152-9622-CF0981F3B058}"/>
    <cellStyle name="Normal 51 5" xfId="4363" xr:uid="{00000000-0005-0000-0000-00002B110000}"/>
    <cellStyle name="Normal 51 5 2" xfId="9888" xr:uid="{00000000-0005-0000-0000-00007B1E0000}"/>
    <cellStyle name="Normal 51 5 2 2" xfId="42377" xr:uid="{14F631F4-EACD-403E-9867-F8877F8EFB22}"/>
    <cellStyle name="Normal 51 5 3" xfId="6358" xr:uid="{00000000-0005-0000-0000-0000B10D0000}"/>
    <cellStyle name="Normal 51 5 3 2" xfId="40150" xr:uid="{5758C96C-0FE2-4D33-A779-05861863A693}"/>
    <cellStyle name="Normal 51 5 4" xfId="15841" xr:uid="{4D67917B-CB2C-4350-8890-26D7E33BA709}"/>
    <cellStyle name="Normal 51 5 5" xfId="38401" xr:uid="{4166FAB5-5315-4732-A77F-6FDCD0D0A402}"/>
    <cellStyle name="Normal 51 6" xfId="4364" xr:uid="{00000000-0005-0000-0000-00002C110000}"/>
    <cellStyle name="Normal 51 6 2" xfId="9889" xr:uid="{00000000-0005-0000-0000-00007C1E0000}"/>
    <cellStyle name="Normal 51 6 2 2" xfId="42378" xr:uid="{1087B61F-86A5-4F60-AE72-91F67F709216}"/>
    <cellStyle name="Normal 51 6 3" xfId="6359" xr:uid="{00000000-0005-0000-0000-0000B20D0000}"/>
    <cellStyle name="Normal 51 6 3 2" xfId="40151" xr:uid="{69D7EF3F-98FB-490A-AE7F-70F5C2C5DD22}"/>
    <cellStyle name="Normal 51 6 4" xfId="15842" xr:uid="{2511C0D6-C652-4F22-87D2-D0DC7C7E1865}"/>
    <cellStyle name="Normal 51 6 5" xfId="38402" xr:uid="{97194133-D503-473A-A3C2-B22197589E4F}"/>
    <cellStyle name="Normal 51 7" xfId="4365" xr:uid="{00000000-0005-0000-0000-00002D110000}"/>
    <cellStyle name="Normal 51 7 2" xfId="9890" xr:uid="{00000000-0005-0000-0000-00007D1E0000}"/>
    <cellStyle name="Normal 51 7 2 2" xfId="42379" xr:uid="{DC90AF26-F683-4380-8BA2-31670BA8AA56}"/>
    <cellStyle name="Normal 51 7 3" xfId="6360" xr:uid="{00000000-0005-0000-0000-0000B30D0000}"/>
    <cellStyle name="Normal 51 7 3 2" xfId="40152" xr:uid="{EAAC3623-33B0-41EC-A341-9B9D92F20ED8}"/>
    <cellStyle name="Normal 51 7 4" xfId="15843" xr:uid="{9EB5591C-5B22-4938-AD0E-1EF460E38BF1}"/>
    <cellStyle name="Normal 51 7 5" xfId="38403" xr:uid="{06503464-7E67-445B-9F43-798CD6F3F3E2}"/>
    <cellStyle name="Normal 51 8" xfId="4366" xr:uid="{00000000-0005-0000-0000-00002E110000}"/>
    <cellStyle name="Normal 51 8 2" xfId="9891" xr:uid="{00000000-0005-0000-0000-00007E1E0000}"/>
    <cellStyle name="Normal 51 8 2 2" xfId="42380" xr:uid="{E9F231DE-5672-4D98-AF10-5C1838135CA1}"/>
    <cellStyle name="Normal 51 8 3" xfId="6361" xr:uid="{00000000-0005-0000-0000-0000B40D0000}"/>
    <cellStyle name="Normal 51 8 3 2" xfId="40153" xr:uid="{71360D9E-EAFF-417A-86E4-753EC7D5DE83}"/>
    <cellStyle name="Normal 51 8 4" xfId="15844" xr:uid="{380CE6E4-729D-4B5C-B35B-CD70E6162DD0}"/>
    <cellStyle name="Normal 51 8 5" xfId="38404" xr:uid="{8DE9F26F-29AA-4B13-AA2B-BB21CD0E49FE}"/>
    <cellStyle name="Normal 51 9" xfId="9873" xr:uid="{00000000-0005-0000-0000-00006C1E0000}"/>
    <cellStyle name="Normal 51 9 2" xfId="42362" xr:uid="{5722D027-2EAE-422D-A055-DD7DEE216DC2}"/>
    <cellStyle name="Normal 52" xfId="4367" xr:uid="{00000000-0005-0000-0000-00002F110000}"/>
    <cellStyle name="Normal 52 10" xfId="6362" xr:uid="{00000000-0005-0000-0000-0000B50D0000}"/>
    <cellStyle name="Normal 52 10 2" xfId="40154" xr:uid="{F4B08A10-D196-4855-9AED-5494E83ABEDD}"/>
    <cellStyle name="Normal 52 11" xfId="15845" xr:uid="{EAC8755A-F453-41CA-B532-2B897C122422}"/>
    <cellStyle name="Normal 52 12" xfId="38405" xr:uid="{1ABD4946-C82B-4A27-93FE-E4990D4B7ED4}"/>
    <cellStyle name="Normal 52 2" xfId="4368" xr:uid="{00000000-0005-0000-0000-000030110000}"/>
    <cellStyle name="Normal 52 2 2" xfId="4369" xr:uid="{00000000-0005-0000-0000-000031110000}"/>
    <cellStyle name="Normal 52 2 2 2" xfId="9894" xr:uid="{00000000-0005-0000-0000-0000811E0000}"/>
    <cellStyle name="Normal 52 2 2 2 2" xfId="42383" xr:uid="{16D8DB3F-C378-43DA-B66A-83EA9ED0D49D}"/>
    <cellStyle name="Normal 52 2 2 3" xfId="6364" xr:uid="{00000000-0005-0000-0000-0000B70D0000}"/>
    <cellStyle name="Normal 52 2 2 3 2" xfId="40156" xr:uid="{61A2861A-7156-4C4A-A483-DF5871EFDA14}"/>
    <cellStyle name="Normal 52 2 2 4" xfId="15847" xr:uid="{F95C146D-511E-4AD7-8924-E2D8A199FA0A}"/>
    <cellStyle name="Normal 52 2 2 5" xfId="38407" xr:uid="{9AFD6E03-A89F-4D16-A75E-F9180934A98C}"/>
    <cellStyle name="Normal 52 2 3" xfId="9893" xr:uid="{00000000-0005-0000-0000-0000801E0000}"/>
    <cellStyle name="Normal 52 2 3 2" xfId="42382" xr:uid="{7C71DFEE-D934-43F2-8F90-9D89173245CD}"/>
    <cellStyle name="Normal 52 2 4" xfId="6363" xr:uid="{00000000-0005-0000-0000-0000B60D0000}"/>
    <cellStyle name="Normal 52 2 4 2" xfId="40155" xr:uid="{BB8DAEC6-23B8-413E-A633-DDDC05158A89}"/>
    <cellStyle name="Normal 52 2 5" xfId="15846" xr:uid="{A57EEC9F-752D-4A86-A6B3-B6837815F158}"/>
    <cellStyle name="Normal 52 2 6" xfId="38406" xr:uid="{D1536860-D918-4AA7-AF3A-781B80C97C2A}"/>
    <cellStyle name="Normal 52 3" xfId="4370" xr:uid="{00000000-0005-0000-0000-000032110000}"/>
    <cellStyle name="Normal 52 3 2" xfId="9895" xr:uid="{00000000-0005-0000-0000-0000821E0000}"/>
    <cellStyle name="Normal 52 3 2 2" xfId="42384" xr:uid="{9D5155FA-E8B4-4F2D-ACFC-6FE9A8143E81}"/>
    <cellStyle name="Normal 52 3 3" xfId="6365" xr:uid="{00000000-0005-0000-0000-0000B80D0000}"/>
    <cellStyle name="Normal 52 3 3 2" xfId="40157" xr:uid="{CAA7C490-801D-46E7-8F37-4DE19D40E23D}"/>
    <cellStyle name="Normal 52 3 4" xfId="15848" xr:uid="{72EFCC93-E2F4-4D26-8E77-5838E276406B}"/>
    <cellStyle name="Normal 52 3 5" xfId="38408" xr:uid="{0ECD11C5-5AEA-4200-8C0A-7F64494E6E68}"/>
    <cellStyle name="Normal 52 4" xfId="4371" xr:uid="{00000000-0005-0000-0000-000033110000}"/>
    <cellStyle name="Normal 52 4 2" xfId="9896" xr:uid="{00000000-0005-0000-0000-0000831E0000}"/>
    <cellStyle name="Normal 52 4 2 2" xfId="42385" xr:uid="{88590D20-89A5-4829-ACB0-B0710CC0318E}"/>
    <cellStyle name="Normal 52 4 3" xfId="6366" xr:uid="{00000000-0005-0000-0000-0000B90D0000}"/>
    <cellStyle name="Normal 52 4 3 2" xfId="40158" xr:uid="{5F8FA78E-C0D0-48D0-BCA2-447CD1F0AA29}"/>
    <cellStyle name="Normal 52 4 4" xfId="15849" xr:uid="{CDD7A49B-29AE-4F50-AF51-52D312B24AE9}"/>
    <cellStyle name="Normal 52 4 5" xfId="38409" xr:uid="{F7079FD6-BB81-43B8-9234-0899967652EF}"/>
    <cellStyle name="Normal 52 5" xfId="4372" xr:uid="{00000000-0005-0000-0000-000034110000}"/>
    <cellStyle name="Normal 52 5 2" xfId="9897" xr:uid="{00000000-0005-0000-0000-0000841E0000}"/>
    <cellStyle name="Normal 52 5 2 2" xfId="42386" xr:uid="{C4EFA33E-41CE-4993-BD5C-198564FE20D5}"/>
    <cellStyle name="Normal 52 5 3" xfId="6367" xr:uid="{00000000-0005-0000-0000-0000BA0D0000}"/>
    <cellStyle name="Normal 52 5 3 2" xfId="40159" xr:uid="{9C2A9BB7-DB64-496B-840B-83D5A7BB1340}"/>
    <cellStyle name="Normal 52 5 4" xfId="15850" xr:uid="{A58DD037-A568-445D-85D3-63554F55DEE2}"/>
    <cellStyle name="Normal 52 5 5" xfId="38410" xr:uid="{5716CAD4-406D-450C-9367-07D09C2E0B63}"/>
    <cellStyle name="Normal 52 6" xfId="4373" xr:uid="{00000000-0005-0000-0000-000035110000}"/>
    <cellStyle name="Normal 52 6 2" xfId="9898" xr:uid="{00000000-0005-0000-0000-0000851E0000}"/>
    <cellStyle name="Normal 52 6 2 2" xfId="42387" xr:uid="{C64F42F2-EAEB-4880-97D0-B2C5F3A6E193}"/>
    <cellStyle name="Normal 52 6 3" xfId="6368" xr:uid="{00000000-0005-0000-0000-0000BB0D0000}"/>
    <cellStyle name="Normal 52 6 3 2" xfId="40160" xr:uid="{B0326516-58B3-4994-BADD-A0B3D4757D0B}"/>
    <cellStyle name="Normal 52 6 4" xfId="15851" xr:uid="{07A26B95-E35C-4CB9-A6C2-F9AC1DBC8F6D}"/>
    <cellStyle name="Normal 52 6 5" xfId="38411" xr:uid="{13BB92C9-6C45-43E4-A502-70BBF910477E}"/>
    <cellStyle name="Normal 52 7" xfId="4374" xr:uid="{00000000-0005-0000-0000-000036110000}"/>
    <cellStyle name="Normal 52 7 2" xfId="9899" xr:uid="{00000000-0005-0000-0000-0000861E0000}"/>
    <cellStyle name="Normal 52 7 2 2" xfId="42388" xr:uid="{A94C5F60-BF79-4343-85DC-79AA95F34AA7}"/>
    <cellStyle name="Normal 52 7 3" xfId="6369" xr:uid="{00000000-0005-0000-0000-0000BC0D0000}"/>
    <cellStyle name="Normal 52 7 3 2" xfId="40161" xr:uid="{939B2C7E-AA92-474C-A6DF-61B7648087C9}"/>
    <cellStyle name="Normal 52 7 4" xfId="15852" xr:uid="{70A214B1-503B-4CEA-8633-B9BE0FC169CD}"/>
    <cellStyle name="Normal 52 7 5" xfId="38412" xr:uid="{B5A28562-C0EC-4129-A208-F68E8532BEE5}"/>
    <cellStyle name="Normal 52 8" xfId="4375" xr:uid="{00000000-0005-0000-0000-000037110000}"/>
    <cellStyle name="Normal 52 8 2" xfId="9900" xr:uid="{00000000-0005-0000-0000-0000871E0000}"/>
    <cellStyle name="Normal 52 8 2 2" xfId="42389" xr:uid="{004E6E78-5F6C-4FDB-9291-3FC1103AB445}"/>
    <cellStyle name="Normal 52 8 3" xfId="6370" xr:uid="{00000000-0005-0000-0000-0000BD0D0000}"/>
    <cellStyle name="Normal 52 8 3 2" xfId="40162" xr:uid="{99C86D6F-FA30-4AB0-AFA1-48F67F581468}"/>
    <cellStyle name="Normal 52 8 4" xfId="15853" xr:uid="{4921AA4E-31AF-441B-87D8-34CD48DF5F80}"/>
    <cellStyle name="Normal 52 8 5" xfId="38413" xr:uid="{E0EECD0E-614E-4028-800E-CF32D4FEFDA3}"/>
    <cellStyle name="Normal 52 9" xfId="9892" xr:uid="{00000000-0005-0000-0000-00007F1E0000}"/>
    <cellStyle name="Normal 52 9 2" xfId="42381" xr:uid="{78DF6C90-C20F-4F61-941D-B4314A8AD8B5}"/>
    <cellStyle name="Normal 53" xfId="4376" xr:uid="{00000000-0005-0000-0000-000038110000}"/>
    <cellStyle name="Normal 53 10" xfId="6371" xr:uid="{00000000-0005-0000-0000-0000BE0D0000}"/>
    <cellStyle name="Normal 53 10 2" xfId="40163" xr:uid="{2D4113F8-BC5D-402A-B256-EDDD1D1DE0A5}"/>
    <cellStyle name="Normal 53 11" xfId="15854" xr:uid="{25FC45E8-A2D6-4490-91B7-FA9D1735C270}"/>
    <cellStyle name="Normal 53 12" xfId="38414" xr:uid="{E94B453B-1BCE-47E0-9977-02587D76C923}"/>
    <cellStyle name="Normal 53 2" xfId="4377" xr:uid="{00000000-0005-0000-0000-000039110000}"/>
    <cellStyle name="Normal 53 2 2" xfId="4378" xr:uid="{00000000-0005-0000-0000-00003A110000}"/>
    <cellStyle name="Normal 53 2 2 2" xfId="4379" xr:uid="{00000000-0005-0000-0000-00003B110000}"/>
    <cellStyle name="Normal 53 2 2 2 2" xfId="9904" xr:uid="{00000000-0005-0000-0000-00008B1E0000}"/>
    <cellStyle name="Normal 53 2 2 2 2 2" xfId="42393" xr:uid="{E0044444-7BAF-41E4-847E-F3BE02A6E673}"/>
    <cellStyle name="Normal 53 2 2 2 3" xfId="6374" xr:uid="{00000000-0005-0000-0000-0000C10D0000}"/>
    <cellStyle name="Normal 53 2 2 2 3 2" xfId="40166" xr:uid="{7F1B3158-A326-4C5A-AEA1-FC7C67923650}"/>
    <cellStyle name="Normal 53 2 2 2 4" xfId="15857" xr:uid="{AD0A4C0E-FB54-4793-B1AC-5C18F22D26CD}"/>
    <cellStyle name="Normal 53 2 2 2 5" xfId="38417" xr:uid="{1A8B1C75-7F6B-440D-AB99-95DC0289EF5C}"/>
    <cellStyle name="Normal 53 2 2 3" xfId="9903" xr:uid="{00000000-0005-0000-0000-00008A1E0000}"/>
    <cellStyle name="Normal 53 2 2 3 2" xfId="42392" xr:uid="{57BB86BD-01A3-401D-9AB5-94C3D1AC40BE}"/>
    <cellStyle name="Normal 53 2 2 4" xfId="6373" xr:uid="{00000000-0005-0000-0000-0000C00D0000}"/>
    <cellStyle name="Normal 53 2 2 4 2" xfId="40165" xr:uid="{97632DDE-61CF-4C5F-A401-AA71E2BDEC3F}"/>
    <cellStyle name="Normal 53 2 2 5" xfId="15856" xr:uid="{5D1FA99F-79E9-4BA4-B8AB-DB61344F7021}"/>
    <cellStyle name="Normal 53 2 2 6" xfId="38416" xr:uid="{3AFA70CB-369C-44D2-9C82-5DFBEC9110B8}"/>
    <cellStyle name="Normal 53 2 3" xfId="4380" xr:uid="{00000000-0005-0000-0000-00003C110000}"/>
    <cellStyle name="Normal 53 2 3 2" xfId="9905" xr:uid="{00000000-0005-0000-0000-00008C1E0000}"/>
    <cellStyle name="Normal 53 2 3 2 2" xfId="42394" xr:uid="{3253BE8B-1CA9-46D0-9C40-EBFA7E51E148}"/>
    <cellStyle name="Normal 53 2 3 3" xfId="6375" xr:uid="{00000000-0005-0000-0000-0000C20D0000}"/>
    <cellStyle name="Normal 53 2 3 3 2" xfId="40167" xr:uid="{1E588520-2CDC-4E7D-9868-000D2491594F}"/>
    <cellStyle name="Normal 53 2 3 4" xfId="15858" xr:uid="{3958471B-88FE-4897-81E6-15BCDE626C01}"/>
    <cellStyle name="Normal 53 2 3 5" xfId="38418" xr:uid="{22081063-A948-4B8F-8E89-FC9F13370678}"/>
    <cellStyle name="Normal 53 2 4" xfId="9902" xr:uid="{00000000-0005-0000-0000-0000891E0000}"/>
    <cellStyle name="Normal 53 2 4 2" xfId="42391" xr:uid="{7BD5DC16-3036-4793-98CD-C73A66034E0E}"/>
    <cellStyle name="Normal 53 2 5" xfId="6372" xr:uid="{00000000-0005-0000-0000-0000BF0D0000}"/>
    <cellStyle name="Normal 53 2 5 2" xfId="40164" xr:uid="{0B0B8CC7-AC00-470E-B3E8-5193C10DA840}"/>
    <cellStyle name="Normal 53 2 6" xfId="15855" xr:uid="{81060ABF-41DC-43BB-AB29-2497FFEA8BD2}"/>
    <cellStyle name="Normal 53 2 7" xfId="38415" xr:uid="{5A14ADF1-24C5-44FF-B407-82FE5B3736A7}"/>
    <cellStyle name="Normal 53 3" xfId="4381" xr:uid="{00000000-0005-0000-0000-00003D110000}"/>
    <cellStyle name="Normal 53 3 2" xfId="4382" xr:uid="{00000000-0005-0000-0000-00003E110000}"/>
    <cellStyle name="Normal 53 3 2 2" xfId="9907" xr:uid="{00000000-0005-0000-0000-00008E1E0000}"/>
    <cellStyle name="Normal 53 3 2 2 2" xfId="42396" xr:uid="{9F1C17D7-3D82-48B2-BB45-AC1697C78FF1}"/>
    <cellStyle name="Normal 53 3 2 3" xfId="6377" xr:uid="{00000000-0005-0000-0000-0000C40D0000}"/>
    <cellStyle name="Normal 53 3 2 3 2" xfId="40169" xr:uid="{50CBAC7E-3608-494F-B541-81DEE52CF476}"/>
    <cellStyle name="Normal 53 3 2 4" xfId="15860" xr:uid="{AB1AC716-E67A-4937-8A52-4F0749CF38AB}"/>
    <cellStyle name="Normal 53 3 2 5" xfId="38420" xr:uid="{838F4146-BE0F-4CD7-8D78-55B501680005}"/>
    <cellStyle name="Normal 53 3 3" xfId="9906" xr:uid="{00000000-0005-0000-0000-00008D1E0000}"/>
    <cellStyle name="Normal 53 3 3 2" xfId="42395" xr:uid="{F7859D72-79CF-4736-A4F1-88CD226B870A}"/>
    <cellStyle name="Normal 53 3 4" xfId="6376" xr:uid="{00000000-0005-0000-0000-0000C30D0000}"/>
    <cellStyle name="Normal 53 3 4 2" xfId="40168" xr:uid="{2532048F-1785-4F42-A3BA-C579F4905C5D}"/>
    <cellStyle name="Normal 53 3 5" xfId="15859" xr:uid="{7E4C487A-281B-457B-B541-F84BF8CE2C0C}"/>
    <cellStyle name="Normal 53 3 6" xfId="38419" xr:uid="{FFDE6837-800C-4773-BB9D-5B1B7032F043}"/>
    <cellStyle name="Normal 53 4" xfId="4383" xr:uid="{00000000-0005-0000-0000-00003F110000}"/>
    <cellStyle name="Normal 53 4 2" xfId="9908" xr:uid="{00000000-0005-0000-0000-00008F1E0000}"/>
    <cellStyle name="Normal 53 4 2 2" xfId="42397" xr:uid="{D70A34F9-FF2B-4113-9A58-663829C6D284}"/>
    <cellStyle name="Normal 53 4 3" xfId="6378" xr:uid="{00000000-0005-0000-0000-0000C50D0000}"/>
    <cellStyle name="Normal 53 4 3 2" xfId="40170" xr:uid="{A5AC1C72-A782-4E2D-BFC4-C241874CC845}"/>
    <cellStyle name="Normal 53 4 4" xfId="15861" xr:uid="{19F6EBD7-64C1-45E9-A814-EDECA03DE70B}"/>
    <cellStyle name="Normal 53 4 5" xfId="38421" xr:uid="{DDDCC281-493C-4337-B042-2364A3EF2CBE}"/>
    <cellStyle name="Normal 53 5" xfId="4384" xr:uid="{00000000-0005-0000-0000-000040110000}"/>
    <cellStyle name="Normal 53 5 2" xfId="9909" xr:uid="{00000000-0005-0000-0000-0000901E0000}"/>
    <cellStyle name="Normal 53 5 2 2" xfId="42398" xr:uid="{46743C65-922D-42C1-9B3C-5F43DEAC66EE}"/>
    <cellStyle name="Normal 53 5 3" xfId="6379" xr:uid="{00000000-0005-0000-0000-0000C60D0000}"/>
    <cellStyle name="Normal 53 5 3 2" xfId="40171" xr:uid="{1549C06E-044A-450C-8D75-FC3CA3C5EA5F}"/>
    <cellStyle name="Normal 53 5 4" xfId="15862" xr:uid="{9C2FD941-C6AF-4D23-B52F-7BF72DBB890F}"/>
    <cellStyle name="Normal 53 5 5" xfId="38422" xr:uid="{07D26448-EBEB-40B4-8DBA-B15150B100AF}"/>
    <cellStyle name="Normal 53 6" xfId="4385" xr:uid="{00000000-0005-0000-0000-000041110000}"/>
    <cellStyle name="Normal 53 6 2" xfId="9910" xr:uid="{00000000-0005-0000-0000-0000911E0000}"/>
    <cellStyle name="Normal 53 6 2 2" xfId="42399" xr:uid="{CA522274-E72B-4942-8725-550C4226E503}"/>
    <cellStyle name="Normal 53 6 3" xfId="6380" xr:uid="{00000000-0005-0000-0000-0000C70D0000}"/>
    <cellStyle name="Normal 53 6 3 2" xfId="40172" xr:uid="{45893DF9-4711-461E-B545-C1CFE99133ED}"/>
    <cellStyle name="Normal 53 6 4" xfId="15863" xr:uid="{5EE44EAF-A10E-4B24-AA9E-F4EA7C6D68E1}"/>
    <cellStyle name="Normal 53 6 5" xfId="38423" xr:uid="{9EC37488-B507-436F-A685-413978DB0FA0}"/>
    <cellStyle name="Normal 53 7" xfId="4386" xr:uid="{00000000-0005-0000-0000-000042110000}"/>
    <cellStyle name="Normal 53 7 2" xfId="9911" xr:uid="{00000000-0005-0000-0000-0000921E0000}"/>
    <cellStyle name="Normal 53 7 2 2" xfId="42400" xr:uid="{232783CE-90A1-4938-BC6E-F2DEF6284917}"/>
    <cellStyle name="Normal 53 7 3" xfId="6381" xr:uid="{00000000-0005-0000-0000-0000C80D0000}"/>
    <cellStyle name="Normal 53 7 3 2" xfId="40173" xr:uid="{5FD8A70E-CEA5-49CF-A3CA-52955B03E2A4}"/>
    <cellStyle name="Normal 53 7 4" xfId="15864" xr:uid="{C15E0AC7-B07E-425F-B577-735399F5E502}"/>
    <cellStyle name="Normal 53 7 5" xfId="38424" xr:uid="{F9620E4A-D45B-494D-BE66-9964BDE8C98D}"/>
    <cellStyle name="Normal 53 8" xfId="4387" xr:uid="{00000000-0005-0000-0000-000043110000}"/>
    <cellStyle name="Normal 53 8 2" xfId="9912" xr:uid="{00000000-0005-0000-0000-0000931E0000}"/>
    <cellStyle name="Normal 53 8 2 2" xfId="42401" xr:uid="{536478A3-5285-42FA-9EEE-56CB81E2F4EC}"/>
    <cellStyle name="Normal 53 8 3" xfId="6382" xr:uid="{00000000-0005-0000-0000-0000C90D0000}"/>
    <cellStyle name="Normal 53 8 3 2" xfId="40174" xr:uid="{C3B64E46-C795-4F29-90D9-204424CEBFE9}"/>
    <cellStyle name="Normal 53 8 4" xfId="15865" xr:uid="{EB4EC3C6-6F4E-44A6-B3CB-6081E635E673}"/>
    <cellStyle name="Normal 53 8 5" xfId="38425" xr:uid="{E94119A5-3AFB-4487-80D3-3311ED017A62}"/>
    <cellStyle name="Normal 53 9" xfId="9901" xr:uid="{00000000-0005-0000-0000-0000881E0000}"/>
    <cellStyle name="Normal 53 9 2" xfId="42390" xr:uid="{4133DBAD-F4F0-4A53-901C-9DC3F09BD462}"/>
    <cellStyle name="Normal 54" xfId="4388" xr:uid="{00000000-0005-0000-0000-000044110000}"/>
    <cellStyle name="Normal 54 10" xfId="6383" xr:uid="{00000000-0005-0000-0000-0000CA0D0000}"/>
    <cellStyle name="Normal 54 11" xfId="38426" xr:uid="{AC9BC66B-B545-4764-8FCB-3968ACB6C8DF}"/>
    <cellStyle name="Normal 54 2" xfId="4389" xr:uid="{00000000-0005-0000-0000-000045110000}"/>
    <cellStyle name="Normal 54 2 2" xfId="9914" xr:uid="{00000000-0005-0000-0000-0000951E0000}"/>
    <cellStyle name="Normal 54 2 2 2" xfId="42403" xr:uid="{2DC9F5E8-ACB6-447A-93AD-A81FA6095948}"/>
    <cellStyle name="Normal 54 2 3" xfId="6384" xr:uid="{00000000-0005-0000-0000-0000CB0D0000}"/>
    <cellStyle name="Normal 54 2 3 2" xfId="40175" xr:uid="{E3CCC8FD-E3D4-470B-813C-EC7D6E7354C4}"/>
    <cellStyle name="Normal 54 2 4" xfId="15866" xr:uid="{2BDE7B80-CEFF-455D-9789-2D2F1B2B7F41}"/>
    <cellStyle name="Normal 54 2 5" xfId="38427" xr:uid="{F024549B-4EBF-4BA0-ACAF-2CF4176D5F87}"/>
    <cellStyle name="Normal 54 3" xfId="4390" xr:uid="{00000000-0005-0000-0000-000046110000}"/>
    <cellStyle name="Normal 54 3 2" xfId="9915" xr:uid="{00000000-0005-0000-0000-0000961E0000}"/>
    <cellStyle name="Normal 54 3 2 2" xfId="42404" xr:uid="{D5BFD39B-1B36-4E32-A1AD-7C59516DFF99}"/>
    <cellStyle name="Normal 54 3 3" xfId="6385" xr:uid="{00000000-0005-0000-0000-0000CC0D0000}"/>
    <cellStyle name="Normal 54 3 3 2" xfId="40176" xr:uid="{3B0EA2C5-748A-451E-A470-1A95503A9E52}"/>
    <cellStyle name="Normal 54 3 4" xfId="15867" xr:uid="{44D82B59-BF7C-4B1A-AD2A-B43D0FD8FCB5}"/>
    <cellStyle name="Normal 54 3 5" xfId="38428" xr:uid="{28381529-FBCA-4745-83C7-72208127A93C}"/>
    <cellStyle name="Normal 54 4" xfId="4391" xr:uid="{00000000-0005-0000-0000-000047110000}"/>
    <cellStyle name="Normal 54 4 2" xfId="9916" xr:uid="{00000000-0005-0000-0000-0000971E0000}"/>
    <cellStyle name="Normal 54 4 2 2" xfId="42405" xr:uid="{EEE85648-EFBF-46C5-8720-2BC2592A0F15}"/>
    <cellStyle name="Normal 54 4 3" xfId="6386" xr:uid="{00000000-0005-0000-0000-0000CD0D0000}"/>
    <cellStyle name="Normal 54 4 3 2" xfId="40177" xr:uid="{B995EE9E-BD7C-4027-AB35-F606F086EFE0}"/>
    <cellStyle name="Normal 54 4 4" xfId="15868" xr:uid="{92B64DA6-C61F-44A7-9329-D5D65A7011D4}"/>
    <cellStyle name="Normal 54 4 5" xfId="38429" xr:uid="{8903256E-EB13-49D6-838C-5808A72BDEC6}"/>
    <cellStyle name="Normal 54 5" xfId="4392" xr:uid="{00000000-0005-0000-0000-000048110000}"/>
    <cellStyle name="Normal 54 5 2" xfId="9917" xr:uid="{00000000-0005-0000-0000-0000981E0000}"/>
    <cellStyle name="Normal 54 5 2 2" xfId="42406" xr:uid="{C363AC39-AD12-472C-AC7B-2EA351EF2F57}"/>
    <cellStyle name="Normal 54 5 3" xfId="6387" xr:uid="{00000000-0005-0000-0000-0000CE0D0000}"/>
    <cellStyle name="Normal 54 5 3 2" xfId="40178" xr:uid="{0A9B05E5-6CD5-4EE2-B11A-71508DE7AC50}"/>
    <cellStyle name="Normal 54 5 4" xfId="15869" xr:uid="{323C847E-A8A1-499D-A591-1A1948D2B4EF}"/>
    <cellStyle name="Normal 54 5 5" xfId="38430" xr:uid="{9965C236-6744-42CF-A3C8-BAEEAA825B3F}"/>
    <cellStyle name="Normal 54 6" xfId="4393" xr:uid="{00000000-0005-0000-0000-000049110000}"/>
    <cellStyle name="Normal 54 6 2" xfId="9918" xr:uid="{00000000-0005-0000-0000-0000991E0000}"/>
    <cellStyle name="Normal 54 6 2 2" xfId="42407" xr:uid="{31997363-A126-45A5-9962-D8CA647B6909}"/>
    <cellStyle name="Normal 54 6 3" xfId="6388" xr:uid="{00000000-0005-0000-0000-0000CF0D0000}"/>
    <cellStyle name="Normal 54 6 3 2" xfId="40179" xr:uid="{CE1480F3-8ED8-4C42-8859-730B9EE0956B}"/>
    <cellStyle name="Normal 54 6 4" xfId="15870" xr:uid="{59F8FA1E-9ABE-4C16-9B80-B91786087ED5}"/>
    <cellStyle name="Normal 54 6 5" xfId="38431" xr:uid="{3C652A7B-FDA4-420C-ACC9-61B48D874981}"/>
    <cellStyle name="Normal 54 7" xfId="4394" xr:uid="{00000000-0005-0000-0000-00004A110000}"/>
    <cellStyle name="Normal 54 7 2" xfId="9919" xr:uid="{00000000-0005-0000-0000-00009A1E0000}"/>
    <cellStyle name="Normal 54 7 2 2" xfId="42408" xr:uid="{6559BD05-E6AE-419F-AA8F-B17AC2BD21F1}"/>
    <cellStyle name="Normal 54 7 3" xfId="6389" xr:uid="{00000000-0005-0000-0000-0000D00D0000}"/>
    <cellStyle name="Normal 54 7 3 2" xfId="40180" xr:uid="{12948CE6-E955-40B7-9062-A70F87352138}"/>
    <cellStyle name="Normal 54 7 4" xfId="15871" xr:uid="{E3BC428A-A2DD-4158-B870-C321D224C6A6}"/>
    <cellStyle name="Normal 54 7 5" xfId="38432" xr:uid="{57A96E88-4A3A-48DF-A13C-735D6DABFBD4}"/>
    <cellStyle name="Normal 54 8" xfId="4395" xr:uid="{00000000-0005-0000-0000-00004B110000}"/>
    <cellStyle name="Normal 54 8 2" xfId="9920" xr:uid="{00000000-0005-0000-0000-00009B1E0000}"/>
    <cellStyle name="Normal 54 8 2 2" xfId="42409" xr:uid="{369858F5-3196-4718-B0B7-E6FB1FCBA56E}"/>
    <cellStyle name="Normal 54 8 3" xfId="6390" xr:uid="{00000000-0005-0000-0000-0000D10D0000}"/>
    <cellStyle name="Normal 54 8 3 2" xfId="40181" xr:uid="{8B2CF167-B6B4-4E1D-87EC-1D7FDEDB941A}"/>
    <cellStyle name="Normal 54 8 4" xfId="15872" xr:uid="{10899BEC-1B55-4081-9F1D-2807026A0B36}"/>
    <cellStyle name="Normal 54 8 5" xfId="38433" xr:uid="{F9A0D012-30B9-44AA-AED4-14DBAD7EEBCE}"/>
    <cellStyle name="Normal 54 9" xfId="9913" xr:uid="{00000000-0005-0000-0000-0000941E0000}"/>
    <cellStyle name="Normal 54 9 2" xfId="42402" xr:uid="{309708B9-752A-4F21-A97A-B59C02EE3C89}"/>
    <cellStyle name="Normal 55" xfId="4396" xr:uid="{00000000-0005-0000-0000-00004C110000}"/>
    <cellStyle name="Normal 55 10" xfId="6391" xr:uid="{00000000-0005-0000-0000-0000D20D0000}"/>
    <cellStyle name="Normal 55 10 2" xfId="40182" xr:uid="{79C32E15-6E05-41C4-9619-C3E562C29612}"/>
    <cellStyle name="Normal 55 11" xfId="15873" xr:uid="{DEE5C43D-DD7B-45AF-B8C1-19F745F25122}"/>
    <cellStyle name="Normal 55 12" xfId="38434" xr:uid="{D7834A3A-1F87-4299-8AA0-672247E927DE}"/>
    <cellStyle name="Normal 55 2" xfId="4397" xr:uid="{00000000-0005-0000-0000-00004D110000}"/>
    <cellStyle name="Normal 55 2 2" xfId="9922" xr:uid="{00000000-0005-0000-0000-00009D1E0000}"/>
    <cellStyle name="Normal 55 2 2 2" xfId="42411" xr:uid="{3B6EB2AE-C4A3-4CAA-AF39-06FF68192926}"/>
    <cellStyle name="Normal 55 2 3" xfId="6392" xr:uid="{00000000-0005-0000-0000-0000D30D0000}"/>
    <cellStyle name="Normal 55 2 3 2" xfId="40183" xr:uid="{DD33E770-1665-412E-996E-9371DEE17471}"/>
    <cellStyle name="Normal 55 2 4" xfId="15874" xr:uid="{7A04DE44-9CA3-4EBD-ADC3-F69F844B005E}"/>
    <cellStyle name="Normal 55 2 5" xfId="38435" xr:uid="{EA2FE09C-86D8-4824-8DAF-C014D6AF6F12}"/>
    <cellStyle name="Normal 55 3" xfId="4398" xr:uid="{00000000-0005-0000-0000-00004E110000}"/>
    <cellStyle name="Normal 55 3 2" xfId="9923" xr:uid="{00000000-0005-0000-0000-00009E1E0000}"/>
    <cellStyle name="Normal 55 3 2 2" xfId="42412" xr:uid="{BCEA3B84-D99F-400B-BF16-EDF8B2640F0C}"/>
    <cellStyle name="Normal 55 3 3" xfId="6393" xr:uid="{00000000-0005-0000-0000-0000D40D0000}"/>
    <cellStyle name="Normal 55 3 3 2" xfId="40184" xr:uid="{B42539A4-86C8-4DC2-AC6A-7962B678CCBC}"/>
    <cellStyle name="Normal 55 3 4" xfId="15875" xr:uid="{446064EE-A9B0-417B-9833-6F93F8B26911}"/>
    <cellStyle name="Normal 55 3 5" xfId="38436" xr:uid="{4094A9D2-8FCA-4B32-A690-B55D78EDBD32}"/>
    <cellStyle name="Normal 55 4" xfId="4399" xr:uid="{00000000-0005-0000-0000-00004F110000}"/>
    <cellStyle name="Normal 55 4 2" xfId="9924" xr:uid="{00000000-0005-0000-0000-00009F1E0000}"/>
    <cellStyle name="Normal 55 4 2 2" xfId="42413" xr:uid="{E54ADA57-6517-4DD3-9D82-6E367DEDE59F}"/>
    <cellStyle name="Normal 55 4 3" xfId="6394" xr:uid="{00000000-0005-0000-0000-0000D50D0000}"/>
    <cellStyle name="Normal 55 4 3 2" xfId="40185" xr:uid="{0C414E33-D670-4332-8F8A-C5178AC83344}"/>
    <cellStyle name="Normal 55 4 4" xfId="15876" xr:uid="{A1F63C6C-8D22-4A17-A410-84AD597B51B9}"/>
    <cellStyle name="Normal 55 4 5" xfId="38437" xr:uid="{4E57C73B-617D-4235-BF5A-42EDE78B4FBF}"/>
    <cellStyle name="Normal 55 5" xfId="4400" xr:uid="{00000000-0005-0000-0000-000050110000}"/>
    <cellStyle name="Normal 55 5 2" xfId="9925" xr:uid="{00000000-0005-0000-0000-0000A01E0000}"/>
    <cellStyle name="Normal 55 5 2 2" xfId="42414" xr:uid="{077AEDE8-AB9B-423C-8B68-B4BF1DD9DECB}"/>
    <cellStyle name="Normal 55 5 3" xfId="6395" xr:uid="{00000000-0005-0000-0000-0000D60D0000}"/>
    <cellStyle name="Normal 55 5 3 2" xfId="40186" xr:uid="{4697E9E4-9821-47C8-B084-F9F036AD1DF0}"/>
    <cellStyle name="Normal 55 5 4" xfId="15877" xr:uid="{3B7DFB08-5C26-49B9-A51E-ED8976471054}"/>
    <cellStyle name="Normal 55 5 5" xfId="38438" xr:uid="{E933F3F9-4F87-4F9E-8148-92B714570C2B}"/>
    <cellStyle name="Normal 55 6" xfId="4401" xr:uid="{00000000-0005-0000-0000-000051110000}"/>
    <cellStyle name="Normal 55 6 2" xfId="9926" xr:uid="{00000000-0005-0000-0000-0000A11E0000}"/>
    <cellStyle name="Normal 55 6 2 2" xfId="42415" xr:uid="{A65C0B8B-82D6-4F55-BA48-9EF7AAB11BB4}"/>
    <cellStyle name="Normal 55 6 3" xfId="6396" xr:uid="{00000000-0005-0000-0000-0000D70D0000}"/>
    <cellStyle name="Normal 55 6 3 2" xfId="40187" xr:uid="{0D620AB7-C316-40BF-9388-7085B829BB26}"/>
    <cellStyle name="Normal 55 6 4" xfId="15878" xr:uid="{15C49F43-D492-4035-BFDF-582D1F366603}"/>
    <cellStyle name="Normal 55 6 5" xfId="38439" xr:uid="{DB6D90EE-2095-4B51-9709-5037996069B7}"/>
    <cellStyle name="Normal 55 7" xfId="4402" xr:uid="{00000000-0005-0000-0000-000052110000}"/>
    <cellStyle name="Normal 55 7 2" xfId="9927" xr:uid="{00000000-0005-0000-0000-0000A21E0000}"/>
    <cellStyle name="Normal 55 7 2 2" xfId="42416" xr:uid="{038920F0-1F38-4471-A716-D89CBBD9F906}"/>
    <cellStyle name="Normal 55 7 3" xfId="6397" xr:uid="{00000000-0005-0000-0000-0000D80D0000}"/>
    <cellStyle name="Normal 55 7 3 2" xfId="40188" xr:uid="{87371CA8-7C03-4D0F-8025-B7D47161C641}"/>
    <cellStyle name="Normal 55 7 4" xfId="15879" xr:uid="{6D566D2F-57D8-41F1-B14D-2D28EBFEC8EC}"/>
    <cellStyle name="Normal 55 7 5" xfId="38440" xr:uid="{3C84D939-BE31-4608-ABBE-C143D5F745FE}"/>
    <cellStyle name="Normal 55 8" xfId="4403" xr:uid="{00000000-0005-0000-0000-000053110000}"/>
    <cellStyle name="Normal 55 8 2" xfId="9928" xr:uid="{00000000-0005-0000-0000-0000A31E0000}"/>
    <cellStyle name="Normal 55 8 2 2" xfId="42417" xr:uid="{1014CAEF-A4BE-49ED-98B2-5A969CF2C5D1}"/>
    <cellStyle name="Normal 55 8 3" xfId="6398" xr:uid="{00000000-0005-0000-0000-0000D90D0000}"/>
    <cellStyle name="Normal 55 8 3 2" xfId="40189" xr:uid="{241B66D2-B74A-4C45-9D9A-42C803CEA3E9}"/>
    <cellStyle name="Normal 55 8 4" xfId="15880" xr:uid="{DE7547E1-0FD3-4144-BF73-E3C4D403DE1D}"/>
    <cellStyle name="Normal 55 8 5" xfId="38441" xr:uid="{333ED60A-0E93-42DD-8443-3E7E412B9B7E}"/>
    <cellStyle name="Normal 55 9" xfId="9921" xr:uid="{00000000-0005-0000-0000-00009C1E0000}"/>
    <cellStyle name="Normal 55 9 2" xfId="42410" xr:uid="{995E5D2F-5676-48DC-A82C-D715500A8E4D}"/>
    <cellStyle name="Normal 56" xfId="4404" xr:uid="{00000000-0005-0000-0000-000054110000}"/>
    <cellStyle name="Normal 56 10" xfId="6399" xr:uid="{00000000-0005-0000-0000-0000DA0D0000}"/>
    <cellStyle name="Normal 56 10 2" xfId="40190" xr:uid="{09EB4F44-B071-46A0-93F3-C1C63535DB98}"/>
    <cellStyle name="Normal 56 11" xfId="15881" xr:uid="{B79CC37E-9CE0-4336-A4DD-03FC8139FDB4}"/>
    <cellStyle name="Normal 56 12" xfId="38442" xr:uid="{7E8F40A4-A893-4A83-85D9-B301E91742D0}"/>
    <cellStyle name="Normal 56 2" xfId="4405" xr:uid="{00000000-0005-0000-0000-000055110000}"/>
    <cellStyle name="Normal 56 2 2" xfId="9930" xr:uid="{00000000-0005-0000-0000-0000A51E0000}"/>
    <cellStyle name="Normal 56 2 2 2" xfId="42419" xr:uid="{B6CB748A-1B29-410B-BAD9-CFD823748F89}"/>
    <cellStyle name="Normal 56 2 3" xfId="6408" xr:uid="{00000000-0005-0000-0000-0000DB0D0000}"/>
    <cellStyle name="Normal 56 2 3 2" xfId="40192" xr:uid="{ACB16555-241F-40D9-BE8F-99294C95BD20}"/>
    <cellStyle name="Normal 56 2 4" xfId="15882" xr:uid="{7291B503-6569-4E81-B223-361D25D7DAB2}"/>
    <cellStyle name="Normal 56 2 5" xfId="38443" xr:uid="{0A71734E-F22A-4A8E-A9D6-3543870BB30C}"/>
    <cellStyle name="Normal 56 3" xfId="4406" xr:uid="{00000000-0005-0000-0000-000056110000}"/>
    <cellStyle name="Normal 56 3 2" xfId="9931" xr:uid="{00000000-0005-0000-0000-0000A61E0000}"/>
    <cellStyle name="Normal 56 3 2 2" xfId="42420" xr:uid="{66B77716-3587-4F70-ACF2-4B5B0F0AE92A}"/>
    <cellStyle name="Normal 56 3 3" xfId="6409" xr:uid="{00000000-0005-0000-0000-0000DC0D0000}"/>
    <cellStyle name="Normal 56 3 3 2" xfId="40193" xr:uid="{3D73818F-618A-49CA-95E6-CA8CE93A2242}"/>
    <cellStyle name="Normal 56 3 4" xfId="15883" xr:uid="{9A5FEE06-A3F4-4745-8132-84874B6A61FA}"/>
    <cellStyle name="Normal 56 3 5" xfId="38444" xr:uid="{ADB8556C-7EC9-47EF-A0BE-5C0EAF117F2C}"/>
    <cellStyle name="Normal 56 4" xfId="4407" xr:uid="{00000000-0005-0000-0000-000057110000}"/>
    <cellStyle name="Normal 56 4 2" xfId="9932" xr:uid="{00000000-0005-0000-0000-0000A71E0000}"/>
    <cellStyle name="Normal 56 4 2 2" xfId="42421" xr:uid="{1C3E1F01-60AA-4FE8-8514-F47FB68E652B}"/>
    <cellStyle name="Normal 56 4 3" xfId="6411" xr:uid="{00000000-0005-0000-0000-0000DD0D0000}"/>
    <cellStyle name="Normal 56 4 3 2" xfId="40194" xr:uid="{B9C06609-2E04-4206-A54E-DA4EE7D84093}"/>
    <cellStyle name="Normal 56 4 4" xfId="15884" xr:uid="{74CF2C27-A16F-40B8-81E4-5719922F8E7B}"/>
    <cellStyle name="Normal 56 4 5" xfId="38445" xr:uid="{12ABF8A2-A4A4-4625-ABF7-7B492C2D1921}"/>
    <cellStyle name="Normal 56 5" xfId="4408" xr:uid="{00000000-0005-0000-0000-000058110000}"/>
    <cellStyle name="Normal 56 5 2" xfId="9933" xr:uid="{00000000-0005-0000-0000-0000A81E0000}"/>
    <cellStyle name="Normal 56 5 2 2" xfId="42422" xr:uid="{FD6F3126-0B74-4F75-8B79-50CAD75092D4}"/>
    <cellStyle name="Normal 56 5 3" xfId="6412" xr:uid="{00000000-0005-0000-0000-0000DE0D0000}"/>
    <cellStyle name="Normal 56 5 3 2" xfId="40195" xr:uid="{D0140841-9094-48C7-BCC4-7F0C14DD83B6}"/>
    <cellStyle name="Normal 56 5 4" xfId="15885" xr:uid="{F1BB5988-02FB-44F9-8675-A8FF1879A9E9}"/>
    <cellStyle name="Normal 56 5 5" xfId="38446" xr:uid="{1EC1F274-E3D1-4B43-86CA-62426A5E0448}"/>
    <cellStyle name="Normal 56 6" xfId="4409" xr:uid="{00000000-0005-0000-0000-000059110000}"/>
    <cellStyle name="Normal 56 6 2" xfId="9934" xr:uid="{00000000-0005-0000-0000-0000A91E0000}"/>
    <cellStyle name="Normal 56 6 2 2" xfId="42423" xr:uid="{5FBAF7A7-FE5C-41FA-9E1D-0984C76D7198}"/>
    <cellStyle name="Normal 56 6 3" xfId="6413" xr:uid="{00000000-0005-0000-0000-0000DF0D0000}"/>
    <cellStyle name="Normal 56 6 3 2" xfId="40196" xr:uid="{8C7BA3E9-BFB2-4A10-8295-576E781CE01C}"/>
    <cellStyle name="Normal 56 6 4" xfId="15886" xr:uid="{73987A5F-02FF-49EA-8ED5-A405215AFD36}"/>
    <cellStyle name="Normal 56 6 5" xfId="38447" xr:uid="{6C924C63-F018-4D03-A6D5-C461719ED936}"/>
    <cellStyle name="Normal 56 7" xfId="4410" xr:uid="{00000000-0005-0000-0000-00005A110000}"/>
    <cellStyle name="Normal 56 7 2" xfId="9935" xr:uid="{00000000-0005-0000-0000-0000AA1E0000}"/>
    <cellStyle name="Normal 56 7 2 2" xfId="42424" xr:uid="{AF1E2EDA-912B-4F85-ABB0-CA568E661841}"/>
    <cellStyle name="Normal 56 7 3" xfId="6414" xr:uid="{00000000-0005-0000-0000-0000E00D0000}"/>
    <cellStyle name="Normal 56 7 3 2" xfId="40197" xr:uid="{EE656365-598D-4BD1-B5F4-AFC1E4D33F80}"/>
    <cellStyle name="Normal 56 7 4" xfId="15887" xr:uid="{0D41538F-81FA-4AC9-B1E1-5F8FE7F479AC}"/>
    <cellStyle name="Normal 56 7 5" xfId="38448" xr:uid="{7085FF96-E183-485F-BA1A-2F4E24AC56AE}"/>
    <cellStyle name="Normal 56 8" xfId="4411" xr:uid="{00000000-0005-0000-0000-00005B110000}"/>
    <cellStyle name="Normal 56 8 2" xfId="9936" xr:uid="{00000000-0005-0000-0000-0000AB1E0000}"/>
    <cellStyle name="Normal 56 8 2 2" xfId="42425" xr:uid="{F68B0BA5-AEB0-4C2E-AC2C-2BE675E3AB64}"/>
    <cellStyle name="Normal 56 8 3" xfId="6415" xr:uid="{00000000-0005-0000-0000-0000E10D0000}"/>
    <cellStyle name="Normal 56 8 3 2" xfId="40198" xr:uid="{E3E47BD0-7302-4D1F-A5F8-C56963C73161}"/>
    <cellStyle name="Normal 56 8 4" xfId="15888" xr:uid="{F7EA21D5-E409-4F5F-B6BB-A8C64DE4A7AD}"/>
    <cellStyle name="Normal 56 8 5" xfId="38449" xr:uid="{425A734B-ACE3-4FF9-8C2A-BB17BEE33C66}"/>
    <cellStyle name="Normal 56 9" xfId="9929" xr:uid="{00000000-0005-0000-0000-0000A41E0000}"/>
    <cellStyle name="Normal 56 9 2" xfId="42418" xr:uid="{F1C4C6D4-3DBA-4A9A-82D4-0860B60E7539}"/>
    <cellStyle name="Normal 57" xfId="4412" xr:uid="{00000000-0005-0000-0000-00005C110000}"/>
    <cellStyle name="Normal 57 10" xfId="6416" xr:uid="{00000000-0005-0000-0000-0000E20D0000}"/>
    <cellStyle name="Normal 57 10 2" xfId="40199" xr:uid="{D8FC7FC1-9C24-4876-8537-F54A8C5657C9}"/>
    <cellStyle name="Normal 57 11" xfId="15889" xr:uid="{19E33BEF-0175-431C-8C98-E317B090FE54}"/>
    <cellStyle name="Normal 57 12" xfId="38450" xr:uid="{978C5AE2-205F-4E0A-9AEE-6038BAC665E5}"/>
    <cellStyle name="Normal 57 2" xfId="4413" xr:uid="{00000000-0005-0000-0000-00005D110000}"/>
    <cellStyle name="Normal 57 2 2" xfId="9938" xr:uid="{00000000-0005-0000-0000-0000AD1E0000}"/>
    <cellStyle name="Normal 57 2 2 2" xfId="42427" xr:uid="{AA0D66D1-E302-4FA6-B762-8A3A0ED75069}"/>
    <cellStyle name="Normal 57 2 3" xfId="6418" xr:uid="{00000000-0005-0000-0000-0000E30D0000}"/>
    <cellStyle name="Normal 57 2 3 2" xfId="40201" xr:uid="{DDAE3511-1449-4DF3-BBD4-C1BB30D81302}"/>
    <cellStyle name="Normal 57 2 4" xfId="15890" xr:uid="{A1543018-4DC5-4702-81A5-FADE70725C92}"/>
    <cellStyle name="Normal 57 2 5" xfId="38451" xr:uid="{98E9B55A-25F2-49DB-9917-09C11813BC82}"/>
    <cellStyle name="Normal 57 3" xfId="4414" xr:uid="{00000000-0005-0000-0000-00005E110000}"/>
    <cellStyle name="Normal 57 3 2" xfId="9939" xr:uid="{00000000-0005-0000-0000-0000AE1E0000}"/>
    <cellStyle name="Normal 57 3 2 2" xfId="42428" xr:uid="{EC521C71-D880-4FD4-A41D-8BBCEEF12F18}"/>
    <cellStyle name="Normal 57 3 3" xfId="6419" xr:uid="{00000000-0005-0000-0000-0000E40D0000}"/>
    <cellStyle name="Normal 57 3 3 2" xfId="40202" xr:uid="{1E9D7395-8F21-41C3-82F0-49437F94169C}"/>
    <cellStyle name="Normal 57 3 4" xfId="15891" xr:uid="{6D138045-2CC2-4979-8101-5E52D4671D2C}"/>
    <cellStyle name="Normal 57 3 5" xfId="38452" xr:uid="{520A18D2-4DBB-414A-BFB3-B6A2EC833CAE}"/>
    <cellStyle name="Normal 57 4" xfId="4415" xr:uid="{00000000-0005-0000-0000-00005F110000}"/>
    <cellStyle name="Normal 57 4 2" xfId="9940" xr:uid="{00000000-0005-0000-0000-0000AF1E0000}"/>
    <cellStyle name="Normal 57 4 2 2" xfId="42429" xr:uid="{4CD068EA-1AF8-49E8-B18B-2487F4F72B99}"/>
    <cellStyle name="Normal 57 4 3" xfId="6420" xr:uid="{00000000-0005-0000-0000-0000E50D0000}"/>
    <cellStyle name="Normal 57 4 3 2" xfId="40203" xr:uid="{92FBEE32-44F7-4D95-891C-DAA0E72EAA1F}"/>
    <cellStyle name="Normal 57 4 4" xfId="15892" xr:uid="{660CCD9E-05EF-4D98-94BB-E3A12B36A0FB}"/>
    <cellStyle name="Normal 57 4 5" xfId="38453" xr:uid="{0FC61647-DC91-4C06-AF77-3E3795EB7F58}"/>
    <cellStyle name="Normal 57 5" xfId="4416" xr:uid="{00000000-0005-0000-0000-000060110000}"/>
    <cellStyle name="Normal 57 5 2" xfId="9941" xr:uid="{00000000-0005-0000-0000-0000B01E0000}"/>
    <cellStyle name="Normal 57 5 2 2" xfId="42430" xr:uid="{F974F186-0E02-4506-A8A5-4C783A4A9978}"/>
    <cellStyle name="Normal 57 5 3" xfId="6421" xr:uid="{00000000-0005-0000-0000-0000E60D0000}"/>
    <cellStyle name="Normal 57 5 3 2" xfId="40204" xr:uid="{F350E7E7-80A7-4BC6-8F0D-277F717C0170}"/>
    <cellStyle name="Normal 57 5 4" xfId="15893" xr:uid="{F4C5680D-2C72-4137-A7B0-1A02982F419E}"/>
    <cellStyle name="Normal 57 5 5" xfId="38454" xr:uid="{BF7AD1EA-B2D1-4979-8C9C-559CE1D608EC}"/>
    <cellStyle name="Normal 57 6" xfId="4417" xr:uid="{00000000-0005-0000-0000-000061110000}"/>
    <cellStyle name="Normal 57 6 2" xfId="9942" xr:uid="{00000000-0005-0000-0000-0000B11E0000}"/>
    <cellStyle name="Normal 57 6 2 2" xfId="42431" xr:uid="{D2D06B8B-060C-47B0-9DE5-AF9F0EDE4322}"/>
    <cellStyle name="Normal 57 6 3" xfId="6422" xr:uid="{00000000-0005-0000-0000-0000E70D0000}"/>
    <cellStyle name="Normal 57 6 3 2" xfId="40205" xr:uid="{9361626B-2081-4293-AA9B-1EA76A948939}"/>
    <cellStyle name="Normal 57 6 4" xfId="15894" xr:uid="{1A7CE616-2580-4F5E-939D-6D4B0FA043C8}"/>
    <cellStyle name="Normal 57 6 5" xfId="38455" xr:uid="{7FB76E32-05EC-4513-9898-A5F4E4AA7B81}"/>
    <cellStyle name="Normal 57 7" xfId="4418" xr:uid="{00000000-0005-0000-0000-000062110000}"/>
    <cellStyle name="Normal 57 7 2" xfId="9943" xr:uid="{00000000-0005-0000-0000-0000B21E0000}"/>
    <cellStyle name="Normal 57 7 2 2" xfId="42432" xr:uid="{022840D4-7960-4710-A7B4-2ED79AA5D275}"/>
    <cellStyle name="Normal 57 7 3" xfId="6423" xr:uid="{00000000-0005-0000-0000-0000E80D0000}"/>
    <cellStyle name="Normal 57 7 3 2" xfId="40206" xr:uid="{E821D7A4-F71F-4C7A-B6CA-2DBC24D9F7B1}"/>
    <cellStyle name="Normal 57 7 4" xfId="15895" xr:uid="{B40DF61D-5C40-4BF8-9407-9F62D174014C}"/>
    <cellStyle name="Normal 57 7 5" xfId="38456" xr:uid="{A7A7428C-B4E7-4DB6-A94E-40DF787A6941}"/>
    <cellStyle name="Normal 57 8" xfId="4419" xr:uid="{00000000-0005-0000-0000-000063110000}"/>
    <cellStyle name="Normal 57 8 2" xfId="9944" xr:uid="{00000000-0005-0000-0000-0000B31E0000}"/>
    <cellStyle name="Normal 57 8 2 2" xfId="42433" xr:uid="{3A9C8140-267E-44C7-9E2A-A48EF8ECEBC8}"/>
    <cellStyle name="Normal 57 8 3" xfId="6424" xr:uid="{00000000-0005-0000-0000-0000E90D0000}"/>
    <cellStyle name="Normal 57 8 3 2" xfId="40207" xr:uid="{E3790D56-9BA2-4997-98C5-7BDF71012A41}"/>
    <cellStyle name="Normal 57 8 4" xfId="15896" xr:uid="{6EA9F8E9-2B08-46A4-B558-0F3527911C25}"/>
    <cellStyle name="Normal 57 8 5" xfId="38457" xr:uid="{D2179EE2-5C59-4FA3-8909-638368192436}"/>
    <cellStyle name="Normal 57 9" xfId="9937" xr:uid="{00000000-0005-0000-0000-0000AC1E0000}"/>
    <cellStyle name="Normal 57 9 2" xfId="42426" xr:uid="{00A2BA35-FAF4-4CC4-8642-B6F5D685A937}"/>
    <cellStyle name="Normal 58" xfId="4420" xr:uid="{00000000-0005-0000-0000-000064110000}"/>
    <cellStyle name="Normal 58 10" xfId="6425" xr:uid="{00000000-0005-0000-0000-0000EA0D0000}"/>
    <cellStyle name="Normal 58 11" xfId="38458" xr:uid="{F697C383-58C1-4CEE-A756-F81BB1D0DFC0}"/>
    <cellStyle name="Normal 58 2" xfId="4421" xr:uid="{00000000-0005-0000-0000-000065110000}"/>
    <cellStyle name="Normal 58 2 2" xfId="9946" xr:uid="{00000000-0005-0000-0000-0000B51E0000}"/>
    <cellStyle name="Normal 58 2 2 2" xfId="42435" xr:uid="{0639CDB2-9CE3-4986-8D31-FFC144EAD642}"/>
    <cellStyle name="Normal 58 2 3" xfId="6426" xr:uid="{00000000-0005-0000-0000-0000EB0D0000}"/>
    <cellStyle name="Normal 58 2 3 2" xfId="40208" xr:uid="{0C6ED6D7-B4DB-4D87-B305-C2CAE37831DE}"/>
    <cellStyle name="Normal 58 2 4" xfId="15897" xr:uid="{DBC0D908-2245-4C23-A206-3FEF47DB9FFE}"/>
    <cellStyle name="Normal 58 2 5" xfId="38459" xr:uid="{2C189826-7A97-4640-8BCA-0C0AA558DF64}"/>
    <cellStyle name="Normal 58 3" xfId="4422" xr:uid="{00000000-0005-0000-0000-000066110000}"/>
    <cellStyle name="Normal 58 3 2" xfId="9947" xr:uid="{00000000-0005-0000-0000-0000B61E0000}"/>
    <cellStyle name="Normal 58 3 2 2" xfId="42436" xr:uid="{9EC6987D-7ACC-4DCA-BC7B-03CF70AE1D3E}"/>
    <cellStyle name="Normal 58 3 3" xfId="6431" xr:uid="{00000000-0005-0000-0000-0000EC0D0000}"/>
    <cellStyle name="Normal 58 3 3 2" xfId="40211" xr:uid="{DE1EA133-B36F-4F58-80E7-626D2C24A554}"/>
    <cellStyle name="Normal 58 3 4" xfId="15898" xr:uid="{22AFBBF4-2495-4756-8FAA-EE8388A267A2}"/>
    <cellStyle name="Normal 58 3 5" xfId="38460" xr:uid="{FD331B90-F008-4A39-8FD6-DC21A7DEECC4}"/>
    <cellStyle name="Normal 58 4" xfId="4423" xr:uid="{00000000-0005-0000-0000-000067110000}"/>
    <cellStyle name="Normal 58 4 2" xfId="9948" xr:uid="{00000000-0005-0000-0000-0000B71E0000}"/>
    <cellStyle name="Normal 58 4 2 2" xfId="42437" xr:uid="{E8FE96F6-363C-431F-9D2D-D0D3C4EA51B5}"/>
    <cellStyle name="Normal 58 4 3" xfId="6432" xr:uid="{00000000-0005-0000-0000-0000ED0D0000}"/>
    <cellStyle name="Normal 58 4 3 2" xfId="40212" xr:uid="{88122C5F-4187-462B-A6D0-AFF61049FDCE}"/>
    <cellStyle name="Normal 58 4 4" xfId="15899" xr:uid="{8505B3EF-0E83-4F53-A771-5E86EE9382CD}"/>
    <cellStyle name="Normal 58 4 5" xfId="38461" xr:uid="{312E5948-FCC5-4FCD-97B8-8CA0BA8BC8DB}"/>
    <cellStyle name="Normal 58 5" xfId="4424" xr:uid="{00000000-0005-0000-0000-000068110000}"/>
    <cellStyle name="Normal 58 5 2" xfId="9949" xr:uid="{00000000-0005-0000-0000-0000B81E0000}"/>
    <cellStyle name="Normal 58 5 2 2" xfId="42438" xr:uid="{871F4B29-EFE0-483F-8AB8-7FF291232575}"/>
    <cellStyle name="Normal 58 5 3" xfId="6437" xr:uid="{00000000-0005-0000-0000-0000EE0D0000}"/>
    <cellStyle name="Normal 58 5 3 2" xfId="40215" xr:uid="{B988F157-01FD-41F6-83EB-2FAE0C04574C}"/>
    <cellStyle name="Normal 58 5 4" xfId="15900" xr:uid="{F5A6D5C2-01F8-4091-9C72-FA40007DD126}"/>
    <cellStyle name="Normal 58 5 5" xfId="38462" xr:uid="{FD59C797-A77F-4AE1-8CB8-5D7C4851E59D}"/>
    <cellStyle name="Normal 58 6" xfId="4425" xr:uid="{00000000-0005-0000-0000-000069110000}"/>
    <cellStyle name="Normal 58 6 2" xfId="9950" xr:uid="{00000000-0005-0000-0000-0000B91E0000}"/>
    <cellStyle name="Normal 58 6 2 2" xfId="42439" xr:uid="{8F2D24CA-4CEC-4093-ADFB-485BBE5FC2F3}"/>
    <cellStyle name="Normal 58 6 3" xfId="6438" xr:uid="{00000000-0005-0000-0000-0000EF0D0000}"/>
    <cellStyle name="Normal 58 6 3 2" xfId="40216" xr:uid="{ED8E80B7-BFB9-4702-BD8A-1A7D7C75580C}"/>
    <cellStyle name="Normal 58 6 4" xfId="15901" xr:uid="{CC8F62BB-9CD8-4B24-B4E6-6FC6C24E6F17}"/>
    <cellStyle name="Normal 58 6 5" xfId="38463" xr:uid="{4F178942-A132-4615-97BE-A867230B2480}"/>
    <cellStyle name="Normal 58 7" xfId="4426" xr:uid="{00000000-0005-0000-0000-00006A110000}"/>
    <cellStyle name="Normal 58 7 2" xfId="9951" xr:uid="{00000000-0005-0000-0000-0000BA1E0000}"/>
    <cellStyle name="Normal 58 7 2 2" xfId="42440" xr:uid="{E01DE172-C267-48D1-9EC8-61232E606F07}"/>
    <cellStyle name="Normal 58 7 3" xfId="6451" xr:uid="{00000000-0005-0000-0000-0000F00D0000}"/>
    <cellStyle name="Normal 58 7 3 2" xfId="40220" xr:uid="{DAAD175B-6DE4-4A0A-9F58-97E5E66E5939}"/>
    <cellStyle name="Normal 58 7 4" xfId="15902" xr:uid="{0D7D2455-964F-480D-BAFD-7D00FA23DC43}"/>
    <cellStyle name="Normal 58 7 5" xfId="38464" xr:uid="{CD2CA822-AA1F-4A5A-8753-317AB9BA0333}"/>
    <cellStyle name="Normal 58 8" xfId="4427" xr:uid="{00000000-0005-0000-0000-00006B110000}"/>
    <cellStyle name="Normal 58 8 2" xfId="9952" xr:uid="{00000000-0005-0000-0000-0000BB1E0000}"/>
    <cellStyle name="Normal 58 8 2 2" xfId="42441" xr:uid="{58112151-2005-48EC-95EB-29D6F74FEEA9}"/>
    <cellStyle name="Normal 58 8 3" xfId="6452" xr:uid="{00000000-0005-0000-0000-0000F10D0000}"/>
    <cellStyle name="Normal 58 8 3 2" xfId="40221" xr:uid="{D037C450-8072-4FCD-93C0-9D2DB00E727E}"/>
    <cellStyle name="Normal 58 8 4" xfId="15903" xr:uid="{DD5933AE-4D55-4B57-906E-E78B503DA019}"/>
    <cellStyle name="Normal 58 8 5" xfId="38465" xr:uid="{0CCDC3A2-806C-4926-8E93-141DB1105D66}"/>
    <cellStyle name="Normal 58 9" xfId="9945" xr:uid="{00000000-0005-0000-0000-0000B41E0000}"/>
    <cellStyle name="Normal 58 9 2" xfId="42434" xr:uid="{79133E63-BA15-47B9-B7C0-6DDAD0050483}"/>
    <cellStyle name="Normal 59" xfId="4428" xr:uid="{00000000-0005-0000-0000-00006C110000}"/>
    <cellStyle name="Normal 59 10" xfId="6453" xr:uid="{00000000-0005-0000-0000-0000F20D0000}"/>
    <cellStyle name="Normal 59 11" xfId="38466" xr:uid="{0717BEB7-64C5-4E10-BA69-73BD833A9308}"/>
    <cellStyle name="Normal 59 2" xfId="4429" xr:uid="{00000000-0005-0000-0000-00006D110000}"/>
    <cellStyle name="Normal 59 2 2" xfId="9954" xr:uid="{00000000-0005-0000-0000-0000BD1E0000}"/>
    <cellStyle name="Normal 59 2 2 2" xfId="42443" xr:uid="{B2304A9E-0EA0-4A15-8C72-B61DC04F709D}"/>
    <cellStyle name="Normal 59 2 3" xfId="6454" xr:uid="{00000000-0005-0000-0000-0000F30D0000}"/>
    <cellStyle name="Normal 59 2 3 2" xfId="40222" xr:uid="{A9C57274-2B40-40E7-B6FC-203825089759}"/>
    <cellStyle name="Normal 59 2 4" xfId="15904" xr:uid="{9C429BCC-C3DC-4323-BEA3-1C8503EFC0D1}"/>
    <cellStyle name="Normal 59 2 5" xfId="38467" xr:uid="{E5987E68-40EA-403A-9D61-97C05FBE6FF8}"/>
    <cellStyle name="Normal 59 3" xfId="4430" xr:uid="{00000000-0005-0000-0000-00006E110000}"/>
    <cellStyle name="Normal 59 3 2" xfId="9955" xr:uid="{00000000-0005-0000-0000-0000BE1E0000}"/>
    <cellStyle name="Normal 59 3 2 2" xfId="42444" xr:uid="{96013A7A-DA6E-4FB2-A457-9A05788C9AD4}"/>
    <cellStyle name="Normal 59 3 3" xfId="6455" xr:uid="{00000000-0005-0000-0000-0000F40D0000}"/>
    <cellStyle name="Normal 59 3 3 2" xfId="40223" xr:uid="{B6BE2FB2-E6F0-40F1-BA72-077844BD8046}"/>
    <cellStyle name="Normal 59 3 4" xfId="15905" xr:uid="{411A894F-2B3A-4FDF-B750-7B7FD53EBB4D}"/>
    <cellStyle name="Normal 59 3 5" xfId="38468" xr:uid="{C805220C-DCB1-4E5D-9C20-E71B231D7D3A}"/>
    <cellStyle name="Normal 59 4" xfId="4431" xr:uid="{00000000-0005-0000-0000-00006F110000}"/>
    <cellStyle name="Normal 59 4 2" xfId="9956" xr:uid="{00000000-0005-0000-0000-0000BF1E0000}"/>
    <cellStyle name="Normal 59 4 2 2" xfId="42445" xr:uid="{E8D0CC13-82F4-47C5-93AC-2B70068B23D3}"/>
    <cellStyle name="Normal 59 4 3" xfId="6456" xr:uid="{00000000-0005-0000-0000-0000F50D0000}"/>
    <cellStyle name="Normal 59 4 3 2" xfId="40224" xr:uid="{CE111D52-D40A-4839-BE81-E060C498A124}"/>
    <cellStyle name="Normal 59 4 4" xfId="15906" xr:uid="{50842716-20A5-4C8A-9AA0-013A8B9EC2E0}"/>
    <cellStyle name="Normal 59 4 5" xfId="38469" xr:uid="{5AB28FEB-2026-47B7-91F2-F3A5CBA98F84}"/>
    <cellStyle name="Normal 59 5" xfId="4432" xr:uid="{00000000-0005-0000-0000-000070110000}"/>
    <cellStyle name="Normal 59 5 2" xfId="9957" xr:uid="{00000000-0005-0000-0000-0000C01E0000}"/>
    <cellStyle name="Normal 59 5 2 2" xfId="42446" xr:uid="{0E6CFEF0-C7EC-4A9C-9222-A53062FB71C2}"/>
    <cellStyle name="Normal 59 5 3" xfId="6457" xr:uid="{00000000-0005-0000-0000-0000F60D0000}"/>
    <cellStyle name="Normal 59 5 3 2" xfId="40225" xr:uid="{44FFD862-3F92-45A6-AA02-C7F8BB8998E1}"/>
    <cellStyle name="Normal 59 5 4" xfId="15907" xr:uid="{D10B3F91-4CBD-4B74-B5F0-3C7AD4C22F40}"/>
    <cellStyle name="Normal 59 5 5" xfId="38470" xr:uid="{2E02FB76-77C0-454D-B4D6-923F49DA099F}"/>
    <cellStyle name="Normal 59 6" xfId="4433" xr:uid="{00000000-0005-0000-0000-000071110000}"/>
    <cellStyle name="Normal 59 6 2" xfId="9958" xr:uid="{00000000-0005-0000-0000-0000C11E0000}"/>
    <cellStyle name="Normal 59 6 2 2" xfId="42447" xr:uid="{E7CE4A4D-CE34-415C-8BAC-3111A29CFD7F}"/>
    <cellStyle name="Normal 59 6 3" xfId="6458" xr:uid="{00000000-0005-0000-0000-0000F70D0000}"/>
    <cellStyle name="Normal 59 6 3 2" xfId="40226" xr:uid="{D666C05A-C5FD-4611-879B-F31AD0C1EF86}"/>
    <cellStyle name="Normal 59 6 4" xfId="15908" xr:uid="{29ED6875-3001-402A-B38A-D815D48DD9B6}"/>
    <cellStyle name="Normal 59 6 5" xfId="38471" xr:uid="{DAD1670A-2356-448E-BAB7-6DA3E7DE40F8}"/>
    <cellStyle name="Normal 59 7" xfId="4434" xr:uid="{00000000-0005-0000-0000-000072110000}"/>
    <cellStyle name="Normal 59 7 2" xfId="9959" xr:uid="{00000000-0005-0000-0000-0000C21E0000}"/>
    <cellStyle name="Normal 59 7 2 2" xfId="42448" xr:uid="{DAD546F6-7615-4899-B911-1C3530B4269A}"/>
    <cellStyle name="Normal 59 7 3" xfId="6463" xr:uid="{00000000-0005-0000-0000-0000F80D0000}"/>
    <cellStyle name="Normal 59 7 3 2" xfId="40229" xr:uid="{00AFE74F-6591-4376-8762-AF25D4C93DCB}"/>
    <cellStyle name="Normal 59 7 4" xfId="15909" xr:uid="{EAF17522-024E-4ED7-8756-D76E668E67A2}"/>
    <cellStyle name="Normal 59 7 5" xfId="38472" xr:uid="{45732C67-4E65-4412-B286-376BE6D8F69B}"/>
    <cellStyle name="Normal 59 8" xfId="4435" xr:uid="{00000000-0005-0000-0000-000073110000}"/>
    <cellStyle name="Normal 59 8 2" xfId="9960" xr:uid="{00000000-0005-0000-0000-0000C31E0000}"/>
    <cellStyle name="Normal 59 8 2 2" xfId="42449" xr:uid="{7604E4A6-F9ED-4A22-B2BB-0FE53D293AFD}"/>
    <cellStyle name="Normal 59 8 3" xfId="6464" xr:uid="{00000000-0005-0000-0000-0000F90D0000}"/>
    <cellStyle name="Normal 59 8 3 2" xfId="40230" xr:uid="{1ADE5746-0DB5-4418-B0CB-DB2A66692AE3}"/>
    <cellStyle name="Normal 59 8 4" xfId="15910" xr:uid="{8E221D71-8F2E-4564-B7F0-7B46081635C1}"/>
    <cellStyle name="Normal 59 8 5" xfId="38473" xr:uid="{0E516DED-42C4-4CB3-A793-E9A0EC5EC4DD}"/>
    <cellStyle name="Normal 59 9" xfId="9953" xr:uid="{00000000-0005-0000-0000-0000BC1E0000}"/>
    <cellStyle name="Normal 59 9 2" xfId="42442" xr:uid="{59618453-7D0A-4E2A-AF48-CA2BE9506CA4}"/>
    <cellStyle name="Normal 6" xfId="4436" xr:uid="{00000000-0005-0000-0000-000074110000}"/>
    <cellStyle name="Normal-- 6" xfId="4437" xr:uid="{00000000-0005-0000-0000-000075110000}"/>
    <cellStyle name="Normal 6 10" xfId="4438" xr:uid="{00000000-0005-0000-0000-000076110000}"/>
    <cellStyle name="Normal-- 6 10" xfId="8422" xr:uid="{00000000-0005-0000-0000-0000E6230000}"/>
    <cellStyle name="Normal 6 10 10" xfId="12420" xr:uid="{00000000-0005-0000-0000-000084250000}"/>
    <cellStyle name="Normal 6 10 10 2" xfId="44896" xr:uid="{21984457-48B0-4124-BFC0-309633997DA1}"/>
    <cellStyle name="Normal 6 10 11" xfId="8521" xr:uid="{00000000-0005-0000-0000-0000CF250000}"/>
    <cellStyle name="Normal 6 10 11 2" xfId="41268" xr:uid="{A11869BC-CE5A-4D20-98A1-A442C335B7D0}"/>
    <cellStyle name="Normal 6 10 12" xfId="12459" xr:uid="{00000000-0005-0000-0000-00001E260000}"/>
    <cellStyle name="Normal 6 10 12 2" xfId="44933" xr:uid="{A6627C35-9BD8-4192-8B47-2DC6365B69C6}"/>
    <cellStyle name="Normal 6 10 13" xfId="8554" xr:uid="{00000000-0005-0000-0000-000071260000}"/>
    <cellStyle name="Normal 6 10 13 2" xfId="41291" xr:uid="{FC70D57E-C816-4615-9259-E4824EDF9AF6}"/>
    <cellStyle name="Normal 6 10 14" xfId="12498" xr:uid="{00000000-0005-0000-0000-0000C8260000}"/>
    <cellStyle name="Normal 6 10 14 2" xfId="44972" xr:uid="{0BF40592-A485-4B15-9B8E-D3315FFF334B}"/>
    <cellStyle name="Normal 6 10 15" xfId="8600" xr:uid="{00000000-0005-0000-0000-000023270000}"/>
    <cellStyle name="Normal 6 10 15 2" xfId="41327" xr:uid="{4A9AF174-F93B-47B7-B50E-EE2EB84C2F06}"/>
    <cellStyle name="Normal 6 10 16" xfId="12544" xr:uid="{00000000-0005-0000-0000-000082270000}"/>
    <cellStyle name="Normal 6 10 16 2" xfId="45015" xr:uid="{4333D6F4-62EB-476F-9E20-55FAEA823BA3}"/>
    <cellStyle name="Normal 6 10 17" xfId="6468" xr:uid="{00000000-0005-0000-0000-0000FC0D0000}"/>
    <cellStyle name="Normal 6 10 18" xfId="13137" xr:uid="{00000000-0005-0000-0000-0000A5300000}"/>
    <cellStyle name="Normal 6 10 18 2" xfId="45601" xr:uid="{F2424100-6D5D-4A59-BFE7-4384FA0A8551}"/>
    <cellStyle name="Normal 6 10 19" xfId="11498" xr:uid="{00000000-0005-0000-0000-000010310000}"/>
    <cellStyle name="Normal 6 10 19 2" xfId="43986" xr:uid="{AEE22F14-DC10-4236-BC51-2344B5071FED}"/>
    <cellStyle name="Normal 6 10 2" xfId="4439" xr:uid="{00000000-0005-0000-0000-000077110000}"/>
    <cellStyle name="Normal-- 6 10 2" xfId="41192" xr:uid="{D21489E5-2851-4D1E-A926-67CA326F3101}"/>
    <cellStyle name="Normal 6 10 2 10" xfId="14913" xr:uid="{59D14244-2F6A-4E36-8D41-562FA8FC742D}"/>
    <cellStyle name="Normal 6 10 2 11" xfId="15130" xr:uid="{4CC3544C-9FFC-4085-876C-AED71D178895}"/>
    <cellStyle name="Normal 6 10 2 2" xfId="9964" xr:uid="{00000000-0005-0000-0000-0000C71E0000}"/>
    <cellStyle name="Normal 6 10 2 2 2" xfId="42453" xr:uid="{C8ACE05C-0C80-48B4-9374-62A71C8F3ED1}"/>
    <cellStyle name="Normal 6 10 2 3" xfId="6469" xr:uid="{00000000-0005-0000-0000-0000FD0D0000}"/>
    <cellStyle name="Normal 6 10 2 4" xfId="38477" xr:uid="{0FBAD7C3-1EF5-4886-A757-CB169EAFD08B}"/>
    <cellStyle name="Normal 6 10 2 5" xfId="40454" xr:uid="{9F49BE52-C8A9-4203-ACD9-1ED648F0C669}"/>
    <cellStyle name="Normal 6 10 2 6" xfId="48669" xr:uid="{28653551-D4A4-4CAA-873E-32426F0A8583}"/>
    <cellStyle name="Normal 6 10 2 7" xfId="48391" xr:uid="{0AC5EE22-1D7F-49C4-A9C7-F3B61B701904}"/>
    <cellStyle name="Normal 6 10 2 8" xfId="48137" xr:uid="{9C44BD19-293D-4E89-A656-392F58A46A78}"/>
    <cellStyle name="Normal 6 10 2 9" xfId="47725" xr:uid="{7BDFB5B0-DD4D-4682-91D7-4E434946E506}"/>
    <cellStyle name="Normal 6 10 20" xfId="13149" xr:uid="{00000000-0005-0000-0000-00007F310000}"/>
    <cellStyle name="Normal 6 10 20 2" xfId="45613" xr:uid="{1CAF3BAF-C720-4B5A-A3D9-A70BB778F424}"/>
    <cellStyle name="Normal 6 10 21" xfId="11484" xr:uid="{00000000-0005-0000-0000-0000F2310000}"/>
    <cellStyle name="Normal 6 10 21 2" xfId="43972" xr:uid="{7B0779FD-6F72-4DF7-876E-F54B374CF7CB}"/>
    <cellStyle name="Normal 6 10 22" xfId="13170" xr:uid="{00000000-0005-0000-0000-000069320000}"/>
    <cellStyle name="Normal 6 10 22 2" xfId="45634" xr:uid="{17F5143E-4EE1-4518-BB23-268E7A3F22A1}"/>
    <cellStyle name="Normal 6 10 23" xfId="11461" xr:uid="{00000000-0005-0000-0000-0000E4320000}"/>
    <cellStyle name="Normal 6 10 23 2" xfId="43949" xr:uid="{39640295-5FEA-4625-AB20-E73533DCDEFE}"/>
    <cellStyle name="Normal 6 10 24" xfId="13198" xr:uid="{00000000-0005-0000-0000-000063330000}"/>
    <cellStyle name="Normal 6 10 24 2" xfId="45662" xr:uid="{C36D83D9-1370-4016-A99B-D33E4734C2C7}"/>
    <cellStyle name="Normal 6 10 25" xfId="11433" xr:uid="{00000000-0005-0000-0000-0000E6330000}"/>
    <cellStyle name="Normal 6 10 25 2" xfId="43921" xr:uid="{2647CA36-F85A-45E1-BBFA-EB76A2F7B661}"/>
    <cellStyle name="Normal 6 10 26" xfId="13229" xr:uid="{00000000-0005-0000-0000-00006D340000}"/>
    <cellStyle name="Normal 6 10 26 2" xfId="45693" xr:uid="{10D7D33F-25FD-4C15-88E8-877533C89707}"/>
    <cellStyle name="Normal 6 10 27" xfId="11407" xr:uid="{00000000-0005-0000-0000-0000F8340000}"/>
    <cellStyle name="Normal 6 10 27 2" xfId="43895" xr:uid="{706AAA8F-0693-4A39-A39C-5179777D1EA2}"/>
    <cellStyle name="Normal 6 10 28" xfId="15913" xr:uid="{6B1508C8-AC01-4495-90B9-34797D13BD78}"/>
    <cellStyle name="Normal 6 10 29" xfId="38476" xr:uid="{4DFF60A1-AFE2-41B5-855E-168BE9406B38}"/>
    <cellStyle name="Normal 6 10 3" xfId="9963" xr:uid="{00000000-0005-0000-0000-0000C61E0000}"/>
    <cellStyle name="Normal-- 6 10 3" xfId="46844" xr:uid="{DC1F1F27-3707-47FC-A230-1F5E97F0C0B6}"/>
    <cellStyle name="Normal 6 10 3 2" xfId="18143" xr:uid="{EA0C67B2-8D0B-431E-80B0-F6EA08E5C4FA}"/>
    <cellStyle name="Normal 6 10 3 3" xfId="42452" xr:uid="{758DCE6B-A57F-4B8A-A2B3-8EC6DF52F3D3}"/>
    <cellStyle name="Normal 6 10 3 4" xfId="46408" xr:uid="{39766CB9-8CEA-4506-820E-5F183636A29C}"/>
    <cellStyle name="Normal 6 10 3 5" xfId="46809" xr:uid="{3540712A-3471-404B-BDA8-44A35A3EA66C}"/>
    <cellStyle name="Normal 6 10 3 6" xfId="48224" xr:uid="{A2A239A6-C53B-4D7C-8628-0F905A13001B}"/>
    <cellStyle name="Normal 6 10 3 7" xfId="47340" xr:uid="{B4124BA1-62D9-4E3A-A5F1-60D7DC98DED8}"/>
    <cellStyle name="Normal 6 10 3 8" xfId="48830" xr:uid="{314480AC-DD98-4956-9AD7-54F49C4147E7}"/>
    <cellStyle name="Normal 6 10 3 9" xfId="37648" xr:uid="{5BE1B26C-CBAE-43FC-95A4-AA4F7624E0B0}"/>
    <cellStyle name="Normal 6 10 30" xfId="15259" xr:uid="{BD6ED985-388F-43B3-9AE7-453F806E0228}"/>
    <cellStyle name="Normal 6 10 31" xfId="48550" xr:uid="{F5E0CF29-F18C-461D-BECE-D86F76909F93}"/>
    <cellStyle name="Normal 6 10 32" xfId="46940" xr:uid="{32967600-E0C1-42F1-A9CB-877FE251B83A}"/>
    <cellStyle name="Normal 6 10 33" xfId="46658" xr:uid="{C255B25D-2B03-49DA-A7ED-D88B6309FB24}"/>
    <cellStyle name="Normal 6 10 34" xfId="44983" xr:uid="{52A111D1-76C6-467D-84B9-D849F47B06E7}"/>
    <cellStyle name="Normal 6 10 35" xfId="15369" xr:uid="{625381C5-1683-4504-A19C-64DDB9D18D2D}"/>
    <cellStyle name="Normal 6 10 36" xfId="48254" xr:uid="{1BAA7CB9-82F3-4A90-824D-DB97C5BBC9DF}"/>
    <cellStyle name="Normal 6 10 4" xfId="12353" xr:uid="{00000000-0005-0000-0000-000016240000}"/>
    <cellStyle name="Normal-- 6 10 4" xfId="48069" xr:uid="{888158F2-76C4-4091-830B-7CBC97A84A88}"/>
    <cellStyle name="Normal 6 10 4 2" xfId="44834" xr:uid="{5FCD0B1D-92C8-45A4-9FBF-A9F56FC72BDE}"/>
    <cellStyle name="Normal 6 10 4 3" xfId="15184" xr:uid="{0E874AD6-C3E0-4BC8-9884-28CA4D23AC81}"/>
    <cellStyle name="Normal 6 10 4 4" xfId="48718" xr:uid="{A3A54A77-1C1E-4CF7-B401-7C15C54C5247}"/>
    <cellStyle name="Normal 6 10 4 5" xfId="40663" xr:uid="{683ED552-E365-4038-A48C-328251272C2F}"/>
    <cellStyle name="Normal 6 10 4 6" xfId="40403" xr:uid="{E5DAD75D-1BE2-4DAA-B7C5-DC6AA355B955}"/>
    <cellStyle name="Normal 6 10 4 7" xfId="40408" xr:uid="{3A00671D-5F1C-4CC1-A190-4127A66023AE}"/>
    <cellStyle name="Normal 6 10 5" xfId="8440" xr:uid="{00000000-0005-0000-0000-000049240000}"/>
    <cellStyle name="Normal-- 6 10 5" xfId="40746" xr:uid="{A73C32F3-4D83-49A5-9302-6C66C931D453}"/>
    <cellStyle name="Normal 6 10 5 2" xfId="41210" xr:uid="{3C8248C4-E8D5-46F4-AD7C-7C30A59CF69C}"/>
    <cellStyle name="Normal 6 10 5 3" xfId="47755" xr:uid="{B54C22FE-FFD5-4C38-A42D-917E449EC737}"/>
    <cellStyle name="Normal 6 10 5 4" xfId="48173" xr:uid="{920B4543-B570-485B-ABBD-75DE6D04948C}"/>
    <cellStyle name="Normal 6 10 5 5" xfId="46674" xr:uid="{7D5C81B5-D117-404E-9607-9337FCDFD266}"/>
    <cellStyle name="Normal 6 10 5 6" xfId="49382" xr:uid="{B2F3AC3C-6291-4488-968A-FAC87BBAF7D5}"/>
    <cellStyle name="Normal 6 10 6" xfId="12373" xr:uid="{00000000-0005-0000-0000-000080240000}"/>
    <cellStyle name="Normal-- 6 10 6" xfId="47077" xr:uid="{AC0323DD-046A-4D06-B902-86C5321D7290}"/>
    <cellStyle name="Normal 6 10 6 2" xfId="44854" xr:uid="{D8B90BF2-CF6B-4C23-8984-E9203716F07B}"/>
    <cellStyle name="Normal 6 10 6 3" xfId="15000" xr:uid="{D7AD2E64-C529-4478-8D0D-68616A2F1E65}"/>
    <cellStyle name="Normal 6 10 6 4" xfId="48467" xr:uid="{4495F7F6-85EC-40B0-95DB-958AD8E2A140}"/>
    <cellStyle name="Normal 6 10 6 5" xfId="46470" xr:uid="{66D54E55-8AC2-439B-84FB-5574985AB4B5}"/>
    <cellStyle name="Normal 6 10 7" xfId="8462" xr:uid="{00000000-0005-0000-0000-0000BB240000}"/>
    <cellStyle name="Normal-- 6 10 7" xfId="46604" xr:uid="{5FB09CB6-463A-4F8F-884A-EFCB67AA9326}"/>
    <cellStyle name="Normal 6 10 7 2" xfId="41231" xr:uid="{49BD79A7-F726-48F5-AF96-815760C54635}"/>
    <cellStyle name="Normal 6 10 7 3" xfId="15400" xr:uid="{04E90840-F365-45D9-A8D4-5D0E3A63673A}"/>
    <cellStyle name="Normal 6 10 7 4" xfId="48080" xr:uid="{2B440F25-5167-4F44-A320-C57D9CFC0910}"/>
    <cellStyle name="Normal 6 10 8" xfId="12395" xr:uid="{00000000-0005-0000-0000-0000FA240000}"/>
    <cellStyle name="Normal-- 6 10 8" xfId="37788" xr:uid="{EE950894-F031-40CC-9CDB-32936AE2E1F1}"/>
    <cellStyle name="Normal 6 10 8 2" xfId="44875" xr:uid="{B178D77D-BCD0-4A39-AE8A-E8C90FCFA5F2}"/>
    <cellStyle name="Normal 6 10 8 3" xfId="49940" xr:uid="{AA7143F3-8FB3-4AA2-B375-4140E66B3551}"/>
    <cellStyle name="Normal 6 10 9" xfId="8487" xr:uid="{00000000-0005-0000-0000-00003D250000}"/>
    <cellStyle name="Normal-- 6 10 9" xfId="47175" xr:uid="{FDA1AD0F-628C-42B7-BFCF-34685785641C}"/>
    <cellStyle name="Normal 6 10 9 2" xfId="41244" xr:uid="{ABFBA946-D191-4768-A78A-9EDF66A9953C}"/>
    <cellStyle name="Normal 6 100" xfId="4440" xr:uid="{00000000-0005-0000-0000-000078110000}"/>
    <cellStyle name="Normal 6 100 2" xfId="9965" xr:uid="{00000000-0005-0000-0000-0000C81E0000}"/>
    <cellStyle name="Normal 6 100 2 2" xfId="42454" xr:uid="{C7BD1BBD-020B-4E90-ADAF-7A180C693B7B}"/>
    <cellStyle name="Normal 6 100 3" xfId="6473" xr:uid="{00000000-0005-0000-0000-0000FE0D0000}"/>
    <cellStyle name="Normal 6 100 4" xfId="38478" xr:uid="{BB5B3D4E-FB44-4F97-BD9C-0CF93C5CC6D8}"/>
    <cellStyle name="Normal 6 101" xfId="4441" xr:uid="{00000000-0005-0000-0000-000079110000}"/>
    <cellStyle name="Normal 6 101 2" xfId="9966" xr:uid="{00000000-0005-0000-0000-0000C91E0000}"/>
    <cellStyle name="Normal 6 101 2 2" xfId="42455" xr:uid="{A6A9873F-C6A9-4B40-9FEF-AE116B3B50E2}"/>
    <cellStyle name="Normal 6 101 3" xfId="6474" xr:uid="{00000000-0005-0000-0000-0000FF0D0000}"/>
    <cellStyle name="Normal 6 101 4" xfId="38479" xr:uid="{C5115B35-19ED-4A65-A130-FBDD4BB691E0}"/>
    <cellStyle name="Normal 6 102" xfId="4442" xr:uid="{00000000-0005-0000-0000-00007A110000}"/>
    <cellStyle name="Normal 6 102 2" xfId="9967" xr:uid="{00000000-0005-0000-0000-0000CA1E0000}"/>
    <cellStyle name="Normal 6 102 2 2" xfId="42456" xr:uid="{399E4C53-F629-400E-8941-DB999B36F378}"/>
    <cellStyle name="Normal 6 102 3" xfId="6475" xr:uid="{00000000-0005-0000-0000-0000000E0000}"/>
    <cellStyle name="Normal 6 102 4" xfId="38480" xr:uid="{47FCE750-693F-4995-A806-B81AADD90AA8}"/>
    <cellStyle name="Normal 6 103" xfId="4443" xr:uid="{00000000-0005-0000-0000-00007B110000}"/>
    <cellStyle name="Normal 6 103 2" xfId="9968" xr:uid="{00000000-0005-0000-0000-0000CB1E0000}"/>
    <cellStyle name="Normal 6 103 2 2" xfId="42457" xr:uid="{15567BB9-1A3C-4EEA-8880-02010D867943}"/>
    <cellStyle name="Normal 6 103 3" xfId="6476" xr:uid="{00000000-0005-0000-0000-0000010E0000}"/>
    <cellStyle name="Normal 6 103 4" xfId="38481" xr:uid="{324284D3-EE24-4045-8718-D25DCED623EF}"/>
    <cellStyle name="Normal 6 104" xfId="4444" xr:uid="{00000000-0005-0000-0000-00007C110000}"/>
    <cellStyle name="Normal 6 104 2" xfId="9969" xr:uid="{00000000-0005-0000-0000-0000CC1E0000}"/>
    <cellStyle name="Normal 6 104 2 2" xfId="42458" xr:uid="{2CD86E30-3612-4C56-996B-86F230177A40}"/>
    <cellStyle name="Normal 6 104 3" xfId="6477" xr:uid="{00000000-0005-0000-0000-0000020E0000}"/>
    <cellStyle name="Normal 6 104 4" xfId="38482" xr:uid="{9CC2ED2F-AAB2-4863-B374-13EA1FE8043F}"/>
    <cellStyle name="Normal 6 105" xfId="4445" xr:uid="{00000000-0005-0000-0000-00007D110000}"/>
    <cellStyle name="Normal 6 105 2" xfId="9970" xr:uid="{00000000-0005-0000-0000-0000CD1E0000}"/>
    <cellStyle name="Normal 6 105 2 2" xfId="42459" xr:uid="{BDA09BF3-8E11-43DA-B834-A468F1671809}"/>
    <cellStyle name="Normal 6 105 3" xfId="6478" xr:uid="{00000000-0005-0000-0000-0000030E0000}"/>
    <cellStyle name="Normal 6 105 4" xfId="38483" xr:uid="{1C2CE1F5-015A-4191-AD0C-BCBFFC625C22}"/>
    <cellStyle name="Normal 6 106" xfId="4446" xr:uid="{00000000-0005-0000-0000-00007E110000}"/>
    <cellStyle name="Normal 6 106 2" xfId="9971" xr:uid="{00000000-0005-0000-0000-0000CE1E0000}"/>
    <cellStyle name="Normal 6 106 2 2" xfId="42460" xr:uid="{BCCAA48B-A534-4F2E-B2DA-27BB138E0072}"/>
    <cellStyle name="Normal 6 106 3" xfId="6479" xr:uid="{00000000-0005-0000-0000-0000040E0000}"/>
    <cellStyle name="Normal 6 106 4" xfId="38484" xr:uid="{EED53FB9-4FDC-4604-A14B-6173A1CE02D1}"/>
    <cellStyle name="Normal 6 107" xfId="4447" xr:uid="{00000000-0005-0000-0000-00007F110000}"/>
    <cellStyle name="Normal 6 107 2" xfId="9972" xr:uid="{00000000-0005-0000-0000-0000CF1E0000}"/>
    <cellStyle name="Normal 6 107 2 2" xfId="42461" xr:uid="{EE011AA7-68BC-4998-B296-C9F8CE5AFC66}"/>
    <cellStyle name="Normal 6 107 3" xfId="6483" xr:uid="{00000000-0005-0000-0000-0000050E0000}"/>
    <cellStyle name="Normal 6 107 4" xfId="38485" xr:uid="{A2DED2D6-1A8C-4519-80B7-824DDEDFBF63}"/>
    <cellStyle name="Normal 6 108" xfId="4448" xr:uid="{00000000-0005-0000-0000-000080110000}"/>
    <cellStyle name="Normal 6 108 2" xfId="9973" xr:uid="{00000000-0005-0000-0000-0000D01E0000}"/>
    <cellStyle name="Normal 6 108 2 2" xfId="42462" xr:uid="{6076D6E6-B8E1-46A4-B123-2A7FF5191EC0}"/>
    <cellStyle name="Normal 6 108 3" xfId="6484" xr:uid="{00000000-0005-0000-0000-0000060E0000}"/>
    <cellStyle name="Normal 6 108 4" xfId="38486" xr:uid="{068E08DA-78E3-42C7-AFC0-0C8ED590C9FB}"/>
    <cellStyle name="Normal 6 109" xfId="4449" xr:uid="{00000000-0005-0000-0000-000081110000}"/>
    <cellStyle name="Normal 6 109 2" xfId="4450" xr:uid="{00000000-0005-0000-0000-000082110000}"/>
    <cellStyle name="Normal 6 109 2 2" xfId="9975" xr:uid="{00000000-0005-0000-0000-0000D21E0000}"/>
    <cellStyle name="Normal 6 109 2 2 2" xfId="42464" xr:uid="{C6AFF77C-AB96-44EC-9E9F-A3E41180858F}"/>
    <cellStyle name="Normal 6 109 2 3" xfId="17302" xr:uid="{8044A4EF-37FD-428D-B9B1-4E96EFA4BD48}"/>
    <cellStyle name="Normal 6 109 2 4" xfId="38488" xr:uid="{E6D6C356-D407-4C6A-B2B9-58454FAA9375}"/>
    <cellStyle name="Normal 6 109 3" xfId="9974" xr:uid="{00000000-0005-0000-0000-0000D11E0000}"/>
    <cellStyle name="Normal 6 109 3 2" xfId="18144" xr:uid="{68F689D2-D05D-4453-9BBB-93728801FEFB}"/>
    <cellStyle name="Normal 6 109 3 3" xfId="42463" xr:uid="{4D00DCBE-DBA0-49DF-85AB-056901414B3C}"/>
    <cellStyle name="Normal 6 109 4" xfId="6485" xr:uid="{00000000-0005-0000-0000-0000070E0000}"/>
    <cellStyle name="Normal 6 109 5" xfId="15920" xr:uid="{4228B56E-8E35-4C99-A59B-E7B3E0EE3750}"/>
    <cellStyle name="Normal 6 109 6" xfId="38487" xr:uid="{E0E59280-0E51-4B11-9D37-79FBD74597C1}"/>
    <cellStyle name="Normal 6 11" xfId="4451" xr:uid="{00000000-0005-0000-0000-000083110000}"/>
    <cellStyle name="Normal-- 6 11" xfId="12352" xr:uid="{00000000-0005-0000-0000-000015240000}"/>
    <cellStyle name="Normal 6 11 10" xfId="8542" xr:uid="{00000000-0005-0000-0000-0000D0250000}"/>
    <cellStyle name="Normal 6 11 10 2" xfId="41284" xr:uid="{12BD7487-496B-4047-91B1-6322712D87A4}"/>
    <cellStyle name="Normal 6 11 11" xfId="12481" xr:uid="{00000000-0005-0000-0000-00001F260000}"/>
    <cellStyle name="Normal 6 11 11 2" xfId="44955" xr:uid="{80F27653-C1D7-479B-9DB2-08D482B43CD1}"/>
    <cellStyle name="Normal 6 11 12" xfId="8578" xr:uid="{00000000-0005-0000-0000-000072260000}"/>
    <cellStyle name="Normal 6 11 12 2" xfId="41311" xr:uid="{B7EF27C4-3DF7-4948-9D0D-CCFB3072F0AC}"/>
    <cellStyle name="Normal 6 11 13" xfId="12522" xr:uid="{00000000-0005-0000-0000-0000C9260000}"/>
    <cellStyle name="Normal 6 11 13 2" xfId="44995" xr:uid="{BFBDDEA9-674A-4226-8F5B-C67963276097}"/>
    <cellStyle name="Normal 6 11 14" xfId="8633" xr:uid="{00000000-0005-0000-0000-000024270000}"/>
    <cellStyle name="Normal 6 11 14 2" xfId="41350" xr:uid="{AC2976D6-796F-4620-BB25-2C09A8F0711C}"/>
    <cellStyle name="Normal 6 11 15" xfId="12569" xr:uid="{00000000-0005-0000-0000-000083270000}"/>
    <cellStyle name="Normal 6 11 15 2" xfId="45040" xr:uid="{5A275682-E79B-4B2A-AE23-15F0EFE2D0DB}"/>
    <cellStyle name="Normal 6 11 16" xfId="6486" xr:uid="{00000000-0005-0000-0000-0000080E0000}"/>
    <cellStyle name="Normal 6 11 17" xfId="13139" xr:uid="{00000000-0005-0000-0000-0000A6300000}"/>
    <cellStyle name="Normal 6 11 17 2" xfId="45603" xr:uid="{5CC6F845-4FBA-44FE-AD9A-AC2151BB87A5}"/>
    <cellStyle name="Normal 6 11 18" xfId="11496" xr:uid="{00000000-0005-0000-0000-000011310000}"/>
    <cellStyle name="Normal 6 11 18 2" xfId="43984" xr:uid="{7693CB2B-FB2C-4C65-A058-CA693FD34BF1}"/>
    <cellStyle name="Normal 6 11 19" xfId="13155" xr:uid="{00000000-0005-0000-0000-000080310000}"/>
    <cellStyle name="Normal 6 11 19 2" xfId="45619" xr:uid="{917EF3BF-2421-44ED-8CBA-D9474CD19FE2}"/>
    <cellStyle name="Normal 6 11 2" xfId="4452" xr:uid="{00000000-0005-0000-0000-000084110000}"/>
    <cellStyle name="Normal-- 6 11 2" xfId="44833" xr:uid="{FF8F6830-9175-4225-8EE4-266836A3495A}"/>
    <cellStyle name="Normal 6 11 2 10" xfId="15538" xr:uid="{3F386D3D-9CC7-45EF-8582-F4614D5048D1}"/>
    <cellStyle name="Normal 6 11 2 11" xfId="46154" xr:uid="{EA90356E-A0DD-4346-AC31-CB994BD80DFF}"/>
    <cellStyle name="Normal 6 11 2 2" xfId="9977" xr:uid="{00000000-0005-0000-0000-0000D41E0000}"/>
    <cellStyle name="Normal 6 11 2 2 2" xfId="42466" xr:uid="{500270AA-F1BE-4766-BA19-8A9789456C3B}"/>
    <cellStyle name="Normal 6 11 2 3" xfId="6487" xr:uid="{00000000-0005-0000-0000-0000090E0000}"/>
    <cellStyle name="Normal 6 11 2 4" xfId="38490" xr:uid="{6AEC15C2-FBC7-40D4-9981-DD02862F569B}"/>
    <cellStyle name="Normal 6 11 2 5" xfId="40451" xr:uid="{38D41908-2233-4E79-AB15-F1AD9EE35B3A}"/>
    <cellStyle name="Normal 6 11 2 6" xfId="48666" xr:uid="{A6F54084-3A24-45C6-A458-D923CF944062}"/>
    <cellStyle name="Normal 6 11 2 7" xfId="46390" xr:uid="{E0E6A0B1-40F3-466A-994B-425E59C6A905}"/>
    <cellStyle name="Normal 6 11 2 8" xfId="47476" xr:uid="{4EC6FEF8-942A-45D9-AA3D-3B9A868FC0C9}"/>
    <cellStyle name="Normal 6 11 2 9" xfId="37847" xr:uid="{C464F0C8-958B-4D3F-97DA-F98871691BDF}"/>
    <cellStyle name="Normal 6 11 20" xfId="11479" xr:uid="{00000000-0005-0000-0000-0000F3310000}"/>
    <cellStyle name="Normal 6 11 20 2" xfId="43967" xr:uid="{CAF0BD32-1123-4C33-A0D3-2E05E1F81BA3}"/>
    <cellStyle name="Normal 6 11 21" xfId="13176" xr:uid="{00000000-0005-0000-0000-00006A320000}"/>
    <cellStyle name="Normal 6 11 21 2" xfId="45640" xr:uid="{479E68E5-A6A5-4CD2-9EE4-F0E655D46F2B}"/>
    <cellStyle name="Normal 6 11 22" xfId="11456" xr:uid="{00000000-0005-0000-0000-0000E5320000}"/>
    <cellStyle name="Normal 6 11 22 2" xfId="43944" xr:uid="{30C304A6-C8DC-44B9-AF52-E61E4C9694FD}"/>
    <cellStyle name="Normal 6 11 23" xfId="13204" xr:uid="{00000000-0005-0000-0000-000064330000}"/>
    <cellStyle name="Normal 6 11 23 2" xfId="45668" xr:uid="{F858B021-9815-4BCF-9F9F-633DA611B92A}"/>
    <cellStyle name="Normal 6 11 24" xfId="11427" xr:uid="{00000000-0005-0000-0000-0000E7330000}"/>
    <cellStyle name="Normal 6 11 24 2" xfId="43915" xr:uid="{52AA10B1-581E-4DBB-BCA1-8209C1D573FF}"/>
    <cellStyle name="Normal 6 11 25" xfId="13253" xr:uid="{00000000-0005-0000-0000-00006E340000}"/>
    <cellStyle name="Normal 6 11 25 2" xfId="45717" xr:uid="{62D2816D-CE7D-4249-A10A-7C0040EBE5FC}"/>
    <cellStyle name="Normal 6 11 26" xfId="11383" xr:uid="{00000000-0005-0000-0000-0000F9340000}"/>
    <cellStyle name="Normal 6 11 26 2" xfId="43872" xr:uid="{E724F769-DAC0-428D-AA07-559E42089A35}"/>
    <cellStyle name="Normal 6 11 27" xfId="15921" xr:uid="{6FCA95A1-6D44-491C-ADBB-7698B91F3632}"/>
    <cellStyle name="Normal 6 11 28" xfId="38489" xr:uid="{02C659E3-4B95-42C9-80F8-629745E60AD9}"/>
    <cellStyle name="Normal 6 11 29" xfId="15261" xr:uid="{E71111D8-6408-4370-AABE-1F9F7B84C8A4}"/>
    <cellStyle name="Normal 6 11 3" xfId="9976" xr:uid="{00000000-0005-0000-0000-0000D31E0000}"/>
    <cellStyle name="Normal-- 6 11 3" xfId="48293" xr:uid="{7B785A06-5161-4E77-BC43-5121D19294E7}"/>
    <cellStyle name="Normal 6 11 3 2" xfId="18145" xr:uid="{50A6DA44-5986-486F-A4D3-3D2107015F24}"/>
    <cellStyle name="Normal 6 11 3 3" xfId="42465" xr:uid="{EC76B739-2345-4B69-91B0-999E5214CDC3}"/>
    <cellStyle name="Normal 6 11 3 4" xfId="37825" xr:uid="{D52E4557-A96B-4334-9AB3-31324DBD584D}"/>
    <cellStyle name="Normal 6 11 3 5" xfId="46815" xr:uid="{25877516-72E6-4237-85F3-116C0F6E17B4}"/>
    <cellStyle name="Normal 6 11 3 6" xfId="47295" xr:uid="{264735EA-AD70-4FB9-8EB3-EA628A52D1F5}"/>
    <cellStyle name="Normal 6 11 3 7" xfId="40830" xr:uid="{D81D4858-A30B-4179-AB15-37D6F9DF77E4}"/>
    <cellStyle name="Normal 6 11 3 8" xfId="47233" xr:uid="{E52D4286-CB8E-4364-BBE2-775D4B5748C1}"/>
    <cellStyle name="Normal 6 11 3 9" xfId="48304" xr:uid="{05D401DD-21A5-40F1-9DE2-D16716B54F2C}"/>
    <cellStyle name="Normal 6 11 30" xfId="47431" xr:uid="{12567165-EC4D-427D-B810-B9BEBA0523BB}"/>
    <cellStyle name="Normal 6 11 31" xfId="15133" xr:uid="{262F5D7F-1E36-476A-A25A-318A330BAD55}"/>
    <cellStyle name="Normal 6 11 32" xfId="48652" xr:uid="{9D018359-C8B8-475C-9A85-CCAF29ABADE8}"/>
    <cellStyle name="Normal 6 11 33" xfId="16499" xr:uid="{31F87FC9-111F-4C45-8033-2D9380D64E76}"/>
    <cellStyle name="Normal 6 11 34" xfId="46860" xr:uid="{DA0C882E-78DB-4407-9B16-E1128CDF56FE}"/>
    <cellStyle name="Normal 6 11 35" xfId="49601" xr:uid="{E276848F-3011-46DE-8C90-9D8F00D056C1}"/>
    <cellStyle name="Normal 6 11 4" xfId="8454" xr:uid="{00000000-0005-0000-0000-00004A240000}"/>
    <cellStyle name="Normal-- 6 11 4" xfId="40940" xr:uid="{7A9D0E3E-AE67-4358-8E76-E6792333B866}"/>
    <cellStyle name="Normal 6 11 4 2" xfId="41223" xr:uid="{4E255BCA-DD5E-481C-A90D-86EFBAEBD8C7}"/>
    <cellStyle name="Normal 6 11 4 3" xfId="39895" xr:uid="{873F5939-32A3-4C2D-B8EF-545A321BBC5E}"/>
    <cellStyle name="Normal 6 11 4 4" xfId="41449" xr:uid="{3FAEF86C-B921-4A1F-B6D1-42911E46AD27}"/>
    <cellStyle name="Normal 6 11 4 5" xfId="40463" xr:uid="{834EFF05-DCF4-4073-9416-26173A6E15C5}"/>
    <cellStyle name="Normal 6 11 4 6" xfId="46932" xr:uid="{440FD569-A155-4B37-922A-B1FE11BF579F}"/>
    <cellStyle name="Normal 6 11 4 7" xfId="48899" xr:uid="{A88A2386-1919-4E30-B100-6099ADC7C99F}"/>
    <cellStyle name="Normal 6 11 5" xfId="12386" xr:uid="{00000000-0005-0000-0000-000081240000}"/>
    <cellStyle name="Normal-- 6 11 5" xfId="47315" xr:uid="{A880846F-2B4E-4EC5-A674-EBB2282BD776}"/>
    <cellStyle name="Normal 6 11 5 2" xfId="44866" xr:uid="{E093708D-37C9-4ABC-96DE-BFBF0251DA4E}"/>
    <cellStyle name="Normal 6 11 5 3" xfId="37681" xr:uid="{E35219B4-3384-4CF3-849B-EA23BF951F89}"/>
    <cellStyle name="Normal 6 11 5 4" xfId="46795" xr:uid="{903F8BBA-4D0D-4F9E-9508-7FEBB8E1B0BF}"/>
    <cellStyle name="Normal 6 11 5 5" xfId="49106" xr:uid="{23EF6142-78A8-412B-8D8F-1CD47C7BBF40}"/>
    <cellStyle name="Normal 6 11 5 6" xfId="49937" xr:uid="{39C5E76B-B95C-42AC-B61C-CFECAE0B8A10}"/>
    <cellStyle name="Normal 6 11 6" xfId="8477" xr:uid="{00000000-0005-0000-0000-0000BC240000}"/>
    <cellStyle name="Normal-- 6 11 6" xfId="48042" xr:uid="{F082B2D5-CC95-4945-85D1-580BB7A3C1A5}"/>
    <cellStyle name="Normal 6 11 6 2" xfId="41238" xr:uid="{6B5897A5-76AE-445A-9882-B09B6FFEB6F3}"/>
    <cellStyle name="Normal 6 11 6 3" xfId="47408" xr:uid="{97BA67C4-0AD4-4A80-AE5C-12704B32733E}"/>
    <cellStyle name="Normal 6 11 6 4" xfId="14178" xr:uid="{A291C260-C787-483A-A8D9-B1AE35526DB0}"/>
    <cellStyle name="Normal 6 11 6 5" xfId="48739" xr:uid="{D65A8E85-E1B2-4AE4-9B01-531C943BC372}"/>
    <cellStyle name="Normal 6 11 7" xfId="12408" xr:uid="{00000000-0005-0000-0000-0000FB240000}"/>
    <cellStyle name="Normal-- 6 11 7" xfId="14992" xr:uid="{A8B79468-8D97-49DE-B13F-A783DBF1DDCD}"/>
    <cellStyle name="Normal 6 11 7 2" xfId="44888" xr:uid="{9971C6D0-D751-4013-B24E-667EC5F69C72}"/>
    <cellStyle name="Normal 6 11 7 3" xfId="49077" xr:uid="{39B9FA3A-CB18-4328-8082-90CF03289A94}"/>
    <cellStyle name="Normal 6 11 7 4" xfId="49943" xr:uid="{A82515DA-FFDC-4FA3-A8B9-7ECEFC044999}"/>
    <cellStyle name="Normal 6 11 8" xfId="8506" xr:uid="{00000000-0005-0000-0000-00003E250000}"/>
    <cellStyle name="Normal-- 6 11 8" xfId="41313" xr:uid="{B65296EC-CD03-425F-A086-1851128121C4}"/>
    <cellStyle name="Normal 6 11 8 2" xfId="41257" xr:uid="{8E3A96C7-B9A7-4266-B87C-DF95AF9DCB3B}"/>
    <cellStyle name="Normal 6 11 8 3" xfId="49370" xr:uid="{F22CE60A-87F6-4067-BA1A-7B588F4C2CE6}"/>
    <cellStyle name="Normal 6 11 9" xfId="12436" xr:uid="{00000000-0005-0000-0000-000085250000}"/>
    <cellStyle name="Normal-- 6 11 9" xfId="47195" xr:uid="{C8F2A0D4-CEE5-4352-8FBA-D8F62649DCA4}"/>
    <cellStyle name="Normal 6 11 9 2" xfId="44910" xr:uid="{AD3CD2CA-932A-43FD-8871-C0EB0F9DF3A3}"/>
    <cellStyle name="Normal 6 110" xfId="4453" xr:uid="{00000000-0005-0000-0000-000085110000}"/>
    <cellStyle name="Normal 6 110 2" xfId="4454" xr:uid="{00000000-0005-0000-0000-000086110000}"/>
    <cellStyle name="Normal 6 110 2 2" xfId="9979" xr:uid="{00000000-0005-0000-0000-0000D61E0000}"/>
    <cellStyle name="Normal 6 110 2 2 2" xfId="42468" xr:uid="{543DC342-8FC7-424B-BE64-FAFACF761B34}"/>
    <cellStyle name="Normal 6 110 2 3" xfId="17303" xr:uid="{33701E4A-ABEB-4816-9159-3E388F03B17E}"/>
    <cellStyle name="Normal 6 110 2 4" xfId="38492" xr:uid="{95D225B3-2E61-465E-975C-0FE50203B409}"/>
    <cellStyle name="Normal 6 110 3" xfId="9978" xr:uid="{00000000-0005-0000-0000-0000D51E0000}"/>
    <cellStyle name="Normal 6 110 3 2" xfId="18146" xr:uid="{40020679-DF9A-463E-9C31-3DAF7C2FCD18}"/>
    <cellStyle name="Normal 6 110 3 3" xfId="42467" xr:uid="{3F15EA2C-7054-49A1-83EC-E120526C3CC6}"/>
    <cellStyle name="Normal 6 110 4" xfId="6488" xr:uid="{00000000-0005-0000-0000-00000A0E0000}"/>
    <cellStyle name="Normal 6 110 5" xfId="15923" xr:uid="{E950F2E1-2493-45AB-9889-A06A39762E9E}"/>
    <cellStyle name="Normal 6 110 6" xfId="38491" xr:uid="{2C878D1D-F625-47A3-B043-0FB0CF69C3D0}"/>
    <cellStyle name="Normal 6 111" xfId="4455" xr:uid="{00000000-0005-0000-0000-000087110000}"/>
    <cellStyle name="Normal 6 111 2" xfId="9980" xr:uid="{00000000-0005-0000-0000-0000D71E0000}"/>
    <cellStyle name="Normal 6 111 2 2" xfId="42469" xr:uid="{4B24C002-8EB6-4A26-A983-DD5904AE3B17}"/>
    <cellStyle name="Normal 6 111 3" xfId="6489" xr:uid="{00000000-0005-0000-0000-00000B0E0000}"/>
    <cellStyle name="Normal 6 111 4" xfId="38493" xr:uid="{7F3C25D4-E192-4FA8-8312-8EE0425C12FD}"/>
    <cellStyle name="Normal 6 112" xfId="4456" xr:uid="{00000000-0005-0000-0000-000088110000}"/>
    <cellStyle name="Normal 6 112 2" xfId="9981" xr:uid="{00000000-0005-0000-0000-0000D81E0000}"/>
    <cellStyle name="Normal 6 112 2 2" xfId="42470" xr:uid="{349A4FCE-9D12-4DE0-A452-A52AF0CD329D}"/>
    <cellStyle name="Normal 6 112 3" xfId="6490" xr:uid="{00000000-0005-0000-0000-00000C0E0000}"/>
    <cellStyle name="Normal 6 112 4" xfId="38494" xr:uid="{C4CA66C9-94DE-4E7B-89EB-277B3380A077}"/>
    <cellStyle name="Normal 6 113" xfId="4457" xr:uid="{00000000-0005-0000-0000-000089110000}"/>
    <cellStyle name="Normal 6 113 2" xfId="9982" xr:uid="{00000000-0005-0000-0000-0000D91E0000}"/>
    <cellStyle name="Normal 6 113 2 2" xfId="42471" xr:uid="{19DEA763-BB8E-4093-8D4E-7D07B2DEAF35}"/>
    <cellStyle name="Normal 6 113 3" xfId="6491" xr:uid="{00000000-0005-0000-0000-00000D0E0000}"/>
    <cellStyle name="Normal 6 113 4" xfId="38495" xr:uid="{2E643212-3551-46DA-B776-13664FFC8C62}"/>
    <cellStyle name="Normal 6 114" xfId="4458" xr:uid="{00000000-0005-0000-0000-00008A110000}"/>
    <cellStyle name="Normal 6 114 2" xfId="4459" xr:uid="{00000000-0005-0000-0000-00008B110000}"/>
    <cellStyle name="Normal 6 114 2 2" xfId="9984" xr:uid="{00000000-0005-0000-0000-0000DB1E0000}"/>
    <cellStyle name="Normal 6 114 2 2 2" xfId="42473" xr:uid="{3F346D08-B9FF-40D0-AB29-79E979FDFFE7}"/>
    <cellStyle name="Normal 6 114 2 3" xfId="15928" xr:uid="{F1D120D3-8A1D-4FDF-B897-BE3E41A97246}"/>
    <cellStyle name="Normal 6 114 2 4" xfId="38497" xr:uid="{43645401-02B4-4B92-8EA1-16602AD18226}"/>
    <cellStyle name="Normal 6 114 3" xfId="9983" xr:uid="{00000000-0005-0000-0000-0000DA1E0000}"/>
    <cellStyle name="Normal 6 114 3 2" xfId="42472" xr:uid="{07A2A669-1FED-4726-961D-FD0744E56998}"/>
    <cellStyle name="Normal 6 114 4" xfId="6494" xr:uid="{00000000-0005-0000-0000-00000E0E0000}"/>
    <cellStyle name="Normal 6 114 5" xfId="15927" xr:uid="{B2C2120E-3432-4B7A-875B-50809611541B}"/>
    <cellStyle name="Normal 6 114 6" xfId="38496" xr:uid="{9D848A93-3557-4802-AE8C-7B79851A8CF2}"/>
    <cellStyle name="Normal 6 115" xfId="4460" xr:uid="{00000000-0005-0000-0000-00008C110000}"/>
    <cellStyle name="Normal 6 115 2" xfId="4461" xr:uid="{00000000-0005-0000-0000-00008D110000}"/>
    <cellStyle name="Normal 6 115 2 2" xfId="9986" xr:uid="{00000000-0005-0000-0000-0000DD1E0000}"/>
    <cellStyle name="Normal 6 115 2 2 2" xfId="42475" xr:uid="{F9A95A12-862D-4396-A58E-E234305D7212}"/>
    <cellStyle name="Normal 6 115 2 3" xfId="15930" xr:uid="{7D63D971-5591-4887-9CD2-ED520CDF94C3}"/>
    <cellStyle name="Normal 6 115 2 4" xfId="38499" xr:uid="{6DDB2B98-7F25-4147-8917-D6B2F9D61A15}"/>
    <cellStyle name="Normal 6 115 3" xfId="9985" xr:uid="{00000000-0005-0000-0000-0000DC1E0000}"/>
    <cellStyle name="Normal 6 115 3 2" xfId="42474" xr:uid="{FB7A3A63-4008-459E-A8C0-2CC8E010245B}"/>
    <cellStyle name="Normal 6 115 4" xfId="6495" xr:uid="{00000000-0005-0000-0000-00000F0E0000}"/>
    <cellStyle name="Normal 6 115 5" xfId="15929" xr:uid="{B0AF420E-2464-4E54-BB38-34949D662E4C}"/>
    <cellStyle name="Normal 6 115 6" xfId="38498" xr:uid="{2861FAD2-60E1-4839-8DB2-9D20DDC6BE5F}"/>
    <cellStyle name="Normal 6 116" xfId="4462" xr:uid="{00000000-0005-0000-0000-00008E110000}"/>
    <cellStyle name="Normal 6 116 2" xfId="4463" xr:uid="{00000000-0005-0000-0000-00008F110000}"/>
    <cellStyle name="Normal 6 116 2 2" xfId="9988" xr:uid="{00000000-0005-0000-0000-0000DF1E0000}"/>
    <cellStyle name="Normal 6 116 2 2 2" xfId="42477" xr:uid="{6834DFF9-1D8B-4560-8D72-6CCD55590D44}"/>
    <cellStyle name="Normal 6 116 2 3" xfId="15932" xr:uid="{C5174C33-6DB7-4793-8D2B-498D72746233}"/>
    <cellStyle name="Normal 6 116 2 4" xfId="38501" xr:uid="{216B544E-1CD0-4A6E-8136-B4323472EECC}"/>
    <cellStyle name="Normal 6 116 3" xfId="9987" xr:uid="{00000000-0005-0000-0000-0000DE1E0000}"/>
    <cellStyle name="Normal 6 116 3 2" xfId="42476" xr:uid="{2CECC118-C138-40FD-8908-0322EE3A16F5}"/>
    <cellStyle name="Normal 6 116 4" xfId="6496" xr:uid="{00000000-0005-0000-0000-0000100E0000}"/>
    <cellStyle name="Normal 6 116 5" xfId="15931" xr:uid="{5D74E6FF-72EA-48E9-AEC9-46039C9091C2}"/>
    <cellStyle name="Normal 6 116 6" xfId="38500" xr:uid="{BB377B54-2A65-4CBC-803B-7EAA3B46EE68}"/>
    <cellStyle name="Normal 6 117" xfId="4464" xr:uid="{00000000-0005-0000-0000-000090110000}"/>
    <cellStyle name="Normal 6 117 2" xfId="9989" xr:uid="{00000000-0005-0000-0000-0000E01E0000}"/>
    <cellStyle name="Normal 6 117 2 2" xfId="42478" xr:uid="{56EE840E-D2E4-49F6-ACE4-196906B9C044}"/>
    <cellStyle name="Normal 6 117 3" xfId="6497" xr:uid="{00000000-0005-0000-0000-0000110E0000}"/>
    <cellStyle name="Normal 6 117 4" xfId="38502" xr:uid="{D69E1F31-43D1-461C-8901-CD82985F69B2}"/>
    <cellStyle name="Normal 6 118" xfId="4465" xr:uid="{00000000-0005-0000-0000-000091110000}"/>
    <cellStyle name="Normal 6 118 2" xfId="9990" xr:uid="{00000000-0005-0000-0000-0000E11E0000}"/>
    <cellStyle name="Normal 6 118 2 2" xfId="42479" xr:uid="{5ECF9799-040C-4910-906B-4D06CEE9B28B}"/>
    <cellStyle name="Normal 6 118 3" xfId="9302" xr:uid="{00000000-0005-0000-0000-000052220000}"/>
    <cellStyle name="Normal 6 118 4" xfId="17301" xr:uid="{46155615-8C4D-480D-9454-9DCA947583E6}"/>
    <cellStyle name="Normal 6 118 5" xfId="38503" xr:uid="{EA5A1652-23D6-4654-93AB-09122D2D72BA}"/>
    <cellStyle name="Normal 6 119" xfId="9961" xr:uid="{00000000-0005-0000-0000-0000C41E0000}"/>
    <cellStyle name="Normal 6 119 2" xfId="18737" xr:uid="{38B7AA40-632A-4C64-B51C-9CD2C047CD00}"/>
    <cellStyle name="Normal 6 119 3" xfId="42450" xr:uid="{EFA7454F-F5FE-42F4-9DA0-772D5F32003F}"/>
    <cellStyle name="Normal 6 12" xfId="4466" xr:uid="{00000000-0005-0000-0000-000092110000}"/>
    <cellStyle name="Normal-- 6 12" xfId="8439" xr:uid="{00000000-0005-0000-0000-000048240000}"/>
    <cellStyle name="Normal 6 12 10" xfId="12501" xr:uid="{00000000-0005-0000-0000-000020260000}"/>
    <cellStyle name="Normal 6 12 10 2" xfId="44975" xr:uid="{92317A19-1F64-40B2-B3F6-1498C87AAEEA}"/>
    <cellStyle name="Normal 6 12 11" xfId="8599" xr:uid="{00000000-0005-0000-0000-000073260000}"/>
    <cellStyle name="Normal 6 12 11 2" xfId="41326" xr:uid="{D4DDC5E8-D3B4-4C86-BD96-3F5DE8BA4CC3}"/>
    <cellStyle name="Normal 6 12 12" xfId="12537" xr:uid="{00000000-0005-0000-0000-0000CA260000}"/>
    <cellStyle name="Normal 6 12 12 2" xfId="45008" xr:uid="{ED918EBA-04C7-4027-81E1-2D183A06BADB}"/>
    <cellStyle name="Normal 6 12 13" xfId="8657" xr:uid="{00000000-0005-0000-0000-000025270000}"/>
    <cellStyle name="Normal 6 12 13 2" xfId="41366" xr:uid="{ED259EAB-A71F-47C1-A6FA-3B7A2121571B}"/>
    <cellStyle name="Normal 6 12 14" xfId="12596" xr:uid="{00000000-0005-0000-0000-000084270000}"/>
    <cellStyle name="Normal 6 12 14 2" xfId="45067" xr:uid="{1884D0A2-7FD2-4B5C-A66F-096896A158E5}"/>
    <cellStyle name="Normal 6 12 15" xfId="6498" xr:uid="{00000000-0005-0000-0000-0000120E0000}"/>
    <cellStyle name="Normal 6 12 16" xfId="13141" xr:uid="{00000000-0005-0000-0000-0000A7300000}"/>
    <cellStyle name="Normal 6 12 16 2" xfId="45605" xr:uid="{502E9A67-2A6E-4792-8CA4-01BABCC2B990}"/>
    <cellStyle name="Normal 6 12 17" xfId="11493" xr:uid="{00000000-0005-0000-0000-000012310000}"/>
    <cellStyle name="Normal 6 12 17 2" xfId="43981" xr:uid="{2FE72E60-1ABA-4208-813D-AADA9BEE3F6E}"/>
    <cellStyle name="Normal 6 12 18" xfId="13159" xr:uid="{00000000-0005-0000-0000-000081310000}"/>
    <cellStyle name="Normal 6 12 18 2" xfId="45623" xr:uid="{6639B1F4-B430-4A24-A8B5-DC8D53D8C2DF}"/>
    <cellStyle name="Normal 6 12 19" xfId="11474" xr:uid="{00000000-0005-0000-0000-0000F4310000}"/>
    <cellStyle name="Normal 6 12 19 2" xfId="43962" xr:uid="{1BED345C-A88B-4362-99D7-25A850C286FB}"/>
    <cellStyle name="Normal 6 12 2" xfId="4467" xr:uid="{00000000-0005-0000-0000-000093110000}"/>
    <cellStyle name="Normal-- 6 12 2" xfId="41209" xr:uid="{8BA3EF31-38FF-4648-9B92-DD97372010A2}"/>
    <cellStyle name="Normal 6 12 2 10" xfId="37993" xr:uid="{114B3A70-A757-4813-9E73-F670A86EEF9A}"/>
    <cellStyle name="Normal 6 12 2 11" xfId="47031" xr:uid="{80D84E44-74F4-4E74-BB95-375D8F77C54D}"/>
    <cellStyle name="Normal 6 12 2 2" xfId="9992" xr:uid="{00000000-0005-0000-0000-0000E31E0000}"/>
    <cellStyle name="Normal 6 12 2 2 2" xfId="42481" xr:uid="{E6D7FA2D-E972-418B-B0D5-FE6A70F58458}"/>
    <cellStyle name="Normal 6 12 2 3" xfId="6499" xr:uid="{00000000-0005-0000-0000-0000130E0000}"/>
    <cellStyle name="Normal 6 12 2 4" xfId="38505" xr:uid="{AB47B6EC-1521-48C4-9204-E81DD8FBBF4A}"/>
    <cellStyle name="Normal 6 12 2 5" xfId="40446" xr:uid="{B208297A-66EE-46BB-9E78-568FFF06997B}"/>
    <cellStyle name="Normal 6 12 2 6" xfId="48625" xr:uid="{12DB9D27-496C-4029-9BC9-EA9C702602B1}"/>
    <cellStyle name="Normal 6 12 2 7" xfId="48324" xr:uid="{B6DDF009-C261-49F7-BE8E-4508B586BCF9}"/>
    <cellStyle name="Normal 6 12 2 8" xfId="47800" xr:uid="{A9792407-2D39-406C-8CE9-44BAE939A631}"/>
    <cellStyle name="Normal 6 12 2 9" xfId="46901" xr:uid="{24000375-F145-4B79-B152-AADEF988ACCD}"/>
    <cellStyle name="Normal 6 12 20" xfId="13185" xr:uid="{00000000-0005-0000-0000-00006B320000}"/>
    <cellStyle name="Normal 6 12 20 2" xfId="45649" xr:uid="{F6AB995E-51D0-4584-B5FA-FE79B769901F}"/>
    <cellStyle name="Normal 6 12 21" xfId="11447" xr:uid="{00000000-0005-0000-0000-0000E6320000}"/>
    <cellStyle name="Normal 6 12 21 2" xfId="43935" xr:uid="{84DCF2CD-3831-4F1F-B36A-2EE791697C7A}"/>
    <cellStyle name="Normal 6 12 22" xfId="13214" xr:uid="{00000000-0005-0000-0000-000065330000}"/>
    <cellStyle name="Normal 6 12 22 2" xfId="45678" xr:uid="{F6263547-858E-45F0-B146-D748C0E70DB7}"/>
    <cellStyle name="Normal 6 12 23" xfId="11417" xr:uid="{00000000-0005-0000-0000-0000E8330000}"/>
    <cellStyle name="Normal 6 12 23 2" xfId="43905" xr:uid="{653E3096-55D0-4E6A-B5F7-C936E04769EB}"/>
    <cellStyle name="Normal 6 12 24" xfId="13271" xr:uid="{00000000-0005-0000-0000-00006F340000}"/>
    <cellStyle name="Normal 6 12 24 2" xfId="45735" xr:uid="{6A573F84-3F82-4ABA-A46C-36D318350422}"/>
    <cellStyle name="Normal 6 12 25" xfId="11364" xr:uid="{00000000-0005-0000-0000-0000FA340000}"/>
    <cellStyle name="Normal 6 12 25 2" xfId="43853" xr:uid="{83B75A50-F070-482F-999B-E0EB82A77384}"/>
    <cellStyle name="Normal 6 12 26" xfId="15933" xr:uid="{225768B7-DE21-46FB-BDBD-47F9A84A969F}"/>
    <cellStyle name="Normal 6 12 27" xfId="38504" xr:uid="{667344CA-F92E-4664-A33E-4C4184E164E8}"/>
    <cellStyle name="Normal 6 12 28" xfId="15263" xr:uid="{CEB7D780-E3B9-4820-AA0B-6B232165CAB2}"/>
    <cellStyle name="Normal 6 12 29" xfId="48005" xr:uid="{A642E88A-FE3C-469A-88E5-349707E77498}"/>
    <cellStyle name="Normal 6 12 3" xfId="9991" xr:uid="{00000000-0005-0000-0000-0000E21E0000}"/>
    <cellStyle name="Normal-- 6 12 3" xfId="46850" xr:uid="{4315FF6D-5A49-4B84-84B9-A01556C44F3D}"/>
    <cellStyle name="Normal 6 12 3 2" xfId="18147" xr:uid="{EEB5E74C-ED54-423C-ADAD-D29ACF1732A7}"/>
    <cellStyle name="Normal 6 12 3 3" xfId="42480" xr:uid="{0EFF503C-3DB7-4475-B22E-0881753CD4EC}"/>
    <cellStyle name="Normal 6 12 3 4" xfId="37829" xr:uid="{5DA491DB-0E08-4C01-95BA-6B0B3EF83776}"/>
    <cellStyle name="Normal 6 12 3 5" xfId="15050" xr:uid="{176D863D-717B-4605-BCAD-F0155E3F4703}"/>
    <cellStyle name="Normal 6 12 3 6" xfId="15231" xr:uid="{D940BE71-39C9-4EBB-9AD2-7CD3D1A9FC2B}"/>
    <cellStyle name="Normal 6 12 3 7" xfId="39860" xr:uid="{C950A690-3539-4E1B-9FA7-F2302E08FDC4}"/>
    <cellStyle name="Normal 6 12 3 8" xfId="47078" xr:uid="{3B49BC40-150D-4AD3-92D3-F2BC0775182D}"/>
    <cellStyle name="Normal 6 12 3 9" xfId="40760" xr:uid="{E7334724-15B4-4B6E-8ABD-7BC6C8F0ADDD}"/>
    <cellStyle name="Normal 6 12 30" xfId="48874" xr:uid="{2EA656F1-5127-4FE0-BA68-7BCCCB4C569E}"/>
    <cellStyle name="Normal 6 12 31" xfId="40740" xr:uid="{465C3AED-DE94-44AD-B1FB-6BB02E21564E}"/>
    <cellStyle name="Normal 6 12 32" xfId="46124" xr:uid="{111DEB22-129C-4EBD-A00F-2966CFC1C869}"/>
    <cellStyle name="Normal 6 12 33" xfId="40603" xr:uid="{060457D3-F0F6-4DC9-B440-54B4E6C0ACA3}"/>
    <cellStyle name="Normal 6 12 34" xfId="15406" xr:uid="{F0BEDE6D-50CA-4880-9FFE-96E6923B2C37}"/>
    <cellStyle name="Normal 6 12 4" xfId="12401" xr:uid="{00000000-0005-0000-0000-000082240000}"/>
    <cellStyle name="Normal-- 6 12 4" xfId="41900" xr:uid="{5F7D95CA-53F8-4223-B6DC-1AC92BE5D069}"/>
    <cellStyle name="Normal 6 12 4 2" xfId="44881" xr:uid="{F68A01FA-C331-4E8C-89F8-F4559AF86EF7}"/>
    <cellStyle name="Normal 6 12 4 3" xfId="47802" xr:uid="{F13DE7B4-6D00-4754-B1CE-D93D9753B6FE}"/>
    <cellStyle name="Normal 6 12 4 4" xfId="48263" xr:uid="{F939CAEF-EB5A-4B71-872B-2E1E8E476BBB}"/>
    <cellStyle name="Normal 6 12 4 5" xfId="49057" xr:uid="{BDC28042-D0FD-4AB4-952D-1DD7E2FFAF70}"/>
    <cellStyle name="Normal 6 12 4 6" xfId="49075" xr:uid="{9DD72527-68F9-404E-9B45-541FFB2D9972}"/>
    <cellStyle name="Normal 6 12 4 7" xfId="49941" xr:uid="{A29E3D0C-3F3C-49FF-ADDF-019CB16F32DD}"/>
    <cellStyle name="Normal 6 12 5" xfId="8496" xr:uid="{00000000-0005-0000-0000-0000BD240000}"/>
    <cellStyle name="Normal-- 6 12 5" xfId="47847" xr:uid="{97164C13-C346-4391-BB6F-2D968521D408}"/>
    <cellStyle name="Normal 6 12 5 2" xfId="41251" xr:uid="{9B8220E8-4C5A-4EA2-9F7F-BE84C0E1DAD6}"/>
    <cellStyle name="Normal 6 12 5 3" xfId="47757" xr:uid="{E95B8D9A-06AB-409A-B968-88BFC195AE1C}"/>
    <cellStyle name="Normal 6 12 5 4" xfId="15252" xr:uid="{035781DD-643F-42DB-9DB5-FA6722D16144}"/>
    <cellStyle name="Normal 6 12 5 5" xfId="48898" xr:uid="{A9D59EA3-8CAE-4956-A50F-852040EAC3B0}"/>
    <cellStyle name="Normal 6 12 5 6" xfId="46512" xr:uid="{A40F6129-4F79-48B3-99EF-8EE94D37A35E}"/>
    <cellStyle name="Normal 6 12 6" xfId="12424" xr:uid="{00000000-0005-0000-0000-0000FC240000}"/>
    <cellStyle name="Normal-- 6 12 6" xfId="41360" xr:uid="{F3700AB8-BB12-43C6-9702-D99E3A1105A5}"/>
    <cellStyle name="Normal 6 12 6 2" xfId="44898" xr:uid="{61BB6CCF-871A-43C1-A61A-AF1B38214B6B}"/>
    <cellStyle name="Normal 6 12 6 3" xfId="40235" xr:uid="{05C6EBAA-ABEC-4646-8D0B-79616C38DD16}"/>
    <cellStyle name="Normal 6 12 6 4" xfId="40402" xr:uid="{2CF6BDA5-284D-47E4-9F46-6F639053F948}"/>
    <cellStyle name="Normal 6 12 6 5" xfId="49946" xr:uid="{7E5032D6-D67C-499C-8826-FC717FCEC06F}"/>
    <cellStyle name="Normal 6 12 7" xfId="8525" xr:uid="{00000000-0005-0000-0000-00003F250000}"/>
    <cellStyle name="Normal-- 6 12 7" xfId="46757" xr:uid="{29AE5F4D-BE6F-476F-A82E-5D2ABADCF229}"/>
    <cellStyle name="Normal 6 12 7 2" xfId="41271" xr:uid="{79C5D945-8B5C-4108-84CE-78C56EBF006D}"/>
    <cellStyle name="Normal 6 12 7 3" xfId="46228" xr:uid="{3AB59C1F-0DFB-4728-91E5-168780B11361}"/>
    <cellStyle name="Normal 6 12 7 4" xfId="46083" xr:uid="{1CB6FC57-FF80-47A5-B58A-AD4B58E187D7}"/>
    <cellStyle name="Normal 6 12 8" xfId="12455" xr:uid="{00000000-0005-0000-0000-000086250000}"/>
    <cellStyle name="Normal-- 6 12 8" xfId="41092" xr:uid="{4CB30EEB-8C3B-4360-8507-2876E86993C0}"/>
    <cellStyle name="Normal 6 12 8 2" xfId="44929" xr:uid="{47A148E5-DBE8-4C6F-8E43-3E664201E2A2}"/>
    <cellStyle name="Normal 6 12 8 3" xfId="49954" xr:uid="{FFB4DB88-7EA1-410E-B889-F870EEF6A6AB}"/>
    <cellStyle name="Normal 6 12 9" xfId="8561" xr:uid="{00000000-0005-0000-0000-0000D1250000}"/>
    <cellStyle name="Normal-- 6 12 9" xfId="47313" xr:uid="{F5C50605-9DCA-4AAD-9619-483CCAEF73BD}"/>
    <cellStyle name="Normal 6 12 9 2" xfId="41297" xr:uid="{F6E4158C-77C2-4540-9C27-983D6AA55E55}"/>
    <cellStyle name="Normal 6 120" xfId="12303" xr:uid="{00000000-0005-0000-0000-00000C230000}"/>
    <cellStyle name="Normal 6 120 2" xfId="18781" xr:uid="{DB66C8F3-53D3-4B23-A4FF-00DB7E82B76B}"/>
    <cellStyle name="Normal 6 120 3" xfId="44785" xr:uid="{414770CE-FCBB-42D9-913D-01B0473DCF20}"/>
    <cellStyle name="Normal 6 121" xfId="8385" xr:uid="{00000000-0005-0000-0000-00001F230000}"/>
    <cellStyle name="Normal 6 121 2" xfId="17376" xr:uid="{0D160F2A-CA27-4F97-9CC2-4CF7C798CC7D}"/>
    <cellStyle name="Normal 6 121 3" xfId="41156" xr:uid="{6878730F-79B0-4335-AB5B-3F503D67EBD8}"/>
    <cellStyle name="Normal 6 122" xfId="12312" xr:uid="{00000000-0005-0000-0000-000036230000}"/>
    <cellStyle name="Normal 6 122 2" xfId="23144" xr:uid="{6F4FD726-7480-428E-99D5-D084B9AFF6C4}"/>
    <cellStyle name="Normal 6 122 3" xfId="44794" xr:uid="{B943FE0B-5E58-44AA-8BFE-C40FE7430C59}"/>
    <cellStyle name="Normal 6 123" xfId="8395" xr:uid="{00000000-0005-0000-0000-000051230000}"/>
    <cellStyle name="Normal 6 123 2" xfId="23698" xr:uid="{BD9ED892-0537-4125-BF5D-D27F7C96DC6E}"/>
    <cellStyle name="Normal 6 123 3" xfId="41166" xr:uid="{529FF303-BB95-4582-9C20-123AF0D7619E}"/>
    <cellStyle name="Normal 6 124" xfId="12323" xr:uid="{00000000-0005-0000-0000-000070230000}"/>
    <cellStyle name="Normal 6 124 2" xfId="44805" xr:uid="{8326991F-D69F-4B46-AC63-BFF78D0FE7C0}"/>
    <cellStyle name="Normal 6 125" xfId="8407" xr:uid="{00000000-0005-0000-0000-000093230000}"/>
    <cellStyle name="Normal 6 125 2" xfId="41178" xr:uid="{DF959BD4-0F07-44F1-88EA-3197FD80EBE8}"/>
    <cellStyle name="Normal 6 126" xfId="12336" xr:uid="{00000000-0005-0000-0000-0000BA230000}"/>
    <cellStyle name="Normal 6 126 2" xfId="44817" xr:uid="{4A5789CD-647B-418A-90DF-91E25CBD5E36}"/>
    <cellStyle name="Normal 6 127" xfId="8421" xr:uid="{00000000-0005-0000-0000-0000E5230000}"/>
    <cellStyle name="Normal 6 127 2" xfId="41191" xr:uid="{CCB9AE25-5D65-4BA1-91B7-B4DD7985099A}"/>
    <cellStyle name="Normal 6 128" xfId="12351" xr:uid="{00000000-0005-0000-0000-000014240000}"/>
    <cellStyle name="Normal 6 128 2" xfId="44832" xr:uid="{06071AE3-E3D6-43A4-A321-DE520748D61A}"/>
    <cellStyle name="Normal 6 129" xfId="8438" xr:uid="{00000000-0005-0000-0000-000047240000}"/>
    <cellStyle name="Normal 6 129 2" xfId="41208" xr:uid="{69C56AF2-97CD-4BBE-8282-0125BD8B2A8E}"/>
    <cellStyle name="Normal 6 13" xfId="4468" xr:uid="{00000000-0005-0000-0000-000094110000}"/>
    <cellStyle name="Normal-- 6 13" xfId="12372" xr:uid="{00000000-0005-0000-0000-00007F240000}"/>
    <cellStyle name="Normal 6 13 10" xfId="8602" xr:uid="{00000000-0005-0000-0000-000074260000}"/>
    <cellStyle name="Normal 6 13 10 2" xfId="41329" xr:uid="{7D065F06-4E69-4364-9FEC-CB14DB381A49}"/>
    <cellStyle name="Normal 6 13 11" xfId="12539" xr:uid="{00000000-0005-0000-0000-0000CB260000}"/>
    <cellStyle name="Normal 6 13 11 2" xfId="45010" xr:uid="{C9EB8241-51B6-42D7-A0B6-596C4A8F5CCF}"/>
    <cellStyle name="Normal 6 13 12" xfId="8660" xr:uid="{00000000-0005-0000-0000-000026270000}"/>
    <cellStyle name="Normal 6 13 12 2" xfId="41369" xr:uid="{22175773-25D8-4A67-AF0A-129CB83EE75E}"/>
    <cellStyle name="Normal 6 13 13" xfId="12597" xr:uid="{00000000-0005-0000-0000-000085270000}"/>
    <cellStyle name="Normal 6 13 13 2" xfId="45068" xr:uid="{62B1A92F-0499-4E08-B237-0C45EDD563AA}"/>
    <cellStyle name="Normal 6 13 14" xfId="6502" xr:uid="{00000000-0005-0000-0000-0000140E0000}"/>
    <cellStyle name="Normal 6 13 15" xfId="13142" xr:uid="{00000000-0005-0000-0000-0000A8300000}"/>
    <cellStyle name="Normal 6 13 15 2" xfId="45606" xr:uid="{60E4B01E-3D69-4E49-BB08-0377E0BD1D64}"/>
    <cellStyle name="Normal 6 13 16" xfId="11492" xr:uid="{00000000-0005-0000-0000-000013310000}"/>
    <cellStyle name="Normal 6 13 16 2" xfId="43980" xr:uid="{F7A20BD5-42A2-4348-8215-65FDC41BEA2B}"/>
    <cellStyle name="Normal 6 13 17" xfId="13160" xr:uid="{00000000-0005-0000-0000-000082310000}"/>
    <cellStyle name="Normal 6 13 17 2" xfId="45624" xr:uid="{19C6B479-28A6-4C2F-BC56-380DFE9509E2}"/>
    <cellStyle name="Normal 6 13 18" xfId="11472" xr:uid="{00000000-0005-0000-0000-0000F5310000}"/>
    <cellStyle name="Normal 6 13 18 2" xfId="43960" xr:uid="{A38B40BA-AE64-4B27-81C3-B27B494E9233}"/>
    <cellStyle name="Normal 6 13 19" xfId="13186" xr:uid="{00000000-0005-0000-0000-00006C320000}"/>
    <cellStyle name="Normal 6 13 19 2" xfId="45650" xr:uid="{5AFEDAA4-18C2-47F4-AE72-D2D93CFA23B2}"/>
    <cellStyle name="Normal 6 13 2" xfId="4469" xr:uid="{00000000-0005-0000-0000-000095110000}"/>
    <cellStyle name="Normal-- 6 13 2" xfId="44853" xr:uid="{E25F5C49-F657-444B-96EF-1AFAF584BFEA}"/>
    <cellStyle name="Normal 6 13 2 10" xfId="40094" xr:uid="{680D81B6-4FE8-4B8A-95F7-F2255E07C814}"/>
    <cellStyle name="Normal 6 13 2 11" xfId="46786" xr:uid="{749EE10D-599C-495A-8DC2-EA5D0BB48340}"/>
    <cellStyle name="Normal 6 13 2 2" xfId="9994" xr:uid="{00000000-0005-0000-0000-0000E51E0000}"/>
    <cellStyle name="Normal 6 13 2 2 2" xfId="42483" xr:uid="{6B79175E-9865-4BCD-AC97-92D16BEA2973}"/>
    <cellStyle name="Normal 6 13 2 3" xfId="6503" xr:uid="{00000000-0005-0000-0000-0000150E0000}"/>
    <cellStyle name="Normal 6 13 2 4" xfId="38507" xr:uid="{522D2127-D11A-4EE6-9DB0-7A9956F43A23}"/>
    <cellStyle name="Normal 6 13 2 5" xfId="15264" xr:uid="{9EDF807C-01C9-49A7-8B69-A8ED5992DD54}"/>
    <cellStyle name="Normal 6 13 2 6" xfId="48620" xr:uid="{0457C3B4-6C54-47AD-830D-14F57D6CC34D}"/>
    <cellStyle name="Normal 6 13 2 7" xfId="46168" xr:uid="{BC42FAD4-1B4B-4B9C-8A28-DDFA42C1396E}"/>
    <cellStyle name="Normal 6 13 2 8" xfId="49133" xr:uid="{742D2997-87A1-47E0-B34B-91C4A0B500C5}"/>
    <cellStyle name="Normal 6 13 2 9" xfId="15181" xr:uid="{6315462D-205E-40B8-8273-A6B612427D6F}"/>
    <cellStyle name="Normal 6 13 20" xfId="11446" xr:uid="{00000000-0005-0000-0000-0000E7320000}"/>
    <cellStyle name="Normal 6 13 20 2" xfId="43934" xr:uid="{577771CE-AA96-4217-8F42-6CA96267A9FE}"/>
    <cellStyle name="Normal 6 13 21" xfId="13216" xr:uid="{00000000-0005-0000-0000-000066330000}"/>
    <cellStyle name="Normal 6 13 21 2" xfId="45680" xr:uid="{30B701ED-4B1D-4AE8-A25A-1DF201950EEE}"/>
    <cellStyle name="Normal 6 13 22" xfId="12931" xr:uid="{00000000-0005-0000-0000-0000E9330000}"/>
    <cellStyle name="Normal 6 13 22 2" xfId="45402" xr:uid="{4C0858F4-8BDE-40C9-B899-313037841076}"/>
    <cellStyle name="Normal 6 13 23" xfId="13272" xr:uid="{00000000-0005-0000-0000-000070340000}"/>
    <cellStyle name="Normal 6 13 23 2" xfId="45736" xr:uid="{F168AA2B-2FE7-425B-B3A6-A9ABEC4A7D89}"/>
    <cellStyle name="Normal 6 13 24" xfId="11363" xr:uid="{00000000-0005-0000-0000-0000FB340000}"/>
    <cellStyle name="Normal 6 13 24 2" xfId="43852" xr:uid="{8E8FB8C3-7EFC-4FDD-B8BD-0EFFEDB51835}"/>
    <cellStyle name="Normal 6 13 25" xfId="15934" xr:uid="{9BFC3BF7-8340-4639-B29B-5174C3ED920E}"/>
    <cellStyle name="Normal 6 13 26" xfId="38506" xr:uid="{36E536CE-6025-4612-9E77-3079B223F6FE}"/>
    <cellStyle name="Normal 6 13 27" xfId="40447" xr:uid="{17F6602D-F2FB-4C80-8D80-59AD8383B00D}"/>
    <cellStyle name="Normal 6 13 28" xfId="48012" xr:uid="{540A1CC4-C4FA-49B6-BD62-14B43C5B11C6}"/>
    <cellStyle name="Normal 6 13 29" xfId="48857" xr:uid="{EEA67EDE-3E38-4FEB-969C-BBC5B060AE86}"/>
    <cellStyle name="Normal 6 13 3" xfId="9993" xr:uid="{00000000-0005-0000-0000-0000E41E0000}"/>
    <cellStyle name="Normal-- 6 13 3" xfId="48300" xr:uid="{06727569-A3D3-4BA1-97DE-A956F27A6952}"/>
    <cellStyle name="Normal 6 13 3 2" xfId="18148" xr:uid="{7438E8C7-9C21-4ED3-979A-2B5D9048E595}"/>
    <cellStyle name="Normal 6 13 3 3" xfId="42482" xr:uid="{8F2F40EE-9F95-4B1E-8338-2393F124A63C}"/>
    <cellStyle name="Normal 6 13 3 4" xfId="46400" xr:uid="{D37B1D23-138C-44DC-B912-8946A8F190A6}"/>
    <cellStyle name="Normal 6 13 3 5" xfId="47661" xr:uid="{BBA10CFE-B9B4-4A74-99B8-CB58FED8238F}"/>
    <cellStyle name="Normal 6 13 3 6" xfId="14129" xr:uid="{1429D61E-B178-4BF1-BD58-1D5EA98499D9}"/>
    <cellStyle name="Normal 6 13 3 7" xfId="47071" xr:uid="{DF0B2A06-7E8F-4B8A-AFBA-AB4099C7BA64}"/>
    <cellStyle name="Normal 6 13 3 8" xfId="15199" xr:uid="{6F24F51B-151B-43E1-A4F2-91A84BCE1AEA}"/>
    <cellStyle name="Normal 6 13 3 9" xfId="46370" xr:uid="{62E424C8-0380-4066-990B-63FFEF52557D}"/>
    <cellStyle name="Normal 6 13 30" xfId="47239" xr:uid="{209E4A2D-14E3-48D2-90FE-FBF79D4C33FB}"/>
    <cellStyle name="Normal 6 13 31" xfId="41649" xr:uid="{12FF4765-0852-4B36-9BAA-F7F99B2F430D}"/>
    <cellStyle name="Normal 6 13 32" xfId="49136" xr:uid="{4C674114-79EE-4D90-8709-3BBE66A37E03}"/>
    <cellStyle name="Normal 6 13 33" xfId="49152" xr:uid="{ACC2A017-1F1C-4F54-94CC-411A7A7B887B}"/>
    <cellStyle name="Normal 6 13 4" xfId="8498" xr:uid="{00000000-0005-0000-0000-0000BE240000}"/>
    <cellStyle name="Normal-- 6 13 4" xfId="41882" xr:uid="{29F8E799-3AEB-4F31-9362-B1996FF891EB}"/>
    <cellStyle name="Normal 6 13 4 2" xfId="41252" xr:uid="{B81526C5-D740-4135-80FF-8AB53D90B726}"/>
    <cellStyle name="Normal 6 13 4 3" xfId="47029" xr:uid="{AE36C5DC-5A86-43D5-AA25-04F546F2F4F9}"/>
    <cellStyle name="Normal 6 13 4 4" xfId="48761" xr:uid="{C835FF30-6C9A-4F61-8360-5F799C6E1167}"/>
    <cellStyle name="Normal 6 13 4 5" xfId="40761" xr:uid="{7F23950B-F3D3-435F-A5BB-A75640C042FE}"/>
    <cellStyle name="Normal 6 13 4 6" xfId="47585" xr:uid="{9CB2F7D2-2290-4A79-BF00-D666EFE1978C}"/>
    <cellStyle name="Normal 6 13 4 7" xfId="49401" xr:uid="{409D5080-8238-4459-9289-2C40179C37ED}"/>
    <cellStyle name="Normal 6 13 5" xfId="12426" xr:uid="{00000000-0005-0000-0000-0000FD240000}"/>
    <cellStyle name="Normal-- 6 13 5" xfId="47798" xr:uid="{880E1690-FE0A-41D3-9434-3CE0735DA6B3}"/>
    <cellStyle name="Normal 6 13 5 2" xfId="44900" xr:uid="{69EEA8A7-B570-421A-AD2C-E6025C7B385D}"/>
    <cellStyle name="Normal 6 13 5 3" xfId="46777" xr:uid="{E3F3AF3B-48A9-4301-824E-CDA85806949C}"/>
    <cellStyle name="Normal 6 13 5 4" xfId="47204" xr:uid="{8353E278-C01B-4830-A950-BE409EC4BE30}"/>
    <cellStyle name="Normal 6 13 5 5" xfId="49065" xr:uid="{0CE8F7DE-FE25-427A-B01E-F74FCCA7A1B8}"/>
    <cellStyle name="Normal 6 13 5 6" xfId="49948" xr:uid="{7ADB4562-B075-4B59-A3DB-6D5448237719}"/>
    <cellStyle name="Normal 6 13 6" xfId="8528" xr:uid="{00000000-0005-0000-0000-000040250000}"/>
    <cellStyle name="Normal-- 6 13 6" xfId="37771" xr:uid="{43B85A8F-FF7B-446A-B429-E5D96A4FD381}"/>
    <cellStyle name="Normal 6 13 6 2" xfId="41273" xr:uid="{4DB99B6B-6564-433A-8D2B-E213F2726152}"/>
    <cellStyle name="Normal 6 13 6 3" xfId="15088" xr:uid="{FE009C65-F7EE-4CF3-AD61-4870C0E9FB4B}"/>
    <cellStyle name="Normal 6 13 6 4" xfId="48484" xr:uid="{92DA4A82-917C-4B87-A66C-3DB800D732D2}"/>
    <cellStyle name="Normal 6 13 6 5" xfId="48096" xr:uid="{2DC3EE84-2854-4BD5-B3F7-31F10029BCDB}"/>
    <cellStyle name="Normal 6 13 7" xfId="12458" xr:uid="{00000000-0005-0000-0000-000087250000}"/>
    <cellStyle name="Normal-- 6 13 7" xfId="15022" xr:uid="{247D6ED1-7B88-4BE5-B4DA-BE6EF2A2EDB5}"/>
    <cellStyle name="Normal 6 13 7 2" xfId="44932" xr:uid="{3C90BBFA-3AA8-437E-B579-6B2F0D60AB73}"/>
    <cellStyle name="Normal 6 13 7 3" xfId="47791" xr:uid="{821A550B-57F6-44EF-AE5B-A399043E6F6F}"/>
    <cellStyle name="Normal 6 13 7 4" xfId="49956" xr:uid="{66187EAF-FFC6-4319-B98A-81531D03CC84}"/>
    <cellStyle name="Normal 6 13 8" xfId="8564" xr:uid="{00000000-0005-0000-0000-0000D2250000}"/>
    <cellStyle name="Normal-- 6 13 8" xfId="47377" xr:uid="{2FA712FF-D97C-4F0C-AAE5-7C0A81924AD3}"/>
    <cellStyle name="Normal 6 13 8 2" xfId="41299" xr:uid="{EACDE52B-C58B-431F-BEA2-72E60318E3A8}"/>
    <cellStyle name="Normal 6 13 8 3" xfId="39549" xr:uid="{6A85176E-37EF-4D6E-90E6-A77900731E84}"/>
    <cellStyle name="Normal 6 13 9" xfId="12504" xr:uid="{00000000-0005-0000-0000-000021260000}"/>
    <cellStyle name="Normal-- 6 13 9" xfId="15163" xr:uid="{951CE18A-DA4E-4E76-9A69-C437D3A7DA15}"/>
    <cellStyle name="Normal 6 13 9 2" xfId="44978" xr:uid="{BDCFD773-AB99-4F94-AA72-C1FF3813A2F8}"/>
    <cellStyle name="Normal 6 130" xfId="12371" xr:uid="{00000000-0005-0000-0000-00007E240000}"/>
    <cellStyle name="Normal 6 130 2" xfId="44852" xr:uid="{34587807-0B88-4C22-A6AF-C6422B2BD40D}"/>
    <cellStyle name="Normal 6 131" xfId="8460" xr:uid="{00000000-0005-0000-0000-0000B9240000}"/>
    <cellStyle name="Normal 6 131 2" xfId="41229" xr:uid="{623013F2-7FB9-43D6-8DC9-227700C4C8CF}"/>
    <cellStyle name="Normal 6 132" xfId="12393" xr:uid="{00000000-0005-0000-0000-0000F8240000}"/>
    <cellStyle name="Normal 6 132 2" xfId="44873" xr:uid="{092F3372-8131-40BC-B13B-DB56021017DD}"/>
    <cellStyle name="Normal 6 133" xfId="8485" xr:uid="{00000000-0005-0000-0000-00003B250000}"/>
    <cellStyle name="Normal 6 133 2" xfId="41242" xr:uid="{D964F9D5-5C1E-4895-B98F-9FBF26FAEFBB}"/>
    <cellStyle name="Normal 6 134" xfId="12416" xr:uid="{00000000-0005-0000-0000-000082250000}"/>
    <cellStyle name="Normal 6 134 2" xfId="44892" xr:uid="{CD61F5DB-20DF-411C-8D18-B5E7CF4E61E3}"/>
    <cellStyle name="Normal 6 135" xfId="8518" xr:uid="{00000000-0005-0000-0000-0000CD250000}"/>
    <cellStyle name="Normal 6 135 2" xfId="41265" xr:uid="{A6534A00-6165-46C7-8727-1B1224CACC03}"/>
    <cellStyle name="Normal 6 136" xfId="12454" xr:uid="{00000000-0005-0000-0000-00001C260000}"/>
    <cellStyle name="Normal 6 136 2" xfId="44928" xr:uid="{9713AEDA-B88D-4A01-8B5B-77BE3A76C7E8}"/>
    <cellStyle name="Normal 6 137" xfId="8552" xr:uid="{00000000-0005-0000-0000-00006F260000}"/>
    <cellStyle name="Normal 6 137 2" xfId="41289" xr:uid="{A1E4D255-A58D-4144-8BFF-FFD5EA617D8F}"/>
    <cellStyle name="Normal 6 138" xfId="12496" xr:uid="{00000000-0005-0000-0000-0000C6260000}"/>
    <cellStyle name="Normal 6 138 2" xfId="44970" xr:uid="{1E0AA323-591A-4938-B75C-1768AD37F790}"/>
    <cellStyle name="Normal 6 139" xfId="8596" xr:uid="{00000000-0005-0000-0000-000021270000}"/>
    <cellStyle name="Normal 6 139 2" xfId="41323" xr:uid="{08BB8396-7FF0-468F-98A2-893F26D6E87C}"/>
    <cellStyle name="Normal 6 14" xfId="4470" xr:uid="{00000000-0005-0000-0000-000096110000}"/>
    <cellStyle name="Normal-- 6 14" xfId="8461" xr:uid="{00000000-0005-0000-0000-0000BA240000}"/>
    <cellStyle name="Normal 6 14 10" xfId="12541" xr:uid="{00000000-0005-0000-0000-0000CC260000}"/>
    <cellStyle name="Normal 6 14 10 2" xfId="45012" xr:uid="{BA96355C-2A96-4538-BDC2-C38F9B04F5C9}"/>
    <cellStyle name="Normal 6 14 11" xfId="8662" xr:uid="{00000000-0005-0000-0000-000027270000}"/>
    <cellStyle name="Normal 6 14 11 2" xfId="41370" xr:uid="{2C0E3715-2A81-4DAD-9D29-312D06CA749D}"/>
    <cellStyle name="Normal 6 14 12" xfId="12598" xr:uid="{00000000-0005-0000-0000-000086270000}"/>
    <cellStyle name="Normal 6 14 12 2" xfId="45069" xr:uid="{4D7A4CA8-A1EE-4B34-98FC-43A62630B6E4}"/>
    <cellStyle name="Normal 6 14 13" xfId="6584" xr:uid="{00000000-0005-0000-0000-0000160E0000}"/>
    <cellStyle name="Normal 6 14 14" xfId="13143" xr:uid="{00000000-0005-0000-0000-0000A9300000}"/>
    <cellStyle name="Normal 6 14 14 2" xfId="45607" xr:uid="{9858C79A-8B5D-45E8-8231-2835C7B6A389}"/>
    <cellStyle name="Normal 6 14 15" xfId="11491" xr:uid="{00000000-0005-0000-0000-000014310000}"/>
    <cellStyle name="Normal 6 14 15 2" xfId="43979" xr:uid="{A96A28CB-4455-4693-8349-21ED12467A38}"/>
    <cellStyle name="Normal 6 14 16" xfId="13162" xr:uid="{00000000-0005-0000-0000-000083310000}"/>
    <cellStyle name="Normal 6 14 16 2" xfId="45626" xr:uid="{90F0147C-D7BA-4245-AC00-168A0C6744F2}"/>
    <cellStyle name="Normal 6 14 17" xfId="11471" xr:uid="{00000000-0005-0000-0000-0000F6310000}"/>
    <cellStyle name="Normal 6 14 17 2" xfId="43959" xr:uid="{66840F98-677E-49B2-A33A-D2EFF296DE51}"/>
    <cellStyle name="Normal 6 14 18" xfId="13187" xr:uid="{00000000-0005-0000-0000-00006D320000}"/>
    <cellStyle name="Normal 6 14 18 2" xfId="45651" xr:uid="{3D8FDEDB-A614-423C-9CC9-17DF1491209E}"/>
    <cellStyle name="Normal 6 14 19" xfId="11445" xr:uid="{00000000-0005-0000-0000-0000E8320000}"/>
    <cellStyle name="Normal 6 14 19 2" xfId="43933" xr:uid="{25403500-39FF-4499-8FFF-09605320DCD2}"/>
    <cellStyle name="Normal 6 14 2" xfId="4471" xr:uid="{00000000-0005-0000-0000-000097110000}"/>
    <cellStyle name="Normal-- 6 14 2" xfId="41230" xr:uid="{DB0A0EBA-EFE6-4878-8445-BC705D08F45C}"/>
    <cellStyle name="Normal 6 14 2 10" xfId="46951" xr:uid="{571FD04F-D0DB-4917-8D72-8C5428725929}"/>
    <cellStyle name="Normal 6 14 2 11" xfId="48164" xr:uid="{BBA9F324-56EF-414E-946C-801CB1A78E48}"/>
    <cellStyle name="Normal 6 14 2 2" xfId="9996" xr:uid="{00000000-0005-0000-0000-0000E71E0000}"/>
    <cellStyle name="Normal 6 14 2 2 2" xfId="42485" xr:uid="{3C8A783B-6E10-47A2-9C7F-FA9FDBB00FB2}"/>
    <cellStyle name="Normal 6 14 2 3" xfId="6585" xr:uid="{00000000-0005-0000-0000-0000170E0000}"/>
    <cellStyle name="Normal 6 14 2 4" xfId="38509" xr:uid="{58EB5EB0-0AC0-4AC8-AA18-B7D3565DF208}"/>
    <cellStyle name="Normal 6 14 2 5" xfId="40442" xr:uid="{68BDBDB4-D65A-4B5F-9124-54401EB325D2}"/>
    <cellStyle name="Normal 6 14 2 6" xfId="48368" xr:uid="{DC1F5D8A-0394-400F-84A0-6B003C239C21}"/>
    <cellStyle name="Normal 6 14 2 7" xfId="39572" xr:uid="{9926FD50-0330-413D-B477-31DA2DFDE4DD}"/>
    <cellStyle name="Normal 6 14 2 8" xfId="49117" xr:uid="{0786335B-F1B9-4A58-BB34-5813A2281287}"/>
    <cellStyle name="Normal 6 14 2 9" xfId="46682" xr:uid="{0751F6B3-A035-4CAC-9DE4-0E97DF6A102D}"/>
    <cellStyle name="Normal 6 14 20" xfId="13217" xr:uid="{00000000-0005-0000-0000-000067330000}"/>
    <cellStyle name="Normal 6 14 20 2" xfId="45681" xr:uid="{5286584B-CC94-4415-ABA1-29D394A6F811}"/>
    <cellStyle name="Normal 6 14 21" xfId="11416" xr:uid="{00000000-0005-0000-0000-0000EA330000}"/>
    <cellStyle name="Normal 6 14 21 2" xfId="43904" xr:uid="{E9CE240F-FE99-40B7-8F47-E26A8C08B592}"/>
    <cellStyle name="Normal 6 14 22" xfId="13274" xr:uid="{00000000-0005-0000-0000-000071340000}"/>
    <cellStyle name="Normal 6 14 22 2" xfId="45738" xr:uid="{9380D888-0275-4F7E-B626-7278D7946722}"/>
    <cellStyle name="Normal 6 14 23" xfId="11361" xr:uid="{00000000-0005-0000-0000-0000FC340000}"/>
    <cellStyle name="Normal 6 14 23 2" xfId="43850" xr:uid="{0C0709FA-056F-4535-980A-38BFBAAAE59F}"/>
    <cellStyle name="Normal 6 14 24" xfId="15935" xr:uid="{EB55C75C-07D4-4A33-B892-E0760DB81B54}"/>
    <cellStyle name="Normal 6 14 25" xfId="38508" xr:uid="{F22BFA52-8E38-42BB-9CA5-FFF8DB5E0168}"/>
    <cellStyle name="Normal 6 14 26" xfId="15265" xr:uid="{D905D564-2254-4253-ABC1-1C6AC15683CB}"/>
    <cellStyle name="Normal 6 14 27" xfId="46135" xr:uid="{FF030ECE-A74B-4699-A9EA-5FE2D5C43EC9}"/>
    <cellStyle name="Normal 6 14 28" xfId="48844" xr:uid="{D32644EB-C21C-4877-B3A4-8AA006747EB1}"/>
    <cellStyle name="Normal 6 14 29" xfId="47727" xr:uid="{C8916654-89C5-4949-A4FE-83EF500EB3AB}"/>
    <cellStyle name="Normal 6 14 3" xfId="9995" xr:uid="{00000000-0005-0000-0000-0000E61E0000}"/>
    <cellStyle name="Normal-- 6 14 3" xfId="46858" xr:uid="{B9B0D7E5-AFDB-45E1-9F5A-4E005726E01C}"/>
    <cellStyle name="Normal 6 14 3 2" xfId="18149" xr:uid="{D94CBDC9-EF5B-477E-AE98-F65BB5CE9783}"/>
    <cellStyle name="Normal 6 14 3 3" xfId="42484" xr:uid="{0AB7EC16-02F8-4206-AD7B-3890E1ADA47A}"/>
    <cellStyle name="Normal 6 14 3 4" xfId="37830" xr:uid="{343B81EC-C18C-4600-82BE-29B5DCC75D52}"/>
    <cellStyle name="Normal 6 14 3 5" xfId="47660" xr:uid="{20FF84AB-F533-4EA4-BA12-FD52577FD52D}"/>
    <cellStyle name="Normal 6 14 3 6" xfId="47367" xr:uid="{EB8076D9-58BC-485C-BAA6-35565D4F7A8C}"/>
    <cellStyle name="Normal 6 14 3 7" xfId="48822" xr:uid="{7A0CCC15-D758-406C-87F1-3430B7E528D4}"/>
    <cellStyle name="Normal 6 14 3 8" xfId="47714" xr:uid="{25CC910D-68AC-4D87-9989-66690DD4BD24}"/>
    <cellStyle name="Normal 6 14 3 9" xfId="49386" xr:uid="{EB3CBC22-56F0-4122-B501-18768BB21E18}"/>
    <cellStyle name="Normal 6 14 30" xfId="47633" xr:uid="{70260605-5702-4587-9367-064A97F8BAB6}"/>
    <cellStyle name="Normal 6 14 31" xfId="13684" xr:uid="{09F51696-B893-40EF-9C87-8D3624DFC2C6}"/>
    <cellStyle name="Normal 6 14 32" xfId="48717" xr:uid="{FEB29E32-1208-418F-B086-11634DC54F0F}"/>
    <cellStyle name="Normal 6 14 4" xfId="12427" xr:uid="{00000000-0005-0000-0000-0000FE240000}"/>
    <cellStyle name="Normal-- 6 14 4" xfId="14018" xr:uid="{98090852-6BD2-432E-AD39-3A590DFCF9A4}"/>
    <cellStyle name="Normal 6 14 4 2" xfId="44901" xr:uid="{BBD8FFA1-D9C7-49D3-9869-437466864D18}"/>
    <cellStyle name="Normal 6 14 4 3" xfId="47319" xr:uid="{FAF4A7A7-805C-40EF-9206-2B35B3732B62}"/>
    <cellStyle name="Normal 6 14 4 4" xfId="48278" xr:uid="{67157FCC-5629-4C0C-876E-D4CDDD9883FA}"/>
    <cellStyle name="Normal 6 14 4 5" xfId="46779" xr:uid="{16A35CC6-353D-4263-B992-076F16B1B525}"/>
    <cellStyle name="Normal 6 14 4 6" xfId="48076" xr:uid="{4B318ADA-A7D3-4C98-A055-32A839027A83}"/>
    <cellStyle name="Normal 6 14 4 7" xfId="49949" xr:uid="{0C7E7FAE-EA63-482E-8DB0-DDBA66841BC1}"/>
    <cellStyle name="Normal 6 14 5" xfId="8530" xr:uid="{00000000-0005-0000-0000-000041250000}"/>
    <cellStyle name="Normal-- 6 14 5" xfId="40741" xr:uid="{2A1BD404-D11D-4753-B6A1-A34679CBC2BF}"/>
    <cellStyle name="Normal 6 14 5 2" xfId="41274" xr:uid="{34CBAF34-5E0E-4C7E-83A1-5BDD4C19370B}"/>
    <cellStyle name="Normal 6 14 5 3" xfId="48479" xr:uid="{28CDA96A-E6EE-43C6-B1F7-6EA7B06DC2BE}"/>
    <cellStyle name="Normal 6 14 5 4" xfId="47344" xr:uid="{C6FF0A26-ACBB-4902-9217-45A281CD176A}"/>
    <cellStyle name="Normal 6 14 5 5" xfId="40699" xr:uid="{39E11A7E-8877-467A-9DBA-41A39D86B82C}"/>
    <cellStyle name="Normal 6 14 5 6" xfId="46204" xr:uid="{91BECDF4-8E76-4BAF-B42F-888C11807EF6}"/>
    <cellStyle name="Normal 6 14 6" xfId="12460" xr:uid="{00000000-0005-0000-0000-000088250000}"/>
    <cellStyle name="Normal-- 6 14 6" xfId="46717" xr:uid="{A9159E95-0880-4498-B588-27B2C45864D5}"/>
    <cellStyle name="Normal 6 14 6 2" xfId="44934" xr:uid="{50326FBE-7824-4F81-8455-63F6382D9485}"/>
    <cellStyle name="Normal 6 14 6 3" xfId="37756" xr:uid="{E9FA6CC4-52AB-40FC-834E-3559EFB48FEF}"/>
    <cellStyle name="Normal 6 14 6 4" xfId="49134" xr:uid="{FC88B2F9-4F2B-42F9-B19C-03D423ECE7B7}"/>
    <cellStyle name="Normal 6 14 6 5" xfId="49957" xr:uid="{440CCBF2-7A77-445B-8EBB-F07D541A31D8}"/>
    <cellStyle name="Normal 6 14 7" xfId="8566" xr:uid="{00000000-0005-0000-0000-0000D3250000}"/>
    <cellStyle name="Normal-- 6 14 7" xfId="47838" xr:uid="{138D1B07-882F-4B64-A3A9-61D759EF4C43}"/>
    <cellStyle name="Normal 6 14 7 2" xfId="41301" xr:uid="{B9301098-649E-437C-8696-45A0E776D3EA}"/>
    <cellStyle name="Normal 6 14 7 3" xfId="47998" xr:uid="{9C673435-14B0-46F2-A3CC-F20280EA1AD0}"/>
    <cellStyle name="Normal 6 14 7 4" xfId="37951" xr:uid="{66A36B14-D177-45EE-B533-B776C3DF20E1}"/>
    <cellStyle name="Normal 6 14 8" xfId="12506" xr:uid="{00000000-0005-0000-0000-000022260000}"/>
    <cellStyle name="Normal-- 6 14 8" xfId="47279" xr:uid="{6633B211-5FAC-4138-B4DA-D11C2C9D141D}"/>
    <cellStyle name="Normal 6 14 8 2" xfId="44980" xr:uid="{B3F761B7-8501-4329-8DDC-A71915E066B8}"/>
    <cellStyle name="Normal 6 14 8 3" xfId="49966" xr:uid="{92FDA1EC-936F-4C96-8D57-DEF57985E93A}"/>
    <cellStyle name="Normal 6 14 9" xfId="8604" xr:uid="{00000000-0005-0000-0000-000075260000}"/>
    <cellStyle name="Normal-- 6 14 9" xfId="47328" xr:uid="{03BDC400-77E7-40A4-8223-1786DB5454FB}"/>
    <cellStyle name="Normal 6 14 9 2" xfId="41330" xr:uid="{8BB58A45-5AF2-433A-A512-A9DE2992144A}"/>
    <cellStyle name="Normal 6 140" xfId="12538" xr:uid="{00000000-0005-0000-0000-000080270000}"/>
    <cellStyle name="Normal 6 140 2" xfId="45009" xr:uid="{DC396B7D-9F57-4B1A-9A19-6F1D2D2EE5F5}"/>
    <cellStyle name="Normal 6 141" xfId="6466" xr:uid="{00000000-0005-0000-0000-0000FA0D0000}"/>
    <cellStyle name="Normal 6 141 2" xfId="40231" xr:uid="{EE299D88-8FE9-4D86-AE21-5DC3A0C7B24B}"/>
    <cellStyle name="Normal 6 142" xfId="13135" xr:uid="{00000000-0005-0000-0000-0000A3300000}"/>
    <cellStyle name="Normal 6 142 2" xfId="45599" xr:uid="{5DD419F4-6D37-4D6D-86E8-21286227EF91}"/>
    <cellStyle name="Normal 6 143" xfId="11500" xr:uid="{00000000-0005-0000-0000-00000E310000}"/>
    <cellStyle name="Normal 6 143 2" xfId="43988" xr:uid="{24366C9F-05BF-4FBF-B6BF-993B1A17C8B7}"/>
    <cellStyle name="Normal 6 144" xfId="13145" xr:uid="{00000000-0005-0000-0000-00007D310000}"/>
    <cellStyle name="Normal 6 144 2" xfId="45609" xr:uid="{C8FA3F34-26CC-4D2D-998A-494BDDBE6B3A}"/>
    <cellStyle name="Normal 6 145" xfId="11488" xr:uid="{00000000-0005-0000-0000-0000F0310000}"/>
    <cellStyle name="Normal 6 145 2" xfId="43976" xr:uid="{EE77689B-9F63-446E-943E-C657AFABF429}"/>
    <cellStyle name="Normal 6 146" xfId="13166" xr:uid="{00000000-0005-0000-0000-000067320000}"/>
    <cellStyle name="Normal 6 146 2" xfId="45630" xr:uid="{188B4B71-B157-4340-961E-1B106F87D7F7}"/>
    <cellStyle name="Normal 6 147" xfId="11466" xr:uid="{00000000-0005-0000-0000-0000E2320000}"/>
    <cellStyle name="Normal 6 147 2" xfId="43954" xr:uid="{6A6C160E-B3C5-4E18-8DF3-F3ADC72B7275}"/>
    <cellStyle name="Normal 6 148" xfId="13195" xr:uid="{00000000-0005-0000-0000-000061330000}"/>
    <cellStyle name="Normal 6 148 2" xfId="45659" xr:uid="{D1855940-0B56-4AAD-B06F-E7695DC16038}"/>
    <cellStyle name="Normal 6 149" xfId="11435" xr:uid="{00000000-0005-0000-0000-0000E4330000}"/>
    <cellStyle name="Normal 6 149 2" xfId="43923" xr:uid="{7102F41B-28DC-4CD7-81AF-AF18DF367000}"/>
    <cellStyle name="Normal 6 15" xfId="4472" xr:uid="{00000000-0005-0000-0000-000098110000}"/>
    <cellStyle name="Normal-- 6 15" xfId="12394" xr:uid="{00000000-0005-0000-0000-0000F9240000}"/>
    <cellStyle name="Normal 6 15 10" xfId="8664" xr:uid="{00000000-0005-0000-0000-000028270000}"/>
    <cellStyle name="Normal 6 15 10 2" xfId="41372" xr:uid="{98D4CB27-608A-4BC4-95E6-B880372C97E9}"/>
    <cellStyle name="Normal 6 15 11" xfId="12600" xr:uid="{00000000-0005-0000-0000-000087270000}"/>
    <cellStyle name="Normal 6 15 11 2" xfId="45071" xr:uid="{6B75E71B-8C49-4B8B-891E-5FE7109607A7}"/>
    <cellStyle name="Normal 6 15 12" xfId="6594" xr:uid="{00000000-0005-0000-0000-0000180E0000}"/>
    <cellStyle name="Normal 6 15 13" xfId="13144" xr:uid="{00000000-0005-0000-0000-0000AA300000}"/>
    <cellStyle name="Normal 6 15 13 2" xfId="45608" xr:uid="{6649982B-EAC1-4927-87E7-DF4DAD25463F}"/>
    <cellStyle name="Normal 6 15 14" xfId="11490" xr:uid="{00000000-0005-0000-0000-000015310000}"/>
    <cellStyle name="Normal 6 15 14 2" xfId="43978" xr:uid="{EA5DEFA6-D141-41D5-9463-A5F2F4F37DB6}"/>
    <cellStyle name="Normal 6 15 15" xfId="13163" xr:uid="{00000000-0005-0000-0000-000084310000}"/>
    <cellStyle name="Normal 6 15 15 2" xfId="45627" xr:uid="{5064EACF-322A-41EF-88CE-33B9CC0BB5D1}"/>
    <cellStyle name="Normal 6 15 16" xfId="11470" xr:uid="{00000000-0005-0000-0000-0000F7310000}"/>
    <cellStyle name="Normal 6 15 16 2" xfId="43958" xr:uid="{4B220B5F-8282-4B58-B241-83AD5874526E}"/>
    <cellStyle name="Normal 6 15 17" xfId="13188" xr:uid="{00000000-0005-0000-0000-00006E320000}"/>
    <cellStyle name="Normal 6 15 17 2" xfId="45652" xr:uid="{86DC2393-D400-4540-A81E-680F14D148F8}"/>
    <cellStyle name="Normal 6 15 18" xfId="11443" xr:uid="{00000000-0005-0000-0000-0000E9320000}"/>
    <cellStyle name="Normal 6 15 18 2" xfId="43931" xr:uid="{993DB3E9-C039-4390-89FF-1AB53A5E056F}"/>
    <cellStyle name="Normal 6 15 19" xfId="13218" xr:uid="{00000000-0005-0000-0000-000068330000}"/>
    <cellStyle name="Normal 6 15 19 2" xfId="45682" xr:uid="{06901985-2B26-498D-A05F-03508ED68C5B}"/>
    <cellStyle name="Normal 6 15 2" xfId="4473" xr:uid="{00000000-0005-0000-0000-000099110000}"/>
    <cellStyle name="Normal-- 6 15 2" xfId="44874" xr:uid="{41AD226F-A630-4403-B87B-C6300F46FF43}"/>
    <cellStyle name="Normal 6 15 2 10" xfId="48241" xr:uid="{F29E97E3-BCA2-453D-96BB-3A25E97A2FA5}"/>
    <cellStyle name="Normal 6 15 2 11" xfId="47025" xr:uid="{8E435494-93E8-4052-8EC9-DC8CDDB0B47F}"/>
    <cellStyle name="Normal 6 15 2 2" xfId="9998" xr:uid="{00000000-0005-0000-0000-0000E91E0000}"/>
    <cellStyle name="Normal 6 15 2 2 2" xfId="42487" xr:uid="{81404249-4E04-472F-B0CF-E04161EB8089}"/>
    <cellStyle name="Normal 6 15 2 3" xfId="6595" xr:uid="{00000000-0005-0000-0000-0000190E0000}"/>
    <cellStyle name="Normal 6 15 2 4" xfId="38511" xr:uid="{9B055BDF-0F49-4F89-A306-31CEB9159FD0}"/>
    <cellStyle name="Normal 6 15 2 5" xfId="15266" xr:uid="{2E94E420-3140-4FA2-85BB-61F84C1DAE33}"/>
    <cellStyle name="Normal 6 15 2 6" xfId="48355" xr:uid="{C0B3BAF7-CDDA-4CEE-9B70-00DDF36C6642}"/>
    <cellStyle name="Normal 6 15 2 7" xfId="37826" xr:uid="{FD8B3356-F6B6-443A-B92C-6F1B747568DE}"/>
    <cellStyle name="Normal 6 15 2 8" xfId="49105" xr:uid="{DA8F8399-B948-42ED-9024-855AE8447AEA}"/>
    <cellStyle name="Normal 6 15 2 9" xfId="15417" xr:uid="{2ABB41B3-693C-4C9F-A6CA-74EE004A3D5E}"/>
    <cellStyle name="Normal 6 15 20" xfId="11415" xr:uid="{00000000-0005-0000-0000-0000EB330000}"/>
    <cellStyle name="Normal 6 15 20 2" xfId="43903" xr:uid="{9DDB6A3F-77F3-4B1E-9D29-49B95AFA1091}"/>
    <cellStyle name="Normal 6 15 21" xfId="13276" xr:uid="{00000000-0005-0000-0000-000072340000}"/>
    <cellStyle name="Normal 6 15 21 2" xfId="45740" xr:uid="{0E018AC5-B242-4E25-8E46-C8A98F5D0007}"/>
    <cellStyle name="Normal 6 15 22" xfId="11360" xr:uid="{00000000-0005-0000-0000-0000FD340000}"/>
    <cellStyle name="Normal 6 15 22 2" xfId="43849" xr:uid="{14F3021C-37F6-430C-9952-FDAADFD69C39}"/>
    <cellStyle name="Normal 6 15 23" xfId="15936" xr:uid="{F78CC8A1-506C-4AAC-B837-082B9F88D123}"/>
    <cellStyle name="Normal 6 15 24" xfId="38510" xr:uid="{2161358B-F4C7-41FE-A95D-9794800F4A72}"/>
    <cellStyle name="Normal 6 15 25" xfId="40445" xr:uid="{236582F0-44E2-4F5C-8E27-245A7CB33ADD}"/>
    <cellStyle name="Normal 6 15 26" xfId="46919" xr:uid="{A1F67D05-EF85-4209-9C10-C127B659E6EA}"/>
    <cellStyle name="Normal 6 15 27" xfId="15135" xr:uid="{B656CE80-95F7-4AF1-8B34-11E0C56CF89F}"/>
    <cellStyle name="Normal 6 15 28" xfId="41279" xr:uid="{BF27F5CD-EC38-4622-B670-6EE0C5FFDD32}"/>
    <cellStyle name="Normal 6 15 29" xfId="48776" xr:uid="{9D567FB6-12B0-45C6-B0EB-B2A4C0550177}"/>
    <cellStyle name="Normal 6 15 3" xfId="9997" xr:uid="{00000000-0005-0000-0000-0000E81E0000}"/>
    <cellStyle name="Normal-- 6 15 3" xfId="48305" xr:uid="{D7ACC0C4-5662-4A8E-B650-A8A9DA4A06DE}"/>
    <cellStyle name="Normal 6 15 3 2" xfId="18150" xr:uid="{CEF8821A-9CF3-48CE-AC6F-D1D4F586884A}"/>
    <cellStyle name="Normal 6 15 3 3" xfId="42486" xr:uid="{78C9643A-E6B5-4205-8562-2F22E10C2CAD}"/>
    <cellStyle name="Normal 6 15 3 4" xfId="37832" xr:uid="{B23334EC-416F-4ED6-9098-57FF09DB6F2B}"/>
    <cellStyle name="Normal 6 15 3 5" xfId="15431" xr:uid="{BB369D75-CED7-4382-B1A6-FC13CA5C142F}"/>
    <cellStyle name="Normal 6 15 3 6" xfId="37927" xr:uid="{39C2F7F1-E62C-404A-B5FF-66AE337355FE}"/>
    <cellStyle name="Normal 6 15 3 7" xfId="48821" xr:uid="{E4734A2B-AA61-4E5F-97E8-C3332D5D0876}"/>
    <cellStyle name="Normal 6 15 3 8" xfId="47955" xr:uid="{6EB48C33-D2BD-44AF-A043-EEFD83B14FC1}"/>
    <cellStyle name="Normal 6 15 3 9" xfId="40512" xr:uid="{7A8CA8BD-567E-4236-AF0E-84138A347081}"/>
    <cellStyle name="Normal 6 15 30" xfId="48869" xr:uid="{A98C91C6-99E2-4614-B18F-7CA249C5E398}"/>
    <cellStyle name="Normal 6 15 31" xfId="39590" xr:uid="{00931BD0-3350-4440-A402-E59B08333EA9}"/>
    <cellStyle name="Normal 6 15 4" xfId="8534" xr:uid="{00000000-0005-0000-0000-000042250000}"/>
    <cellStyle name="Normal-- 6 15 4" xfId="16300" xr:uid="{A5A1E862-6594-4A06-A838-A6BB56156743}"/>
    <cellStyle name="Normal 6 15 4 2" xfId="41277" xr:uid="{0729EA61-9993-4ACA-AD84-500609E0CDD0}"/>
    <cellStyle name="Normal 6 15 4 3" xfId="40737" xr:uid="{25B40EA0-98E4-4A25-B291-101157B7EA9E}"/>
    <cellStyle name="Normal 6 15 4 4" xfId="46557" xr:uid="{353B36A9-8C27-4CB5-8E3C-9443420F977A}"/>
    <cellStyle name="Normal 6 15 4 5" xfId="16529" xr:uid="{F13B45C9-BAB1-444E-9AC3-7FEFF84E97CB}"/>
    <cellStyle name="Normal 6 15 4 6" xfId="13664" xr:uid="{BC321CCF-6720-4D03-A3D5-D91A853B8A82}"/>
    <cellStyle name="Normal 6 15 4 7" xfId="14136" xr:uid="{73F4F814-A5B3-4C80-B7C8-9CF0C8DDFAAA}"/>
    <cellStyle name="Normal 6 15 5" xfId="12463" xr:uid="{00000000-0005-0000-0000-000089250000}"/>
    <cellStyle name="Normal-- 6 15 5" xfId="47801" xr:uid="{F74EA2BF-E035-4C7E-B7AB-80EE5D84AD68}"/>
    <cellStyle name="Normal 6 15 5 2" xfId="44937" xr:uid="{46D1D798-6E03-4CD1-9332-21DB7AE75E99}"/>
    <cellStyle name="Normal 6 15 5 3" xfId="48610" xr:uid="{5293E7BD-DB8E-4083-9346-C34CD23314D2}"/>
    <cellStyle name="Normal 6 15 5 4" xfId="15453" xr:uid="{D130D114-9981-4075-944C-70F82F5D3067}"/>
    <cellStyle name="Normal 6 15 5 5" xfId="15322" xr:uid="{6E74D066-2423-4001-B91D-E2D80FA29AC3}"/>
    <cellStyle name="Normal 6 15 5 6" xfId="49958" xr:uid="{235282DD-18CC-43ED-AD7A-0E5236B16519}"/>
    <cellStyle name="Normal 6 15 6" xfId="8568" xr:uid="{00000000-0005-0000-0000-0000D4250000}"/>
    <cellStyle name="Normal-- 6 15 6" xfId="47336" xr:uid="{BEF706F4-774E-40C2-A2A6-9CAFB7400DEC}"/>
    <cellStyle name="Normal 6 15 6 2" xfId="41303" xr:uid="{A5339685-B6B9-4E29-93CA-0B7A2C784F4D}"/>
    <cellStyle name="Normal 6 15 6 3" xfId="47410" xr:uid="{FFC90EC1-04CB-439A-BF43-00656C0265AA}"/>
    <cellStyle name="Normal 6 15 6 4" xfId="37934" xr:uid="{25C7ED45-93D7-4BFE-9F6A-60337DC39DAF}"/>
    <cellStyle name="Normal 6 15 6 5" xfId="40282" xr:uid="{7445DC03-7BEA-4B8C-96BC-59AD7C65ED02}"/>
    <cellStyle name="Normal 6 15 7" xfId="12508" xr:uid="{00000000-0005-0000-0000-000023260000}"/>
    <cellStyle name="Normal-- 6 15 7" xfId="47008" xr:uid="{F42638CF-4D7A-44EE-ADCC-364EE9A37B33}"/>
    <cellStyle name="Normal 6 15 7 2" xfId="44982" xr:uid="{BAB86514-875C-4071-BEBF-6FD239CA720B}"/>
    <cellStyle name="Normal 6 15 7 3" xfId="15027" xr:uid="{048D6265-E076-42B9-A01D-C6EB8EDA37D8}"/>
    <cellStyle name="Normal 6 15 7 4" xfId="49967" xr:uid="{78A9CB42-5340-4013-931E-0FAC830389B4}"/>
    <cellStyle name="Normal 6 15 8" xfId="8607" xr:uid="{00000000-0005-0000-0000-000076260000}"/>
    <cellStyle name="Normal-- 6 15 8" xfId="48856" xr:uid="{3ED559EA-E135-454D-8708-22FE379CA912}"/>
    <cellStyle name="Normal 6 15 8 2" xfId="41332" xr:uid="{FB012E84-D469-422F-B87A-919558079C2C}"/>
    <cellStyle name="Normal 6 15 8 3" xfId="16302" xr:uid="{F30F0D30-6210-427F-9F1A-B6AA81DF42D3}"/>
    <cellStyle name="Normal 6 15 9" xfId="12545" xr:uid="{00000000-0005-0000-0000-0000CD260000}"/>
    <cellStyle name="Normal-- 6 15 9" xfId="49939" xr:uid="{CC052996-035F-40D0-8917-07A994DBA078}"/>
    <cellStyle name="Normal 6 15 9 2" xfId="45016" xr:uid="{BB39BECE-362B-4EB7-9948-1FC87DB46078}"/>
    <cellStyle name="Normal 6 150" xfId="13226" xr:uid="{00000000-0005-0000-0000-00006B340000}"/>
    <cellStyle name="Normal 6 150 2" xfId="45690" xr:uid="{B054C38B-B1AB-4BA7-BBBC-2BE09E552377}"/>
    <cellStyle name="Normal 6 151" xfId="12953" xr:uid="{00000000-0005-0000-0000-0000F6340000}"/>
    <cellStyle name="Normal 6 151 2" xfId="45424" xr:uid="{303657FC-BBAA-4FF1-9C03-FDF173062EEF}"/>
    <cellStyle name="Normal 6 152" xfId="15911" xr:uid="{88DEF700-F07E-43E5-B603-8111B19D94AE}"/>
    <cellStyle name="Normal 6 153" xfId="38474" xr:uid="{EA83FE44-9F57-40BC-B1C2-65E4BC18FA84}"/>
    <cellStyle name="Normal 6 154" xfId="40458" xr:uid="{7025715D-CC73-4EC1-9D33-5ABA90BA2AEA}"/>
    <cellStyle name="Normal 6 155" xfId="46180" xr:uid="{21440A2C-7B61-44EC-8AF8-3C959C966EB8}"/>
    <cellStyle name="Normal 6 156" xfId="46402" xr:uid="{81BF8530-CF90-443A-802B-A1ECEBE702F4}"/>
    <cellStyle name="Normal 6 157" xfId="40641" xr:uid="{CF066A9A-A9AF-4B9A-BB05-6AD53158413C}"/>
    <cellStyle name="Normal 6 158" xfId="47898" xr:uid="{3B6CBCA6-2B69-498C-B1FF-7C382F6998C9}"/>
    <cellStyle name="Normal 6 159" xfId="47951" xr:uid="{F606DFCA-9B05-4FA4-917B-42EA8BA1AE83}"/>
    <cellStyle name="Normal 6 16" xfId="4474" xr:uid="{00000000-0005-0000-0000-00009A110000}"/>
    <cellStyle name="Normal-- 6 16" xfId="8486" xr:uid="{00000000-0005-0000-0000-00003C250000}"/>
    <cellStyle name="Normal 6 16 10" xfId="12602" xr:uid="{00000000-0005-0000-0000-000088270000}"/>
    <cellStyle name="Normal 6 16 10 2" xfId="45073" xr:uid="{8B4EE4D7-2D39-4408-A837-F8CD0636EE84}"/>
    <cellStyle name="Normal 6 16 11" xfId="6597" xr:uid="{00000000-0005-0000-0000-00001A0E0000}"/>
    <cellStyle name="Normal 6 16 12" xfId="13146" xr:uid="{00000000-0005-0000-0000-0000AB300000}"/>
    <cellStyle name="Normal 6 16 12 2" xfId="45610" xr:uid="{34E3B74A-1EFF-4BFD-A4BD-18B102FA6551}"/>
    <cellStyle name="Normal 6 16 13" xfId="11489" xr:uid="{00000000-0005-0000-0000-000016310000}"/>
    <cellStyle name="Normal 6 16 13 2" xfId="43977" xr:uid="{2CA46230-B687-418F-AAC0-5C5F9EC5F082}"/>
    <cellStyle name="Normal 6 16 14" xfId="13164" xr:uid="{00000000-0005-0000-0000-000085310000}"/>
    <cellStyle name="Normal 6 16 14 2" xfId="45628" xr:uid="{53F2614F-8228-453D-B63E-4511001711A3}"/>
    <cellStyle name="Normal 6 16 15" xfId="11469" xr:uid="{00000000-0005-0000-0000-0000F8310000}"/>
    <cellStyle name="Normal 6 16 15 2" xfId="43957" xr:uid="{648F6302-83C7-4110-99AF-534E875EEA56}"/>
    <cellStyle name="Normal 6 16 16" xfId="13189" xr:uid="{00000000-0005-0000-0000-00006F320000}"/>
    <cellStyle name="Normal 6 16 16 2" xfId="45653" xr:uid="{ECD18D21-5A24-4148-92D4-294E02BECC54}"/>
    <cellStyle name="Normal 6 16 17" xfId="11442" xr:uid="{00000000-0005-0000-0000-0000EA320000}"/>
    <cellStyle name="Normal 6 16 17 2" xfId="43930" xr:uid="{F10C1267-3F7B-47BC-A203-E59E1C835366}"/>
    <cellStyle name="Normal 6 16 18" xfId="13219" xr:uid="{00000000-0005-0000-0000-000069330000}"/>
    <cellStyle name="Normal 6 16 18 2" xfId="45683" xr:uid="{2A8355ED-6662-4E2A-BD9B-640A01267B76}"/>
    <cellStyle name="Normal 6 16 19" xfId="11413" xr:uid="{00000000-0005-0000-0000-0000EC330000}"/>
    <cellStyle name="Normal 6 16 19 2" xfId="43901" xr:uid="{320A9988-A746-4E13-AEB1-D38C163724EF}"/>
    <cellStyle name="Normal 6 16 2" xfId="4475" xr:uid="{00000000-0005-0000-0000-00009B110000}"/>
    <cellStyle name="Normal-- 6 16 2" xfId="41243" xr:uid="{9975EE40-D8DC-4AD5-9A7C-3C56C82162D8}"/>
    <cellStyle name="Normal 6 16 2 10" xfId="47183" xr:uid="{0E6C7DD5-F965-4ECD-AAB9-A44270830F4B}"/>
    <cellStyle name="Normal 6 16 2 11" xfId="46345" xr:uid="{D694F011-1DAF-4D16-9717-D84DD523126A}"/>
    <cellStyle name="Normal 6 16 2 2" xfId="10000" xr:uid="{00000000-0005-0000-0000-0000EB1E0000}"/>
    <cellStyle name="Normal 6 16 2 2 2" xfId="42489" xr:uid="{AFFFF77A-98AB-4F2E-AF5C-108F4CEA428A}"/>
    <cellStyle name="Normal 6 16 2 3" xfId="6598" xr:uid="{00000000-0005-0000-0000-00001B0E0000}"/>
    <cellStyle name="Normal 6 16 2 4" xfId="38513" xr:uid="{6A0404C5-1D31-4EB6-902B-AFD0ED5FD92D}"/>
    <cellStyle name="Normal 6 16 2 5" xfId="40444" xr:uid="{EFCFB559-DBB7-4CCD-B498-4DD96EDFFAC4}"/>
    <cellStyle name="Normal 6 16 2 6" xfId="48334" xr:uid="{7493CA42-4FDE-4FF6-932A-2C3F882FE775}"/>
    <cellStyle name="Normal 6 16 2 7" xfId="46161" xr:uid="{0A391729-E566-421B-B1FA-69EE1D443A1B}"/>
    <cellStyle name="Normal 6 16 2 8" xfId="46368" xr:uid="{363F7762-2F37-4B9F-8F66-8FE786E4782E}"/>
    <cellStyle name="Normal 6 16 2 9" xfId="47114" xr:uid="{176F157A-665D-4E00-8BDD-F4DDB01EEE8F}"/>
    <cellStyle name="Normal 6 16 20" xfId="13277" xr:uid="{00000000-0005-0000-0000-000073340000}"/>
    <cellStyle name="Normal 6 16 20 2" xfId="45741" xr:uid="{BE0E5F8C-BE4F-4092-9F96-A96A73509204}"/>
    <cellStyle name="Normal 6 16 21" xfId="11359" xr:uid="{00000000-0005-0000-0000-0000FE340000}"/>
    <cellStyle name="Normal 6 16 21 2" xfId="43848" xr:uid="{85EF3AF8-89E7-4773-B51E-6DC770369F61}"/>
    <cellStyle name="Normal 6 16 22" xfId="15938" xr:uid="{292A8914-8A6F-4613-8FEF-A8217918B6DA}"/>
    <cellStyle name="Normal 6 16 23" xfId="38512" xr:uid="{8FD327DA-473D-4E4D-91CD-F1B5C23165A8}"/>
    <cellStyle name="Normal 6 16 24" xfId="40443" xr:uid="{CCED0C07-D112-46B5-9B39-9B2710381D28}"/>
    <cellStyle name="Normal 6 16 25" xfId="46904" xr:uid="{6EA53E9B-70F6-40B1-B6CD-1707E885C1DE}"/>
    <cellStyle name="Normal 6 16 26" xfId="48835" xr:uid="{3B7B9A4D-EB8A-427C-974F-EE3EB79ED8FA}"/>
    <cellStyle name="Normal 6 16 27" xfId="15989" xr:uid="{92B21DC0-C364-4F05-ACF4-248591A658C6}"/>
    <cellStyle name="Normal 6 16 28" xfId="46689" xr:uid="{6E7916B0-C8EF-47AA-862A-4A7990A91684}"/>
    <cellStyle name="Normal 6 16 29" xfId="49120" xr:uid="{24B6AC14-F434-4C23-B479-ADD0B4BA1981}"/>
    <cellStyle name="Normal 6 16 3" xfId="9999" xr:uid="{00000000-0005-0000-0000-0000EA1E0000}"/>
    <cellStyle name="Normal-- 6 16 3" xfId="46870" xr:uid="{A552C87B-E38E-4C33-B09B-44FABFF8DE0C}"/>
    <cellStyle name="Normal 6 16 3 2" xfId="18151" xr:uid="{648FDB9F-1409-4E14-BDC1-220FF777E355}"/>
    <cellStyle name="Normal 6 16 3 3" xfId="42488" xr:uid="{778E44D0-08F8-4524-BCA0-DDE7209D274D}"/>
    <cellStyle name="Normal 6 16 3 4" xfId="46391" xr:uid="{397D3DEF-3F0F-4639-BF4D-DB2AEE0F9638}"/>
    <cellStyle name="Normal 6 16 3 5" xfId="15060" xr:uid="{EF0F5A5B-48A1-447C-9F60-D098A42B0274}"/>
    <cellStyle name="Normal 6 16 3 6" xfId="37926" xr:uid="{02E2B01A-DEF2-4FE5-857F-D1DE1059652C}"/>
    <cellStyle name="Normal 6 16 3 7" xfId="13670" xr:uid="{7774DA0E-AD49-4015-9CE1-4DAC3E28B56F}"/>
    <cellStyle name="Normal 6 16 3 8" xfId="46912" xr:uid="{32274BB2-4EBD-4EC9-98BC-173A586A796D}"/>
    <cellStyle name="Normal 6 16 3 9" xfId="49373" xr:uid="{1C12EA83-908C-4FAE-918C-4D4C40E040F0}"/>
    <cellStyle name="Normal 6 16 30" xfId="46662" xr:uid="{0651A33B-493C-4FE6-93D7-A6E759BB0D6F}"/>
    <cellStyle name="Normal 6 16 4" xfId="12466" xr:uid="{00000000-0005-0000-0000-00008A250000}"/>
    <cellStyle name="Normal-- 6 16 4" xfId="13983" xr:uid="{6FF80C35-1C11-4AA1-ABF5-93BD8F2FF5AB}"/>
    <cellStyle name="Normal 6 16 4 2" xfId="44940" xr:uid="{6EB1F5C7-33AB-4326-9330-57404F23C4CD}"/>
    <cellStyle name="Normal 6 16 4 3" xfId="47119" xr:uid="{80C932B5-D4EF-48C3-8628-39D8B763B80D}"/>
    <cellStyle name="Normal 6 16 4 4" xfId="48346" xr:uid="{40556233-5F75-4B92-B980-78624BC0319A}"/>
    <cellStyle name="Normal 6 16 4 5" xfId="47643" xr:uid="{4B025604-8116-42B1-89E2-BC4503900147}"/>
    <cellStyle name="Normal 6 16 4 6" xfId="46900" xr:uid="{D3AAF91A-1978-42FD-9DF7-E1C0ED59F33B}"/>
    <cellStyle name="Normal 6 16 4 7" xfId="49960" xr:uid="{791889B8-1313-40A7-8082-831707B1033B}"/>
    <cellStyle name="Normal 6 16 5" xfId="8570" xr:uid="{00000000-0005-0000-0000-0000D5250000}"/>
    <cellStyle name="Normal-- 6 16 5" xfId="14922" xr:uid="{F45DFDB4-AC1B-4B08-910C-90C811F6F2CF}"/>
    <cellStyle name="Normal 6 16 5 2" xfId="41304" xr:uid="{50728C1A-0AA7-4BCD-BBAD-BBC660A7763B}"/>
    <cellStyle name="Normal 6 16 5 3" xfId="15742" xr:uid="{97E8A22E-23D7-44BB-B92A-0EBF5BFBE197}"/>
    <cellStyle name="Normal 6 16 5 4" xfId="39576" xr:uid="{21BF18ED-FF46-49B0-B38E-6423E8C2D388}"/>
    <cellStyle name="Normal 6 16 5 5" xfId="48070" xr:uid="{9EA11D80-0995-485E-82FC-D61D7B47CDFB}"/>
    <cellStyle name="Normal 6 16 5 6" xfId="49110" xr:uid="{5882C096-6364-409C-9921-EDD08179B25A}"/>
    <cellStyle name="Normal 6 16 6" xfId="12510" xr:uid="{00000000-0005-0000-0000-000024260000}"/>
    <cellStyle name="Normal-- 6 16 6" xfId="14149" xr:uid="{61E706CA-09BA-417C-87EE-7735FCF41825}"/>
    <cellStyle name="Normal 6 16 6 2" xfId="44984" xr:uid="{FB479D49-12AE-41BC-AC48-D1EB53176FE5}"/>
    <cellStyle name="Normal 6 16 6 3" xfId="49070" xr:uid="{D5545892-480C-4FBC-B862-11665E32F79C}"/>
    <cellStyle name="Normal 6 16 6 4" xfId="40747" xr:uid="{5B45F84A-2986-4703-946C-0AF8F2271981}"/>
    <cellStyle name="Normal 6 16 6 5" xfId="49968" xr:uid="{09FD3D2F-04D0-4922-85F3-64DEDE0548A0}"/>
    <cellStyle name="Normal 6 16 7" xfId="8609" xr:uid="{00000000-0005-0000-0000-000077260000}"/>
    <cellStyle name="Normal-- 6 16 7" xfId="46116" xr:uid="{75EBEA29-76B4-4BED-8E44-CFDB73845B45}"/>
    <cellStyle name="Normal 6 16 7 2" xfId="41333" xr:uid="{253D4FEA-F62B-4CEB-8991-E41F26E944E2}"/>
    <cellStyle name="Normal 6 16 7 3" xfId="46719" xr:uid="{176326A5-FB22-460A-996A-439651D055D3}"/>
    <cellStyle name="Normal 6 16 7 4" xfId="46999" xr:uid="{F4F94D1E-5A6D-4EB2-8687-D5E7ADB47B24}"/>
    <cellStyle name="Normal 6 16 8" xfId="12548" xr:uid="{00000000-0005-0000-0000-0000CE260000}"/>
    <cellStyle name="Normal-- 6 16 8" xfId="49393" xr:uid="{22551FE4-97D7-409E-9CC4-B39E6C585CEA}"/>
    <cellStyle name="Normal 6 16 8 2" xfId="45019" xr:uid="{8C8C3F23-EE8F-4C14-AE97-5205BFE91D81}"/>
    <cellStyle name="Normal 6 16 8 3" xfId="49982" xr:uid="{306E7A4F-BBE6-4C60-980D-E95C55B8AE5C}"/>
    <cellStyle name="Normal 6 16 9" xfId="8668" xr:uid="{00000000-0005-0000-0000-000029270000}"/>
    <cellStyle name="Normal-- 6 16 9" xfId="15460" xr:uid="{ECD983F9-02F8-4D7E-A222-F4FAF969AA40}"/>
    <cellStyle name="Normal 6 16 9 2" xfId="41376" xr:uid="{19DCE821-ACC1-4699-AF40-E1ED7F1EB741}"/>
    <cellStyle name="Normal 6 160" xfId="49323" xr:uid="{A470C7C5-54D8-4521-87A9-844EF8C00482}"/>
    <cellStyle name="Normal 6 17" xfId="4476" xr:uid="{00000000-0005-0000-0000-00009C110000}"/>
    <cellStyle name="Normal-- 6 17" xfId="12419" xr:uid="{00000000-0005-0000-0000-000083250000}"/>
    <cellStyle name="Normal 6 17 10" xfId="6599" xr:uid="{00000000-0005-0000-0000-00001C0E0000}"/>
    <cellStyle name="Normal 6 17 11" xfId="13148" xr:uid="{00000000-0005-0000-0000-0000AC300000}"/>
    <cellStyle name="Normal 6 17 11 2" xfId="45612" xr:uid="{847EB58F-AE6A-4768-B63B-01C96435DF39}"/>
    <cellStyle name="Normal 6 17 12" xfId="11487" xr:uid="{00000000-0005-0000-0000-000017310000}"/>
    <cellStyle name="Normal 6 17 12 2" xfId="43975" xr:uid="{D9DBB16D-F1B9-4D13-8D07-2CB256D864BA}"/>
    <cellStyle name="Normal 6 17 13" xfId="13165" xr:uid="{00000000-0005-0000-0000-000086310000}"/>
    <cellStyle name="Normal 6 17 13 2" xfId="45629" xr:uid="{DD68EEEA-1B5E-437B-8AA5-9843912D610A}"/>
    <cellStyle name="Normal 6 17 14" xfId="11468" xr:uid="{00000000-0005-0000-0000-0000F9310000}"/>
    <cellStyle name="Normal 6 17 14 2" xfId="43956" xr:uid="{2D269C4C-09A8-4FD7-B777-9A516BBA34F5}"/>
    <cellStyle name="Normal 6 17 15" xfId="13191" xr:uid="{00000000-0005-0000-0000-000070320000}"/>
    <cellStyle name="Normal 6 17 15 2" xfId="45655" xr:uid="{140639BB-5867-48CC-9CB3-660FEDF79175}"/>
    <cellStyle name="Normal 6 17 16" xfId="11441" xr:uid="{00000000-0005-0000-0000-0000EB320000}"/>
    <cellStyle name="Normal 6 17 16 2" xfId="43929" xr:uid="{E0CA0368-CC3D-4995-9F85-E10CF7EFA5BF}"/>
    <cellStyle name="Normal 6 17 17" xfId="13221" xr:uid="{00000000-0005-0000-0000-00006A330000}"/>
    <cellStyle name="Normal 6 17 17 2" xfId="45685" xr:uid="{7542E9AC-3394-4B2C-98E6-C68E68C453DE}"/>
    <cellStyle name="Normal 6 17 18" xfId="12943" xr:uid="{00000000-0005-0000-0000-0000ED330000}"/>
    <cellStyle name="Normal 6 17 18 2" xfId="45414" xr:uid="{DFA72627-E1C7-4558-A37D-619CE94E8465}"/>
    <cellStyle name="Normal 6 17 19" xfId="13278" xr:uid="{00000000-0005-0000-0000-000074340000}"/>
    <cellStyle name="Normal 6 17 19 2" xfId="45742" xr:uid="{757D0914-93B9-4CF5-B675-7DFD4813192E}"/>
    <cellStyle name="Normal 6 17 2" xfId="4477" xr:uid="{00000000-0005-0000-0000-00009D110000}"/>
    <cellStyle name="Normal-- 6 17 2" xfId="44895" xr:uid="{434D22C6-A934-4046-9B70-9AA5431032E7}"/>
    <cellStyle name="Normal 6 17 2 10" xfId="46960" xr:uid="{E206CA9E-BA2C-4ED6-ADD1-5B91032E76C2}"/>
    <cellStyle name="Normal 6 17 2 11" xfId="46802" xr:uid="{8AC1C051-B6DA-4DAE-A437-DF6E9FBCAA24}"/>
    <cellStyle name="Normal 6 17 2 2" xfId="10002" xr:uid="{00000000-0005-0000-0000-0000ED1E0000}"/>
    <cellStyle name="Normal 6 17 2 2 2" xfId="42491" xr:uid="{F266C00D-211B-4F7B-9CE2-AA565A3C81B7}"/>
    <cellStyle name="Normal 6 17 2 3" xfId="6600" xr:uid="{00000000-0005-0000-0000-00001D0E0000}"/>
    <cellStyle name="Normal 6 17 2 4" xfId="38515" xr:uid="{10D983C4-48DC-45A2-8074-5D1C5249808E}"/>
    <cellStyle name="Normal 6 17 2 5" xfId="15268" xr:uid="{563C5A5F-1256-4FCE-B531-B97F8F076405}"/>
    <cellStyle name="Normal 6 17 2 6" xfId="48318" xr:uid="{73C4180A-C09A-4D5A-A327-EAE49C03778C}"/>
    <cellStyle name="Normal 6 17 2 7" xfId="40553" xr:uid="{B907B241-A7E3-4F02-8EC0-0C67535F41D6}"/>
    <cellStyle name="Normal 6 17 2 8" xfId="49093" xr:uid="{48E54B36-09C2-41A0-ACF2-8C16EA58ED41}"/>
    <cellStyle name="Normal 6 17 2 9" xfId="16307" xr:uid="{3E52EF37-7272-406C-AB8F-E15BCD2F582A}"/>
    <cellStyle name="Normal 6 17 20" xfId="11358" xr:uid="{00000000-0005-0000-0000-0000FF340000}"/>
    <cellStyle name="Normal 6 17 20 2" xfId="43847" xr:uid="{6B7114D4-D0D2-4FB7-B457-D67031EB9BE9}"/>
    <cellStyle name="Normal 6 17 21" xfId="15940" xr:uid="{260D3944-D920-4C1A-BC31-BB727FFD2D3A}"/>
    <cellStyle name="Normal 6 17 22" xfId="38514" xr:uid="{B0B5EDD3-BD1F-44FC-BCB8-04D559337847}"/>
    <cellStyle name="Normal 6 17 23" xfId="15267" xr:uid="{4F217EDD-6CF5-4466-B17D-EAE2057850DA}"/>
    <cellStyle name="Normal 6 17 24" xfId="46887" xr:uid="{86163C41-DE38-46CB-A51C-3CEF8F9FB1FF}"/>
    <cellStyle name="Normal 6 17 25" xfId="48826" xr:uid="{04823B81-54CD-4BEB-8BD5-27C46B0710C7}"/>
    <cellStyle name="Normal 6 17 26" xfId="40371" xr:uid="{AC667C1A-A707-49F5-AC05-2806163DCCD8}"/>
    <cellStyle name="Normal 6 17 27" xfId="40645" xr:uid="{AF0F971A-774B-45F4-A6A4-7AA25F520F71}"/>
    <cellStyle name="Normal 6 17 28" xfId="48955" xr:uid="{0FA67B96-D783-41A6-841A-A61F48B6B861}"/>
    <cellStyle name="Normal 6 17 29" xfId="48108" xr:uid="{A7B73938-6F5A-4F56-90D8-EC3E8B954B52}"/>
    <cellStyle name="Normal 6 17 3" xfId="10001" xr:uid="{00000000-0005-0000-0000-0000EC1E0000}"/>
    <cellStyle name="Normal-- 6 17 3" xfId="48313" xr:uid="{0FAC941A-0FCD-40CA-8C88-89B96D57D879}"/>
    <cellStyle name="Normal 6 17 3 2" xfId="18152" xr:uid="{3F46517E-6F6F-4BC5-AA0D-8D846C621F2F}"/>
    <cellStyle name="Normal 6 17 3 3" xfId="42490" xr:uid="{33D9A1A1-7DCB-4CB1-9D86-9EC6880628D2}"/>
    <cellStyle name="Normal 6 17 3 4" xfId="37833" xr:uid="{CF4E7EB0-3A6B-4FCA-ADAB-D117642368C7}"/>
    <cellStyle name="Normal 6 17 3 5" xfId="47662" xr:uid="{12C803AA-FD8A-4E2D-8003-CEE2B46EF89C}"/>
    <cellStyle name="Normal 6 17 3 6" xfId="16542" xr:uid="{41CB7AB7-8407-4369-AFF9-FA4534DF24ED}"/>
    <cellStyle name="Normal 6 17 3 7" xfId="48344" xr:uid="{65A23DE8-2B99-4300-BD4E-7C55E896773D}"/>
    <cellStyle name="Normal 6 17 3 8" xfId="46550" xr:uid="{990C494F-7ED4-4191-9478-CC89C002E971}"/>
    <cellStyle name="Normal 6 17 3 9" xfId="40234" xr:uid="{9F8326D3-9634-4486-888F-35664912470F}"/>
    <cellStyle name="Normal 6 17 4" xfId="8575" xr:uid="{00000000-0005-0000-0000-0000D6250000}"/>
    <cellStyle name="Normal-- 6 17 4" xfId="41109" xr:uid="{68234849-A45A-4FA2-BE16-1898046CFF01}"/>
    <cellStyle name="Normal 6 17 4 2" xfId="41309" xr:uid="{03DC2165-1DA0-48D1-B5B8-14D51DA4EDC3}"/>
    <cellStyle name="Normal 6 17 4 3" xfId="40336" xr:uid="{830482D8-938A-44AB-B4EE-39C5F0B37E5F}"/>
    <cellStyle name="Normal 6 17 4 4" xfId="47930" xr:uid="{CEC51FE0-2443-4C10-A837-F99612D67C54}"/>
    <cellStyle name="Normal 6 17 4 5" xfId="15394" xr:uid="{D50BFD37-D218-4A96-933A-6B6D805EACA6}"/>
    <cellStyle name="Normal 6 17 4 6" xfId="47684" xr:uid="{DE698BAB-D465-4663-9243-365014B6CE8B}"/>
    <cellStyle name="Normal 6 17 4 7" xfId="47058" xr:uid="{9A2BB79F-D618-4976-8A8D-E591D221D5DE}"/>
    <cellStyle name="Normal 6 17 5" xfId="12513" xr:uid="{00000000-0005-0000-0000-000025260000}"/>
    <cellStyle name="Normal-- 6 17 5" xfId="47804" xr:uid="{CF2B2C13-B499-41E0-B72A-EEEA63BEFE12}"/>
    <cellStyle name="Normal 6 17 5 2" xfId="44987" xr:uid="{FD8E784D-1F83-4822-9473-64D2173CD8A0}"/>
    <cellStyle name="Normal 6 17 5 3" xfId="46243" xr:uid="{21692C9C-B0E2-4563-97FB-55B9BF879C2B}"/>
    <cellStyle name="Normal 6 17 5 4" xfId="15668" xr:uid="{B2CFDDEA-4098-4466-852C-03400D372563}"/>
    <cellStyle name="Normal 6 17 5 5" xfId="47488" xr:uid="{E9FD3D9E-86B4-412B-BCBA-D90D2CAE2DDD}"/>
    <cellStyle name="Normal 6 17 5 6" xfId="49970" xr:uid="{8F21A67D-A5E7-426D-B9B4-122B4E4AB183}"/>
    <cellStyle name="Normal 6 17 6" xfId="8614" xr:uid="{00000000-0005-0000-0000-000078260000}"/>
    <cellStyle name="Normal-- 6 17 6" xfId="16439" xr:uid="{1D4693D2-8E88-403A-B867-0DC7B097E421}"/>
    <cellStyle name="Normal 6 17 6 2" xfId="41337" xr:uid="{F964127F-79B6-4DF2-A6C4-E18F1B0AD75B}"/>
    <cellStyle name="Normal 6 17 6 3" xfId="46157" xr:uid="{8352C712-5C93-428D-A7D3-DB82E71DBD24}"/>
    <cellStyle name="Normal 6 17 6 4" xfId="14092" xr:uid="{8BFD2CEF-4862-42B7-A085-C12561B74FB5}"/>
    <cellStyle name="Normal 6 17 6 5" xfId="47111" xr:uid="{A8D620B5-988C-4145-AC0A-532154E4178D}"/>
    <cellStyle name="Normal 6 17 7" xfId="12550" xr:uid="{00000000-0005-0000-0000-0000CF260000}"/>
    <cellStyle name="Normal-- 6 17 7" xfId="46899" xr:uid="{4F6F827C-D4B1-40AA-8B45-C3F2A381ADB5}"/>
    <cellStyle name="Normal 6 17 7 2" xfId="45021" xr:uid="{C3DA726C-E9C2-42C1-8618-679682DF7AB3}"/>
    <cellStyle name="Normal 6 17 7 3" xfId="47533" xr:uid="{674406B5-D785-4CAB-AA20-0507C3406E8C}"/>
    <cellStyle name="Normal 6 17 7 4" xfId="49983" xr:uid="{F98AA0E4-46F8-4CAC-A698-11BD96CD3521}"/>
    <cellStyle name="Normal 6 17 8" xfId="8674" xr:uid="{00000000-0005-0000-0000-00002A270000}"/>
    <cellStyle name="Normal-- 6 17 8" xfId="46289" xr:uid="{1FDAF84F-09FA-4742-BE7B-636074D1B9B0}"/>
    <cellStyle name="Normal 6 17 8 2" xfId="41381" xr:uid="{B2A03772-C60A-44EC-A1F9-10E81E7F3948}"/>
    <cellStyle name="Normal 6 17 8 3" xfId="46324" xr:uid="{92FE1A9D-A46C-4BBE-AD8F-264EBEA84558}"/>
    <cellStyle name="Normal 6 17 9" xfId="12604" xr:uid="{00000000-0005-0000-0000-000089270000}"/>
    <cellStyle name="Normal-- 6 17 9" xfId="49945" xr:uid="{74DCC931-5586-4349-A95B-59E4BB487250}"/>
    <cellStyle name="Normal 6 17 9 2" xfId="45075" xr:uid="{E8635FF9-503B-4607-8CE7-868CC6B78172}"/>
    <cellStyle name="Normal 6 18" xfId="4478" xr:uid="{00000000-0005-0000-0000-00009E110000}"/>
    <cellStyle name="Normal-- 6 18" xfId="8519" xr:uid="{00000000-0005-0000-0000-0000CE250000}"/>
    <cellStyle name="Normal 6 18 10" xfId="13150" xr:uid="{00000000-0005-0000-0000-0000AD300000}"/>
    <cellStyle name="Normal 6 18 10 2" xfId="45614" xr:uid="{8CA75EFF-59DD-4F86-8C47-D1D7F28C96D0}"/>
    <cellStyle name="Normal 6 18 11" xfId="11485" xr:uid="{00000000-0005-0000-0000-000018310000}"/>
    <cellStyle name="Normal 6 18 11 2" xfId="43973" xr:uid="{BEAA62B6-B677-4FFD-8DEA-57259F30911E}"/>
    <cellStyle name="Normal 6 18 12" xfId="13167" xr:uid="{00000000-0005-0000-0000-000087310000}"/>
    <cellStyle name="Normal 6 18 12 2" xfId="45631" xr:uid="{B7BBAED7-6DE2-477B-B53E-E6DAE1BB5767}"/>
    <cellStyle name="Normal 6 18 13" xfId="11467" xr:uid="{00000000-0005-0000-0000-0000FA310000}"/>
    <cellStyle name="Normal 6 18 13 2" xfId="43955" xr:uid="{BF8668F3-910C-43A2-A54F-3A18295976AB}"/>
    <cellStyle name="Normal 6 18 14" xfId="13192" xr:uid="{00000000-0005-0000-0000-000071320000}"/>
    <cellStyle name="Normal 6 18 14 2" xfId="45656" xr:uid="{8B3D404A-A74F-4F39-94C0-562DC1162C81}"/>
    <cellStyle name="Normal 6 18 15" xfId="11439" xr:uid="{00000000-0005-0000-0000-0000EC320000}"/>
    <cellStyle name="Normal 6 18 15 2" xfId="43927" xr:uid="{705B7899-2A47-475A-BD05-7193EC554E2A}"/>
    <cellStyle name="Normal 6 18 16" xfId="13223" xr:uid="{00000000-0005-0000-0000-00006B330000}"/>
    <cellStyle name="Normal 6 18 16 2" xfId="45687" xr:uid="{8B6AB617-A1A2-42A6-B3DE-D706E73B2079}"/>
    <cellStyle name="Normal 6 18 17" xfId="11412" xr:uid="{00000000-0005-0000-0000-0000EE330000}"/>
    <cellStyle name="Normal 6 18 17 2" xfId="43900" xr:uid="{D7F00E87-4B63-48FC-B750-5EFA647DB74B}"/>
    <cellStyle name="Normal 6 18 18" xfId="13279" xr:uid="{00000000-0005-0000-0000-000075340000}"/>
    <cellStyle name="Normal 6 18 18 2" xfId="45743" xr:uid="{0C5CDC32-FE03-45CA-878E-9F6DF3C468A6}"/>
    <cellStyle name="Normal 6 18 19" xfId="11328" xr:uid="{00000000-0005-0000-0000-000000350000}"/>
    <cellStyle name="Normal 6 18 19 2" xfId="43817" xr:uid="{670134A4-16C4-4E71-9FB9-E418CCDCEF1B}"/>
    <cellStyle name="Normal 6 18 2" xfId="4479" xr:uid="{00000000-0005-0000-0000-00009F110000}"/>
    <cellStyle name="Normal-- 6 18 2" xfId="41266" xr:uid="{7287C1ED-2C10-40C4-951D-F30C270FA37E}"/>
    <cellStyle name="Normal 6 18 2 10" xfId="46609" xr:uid="{7BC8C94C-84AA-45E6-BA5B-0DED6FEB7B03}"/>
    <cellStyle name="Normal 6 18 2 11" xfId="48698" xr:uid="{5AAF63EF-E3C0-4B0F-8E29-C03368E69095}"/>
    <cellStyle name="Normal 6 18 2 2" xfId="10004" xr:uid="{00000000-0005-0000-0000-0000EF1E0000}"/>
    <cellStyle name="Normal 6 18 2 2 2" xfId="42493" xr:uid="{39CBC48E-970E-4A88-B715-7A0FA9E1F712}"/>
    <cellStyle name="Normal 6 18 2 3" xfId="6614" xr:uid="{00000000-0005-0000-0000-00001F0E0000}"/>
    <cellStyle name="Normal 6 18 2 4" xfId="38517" xr:uid="{ACF72944-C011-4BA6-A6A7-5797689A1F8F}"/>
    <cellStyle name="Normal 6 18 2 5" xfId="15270" xr:uid="{65F97E20-BEB5-4EA9-9E9E-928733AF60EC}"/>
    <cellStyle name="Normal 6 18 2 6" xfId="47937" xr:uid="{43C76BBA-5D54-4657-924C-F8F218A2F14F}"/>
    <cellStyle name="Normal 6 18 2 7" xfId="13766" xr:uid="{86FBEA46-3CF2-44EA-84C4-2EAC15750BE6}"/>
    <cellStyle name="Normal 6 18 2 8" xfId="49085" xr:uid="{5BDBCE28-0CD1-4667-A0A3-35EF469CDBFF}"/>
    <cellStyle name="Normal 6 18 2 9" xfId="40116" xr:uid="{6D7B13EC-4E5F-4B05-812B-12C351247ECD}"/>
    <cellStyle name="Normal 6 18 20" xfId="15942" xr:uid="{C1C9D629-44B7-415E-84D0-857A85966743}"/>
    <cellStyle name="Normal 6 18 21" xfId="38516" xr:uid="{343E1902-1DBC-4C2B-BC9D-BF1664C0132A}"/>
    <cellStyle name="Normal 6 18 22" xfId="15269" xr:uid="{857A3652-C5B4-4F0E-BAFD-68905DD36DF3}"/>
    <cellStyle name="Normal 6 18 23" xfId="47428" xr:uid="{45748F66-4633-4501-88EC-164867A25F25}"/>
    <cellStyle name="Normal 6 18 24" xfId="15987" xr:uid="{45D7209D-FB30-49BE-A19B-397BF8EC4B2E}"/>
    <cellStyle name="Normal 6 18 25" xfId="15466" xr:uid="{CBC1D4D7-F791-4953-80B6-39E22E11BAE8}"/>
    <cellStyle name="Normal 6 18 26" xfId="14914" xr:uid="{85DEA8E8-0399-4669-865C-B7447101D1F5}"/>
    <cellStyle name="Normal 6 18 27" xfId="48406" xr:uid="{4108CE9E-A2CE-40E3-BD30-1DE9237DB00D}"/>
    <cellStyle name="Normal 6 18 28" xfId="37848" xr:uid="{123D7FC3-5142-46C9-A866-5E031725967D}"/>
    <cellStyle name="Normal 6 18 3" xfId="10003" xr:uid="{00000000-0005-0000-0000-0000EE1E0000}"/>
    <cellStyle name="Normal-- 6 18 3" xfId="46884" xr:uid="{0B7FCB3B-A885-4FB5-A797-6580313ADC80}"/>
    <cellStyle name="Normal 6 18 3 2" xfId="18153" xr:uid="{DAA9753F-9B65-48BB-881D-035FF303517F}"/>
    <cellStyle name="Normal 6 18 3 3" xfId="42492" xr:uid="{C105141F-1AEF-4574-811C-97675C4B3C54}"/>
    <cellStyle name="Normal 6 18 3 4" xfId="46396" xr:uid="{9E08A305-B8BB-4C1C-99CD-E1B202E1038C}"/>
    <cellStyle name="Normal 6 18 3 5" xfId="40637" xr:uid="{D7C70E73-DE2F-4911-A365-00A33F0F3E1D}"/>
    <cellStyle name="Normal 6 18 3 6" xfId="48703" xr:uid="{3423D4F0-E821-4D90-A8C1-CF3FABF297D0}"/>
    <cellStyle name="Normal 6 18 3 7" xfId="15409" xr:uid="{41DEEFBA-02E8-4CF4-B40C-512ED8DEB690}"/>
    <cellStyle name="Normal 6 18 3 8" xfId="15451" xr:uid="{D85AF8EE-6FD4-46AD-9907-65C8FDE1C017}"/>
    <cellStyle name="Normal 6 18 3 9" xfId="13804" xr:uid="{1E81987C-1F22-4B56-AA91-AB3C172D19C0}"/>
    <cellStyle name="Normal 6 18 4" xfId="12514" xr:uid="{00000000-0005-0000-0000-000026260000}"/>
    <cellStyle name="Normal-- 6 18 4" xfId="46649" xr:uid="{68D05FFC-BC0F-4FA3-B5EE-3159910FE01E}"/>
    <cellStyle name="Normal 6 18 4 2" xfId="44988" xr:uid="{5FAF7C9D-DB7B-4D6F-A189-6783D8648378}"/>
    <cellStyle name="Normal 6 18 4 3" xfId="47125" xr:uid="{F2FBB002-DAD9-48E4-A05A-711C50EA7C42}"/>
    <cellStyle name="Normal 6 18 4 4" xfId="16514" xr:uid="{6ED418BD-6A77-4E16-8CA6-78F5F6F017F2}"/>
    <cellStyle name="Normal 6 18 4 5" xfId="39669" xr:uid="{39F44756-C121-4860-A2C1-11787A24D6E9}"/>
    <cellStyle name="Normal 6 18 4 6" xfId="49128" xr:uid="{0840BF35-BDFB-4A24-A64C-E095EA427A0D}"/>
    <cellStyle name="Normal 6 18 4 7" xfId="49971" xr:uid="{A36C4105-776F-4A03-B949-93918AB4F646}"/>
    <cellStyle name="Normal 6 18 5" xfId="8617" xr:uid="{00000000-0005-0000-0000-000079260000}"/>
    <cellStyle name="Normal-- 6 18 5" xfId="39901" xr:uid="{4704478C-EB60-43A1-AAF0-A0E2E290A486}"/>
    <cellStyle name="Normal 6 18 5 2" xfId="41339" xr:uid="{04005791-6349-40EC-AB05-4640D416DFB0}"/>
    <cellStyle name="Normal 6 18 5 3" xfId="15477" xr:uid="{06A6B2CB-D4B2-4095-BDDA-3466AD972462}"/>
    <cellStyle name="Normal 6 18 5 4" xfId="14353" xr:uid="{2FF11A3F-E3B3-4FC6-908D-619C723D9C53}"/>
    <cellStyle name="Normal 6 18 5 5" xfId="39599" xr:uid="{8496D46F-CC1A-4671-B533-A7EFC9957B0D}"/>
    <cellStyle name="Normal 6 18 5 6" xfId="47949" xr:uid="{3B641801-9B5E-4513-B90A-7623D0A0D265}"/>
    <cellStyle name="Normal 6 18 6" xfId="12552" xr:uid="{00000000-0005-0000-0000-0000D0260000}"/>
    <cellStyle name="Normal-- 6 18 6" xfId="40256" xr:uid="{0094C564-2E92-4F7A-AAF7-B1F1AB4498FB}"/>
    <cellStyle name="Normal 6 18 6 2" xfId="45023" xr:uid="{D625E8A9-EE81-4885-A98F-2CAC13EE2C37}"/>
    <cellStyle name="Normal 6 18 6 3" xfId="15630" xr:uid="{F39B9185-B2E1-4601-A97B-F7CE8F2A08F1}"/>
    <cellStyle name="Normal 6 18 6 4" xfId="49094" xr:uid="{600DA2E6-33B9-41C6-8779-71F13CEE57D6}"/>
    <cellStyle name="Normal 6 18 6 5" xfId="49984" xr:uid="{A18C968F-8015-40C4-B204-6B5EEB092DEE}"/>
    <cellStyle name="Normal 6 18 7" xfId="8677" xr:uid="{00000000-0005-0000-0000-00002B270000}"/>
    <cellStyle name="Normal-- 6 18 7" xfId="47680" xr:uid="{DA34545A-A465-4EDB-8FA6-529E36EF3F3B}"/>
    <cellStyle name="Normal 6 18 7 2" xfId="41383" xr:uid="{B92F8B6A-E083-4F01-98B3-F33A568E2C66}"/>
    <cellStyle name="Normal 6 18 7 3" xfId="48995" xr:uid="{3A4CAFE9-94D6-4142-80D6-6081E783D31B}"/>
    <cellStyle name="Normal 6 18 7 4" xfId="48382" xr:uid="{3D9C7D7C-49B9-467E-89E3-DE2895185870}"/>
    <cellStyle name="Normal 6 18 8" xfId="12614" xr:uid="{00000000-0005-0000-0000-00008A270000}"/>
    <cellStyle name="Normal-- 6 18 8" xfId="46881" xr:uid="{1D7DB058-25C6-46B3-85AC-5BFC70A34CDA}"/>
    <cellStyle name="Normal 6 18 8 2" xfId="45085" xr:uid="{1B50F897-E5A1-48CB-894D-1C5E5FA4E0D4}"/>
    <cellStyle name="Normal 6 18 8 3" xfId="50009" xr:uid="{9C202B10-2A71-42D5-87E1-ED7CE7E0B6E4}"/>
    <cellStyle name="Normal 6 18 9" xfId="6610" xr:uid="{00000000-0005-0000-0000-00001E0E0000}"/>
    <cellStyle name="Normal-- 6 18 9" xfId="15465" xr:uid="{0EE9937D-3C12-44D8-9914-F256135571D7}"/>
    <cellStyle name="Normal 6 19" xfId="4480" xr:uid="{00000000-0005-0000-0000-0000A0110000}"/>
    <cellStyle name="Normal-- 6 19" xfId="12457" xr:uid="{00000000-0005-0000-0000-00001D260000}"/>
    <cellStyle name="Normal 6 19 10" xfId="11483" xr:uid="{00000000-0005-0000-0000-000019310000}"/>
    <cellStyle name="Normal 6 19 10 2" xfId="43971" xr:uid="{C89CC7F2-2214-4B6D-97D5-AE07DB322764}"/>
    <cellStyle name="Normal 6 19 11" xfId="13169" xr:uid="{00000000-0005-0000-0000-000088310000}"/>
    <cellStyle name="Normal 6 19 11 2" xfId="45633" xr:uid="{BC4C7E10-C607-41AA-866F-C3C0F9F9AA79}"/>
    <cellStyle name="Normal 6 19 12" xfId="11465" xr:uid="{00000000-0005-0000-0000-0000FB310000}"/>
    <cellStyle name="Normal 6 19 12 2" xfId="43953" xr:uid="{BB85665D-7C98-44B6-A893-190C2C23D2C0}"/>
    <cellStyle name="Normal 6 19 13" xfId="13194" xr:uid="{00000000-0005-0000-0000-000072320000}"/>
    <cellStyle name="Normal 6 19 13 2" xfId="45658" xr:uid="{4ADFBB80-D13C-4C3A-82BC-3001C6448995}"/>
    <cellStyle name="Normal 6 19 14" xfId="11438" xr:uid="{00000000-0005-0000-0000-0000ED320000}"/>
    <cellStyle name="Normal 6 19 14 2" xfId="43926" xr:uid="{320EFEA5-CBE0-4070-ACAD-E5B536AC1FF3}"/>
    <cellStyle name="Normal 6 19 15" xfId="13224" xr:uid="{00000000-0005-0000-0000-00006C330000}"/>
    <cellStyle name="Normal 6 19 15 2" xfId="45688" xr:uid="{23AA7E4A-4C0A-4439-839C-460789E7518F}"/>
    <cellStyle name="Normal 6 19 16" xfId="11411" xr:uid="{00000000-0005-0000-0000-0000EF330000}"/>
    <cellStyle name="Normal 6 19 16 2" xfId="43899" xr:uid="{14A7A42B-3CB2-4AA7-B064-42C6D8BA1856}"/>
    <cellStyle name="Normal 6 19 17" xfId="13280" xr:uid="{00000000-0005-0000-0000-000076340000}"/>
    <cellStyle name="Normal 6 19 17 2" xfId="45744" xr:uid="{3CFF7EAF-F2FC-4E82-8392-BB5015E1FD93}"/>
    <cellStyle name="Normal 6 19 18" xfId="11316" xr:uid="{00000000-0005-0000-0000-000001350000}"/>
    <cellStyle name="Normal 6 19 18 2" xfId="43805" xr:uid="{F8DCA8BC-E2B3-4089-9306-14DF3BB566DE}"/>
    <cellStyle name="Normal 6 19 19" xfId="15943" xr:uid="{1E7015D2-6AE1-4E7F-973E-1D810B26E975}"/>
    <cellStyle name="Normal 6 19 2" xfId="4481" xr:uid="{00000000-0005-0000-0000-0000A1110000}"/>
    <cellStyle name="Normal-- 6 19 2" xfId="44931" xr:uid="{10945B9B-B5CB-480B-9961-F692CDF20A8D}"/>
    <cellStyle name="Normal 6 19 2 10" xfId="48816" xr:uid="{5909331F-F6E1-40A9-B87F-8211763A6808}"/>
    <cellStyle name="Normal 6 19 2 11" xfId="46203" xr:uid="{6F82B4F2-B188-4A56-BB3E-744A321B21ED}"/>
    <cellStyle name="Normal 6 19 2 2" xfId="10006" xr:uid="{00000000-0005-0000-0000-0000F11E0000}"/>
    <cellStyle name="Normal 6 19 2 2 2" xfId="42495" xr:uid="{C503B100-5737-43F6-BDA9-EC5AF1B85E38}"/>
    <cellStyle name="Normal 6 19 2 3" xfId="6622" xr:uid="{00000000-0005-0000-0000-0000210E0000}"/>
    <cellStyle name="Normal 6 19 2 4" xfId="38519" xr:uid="{EC2DB713-1FAB-41E6-A17A-38744FDE1C0F}"/>
    <cellStyle name="Normal 6 19 2 5" xfId="15272" xr:uid="{943E9F77-F21E-4F48-9B94-4EFD43D8A81A}"/>
    <cellStyle name="Normal 6 19 2 6" xfId="47964" xr:uid="{E750AAC4-8F9F-4342-8327-754386BC7617}"/>
    <cellStyle name="Normal 6 19 2 7" xfId="46643" xr:uid="{4081FF56-2D9F-40BC-B703-DCCC3275EED7}"/>
    <cellStyle name="Normal 6 19 2 8" xfId="47814" xr:uid="{285F226A-7AC2-4108-BEC7-4E2C1C3F29D4}"/>
    <cellStyle name="Normal 6 19 2 9" xfId="15182" xr:uid="{586A6C03-ED0A-4D9D-AFDF-76055A9A7AB6}"/>
    <cellStyle name="Normal 6 19 20" xfId="38518" xr:uid="{D660A138-BD84-4DD9-A931-D6775C2661F1}"/>
    <cellStyle name="Normal 6 19 21" xfId="15271" xr:uid="{3D49B260-2558-46AB-B5EF-85C1F43B7922}"/>
    <cellStyle name="Normal 6 19 22" xfId="48689" xr:uid="{3AB05E4F-1077-4D55-A5C2-F0A937BC68B4}"/>
    <cellStyle name="Normal 6 19 23" xfId="15999" xr:uid="{4F086321-2555-468E-A986-D4134881AD64}"/>
    <cellStyle name="Normal 6 19 24" xfId="37731" xr:uid="{E08916C2-84AC-4492-B2A0-B9CBC28B7311}"/>
    <cellStyle name="Normal 6 19 25" xfId="48117" xr:uid="{802FAE5B-5E2D-49B5-A2B4-AC07939253F5}"/>
    <cellStyle name="Normal 6 19 26" xfId="49109" xr:uid="{52B6994E-E474-425E-8DF5-569E0CADA020}"/>
    <cellStyle name="Normal 6 19 27" xfId="48920" xr:uid="{935FC1EC-2B39-42FE-BF63-56DEA029D02C}"/>
    <cellStyle name="Normal 6 19 3" xfId="10005" xr:uid="{00000000-0005-0000-0000-0000F01E0000}"/>
    <cellStyle name="Normal-- 6 19 3" xfId="48331" xr:uid="{B0398280-47DD-4CEF-BFCC-3D75BF8D0CF1}"/>
    <cellStyle name="Normal 6 19 3 2" xfId="18154" xr:uid="{0D8BA0E8-D451-47AE-9D73-8E528893CC59}"/>
    <cellStyle name="Normal 6 19 3 3" xfId="42494" xr:uid="{3364DC07-1E3E-4A01-AE1E-17EE60A27A41}"/>
    <cellStyle name="Normal 6 19 3 4" xfId="37834" xr:uid="{6F52BC48-7BCD-40D5-82DD-247282488EF1}"/>
    <cellStyle name="Normal 6 19 3 5" xfId="46819" xr:uid="{652A4BCC-8EA3-4724-B458-9CAE6329B5DF}"/>
    <cellStyle name="Normal 6 19 3 6" xfId="37928" xr:uid="{7D6932C5-CBF4-4D2E-A1C6-314658F278F5}"/>
    <cellStyle name="Normal 6 19 3 7" xfId="48817" xr:uid="{95D258E3-776B-4778-AA92-A6AB8C8D3B1E}"/>
    <cellStyle name="Normal 6 19 3 8" xfId="49194" xr:uid="{9FCDC709-873B-4918-B148-C1BA9B5D494E}"/>
    <cellStyle name="Normal 6 19 3 9" xfId="46115" xr:uid="{82657AA6-A46B-4839-9B7D-A78AD245C746}"/>
    <cellStyle name="Normal 6 19 4" xfId="8619" xr:uid="{00000000-0005-0000-0000-00007A260000}"/>
    <cellStyle name="Normal-- 6 19 4" xfId="41878" xr:uid="{09C5BAA0-3338-4CB6-968B-64B6F2FF2141}"/>
    <cellStyle name="Normal 6 19 4 2" xfId="41340" xr:uid="{1DFBDEA8-56F8-4547-8226-616649C2C16C}"/>
    <cellStyle name="Normal 6 19 4 3" xfId="47603" xr:uid="{3B2ABB4B-2645-419B-AE75-017E77DC784F}"/>
    <cellStyle name="Normal 6 19 4 4" xfId="48697" xr:uid="{7A7A79B9-9CDD-4C30-8967-D620E226CCD2}"/>
    <cellStyle name="Normal 6 19 4 5" xfId="46734" xr:uid="{88B45C7C-1CFE-42A7-87F1-044EF0B5384F}"/>
    <cellStyle name="Normal 6 19 4 6" xfId="49168" xr:uid="{A715CB27-874B-42E1-A20F-98045B0D28A2}"/>
    <cellStyle name="Normal 6 19 4 7" xfId="40292" xr:uid="{5F2A0577-8C4B-4AEE-9F9A-B1B05DFA697A}"/>
    <cellStyle name="Normal 6 19 5" xfId="12556" xr:uid="{00000000-0005-0000-0000-0000D1260000}"/>
    <cellStyle name="Normal-- 6 19 5" xfId="47320" xr:uid="{1E73616D-127E-4E23-9736-2B5DD83F4527}"/>
    <cellStyle name="Normal 6 19 5 2" xfId="45027" xr:uid="{1DFE0E04-822C-4374-8E0A-164C22A8A7B4}"/>
    <cellStyle name="Normal 6 19 5 3" xfId="37973" xr:uid="{334B43B6-D2FF-4C2E-AE08-487CF8ADC7CC}"/>
    <cellStyle name="Normal 6 19 5 4" xfId="39591" xr:uid="{796AD7F9-650F-49DC-8CF7-AD5955F807C9}"/>
    <cellStyle name="Normal 6 19 5 5" xfId="37998" xr:uid="{B690BEDE-97E6-411D-B59F-1C2980C7472F}"/>
    <cellStyle name="Normal 6 19 5 6" xfId="49987" xr:uid="{18746353-DA1A-4DEF-9F55-B94772FD3653}"/>
    <cellStyle name="Normal 6 19 6" xfId="8680" xr:uid="{00000000-0005-0000-0000-00002C270000}"/>
    <cellStyle name="Normal-- 6 19 6" xfId="48109" xr:uid="{E2BDD6B0-51FE-4ABD-AB6F-3F3DC7C59AF6}"/>
    <cellStyle name="Normal 6 19 6 2" xfId="41385" xr:uid="{8C4F0175-95F8-454E-BAE7-0D26073CF2E4}"/>
    <cellStyle name="Normal 6 19 6 3" xfId="14907" xr:uid="{DA467B46-22D9-486D-95EE-43B1B82F239F}"/>
    <cellStyle name="Normal 6 19 6 4" xfId="48986" xr:uid="{029EA02E-C4DC-459D-8525-2875E8BBBBEC}"/>
    <cellStyle name="Normal 6 19 6 5" xfId="46188" xr:uid="{CBEA64F9-1595-4B97-9764-E0F3BDCB1AEC}"/>
    <cellStyle name="Normal 6 19 7" xfId="12616" xr:uid="{00000000-0005-0000-0000-00008B270000}"/>
    <cellStyle name="Normal-- 6 19 7" xfId="47708" xr:uid="{009240AF-5083-4540-B31B-B88583C46A44}"/>
    <cellStyle name="Normal 6 19 7 2" xfId="45087" xr:uid="{626B4FB4-27AC-4788-ABEF-06C184382B09}"/>
    <cellStyle name="Normal 6 19 7 3" xfId="47637" xr:uid="{0B06A454-E2E8-4078-8E07-51DA11514A84}"/>
    <cellStyle name="Normal 6 19 7 4" xfId="50010" xr:uid="{4684A275-41DD-4BC5-8526-4F7C1139FD1C}"/>
    <cellStyle name="Normal 6 19 8" xfId="6615" xr:uid="{00000000-0005-0000-0000-0000200E0000}"/>
    <cellStyle name="Normal-- 6 19 8" xfId="37768" xr:uid="{C5D10333-9776-41CF-9034-735519D7DBCC}"/>
    <cellStyle name="Normal 6 19 9" xfId="13151" xr:uid="{00000000-0005-0000-0000-0000AE300000}"/>
    <cellStyle name="Normal-- 6 19 9" xfId="49955" xr:uid="{A1C4F455-A7C3-45F4-B90C-E6EAB0501E84}"/>
    <cellStyle name="Normal 6 19 9 2" xfId="45615" xr:uid="{5CACF546-64C0-4D18-B3E4-0952737B43CD}"/>
    <cellStyle name="Normal 6 2" xfId="4482" xr:uid="{00000000-0005-0000-0000-0000A2110000}"/>
    <cellStyle name="Normal-- 6 2" xfId="9962" xr:uid="{00000000-0005-0000-0000-0000C51E0000}"/>
    <cellStyle name="Normal 6 2 10" xfId="8431" xr:uid="{00000000-0005-0000-0000-000021230000}"/>
    <cellStyle name="Normal 6 2 10 2" xfId="41201" xr:uid="{CB048289-3C14-4F78-B745-10E7DC376657}"/>
    <cellStyle name="Normal 6 2 11" xfId="12358" xr:uid="{00000000-0005-0000-0000-000038230000}"/>
    <cellStyle name="Normal 6 2 11 2" xfId="44839" xr:uid="{72013C3A-FE6A-4B4D-901C-15DDE555554A}"/>
    <cellStyle name="Normal 6 2 12" xfId="8442" xr:uid="{00000000-0005-0000-0000-000053230000}"/>
    <cellStyle name="Normal 6 2 12 2" xfId="41212" xr:uid="{7FD9ED23-AB39-4758-B8BB-61751CF14E3B}"/>
    <cellStyle name="Normal 6 2 13" xfId="12370" xr:uid="{00000000-0005-0000-0000-000072230000}"/>
    <cellStyle name="Normal 6 2 13 2" xfId="44851" xr:uid="{5299FF46-6989-459A-B088-7DC16EE5B8F9}"/>
    <cellStyle name="Normal 6 2 14" xfId="8455" xr:uid="{00000000-0005-0000-0000-000095230000}"/>
    <cellStyle name="Normal 6 2 14 2" xfId="41224" xr:uid="{E56C5E06-EC7A-43A7-B0EC-0DA965A19A3B}"/>
    <cellStyle name="Normal 6 2 15" xfId="12383" xr:uid="{00000000-0005-0000-0000-0000BC230000}"/>
    <cellStyle name="Normal 6 2 15 2" xfId="44863" xr:uid="{D875B7F4-6B4D-4628-A63D-B7014C136549}"/>
    <cellStyle name="Normal 6 2 16" xfId="8471" xr:uid="{00000000-0005-0000-0000-0000E7230000}"/>
    <cellStyle name="Normal 6 2 16 2" xfId="41237" xr:uid="{54898555-A918-4D4B-9FE5-BC50A742B028}"/>
    <cellStyle name="Normal 6 2 17" xfId="12398" xr:uid="{00000000-0005-0000-0000-000017240000}"/>
    <cellStyle name="Normal 6 2 17 2" xfId="44878" xr:uid="{7738C8B2-6CC9-4139-98C4-394C3A444ED4}"/>
    <cellStyle name="Normal 6 2 18" xfId="8489" xr:uid="{00000000-0005-0000-0000-00004B240000}"/>
    <cellStyle name="Normal 6 2 18 2" xfId="41246" xr:uid="{932EC3FE-71C7-4B2A-AD1F-A850C84ADE48}"/>
    <cellStyle name="Normal 6 2 19" xfId="12418" xr:uid="{00000000-0005-0000-0000-000083240000}"/>
    <cellStyle name="Normal 6 2 19 2" xfId="44894" xr:uid="{8B3BD207-7645-4A44-A0C9-6047DD0FD8D5}"/>
    <cellStyle name="Normal 6 2 2" xfId="4483" xr:uid="{00000000-0005-0000-0000-0000A3110000}"/>
    <cellStyle name="Normal-- 6 2 2" xfId="42451" xr:uid="{0C23A5A3-1085-46E3-8ACC-56452B5C0D26}"/>
    <cellStyle name="Normal 6 2 2 10" xfId="15274" xr:uid="{F2C1E4D3-EABB-4DE9-8F2E-2EB995ABB51D}"/>
    <cellStyle name="Normal 6 2 2 11" xfId="46175" xr:uid="{41D5D483-CD82-4BBE-ABD8-CBFF151AF229}"/>
    <cellStyle name="Normal 6 2 2 12" xfId="13906" xr:uid="{DD425590-74F6-4305-8A94-BE484BE44A69}"/>
    <cellStyle name="Normal 6 2 2 13" xfId="47127" xr:uid="{9BD28573-6C0D-426E-9638-0E51595AB56C}"/>
    <cellStyle name="Normal 6 2 2 14" xfId="40745" xr:uid="{F7F288BB-51D1-465F-9479-DB477B53B354}"/>
    <cellStyle name="Normal 6 2 2 15" xfId="46713" xr:uid="{AA5B764C-1704-41CA-99EA-988864623D82}"/>
    <cellStyle name="Normal 6 2 2 16" xfId="15062" xr:uid="{88E8F366-87FA-481C-9B4B-FE7E7A412A5F}"/>
    <cellStyle name="Normal 6 2 2 2" xfId="4484" xr:uid="{00000000-0005-0000-0000-0000A4110000}"/>
    <cellStyle name="Normal 6 2 2 2 2" xfId="10009" xr:uid="{00000000-0005-0000-0000-0000F41E0000}"/>
    <cellStyle name="Normal 6 2 2 2 2 2" xfId="17756" xr:uid="{EAEDAB34-9FD4-4AE1-9238-3DBBF81A16C8}"/>
    <cellStyle name="Normal 6 2 2 2 2 2 2" xfId="18487" xr:uid="{8447DA4A-7B7B-42FD-AC21-78CA57F8EDAF}"/>
    <cellStyle name="Normal 6 2 2 2 2 3" xfId="18658" xr:uid="{9A85FAF5-DC02-4EC9-AB21-71C380484B0C}"/>
    <cellStyle name="Normal 6 2 2 2 2 4" xfId="17488" xr:uid="{9CB991AA-F982-413D-A5C7-5F0FDECD4ED6}"/>
    <cellStyle name="Normal 6 2 2 2 2 5" xfId="42498" xr:uid="{A9C319AA-E5ED-43E2-A476-3D55EED0D040}"/>
    <cellStyle name="Normal 6 2 2 2 3" xfId="17669" xr:uid="{E847F4AD-AF85-4AA4-BEF7-BAACB5890E2B}"/>
    <cellStyle name="Normal 6 2 2 2 3 2" xfId="18546" xr:uid="{D1EB8998-2A0A-47D8-B4C5-1247A369D947}"/>
    <cellStyle name="Normal 6 2 2 2 4" xfId="18328" xr:uid="{EA220131-FB01-4954-85D7-BAC723DA92E9}"/>
    <cellStyle name="Normal 6 2 2 2 5" xfId="17304" xr:uid="{769ABD1B-4CAB-40A4-A114-3BFBE6D35813}"/>
    <cellStyle name="Normal 6 2 2 2 6" xfId="38522" xr:uid="{A37DACE6-5B86-4DF9-AEDE-D1BF25D2735F}"/>
    <cellStyle name="Normal 6 2 2 3" xfId="10008" xr:uid="{00000000-0005-0000-0000-0000F31E0000}"/>
    <cellStyle name="Normal 6 2 2 3 2" xfId="17722" xr:uid="{6FB4404B-D176-4001-B10F-39D7FBE91458}"/>
    <cellStyle name="Normal 6 2 2 3 2 2" xfId="18511" xr:uid="{E1195961-BB40-4CA3-B094-E98364160ABB}"/>
    <cellStyle name="Normal 6 2 2 3 3" xfId="18683" xr:uid="{008C8756-E62A-4D7E-A3CD-D8BB7182044A}"/>
    <cellStyle name="Normal 6 2 2 3 4" xfId="17459" xr:uid="{AAA12E53-D6CB-48AD-BDB5-D2274F386F03}"/>
    <cellStyle name="Normal 6 2 2 3 5" xfId="42497" xr:uid="{EBCD73FF-0921-4537-8A28-208261731968}"/>
    <cellStyle name="Normal 6 2 2 4" xfId="6626" xr:uid="{00000000-0005-0000-0000-0000230E0000}"/>
    <cellStyle name="Normal 6 2 2 4 2" xfId="17868" xr:uid="{CBFC5601-6911-4069-888C-281D3F676BB5}"/>
    <cellStyle name="Normal 6 2 2 4 2 2" xfId="18409" xr:uid="{B9A57D5A-EDBF-4DAA-A575-2A96CB270CE9}"/>
    <cellStyle name="Normal 6 2 2 4 3" xfId="18585" xr:uid="{31954CD1-7BAA-4B8F-B307-EE222B009B27}"/>
    <cellStyle name="Normal 6 2 2 4 4" xfId="17603" xr:uid="{3166E99D-04C3-4634-9F21-D997ED5CC765}"/>
    <cellStyle name="Normal 6 2 2 5" xfId="17635" xr:uid="{31D8EA2A-B7FE-4D88-99A5-7EE5F203F2DD}"/>
    <cellStyle name="Normal 6 2 2 5 2" xfId="18570" xr:uid="{F6961730-DE42-4E0F-908D-4752A6DC3967}"/>
    <cellStyle name="Normal 6 2 2 6" xfId="18156" xr:uid="{6804C7B2-720F-4726-9663-B3356050751D}"/>
    <cellStyle name="Normal 6 2 2 6 2" xfId="23697" xr:uid="{E67B748B-C02E-440B-949C-D15C1E9EC7AA}"/>
    <cellStyle name="Normal 6 2 2 7" xfId="24393" xr:uid="{65C069A6-B24F-4973-9226-849F3466D9BC}"/>
    <cellStyle name="Normal 6 2 2 8" xfId="15945" xr:uid="{AD30697C-89DB-44D7-8C4A-D992CDF9B8DD}"/>
    <cellStyle name="Normal 6 2 2 9" xfId="38521" xr:uid="{B2B621C9-7B6D-4F44-87AA-D8E9F1E47131}"/>
    <cellStyle name="Normal 6 2 20" xfId="8515" xr:uid="{00000000-0005-0000-0000-0000BF240000}"/>
    <cellStyle name="Normal 6 2 20 2" xfId="41264" xr:uid="{6DCC7111-87D2-498F-93B4-B101EBF709CF}"/>
    <cellStyle name="Normal 6 2 21" xfId="12442" xr:uid="{00000000-0005-0000-0000-0000FF240000}"/>
    <cellStyle name="Normal 6 2 21 2" xfId="44916" xr:uid="{4A8DD962-96CD-480A-BBEF-4C217C3F4768}"/>
    <cellStyle name="Normal 6 2 22" xfId="8545" xr:uid="{00000000-0005-0000-0000-000043250000}"/>
    <cellStyle name="Normal 6 2 22 2" xfId="41286" xr:uid="{7A3281EB-CB14-4F3D-B981-B14A603D7C13}"/>
    <cellStyle name="Normal 6 2 23" xfId="12476" xr:uid="{00000000-0005-0000-0000-00008B250000}"/>
    <cellStyle name="Normal 6 2 23 2" xfId="44950" xr:uid="{86940D29-0633-41B8-BCC4-BF739E128501}"/>
    <cellStyle name="Normal 6 2 24" xfId="8581" xr:uid="{00000000-0005-0000-0000-0000D7250000}"/>
    <cellStyle name="Normal 6 2 24 2" xfId="41312" xr:uid="{3087DF81-DF99-4F81-ADB0-F1EC7B91DD9C}"/>
    <cellStyle name="Normal 6 2 25" xfId="12520" xr:uid="{00000000-0005-0000-0000-000027260000}"/>
    <cellStyle name="Normal 6 2 25 2" xfId="44993" xr:uid="{01CDB178-3AF4-4E06-8737-26D6CC69FD22}"/>
    <cellStyle name="Normal 6 2 26" xfId="8621" xr:uid="{00000000-0005-0000-0000-00007B260000}"/>
    <cellStyle name="Normal 6 2 26 2" xfId="41342" xr:uid="{FB2DB1C0-B793-4E19-A0A1-EA10BA70944C}"/>
    <cellStyle name="Normal 6 2 27" xfId="12560" xr:uid="{00000000-0005-0000-0000-0000D2260000}"/>
    <cellStyle name="Normal 6 2 27 2" xfId="45031" xr:uid="{6ED86BB1-0C72-46CE-85DA-FA9F9654DF31}"/>
    <cellStyle name="Normal 6 2 28" xfId="8682" xr:uid="{00000000-0005-0000-0000-00002D270000}"/>
    <cellStyle name="Normal 6 2 28 2" xfId="41386" xr:uid="{8178BCE9-C665-473F-A368-0797719869B7}"/>
    <cellStyle name="Normal 6 2 29" xfId="12623" xr:uid="{00000000-0005-0000-0000-00008C270000}"/>
    <cellStyle name="Normal 6 2 29 2" xfId="45094" xr:uid="{6D897B72-9016-4C71-864B-93AE9BA33C5E}"/>
    <cellStyle name="Normal 6 2 3" xfId="4485" xr:uid="{00000000-0005-0000-0000-0000A5110000}"/>
    <cellStyle name="Normal-- 6 2 3" xfId="47419" xr:uid="{9867ADE9-3915-47F4-BC43-7BB54DCE9E31}"/>
    <cellStyle name="Normal 6 2 3 10" xfId="48189" xr:uid="{38CCFEE3-9910-49FF-9B81-817133E0D479}"/>
    <cellStyle name="Normal 6 2 3 11" xfId="40825" xr:uid="{001785A5-CD24-44A9-92F8-358F15F92B17}"/>
    <cellStyle name="Normal 6 2 3 12" xfId="39569" xr:uid="{B880AC19-6919-490C-B643-29F75695F5A0}"/>
    <cellStyle name="Normal 6 2 3 2" xfId="4486" xr:uid="{00000000-0005-0000-0000-0000A6110000}"/>
    <cellStyle name="Normal 6 2 3 2 2" xfId="10011" xr:uid="{00000000-0005-0000-0000-0000F61E0000}"/>
    <cellStyle name="Normal 6 2 3 2 2 2" xfId="42500" xr:uid="{7E207C74-5CBD-470F-9A9F-6DC428F87058}"/>
    <cellStyle name="Normal 6 2 3 2 3" xfId="17305" xr:uid="{E417E018-9641-40FD-BC3F-01BFD438A82A}"/>
    <cellStyle name="Normal 6 2 3 2 4" xfId="38524" xr:uid="{38748502-AB1E-4117-AF91-01D0FF218D1D}"/>
    <cellStyle name="Normal 6 2 3 3" xfId="10010" xr:uid="{00000000-0005-0000-0000-0000F51E0000}"/>
    <cellStyle name="Normal 6 2 3 3 2" xfId="18157" xr:uid="{9B971D09-A91D-495A-9C77-5C6EEFE112CC}"/>
    <cellStyle name="Normal 6 2 3 3 3" xfId="42499" xr:uid="{D156399E-2934-44FC-852C-5E0B90876CEF}"/>
    <cellStyle name="Normal 6 2 3 4" xfId="6633" xr:uid="{00000000-0005-0000-0000-0000240E0000}"/>
    <cellStyle name="Normal 6 2 3 5" xfId="15946" xr:uid="{ADF3FD81-2A9C-49DA-9413-572AF49BEF72}"/>
    <cellStyle name="Normal 6 2 3 6" xfId="38523" xr:uid="{72A54443-5A0D-49BA-B7F9-BC87C8519FD8}"/>
    <cellStyle name="Normal 6 2 3 7" xfId="47981" xr:uid="{B2E846F1-5483-4A8D-9834-FB8D9DD92FE8}"/>
    <cellStyle name="Normal 6 2 3 8" xfId="37823" xr:uid="{3B771C26-5ED6-4C8A-80C6-706E5549BAB3}"/>
    <cellStyle name="Normal 6 2 3 9" xfId="15507" xr:uid="{9AF04885-B4CC-44A2-A9F8-F0D95ADE1B61}"/>
    <cellStyle name="Normal 6 2 30" xfId="6623" xr:uid="{00000000-0005-0000-0000-0000220E0000}"/>
    <cellStyle name="Normal 6 2 31" xfId="13152" xr:uid="{00000000-0005-0000-0000-0000AF300000}"/>
    <cellStyle name="Normal 6 2 31 2" xfId="45616" xr:uid="{2BDB477C-B772-4B4C-9FBF-959F1659A5C6}"/>
    <cellStyle name="Normal 6 2 32" xfId="11482" xr:uid="{00000000-0005-0000-0000-00001A310000}"/>
    <cellStyle name="Normal 6 2 32 2" xfId="43970" xr:uid="{C472069F-525C-47E1-8388-D01CF22C206E}"/>
    <cellStyle name="Normal 6 2 33" xfId="13171" xr:uid="{00000000-0005-0000-0000-000089310000}"/>
    <cellStyle name="Normal 6 2 33 2" xfId="45635" xr:uid="{E0D87ECA-2D67-4306-8D81-EC6A2E47B474}"/>
    <cellStyle name="Normal 6 2 34" xfId="11462" xr:uid="{00000000-0005-0000-0000-0000FC310000}"/>
    <cellStyle name="Normal 6 2 34 2" xfId="43950" xr:uid="{C90C0106-31B0-45E5-89B0-B4888F626544}"/>
    <cellStyle name="Normal 6 2 35" xfId="13196" xr:uid="{00000000-0005-0000-0000-000073320000}"/>
    <cellStyle name="Normal 6 2 35 2" xfId="45660" xr:uid="{785AB469-E826-456C-BDC1-C405DB261487}"/>
    <cellStyle name="Normal 6 2 36" xfId="11436" xr:uid="{00000000-0005-0000-0000-0000EE320000}"/>
    <cellStyle name="Normal 6 2 36 2" xfId="43924" xr:uid="{2CBBF9DA-9D33-42D6-ADA5-2C35721AF421}"/>
    <cellStyle name="Normal 6 2 37" xfId="13225" xr:uid="{00000000-0005-0000-0000-00006D330000}"/>
    <cellStyle name="Normal 6 2 37 2" xfId="45689" xr:uid="{AB65FAC9-DABE-416C-852F-2E17BB9F9359}"/>
    <cellStyle name="Normal 6 2 38" xfId="11410" xr:uid="{00000000-0005-0000-0000-0000F0330000}"/>
    <cellStyle name="Normal 6 2 38 2" xfId="43898" xr:uid="{C0131C4A-3163-4432-8D9D-A32D20E2AA31}"/>
    <cellStyle name="Normal 6 2 39" xfId="13310" xr:uid="{00000000-0005-0000-0000-000077340000}"/>
    <cellStyle name="Normal 6 2 39 2" xfId="45774" xr:uid="{3832DBF9-937A-4E77-84C6-0C1EB2086D8D}"/>
    <cellStyle name="Normal 6 2 4" xfId="4487" xr:uid="{00000000-0005-0000-0000-0000A7110000}"/>
    <cellStyle name="Normal-- 6 2 4" xfId="48179" xr:uid="{C41EBBC6-7562-4C14-846B-1183D28A7E79}"/>
    <cellStyle name="Normal 6 2 4 2" xfId="10012" xr:uid="{00000000-0005-0000-0000-0000F71E0000}"/>
    <cellStyle name="Normal 6 2 4 2 2" xfId="42501" xr:uid="{1758136A-1F34-46F9-9809-39CAF049D266}"/>
    <cellStyle name="Normal 6 2 4 3" xfId="6634" xr:uid="{00000000-0005-0000-0000-0000250E0000}"/>
    <cellStyle name="Normal 6 2 4 4" xfId="38525" xr:uid="{930291AF-AC4F-48C7-B189-8CDF6F93D359}"/>
    <cellStyle name="Normal 6 2 4 5" xfId="46179" xr:uid="{DDED75DE-987E-4693-85BF-058A5BEB9610}"/>
    <cellStyle name="Normal 6 2 4 6" xfId="37991" xr:uid="{0E33CC4E-E13F-42C9-AE68-2DCF961D9B49}"/>
    <cellStyle name="Normal 6 2 4 7" xfId="15504" xr:uid="{621E7FF3-0285-4880-A93B-715E05B4B396}"/>
    <cellStyle name="Normal 6 2 4 8" xfId="47992" xr:uid="{53917C52-72B3-4395-95AA-46D3BA01603F}"/>
    <cellStyle name="Normal 6 2 4 9" xfId="14927" xr:uid="{F1513322-9804-4EEF-A17E-67B712F89A80}"/>
    <cellStyle name="Normal 6 2 40" xfId="11312" xr:uid="{00000000-0005-0000-0000-000002350000}"/>
    <cellStyle name="Normal 6 2 40 2" xfId="43801" xr:uid="{6484A109-FE95-44B7-B7DA-3CF64E678688}"/>
    <cellStyle name="Normal 6 2 41" xfId="15944" xr:uid="{09ED8EA7-28C9-46BB-B642-B3BC87343692}"/>
    <cellStyle name="Normal 6 2 42" xfId="38520" xr:uid="{41B944EB-F9C9-41AD-9B47-8C890750592E}"/>
    <cellStyle name="Normal 6 2 43" xfId="15273" xr:uid="{F146D0D8-3D43-4BF2-AC2F-22AACD44521F}"/>
    <cellStyle name="Normal 6 2 44" xfId="48665" xr:uid="{7863724C-6587-4B93-B518-52E8ECF5E33A}"/>
    <cellStyle name="Normal 6 2 45" xfId="16006" xr:uid="{5E5B4028-BC06-4712-9E2E-861A54291E5E}"/>
    <cellStyle name="Normal 6 2 46" xfId="14939" xr:uid="{54DAA901-904B-4A7B-B195-B8E72A030AAF}"/>
    <cellStyle name="Normal 6 2 47" xfId="15015" xr:uid="{12521D98-CCC0-4D8D-82B5-4A72765B5816}"/>
    <cellStyle name="Normal 6 2 48" xfId="14933" xr:uid="{0CF01B34-6AD4-4990-9FAB-D9D44060B7EB}"/>
    <cellStyle name="Normal 6 2 49" xfId="49177" xr:uid="{92186E45-5D91-4FF7-914B-25BEFA56B5C4}"/>
    <cellStyle name="Normal 6 2 5" xfId="4488" xr:uid="{00000000-0005-0000-0000-0000A8110000}"/>
    <cellStyle name="Normal-- 6 2 5" xfId="47655" xr:uid="{3A4C4938-47B5-4156-96B5-BE5BDCC5DE7E}"/>
    <cellStyle name="Normal 6 2 5 2" xfId="10013" xr:uid="{00000000-0005-0000-0000-0000F81E0000}"/>
    <cellStyle name="Normal 6 2 5 2 2" xfId="42502" xr:uid="{F7CD3955-8001-4D85-9923-931016B3E1A3}"/>
    <cellStyle name="Normal 6 2 5 3" xfId="6637" xr:uid="{00000000-0005-0000-0000-0000260E0000}"/>
    <cellStyle name="Normal 6 2 5 4" xfId="38526" xr:uid="{8C9DE8BB-64D2-43B9-81F2-844B556665E2}"/>
    <cellStyle name="Normal 6 2 5 5" xfId="40306" xr:uid="{AB47EA1C-80E3-418D-B9A8-68CBF97B5827}"/>
    <cellStyle name="Normal 6 2 5 6" xfId="48280" xr:uid="{390E559B-4ACE-42D3-B78C-52BCD0587306}"/>
    <cellStyle name="Normal 6 2 5 7" xfId="41433" xr:uid="{1A0CEA35-09BD-4646-B481-086BB798833E}"/>
    <cellStyle name="Normal 6 2 5 8" xfId="47888" xr:uid="{D9672294-DFB2-42C5-BABC-4C8CB671BE47}"/>
    <cellStyle name="Normal 6 2 6" xfId="4489" xr:uid="{00000000-0005-0000-0000-0000A9110000}"/>
    <cellStyle name="Normal-- 6 2 6" xfId="47369" xr:uid="{0491A9FD-00D5-4621-91CF-11E146D53A4E}"/>
    <cellStyle name="Normal 6 2 6 2" xfId="10014" xr:uid="{00000000-0005-0000-0000-0000F91E0000}"/>
    <cellStyle name="Normal 6 2 6 2 2" xfId="42503" xr:uid="{E1D53AF0-205B-4FAE-8B0D-158EE5FD6D4B}"/>
    <cellStyle name="Normal 6 2 6 3" xfId="17340" xr:uid="{2A1FF439-68FD-4282-99E5-334EE0D3BFCD}"/>
    <cellStyle name="Normal 6 2 6 4" xfId="38527" xr:uid="{7E55E1BD-ACF9-468F-A6B5-815569C83104}"/>
    <cellStyle name="Normal 6 2 6 5" xfId="48774" xr:uid="{7E072BCE-16A0-4B3F-9FC8-2E7823A230CE}"/>
    <cellStyle name="Normal 6 2 6 6" xfId="46712" xr:uid="{9BD6562E-F685-4BDE-9606-3CB9647DFFFC}"/>
    <cellStyle name="Normal 6 2 6 7" xfId="14145" xr:uid="{EEED9473-51D3-4D53-A2C4-B0FB35718971}"/>
    <cellStyle name="Normal 6 2 7" xfId="4490" xr:uid="{00000000-0005-0000-0000-0000AA110000}"/>
    <cellStyle name="Normal-- 6 2 7" xfId="40744" xr:uid="{93EF0587-B0C6-4A85-BDFD-C0CD60D3F27D}"/>
    <cellStyle name="Normal 6 2 7 2" xfId="10015" xr:uid="{00000000-0005-0000-0000-0000FA1E0000}"/>
    <cellStyle name="Normal 6 2 7 2 2" xfId="42504" xr:uid="{C4F31CEA-2874-4BA3-A380-30DEF04A30FC}"/>
    <cellStyle name="Normal 6 2 7 3" xfId="17343" xr:uid="{C0A85F78-B793-4F06-A81D-8CD92E092758}"/>
    <cellStyle name="Normal 6 2 7 4" xfId="38528" xr:uid="{97481883-1743-4D3A-9DCB-855E9205D8EB}"/>
    <cellStyle name="Normal 6 2 7 5" xfId="47854" xr:uid="{C4B77E3F-010F-458F-9339-AAB3816308E1}"/>
    <cellStyle name="Normal 6 2 7 6" xfId="48906" xr:uid="{3E199A28-6385-48D6-B02D-9F10E88DAD46}"/>
    <cellStyle name="Normal 6 2 8" xfId="10007" xr:uid="{00000000-0005-0000-0000-0000F21E0000}"/>
    <cellStyle name="Normal-- 6 2 8" xfId="40280" xr:uid="{C1E8BE46-7156-4EF4-8443-49D74694E344}"/>
    <cellStyle name="Normal 6 2 8 2" xfId="18155" xr:uid="{58966DB1-DA82-4B22-A55C-C80DC1482ABD}"/>
    <cellStyle name="Normal 6 2 8 3" xfId="42496" xr:uid="{93331AA0-B50E-45A3-AEE2-42BA6EF882E7}"/>
    <cellStyle name="Normal 6 2 8 4" xfId="49336" xr:uid="{8701BA28-6DAD-4389-A2FC-4A40B09BCAF2}"/>
    <cellStyle name="Normal 6 2 9" xfId="12348" xr:uid="{00000000-0005-0000-0000-00000E230000}"/>
    <cellStyle name="Normal-- 6 2 9" xfId="39936" xr:uid="{4C4D99E6-85FC-42C7-A988-6C946CC9FF63}"/>
    <cellStyle name="Normal 6 2 9 2" xfId="44829" xr:uid="{139AD1AA-AEF6-4386-9E5E-A1D73BC4AB7E}"/>
    <cellStyle name="Normal 6 20" xfId="4491" xr:uid="{00000000-0005-0000-0000-0000AB110000}"/>
    <cellStyle name="Normal-- 6 20" xfId="8553" xr:uid="{00000000-0005-0000-0000-000070260000}"/>
    <cellStyle name="Normal 6 20 10" xfId="13173" xr:uid="{00000000-0005-0000-0000-00008A310000}"/>
    <cellStyle name="Normal 6 20 10 2" xfId="45637" xr:uid="{106A11A2-19CD-46BE-8912-3EE3FC687428}"/>
    <cellStyle name="Normal 6 20 11" xfId="11460" xr:uid="{00000000-0005-0000-0000-0000FD310000}"/>
    <cellStyle name="Normal 6 20 11 2" xfId="43948" xr:uid="{32432860-8D5B-4756-9DED-BCBF65C412A5}"/>
    <cellStyle name="Normal 6 20 12" xfId="13201" xr:uid="{00000000-0005-0000-0000-000074320000}"/>
    <cellStyle name="Normal 6 20 12 2" xfId="45665" xr:uid="{0E96FD2E-7EDF-4640-AC62-67AAAA017CE9}"/>
    <cellStyle name="Normal 6 20 13" xfId="11431" xr:uid="{00000000-0005-0000-0000-0000EF320000}"/>
    <cellStyle name="Normal 6 20 13 2" xfId="43919" xr:uid="{C22D8F2D-F9E1-43EF-B013-17E9CBEE5EFD}"/>
    <cellStyle name="Normal 6 20 14" xfId="13230" xr:uid="{00000000-0005-0000-0000-00006E330000}"/>
    <cellStyle name="Normal 6 20 14 2" xfId="45694" xr:uid="{4A8E368E-4F0E-4513-84E5-A907DF8F2F33}"/>
    <cellStyle name="Normal 6 20 15" xfId="11389" xr:uid="{00000000-0005-0000-0000-0000F1330000}"/>
    <cellStyle name="Normal 6 20 15 2" xfId="43878" xr:uid="{97684F9A-B200-4532-A377-671991619BA5}"/>
    <cellStyle name="Normal 6 20 16" xfId="13322" xr:uid="{00000000-0005-0000-0000-000078340000}"/>
    <cellStyle name="Normal 6 20 16 2" xfId="45786" xr:uid="{C32A1A6D-C8A9-4206-AE1C-D37984E37735}"/>
    <cellStyle name="Normal 6 20 17" xfId="11308" xr:uid="{00000000-0005-0000-0000-000003350000}"/>
    <cellStyle name="Normal 6 20 17 2" xfId="43797" xr:uid="{CB15E1F6-B92D-4002-95E1-00A2358233DD}"/>
    <cellStyle name="Normal 6 20 18" xfId="15948" xr:uid="{C3A79459-1F3B-4BDF-8644-C2F56D368A63}"/>
    <cellStyle name="Normal 6 20 19" xfId="38529" xr:uid="{DC891B3F-971A-47D1-937E-968B61DBE3FB}"/>
    <cellStyle name="Normal 6 20 2" xfId="4492" xr:uid="{00000000-0005-0000-0000-0000AC110000}"/>
    <cellStyle name="Normal-- 6 20 2" xfId="41290" xr:uid="{9CC0DE0C-1445-433A-A7D3-C2138AE9CA28}"/>
    <cellStyle name="Normal 6 20 2 10" xfId="15524" xr:uid="{E98F1D42-0441-492D-826F-4EC33498179B}"/>
    <cellStyle name="Normal 6 20 2 11" xfId="48510" xr:uid="{26A8E454-988E-4AFD-906F-76D5FFE8A365}"/>
    <cellStyle name="Normal 6 20 2 2" xfId="10017" xr:uid="{00000000-0005-0000-0000-0000FC1E0000}"/>
    <cellStyle name="Normal 6 20 2 2 2" xfId="42506" xr:uid="{270E928C-6CED-4D9A-9F55-87CE61E02D0C}"/>
    <cellStyle name="Normal 6 20 2 3" xfId="6656" xr:uid="{00000000-0005-0000-0000-0000280E0000}"/>
    <cellStyle name="Normal 6 20 2 4" xfId="38530" xr:uid="{C899B1A0-BA1F-4F1C-94FA-117FF399DA1E}"/>
    <cellStyle name="Normal 6 20 2 5" xfId="15278" xr:uid="{1013BF8C-CF98-4A08-9B62-C53FE6E1424F}"/>
    <cellStyle name="Normal 6 20 2 6" xfId="48390" xr:uid="{A06377CD-670F-40A8-8BD4-B49082AD1426}"/>
    <cellStyle name="Normal 6 20 2 7" xfId="47245" xr:uid="{0561D226-6395-424A-9DF7-6CECA712FED0}"/>
    <cellStyle name="Normal 6 20 2 8" xfId="47475" xr:uid="{864E8C63-E091-4F6E-B00C-A3389A8AA747}"/>
    <cellStyle name="Normal 6 20 2 9" xfId="47880" xr:uid="{5125CAC6-2D13-4DB4-AE61-1082BF44BA76}"/>
    <cellStyle name="Normal 6 20 20" xfId="15277" xr:uid="{6C9FDFB5-3CF5-4981-8E82-E9101DFEB776}"/>
    <cellStyle name="Normal 6 20 21" xfId="46174" xr:uid="{00E45461-99D4-47A7-9A1B-EA4F4A4C1898}"/>
    <cellStyle name="Normal 6 20 22" xfId="48690" xr:uid="{51693999-3A78-4508-B7DA-B14EA8620D55}"/>
    <cellStyle name="Normal 6 20 23" xfId="46403" xr:uid="{470FBD2D-E8CC-4705-A86C-DEDD2A74C7A3}"/>
    <cellStyle name="Normal 6 20 24" xfId="15017" xr:uid="{419DCBB5-5849-4BF1-8357-09E413BAAD51}"/>
    <cellStyle name="Normal 6 20 25" xfId="46748" xr:uid="{940C3583-B56D-4969-A377-3FAA495E3347}"/>
    <cellStyle name="Normal 6 20 26" xfId="49197" xr:uid="{2F56ED29-4454-4912-9339-3BFCDBAEEAF4}"/>
    <cellStyle name="Normal 6 20 3" xfId="10016" xr:uid="{00000000-0005-0000-0000-0000FB1E0000}"/>
    <cellStyle name="Normal-- 6 20 3" xfId="46895" xr:uid="{ED235E47-8D38-4723-8131-6EB8CD915840}"/>
    <cellStyle name="Normal 6 20 3 2" xfId="18158" xr:uid="{FA601E63-DF72-48B1-B8DD-0B50001DE3B4}"/>
    <cellStyle name="Normal 6 20 3 3" xfId="42505" xr:uid="{0D026C17-6C33-4BB1-8C74-AA6E364F8198}"/>
    <cellStyle name="Normal 6 20 3 4" xfId="37838" xr:uid="{55C41759-3DD4-4491-BD8C-6184A8EE559C}"/>
    <cellStyle name="Normal 6 20 3 5" xfId="47663" xr:uid="{AF38E9AE-B669-40D1-B0D2-A4B75B314E94}"/>
    <cellStyle name="Normal 6 20 3 6" xfId="48728" xr:uid="{A0793C06-3535-41E7-BB49-F348DB19F264}"/>
    <cellStyle name="Normal 6 20 3 7" xfId="48349" xr:uid="{1716A098-80E6-4721-B47F-2D5412DA78DC}"/>
    <cellStyle name="Normal 6 20 3 8" xfId="48399" xr:uid="{536C4D22-B346-4543-B181-003085D08D26}"/>
    <cellStyle name="Normal 6 20 3 9" xfId="39785" xr:uid="{5580E3DF-53A5-4F0A-9DB5-347C971304DA}"/>
    <cellStyle name="Normal 6 20 4" xfId="12572" xr:uid="{00000000-0005-0000-0000-0000D3260000}"/>
    <cellStyle name="Normal-- 6 20 4" xfId="46646" xr:uid="{8D75B21D-97AE-41F4-859C-64C3967FD21D}"/>
    <cellStyle name="Normal 6 20 4 2" xfId="45043" xr:uid="{6B7E3E61-9760-4A73-8DF0-59D33EBE9E99}"/>
    <cellStyle name="Normal 6 20 4 3" xfId="47813" xr:uid="{FE37E9CC-992A-4A9D-BFC7-E561C3B81347}"/>
    <cellStyle name="Normal 6 20 4 4" xfId="48603" xr:uid="{0963BC9C-3D37-47AF-9DB5-CE83D0DB4315}"/>
    <cellStyle name="Normal 6 20 4 5" xfId="16468" xr:uid="{938BAEAD-3603-46E9-9264-2FC605C633C4}"/>
    <cellStyle name="Normal 6 20 4 6" xfId="46536" xr:uid="{11974B58-9C8B-4F39-8E0C-522851DB63FB}"/>
    <cellStyle name="Normal 6 20 4 7" xfId="49992" xr:uid="{685E3334-836B-415A-AAE5-5E4279CFDBD3}"/>
    <cellStyle name="Normal 6 20 5" xfId="8698" xr:uid="{00000000-0005-0000-0000-00002E270000}"/>
    <cellStyle name="Normal-- 6 20 5" xfId="48815" xr:uid="{5451DFA9-FDC0-40FB-A313-5A4915C789EF}"/>
    <cellStyle name="Normal 6 20 5 2" xfId="41396" xr:uid="{52891ED0-DFD1-4114-93B6-96E1653D575B}"/>
    <cellStyle name="Normal 6 20 5 3" xfId="37675" xr:uid="{BA41A05A-C4C6-4A51-BA2D-F7FD451C47FB}"/>
    <cellStyle name="Normal 6 20 5 4" xfId="48450" xr:uid="{00C4188A-D0CF-433F-9812-6C1B16655068}"/>
    <cellStyle name="Normal 6 20 5 5" xfId="46929" xr:uid="{BBB5D936-CB53-405D-9214-D483940E11FF}"/>
    <cellStyle name="Normal 6 20 5 6" xfId="37856" xr:uid="{09768947-1499-49AC-ADE9-C0FB45421D2C}"/>
    <cellStyle name="Normal 6 20 6" xfId="12630" xr:uid="{00000000-0005-0000-0000-00008D270000}"/>
    <cellStyle name="Normal-- 6 20 6" xfId="37665" xr:uid="{CC156600-5378-42A1-A4EB-FF1A7C149E34}"/>
    <cellStyle name="Normal 6 20 6 2" xfId="45101" xr:uid="{D1481226-3F66-4383-9965-190F67D3636A}"/>
    <cellStyle name="Normal 6 20 6 3" xfId="49441" xr:uid="{717D6330-6700-49D9-B6F1-CFCB1DB77151}"/>
    <cellStyle name="Normal 6 20 6 4" xfId="47486" xr:uid="{F8F8D33A-6470-49F0-A3BB-F35D27FE2EFD}"/>
    <cellStyle name="Normal 6 20 6 5" xfId="50018" xr:uid="{72F54E40-36EE-4A91-85C8-8D175B7C3150}"/>
    <cellStyle name="Normal 6 20 7" xfId="6639" xr:uid="{00000000-0005-0000-0000-0000270E0000}"/>
    <cellStyle name="Normal-- 6 20 7" xfId="16440" xr:uid="{FA94DFE9-D1CC-4568-8078-102F92A380E1}"/>
    <cellStyle name="Normal 6 20 8" xfId="13153" xr:uid="{00000000-0005-0000-0000-0000B0300000}"/>
    <cellStyle name="Normal-- 6 20 8" xfId="47469" xr:uid="{492723B6-5D7C-4768-98E8-8AD6D6B97460}"/>
    <cellStyle name="Normal 6 20 8 2" xfId="45617" xr:uid="{61B2C15F-D1F0-4FB7-B995-36BD33DCE7EB}"/>
    <cellStyle name="Normal 6 20 8 3" xfId="50184" xr:uid="{56DD0E41-5B56-4A2E-ADBB-07D5EDB32119}"/>
    <cellStyle name="Normal 6 20 9" xfId="11481" xr:uid="{00000000-0005-0000-0000-00001B310000}"/>
    <cellStyle name="Normal-- 6 20 9" xfId="47695" xr:uid="{5EFB56A6-F6E1-44D7-81EE-C8580E851340}"/>
    <cellStyle name="Normal 6 20 9 2" xfId="43969" xr:uid="{F6AFC112-014E-45D9-B8CB-24972F47A88D}"/>
    <cellStyle name="Normal 6 21" xfId="4493" xr:uid="{00000000-0005-0000-0000-0000AD110000}"/>
    <cellStyle name="Normal-- 6 21" xfId="12497" xr:uid="{00000000-0005-0000-0000-0000C7260000}"/>
    <cellStyle name="Normal 6 21 10" xfId="11480" xr:uid="{00000000-0005-0000-0000-00001C310000}"/>
    <cellStyle name="Normal 6 21 10 2" xfId="43968" xr:uid="{AEEE007F-BEB4-4C1F-A6F8-FDA1633A1A6C}"/>
    <cellStyle name="Normal 6 21 11" xfId="13174" xr:uid="{00000000-0005-0000-0000-00008B310000}"/>
    <cellStyle name="Normal 6 21 11 2" xfId="45638" xr:uid="{4D9293AC-D6D4-4351-B24E-B8F625860119}"/>
    <cellStyle name="Normal 6 21 12" xfId="11458" xr:uid="{00000000-0005-0000-0000-0000FE310000}"/>
    <cellStyle name="Normal 6 21 12 2" xfId="43946" xr:uid="{5A6B56B8-053B-4C6A-B9E6-F7438C54CF35}"/>
    <cellStyle name="Normal 6 21 13" xfId="13202" xr:uid="{00000000-0005-0000-0000-000075320000}"/>
    <cellStyle name="Normal 6 21 13 2" xfId="45666" xr:uid="{29D049E4-2707-41E0-9980-C9631A6F8EBD}"/>
    <cellStyle name="Normal 6 21 14" xfId="11430" xr:uid="{00000000-0005-0000-0000-0000F0320000}"/>
    <cellStyle name="Normal 6 21 14 2" xfId="43918" xr:uid="{D7ED97A1-800B-417E-A6D2-BB12C3DBD37E}"/>
    <cellStyle name="Normal 6 21 15" xfId="13231" xr:uid="{00000000-0005-0000-0000-00006F330000}"/>
    <cellStyle name="Normal 6 21 15 2" xfId="45695" xr:uid="{F39B9379-7C2B-4C8F-8763-AF51346B145F}"/>
    <cellStyle name="Normal 6 21 16" xfId="11388" xr:uid="{00000000-0005-0000-0000-0000F2330000}"/>
    <cellStyle name="Normal 6 21 16 2" xfId="43877" xr:uid="{874A082F-8CEC-48FB-B719-86BE999E1874}"/>
    <cellStyle name="Normal 6 21 17" xfId="13324" xr:uid="{00000000-0005-0000-0000-000079340000}"/>
    <cellStyle name="Normal 6 21 17 2" xfId="45788" xr:uid="{E8782335-19C2-4763-B8C6-2DEB6DBAD24A}"/>
    <cellStyle name="Normal 6 21 18" xfId="11301" xr:uid="{00000000-0005-0000-0000-000004350000}"/>
    <cellStyle name="Normal 6 21 18 2" xfId="43790" xr:uid="{C8340D69-6944-48D8-A537-EA1AF020C7F8}"/>
    <cellStyle name="Normal 6 21 19" xfId="15950" xr:uid="{D4470F44-FB9A-4AE0-A0E4-E71957B2DC5E}"/>
    <cellStyle name="Normal 6 21 2" xfId="4494" xr:uid="{00000000-0005-0000-0000-0000AE110000}"/>
    <cellStyle name="Normal-- 6 21 2" xfId="44971" xr:uid="{A14A6F79-EA2A-4CDB-8D76-EFEE78CE5B37}"/>
    <cellStyle name="Normal 6 21 2 10" xfId="15132" xr:uid="{1F83294B-CCB6-4E43-A464-B1FA7675E5A3}"/>
    <cellStyle name="Normal 6 21 2 11" xfId="40676" xr:uid="{D8A77E0A-07AE-4E19-9D27-51E64706143B}"/>
    <cellStyle name="Normal 6 21 2 12" xfId="48956" xr:uid="{872EBD9E-CD96-4457-8CFE-7E0703F55565}"/>
    <cellStyle name="Normal 6 21 2 13" xfId="47143" xr:uid="{AA0A4225-9CD6-4D2B-840F-5DFA80C64EC5}"/>
    <cellStyle name="Normal 6 21 2 2" xfId="4495" xr:uid="{00000000-0005-0000-0000-0000AF110000}"/>
    <cellStyle name="Normal 6 21 2 2 2" xfId="10020" xr:uid="{00000000-0005-0000-0000-0000FF1E0000}"/>
    <cellStyle name="Normal 6 21 2 2 2 2" xfId="42509" xr:uid="{7DD89B5A-5468-40B4-8B70-D2BDD3171E74}"/>
    <cellStyle name="Normal 6 21 2 2 3" xfId="6722" xr:uid="{00000000-0005-0000-0000-00002B0E0000}"/>
    <cellStyle name="Normal 6 21 2 2 3 2" xfId="40323" xr:uid="{F99E99D9-90FB-4E13-AFBE-C2BE6C5D6399}"/>
    <cellStyle name="Normal 6 21 2 2 4" xfId="15952" xr:uid="{1ED39676-D671-4A02-A07C-2773776DBF0D}"/>
    <cellStyle name="Normal 6 21 2 2 5" xfId="38533" xr:uid="{4290A746-CAC6-445C-A3D0-82AEE572C9EC}"/>
    <cellStyle name="Normal 6 21 2 3" xfId="10019" xr:uid="{00000000-0005-0000-0000-0000FE1E0000}"/>
    <cellStyle name="Normal 6 21 2 3 2" xfId="42508" xr:uid="{E9542238-3D96-4425-AD94-12851DC685EA}"/>
    <cellStyle name="Normal 6 21 2 4" xfId="6673" xr:uid="{00000000-0005-0000-0000-00002A0E0000}"/>
    <cellStyle name="Normal 6 21 2 4 2" xfId="40303" xr:uid="{80E32BC0-8F14-450F-8944-BE5984BDB559}"/>
    <cellStyle name="Normal 6 21 2 5" xfId="15951" xr:uid="{D2688F7E-B9C2-47ED-96AB-CF1EFA62266E}"/>
    <cellStyle name="Normal 6 21 2 6" xfId="38532" xr:uid="{29ADEB8B-0C3A-4374-B365-4C9C188A1293}"/>
    <cellStyle name="Normal 6 21 2 7" xfId="40441" xr:uid="{3A7A9A0F-B5C7-46A7-B8DB-D3AE1A4F1283}"/>
    <cellStyle name="Normal 6 21 2 8" xfId="48371" xr:uid="{2CC02BC5-D232-4806-9972-C6213A558CAE}"/>
    <cellStyle name="Normal 6 21 2 9" xfId="47936" xr:uid="{E7678A3B-E031-433D-B2A6-6196C176AD02}"/>
    <cellStyle name="Normal 6 21 20" xfId="38531" xr:uid="{2E48A331-651E-425E-9F01-03F06A5DC920}"/>
    <cellStyle name="Normal 6 21 21" xfId="40440" xr:uid="{5226CF01-678A-4E3E-B596-2A3D42636AAE}"/>
    <cellStyle name="Normal 6 21 22" xfId="46939" xr:uid="{6A6C8A54-AC70-49F9-9AAD-3DB6DD831708}"/>
    <cellStyle name="Normal 6 21 23" xfId="46406" xr:uid="{46564C8D-3A55-4A61-9C48-8111D6ADBA5C}"/>
    <cellStyle name="Normal 6 21 24" xfId="46814" xr:uid="{3ADFA3AC-F7FA-49EE-A15C-F555CA38B1B4}"/>
    <cellStyle name="Normal 6 21 25" xfId="14934" xr:uid="{21AA418C-8C6B-4DA1-9B9B-607971BF0EE2}"/>
    <cellStyle name="Normal 6 21 26" xfId="46855" xr:uid="{330A1140-DD2F-4702-A221-96FCC6360840}"/>
    <cellStyle name="Normal 6 21 27" xfId="47068" xr:uid="{7DC80C14-F46D-45AD-A641-73898D2D07BF}"/>
    <cellStyle name="Normal 6 21 3" xfId="4496" xr:uid="{00000000-0005-0000-0000-0000B0110000}"/>
    <cellStyle name="Normal-- 6 21 3" xfId="48351" xr:uid="{670FBB51-D654-4FAA-A44E-13B9232FB169}"/>
    <cellStyle name="Normal 6 21 3 10" xfId="48792" xr:uid="{2B5ABA70-1ED1-43FF-9C74-CC566C061BE4}"/>
    <cellStyle name="Normal 6 21 3 11" xfId="39556" xr:uid="{99973B3A-0005-498A-9817-B33B3D01641F}"/>
    <cellStyle name="Normal 6 21 3 2" xfId="10021" xr:uid="{00000000-0005-0000-0000-0000001F0000}"/>
    <cellStyle name="Normal 6 21 3 2 2" xfId="42510" xr:uid="{17F0E478-2EEB-405A-B024-81BAF0BF7F9B}"/>
    <cellStyle name="Normal 6 21 3 3" xfId="6738" xr:uid="{00000000-0005-0000-0000-00002C0E0000}"/>
    <cellStyle name="Normal 6 21 3 3 2" xfId="40327" xr:uid="{447E5B14-D9F5-4999-8BBA-774CB44F1EED}"/>
    <cellStyle name="Normal 6 21 3 4" xfId="15953" xr:uid="{769DD476-3E6A-4E55-817E-C24B04A55BEB}"/>
    <cellStyle name="Normal 6 21 3 5" xfId="38534" xr:uid="{ABF3A0E6-8563-4CBE-B268-C4489C9D60A7}"/>
    <cellStyle name="Normal 6 21 3 6" xfId="48350" xr:uid="{C5A5A574-5306-48D8-B31F-6BFB3F855F60}"/>
    <cellStyle name="Normal 6 21 3 7" xfId="48180" xr:uid="{6D33FF6A-6134-4615-883C-7CDD5B9F139C}"/>
    <cellStyle name="Normal 6 21 3 8" xfId="47658" xr:uid="{D3529E6C-9D2C-427B-A1DB-CDE13F2E91A9}"/>
    <cellStyle name="Normal 6 21 3 9" xfId="46771" xr:uid="{70821DB8-17EB-45A7-8D4C-9DDD13BCAE3D}"/>
    <cellStyle name="Normal 6 21 4" xfId="4497" xr:uid="{00000000-0005-0000-0000-0000B1110000}"/>
    <cellStyle name="Normal-- 6 21 4" xfId="41254" xr:uid="{8C9C656A-28F3-4FEE-A57E-F7BB5C3B3DD3}"/>
    <cellStyle name="Normal 6 21 4 2" xfId="10022" xr:uid="{00000000-0005-0000-0000-0000011F0000}"/>
    <cellStyle name="Normal 6 21 4 2 2" xfId="42511" xr:uid="{385CD5D8-FB7B-4D67-85E8-1DCB93D46FBD}"/>
    <cellStyle name="Normal 6 21 4 3" xfId="6754" xr:uid="{00000000-0005-0000-0000-00002D0E0000}"/>
    <cellStyle name="Normal 6 21 4 4" xfId="38535" xr:uid="{65DBBFD3-9C7F-49D4-AB17-FA78D42CBE70}"/>
    <cellStyle name="Normal 6 21 4 5" xfId="47430" xr:uid="{129600BA-B323-4373-AE94-6E25FB14C314}"/>
    <cellStyle name="Normal 6 21 4 6" xfId="48006" xr:uid="{0C88209B-E3F5-43C4-8796-1877092468E8}"/>
    <cellStyle name="Normal 6 21 4 7" xfId="40646" xr:uid="{87FC6A02-AC9C-403B-957E-2810F604A158}"/>
    <cellStyle name="Normal 6 21 4 8" xfId="38006" xr:uid="{DB74753D-0A05-4138-AF70-616DDE4ABDA2}"/>
    <cellStyle name="Normal 6 21 4 9" xfId="40691" xr:uid="{320F27C8-E906-45C3-90E9-73DF6C5F92DF}"/>
    <cellStyle name="Normal 6 21 5" xfId="10018" xr:uid="{00000000-0005-0000-0000-0000FD1E0000}"/>
    <cellStyle name="Normal-- 6 21 5" xfId="47123" xr:uid="{BB0CFB93-81CB-4370-B05C-B65FCEB0D4EF}"/>
    <cellStyle name="Normal 6 21 5 2" xfId="18159" xr:uid="{4F2C349D-7E70-42F9-865E-B6C2C6BAF523}"/>
    <cellStyle name="Normal 6 21 5 3" xfId="42507" xr:uid="{15FE991D-D929-40ED-BBFF-0D828FD25530}"/>
    <cellStyle name="Normal 6 21 5 4" xfId="47366" xr:uid="{7CCE6B4C-C966-43CF-A4D0-614305A4F016}"/>
    <cellStyle name="Normal 6 21 5 5" xfId="14915" xr:uid="{98553F42-32FF-43AC-B0BA-817E4E534B70}"/>
    <cellStyle name="Normal 6 21 5 6" xfId="15128" xr:uid="{4958E04C-36BC-4CAC-B4E0-3B68C95A68BC}"/>
    <cellStyle name="Normal 6 21 5 7" xfId="46341" xr:uid="{8829B6DA-7847-41F9-AB6E-FE5EB7F0950A}"/>
    <cellStyle name="Normal 6 21 6" xfId="8703" xr:uid="{00000000-0005-0000-0000-00002F270000}"/>
    <cellStyle name="Normal-- 6 21 6" xfId="16087" xr:uid="{06024315-549F-406A-BD0C-B5B248BAC18A}"/>
    <cellStyle name="Normal 6 21 6 2" xfId="41400" xr:uid="{0860DCB8-EA92-433E-832A-6FF069126ACC}"/>
    <cellStyle name="Normal 6 21 6 3" xfId="14147" xr:uid="{790679DB-3DB3-48AA-922D-5478ADA2A9A3}"/>
    <cellStyle name="Normal 6 21 6 4" xfId="48470" xr:uid="{9FDC22FD-E316-4EC1-AD76-FA466F914AC7}"/>
    <cellStyle name="Normal 6 21 6 5" xfId="49302" xr:uid="{B79F0116-1FAA-459D-B72F-3BDC3DD47EFA}"/>
    <cellStyle name="Normal 6 21 7" xfId="12631" xr:uid="{00000000-0005-0000-0000-00008E270000}"/>
    <cellStyle name="Normal-- 6 21 7" xfId="46903" xr:uid="{B6003947-4121-40CF-ACF7-686BAAB5EEEF}"/>
    <cellStyle name="Normal 6 21 7 2" xfId="45102" xr:uid="{63FA414E-92B5-4622-BFCD-2590DE4A1606}"/>
    <cellStyle name="Normal 6 21 7 3" xfId="14160" xr:uid="{007A2DE8-E1DD-4018-B2D0-E50326018765}"/>
    <cellStyle name="Normal 6 21 7 4" xfId="50019" xr:uid="{105FAC89-E7E0-413D-957C-94D10ECDD57F}"/>
    <cellStyle name="Normal 6 21 8" xfId="6657" xr:uid="{00000000-0005-0000-0000-0000290E0000}"/>
    <cellStyle name="Normal-- 6 21 8" xfId="46995" xr:uid="{29C9A2E3-7BCC-44D6-9E3E-F2FF6D11CF8D}"/>
    <cellStyle name="Normal 6 21 9" xfId="13154" xr:uid="{00000000-0005-0000-0000-0000B1300000}"/>
    <cellStyle name="Normal-- 6 21 9" xfId="49964" xr:uid="{54394DB3-D869-41C8-B5EA-DB28B643311E}"/>
    <cellStyle name="Normal 6 21 9 2" xfId="45618" xr:uid="{737358BE-842D-4F6A-9541-FEE3564B057A}"/>
    <cellStyle name="Normal 6 22" xfId="4498" xr:uid="{00000000-0005-0000-0000-0000B2110000}"/>
    <cellStyle name="Normal-- 6 22" xfId="8597" xr:uid="{00000000-0005-0000-0000-000022270000}"/>
    <cellStyle name="Normal 6 22 10" xfId="13177" xr:uid="{00000000-0005-0000-0000-00008C310000}"/>
    <cellStyle name="Normal 6 22 10 2" xfId="45641" xr:uid="{C23722E4-1A4C-482D-9F6A-5AD67CCD5D8F}"/>
    <cellStyle name="Normal 6 22 11" xfId="11457" xr:uid="{00000000-0005-0000-0000-0000FF310000}"/>
    <cellStyle name="Normal 6 22 11 2" xfId="43945" xr:uid="{3C3A948E-CB80-497F-A5FA-62931171062B}"/>
    <cellStyle name="Normal 6 22 12" xfId="13203" xr:uid="{00000000-0005-0000-0000-000076320000}"/>
    <cellStyle name="Normal 6 22 12 2" xfId="45667" xr:uid="{244F959F-8830-4F3E-A62F-857451286AEB}"/>
    <cellStyle name="Normal 6 22 13" xfId="11429" xr:uid="{00000000-0005-0000-0000-0000F1320000}"/>
    <cellStyle name="Normal 6 22 13 2" xfId="43917" xr:uid="{50D495CC-F49D-4077-81EE-4F7195B28B51}"/>
    <cellStyle name="Normal 6 22 14" xfId="13251" xr:uid="{00000000-0005-0000-0000-000070330000}"/>
    <cellStyle name="Normal 6 22 14 2" xfId="45715" xr:uid="{A7C4A557-60C9-4A4C-B02B-F55B10C7044D}"/>
    <cellStyle name="Normal 6 22 15" xfId="11385" xr:uid="{00000000-0005-0000-0000-0000F3330000}"/>
    <cellStyle name="Normal 6 22 15 2" xfId="43874" xr:uid="{141A978E-63C8-4015-8ED4-44EB5DD95CFE}"/>
    <cellStyle name="Normal 6 22 16" xfId="13327" xr:uid="{00000000-0005-0000-0000-00007A340000}"/>
    <cellStyle name="Normal 6 22 16 2" xfId="45791" xr:uid="{B79B0175-17F6-4AC9-92AD-342F24171987}"/>
    <cellStyle name="Normal 6 22 17" xfId="11295" xr:uid="{00000000-0005-0000-0000-000005350000}"/>
    <cellStyle name="Normal 6 22 17 2" xfId="43784" xr:uid="{0BE4B371-1AD2-455E-AC1E-3D3083C3C18D}"/>
    <cellStyle name="Normal 6 22 18" xfId="15955" xr:uid="{6890550A-51BF-49EE-A010-035F5C76ABEE}"/>
    <cellStyle name="Normal 6 22 19" xfId="38536" xr:uid="{E362268F-5667-4A0B-B1FD-8AAE04DD1105}"/>
    <cellStyle name="Normal 6 22 2" xfId="4499" xr:uid="{00000000-0005-0000-0000-0000B3110000}"/>
    <cellStyle name="Normal-- 6 22 2" xfId="41324" xr:uid="{7F53D689-CBC5-4C0F-B395-64402A18185A}"/>
    <cellStyle name="Normal 6 22 2 10" xfId="15430" xr:uid="{EBC8EFE1-8933-4F1C-BD3B-CFE05AA0298A}"/>
    <cellStyle name="Normal 6 22 2 11" xfId="40729" xr:uid="{CBBBE5EA-0960-463B-B1D3-B116B11CDA92}"/>
    <cellStyle name="Normal 6 22 2 12" xfId="48904" xr:uid="{34570C5D-AE5F-4CBF-AC8B-3F1E371CD341}"/>
    <cellStyle name="Normal 6 22 2 13" xfId="38017" xr:uid="{A6B6A6F7-FBE8-47B3-BCAE-79DB6A1CB4CD}"/>
    <cellStyle name="Normal 6 22 2 2" xfId="4500" xr:uid="{00000000-0005-0000-0000-0000B4110000}"/>
    <cellStyle name="Normal 6 22 2 2 2" xfId="10025" xr:uid="{00000000-0005-0000-0000-0000041F0000}"/>
    <cellStyle name="Normal 6 22 2 2 2 2" xfId="42514" xr:uid="{D941ACCD-8E01-4202-8651-746208BC2F13}"/>
    <cellStyle name="Normal 6 22 2 2 3" xfId="6825" xr:uid="{00000000-0005-0000-0000-0000300E0000}"/>
    <cellStyle name="Normal 6 22 2 2 3 2" xfId="40369" xr:uid="{CFD62900-FCEC-4DAB-8E94-B9CDC94A92F7}"/>
    <cellStyle name="Normal 6 22 2 2 4" xfId="15957" xr:uid="{B4B87A5F-FDC1-4D70-93D3-D54C3DD0B0F9}"/>
    <cellStyle name="Normal 6 22 2 2 5" xfId="38538" xr:uid="{784F8AFF-6C52-4830-82EB-8126963882BD}"/>
    <cellStyle name="Normal 6 22 2 3" xfId="10024" xr:uid="{00000000-0005-0000-0000-0000031F0000}"/>
    <cellStyle name="Normal 6 22 2 3 2" xfId="42513" xr:uid="{4C6DE48B-C2F0-42F6-85AB-A10F91B06653}"/>
    <cellStyle name="Normal 6 22 2 4" xfId="6824" xr:uid="{00000000-0005-0000-0000-00002F0E0000}"/>
    <cellStyle name="Normal 6 22 2 4 2" xfId="40368" xr:uid="{A6DB8112-2667-4145-8C18-21FE21467025}"/>
    <cellStyle name="Normal 6 22 2 5" xfId="15956" xr:uid="{FCE5FD10-348E-491E-B60A-70D6CF208E6E}"/>
    <cellStyle name="Normal 6 22 2 6" xfId="38537" xr:uid="{2D22F42E-7FBD-44ED-9936-55377757AC29}"/>
    <cellStyle name="Normal 6 22 2 7" xfId="15281" xr:uid="{12354A64-6682-4804-9479-723E41A447A0}"/>
    <cellStyle name="Normal 6 22 2 8" xfId="46883" xr:uid="{E8783F56-D4CC-4614-BB29-E506729F1B07}"/>
    <cellStyle name="Normal 6 22 2 9" xfId="37822" xr:uid="{1D3159F2-D22A-45FC-BB2E-06B17336B1AF}"/>
    <cellStyle name="Normal 6 22 20" xfId="15280" xr:uid="{3460BC6E-E0F2-4BDC-9BAE-9122A574AA8F}"/>
    <cellStyle name="Normal 6 22 21" xfId="48329" xr:uid="{3D8501FA-EAE4-44C5-9A25-6E84D802D568}"/>
    <cellStyle name="Normal 6 22 22" xfId="40557" xr:uid="{B2648773-05A1-4621-9D81-FB5C6C35B0BA}"/>
    <cellStyle name="Normal 6 22 23" xfId="48359" xr:uid="{1D4BD0DC-DB20-47F7-AEF7-AD79743315E1}"/>
    <cellStyle name="Normal 6 22 24" xfId="15764" xr:uid="{F0FBB65E-5FA9-48A6-A64B-1D631D794C6C}"/>
    <cellStyle name="Normal 6 22 25" xfId="15520" xr:uid="{9C4785C2-C5AF-4D99-8417-7E09DEFEDDD2}"/>
    <cellStyle name="Normal 6 22 26" xfId="40821" xr:uid="{60C83D4D-A8E4-463A-804C-A3029317ED77}"/>
    <cellStyle name="Normal 6 22 3" xfId="4501" xr:uid="{00000000-0005-0000-0000-0000B5110000}"/>
    <cellStyle name="Normal-- 6 22 3" xfId="46915" xr:uid="{2A2FCD2A-5655-4749-81C6-5F16A1B1406B}"/>
    <cellStyle name="Normal 6 22 3 10" xfId="46741" xr:uid="{B37DBF92-AFA7-40D2-8DF0-0D70E025468B}"/>
    <cellStyle name="Normal 6 22 3 11" xfId="15638" xr:uid="{C6D3F26C-33F9-46A7-858F-64270A96ACAC}"/>
    <cellStyle name="Normal 6 22 3 2" xfId="10026" xr:uid="{00000000-0005-0000-0000-0000051F0000}"/>
    <cellStyle name="Normal 6 22 3 2 2" xfId="42515" xr:uid="{C98E3654-2917-4161-9DB4-AA0D24102605}"/>
    <cellStyle name="Normal 6 22 3 3" xfId="6826" xr:uid="{00000000-0005-0000-0000-0000310E0000}"/>
    <cellStyle name="Normal 6 22 3 3 2" xfId="40370" xr:uid="{C812CAE5-675A-46E3-A1F8-EC32C34AFCDF}"/>
    <cellStyle name="Normal 6 22 3 4" xfId="15958" xr:uid="{8AB7626C-F2D9-402F-80A3-43C097AFAE47}"/>
    <cellStyle name="Normal 6 22 3 5" xfId="38539" xr:uid="{6BFA587F-D837-4DA5-848C-FCB3199B1434}"/>
    <cellStyle name="Normal 6 22 3 6" xfId="46869" xr:uid="{5656C408-A776-4FA7-81DA-EF7E5ADF7EBC}"/>
    <cellStyle name="Normal 6 22 3 7" xfId="40560" xr:uid="{4D04F9C6-AA5C-4182-BDEA-BBD967AFC33B}"/>
    <cellStyle name="Normal 6 22 3 8" xfId="46910" xr:uid="{1B2C3073-4774-4D06-92F6-629242D4C203}"/>
    <cellStyle name="Normal 6 22 3 9" xfId="47856" xr:uid="{88B1D579-B76F-48CA-B0A8-3ACEAF8F99D1}"/>
    <cellStyle name="Normal 6 22 4" xfId="4502" xr:uid="{00000000-0005-0000-0000-0000B6110000}"/>
    <cellStyle name="Normal-- 6 22 4" xfId="46639" xr:uid="{E3DC6D0D-D48B-4930-9188-9433E2BDE9C0}"/>
    <cellStyle name="Normal 6 22 4 2" xfId="10027" xr:uid="{00000000-0005-0000-0000-0000061F0000}"/>
    <cellStyle name="Normal 6 22 4 2 2" xfId="42516" xr:uid="{08B47F3E-466F-4DD6-B886-43266BA2A6E0}"/>
    <cellStyle name="Normal 6 22 4 3" xfId="6827" xr:uid="{00000000-0005-0000-0000-0000320E0000}"/>
    <cellStyle name="Normal 6 22 4 4" xfId="38540" xr:uid="{35C571A3-7B3D-4AC9-ACB7-06DD22B0A185}"/>
    <cellStyle name="Normal 6 22 4 5" xfId="46407" xr:uid="{9F993249-7D04-462A-A2A9-040F192992C0}"/>
    <cellStyle name="Normal 6 22 4 6" xfId="15429" xr:uid="{67E98460-8D87-4414-9888-6E98E805CDC7}"/>
    <cellStyle name="Normal 6 22 4 7" xfId="47178" xr:uid="{593D3A4C-3BAD-42F3-AA63-2021C1B0D221}"/>
    <cellStyle name="Normal 6 22 4 8" xfId="38019" xr:uid="{F86D749D-ECBD-492B-89B1-FA43D9469237}"/>
    <cellStyle name="Normal 6 22 4 9" xfId="14126" xr:uid="{F4A515D1-C1EC-454B-AC82-15F5CB544DE3}"/>
    <cellStyle name="Normal 6 22 5" xfId="10023" xr:uid="{00000000-0005-0000-0000-0000021F0000}"/>
    <cellStyle name="Normal-- 6 22 5" xfId="39938" xr:uid="{837B9A90-C7CE-48D3-8F77-94EC5EF50860}"/>
    <cellStyle name="Normal 6 22 5 2" xfId="18160" xr:uid="{1EAFBAD2-1650-4A1B-A640-494BA0599D58}"/>
    <cellStyle name="Normal 6 22 5 3" xfId="42512" xr:uid="{58E5FAFB-94EF-43FE-865B-52FD4FB79186}"/>
    <cellStyle name="Normal 6 22 5 4" xfId="47070" xr:uid="{A67B27DE-141B-43C9-87C3-CF6082923D22}"/>
    <cellStyle name="Normal 6 22 5 5" xfId="46574" xr:uid="{53887CB4-40C7-4145-8792-3F85ED87E6FF}"/>
    <cellStyle name="Normal 6 22 5 6" xfId="15456" xr:uid="{FBE96C37-26E2-4B04-913A-8AD330ADC2B4}"/>
    <cellStyle name="Normal 6 22 5 7" xfId="47407" xr:uid="{5B5289FE-1F19-4DCA-A518-07AAF3A72CDB}"/>
    <cellStyle name="Normal 6 22 6" xfId="12635" xr:uid="{00000000-0005-0000-0000-00008F270000}"/>
    <cellStyle name="Normal-- 6 22 6" xfId="47028" xr:uid="{EDAF1D25-D998-4205-84B1-E7441E522F1F}"/>
    <cellStyle name="Normal 6 22 6 2" xfId="45106" xr:uid="{6F4B4F9C-1BDB-4643-836A-490F9AB1F2EF}"/>
    <cellStyle name="Normal 6 22 6 3" xfId="49443" xr:uid="{F98B93A6-D84A-46EF-A1F3-0DBC8D0B0F14}"/>
    <cellStyle name="Normal 6 22 6 4" xfId="47487" xr:uid="{3153C004-A9AE-4C27-80D0-15E3E25B0A24}"/>
    <cellStyle name="Normal 6 22 6 5" xfId="50021" xr:uid="{DCA58AA2-F871-4C0F-BEBD-E4EAAB92760A}"/>
    <cellStyle name="Normal 6 22 7" xfId="6823" xr:uid="{00000000-0005-0000-0000-00002E0E0000}"/>
    <cellStyle name="Normal-- 6 22 7" xfId="14320" xr:uid="{EA6B53B6-0834-4633-B8E6-1AA683757594}"/>
    <cellStyle name="Normal 6 22 8" xfId="13156" xr:uid="{00000000-0005-0000-0000-0000B2300000}"/>
    <cellStyle name="Normal-- 6 22 8" xfId="46283" xr:uid="{AEE4880D-300D-4EF4-992D-43AFAE224DBB}"/>
    <cellStyle name="Normal 6 22 8 2" xfId="45620" xr:uid="{9916AE91-F0C9-4503-9A41-CD94EBBFE810}"/>
    <cellStyle name="Normal 6 22 8 3" xfId="50185" xr:uid="{9774779A-F795-41F2-9773-68AD073F5C00}"/>
    <cellStyle name="Normal 6 22 9" xfId="11478" xr:uid="{00000000-0005-0000-0000-00001D310000}"/>
    <cellStyle name="Normal-- 6 22 9" xfId="48087" xr:uid="{9ECDE6D8-A610-4DAF-A533-0BD3AAACE4AD}"/>
    <cellStyle name="Normal 6 22 9 2" xfId="43966" xr:uid="{D4F9080B-3D71-405D-A6C8-FA62D334729E}"/>
    <cellStyle name="Normal 6 23" xfId="4503" xr:uid="{00000000-0005-0000-0000-0000B7110000}"/>
    <cellStyle name="Normal-- 6 23" xfId="12540" xr:uid="{00000000-0005-0000-0000-000081270000}"/>
    <cellStyle name="Normal 6 23 10" xfId="11426" xr:uid="{00000000-0005-0000-0000-0000F2320000}"/>
    <cellStyle name="Normal 6 23 10 2" xfId="43914" xr:uid="{1EF6FB31-9DA0-484C-B088-7C6BEAA733ED}"/>
    <cellStyle name="Normal 6 23 11" xfId="13254" xr:uid="{00000000-0005-0000-0000-000071330000}"/>
    <cellStyle name="Normal 6 23 11 2" xfId="45718" xr:uid="{2A31E938-A8E6-4284-82E9-E0A9BFE0270A}"/>
    <cellStyle name="Normal 6 23 12" xfId="11384" xr:uid="{00000000-0005-0000-0000-0000F4330000}"/>
    <cellStyle name="Normal 6 23 12 2" xfId="43873" xr:uid="{A669D8CA-EC2E-4E2A-83E2-FF06A5C6521F}"/>
    <cellStyle name="Normal 6 23 13" xfId="13334" xr:uid="{00000000-0005-0000-0000-00007B340000}"/>
    <cellStyle name="Normal 6 23 13 2" xfId="45798" xr:uid="{D9FB2176-5B5F-4269-920F-AD182AE03B24}"/>
    <cellStyle name="Normal 6 23 14" xfId="11293" xr:uid="{00000000-0005-0000-0000-000006350000}"/>
    <cellStyle name="Normal 6 23 14 2" xfId="43782" xr:uid="{3B46997A-A826-4CF4-9D8A-9FAB4BD8935E}"/>
    <cellStyle name="Normal 6 23 15" xfId="15960" xr:uid="{01332957-6723-4A89-A171-06FBB898A8EC}"/>
    <cellStyle name="Normal 6 23 16" xfId="38541" xr:uid="{FCEB6116-EDDF-4D4F-83F0-00D23A7BE91D}"/>
    <cellStyle name="Normal 6 23 17" xfId="15283" xr:uid="{680DE72A-1F1D-42EE-8D8A-6EEBDC0FF299}"/>
    <cellStyle name="Normal 6 23 18" xfId="46857" xr:uid="{0FF4326F-9D66-4C67-B3F5-3DAA111FFF85}"/>
    <cellStyle name="Normal 6 23 19" xfId="48336" xr:uid="{6495A9B9-37C2-47AC-8215-ACE9EF41DCF7}"/>
    <cellStyle name="Normal 6 23 2" xfId="4504" xr:uid="{00000000-0005-0000-0000-0000B8110000}"/>
    <cellStyle name="Normal-- 6 23 2" xfId="45011" xr:uid="{D7E21ADA-5C25-4678-86D2-C953F438A0C6}"/>
    <cellStyle name="Normal 6 23 2 10" xfId="48586" xr:uid="{448B3395-C13B-46D1-9D1A-0850E4C20A91}"/>
    <cellStyle name="Normal 6 23 2 11" xfId="48315" xr:uid="{CA630FF4-DF67-4A4A-BD5D-4CFBB56A70C1}"/>
    <cellStyle name="Normal 6 23 2 2" xfId="10029" xr:uid="{00000000-0005-0000-0000-0000081F0000}"/>
    <cellStyle name="Normal 6 23 2 2 2" xfId="42518" xr:uid="{A63E6A69-7EBE-4AA4-8F23-2BF893E8DAD4}"/>
    <cellStyle name="Normal 6 23 2 3" xfId="6829" xr:uid="{00000000-0005-0000-0000-0000340E0000}"/>
    <cellStyle name="Normal 6 23 2 4" xfId="38542" xr:uid="{896F801D-E01A-4DEF-8D93-C37640FFA2A2}"/>
    <cellStyle name="Normal 6 23 2 5" xfId="40437" xr:uid="{4D367BC5-C133-4DF2-82A6-454BCA0FCBEE}"/>
    <cellStyle name="Normal 6 23 2 6" xfId="48299" xr:uid="{9E8EDD74-62E1-4CE1-A9C2-91F91D9288C4}"/>
    <cellStyle name="Normal 6 23 2 7" xfId="15138" xr:uid="{F4F23772-FF3A-486B-A757-E002DA798841}"/>
    <cellStyle name="Normal 6 23 2 8" xfId="48347" xr:uid="{18CB7C89-FDA7-4F4E-B813-C17D4301E1A0}"/>
    <cellStyle name="Normal 6 23 2 9" xfId="48752" xr:uid="{7475516B-22EE-48F4-B50F-E768B6546130}"/>
    <cellStyle name="Normal 6 23 20" xfId="40564" xr:uid="{E3D91715-DB8B-469C-928A-4E5C6A808E1F}"/>
    <cellStyle name="Normal 6 23 21" xfId="15016" xr:uid="{C1769825-3CE0-46EC-9AAE-16C37E313DE8}"/>
    <cellStyle name="Normal 6 23 22" xfId="48961" xr:uid="{F2B90D9A-00B0-4BCB-8E09-596BCC2D4EFB}"/>
    <cellStyle name="Normal 6 23 23" xfId="15981" xr:uid="{414CFD87-13CE-44EF-AF63-AE0903730D91}"/>
    <cellStyle name="Normal 6 23 3" xfId="10028" xr:uid="{00000000-0005-0000-0000-0000071F0000}"/>
    <cellStyle name="Normal-- 6 23 3" xfId="48370" xr:uid="{155C6825-31C9-41C8-8CDC-0A446D1DE319}"/>
    <cellStyle name="Normal 6 23 3 2" xfId="18161" xr:uid="{8C2F548E-5483-4B05-A917-630A76981E43}"/>
    <cellStyle name="Normal 6 23 3 3" xfId="42517" xr:uid="{DD7C1818-36ED-42A9-8564-36DF32F09202}"/>
    <cellStyle name="Normal 6 23 3 4" xfId="37840" xr:uid="{EFF4AE16-CB8B-4BF6-B32C-4D7BED79E790}"/>
    <cellStyle name="Normal 6 23 3 5" xfId="40638" xr:uid="{D184F5DC-DE49-4AD2-8634-29D4CE2C06BE}"/>
    <cellStyle name="Normal 6 23 3 6" xfId="46597" xr:uid="{F8FB6BC7-CEEF-4B48-AA77-9CCC8EE4B219}"/>
    <cellStyle name="Normal 6 23 3 7" xfId="48034" xr:uid="{EA1AFE80-7005-42FB-88ED-125E96209665}"/>
    <cellStyle name="Normal 6 23 3 8" xfId="47843" xr:uid="{9321AF0A-E9AC-4098-864C-9CC1EF6C0BA4}"/>
    <cellStyle name="Normal 6 23 3 9" xfId="14300" xr:uid="{1C044D5D-5DAC-47E9-B63A-84465399E601}"/>
    <cellStyle name="Normal 6 23 4" xfId="6828" xr:uid="{00000000-0005-0000-0000-0000330E0000}"/>
    <cellStyle name="Normal-- 6 23 4" xfId="41283" xr:uid="{641F35B4-E5B0-4AB1-807F-AAF2E5BEEFA9}"/>
    <cellStyle name="Normal 6 23 5" xfId="13157" xr:uid="{00000000-0005-0000-0000-0000B3300000}"/>
    <cellStyle name="Normal-- 6 23 5" xfId="47129" xr:uid="{34459873-F501-449D-B7B0-BD84BB73DBF5}"/>
    <cellStyle name="Normal 6 23 5 2" xfId="45621" xr:uid="{CFE189B6-782C-4582-952E-68BC19EFAE50}"/>
    <cellStyle name="Normal 6 23 5 3" xfId="49317" xr:uid="{5B683EB6-4E16-4877-9907-41B030F0D024}"/>
    <cellStyle name="Normal 6 23 5 4" xfId="49602" xr:uid="{4E4ED3AA-39F0-40DC-87FD-4198294EF9F1}"/>
    <cellStyle name="Normal 6 23 5 5" xfId="49844" xr:uid="{7A5C017A-DBEA-4BB0-A6A9-C471032B8028}"/>
    <cellStyle name="Normal 6 23 5 6" xfId="50186" xr:uid="{CFDCAC55-BA5A-47F1-ACC2-A0C2EC875EF3}"/>
    <cellStyle name="Normal 6 23 6" xfId="11477" xr:uid="{00000000-0005-0000-0000-00001E310000}"/>
    <cellStyle name="Normal-- 6 23 6" xfId="37773" xr:uid="{D1FD5376-C00D-46A0-A4DF-0BEA04F4F342}"/>
    <cellStyle name="Normal 6 23 6 2" xfId="43965" xr:uid="{957564DF-64FF-4886-BB0C-DEF432462FB2}"/>
    <cellStyle name="Normal 6 23 6 3" xfId="48818" xr:uid="{8DC4F43E-DB57-44DA-8F9A-840F1B30316B}"/>
    <cellStyle name="Normal 6 23 6 4" xfId="47134" xr:uid="{05B92DF2-93B5-4B6D-9E59-21D5188F3526}"/>
    <cellStyle name="Normal 6 23 6 5" xfId="46502" xr:uid="{CAFD4F14-61EE-4487-8917-B53351797016}"/>
    <cellStyle name="Normal 6 23 7" xfId="13178" xr:uid="{00000000-0005-0000-0000-00008D310000}"/>
    <cellStyle name="Normal-- 6 23 7" xfId="40104" xr:uid="{67ED471E-320F-4BA1-9E7F-74E79EFB58B3}"/>
    <cellStyle name="Normal 6 23 7 2" xfId="45642" xr:uid="{E84056B2-7B99-40F7-8A06-57786ABC3E31}"/>
    <cellStyle name="Normal 6 23 7 3" xfId="49847" xr:uid="{58588B1B-65AA-4B69-93A1-D6B7B5C11FB0}"/>
    <cellStyle name="Normal 6 23 7 4" xfId="50188" xr:uid="{284D1A8A-6E85-433C-9ECF-9E817F7B096E}"/>
    <cellStyle name="Normal 6 23 8" xfId="11454" xr:uid="{00000000-0005-0000-0000-000000320000}"/>
    <cellStyle name="Normal-- 6 23 8" xfId="46983" xr:uid="{2A2F4F93-5434-4656-82A3-33F9195E6B00}"/>
    <cellStyle name="Normal 6 23 8 2" xfId="43942" xr:uid="{41759F72-E33E-4CA6-ADF2-DFA9E3232721}"/>
    <cellStyle name="Normal 6 23 8 3" xfId="48892" xr:uid="{9EEB45DE-66B9-49BF-8F7D-9202477D0FFB}"/>
    <cellStyle name="Normal 6 23 9" xfId="13206" xr:uid="{00000000-0005-0000-0000-000077320000}"/>
    <cellStyle name="Normal-- 6 23 9" xfId="49980" xr:uid="{826B263D-8F83-4489-AFC6-3DD0619F2540}"/>
    <cellStyle name="Normal 6 23 9 2" xfId="45670" xr:uid="{05B10243-F389-4D88-825B-B2522DF61118}"/>
    <cellStyle name="Normal 6 24" xfId="4505" xr:uid="{00000000-0005-0000-0000-0000B9110000}"/>
    <cellStyle name="Normal-- 6 24" xfId="6467" xr:uid="{00000000-0005-0000-0000-0000FB0D0000}"/>
    <cellStyle name="Normal 6 24 10" xfId="11425" xr:uid="{00000000-0005-0000-0000-0000F3320000}"/>
    <cellStyle name="Normal 6 24 10 2" xfId="43913" xr:uid="{88B1598C-02BD-4584-B467-70AAFB4B0958}"/>
    <cellStyle name="Normal 6 24 11" xfId="13255" xr:uid="{00000000-0005-0000-0000-000072330000}"/>
    <cellStyle name="Normal 6 24 11 2" xfId="45719" xr:uid="{46BD8B10-8913-4BC8-9BEA-A6747C13D6C1}"/>
    <cellStyle name="Normal 6 24 12" xfId="11381" xr:uid="{00000000-0005-0000-0000-0000F5330000}"/>
    <cellStyle name="Normal 6 24 12 2" xfId="43870" xr:uid="{6DADAA32-C373-40DA-88EC-6F4F8EA07FEF}"/>
    <cellStyle name="Normal 6 24 13" xfId="13341" xr:uid="{00000000-0005-0000-0000-00007C340000}"/>
    <cellStyle name="Normal 6 24 13 2" xfId="45805" xr:uid="{5A2FDB01-5B42-478D-A05B-0F5F9E5E9AE3}"/>
    <cellStyle name="Normal 6 24 14" xfId="11292" xr:uid="{00000000-0005-0000-0000-000007350000}"/>
    <cellStyle name="Normal 6 24 14 2" xfId="43781" xr:uid="{7FDBF40A-AE6A-41DF-A156-74A7CC7D1E7A}"/>
    <cellStyle name="Normal 6 24 15" xfId="15961" xr:uid="{60E7616A-4844-4739-A6E7-F6154B54FE73}"/>
    <cellStyle name="Normal 6 24 16" xfId="38543" xr:uid="{2047CE21-AC87-493B-8E89-E0506A1F1842}"/>
    <cellStyle name="Normal 6 24 17" xfId="40438" xr:uid="{3939CC45-3CB4-4285-A78D-FDC11F312AA5}"/>
    <cellStyle name="Normal 6 24 18" xfId="48353" xr:uid="{30E5B86C-D828-4E84-8827-334AE93A7CCB}"/>
    <cellStyle name="Normal 6 24 19" xfId="46405" xr:uid="{92824E90-B743-41E4-99EF-5608F0303EFE}"/>
    <cellStyle name="Normal 6 24 2" xfId="4506" xr:uid="{00000000-0005-0000-0000-0000BA110000}"/>
    <cellStyle name="Normal 6 24 2 2" xfId="10031" xr:uid="{00000000-0005-0000-0000-00000A1F0000}"/>
    <cellStyle name="Normal 6 24 2 2 2" xfId="42520" xr:uid="{6E81BD27-F2B0-444E-8AA3-DD824D2FA05F}"/>
    <cellStyle name="Normal 6 24 2 3" xfId="6834" xr:uid="{00000000-0005-0000-0000-0000360E0000}"/>
    <cellStyle name="Normal 6 24 2 4" xfId="38544" xr:uid="{6253A4D1-7C0A-4F5E-836F-7674F4ACC97B}"/>
    <cellStyle name="Normal 6 24 20" xfId="46813" xr:uid="{1E775372-5A0B-4920-8AEE-73526FE6BABB}"/>
    <cellStyle name="Normal 6 24 21" xfId="40412" xr:uid="{6397A2A2-EBB2-4C29-9AE9-15F1D120D4D1}"/>
    <cellStyle name="Normal 6 24 22" xfId="46252" xr:uid="{EDFBEC21-F51C-4797-88EF-EE377422F081}"/>
    <cellStyle name="Normal 6 24 23" xfId="40736" xr:uid="{7D90495C-8A2A-4E62-B10A-6751E52135CD}"/>
    <cellStyle name="Normal 6 24 3" xfId="10030" xr:uid="{00000000-0005-0000-0000-0000091F0000}"/>
    <cellStyle name="Normal 6 24 3 2" xfId="18162" xr:uid="{4BD9B2D8-EA69-4EBD-8312-BEC1FF0DC239}"/>
    <cellStyle name="Normal 6 24 3 3" xfId="42519" xr:uid="{D13BF272-4145-423F-B028-8534A8800DE8}"/>
    <cellStyle name="Normal 6 24 4" xfId="6830" xr:uid="{00000000-0005-0000-0000-0000350E0000}"/>
    <cellStyle name="Normal 6 24 5" xfId="13158" xr:uid="{00000000-0005-0000-0000-0000B4300000}"/>
    <cellStyle name="Normal 6 24 5 2" xfId="45622" xr:uid="{D05A96AF-BB3A-4D03-A3D7-374B39738ACA}"/>
    <cellStyle name="Normal 6 24 6" xfId="11476" xr:uid="{00000000-0005-0000-0000-00001F310000}"/>
    <cellStyle name="Normal 6 24 6 2" xfId="43964" xr:uid="{6E61D863-BF87-4A16-8E0C-B95CBC009507}"/>
    <cellStyle name="Normal 6 24 7" xfId="13180" xr:uid="{00000000-0005-0000-0000-00008E310000}"/>
    <cellStyle name="Normal 6 24 7 2" xfId="45644" xr:uid="{195A7694-3F60-40D9-97FF-A8C47C84D128}"/>
    <cellStyle name="Normal 6 24 8" xfId="11453" xr:uid="{00000000-0005-0000-0000-000001320000}"/>
    <cellStyle name="Normal 6 24 8 2" xfId="43941" xr:uid="{CEE91C73-9FFB-4256-8802-7551F972B4EF}"/>
    <cellStyle name="Normal 6 24 9" xfId="13207" xr:uid="{00000000-0005-0000-0000-000078320000}"/>
    <cellStyle name="Normal 6 24 9 2" xfId="45671" xr:uid="{9A9A2098-C137-410D-BBD9-28A78A5A4704}"/>
    <cellStyle name="Normal 6 25" xfId="4507" xr:uid="{00000000-0005-0000-0000-0000BB110000}"/>
    <cellStyle name="Normal-- 6 25" xfId="13136" xr:uid="{00000000-0005-0000-0000-0000A4300000}"/>
    <cellStyle name="Normal 6 25 10" xfId="13256" xr:uid="{00000000-0005-0000-0000-000073330000}"/>
    <cellStyle name="Normal 6 25 10 2" xfId="45720" xr:uid="{82081E97-DFB2-45F8-ACAB-4D5B93E31CD9}"/>
    <cellStyle name="Normal 6 25 11" xfId="11374" xr:uid="{00000000-0005-0000-0000-0000F6330000}"/>
    <cellStyle name="Normal 6 25 11 2" xfId="43863" xr:uid="{2054661A-286D-4716-A5F2-82700528F8C6}"/>
    <cellStyle name="Normal 6 25 12" xfId="13342" xr:uid="{00000000-0005-0000-0000-00007D340000}"/>
    <cellStyle name="Normal 6 25 12 2" xfId="45806" xr:uid="{591F6ECB-EADE-4CD4-BD21-001D2B51AB2A}"/>
    <cellStyle name="Normal 6 25 13" xfId="11291" xr:uid="{00000000-0005-0000-0000-000008350000}"/>
    <cellStyle name="Normal 6 25 13 2" xfId="43780" xr:uid="{88FB1E80-EFE4-41AD-9A32-B64EA09B4365}"/>
    <cellStyle name="Normal 6 25 14" xfId="15962" xr:uid="{44FECFCA-6689-4F7E-BF22-29AC12BC33B4}"/>
    <cellStyle name="Normal 6 25 15" xfId="38545" xr:uid="{22218FE4-1F96-493C-9472-92EE8A8B046F}"/>
    <cellStyle name="Normal 6 25 16" xfId="15284" xr:uid="{758AD333-A38D-4FD6-B97E-31CFDBB6467D}"/>
    <cellStyle name="Normal 6 25 17" xfId="48332" xr:uid="{AA0AA1EB-D524-40E6-BA2B-6A79D74E9F78}"/>
    <cellStyle name="Normal 6 25 18" xfId="40558" xr:uid="{9EEE7573-4F10-47C5-85F7-9CD82B10B7F4}"/>
    <cellStyle name="Normal 6 25 19" xfId="46902" xr:uid="{282A897B-8CC4-4DCD-B57D-44D96D99F343}"/>
    <cellStyle name="Normal 6 25 2" xfId="4508" xr:uid="{00000000-0005-0000-0000-0000BC110000}"/>
    <cellStyle name="Normal-- 6 25 2" xfId="45600" xr:uid="{1B0F955F-F196-4E81-A203-1A60F5790C22}"/>
    <cellStyle name="Normal 6 25 2 10" xfId="48291" xr:uid="{0477B0BE-5C68-460E-8125-43C4201D58DF}"/>
    <cellStyle name="Normal 6 25 2 11" xfId="48885" xr:uid="{4DE17C88-BF7C-4C03-AE8E-669ABC8D4A22}"/>
    <cellStyle name="Normal 6 25 2 2" xfId="10033" xr:uid="{00000000-0005-0000-0000-00000C1F0000}"/>
    <cellStyle name="Normal 6 25 2 2 2" xfId="42522" xr:uid="{77D108B2-BBEF-42DC-B1D0-116385DF44CA}"/>
    <cellStyle name="Normal 6 25 2 3" xfId="6844" xr:uid="{00000000-0005-0000-0000-0000380E0000}"/>
    <cellStyle name="Normal 6 25 2 4" xfId="38546" xr:uid="{7CAA9DC8-AA28-4803-A5E3-71DA5B6F3255}"/>
    <cellStyle name="Normal 6 25 2 5" xfId="40433" xr:uid="{E99EE4F0-718E-4D92-B0AA-49DC2A52C9E7}"/>
    <cellStyle name="Normal 6 25 2 6" xfId="46886" xr:uid="{A1A6878E-DBC2-491C-A2EE-EB962BDBB84B}"/>
    <cellStyle name="Normal 6 25 2 7" xfId="48181" xr:uid="{810AED59-D9B4-4171-A4DA-F3363611325A}"/>
    <cellStyle name="Normal 6 25 2 8" xfId="47657" xr:uid="{482CC00D-1736-4F49-BA4B-71D08906EAF1}"/>
    <cellStyle name="Normal 6 25 2 9" xfId="14133" xr:uid="{FE898C21-E9CF-4262-8ADF-3E083010E8C0}"/>
    <cellStyle name="Normal 6 25 20" xfId="49086" xr:uid="{7EE455C3-AB5F-4CA8-965E-A96A99DE384A}"/>
    <cellStyle name="Normal 6 25 21" xfId="40077" xr:uid="{BB7095F5-B637-4921-855B-23F341854273}"/>
    <cellStyle name="Normal 6 25 22" xfId="48641" xr:uid="{EFFFCF57-107E-4E78-B6BC-7E3B0851389E}"/>
    <cellStyle name="Normal 6 25 3" xfId="10032" xr:uid="{00000000-0005-0000-0000-00000B1F0000}"/>
    <cellStyle name="Normal-- 6 25 3" xfId="48621" xr:uid="{7C1677F1-2402-4D34-9AB9-4AA8E6E04E34}"/>
    <cellStyle name="Normal 6 25 3 2" xfId="18163" xr:uid="{BBA0579F-44A0-4866-9B8C-8EE808A4BED5}"/>
    <cellStyle name="Normal 6 25 3 3" xfId="42521" xr:uid="{285B1A2D-B0C1-444B-A8A4-AD2C60668CFF}"/>
    <cellStyle name="Normal 6 25 3 4" xfId="41574" xr:uid="{D8D71881-A7B0-4CE3-B711-3F5EA0D0F33D}"/>
    <cellStyle name="Normal 6 25 3 5" xfId="15055" xr:uid="{8394FF4F-D107-4193-AA11-8F6107E43203}"/>
    <cellStyle name="Normal 6 25 3 6" xfId="15165" xr:uid="{36478080-3B8E-4CFC-AA7B-631317EFB077}"/>
    <cellStyle name="Normal 6 25 3 7" xfId="46985" xr:uid="{7DC1ECD4-B7B5-4DD5-A8BD-B4701D1C7C09}"/>
    <cellStyle name="Normal 6 25 3 8" xfId="40260" xr:uid="{E7E03F55-2A4F-4F08-A49C-A2952BA30F81}"/>
    <cellStyle name="Normal 6 25 3 9" xfId="16612" xr:uid="{3EC1D92D-CBD4-4160-B004-23C70A1EFD13}"/>
    <cellStyle name="Normal 6 25 4" xfId="6843" xr:uid="{00000000-0005-0000-0000-0000370E0000}"/>
    <cellStyle name="Normal-- 6 25 4" xfId="48824" xr:uid="{BCD11DD5-4ED4-4401-BBD9-EE30DBCB6147}"/>
    <cellStyle name="Normal 6 25 5" xfId="11475" xr:uid="{00000000-0005-0000-0000-000020310000}"/>
    <cellStyle name="Normal-- 6 25 5" xfId="49084" xr:uid="{AA604385-7F16-4A92-BC87-B99D2C057DC9}"/>
    <cellStyle name="Normal 6 25 5 2" xfId="43963" xr:uid="{ACDCEB6B-1462-4CFF-806B-0AC5DB6596E2}"/>
    <cellStyle name="Normal 6 25 5 3" xfId="47128" xr:uid="{1B84310B-62C0-4249-88B3-A4753A474B14}"/>
    <cellStyle name="Normal 6 25 5 4" xfId="46877" xr:uid="{3312F72F-0688-4378-AD02-9D9DD220BCA8}"/>
    <cellStyle name="Normal 6 25 5 5" xfId="40400" xr:uid="{27C884F7-B696-4EB0-AB59-515D2884E086}"/>
    <cellStyle name="Normal 6 25 5 6" xfId="38031" xr:uid="{DFEAA902-6C78-46A0-BABB-5FB85DEEA5BA}"/>
    <cellStyle name="Normal 6 25 6" xfId="13181" xr:uid="{00000000-0005-0000-0000-00008F310000}"/>
    <cellStyle name="Normal-- 6 25 6" xfId="49311" xr:uid="{73C5BD7A-10F9-4192-A581-C35E403730B3}"/>
    <cellStyle name="Normal 6 25 6 2" xfId="45645" xr:uid="{9E57AA2D-CCE8-4075-A7E2-0DD45B9A992F}"/>
    <cellStyle name="Normal 6 25 6 3" xfId="49608" xr:uid="{19F4D15D-281C-4EF3-9E7A-F5B93E3A06BE}"/>
    <cellStyle name="Normal 6 25 6 4" xfId="49848" xr:uid="{C4D42620-F14A-453A-B33B-04F1506DF3F9}"/>
    <cellStyle name="Normal 6 25 6 5" xfId="50189" xr:uid="{D6872DCE-82E2-43E3-AA7C-9F897DAEA856}"/>
    <cellStyle name="Normal 6 25 7" xfId="11452" xr:uid="{00000000-0005-0000-0000-000002320000}"/>
    <cellStyle name="Normal-- 6 25 7" xfId="49596" xr:uid="{BD31D552-0665-447D-B927-E960DF588D5F}"/>
    <cellStyle name="Normal 6 25 7 2" xfId="43940" xr:uid="{5935AC68-5EF4-479C-AAC7-0CA962FF0BE1}"/>
    <cellStyle name="Normal 6 25 7 3" xfId="47109" xr:uid="{76EA56BA-A4EB-408B-B784-D0521A9464AB}"/>
    <cellStyle name="Normal 6 25 7 4" xfId="46302" xr:uid="{A4F51B98-FE74-4322-82AF-321B61C77D2E}"/>
    <cellStyle name="Normal 6 25 8" xfId="13208" xr:uid="{00000000-0005-0000-0000-000079320000}"/>
    <cellStyle name="Normal-- 6 25 8" xfId="49839" xr:uid="{8090136F-9874-4EEF-A74C-ADE1D916F23F}"/>
    <cellStyle name="Normal 6 25 8 2" xfId="45672" xr:uid="{DA0259D0-E4F3-4E60-A13E-7D5FA019C1A3}"/>
    <cellStyle name="Normal 6 25 8 3" xfId="50192" xr:uid="{92C65B72-700C-4F3F-AD38-D85AC8405D65}"/>
    <cellStyle name="Normal 6 25 9" xfId="11424" xr:uid="{00000000-0005-0000-0000-0000F4320000}"/>
    <cellStyle name="Normal-- 6 25 9" xfId="50182" xr:uid="{C50849DC-94C4-40FA-8F86-7DBEDE62CAF5}"/>
    <cellStyle name="Normal 6 25 9 2" xfId="43912" xr:uid="{23EA7D8F-FB38-4860-9F0B-A564D1B41FC1}"/>
    <cellStyle name="Normal 6 26" xfId="4509" xr:uid="{00000000-0005-0000-0000-0000BD110000}"/>
    <cellStyle name="Normal-- 6 26" xfId="11499" xr:uid="{00000000-0005-0000-0000-00000F310000}"/>
    <cellStyle name="Normal 6 26 10" xfId="11373" xr:uid="{00000000-0005-0000-0000-0000F7330000}"/>
    <cellStyle name="Normal 6 26 10 2" xfId="43862" xr:uid="{F12D04AA-E50C-44E8-B707-0919881C294E}"/>
    <cellStyle name="Normal 6 26 11" xfId="13343" xr:uid="{00000000-0005-0000-0000-00007E340000}"/>
    <cellStyle name="Normal 6 26 11 2" xfId="45807" xr:uid="{7960610D-87DD-41AC-A63C-FA3079A9A1E5}"/>
    <cellStyle name="Normal 6 26 12" xfId="11290" xr:uid="{00000000-0005-0000-0000-000009350000}"/>
    <cellStyle name="Normal 6 26 12 2" xfId="43779" xr:uid="{E56A4EC9-2B31-4F7E-8E4C-C445196A21D6}"/>
    <cellStyle name="Normal 6 26 13" xfId="15963" xr:uid="{4059B7AD-BE4C-46F0-B6A9-5D162AF78CF9}"/>
    <cellStyle name="Normal 6 26 14" xfId="38547" xr:uid="{EEFA9B8E-8619-41FA-96E5-4F171F1A21FF}"/>
    <cellStyle name="Normal 6 26 15" xfId="40436" xr:uid="{85517694-8824-4BF0-96C9-B026157D2434}"/>
    <cellStyle name="Normal 6 26 16" xfId="48317" xr:uid="{B01F3B65-F26D-4E34-A3FE-7450C3FF7D0D}"/>
    <cellStyle name="Normal 6 26 17" xfId="48356" xr:uid="{BBF6263F-4E69-49B3-9B5C-2967160921ED}"/>
    <cellStyle name="Normal 6 26 18" xfId="46178" xr:uid="{53C22F5D-91B7-480D-B4C1-D47ABB9CE60F}"/>
    <cellStyle name="Normal 6 26 19" xfId="46826" xr:uid="{F5FFF297-DF02-486B-86AC-3C930E30ABD4}"/>
    <cellStyle name="Normal 6 26 2" xfId="4510" xr:uid="{00000000-0005-0000-0000-0000BE110000}"/>
    <cellStyle name="Normal-- 6 26 2" xfId="43987" xr:uid="{CAE19D8F-1C85-435B-85AF-A075A070C5AB}"/>
    <cellStyle name="Normal 6 26 2 10" xfId="47815" xr:uid="{F3720EC1-916D-4679-B7DE-C7808026F664}"/>
    <cellStyle name="Normal 6 26 2 11" xfId="47664" xr:uid="{04F8D5BB-B4B6-4B0F-8F94-813D7FEC8634}"/>
    <cellStyle name="Normal 6 26 2 2" xfId="10035" xr:uid="{00000000-0005-0000-0000-00000E1F0000}"/>
    <cellStyle name="Normal 6 26 2 2 2" xfId="42524" xr:uid="{19502FED-C9D5-4CC4-8BA9-11EA53131CEC}"/>
    <cellStyle name="Normal 6 26 2 3" xfId="6846" xr:uid="{00000000-0005-0000-0000-00003A0E0000}"/>
    <cellStyle name="Normal 6 26 2 4" xfId="38548" xr:uid="{47FEF0BF-F226-48E3-8468-34A904F1D4DA}"/>
    <cellStyle name="Normal 6 26 2 5" xfId="15285" xr:uid="{6C7977D8-B2C6-43C0-A61E-CAD96DF0A907}"/>
    <cellStyle name="Normal 6 26 2 6" xfId="46876" xr:uid="{2B93A721-010A-4C56-9033-EA47652BDDB5}"/>
    <cellStyle name="Normal 6 26 2 7" xfId="47247" xr:uid="{F3951F7E-A9A8-4771-BEEA-F208DB7B92DB}"/>
    <cellStyle name="Normal 6 26 2 8" xfId="48338" xr:uid="{4F1D881B-C878-47C8-BA4A-5958AC0D0BB8}"/>
    <cellStyle name="Normal 6 26 2 9" xfId="37680" xr:uid="{2B01F45B-A503-43F2-9FED-6D7543128E98}"/>
    <cellStyle name="Normal 6 26 20" xfId="37963" xr:uid="{18030EBE-923B-4845-A2AF-AA7E1E754FC8}"/>
    <cellStyle name="Normal 6 26 21" xfId="48321" xr:uid="{463E225D-7E9E-482A-AEFB-14E73CF022F2}"/>
    <cellStyle name="Normal 6 26 3" xfId="10034" xr:uid="{00000000-0005-0000-0000-00000D1F0000}"/>
    <cellStyle name="Normal-- 6 26 3" xfId="48011" xr:uid="{FEB14101-CCA5-4B18-9CC7-9016E9FDA2BE}"/>
    <cellStyle name="Normal 6 26 3 2" xfId="18164" xr:uid="{4D429394-8EEE-4700-8584-850E0567D4A2}"/>
    <cellStyle name="Normal 6 26 3 3" xfId="42523" xr:uid="{B779C453-BDD7-4026-B1CD-529AFCF95D52}"/>
    <cellStyle name="Normal 6 26 3 4" xfId="46387" xr:uid="{E9ACEF53-757E-4786-A3AD-997C7602DEEF}"/>
    <cellStyle name="Normal 6 26 3 5" xfId="46821" xr:uid="{70A3D019-CD9B-4DF3-A460-810613C837A1}"/>
    <cellStyle name="Normal 6 26 3 6" xfId="37636" xr:uid="{E2D7B8F0-9EFF-44F4-B4FE-A6ECCFADE274}"/>
    <cellStyle name="Normal 6 26 3 7" xfId="46908" xr:uid="{FE495C5C-6197-46A4-A405-43A1A787C5E8}"/>
    <cellStyle name="Normal 6 26 3 8" xfId="14990" xr:uid="{2CD68042-F14E-473B-8093-1C9B0E235711}"/>
    <cellStyle name="Normal 6 26 3 9" xfId="37884" xr:uid="{44737EB4-60CF-4CDC-93F8-B38EE5BA9726}"/>
    <cellStyle name="Normal 6 26 4" xfId="6845" xr:uid="{00000000-0005-0000-0000-0000390E0000}"/>
    <cellStyle name="Normal-- 6 26 4" xfId="48327" xr:uid="{9983204F-F1AA-49F8-92FB-A382A0F532F4}"/>
    <cellStyle name="Normal 6 26 5" xfId="13182" xr:uid="{00000000-0005-0000-0000-000090310000}"/>
    <cellStyle name="Normal-- 6 26 5" xfId="15635" xr:uid="{DDBAC188-B633-4C56-A3C9-CB1253C3D01E}"/>
    <cellStyle name="Normal 6 26 5 2" xfId="45646" xr:uid="{B688CB89-175A-4067-9012-FDA7C075A483}"/>
    <cellStyle name="Normal 6 26 5 3" xfId="49325" xr:uid="{55C8BE29-B437-4FDD-9DF4-F9BF8E0CBAC2}"/>
    <cellStyle name="Normal 6 26 5 4" xfId="49609" xr:uid="{2CD49BEA-3CF9-40A4-A6BD-73DD188CFBA5}"/>
    <cellStyle name="Normal 6 26 5 5" xfId="49849" xr:uid="{2A770A0A-F32A-44A4-ABE1-AFD89E696AB9}"/>
    <cellStyle name="Normal 6 26 5 6" xfId="50190" xr:uid="{5C9B413A-4E1C-4331-BF44-8568F3DAE4A1}"/>
    <cellStyle name="Normal 6 26 6" xfId="11451" xr:uid="{00000000-0005-0000-0000-000003320000}"/>
    <cellStyle name="Normal-- 6 26 6" xfId="15511" xr:uid="{3C04E473-7E59-42DD-8019-7FB187BBE807}"/>
    <cellStyle name="Normal 6 26 6 2" xfId="43939" xr:uid="{E72F48CE-D277-4CB0-A7C0-88F1CA489608}"/>
    <cellStyle name="Normal 6 26 6 3" xfId="46878" xr:uid="{6DE71D1C-A7C3-45FF-A25F-CFDB734FA029}"/>
    <cellStyle name="Normal 6 26 6 4" xfId="44499" xr:uid="{7C0D8678-A07C-4374-9D39-C164A6966A10}"/>
    <cellStyle name="Normal 6 26 6 5" xfId="37858" xr:uid="{3C9EE74D-5F43-46DB-9DF8-B4915A2BFE45}"/>
    <cellStyle name="Normal 6 26 7" xfId="13209" xr:uid="{00000000-0005-0000-0000-00007A320000}"/>
    <cellStyle name="Normal-- 6 26 7" xfId="47617" xr:uid="{8ED0DA1D-99F7-49B8-B39C-DC5BD558E288}"/>
    <cellStyle name="Normal 6 26 7 2" xfId="45673" xr:uid="{E79F55A9-F0B9-49D3-A577-940AA90AFC62}"/>
    <cellStyle name="Normal 6 26 7 3" xfId="49851" xr:uid="{C882F70B-92EB-48FF-AB73-A347F3BC3D8B}"/>
    <cellStyle name="Normal 6 26 7 4" xfId="50193" xr:uid="{21D68A19-C462-4FD2-B532-216A67DFFA49}"/>
    <cellStyle name="Normal 6 26 8" xfId="11423" xr:uid="{00000000-0005-0000-0000-0000F5320000}"/>
    <cellStyle name="Normal-- 6 26 8" xfId="47496" xr:uid="{B9967E02-D1A8-4C73-B99F-9431E0200146}"/>
    <cellStyle name="Normal 6 26 8 2" xfId="43911" xr:uid="{9EE06BA5-0B11-4AC4-B89D-29BD48250B1B}"/>
    <cellStyle name="Normal 6 26 8 3" xfId="48348" xr:uid="{67BF77E0-6537-40DD-AB85-E2ED6CEE2154}"/>
    <cellStyle name="Normal 6 26 9" xfId="13258" xr:uid="{00000000-0005-0000-0000-000074330000}"/>
    <cellStyle name="Normal-- 6 26 9" xfId="48252" xr:uid="{2FB97790-3B17-44F8-82E5-1899FAA6B211}"/>
    <cellStyle name="Normal 6 26 9 2" xfId="45722" xr:uid="{05F8D952-B884-4ECD-A7D0-16C495A69428}"/>
    <cellStyle name="Normal 6 27" xfId="4511" xr:uid="{00000000-0005-0000-0000-0000BF110000}"/>
    <cellStyle name="Normal-- 6 27" xfId="13147" xr:uid="{00000000-0005-0000-0000-00007E310000}"/>
    <cellStyle name="Normal 6 27 10" xfId="13344" xr:uid="{00000000-0005-0000-0000-00007F340000}"/>
    <cellStyle name="Normal 6 27 10 2" xfId="45808" xr:uid="{84B59409-4325-438B-AC44-5664DA8F3474}"/>
    <cellStyle name="Normal 6 27 11" xfId="11289" xr:uid="{00000000-0005-0000-0000-00000A350000}"/>
    <cellStyle name="Normal 6 27 11 2" xfId="43778" xr:uid="{CB8749B0-01CA-4530-8D1C-A858E55930D0}"/>
    <cellStyle name="Normal 6 27 12" xfId="15964" xr:uid="{CEC02336-CC64-4225-ABC2-0864544B1072}"/>
    <cellStyle name="Normal 6 27 13" xfId="38549" xr:uid="{47C5B3FE-8EC5-419E-8C86-291118F0D5C4}"/>
    <cellStyle name="Normal 6 27 14" xfId="40434" xr:uid="{6F565250-A309-43CE-A2A9-DF31EA56D754}"/>
    <cellStyle name="Normal 6 27 15" xfId="47426" xr:uid="{A378665B-6DB6-4B89-8155-E1B9D52D8B82}"/>
    <cellStyle name="Normal 6 27 16" xfId="37821" xr:uid="{F6E68A7D-7294-45DF-9120-00260E6D5106}"/>
    <cellStyle name="Normal 6 27 17" xfId="40308" xr:uid="{CBD11691-AAE6-401F-99AC-5DAF8403E831}"/>
    <cellStyle name="Normal 6 27 18" xfId="46971" xr:uid="{EF917FFD-340B-4703-A658-08CC2B769C73}"/>
    <cellStyle name="Normal 6 27 19" xfId="46201" xr:uid="{73FDA272-7385-4678-BD18-5C71EBC430AB}"/>
    <cellStyle name="Normal 6 27 2" xfId="4512" xr:uid="{00000000-0005-0000-0000-0000C0110000}"/>
    <cellStyle name="Normal-- 6 27 2" xfId="45611" xr:uid="{BD714EDA-170B-4DF2-AA64-4376202C3A7C}"/>
    <cellStyle name="Normal 6 27 2 10" xfId="40107" xr:uid="{D786A7BE-406A-4A3F-9D18-38032380417A}"/>
    <cellStyle name="Normal 6 27 2 11" xfId="16581" xr:uid="{00C38B1D-DF51-49CB-A9B5-CF1E42EC20B6}"/>
    <cellStyle name="Normal 6 27 2 2" xfId="10037" xr:uid="{00000000-0005-0000-0000-0000101F0000}"/>
    <cellStyle name="Normal 6 27 2 2 2" xfId="42526" xr:uid="{19F5A91D-98BE-4F85-BAE5-4CA1B64034B1}"/>
    <cellStyle name="Normal 6 27 2 3" xfId="6848" xr:uid="{00000000-0005-0000-0000-00003C0E0000}"/>
    <cellStyle name="Normal 6 27 2 4" xfId="38550" xr:uid="{DD65F7EE-4DD0-4901-B62D-4CDB86904B42}"/>
    <cellStyle name="Normal 6 27 2 5" xfId="40435" xr:uid="{14E07134-9641-4F22-AC8B-5652387717C8}"/>
    <cellStyle name="Normal 6 27 2 6" xfId="47938" xr:uid="{F16F78A4-BA3F-488E-B54A-D5FDCC43AB1E}"/>
    <cellStyle name="Normal 6 27 2 7" xfId="46921" xr:uid="{AFC9574A-2C2E-4BE0-9DF0-47685B64D1D6}"/>
    <cellStyle name="Normal 6 27 2 8" xfId="46401" xr:uid="{45346FFB-211F-4E11-BF1D-5ED5F7D9810A}"/>
    <cellStyle name="Normal 6 27 2 9" xfId="17284" xr:uid="{90A10ABE-7CDC-49E2-933A-BD75E1817E88}"/>
    <cellStyle name="Normal 6 27 20" xfId="48387" xr:uid="{08CD7BF2-40AA-414E-8C49-B5D3F60548FC}"/>
    <cellStyle name="Normal 6 27 3" xfId="10036" xr:uid="{00000000-0005-0000-0000-00000F1F0000}"/>
    <cellStyle name="Normal-- 6 27 3" xfId="48626" xr:uid="{C5A199FF-AFD4-44F4-8439-CFF201DFE97F}"/>
    <cellStyle name="Normal 6 27 3 2" xfId="18165" xr:uid="{849DD67E-A699-4E84-98FF-E33964AA6820}"/>
    <cellStyle name="Normal 6 27 3 3" xfId="42525" xr:uid="{74380457-22A7-4331-B187-3C21748BB02D}"/>
    <cellStyle name="Normal 6 27 3 4" xfId="37841" xr:uid="{CC91511A-8B81-4C01-B94D-D27C20B135D2}"/>
    <cellStyle name="Normal 6 27 3 5" xfId="46816" xr:uid="{FDF9955F-6FF3-4762-9EB7-CCD25498D40F}"/>
    <cellStyle name="Normal 6 27 3 6" xfId="47296" xr:uid="{4423C698-BFF5-47BD-967B-A0D51DC5DFB4}"/>
    <cellStyle name="Normal 6 27 3 7" xfId="48448" xr:uid="{A09F02FE-3FD9-40CA-9517-C28428FB89E1}"/>
    <cellStyle name="Normal 6 27 3 8" xfId="49174" xr:uid="{0E3F5F01-2120-4202-A64D-A67C7FC84B6D}"/>
    <cellStyle name="Normal 6 27 3 9" xfId="47490" xr:uid="{C9B54F88-5810-4CD6-9B3D-3F4CBAE1C257}"/>
    <cellStyle name="Normal 6 27 4" xfId="6847" xr:uid="{00000000-0005-0000-0000-00003B0E0000}"/>
    <cellStyle name="Normal-- 6 27 4" xfId="48831" xr:uid="{99F3D546-EEA1-461D-9B74-971A8C9B0CF3}"/>
    <cellStyle name="Normal 6 27 5" xfId="11450" xr:uid="{00000000-0005-0000-0000-000004320000}"/>
    <cellStyle name="Normal-- 6 27 5" xfId="49088" xr:uid="{C9153527-E0DB-45D1-98CB-53139BE44A11}"/>
    <cellStyle name="Normal 6 27 5 2" xfId="43938" xr:uid="{98F1C6D9-89F4-4367-ADD0-81AE696BA645}"/>
    <cellStyle name="Normal 6 27 5 3" xfId="46628" xr:uid="{9219906B-9655-4646-BB6C-AEF1433175B2}"/>
    <cellStyle name="Normal 6 27 5 4" xfId="39584" xr:uid="{3F690BC2-FBE5-48F0-9960-ED10FE8D0DFD}"/>
    <cellStyle name="Normal 6 27 5 5" xfId="48910" xr:uid="{03A657F2-D5F6-4E8F-B311-6ECA26B75243}"/>
    <cellStyle name="Normal 6 27 5 6" xfId="41374" xr:uid="{681DE7F2-B872-4730-8864-21327172E6A5}"/>
    <cellStyle name="Normal 6 27 6" xfId="13210" xr:uid="{00000000-0005-0000-0000-00007B320000}"/>
    <cellStyle name="Normal-- 6 27 6" xfId="49316" xr:uid="{18E20004-2C2E-47A7-8E9E-64EE6B41CBA5}"/>
    <cellStyle name="Normal 6 27 6 2" xfId="45674" xr:uid="{EC07495C-92E9-47B6-8AE2-F5D8D909F820}"/>
    <cellStyle name="Normal 6 27 6 3" xfId="49614" xr:uid="{40B9465E-4A17-4E61-928E-053B8A860D02}"/>
    <cellStyle name="Normal 6 27 6 4" xfId="49852" xr:uid="{FB1C3C87-AEF3-4B8F-B87E-EECCE73B8E02}"/>
    <cellStyle name="Normal 6 27 6 5" xfId="50194" xr:uid="{20766A5D-9DCB-4E90-A6B8-7B04B157971E}"/>
    <cellStyle name="Normal 6 27 7" xfId="11421" xr:uid="{00000000-0005-0000-0000-0000F6320000}"/>
    <cellStyle name="Normal-- 6 27 7" xfId="49600" xr:uid="{D622743D-67FE-4599-A9C2-40FB8C8D8C94}"/>
    <cellStyle name="Normal 6 27 7 2" xfId="43909" xr:uid="{1D9224B1-595A-46EA-9EC6-019DCF222AE6}"/>
    <cellStyle name="Normal 6 27 7 3" xfId="47836" xr:uid="{05AF5BAC-4DF3-4C07-8C8D-D5C74E5259D9}"/>
    <cellStyle name="Normal 6 27 7 4" xfId="40803" xr:uid="{5C9E1C4D-9515-4E5F-8D66-C3C5C3245CDB}"/>
    <cellStyle name="Normal 6 27 8" xfId="13260" xr:uid="{00000000-0005-0000-0000-000075330000}"/>
    <cellStyle name="Normal-- 6 27 8" xfId="49842" xr:uid="{D657784D-66A3-45DF-997F-8E9075098061}"/>
    <cellStyle name="Normal 6 27 8 2" xfId="45724" xr:uid="{0AA9872B-06D2-47C6-B90C-BB2E69288460}"/>
    <cellStyle name="Normal 6 27 8 3" xfId="50203" xr:uid="{74EA7FB1-6FA9-4868-9F46-756A3F0210E0}"/>
    <cellStyle name="Normal 6 27 9" xfId="11372" xr:uid="{00000000-0005-0000-0000-0000F8330000}"/>
    <cellStyle name="Normal-- 6 27 9" xfId="50183" xr:uid="{C0D27FCC-40F8-4FCE-A1DA-A76C67705BF5}"/>
    <cellStyle name="Normal 6 27 9 2" xfId="43861" xr:uid="{90A9996D-B565-4DDA-A34C-D75191E5289B}"/>
    <cellStyle name="Normal 6 28" xfId="4513" xr:uid="{00000000-0005-0000-0000-0000C1110000}"/>
    <cellStyle name="Normal-- 6 28" xfId="11486" xr:uid="{00000000-0005-0000-0000-0000F1310000}"/>
    <cellStyle name="Normal 6 28 10" xfId="11287" xr:uid="{00000000-0005-0000-0000-00000B350000}"/>
    <cellStyle name="Normal 6 28 10 2" xfId="43776" xr:uid="{625D310A-18BF-4CE9-8529-1414AF02F776}"/>
    <cellStyle name="Normal 6 28 11" xfId="15966" xr:uid="{98DB80F9-2C1F-4D18-B5F1-084115BF0FE1}"/>
    <cellStyle name="Normal 6 28 12" xfId="38551" xr:uid="{1A35F581-D78F-4231-8061-83341AC68F0F}"/>
    <cellStyle name="Normal 6 28 13" xfId="15286" xr:uid="{878FD2CE-A00B-459F-8631-B62CB2EAD9C1}"/>
    <cellStyle name="Normal 6 28 14" xfId="48688" xr:uid="{8D3571C5-62AE-40FA-80FA-ACEECF0F0D16}"/>
    <cellStyle name="Normal 6 28 15" xfId="40559" xr:uid="{0A403138-CDE4-4CF8-9BF6-F6F6E5521A7B}"/>
    <cellStyle name="Normal 6 28 16" xfId="46890" xr:uid="{A7B04FE3-28BB-48EE-B29B-5D0144751AFC}"/>
    <cellStyle name="Normal 6 28 17" xfId="15789" xr:uid="{39120E6A-1DC4-4A43-8D2F-730D08D13418}"/>
    <cellStyle name="Normal 6 28 18" xfId="14942" xr:uid="{45331AB8-FB06-4236-BD65-DD05AA8EF589}"/>
    <cellStyle name="Normal 6 28 19" xfId="49079" xr:uid="{6F4A4235-8F45-4509-BC8F-9DFFE7FA179B}"/>
    <cellStyle name="Normal 6 28 2" xfId="4514" xr:uid="{00000000-0005-0000-0000-0000C2110000}"/>
    <cellStyle name="Normal-- 6 28 2" xfId="43974" xr:uid="{DF618917-667E-40FB-8125-92C6FF130572}"/>
    <cellStyle name="Normal 6 28 2 10" xfId="48884" xr:uid="{7720317C-BCA7-486D-B72D-23955064258A}"/>
    <cellStyle name="Normal 6 28 2 11" xfId="49841" xr:uid="{92364AD9-6FBA-4D35-9A1B-6F813F40A2D5}"/>
    <cellStyle name="Normal 6 28 2 2" xfId="10039" xr:uid="{00000000-0005-0000-0000-0000121F0000}"/>
    <cellStyle name="Normal 6 28 2 2 2" xfId="42528" xr:uid="{98066DE4-CB27-4441-B0A9-27ECFE046C2B}"/>
    <cellStyle name="Normal 6 28 2 3" xfId="6850" xr:uid="{00000000-0005-0000-0000-00003E0E0000}"/>
    <cellStyle name="Normal 6 28 2 4" xfId="38552" xr:uid="{2B5D7379-EECD-494E-A848-CD64CF3A074E}"/>
    <cellStyle name="Normal 6 28 2 5" xfId="15287" xr:uid="{EF719538-C118-4028-A1C8-089196C56711}"/>
    <cellStyle name="Normal 6 28 2 6" xfId="48532" xr:uid="{3C878656-8BE2-4C9A-AD28-255185ACB49C}"/>
    <cellStyle name="Normal 6 28 2 7" xfId="37820" xr:uid="{2C93B095-1110-4C5E-9057-FF1CF0FB9F52}"/>
    <cellStyle name="Normal 6 28 2 8" xfId="46812" xr:uid="{B130290F-A9ED-4A0E-B1EF-A452DB89C852}"/>
    <cellStyle name="Normal 6 28 2 9" xfId="49096" xr:uid="{5C3F1352-581E-4C2F-8BBD-25F210652FFF}"/>
    <cellStyle name="Normal 6 28 3" xfId="10038" xr:uid="{00000000-0005-0000-0000-0000111F0000}"/>
    <cellStyle name="Normal-- 6 28 3" xfId="48004" xr:uid="{0E554E07-F82A-47A5-B6E3-1822187BA4CC}"/>
    <cellStyle name="Normal 6 28 3 2" xfId="18166" xr:uid="{D7A2062E-1864-425E-B883-293619B001FF}"/>
    <cellStyle name="Normal 6 28 3 3" xfId="42527" xr:uid="{8C01CFEB-CA43-4DFF-96C2-4327B1739A90}"/>
    <cellStyle name="Normal 6 28 3 4" xfId="37842" xr:uid="{2DDCC4B6-A055-417B-83A8-8E41D26D5855}"/>
    <cellStyle name="Normal 6 28 3 5" xfId="40634" xr:uid="{78AA41FF-722D-42B4-A649-FC957E84E5D5}"/>
    <cellStyle name="Normal 6 28 3 6" xfId="47515" xr:uid="{5648F2AE-81AA-4750-9708-BB5DD36C011E}"/>
    <cellStyle name="Normal 6 28 3 7" xfId="48404" xr:uid="{D4FA4464-2118-4D60-80F2-A712E5B9F64E}"/>
    <cellStyle name="Normal 6 28 3 8" xfId="40595" xr:uid="{33538976-9236-4967-912D-2ABCE8D1F278}"/>
    <cellStyle name="Normal 6 28 3 9" xfId="14163" xr:uid="{BF203E62-ADB4-46B6-ADAF-010D06BC9CF0}"/>
    <cellStyle name="Normal 6 28 4" xfId="6849" xr:uid="{00000000-0005-0000-0000-00003D0E0000}"/>
    <cellStyle name="Normal-- 6 28 4" xfId="48335" xr:uid="{E06074A9-2C7D-451E-9D8D-F72F44098DE6}"/>
    <cellStyle name="Normal 6 28 5" xfId="13212" xr:uid="{00000000-0005-0000-0000-00007C320000}"/>
    <cellStyle name="Normal-- 6 28 5" xfId="46970" xr:uid="{DF984032-E17B-4EBE-B552-20E409218B6B}"/>
    <cellStyle name="Normal 6 28 5 2" xfId="45676" xr:uid="{4FF348F5-9F77-4D76-AEEB-9569897A6157}"/>
    <cellStyle name="Normal 6 28 5 3" xfId="49331" xr:uid="{01772CF4-96AB-41D8-910D-99103075EBC1}"/>
    <cellStyle name="Normal 6 28 5 4" xfId="49615" xr:uid="{6C14EB1E-206D-4437-8E7D-CE95266CA67C}"/>
    <cellStyle name="Normal 6 28 5 5" xfId="49853" xr:uid="{51BADB7D-086F-4B1E-9DB1-77D32F42FA89}"/>
    <cellStyle name="Normal 6 28 5 6" xfId="50195" xr:uid="{A9B392CD-AC45-4764-83DD-7A9283F7BBD6}"/>
    <cellStyle name="Normal 6 28 6" xfId="11420" xr:uid="{00000000-0005-0000-0000-0000F7320000}"/>
    <cellStyle name="Normal-- 6 28 6" xfId="40111" xr:uid="{CDFC78C7-903A-47B7-9766-D67362F43BAC}"/>
    <cellStyle name="Normal 6 28 6 2" xfId="43908" xr:uid="{3A24DC0E-26D0-4515-BCB0-FF8499EE7F86}"/>
    <cellStyle name="Normal 6 28 6 3" xfId="46104" xr:uid="{BE339522-9D81-4698-88C9-69501B96FE5F}"/>
    <cellStyle name="Normal 6 28 6 4" xfId="48741" xr:uid="{08A83578-5F7D-4161-A8B0-92E4174DCCAA}"/>
    <cellStyle name="Normal 6 28 6 5" xfId="41791" xr:uid="{FDA45D47-8DE9-4E83-B034-DB3EBF72D706}"/>
    <cellStyle name="Normal 6 28 7" xfId="13266" xr:uid="{00000000-0005-0000-0000-000076330000}"/>
    <cellStyle name="Normal-- 6 28 7" xfId="40708" xr:uid="{A2766448-F917-4B13-BDAA-67E30FB7AF97}"/>
    <cellStyle name="Normal 6 28 7 2" xfId="45730" xr:uid="{2636CC3A-24E6-4D59-A7A4-92A24C53C679}"/>
    <cellStyle name="Normal 6 28 7 3" xfId="49860" xr:uid="{3DA97CCC-CEBE-4F26-9257-B516743B7F7B}"/>
    <cellStyle name="Normal 6 28 7 4" xfId="50204" xr:uid="{83C6A7C8-4B1C-435C-B8EC-D74491639BF0}"/>
    <cellStyle name="Normal 6 28 8" xfId="11371" xr:uid="{00000000-0005-0000-0000-0000F9330000}"/>
    <cellStyle name="Normal-- 6 28 8" xfId="40750" xr:uid="{C6B427B3-0481-46B8-A87F-D362E4047DE5}"/>
    <cellStyle name="Normal 6 28 8 2" xfId="43860" xr:uid="{BD7129DC-B52D-4B98-A4A2-0DDFBF236D99}"/>
    <cellStyle name="Normal 6 28 8 3" xfId="37859" xr:uid="{DAE85400-BD64-4426-94BD-13493C6A5B36}"/>
    <cellStyle name="Normal 6 28 9" xfId="13345" xr:uid="{00000000-0005-0000-0000-000080340000}"/>
    <cellStyle name="Normal-- 6 28 9" xfId="39554" xr:uid="{223F5A45-CEE7-403E-8EA2-D0414527BBF4}"/>
    <cellStyle name="Normal 6 28 9 2" xfId="45809" xr:uid="{2289A940-59B2-4B37-B135-1D19435F0FF0}"/>
    <cellStyle name="Normal 6 29" xfId="4515" xr:uid="{00000000-0005-0000-0000-0000C3110000}"/>
    <cellStyle name="Normal-- 6 29" xfId="13168" xr:uid="{00000000-0005-0000-0000-000068320000}"/>
    <cellStyle name="Normal 6 29 10" xfId="15967" xr:uid="{59417040-A21C-4546-9AE1-0533B60DD832}"/>
    <cellStyle name="Normal 6 29 11" xfId="38553" xr:uid="{E872E582-25C3-4182-B18C-76E7094FFF21}"/>
    <cellStyle name="Normal 6 29 12" xfId="15288" xr:uid="{58390264-14DD-45AB-B42C-712E15EF3142}"/>
    <cellStyle name="Normal 6 29 13" xfId="48664" xr:uid="{05EADF1B-058C-472C-B94B-662FAD887F15}"/>
    <cellStyle name="Normal 6 29 14" xfId="48373" xr:uid="{6F980A4D-F8D3-4EC5-A4BC-DE2BAB4631F2}"/>
    <cellStyle name="Normal 6 29 15" xfId="48183" xr:uid="{01022B8F-D85C-4D16-BB0E-3D7DEC379F55}"/>
    <cellStyle name="Normal 6 29 16" xfId="44279" xr:uid="{8C21C8E6-0092-4FBC-94C5-A609944CCD27}"/>
    <cellStyle name="Normal 6 29 17" xfId="39566" xr:uid="{307D9AB0-C466-444B-8503-1F70765291E2}"/>
    <cellStyle name="Normal 6 29 18" xfId="37903" xr:uid="{F11A0E9D-4B41-4306-B957-044B27B851A6}"/>
    <cellStyle name="Normal 6 29 2" xfId="4516" xr:uid="{00000000-0005-0000-0000-0000C4110000}"/>
    <cellStyle name="Normal-- 6 29 2" xfId="45632" xr:uid="{8DDEED7B-C82C-4B04-B4F7-65FAF72CA2B6}"/>
    <cellStyle name="Normal 6 29 2 10" xfId="47812" xr:uid="{ABA4C18A-B2F2-47D0-973F-8D28D1C4BAA5}"/>
    <cellStyle name="Normal 6 29 2 11" xfId="49838" xr:uid="{DB82EFC1-1E2C-4794-83EC-DC6E35A6EF41}"/>
    <cellStyle name="Normal 6 29 2 2" xfId="10041" xr:uid="{00000000-0005-0000-0000-0000141F0000}"/>
    <cellStyle name="Normal 6 29 2 2 2" xfId="42530" xr:uid="{2321797D-BDE1-4B0E-97C9-174A419A0C03}"/>
    <cellStyle name="Normal 6 29 2 3" xfId="6853" xr:uid="{00000000-0005-0000-0000-0000400E0000}"/>
    <cellStyle name="Normal 6 29 2 4" xfId="38554" xr:uid="{6A2E583F-A580-42D1-BC9A-D0073469CCEA}"/>
    <cellStyle name="Normal 6 29 2 5" xfId="15289" xr:uid="{2DE3C8B5-4E06-401E-87CB-58C6FEFD47E0}"/>
    <cellStyle name="Normal 6 29 2 6" xfId="47982" xr:uid="{F3A3AE87-701D-4A78-8A16-0DD1BC735FE1}"/>
    <cellStyle name="Normal 6 29 2 7" xfId="13982" xr:uid="{D4A2D3C0-AC7B-4FC7-A872-58025733082C}"/>
    <cellStyle name="Normal 6 29 2 8" xfId="47890" xr:uid="{7BBB5F8D-EC51-4039-9014-E56AFB7F4DCD}"/>
    <cellStyle name="Normal 6 29 2 9" xfId="46690" xr:uid="{A63C97A4-34DB-408D-AE59-E1B2B53F6D1C}"/>
    <cellStyle name="Normal 6 29 3" xfId="10040" xr:uid="{00000000-0005-0000-0000-0000131F0000}"/>
    <cellStyle name="Normal-- 6 29 3" xfId="48638" xr:uid="{2A067E8E-C917-409D-8556-45FF3997ECA4}"/>
    <cellStyle name="Normal 6 29 3 2" xfId="18167" xr:uid="{432F76D7-72E7-4D78-AF00-FB662D56654B}"/>
    <cellStyle name="Normal 6 29 3 3" xfId="42529" xr:uid="{8AE6817A-060A-4F8B-89A8-AA71D2190D02}"/>
    <cellStyle name="Normal 6 29 3 4" xfId="46381" xr:uid="{23E2F547-6B36-4C8C-8E89-40ED192130A9}"/>
    <cellStyle name="Normal 6 29 3 5" xfId="40305" xr:uid="{BBEDAE70-3CA7-406A-A50D-BD353894C9E8}"/>
    <cellStyle name="Normal 6 29 3 6" xfId="37929" xr:uid="{722C5908-ABAD-46A4-8FE1-E2842C463F82}"/>
    <cellStyle name="Normal 6 29 3 7" xfId="46982" xr:uid="{923FF4B9-BC9B-4495-91FA-0EDA1B5149E6}"/>
    <cellStyle name="Normal 6 29 3 8" xfId="15383" xr:uid="{54D7C37E-19A7-4C60-AC3B-C78D20D80CCC}"/>
    <cellStyle name="Normal 6 29 3 9" xfId="48721" xr:uid="{CE902A98-5F28-4A1A-9B01-1C2584A26488}"/>
    <cellStyle name="Normal 6 29 4" xfId="6852" xr:uid="{00000000-0005-0000-0000-00003F0E0000}"/>
    <cellStyle name="Normal-- 6 29 4" xfId="48841" xr:uid="{A68A8865-A24E-48AE-AB4A-C2C9E477B2CB}"/>
    <cellStyle name="Normal 6 29 5" xfId="11419" xr:uid="{00000000-0005-0000-0000-0000F8320000}"/>
    <cellStyle name="Normal-- 6 29 5" xfId="49101" xr:uid="{953A9733-1547-4E57-9C79-90143183AE44}"/>
    <cellStyle name="Normal 6 29 5 2" xfId="43907" xr:uid="{C88E4EB5-9F47-41F4-B0C8-A2AA03B46572}"/>
    <cellStyle name="Normal 6 29 5 3" xfId="40218" xr:uid="{EA9ACFFD-0A07-4B16-9A97-BEDF992ED621}"/>
    <cellStyle name="Normal 6 29 5 4" xfId="40590" xr:uid="{6E41A43F-09DD-4483-AD29-11453ECCF53E}"/>
    <cellStyle name="Normal 6 29 5 5" xfId="18733" xr:uid="{3F848575-A365-488F-925E-ACDB446E5F0E}"/>
    <cellStyle name="Normal 6 29 5 6" xfId="47860" xr:uid="{6F0B5D90-ED72-4DD9-835F-1FF75E6E83F1}"/>
    <cellStyle name="Normal 6 29 6" xfId="13267" xr:uid="{00000000-0005-0000-0000-000077330000}"/>
    <cellStyle name="Normal-- 6 29 6" xfId="49321" xr:uid="{F3676D20-83E7-41C9-A9D0-D7F9666DC52E}"/>
    <cellStyle name="Normal 6 29 6 2" xfId="45731" xr:uid="{888871D8-A92D-4F01-B8EA-29FA196523E6}"/>
    <cellStyle name="Normal 6 29 6 3" xfId="49624" xr:uid="{12105C7E-2912-4B26-9A90-C2E03BA1F456}"/>
    <cellStyle name="Normal 6 29 6 4" xfId="49861" xr:uid="{62726CB9-1509-48D3-9391-ECA30BA79934}"/>
    <cellStyle name="Normal 6 29 6 5" xfId="50205" xr:uid="{8C79C7AC-2557-4416-9666-11B2047C4233}"/>
    <cellStyle name="Normal 6 29 7" xfId="11370" xr:uid="{00000000-0005-0000-0000-0000FA330000}"/>
    <cellStyle name="Normal-- 6 29 7" xfId="49606" xr:uid="{75C956A4-81E2-4EFD-80CB-12A207434CBF}"/>
    <cellStyle name="Normal 6 29 7 2" xfId="43859" xr:uid="{A082A772-6E90-4AA4-BA5C-FDEB5205E0A0}"/>
    <cellStyle name="Normal 6 29 7 3" xfId="15327" xr:uid="{79ADEA1D-5DCF-47AB-A259-FEE98684DD48}"/>
    <cellStyle name="Normal 6 29 7 4" xfId="46599" xr:uid="{E54EC1E6-92B5-4651-B4A6-AE527FAC13D4}"/>
    <cellStyle name="Normal 6 29 8" xfId="13347" xr:uid="{00000000-0005-0000-0000-000081340000}"/>
    <cellStyle name="Normal-- 6 29 8" xfId="49845" xr:uid="{70FEA5B8-33E5-4154-B793-87C83E292D1C}"/>
    <cellStyle name="Normal 6 29 8 2" xfId="45811" xr:uid="{F61DE55D-488D-4A87-ACDC-445E27C9D8F6}"/>
    <cellStyle name="Normal 6 29 8 3" xfId="50218" xr:uid="{DC0FE08D-9A0C-426F-8CEA-5E164FE63797}"/>
    <cellStyle name="Normal 6 29 9" xfId="11286" xr:uid="{00000000-0005-0000-0000-00000C350000}"/>
    <cellStyle name="Normal-- 6 29 9" xfId="50187" xr:uid="{4DC10FCE-FD3C-4028-85E9-F2293017B5AE}"/>
    <cellStyle name="Normal 6 29 9 2" xfId="43775" xr:uid="{D9F03A4B-3B32-4830-BE2B-61F4A6ECC37D}"/>
    <cellStyle name="Normal 6 3" xfId="4517" xr:uid="{00000000-0005-0000-0000-0000C5110000}"/>
    <cellStyle name="Normal-- 6 3" xfId="12304" xr:uid="{00000000-0005-0000-0000-00000D230000}"/>
    <cellStyle name="Normal 6 3 10" xfId="8493" xr:uid="{00000000-0005-0000-0000-000096230000}"/>
    <cellStyle name="Normal 6 3 10 2" xfId="41250" xr:uid="{3D3F2181-9D19-4F3B-A7A7-42374080D373}"/>
    <cellStyle name="Normal 6 3 11" xfId="12417" xr:uid="{00000000-0005-0000-0000-0000BD230000}"/>
    <cellStyle name="Normal 6 3 11 2" xfId="44893" xr:uid="{63CA033B-B2A9-4F39-83B4-26EBF1EEBB5F}"/>
    <cellStyle name="Normal 6 3 12" xfId="8511" xr:uid="{00000000-0005-0000-0000-0000E8230000}"/>
    <cellStyle name="Normal 6 3 12 2" xfId="41261" xr:uid="{BD6DABA7-6898-4CB5-A7CA-D07DB6DDEC42}"/>
    <cellStyle name="Normal 6 3 13" xfId="12433" xr:uid="{00000000-0005-0000-0000-000018240000}"/>
    <cellStyle name="Normal 6 3 13 2" xfId="44907" xr:uid="{E4FCFA50-1B50-464E-917E-144B57228804}"/>
    <cellStyle name="Normal 6 3 14" xfId="8531" xr:uid="{00000000-0005-0000-0000-00004C240000}"/>
    <cellStyle name="Normal 6 3 14 2" xfId="41275" xr:uid="{4F72CB2E-8F2A-4199-BEB6-D257211A5CA6}"/>
    <cellStyle name="Normal 6 3 15" xfId="12456" xr:uid="{00000000-0005-0000-0000-000084240000}"/>
    <cellStyle name="Normal 6 3 15 2" xfId="44930" xr:uid="{D6B2B756-DC1C-46F1-B838-E88760B208F6}"/>
    <cellStyle name="Normal 6 3 16" xfId="8557" xr:uid="{00000000-0005-0000-0000-0000C0240000}"/>
    <cellStyle name="Normal 6 3 16 2" xfId="41293" xr:uid="{0B81718A-DC97-4CD7-9A16-89C5BA8701D6}"/>
    <cellStyle name="Normal 6 3 17" xfId="12485" xr:uid="{00000000-0005-0000-0000-000000250000}"/>
    <cellStyle name="Normal 6 3 17 2" xfId="44959" xr:uid="{A64C79EF-6BA4-4BE4-A684-EC9F05F6BE45}"/>
    <cellStyle name="Normal 6 3 18" xfId="8590" xr:uid="{00000000-0005-0000-0000-000044250000}"/>
    <cellStyle name="Normal 6 3 18 2" xfId="41319" xr:uid="{D77448D8-C9B0-47CF-9F48-5B16373DBF9C}"/>
    <cellStyle name="Normal 6 3 19" xfId="12519" xr:uid="{00000000-0005-0000-0000-00008C250000}"/>
    <cellStyle name="Normal 6 3 19 2" xfId="44992" xr:uid="{26992CE1-D859-4380-B33F-DD6DFD648EE5}"/>
    <cellStyle name="Normal 6 3 2" xfId="4518" xr:uid="{00000000-0005-0000-0000-0000C6110000}"/>
    <cellStyle name="Normal-- 6 3 2" xfId="44786" xr:uid="{02212CC9-49E7-43C7-8D79-755CB73C999D}"/>
    <cellStyle name="Normal 6 3 2 10" xfId="40143" xr:uid="{568689D4-CAAB-4007-A56C-17F14E535C23}"/>
    <cellStyle name="Normal 6 3 2 11" xfId="49835" xr:uid="{9CC89E24-ACAF-4688-BFDE-7F801DE70464}"/>
    <cellStyle name="Normal 6 3 2 2" xfId="10043" xr:uid="{00000000-0005-0000-0000-0000161F0000}"/>
    <cellStyle name="Normal 6 3 2 2 2" xfId="42532" xr:uid="{A35A38C7-97F8-46FA-9ED0-3BA6B12E4F13}"/>
    <cellStyle name="Normal 6 3 2 3" xfId="6855" xr:uid="{00000000-0005-0000-0000-0000420E0000}"/>
    <cellStyle name="Normal 6 3 2 4" xfId="38556" xr:uid="{42452F5B-B23B-48F7-85BF-814D377B19FE}"/>
    <cellStyle name="Normal 6 3 2 5" xfId="40431" xr:uid="{E391130A-7AE9-481D-90C5-1DDCA8038BD7}"/>
    <cellStyle name="Normal 6 3 2 6" xfId="47427" xr:uid="{91FA91C0-3ECF-4721-84A9-4AFED87E6507}"/>
    <cellStyle name="Normal 6 3 2 7" xfId="48072" xr:uid="{4CD1B047-0A22-4A36-A196-ABA6F667BA4E}"/>
    <cellStyle name="Normal 6 3 2 8" xfId="40565" xr:uid="{A1D15C3E-C34C-44C7-A551-32522A9BFB39}"/>
    <cellStyle name="Normal 6 3 2 9" xfId="15018" xr:uid="{1A9FECA5-9F74-41B9-8676-448329416535}"/>
    <cellStyle name="Normal 6 3 20" xfId="8632" xr:uid="{00000000-0005-0000-0000-0000D8250000}"/>
    <cellStyle name="Normal 6 3 20 2" xfId="41349" xr:uid="{77C59ACB-F0B7-4BD0-8DAB-90E241AD0120}"/>
    <cellStyle name="Normal 6 3 21" xfId="12559" xr:uid="{00000000-0005-0000-0000-000028260000}"/>
    <cellStyle name="Normal 6 3 21 2" xfId="45030" xr:uid="{5F3D745C-598B-4168-8293-ED8457E74C37}"/>
    <cellStyle name="Normal 6 3 22" xfId="8679" xr:uid="{00000000-0005-0000-0000-00007C260000}"/>
    <cellStyle name="Normal 6 3 22 2" xfId="41384" xr:uid="{1F8EDA89-DFF3-4711-83C3-32E6D27AE728}"/>
    <cellStyle name="Normal 6 3 23" xfId="12606" xr:uid="{00000000-0005-0000-0000-0000D4260000}"/>
    <cellStyle name="Normal 6 3 23 2" xfId="45077" xr:uid="{37372363-278F-4DCE-9770-3AFAFF603D8B}"/>
    <cellStyle name="Normal 6 3 24" xfId="8752" xr:uid="{00000000-0005-0000-0000-000030270000}"/>
    <cellStyle name="Normal 6 3 24 2" xfId="41434" xr:uid="{98F86A3D-8E73-493D-8BAB-F76D90E20C90}"/>
    <cellStyle name="Normal 6 3 25" xfId="12663" xr:uid="{00000000-0005-0000-0000-000090270000}"/>
    <cellStyle name="Normal 6 3 25 2" xfId="45134" xr:uid="{F22CADA1-4838-4404-883D-27AF5911D316}"/>
    <cellStyle name="Normal 6 3 26" xfId="6854" xr:uid="{00000000-0005-0000-0000-0000410E0000}"/>
    <cellStyle name="Normal 6 3 27" xfId="13161" xr:uid="{00000000-0005-0000-0000-0000B5300000}"/>
    <cellStyle name="Normal 6 3 27 2" xfId="45625" xr:uid="{C61669CD-F5D8-4170-B558-D116D1273FB6}"/>
    <cellStyle name="Normal 6 3 28" xfId="11473" xr:uid="{00000000-0005-0000-0000-000021310000}"/>
    <cellStyle name="Normal 6 3 28 2" xfId="43961" xr:uid="{E89E08C5-EC91-4003-B3D7-935BAF306272}"/>
    <cellStyle name="Normal 6 3 29" xfId="13184" xr:uid="{00000000-0005-0000-0000-000091310000}"/>
    <cellStyle name="Normal 6 3 29 2" xfId="45648" xr:uid="{56862497-CA97-4416-B442-C24CC04D0EF3}"/>
    <cellStyle name="Normal 6 3 3" xfId="4519" xr:uid="{00000000-0005-0000-0000-0000C7110000}"/>
    <cellStyle name="Normal-- 6 3 3" xfId="48281" xr:uid="{DCEEB050-172A-447E-9771-67CF73473CA3}"/>
    <cellStyle name="Normal 6 3 3 10" xfId="47553" xr:uid="{D68E3545-813E-447F-B7F0-236BA65EE716}"/>
    <cellStyle name="Normal 6 3 3 2" xfId="10044" xr:uid="{00000000-0005-0000-0000-0000171F0000}"/>
    <cellStyle name="Normal 6 3 3 2 2" xfId="42533" xr:uid="{FAA82AFD-2621-4923-85A4-5A000047FFA3}"/>
    <cellStyle name="Normal 6 3 3 3" xfId="6856" xr:uid="{00000000-0005-0000-0000-0000430E0000}"/>
    <cellStyle name="Normal 6 3 3 4" xfId="38557" xr:uid="{4D219086-3F34-4E07-B6FC-F4D058AE292F}"/>
    <cellStyle name="Normal 6 3 3 5" xfId="48650" xr:uid="{D6FB851E-678E-4EA4-868C-BF23DA2A4B55}"/>
    <cellStyle name="Normal 6 3 3 6" xfId="16319" xr:uid="{75769C93-FF55-4998-A0C7-FF88C0629934}"/>
    <cellStyle name="Normal 6 3 3 7" xfId="48793" xr:uid="{6E452211-FFE6-41C1-8C20-C2AAC17622F5}"/>
    <cellStyle name="Normal 6 3 3 8" xfId="47520" xr:uid="{FCBA3F11-6CFC-4B14-A417-3926A25DA67D}"/>
    <cellStyle name="Normal 6 3 3 9" xfId="47552" xr:uid="{0E1BA972-EE25-48F5-B05E-7C576960262E}"/>
    <cellStyle name="Normal 6 3 30" xfId="11448" xr:uid="{00000000-0005-0000-0000-000005320000}"/>
    <cellStyle name="Normal 6 3 30 2" xfId="43936" xr:uid="{248871C6-C6E2-4B98-AD55-E34E5C1BBCC8}"/>
    <cellStyle name="Normal 6 3 31" xfId="13213" xr:uid="{00000000-0005-0000-0000-00007D320000}"/>
    <cellStyle name="Normal 6 3 31 2" xfId="45677" xr:uid="{A9DF8816-3E77-4424-B950-76457DE1C98B}"/>
    <cellStyle name="Normal 6 3 32" xfId="12923" xr:uid="{00000000-0005-0000-0000-0000F9320000}"/>
    <cellStyle name="Normal 6 3 32 2" xfId="45394" xr:uid="{630907AF-9E8E-409D-B4AD-69FA86919B3D}"/>
    <cellStyle name="Normal 6 3 33" xfId="13268" xr:uid="{00000000-0005-0000-0000-000078330000}"/>
    <cellStyle name="Normal 6 3 33 2" xfId="45732" xr:uid="{035A5814-4C4F-4BF1-89E0-F50634275A88}"/>
    <cellStyle name="Normal 6 3 34" xfId="11368" xr:uid="{00000000-0005-0000-0000-0000FB330000}"/>
    <cellStyle name="Normal 6 3 34 2" xfId="43857" xr:uid="{E9CAAB81-8ADD-4DA9-966E-ABC710EC497D}"/>
    <cellStyle name="Normal 6 3 35" xfId="13348" xr:uid="{00000000-0005-0000-0000-000082340000}"/>
    <cellStyle name="Normal 6 3 35 2" xfId="45812" xr:uid="{E6142FE9-D747-4D85-8411-A552C1CD0CCA}"/>
    <cellStyle name="Normal 6 3 36" xfId="11285" xr:uid="{00000000-0005-0000-0000-00000D350000}"/>
    <cellStyle name="Normal 6 3 36 2" xfId="43774" xr:uid="{46F3AE91-9305-409B-AB58-11E99D2369C6}"/>
    <cellStyle name="Normal 6 3 37" xfId="15968" xr:uid="{09DD3502-2C44-483A-98CC-645F4AA6E4BF}"/>
    <cellStyle name="Normal 6 3 38" xfId="38555" xr:uid="{A7A5F962-D83D-4383-AB09-2496235567E2}"/>
    <cellStyle name="Normal 6 3 39" xfId="40420" xr:uid="{BD2F5C54-6C52-4FBC-B59F-C7837F47D9EE}"/>
    <cellStyle name="Normal 6 3 4" xfId="4520" xr:uid="{00000000-0005-0000-0000-0000C8110000}"/>
    <cellStyle name="Normal-- 6 3 4" xfId="40895" xr:uid="{B1617C0E-DB19-41FF-9FBD-AC3B24C552D2}"/>
    <cellStyle name="Normal 6 3 4 2" xfId="10045" xr:uid="{00000000-0005-0000-0000-0000181F0000}"/>
    <cellStyle name="Normal 6 3 4 2 2" xfId="42534" xr:uid="{A1592F80-0C3B-43EF-A96A-87DC1C06F33F}"/>
    <cellStyle name="Normal 6 3 4 3" xfId="6857" xr:uid="{00000000-0005-0000-0000-0000440E0000}"/>
    <cellStyle name="Normal 6 3 4 4" xfId="38558" xr:uid="{20233734-9F1D-4DFA-8F22-B64EAC86CA59}"/>
    <cellStyle name="Normal 6 3 4 5" xfId="14054" xr:uid="{43C39F0C-A41D-48E7-A8AF-9EB94F60293E}"/>
    <cellStyle name="Normal 6 3 4 6" xfId="47116" xr:uid="{7443D6AE-41A2-47F0-86A6-74FF91766DC7}"/>
    <cellStyle name="Normal 6 3 4 7" xfId="49108" xr:uid="{E6E48E15-6F32-40A4-ABAC-5041E7F1C6CB}"/>
    <cellStyle name="Normal 6 3 4 8" xfId="48169" xr:uid="{BA10CC33-59FF-476D-8316-23B9EED004C1}"/>
    <cellStyle name="Normal 6 3 4 9" xfId="49829" xr:uid="{09068E8D-6E91-4272-B416-14B9E6B9D0E0}"/>
    <cellStyle name="Normal 6 3 40" xfId="46149" xr:uid="{586F9414-F11F-4142-B511-C96E43C30883}"/>
    <cellStyle name="Normal 6 3 41" xfId="41094" xr:uid="{8A34B540-CB60-4482-B15F-D32931F94793}"/>
    <cellStyle name="Normal 6 3 42" xfId="47656" xr:uid="{171323EC-BAF7-419B-A50A-F1D41A322157}"/>
    <cellStyle name="Normal 6 3 43" xfId="15464" xr:uid="{6735FD60-A2E6-4441-A92A-E50298EE829E}"/>
    <cellStyle name="Normal 6 3 44" xfId="37762" xr:uid="{FABE73F5-48EE-4E64-8F7D-FDB2ADE072C3}"/>
    <cellStyle name="Normal 6 3 45" xfId="15094" xr:uid="{81003102-4750-40DE-9297-01AE5787EAEE}"/>
    <cellStyle name="Normal 6 3 5" xfId="10042" xr:uid="{00000000-0005-0000-0000-0000151F0000}"/>
    <cellStyle name="Normal-- 6 3 5" xfId="15502" xr:uid="{A6B96CE2-015C-4696-BB52-9897A32A4DB1}"/>
    <cellStyle name="Normal 6 3 5 2" xfId="18168" xr:uid="{7C0766FC-7664-4C44-AC41-E278D9C6D17F}"/>
    <cellStyle name="Normal 6 3 5 3" xfId="42531" xr:uid="{F636126D-C55D-494A-BA65-5E7B30E73D30}"/>
    <cellStyle name="Normal 6 3 5 4" xfId="47779" xr:uid="{16E51756-AC6C-487E-95F0-4706F6A87FC4}"/>
    <cellStyle name="Normal 6 3 5 5" xfId="37764" xr:uid="{BE9AFEF8-9E8F-4DA8-A84A-5A7AF311D8E8}"/>
    <cellStyle name="Normal 6 3 5 6" xfId="37936" xr:uid="{21CB1EE7-6558-4540-8A07-04F4AB3A4C50}"/>
    <cellStyle name="Normal 6 3 5 7" xfId="48246" xr:uid="{155F55B2-AAD2-4B8B-BF67-C5613AEAD793}"/>
    <cellStyle name="Normal 6 3 6" xfId="8466" xr:uid="{00000000-0005-0000-0000-000022230000}"/>
    <cellStyle name="Normal-- 6 3 6" xfId="37769" xr:uid="{19758309-E7E9-43A0-838B-2B97EE076CEE}"/>
    <cellStyle name="Normal 6 3 6 2" xfId="41235" xr:uid="{E686EB15-F6C8-4CCE-9694-97D27C76BA3C}"/>
    <cellStyle name="Normal 6 3 6 3" xfId="37630" xr:uid="{67F56C53-0096-4FF9-B9A9-D3B39412D937}"/>
    <cellStyle name="Normal 6 3 6 4" xfId="49039" xr:uid="{F4C24CC8-05B2-4713-BA60-0CF703756673}"/>
    <cellStyle name="Normal 6 3 6 5" xfId="49348" xr:uid="{32A17E83-730A-435C-9C93-A1651E2FC3D4}"/>
    <cellStyle name="Normal 6 3 7" xfId="12392" xr:uid="{00000000-0005-0000-0000-000039230000}"/>
    <cellStyle name="Normal-- 6 3 7" xfId="38012" xr:uid="{CEC37BE2-CF2A-4124-A235-BC2C71FD27DF}"/>
    <cellStyle name="Normal 6 3 7 2" xfId="44872" xr:uid="{BEA2334A-C9B2-425C-80CC-282010A59F7D}"/>
    <cellStyle name="Normal 6 3 7 3" xfId="15482" xr:uid="{C4BC51A7-FD30-4722-A6B9-4C34491CF02D}"/>
    <cellStyle name="Normal 6 3 7 4" xfId="49938" xr:uid="{F71A4F2B-BA65-4F1B-B3B4-D3056366FA86}"/>
    <cellStyle name="Normal 6 3 8" xfId="8478" xr:uid="{00000000-0005-0000-0000-000054230000}"/>
    <cellStyle name="Normal-- 6 3 8" xfId="40570" xr:uid="{D2514345-7FE0-4E54-982B-83967B58EEF2}"/>
    <cellStyle name="Normal 6 3 8 2" xfId="41239" xr:uid="{0A3E8940-FC46-49F5-8263-DBD6E9619A8E}"/>
    <cellStyle name="Normal 6 3 8 3" xfId="46187" xr:uid="{CBE0A8AB-6659-4F60-AD51-429E17C47E41}"/>
    <cellStyle name="Normal 6 3 9" xfId="12403" xr:uid="{00000000-0005-0000-0000-000073230000}"/>
    <cellStyle name="Normal-- 6 3 9" xfId="47464" xr:uid="{EC88B073-056C-43A9-AFB8-F804E4F94DB0}"/>
    <cellStyle name="Normal 6 3 9 2" xfId="44883" xr:uid="{E2EA59B9-A2FC-4875-85A6-BDBAF0FFA45F}"/>
    <cellStyle name="Normal 6 30" xfId="4521" xr:uid="{00000000-0005-0000-0000-0000C9110000}"/>
    <cellStyle name="Normal-- 6 30" xfId="11463" xr:uid="{00000000-0005-0000-0000-0000E3320000}"/>
    <cellStyle name="Normal 6 30 10" xfId="40430" xr:uid="{0DCB671A-1F35-4283-BB7A-259F1F5440E1}"/>
    <cellStyle name="Normal 6 30 11" xfId="48635" xr:uid="{ED874948-CF00-48EB-94E8-9A2FB18079C0}"/>
    <cellStyle name="Normal 6 30 12" xfId="16399" xr:uid="{AD3F4AC7-BBF9-4B70-BC51-DA8949892668}"/>
    <cellStyle name="Normal 6 30 13" xfId="48514" xr:uid="{24A924FE-A392-44D8-8C61-5E4A3FF0677E}"/>
    <cellStyle name="Normal 6 30 14" xfId="46380" xr:uid="{1A2B1B36-E1FE-4B32-B4C7-ABAC4647C5D7}"/>
    <cellStyle name="Normal 6 30 15" xfId="15807" xr:uid="{950E1EBA-C667-420E-842B-AD16765DDD42}"/>
    <cellStyle name="Normal 6 30 16" xfId="46637" xr:uid="{EFEC89FC-23AB-493D-9F88-E5A151ADEC13}"/>
    <cellStyle name="Normal 6 30 2" xfId="10046" xr:uid="{00000000-0005-0000-0000-0000191F0000}"/>
    <cellStyle name="Normal-- 6 30 2" xfId="43951" xr:uid="{F1A736AF-9F8C-43C9-920A-C11F45C82D0C}"/>
    <cellStyle name="Normal 6 30 2 2" xfId="42535" xr:uid="{7C50B29C-A79C-4994-9B96-2DA3D0494F80}"/>
    <cellStyle name="Normal 6 30 2 3" xfId="47457" xr:uid="{9FC4F0B3-3B2E-476C-A38D-4331E462F5B5}"/>
    <cellStyle name="Normal 6 30 2 4" xfId="37843" xr:uid="{7A92A6DD-FE07-47EB-ACE3-E1D2E5C502B3}"/>
    <cellStyle name="Normal 6 30 2 5" xfId="40385" xr:uid="{7162EDA4-C247-4758-A4A7-55017151E2D9}"/>
    <cellStyle name="Normal 6 30 2 6" xfId="15490" xr:uid="{7AE9F596-2C78-4608-8BA3-0634FE54C0D8}"/>
    <cellStyle name="Normal 6 30 2 7" xfId="15100" xr:uid="{F1A1548E-14E9-4D26-B101-6C1E38804115}"/>
    <cellStyle name="Normal 6 30 2 8" xfId="47016" xr:uid="{B324C865-7065-4BF9-9B3F-A9DDDA49EA21}"/>
    <cellStyle name="Normal 6 30 2 9" xfId="49358" xr:uid="{D4F8F75F-D38E-4C53-91C7-8E04DCAED929}"/>
    <cellStyle name="Normal 6 30 3" xfId="6858" xr:uid="{00000000-0005-0000-0000-0000450E0000}"/>
    <cellStyle name="Normal-- 6 30 3" xfId="47991" xr:uid="{A2134D0D-5979-4A46-B3C4-119966F88EE6}"/>
    <cellStyle name="Normal 6 30 4" xfId="13270" xr:uid="{00000000-0005-0000-0000-000079330000}"/>
    <cellStyle name="Normal-- 6 30 4" xfId="38034" xr:uid="{5926AC71-EA62-4AFD-B850-CB2A2A855AB9}"/>
    <cellStyle name="Normal 6 30 4 2" xfId="45734" xr:uid="{44B880D6-969D-40E8-8D4C-7BDC6A8348BE}"/>
    <cellStyle name="Normal 6 30 4 3" xfId="49137" xr:uid="{C080A496-EC19-433A-B827-68EF9BD68E85}"/>
    <cellStyle name="Normal 6 30 4 4" xfId="49342" xr:uid="{CC024F52-426D-4C2A-8E49-01E995FE317A}"/>
    <cellStyle name="Normal 6 30 4 5" xfId="49625" xr:uid="{49C1FD45-18A9-4CAD-B2BC-D87EFC54509C}"/>
    <cellStyle name="Normal 6 30 4 6" xfId="49862" xr:uid="{7933E432-C23D-4F25-AE53-0BACFF1CD810}"/>
    <cellStyle name="Normal 6 30 4 7" xfId="50206" xr:uid="{D81313B5-11C8-4525-9BF6-6AF0CC39A05B}"/>
    <cellStyle name="Normal 6 30 5" xfId="11367" xr:uid="{00000000-0005-0000-0000-0000FC330000}"/>
    <cellStyle name="Normal-- 6 30 5" xfId="40555" xr:uid="{FCA5A133-C175-44A8-A40D-035D31ED5D54}"/>
    <cellStyle name="Normal 6 30 5 2" xfId="43856" xr:uid="{21760293-5C14-4B5A-B0FD-2BD4056E6D7A}"/>
    <cellStyle name="Normal 6 30 5 3" xfId="37944" xr:uid="{86C5C5E7-8FCF-4DE3-9341-4CFBBDA71A84}"/>
    <cellStyle name="Normal 6 30 5 4" xfId="40896" xr:uid="{EB1B8175-D12A-4C9B-969C-14FA3F551F05}"/>
    <cellStyle name="Normal 6 30 5 5" xfId="16504" xr:uid="{BFC24CB6-7635-4D35-B65D-88CBFD0B7EFD}"/>
    <cellStyle name="Normal 6 30 5 6" xfId="37874" xr:uid="{B7C1B277-C35D-4C3D-A3B9-049A01E8AE6D}"/>
    <cellStyle name="Normal 6 30 6" xfId="13349" xr:uid="{00000000-0005-0000-0000-000083340000}"/>
    <cellStyle name="Normal-- 6 30 6" xfId="46824" xr:uid="{137CB74A-BA2D-4D58-AEE1-EBE1D9FFB8E5}"/>
    <cellStyle name="Normal 6 30 6 2" xfId="45813" xr:uid="{03273794-9DA9-4161-AA04-119E758B5A1E}"/>
    <cellStyle name="Normal 6 30 6 3" xfId="49634" xr:uid="{DA629852-361D-49B2-BA4A-6BEADF21D005}"/>
    <cellStyle name="Normal 6 30 6 4" xfId="49873" xr:uid="{7450DE2E-621E-471A-BA8D-793EB218076F}"/>
    <cellStyle name="Normal 6 30 6 5" xfId="50219" xr:uid="{688D8FE2-B083-431A-9F7F-966EB93EEA09}"/>
    <cellStyle name="Normal 6 30 7" xfId="11284" xr:uid="{00000000-0005-0000-0000-00000E350000}"/>
    <cellStyle name="Normal-- 6 30 7" xfId="40711" xr:uid="{741E0762-7C87-45CC-B37C-067F91F45D1A}"/>
    <cellStyle name="Normal 6 30 7 2" xfId="43773" xr:uid="{8AECBD67-CB69-452D-AA74-8E94C2B222CC}"/>
    <cellStyle name="Normal 6 30 7 3" xfId="16505" xr:uid="{8D610D1E-9214-4120-9331-D1DE51309F2B}"/>
    <cellStyle name="Normal 6 30 7 4" xfId="40913" xr:uid="{4AAC6EBD-BBC7-47D2-A8A9-BB03FB36A3B2}"/>
    <cellStyle name="Normal 6 30 8" xfId="15971" xr:uid="{3F54023E-4899-4C24-81AA-6FEB2EEFBDFC}"/>
    <cellStyle name="Normal-- 6 30 8" xfId="48508" xr:uid="{41968EF8-070C-4223-B599-C29A76BA9A8E}"/>
    <cellStyle name="Normal 6 30 9" xfId="38559" xr:uid="{FCAB348E-DDD6-492E-BFF2-74A21EA0EC7F}"/>
    <cellStyle name="Normal-- 6 30 9" xfId="41877" xr:uid="{67D7DAAB-9D9B-4AFA-B37D-6DD6D20CA190}"/>
    <cellStyle name="Normal 6 31" xfId="4522" xr:uid="{00000000-0005-0000-0000-0000CA110000}"/>
    <cellStyle name="Normal-- 6 31" xfId="13197" xr:uid="{00000000-0005-0000-0000-000062330000}"/>
    <cellStyle name="Normal 6 31 10" xfId="48008" xr:uid="{4528FE67-3303-4F00-A704-393E417AC414}"/>
    <cellStyle name="Normal 6 31 11" xfId="46177" xr:uid="{3AC6BD51-A489-432C-90BF-B360DB3175D2}"/>
    <cellStyle name="Normal 6 31 12" xfId="48059" xr:uid="{127F1E1C-B872-4278-8CA5-F3CDDAABDFFF}"/>
    <cellStyle name="Normal 6 31 13" xfId="47777" xr:uid="{4B7F5D26-61D4-4D02-B66D-56A414048253}"/>
    <cellStyle name="Normal 6 31 14" xfId="15434" xr:uid="{321ACD90-66B6-42E9-9F8A-AF4297BB19FB}"/>
    <cellStyle name="Normal 6 31 15" xfId="46593" xr:uid="{5F31C1EB-D7ED-44F6-976D-F9C0A54F4666}"/>
    <cellStyle name="Normal 6 31 2" xfId="10047" xr:uid="{00000000-0005-0000-0000-00001A1F0000}"/>
    <cellStyle name="Normal-- 6 31 2" xfId="45661" xr:uid="{B08B6FDC-127B-4B6A-AC09-E3B9EB783AE2}"/>
    <cellStyle name="Normal 6 31 2 2" xfId="42536" xr:uid="{0E4FD828-C45E-4FF7-A70C-2ADF98447B91}"/>
    <cellStyle name="Normal 6 31 2 3" xfId="47458" xr:uid="{7A5E6578-D340-4BF7-9A3B-EB40C37FCEAB}"/>
    <cellStyle name="Normal 6 31 2 4" xfId="41879" xr:uid="{B78C74BF-DD29-49E9-B89E-210E6F514F9A}"/>
    <cellStyle name="Normal 6 31 2 5" xfId="40635" xr:uid="{FD3964CF-03A1-48F7-B345-E03EA4C22688}"/>
    <cellStyle name="Normal 6 31 2 6" xfId="37637" xr:uid="{EFEB6A2F-92C8-4256-8C57-0D48F44B232B}"/>
    <cellStyle name="Normal 6 31 2 7" xfId="37661" xr:uid="{764027C9-5E3A-46B5-B61B-B12C6E237C29}"/>
    <cellStyle name="Normal 6 31 2 8" xfId="46153" xr:uid="{D946238B-DE55-4CE7-90D2-2DC7BB220D47}"/>
    <cellStyle name="Normal 6 31 2 9" xfId="15224" xr:uid="{22BFD32E-8F73-4404-95FD-E8C92B738B62}"/>
    <cellStyle name="Normal 6 31 3" xfId="6957" xr:uid="{00000000-0005-0000-0000-0000460E0000}"/>
    <cellStyle name="Normal-- 6 31 3" xfId="48656" xr:uid="{7083DC72-1666-40BE-B88B-50C353EE4243}"/>
    <cellStyle name="Normal 6 31 4" xfId="11366" xr:uid="{00000000-0005-0000-0000-0000FD330000}"/>
    <cellStyle name="Normal-- 6 31 4" xfId="48853" xr:uid="{224198AB-CE9A-465F-AC9B-2C0E064BABA8}"/>
    <cellStyle name="Normal 6 31 4 2" xfId="43855" xr:uid="{00AA406E-7AED-4A88-9B8E-A9305F01E5DF}"/>
    <cellStyle name="Normal 6 31 4 3" xfId="46942" xr:uid="{53CED890-BCE8-4A23-AC08-EF0DDD36AE01}"/>
    <cellStyle name="Normal 6 31 4 4" xfId="46570" xr:uid="{BF57F7AD-CD42-4CA1-A415-CFA8F5D6D5DC}"/>
    <cellStyle name="Normal 6 31 4 5" xfId="14139" xr:uid="{B32B63C9-552E-4DF4-B2D5-9AB40A90CC23}"/>
    <cellStyle name="Normal 6 31 4 6" xfId="47108" xr:uid="{8FE1AC27-03CF-4A95-8001-90809A4C832C}"/>
    <cellStyle name="Normal 6 31 4 7" xfId="49279" xr:uid="{A0710E8B-CBCD-458D-A40B-B2C4AB52DFCB}"/>
    <cellStyle name="Normal 6 31 5" xfId="13350" xr:uid="{00000000-0005-0000-0000-000084340000}"/>
    <cellStyle name="Normal-- 6 31 5" xfId="49115" xr:uid="{59F11E06-D9F9-4557-8BD2-3596C9C988AB}"/>
    <cellStyle name="Normal 6 31 5 2" xfId="45814" xr:uid="{56CAF342-8797-4808-951E-03D5835896FE}"/>
    <cellStyle name="Normal 6 31 5 3" xfId="49355" xr:uid="{F432405F-36CC-431C-A77B-F873B729D2A5}"/>
    <cellStyle name="Normal 6 31 5 4" xfId="49635" xr:uid="{B4AA50F5-3CDC-4C43-82C5-5FCC1DDEDE53}"/>
    <cellStyle name="Normal 6 31 5 5" xfId="49874" xr:uid="{FA47E106-ECB6-4F93-8F9B-74B46F32940C}"/>
    <cellStyle name="Normal 6 31 5 6" xfId="50220" xr:uid="{C09AA5AA-EFAB-4588-BF29-BDBE7271F4A6}"/>
    <cellStyle name="Normal 6 31 6" xfId="11283" xr:uid="{00000000-0005-0000-0000-00000F350000}"/>
    <cellStyle name="Normal-- 6 31 6" xfId="49328" xr:uid="{3B3CAD48-97C0-4E97-86DA-3ACF54787792}"/>
    <cellStyle name="Normal 6 31 6 2" xfId="43772" xr:uid="{C4FEBE0F-C8E8-4FDC-9786-347C9CF99854}"/>
    <cellStyle name="Normal 6 31 6 3" xfId="14904" xr:uid="{9E3FB942-5793-4EF7-8645-3E3FB507C013}"/>
    <cellStyle name="Normal 6 31 6 4" xfId="39600" xr:uid="{53ABFC47-03FF-4A64-8720-CC78DC671CAD}"/>
    <cellStyle name="Normal 6 31 6 5" xfId="16519" xr:uid="{ADB5AD65-5088-4257-AE0A-CB9FC564464F}"/>
    <cellStyle name="Normal 6 31 7" xfId="15972" xr:uid="{87F89065-7009-434D-A2F5-14EFCF473AD4}"/>
    <cellStyle name="Normal-- 6 31 7" xfId="49612" xr:uid="{D4FEEA09-4022-4C5E-BBDD-064CEC6FF46D}"/>
    <cellStyle name="Normal 6 31 8" xfId="38560" xr:uid="{FAEC6AA3-D43F-4ECA-839B-D889753CFB28}"/>
    <cellStyle name="Normal-- 6 31 8" xfId="49850" xr:uid="{0A000B00-613C-4F57-99F8-5317EE83755C}"/>
    <cellStyle name="Normal 6 31 9" xfId="15290" xr:uid="{6EA34195-080C-4F16-9A6B-23AC9FD3858D}"/>
    <cellStyle name="Normal-- 6 31 9" xfId="50191" xr:uid="{1B28B1DA-DB82-4B8E-95BA-51AAED3343E4}"/>
    <cellStyle name="Normal 6 32" xfId="4523" xr:uid="{00000000-0005-0000-0000-0000CB110000}"/>
    <cellStyle name="Normal-- 6 32" xfId="11434" xr:uid="{00000000-0005-0000-0000-0000E5330000}"/>
    <cellStyle name="Normal 6 32 10" xfId="48865" xr:uid="{15507004-95D3-4AE2-A0E8-588EAF9CCBE4}"/>
    <cellStyle name="Normal 6 32 11" xfId="46123" xr:uid="{0DA474EA-6A86-41AB-8904-474F170C4CB2}"/>
    <cellStyle name="Normal 6 32 12" xfId="46818" xr:uid="{1CCB2338-6569-4F70-B614-707821C12C57}"/>
    <cellStyle name="Normal 6 32 13" xfId="47274" xr:uid="{23EC2F8E-7636-4AF1-9AE9-FA73B3161EE9}"/>
    <cellStyle name="Normal 6 32 14" xfId="15996" xr:uid="{1E748343-FCA0-4FA1-A3AE-809C597BC4F2}"/>
    <cellStyle name="Normal 6 32 2" xfId="10048" xr:uid="{00000000-0005-0000-0000-00001B1F0000}"/>
    <cellStyle name="Normal-- 6 32 2" xfId="43922" xr:uid="{BBC26912-16CF-4026-A6CF-1244797B2A4D}"/>
    <cellStyle name="Normal 6 32 2 2" xfId="42537" xr:uid="{BC3E32FF-F381-40C4-9BF2-C798BED2801E}"/>
    <cellStyle name="Normal 6 32 2 3" xfId="47459" xr:uid="{C3F8B55D-6C56-4793-9174-6D95458AA0FF}"/>
    <cellStyle name="Normal 6 32 2 4" xfId="48188" xr:uid="{AB523026-02B7-430B-A0C7-7A317E60432C}"/>
    <cellStyle name="Normal 6 32 2 5" xfId="15056" xr:uid="{2DE2129D-C7F1-46C6-9120-02C857D3F565}"/>
    <cellStyle name="Normal 6 32 2 6" xfId="47952" xr:uid="{C3B2702E-CB06-4621-B8C2-757BFB6237CC}"/>
    <cellStyle name="Normal 6 32 2 7" xfId="41084" xr:uid="{F49844C7-E569-4434-B798-4647DFEA32A6}"/>
    <cellStyle name="Normal 6 32 2 8" xfId="49149" xr:uid="{EB44FCFE-D8B1-40E3-9542-CE8924579380}"/>
    <cellStyle name="Normal 6 32 2 9" xfId="48192" xr:uid="{D510381B-24C3-4534-8312-E215ADF87340}"/>
    <cellStyle name="Normal 6 32 3" xfId="6958" xr:uid="{00000000-0005-0000-0000-0000470E0000}"/>
    <cellStyle name="Normal-- 6 32 3" xfId="47974" xr:uid="{93CF4DFA-3AF0-45AA-BF17-D7977BF273BF}"/>
    <cellStyle name="Normal 6 32 4" xfId="13351" xr:uid="{00000000-0005-0000-0000-000085340000}"/>
    <cellStyle name="Normal-- 6 32 4" xfId="38029" xr:uid="{F8736D65-C6B3-4456-8609-E5D554E0DCBE}"/>
    <cellStyle name="Normal 6 32 4 2" xfId="45815" xr:uid="{FBFB74D9-6860-44B2-B04A-B904BF46C276}"/>
    <cellStyle name="Normal 6 32 4 3" xfId="49157" xr:uid="{DDE2D535-839F-458B-85B2-20DEC3FAAEC3}"/>
    <cellStyle name="Normal 6 32 4 4" xfId="49356" xr:uid="{D2D61589-F76F-4F08-887A-CF8E0BB384D5}"/>
    <cellStyle name="Normal 6 32 4 5" xfId="49636" xr:uid="{EF2A8BFE-D0D0-4104-8FD7-2C3FC2C2399E}"/>
    <cellStyle name="Normal 6 32 4 6" xfId="49875" xr:uid="{9EE7D57B-469B-439F-AEFB-9B00F306BF54}"/>
    <cellStyle name="Normal 6 32 4 7" xfId="50221" xr:uid="{8BA88F8F-4C71-4AB8-9A73-3C672D16A0A5}"/>
    <cellStyle name="Normal 6 32 5" xfId="11282" xr:uid="{00000000-0005-0000-0000-000010350000}"/>
    <cellStyle name="Normal-- 6 32 5" xfId="40276" xr:uid="{4AC503C1-4CB5-44AB-B232-3AC513979B2A}"/>
    <cellStyle name="Normal 6 32 5 2" xfId="43771" xr:uid="{F96D6629-1EEC-4097-99C4-5D969226B82B}"/>
    <cellStyle name="Normal 6 32 5 3" xfId="46573" xr:uid="{85133742-2C30-4CBC-B87A-49712FB670AA}"/>
    <cellStyle name="Normal 6 32 5 4" xfId="46553" xr:uid="{3A32791E-587B-4DFF-8F6E-AD5DBC753F78}"/>
    <cellStyle name="Normal 6 32 5 5" xfId="47760" xr:uid="{D73D9270-654B-4B78-B6CE-68BB68C8CC75}"/>
    <cellStyle name="Normal 6 32 5 6" xfId="39550" xr:uid="{80478CC0-ED66-46AF-AB72-FB7C06B03A70}"/>
    <cellStyle name="Normal 6 32 6" xfId="15973" xr:uid="{F2D5166A-F1A1-4B87-A677-039A7085A890}"/>
    <cellStyle name="Normal-- 6 32 6" xfId="46752" xr:uid="{1F7F0BF1-D0F0-40B5-B1F1-4B3A7E12E683}"/>
    <cellStyle name="Normal 6 32 7" xfId="38561" xr:uid="{B255CF22-97A1-4911-9D3B-7234AE3F9F99}"/>
    <cellStyle name="Normal-- 6 32 7" xfId="15155" xr:uid="{278A42B7-A492-4ED2-B77D-68757D95B5CC}"/>
    <cellStyle name="Normal 6 32 8" xfId="15291" xr:uid="{BFB0A1D2-BA25-4025-879B-313152A18AAF}"/>
    <cellStyle name="Normal-- 6 32 8" xfId="15227" xr:uid="{47845D83-2667-46A8-A624-42975E3CC43E}"/>
    <cellStyle name="Normal 6 32 9" xfId="48623" xr:uid="{3110C16F-8A3C-46EF-BB95-519BE0BE8085}"/>
    <cellStyle name="Normal-- 6 32 9" xfId="40320" xr:uid="{D420AB9E-B77E-4551-A700-26912E8B3AA4}"/>
    <cellStyle name="Normal 6 33" xfId="4524" xr:uid="{00000000-0005-0000-0000-0000CC110000}"/>
    <cellStyle name="Normal-- 6 33" xfId="13227" xr:uid="{00000000-0005-0000-0000-00006C340000}"/>
    <cellStyle name="Normal 6 33 10" xfId="47723" xr:uid="{329D3915-95DA-455F-875B-8E8BAEDC5356}"/>
    <cellStyle name="Normal 6 33 11" xfId="47217" xr:uid="{8764E2CA-4575-4E6A-8199-ADA9C4F60688}"/>
    <cellStyle name="Normal 6 33 12" xfId="13943" xr:uid="{B561E6C7-05B6-4047-BCC5-CE70FDD70BBC}"/>
    <cellStyle name="Normal 6 33 13" xfId="49824" xr:uid="{97615D30-0261-4360-9E00-EEEFFA0C59EE}"/>
    <cellStyle name="Normal 6 33 2" xfId="10049" xr:uid="{00000000-0005-0000-0000-00001C1F0000}"/>
    <cellStyle name="Normal-- 6 33 2" xfId="45691" xr:uid="{5ED1CA54-E5D1-4E37-BD8B-47018A665E5F}"/>
    <cellStyle name="Normal 6 33 2 2" xfId="42538" xr:uid="{E1AFBEDC-4D70-4A23-9BF0-7AE8399C1120}"/>
    <cellStyle name="Normal 6 33 2 3" xfId="47460" xr:uid="{EB61B0E5-2682-4C97-A943-3844052C91B3}"/>
    <cellStyle name="Normal 6 33 2 4" xfId="46382" xr:uid="{F8E6948C-CCC2-499C-8BE0-4E53CAF0D96F}"/>
    <cellStyle name="Normal 6 33 2 5" xfId="15433" xr:uid="{ED115CFF-8BC5-464A-8905-EEA780085B9D}"/>
    <cellStyle name="Normal 6 33 2 6" xfId="48227" xr:uid="{9EED68B3-E046-42DC-A66C-D64056524D22}"/>
    <cellStyle name="Normal 6 33 2 7" xfId="15118" xr:uid="{9E59798F-B55F-49E3-90CF-648E03E9641A}"/>
    <cellStyle name="Normal 6 33 2 8" xfId="47234" xr:uid="{036AB9E7-2B8C-4563-B39A-30DE8B6BA0E6}"/>
    <cellStyle name="Normal 6 33 2 9" xfId="46316" xr:uid="{7607AE6B-F059-4805-9643-F52ADF657958}"/>
    <cellStyle name="Normal 6 33 3" xfId="6959" xr:uid="{00000000-0005-0000-0000-0000480E0000}"/>
    <cellStyle name="Normal-- 6 33 3" xfId="48670" xr:uid="{AF772456-0BA9-4709-AA14-E7E7F5C3B345}"/>
    <cellStyle name="Normal 6 33 4" xfId="11280" xr:uid="{00000000-0005-0000-0000-000011350000}"/>
    <cellStyle name="Normal-- 6 33 4" xfId="48864" xr:uid="{AE5E5600-1D09-4872-9E6B-041E0678C28E}"/>
    <cellStyle name="Normal 6 33 4 2" xfId="43769" xr:uid="{8861C09B-0D52-465D-98BD-950B12885A08}"/>
    <cellStyle name="Normal 6 33 4 3" xfId="15131" xr:uid="{F1EF798E-CC0F-48D9-AD26-9A6385F0B21A}"/>
    <cellStyle name="Normal 6 33 4 4" xfId="15223" xr:uid="{D86739F1-C5D1-45EC-AA9A-FB2B02D7A4E6}"/>
    <cellStyle name="Normal 6 33 4 5" xfId="49266" xr:uid="{FCD713DA-3E2C-4EE0-A993-E256BCE1CA1F}"/>
    <cellStyle name="Normal 6 33 4 6" xfId="40720" xr:uid="{592209DF-98F3-429D-A1EA-0E835FE2725B}"/>
    <cellStyle name="Normal 6 33 4 7" xfId="48362" xr:uid="{0B71983C-AEC4-482B-858B-BE407013A15B}"/>
    <cellStyle name="Normal 6 33 5" xfId="15974" xr:uid="{91CD5841-A15D-445A-ADB0-3C3EFE69A531}"/>
    <cellStyle name="Normal-- 6 33 5" xfId="49125" xr:uid="{06E0A91C-4F93-409C-B859-1988A311779A}"/>
    <cellStyle name="Normal 6 33 6" xfId="38562" xr:uid="{6D3A81E3-7D83-448C-A7F6-95FAFB214740}"/>
    <cellStyle name="Normal-- 6 33 6" xfId="49334" xr:uid="{02460332-59FE-4D9A-B9F0-9404A5803D9E}"/>
    <cellStyle name="Normal 6 33 7" xfId="40425" xr:uid="{7BDBD74C-3E2A-41AF-85EB-A743AA3CD1BB}"/>
    <cellStyle name="Normal-- 6 33 7" xfId="49618" xr:uid="{16D3BA81-B979-42E4-B24C-4435CDC08C0C}"/>
    <cellStyle name="Normal 6 33 8" xfId="46148" xr:uid="{41301066-73F4-4837-883C-89409E8549F9}"/>
    <cellStyle name="Normal-- 6 33 8" xfId="49854" xr:uid="{807F6DB6-81B7-4AE3-A996-1752658E1213}"/>
    <cellStyle name="Normal 6 33 9" xfId="46173" xr:uid="{2D2618D8-0BF6-49AE-A749-782225F2A199}"/>
    <cellStyle name="Normal-- 6 33 9" xfId="50196" xr:uid="{BBFE2187-C62D-4130-857D-003B9728E0C0}"/>
    <cellStyle name="Normal 6 34" xfId="4525" xr:uid="{00000000-0005-0000-0000-0000CD110000}"/>
    <cellStyle name="Normal-- 6 34" xfId="11408" xr:uid="{00000000-0005-0000-0000-0000F7340000}"/>
    <cellStyle name="Normal 6 34 10" xfId="48680" xr:uid="{4470D742-6A27-42BB-86DB-C4D385912478}"/>
    <cellStyle name="Normal 6 34 11" xfId="15368" xr:uid="{13BBFD7C-1D9F-4512-A58F-0D67EFBEFE00}"/>
    <cellStyle name="Normal 6 34 12" xfId="46778" xr:uid="{4FCA5F4F-B4E7-4580-910E-5AA86578F97A}"/>
    <cellStyle name="Normal 6 34 2" xfId="10050" xr:uid="{00000000-0005-0000-0000-00001D1F0000}"/>
    <cellStyle name="Normal-- 6 34 2" xfId="43896" xr:uid="{C2B1B2BA-3F76-4283-92FB-D1CE0280F620}"/>
    <cellStyle name="Normal 6 34 2 2" xfId="42539" xr:uid="{C1B2B487-9CDC-410A-AD62-23000DF13B67}"/>
    <cellStyle name="Normal 6 34 2 3" xfId="47461" xr:uid="{3E42B701-23F5-4A0C-855D-2DB64044E890}"/>
    <cellStyle name="Normal 6 34 2 4" xfId="46385" xr:uid="{73930500-EE1B-47C2-A2BF-BF60DABDA34C}"/>
    <cellStyle name="Normal 6 34 2 5" xfId="40384" xr:uid="{D87B1F71-71CF-4E4F-9529-31B1F79B1521}"/>
    <cellStyle name="Normal 6 34 2 6" xfId="47154" xr:uid="{AE9CDA07-EC23-4698-87FD-F58F35B2E5C1}"/>
    <cellStyle name="Normal 6 34 2 7" xfId="39863" xr:uid="{B112C803-F885-4852-9491-789A1141173B}"/>
    <cellStyle name="Normal 6 34 2 8" xfId="47095" xr:uid="{334116A2-95B6-4A14-BBB2-44AEAD16D9D9}"/>
    <cellStyle name="Normal 6 34 2 9" xfId="46582" xr:uid="{5ADA528D-1ACA-42EC-B147-AC63ED41D18F}"/>
    <cellStyle name="Normal 6 34 3" xfId="6960" xr:uid="{00000000-0005-0000-0000-0000490E0000}"/>
    <cellStyle name="Normal-- 6 34 3" xfId="47959" xr:uid="{CF437758-614B-4921-89DB-060189358D7E}"/>
    <cellStyle name="Normal 6 34 4" xfId="15975" xr:uid="{EFD240BF-02DE-4B69-9DF3-6B5A4D927046}"/>
    <cellStyle name="Normal-- 6 34 4" xfId="38025" xr:uid="{D4D8680F-AD42-4AF1-A844-4D185DB7A0EB}"/>
    <cellStyle name="Normal 6 34 5" xfId="38563" xr:uid="{F3C997DB-8A39-4C4F-A9B8-53FFF0ADAFE4}"/>
    <cellStyle name="Normal-- 6 34 5" xfId="46949" xr:uid="{06CAA393-489D-4F9E-9BBE-DCA467E469A3}"/>
    <cellStyle name="Normal 6 34 6" xfId="40428" xr:uid="{E78F0B07-B116-4EB5-B1F4-9406CDB84EF4}"/>
    <cellStyle name="Normal-- 6 34 6" xfId="48619" xr:uid="{AAD71B34-1947-4C3D-A91E-676A6E7377CB}"/>
    <cellStyle name="Normal 6 34 7" xfId="48389" xr:uid="{28DD7B6D-6304-48B5-A765-E3C5CE2E6570}"/>
    <cellStyle name="Normal-- 6 34 7" xfId="47276" xr:uid="{CADC951A-6449-48BF-B9AA-600D95AA063F}"/>
    <cellStyle name="Normal 6 34 8" xfId="48854" xr:uid="{9B9AA055-EDAB-474C-9F58-69F7C6D2DE21}"/>
    <cellStyle name="Normal-- 6 34 8" xfId="49068" xr:uid="{92339258-64A0-449A-8C58-38A2E483AB60}"/>
    <cellStyle name="Normal 6 34 9" xfId="49126" xr:uid="{4D66BD4D-F39C-4C16-97D8-52D9ABAC0FE1}"/>
    <cellStyle name="Normal-- 6 34 9" xfId="46215" xr:uid="{8F77BB6C-AFE3-480A-91E8-916DC2A2C0AA}"/>
    <cellStyle name="Normal 6 35" xfId="4526" xr:uid="{00000000-0005-0000-0000-0000CE110000}"/>
    <cellStyle name="Normal-- 6 35" xfId="15912" xr:uid="{2F9729EB-60C9-40C9-A168-0C6C5F9E2AB2}"/>
    <cellStyle name="Normal 6 35 10" xfId="48921" xr:uid="{B89DD766-AA58-45F2-AA8F-2FFE2F8EE1C0}"/>
    <cellStyle name="Normal 6 35 11" xfId="47085" xr:uid="{A230318B-8782-4B24-8096-4A3898EE89E4}"/>
    <cellStyle name="Normal 6 35 2" xfId="10051" xr:uid="{00000000-0005-0000-0000-00001E1F0000}"/>
    <cellStyle name="Normal 6 35 2 2" xfId="42540" xr:uid="{0BBF55C8-191E-40BA-A8FE-E679922C7F84}"/>
    <cellStyle name="Normal 6 35 3" xfId="7047" xr:uid="{00000000-0005-0000-0000-00004A0E0000}"/>
    <cellStyle name="Normal 6 35 4" xfId="38564" xr:uid="{5E4F5C92-2A30-4996-A08A-0F4DA24F7B82}"/>
    <cellStyle name="Normal 6 35 5" xfId="15292" xr:uid="{FF907F58-786D-46C2-9FBB-478CC11D22BD}"/>
    <cellStyle name="Normal 6 35 6" xfId="46938" xr:uid="{1D53938E-860F-4D13-84AD-A84D5727C4F2}"/>
    <cellStyle name="Normal 6 35 7" xfId="46170" xr:uid="{91EC10E8-CBD7-430C-B5F9-B4A3BA440D69}"/>
    <cellStyle name="Normal 6 35 8" xfId="40562" xr:uid="{5E0F3E8A-8468-4A67-BAFF-AC2F6EA2C23A}"/>
    <cellStyle name="Normal 6 35 9" xfId="46789" xr:uid="{01D68E37-415F-458D-994F-02AFA9B9B7AA}"/>
    <cellStyle name="Normal 6 36" xfId="4527" xr:uid="{00000000-0005-0000-0000-0000CF110000}"/>
    <cellStyle name="Normal-- 6 36" xfId="38475" xr:uid="{70463845-DF14-412B-9345-58047AEF50AD}"/>
    <cellStyle name="Normal 6 36 10" xfId="47935" xr:uid="{70E47BCA-4AED-4CB3-A39E-1FD88337C20B}"/>
    <cellStyle name="Normal 6 36 11" xfId="46615" xr:uid="{D87999F0-5AC8-4F06-932A-20A2E15EDDEB}"/>
    <cellStyle name="Normal 6 36 2" xfId="10052" xr:uid="{00000000-0005-0000-0000-00001F1F0000}"/>
    <cellStyle name="Normal 6 36 2 2" xfId="42541" xr:uid="{85940F1F-A08F-452F-B641-AC533BA5E81B}"/>
    <cellStyle name="Normal 6 36 3" xfId="7096" xr:uid="{00000000-0005-0000-0000-00004B0E0000}"/>
    <cellStyle name="Normal 6 36 4" xfId="38565" xr:uid="{8753119A-586A-4D20-BB4C-01146D8A856B}"/>
    <cellStyle name="Normal 6 36 5" xfId="40426" xr:uid="{05965F6F-44FA-4EFB-ACF3-E20B23122E36}"/>
    <cellStyle name="Normal 6 36 6" xfId="48369" xr:uid="{E7BED945-E09E-400F-8B07-D0516C948022}"/>
    <cellStyle name="Normal 6 36 7" xfId="48843" xr:uid="{4D02D81B-353D-42D5-B5CC-4969CE8DA42D}"/>
    <cellStyle name="Normal 6 36 8" xfId="49116" xr:uid="{CF58EC1A-6260-40C6-97A8-BE909B2F89DA}"/>
    <cellStyle name="Normal 6 36 9" xfId="37671" xr:uid="{CC7D4A72-DE80-467B-9CB5-1F38648B625C}"/>
    <cellStyle name="Normal 6 37" xfId="4528" xr:uid="{00000000-0005-0000-0000-0000D0110000}"/>
    <cellStyle name="Normal-- 6 37" xfId="15258" xr:uid="{B1339196-8218-4D3D-B9C8-46AE2C7CF115}"/>
    <cellStyle name="Normal 6 37 10" xfId="13910" xr:uid="{ED56656F-1D17-4C87-A665-C1344431A006}"/>
    <cellStyle name="Normal 6 37 2" xfId="10053" xr:uid="{00000000-0005-0000-0000-0000201F0000}"/>
    <cellStyle name="Normal 6 37 2 2" xfId="42542" xr:uid="{32F9DD19-DAED-4C94-92BA-31BA063E45D4}"/>
    <cellStyle name="Normal 6 37 3" xfId="7105" xr:uid="{00000000-0005-0000-0000-00004C0E0000}"/>
    <cellStyle name="Normal 6 37 4" xfId="38566" xr:uid="{CC55A313-ECB4-4204-BFC8-2E727CA5B594}"/>
    <cellStyle name="Normal 6 37 5" xfId="46917" xr:uid="{9BC3301B-A646-4D03-B4F7-4AB9F8BCC342}"/>
    <cellStyle name="Normal 6 37 6" xfId="39574" xr:uid="{311486EF-5E9F-4048-9AC3-64567E14737F}"/>
    <cellStyle name="Normal 6 37 7" xfId="41292" xr:uid="{766960BD-F0EB-4241-97EE-E2AE2B21C9EB}"/>
    <cellStyle name="Normal 6 37 8" xfId="46503" xr:uid="{DB07545D-F838-43AC-A5A6-FC39038E5729}"/>
    <cellStyle name="Normal 6 37 9" xfId="46476" xr:uid="{ED81E374-974B-4B76-9736-6EBAE19A5C4C}"/>
    <cellStyle name="Normal 6 38" xfId="4529" xr:uid="{00000000-0005-0000-0000-0000D1110000}"/>
    <cellStyle name="Normal-- 6 38" xfId="48392" xr:uid="{C53A39AE-C9C4-4A11-B5DF-A08F8B935009}"/>
    <cellStyle name="Normal 6 38 2" xfId="10054" xr:uid="{00000000-0005-0000-0000-0000211F0000}"/>
    <cellStyle name="Normal 6 38 2 2" xfId="42543" xr:uid="{9DE2AE15-0FEB-4374-9A79-AD57AF7E56ED}"/>
    <cellStyle name="Normal 6 38 3" xfId="7106" xr:uid="{00000000-0005-0000-0000-00004D0E0000}"/>
    <cellStyle name="Normal 6 38 4" xfId="38567" xr:uid="{7B2CC2EB-43D5-4380-92B1-6C5FB148139D}"/>
    <cellStyle name="Normal 6 38 5" xfId="48832" xr:uid="{D3904021-1197-4679-8CFB-5A4EF55C6576}"/>
    <cellStyle name="Normal 6 38 6" xfId="49103" xr:uid="{BA6E01C9-D74E-4C8D-B739-EF90FAC0326E}"/>
    <cellStyle name="Normal 6 38 7" xfId="16000" xr:uid="{BAEC03A0-F166-49BC-91AA-CED74D8F148F}"/>
    <cellStyle name="Normal 6 38 8" xfId="46183" xr:uid="{FEA5E750-A57E-49D1-987C-D85EA11149EC}"/>
    <cellStyle name="Normal 6 38 9" xfId="15365" xr:uid="{C0D735C6-68F6-43C5-A4BE-0DA1231CEFC7}"/>
    <cellStyle name="Normal 6 39" xfId="4530" xr:uid="{00000000-0005-0000-0000-0000D2110000}"/>
    <cellStyle name="Normal-- 6 39" xfId="37827" xr:uid="{C3B195E3-F93F-4258-BDB5-C5A07A621974}"/>
    <cellStyle name="Normal 6 39 2" xfId="10055" xr:uid="{00000000-0005-0000-0000-0000221F0000}"/>
    <cellStyle name="Normal 6 39 2 2" xfId="42544" xr:uid="{4C122115-93BC-448A-B7D7-36440967ED64}"/>
    <cellStyle name="Normal 6 39 3" xfId="7107" xr:uid="{00000000-0005-0000-0000-00004E0E0000}"/>
    <cellStyle name="Normal 6 39 4" xfId="38568" xr:uid="{D64D48FA-7EA1-4EA6-B5E1-C34BC4272F0C}"/>
    <cellStyle name="Normal 6 39 5" xfId="40554" xr:uid="{1E296601-0B10-4843-B0E2-1EA9901D904C}"/>
    <cellStyle name="Normal 6 39 6" xfId="15418" xr:uid="{C2CEB8FF-77E2-411D-BA58-6D7B9ADD7BD0}"/>
    <cellStyle name="Normal 6 39 7" xfId="46580" xr:uid="{351C392E-E03E-48CA-9756-6FD47845D45A}"/>
    <cellStyle name="Normal 6 39 8" xfId="48443" xr:uid="{E6799AC3-6BFA-413B-9F99-96D5449ADB62}"/>
    <cellStyle name="Normal 6 4" xfId="4531" xr:uid="{00000000-0005-0000-0000-0000D3110000}"/>
    <cellStyle name="Normal-- 6 4" xfId="8386" xr:uid="{00000000-0005-0000-0000-000020230000}"/>
    <cellStyle name="Normal 6 4 10" xfId="12448" xr:uid="{00000000-0005-0000-0000-000019240000}"/>
    <cellStyle name="Normal 6 4 10 2" xfId="44922" xr:uid="{8EFB8907-A369-4DF4-ADDF-8FDBD1D59B5B}"/>
    <cellStyle name="Normal 6 4 11" xfId="8547" xr:uid="{00000000-0005-0000-0000-00004D240000}"/>
    <cellStyle name="Normal 6 4 11 2" xfId="41287" xr:uid="{84ADBE62-28FA-40AA-9E9A-A047E7DDD87B}"/>
    <cellStyle name="Normal 6 4 12" xfId="12472" xr:uid="{00000000-0005-0000-0000-000085240000}"/>
    <cellStyle name="Normal 6 4 12 2" xfId="44946" xr:uid="{C3AE4A3D-7E8E-48A7-8ADE-C8BB4A6D2A22}"/>
    <cellStyle name="Normal 6 4 13" xfId="8573" xr:uid="{00000000-0005-0000-0000-0000C1240000}"/>
    <cellStyle name="Normal 6 4 13 2" xfId="41307" xr:uid="{CD84D532-8659-4E58-88A5-3E49F95B504B}"/>
    <cellStyle name="Normal 6 4 14" xfId="12503" xr:uid="{00000000-0005-0000-0000-000001250000}"/>
    <cellStyle name="Normal 6 4 14 2" xfId="44977" xr:uid="{099E4350-3A5D-4449-8BF5-A0A7EB80FF5A}"/>
    <cellStyle name="Normal 6 4 15" xfId="8606" xr:uid="{00000000-0005-0000-0000-000045250000}"/>
    <cellStyle name="Normal 6 4 15 2" xfId="41331" xr:uid="{29F37489-59A4-4A32-85EF-EAF799676388}"/>
    <cellStyle name="Normal 6 4 16" xfId="12529" xr:uid="{00000000-0005-0000-0000-00008D250000}"/>
    <cellStyle name="Normal 6 4 16 2" xfId="45001" xr:uid="{FC53CF67-7462-49DA-AAB0-928834B90095}"/>
    <cellStyle name="Normal 6 4 17" xfId="8652" xr:uid="{00000000-0005-0000-0000-0000D9250000}"/>
    <cellStyle name="Normal 6 4 17 2" xfId="41361" xr:uid="{401C9A62-EB9A-469A-BCC0-0259341CF286}"/>
    <cellStyle name="Normal 6 4 18" xfId="12576" xr:uid="{00000000-0005-0000-0000-000029260000}"/>
    <cellStyle name="Normal 6 4 18 2" xfId="45047" xr:uid="{761D26F2-7C99-49B5-8D87-8371064E26A3}"/>
    <cellStyle name="Normal 6 4 19" xfId="8702" xr:uid="{00000000-0005-0000-0000-00007D260000}"/>
    <cellStyle name="Normal 6 4 19 2" xfId="41399" xr:uid="{76E0F58D-BABD-442B-B9C6-445F10D7C694}"/>
    <cellStyle name="Normal 6 4 2" xfId="4532" xr:uid="{00000000-0005-0000-0000-0000D4110000}"/>
    <cellStyle name="Normal-- 6 4 2" xfId="41157" xr:uid="{6614F7E2-156A-4554-9629-3705A7A072F7}"/>
    <cellStyle name="Normal 6 4 2 10" xfId="40700" xr:uid="{E04CF0C7-4C35-473F-BD6A-D57F49EC02DD}"/>
    <cellStyle name="Normal 6 4 2 11" xfId="48036" xr:uid="{E9E7931A-75E2-4B80-B33C-12D1CF4A2427}"/>
    <cellStyle name="Normal 6 4 2 2" xfId="10057" xr:uid="{00000000-0005-0000-0000-0000241F0000}"/>
    <cellStyle name="Normal 6 4 2 2 2" xfId="42546" xr:uid="{8A4F8382-3EAD-4069-8E08-C597FFE9F481}"/>
    <cellStyle name="Normal 6 4 2 3" xfId="7109" xr:uid="{00000000-0005-0000-0000-0000500E0000}"/>
    <cellStyle name="Normal 6 4 2 4" xfId="38570" xr:uid="{331E19CA-CF04-4B00-A33D-37C2F9504FDA}"/>
    <cellStyle name="Normal 6 4 2 5" xfId="40421" xr:uid="{156BBB79-1205-405D-9211-D13CFC89D404}"/>
    <cellStyle name="Normal 6 4 2 6" xfId="48288" xr:uid="{DC3D5939-F7A7-48C8-A7F7-0F7241C285C1}"/>
    <cellStyle name="Normal 6 4 2 7" xfId="39577" xr:uid="{6D117036-6730-4072-9B9A-807E086E2EFD}"/>
    <cellStyle name="Normal 6 4 2 8" xfId="48713" xr:uid="{9CEF5FD7-870E-4E2E-9254-7CED4868A1B8}"/>
    <cellStyle name="Normal 6 4 2 9" xfId="48284" xr:uid="{448176BD-1C60-4280-A753-F82D069E85F7}"/>
    <cellStyle name="Normal 6 4 20" xfId="12627" xr:uid="{00000000-0005-0000-0000-0000D5260000}"/>
    <cellStyle name="Normal 6 4 20 2" xfId="45098" xr:uid="{84144596-2B65-4DEE-B5F4-4FA11E89805C}"/>
    <cellStyle name="Normal 6 4 21" xfId="8786" xr:uid="{00000000-0005-0000-0000-000031270000}"/>
    <cellStyle name="Normal 6 4 21 2" xfId="41460" xr:uid="{E70CBBBA-9DB3-4489-878A-113FB93C8171}"/>
    <cellStyle name="Normal 6 4 22" xfId="12677" xr:uid="{00000000-0005-0000-0000-000091270000}"/>
    <cellStyle name="Normal 6 4 22 2" xfId="45148" xr:uid="{2FE2138D-48E0-4A60-B632-5CA5EF5784B6}"/>
    <cellStyle name="Normal 6 4 23" xfId="7108" xr:uid="{00000000-0005-0000-0000-00004F0E0000}"/>
    <cellStyle name="Normal 6 4 24" xfId="13172" xr:uid="{00000000-0005-0000-0000-0000B6300000}"/>
    <cellStyle name="Normal 6 4 24 2" xfId="45636" xr:uid="{6F76D721-ABF6-4500-920F-21CFDC6623F8}"/>
    <cellStyle name="Normal 6 4 25" xfId="11464" xr:uid="{00000000-0005-0000-0000-000022310000}"/>
    <cellStyle name="Normal 6 4 25 2" xfId="43952" xr:uid="{41337631-4F7F-4AF8-8E59-B0EACEC6E67D}"/>
    <cellStyle name="Normal 6 4 26" xfId="13193" xr:uid="{00000000-0005-0000-0000-000092310000}"/>
    <cellStyle name="Normal 6 4 26 2" xfId="45657" xr:uid="{339236E4-202B-485F-B823-1218A300E150}"/>
    <cellStyle name="Normal 6 4 27" xfId="11440" xr:uid="{00000000-0005-0000-0000-000006320000}"/>
    <cellStyle name="Normal 6 4 27 2" xfId="43928" xr:uid="{C30D1EEB-FECA-4694-93D4-DAC567DC965C}"/>
    <cellStyle name="Normal 6 4 28" xfId="13220" xr:uid="{00000000-0005-0000-0000-00007E320000}"/>
    <cellStyle name="Normal 6 4 28 2" xfId="45684" xr:uid="{B471814D-9664-48C2-BD33-EDCC1B92122F}"/>
    <cellStyle name="Normal 6 4 29" xfId="12937" xr:uid="{00000000-0005-0000-0000-0000FA320000}"/>
    <cellStyle name="Normal 6 4 29 2" xfId="45408" xr:uid="{D0491818-CB26-4D9D-8A6C-F83EB3958700}"/>
    <cellStyle name="Normal 6 4 3" xfId="10056" xr:uid="{00000000-0005-0000-0000-0000231F0000}"/>
    <cellStyle name="Normal-- 6 4 3" xfId="46827" xr:uid="{F82D00A9-DFA1-48FB-9CF5-CB92DF9BE40F}"/>
    <cellStyle name="Normal 6 4 3 2" xfId="18169" xr:uid="{A5D93239-540F-472A-A013-93D17FB7B07A}"/>
    <cellStyle name="Normal 6 4 3 3" xfId="42545" xr:uid="{37EC8E42-E3E4-4018-A925-BB08077E7803}"/>
    <cellStyle name="Normal 6 4 3 4" xfId="37845" xr:uid="{F1258E6D-1B5C-4A96-8242-DA104C28546F}"/>
    <cellStyle name="Normal 6 4 3 5" xfId="40388" xr:uid="{C3FCFE6C-44EE-4CAB-BFA6-6EC731885259}"/>
    <cellStyle name="Normal 6 4 3 6" xfId="48495" xr:uid="{FD8C288B-AF8C-4378-901B-969753F9086C}"/>
    <cellStyle name="Normal 6 4 3 7" xfId="15152" xr:uid="{32974F00-4941-48E3-A55D-3EF5256F7A20}"/>
    <cellStyle name="Normal 6 4 3 8" xfId="48849" xr:uid="{1EF38CD4-CB7F-4DF4-91C1-D75BD37434FC}"/>
    <cellStyle name="Normal 6 4 3 9" xfId="48161" xr:uid="{23001EC1-EFF1-4193-84A7-CD27584E1515}"/>
    <cellStyle name="Normal 6 4 30" xfId="13275" xr:uid="{00000000-0005-0000-0000-00007A330000}"/>
    <cellStyle name="Normal 6 4 30 2" xfId="45739" xr:uid="{80FB3D19-85AA-4D32-BEF2-1113D3D97126}"/>
    <cellStyle name="Normal 6 4 31" xfId="11362" xr:uid="{00000000-0005-0000-0000-0000FE330000}"/>
    <cellStyle name="Normal 6 4 31 2" xfId="43851" xr:uid="{81E1B55E-F714-4937-8D99-0EF501195E9B}"/>
    <cellStyle name="Normal 6 4 32" xfId="13353" xr:uid="{00000000-0005-0000-0000-000086340000}"/>
    <cellStyle name="Normal 6 4 32 2" xfId="45817" xr:uid="{F4C5EDF7-91AB-47F0-A63E-CD8583E912C2}"/>
    <cellStyle name="Normal 6 4 33" xfId="11279" xr:uid="{00000000-0005-0000-0000-000012350000}"/>
    <cellStyle name="Normal 6 4 33 2" xfId="43768" xr:uid="{5BCDDDC2-4305-48B2-8890-A2BF81D69F97}"/>
    <cellStyle name="Normal 6 4 34" xfId="15978" xr:uid="{5CEFE39D-CA3D-49BF-9C15-F962FE7B16E5}"/>
    <cellStyle name="Normal 6 4 35" xfId="38569" xr:uid="{E091462B-83FF-4A6C-9FD1-362C3E6BE958}"/>
    <cellStyle name="Normal 6 4 36" xfId="15295" xr:uid="{37C8CE8C-6E31-480F-A288-8D7D287D022A}"/>
    <cellStyle name="Normal 6 4 37" xfId="46843" xr:uid="{67172918-3663-49C9-AAD0-9163E4A26108}"/>
    <cellStyle name="Normal 6 4 38" xfId="46409" xr:uid="{2D5B2118-DDED-45CA-A32F-E5B3D1346BFE}"/>
    <cellStyle name="Normal 6 4 39" xfId="49089" xr:uid="{CE354A7A-CF70-4CA9-9E80-ACDF3E5A6049}"/>
    <cellStyle name="Normal 6 4 4" xfId="12404" xr:uid="{00000000-0005-0000-0000-00003A230000}"/>
    <cellStyle name="Normal-- 6 4 4" xfId="16606" xr:uid="{51F4CAFD-E867-4978-8CAE-B2A4C2AFE6F6}"/>
    <cellStyle name="Normal 6 4 4 2" xfId="44884" xr:uid="{0846B082-4B36-4D47-900F-E05B95B119C9}"/>
    <cellStyle name="Normal 6 4 4 3" xfId="15188" xr:uid="{1DA6313F-F5D0-4954-917E-CC6978D58E4B}"/>
    <cellStyle name="Normal 6 4 4 4" xfId="37969" xr:uid="{5311F485-A337-46D9-95FD-6B062FFC3FCD}"/>
    <cellStyle name="Normal 6 4 4 5" xfId="41058" xr:uid="{60CBBC14-DCD9-41DB-A383-AE91EA6E48DA}"/>
    <cellStyle name="Normal 6 4 4 6" xfId="15035" xr:uid="{DC5C003B-96D1-473D-87E2-0947382B5D71}"/>
    <cellStyle name="Normal 6 4 4 7" xfId="49942" xr:uid="{589712A8-A049-4F92-91CE-7EBD41C9DCAF}"/>
    <cellStyle name="Normal 6 4 40" xfId="48100" xr:uid="{9B984929-E242-4C0B-B21C-B36CF148A2AC}"/>
    <cellStyle name="Normal 6 4 41" xfId="15059" xr:uid="{FC827F02-3609-4308-9EDA-65BFB6CE52B7}"/>
    <cellStyle name="Normal 6 4 42" xfId="46425" xr:uid="{DBCEA224-E3FD-4DCA-A389-B34DFB8EAADD}"/>
    <cellStyle name="Normal 6 4 5" xfId="8492" xr:uid="{00000000-0005-0000-0000-000055230000}"/>
    <cellStyle name="Normal-- 6 4 5" xfId="47914" xr:uid="{2371966F-5A69-41EC-AEF2-634132EED729}"/>
    <cellStyle name="Normal 6 4 5 2" xfId="41249" xr:uid="{9F97E941-4442-417B-ACD6-2B5CA2069061}"/>
    <cellStyle name="Normal 6 4 5 3" xfId="48896" xr:uid="{1B3E6480-B970-411D-801B-A52665E44890}"/>
    <cellStyle name="Normal 6 4 5 4" xfId="46346" xr:uid="{771F3361-F461-42AB-8BD6-B9F8EA56CCEE}"/>
    <cellStyle name="Normal 6 4 5 5" xfId="49146" xr:uid="{3E67D5CD-5035-4D91-ADC4-84EFA1D14C2C}"/>
    <cellStyle name="Normal 6 4 5 6" xfId="47927" xr:uid="{D479E99C-651A-46E4-BCBC-53B5215B0ED9}"/>
    <cellStyle name="Normal 6 4 6" xfId="12415" xr:uid="{00000000-0005-0000-0000-000074230000}"/>
    <cellStyle name="Normal-- 6 4 6" xfId="46558" xr:uid="{472BCCFA-8989-432D-96FF-7B0056047C6C}"/>
    <cellStyle name="Normal 6 4 6 2" xfId="44891" xr:uid="{8A15A817-A3B4-4DF3-AFD5-3D611A3B5D0A}"/>
    <cellStyle name="Normal 6 4 6 3" xfId="47595" xr:uid="{3E12051C-C75A-4656-A6D1-E2B09938FDA5}"/>
    <cellStyle name="Normal 6 4 6 4" xfId="40247" xr:uid="{4C95FC4E-3E58-4043-AD08-7EA251D0D0BD}"/>
    <cellStyle name="Normal 6 4 6 5" xfId="49944" xr:uid="{AAE926F0-3E99-43E6-87D6-09E559BBDD44}"/>
    <cellStyle name="Normal 6 4 7" xfId="8508" xr:uid="{00000000-0005-0000-0000-000097230000}"/>
    <cellStyle name="Normal-- 6 4 7" xfId="16476" xr:uid="{856577D7-F252-4840-88D5-5B58A099546B}"/>
    <cellStyle name="Normal 6 4 7 2" xfId="41259" xr:uid="{90733478-6F21-4C16-B4A8-4C528B41573A}"/>
    <cellStyle name="Normal 6 4 7 3" xfId="18309" xr:uid="{FBF91B86-749D-4FCF-B710-582EB31CF87B}"/>
    <cellStyle name="Normal 6 4 7 4" xfId="40535" xr:uid="{B9C82DEF-E386-4C44-954C-53E7B272457A}"/>
    <cellStyle name="Normal 6 4 8" xfId="12429" xr:uid="{00000000-0005-0000-0000-0000BE230000}"/>
    <cellStyle name="Normal-- 6 4 8" xfId="48078" xr:uid="{CD15F8EC-560D-4E1F-8FC4-A5A6D2255168}"/>
    <cellStyle name="Normal 6 4 8 2" xfId="44903" xr:uid="{C525B58A-506D-4485-8424-0F0F31219933}"/>
    <cellStyle name="Normal 6 4 8 3" xfId="49950" xr:uid="{56873129-07B2-4D91-8BBD-976343792DE0}"/>
    <cellStyle name="Normal 6 4 9" xfId="8526" xr:uid="{00000000-0005-0000-0000-0000E9230000}"/>
    <cellStyle name="Normal-- 6 4 9" xfId="46571" xr:uid="{E4737A2F-7179-4C9F-AA4E-7BAD32F234E9}"/>
    <cellStyle name="Normal 6 4 9 2" xfId="41272" xr:uid="{D0E83402-1AAF-4AF1-A3C0-8ED8F1F306ED}"/>
    <cellStyle name="Normal 6 40" xfId="4533" xr:uid="{00000000-0005-0000-0000-0000D5110000}"/>
    <cellStyle name="Normal-- 6 40" xfId="41087" xr:uid="{089AF4FC-5B8B-4217-9D06-83E37E2E7AC0}"/>
    <cellStyle name="Normal 6 40 2" xfId="10058" xr:uid="{00000000-0005-0000-0000-0000251F0000}"/>
    <cellStyle name="Normal 6 40 2 2" xfId="42547" xr:uid="{DC5331A3-A6D6-4AFE-A08D-45A179D6287C}"/>
    <cellStyle name="Normal 6 40 3" xfId="7110" xr:uid="{00000000-0005-0000-0000-0000510E0000}"/>
    <cellStyle name="Normal 6 40 4" xfId="38571" xr:uid="{11C0C529-6467-4F27-9EB9-18EC4309282D}"/>
    <cellStyle name="Normal 6 40 5" xfId="47857" xr:uid="{B3069D11-2AF8-49B9-9D79-79271B8620D5}"/>
    <cellStyle name="Normal 6 40 6" xfId="40632" xr:uid="{A1464337-C953-4453-9ECC-6C2FDEC261AD}"/>
    <cellStyle name="Normal 6 40 7" xfId="47882" xr:uid="{0DFED3EF-46CF-461A-9A13-BC8DC98487BD}"/>
    <cellStyle name="Normal 6 41" xfId="4534" xr:uid="{00000000-0005-0000-0000-0000D6110000}"/>
    <cellStyle name="Normal-- 6 41" xfId="15047" xr:uid="{4801B87A-B55F-4405-AC52-E123E4BAC032}"/>
    <cellStyle name="Normal 6 41 2" xfId="10059" xr:uid="{00000000-0005-0000-0000-0000261F0000}"/>
    <cellStyle name="Normal 6 41 2 2" xfId="42548" xr:uid="{02FDF2D7-F6DC-4CFD-BC8A-A411A584680A}"/>
    <cellStyle name="Normal 6 41 3" xfId="7111" xr:uid="{00000000-0005-0000-0000-0000520E0000}"/>
    <cellStyle name="Normal 6 41 4" xfId="38572" xr:uid="{441F1737-DFE6-41D7-BA68-D7B1614E01BD}"/>
    <cellStyle name="Normal 6 41 5" xfId="48655" xr:uid="{7CE8253F-6ECF-4CB4-BC8F-035DCD1E8B8D}"/>
    <cellStyle name="Normal 6 41 6" xfId="38024" xr:uid="{BB07F1FA-D944-441A-8CE3-DEE89667855C}"/>
    <cellStyle name="Normal 6 42" xfId="4535" xr:uid="{00000000-0005-0000-0000-0000D7110000}"/>
    <cellStyle name="Normal-- 6 42" xfId="16522" xr:uid="{0AA48CA8-1A52-4EA9-8998-DC8D3D9E1484}"/>
    <cellStyle name="Normal 6 42 2" xfId="10060" xr:uid="{00000000-0005-0000-0000-0000271F0000}"/>
    <cellStyle name="Normal 6 42 2 2" xfId="42549" xr:uid="{4BD40CF3-83AF-4B10-ABF2-34ED778CD6A1}"/>
    <cellStyle name="Normal 6 42 3" xfId="7112" xr:uid="{00000000-0005-0000-0000-0000530E0000}"/>
    <cellStyle name="Normal 6 42 4" xfId="38573" xr:uid="{2B41BDDE-4540-4C92-8505-FD71AD955422}"/>
    <cellStyle name="Normal 6 42 5" xfId="47132" xr:uid="{93567401-6972-453D-B665-E961265B1B62}"/>
    <cellStyle name="Normal 6 43" xfId="4536" xr:uid="{00000000-0005-0000-0000-0000D8110000}"/>
    <cellStyle name="Normal-- 6 43" xfId="40518" xr:uid="{49CF6871-6690-4130-AC38-BD58BFE79EA0}"/>
    <cellStyle name="Normal 6 43 2" xfId="10061" xr:uid="{00000000-0005-0000-0000-0000281F0000}"/>
    <cellStyle name="Normal 6 43 2 2" xfId="42550" xr:uid="{E64BE3BE-24AF-408A-A391-009A806BAE3C}"/>
    <cellStyle name="Normal 6 43 3" xfId="7113" xr:uid="{00000000-0005-0000-0000-0000540E0000}"/>
    <cellStyle name="Normal 6 43 4" xfId="38574" xr:uid="{D6462E70-7627-4161-B958-8797F70C9FE8}"/>
    <cellStyle name="Normal 6 44" xfId="4537" xr:uid="{00000000-0005-0000-0000-0000D9110000}"/>
    <cellStyle name="Normal 6 44 2" xfId="10062" xr:uid="{00000000-0005-0000-0000-0000291F0000}"/>
    <cellStyle name="Normal 6 44 2 2" xfId="42551" xr:uid="{7F29B460-58B9-4093-8A22-B9E35C49440A}"/>
    <cellStyle name="Normal 6 44 3" xfId="7114" xr:uid="{00000000-0005-0000-0000-0000550E0000}"/>
    <cellStyle name="Normal 6 44 4" xfId="38575" xr:uid="{1CDF501E-3FD1-41B1-92DA-63EB12F26BB6}"/>
    <cellStyle name="Normal 6 45" xfId="4538" xr:uid="{00000000-0005-0000-0000-0000DA110000}"/>
    <cellStyle name="Normal 6 45 2" xfId="10063" xr:uid="{00000000-0005-0000-0000-00002A1F0000}"/>
    <cellStyle name="Normal 6 45 2 2" xfId="42552" xr:uid="{206734D5-130F-4E63-9FB9-8C38FF401977}"/>
    <cellStyle name="Normal 6 45 3" xfId="7115" xr:uid="{00000000-0005-0000-0000-0000560E0000}"/>
    <cellStyle name="Normal 6 45 4" xfId="38576" xr:uid="{5D85E74D-0338-4404-A69E-C3FD200DEF08}"/>
    <cellStyle name="Normal 6 46" xfId="4539" xr:uid="{00000000-0005-0000-0000-0000DB110000}"/>
    <cellStyle name="Normal 6 46 2" xfId="10064" xr:uid="{00000000-0005-0000-0000-00002B1F0000}"/>
    <cellStyle name="Normal 6 46 2 2" xfId="42553" xr:uid="{6926685D-57FF-4FB0-A5AC-A8CBB4CD4DC5}"/>
    <cellStyle name="Normal 6 46 3" xfId="7116" xr:uid="{00000000-0005-0000-0000-0000570E0000}"/>
    <cellStyle name="Normal 6 46 4" xfId="38577" xr:uid="{C2268E62-04DC-4E27-BBAA-E1976EBA02B4}"/>
    <cellStyle name="Normal 6 47" xfId="4540" xr:uid="{00000000-0005-0000-0000-0000DC110000}"/>
    <cellStyle name="Normal 6 47 2" xfId="10065" xr:uid="{00000000-0005-0000-0000-00002C1F0000}"/>
    <cellStyle name="Normal 6 47 2 2" xfId="42554" xr:uid="{B9023805-3FA2-4004-88D8-4005D0AFD5D7}"/>
    <cellStyle name="Normal 6 47 3" xfId="7117" xr:uid="{00000000-0005-0000-0000-0000580E0000}"/>
    <cellStyle name="Normal 6 47 4" xfId="38578" xr:uid="{2680792D-F529-4F46-AE87-09A30F86880F}"/>
    <cellStyle name="Normal 6 48" xfId="4541" xr:uid="{00000000-0005-0000-0000-0000DD110000}"/>
    <cellStyle name="Normal 6 48 2" xfId="10066" xr:uid="{00000000-0005-0000-0000-00002D1F0000}"/>
    <cellStyle name="Normal 6 48 2 2" xfId="42555" xr:uid="{D3C49C8F-3271-4BF2-8F54-BF23C52F4C47}"/>
    <cellStyle name="Normal 6 48 3" xfId="7118" xr:uid="{00000000-0005-0000-0000-0000590E0000}"/>
    <cellStyle name="Normal 6 48 4" xfId="38579" xr:uid="{892D508E-F44E-4165-952C-C827690C833A}"/>
    <cellStyle name="Normal 6 49" xfId="4542" xr:uid="{00000000-0005-0000-0000-0000DE110000}"/>
    <cellStyle name="Normal 6 49 2" xfId="10067" xr:uid="{00000000-0005-0000-0000-00002E1F0000}"/>
    <cellStyle name="Normal 6 49 2 2" xfId="42556" xr:uid="{0A566B5A-EDEF-45A6-A025-1BAF8DAB48A2}"/>
    <cellStyle name="Normal 6 49 3" xfId="7119" xr:uid="{00000000-0005-0000-0000-00005A0E0000}"/>
    <cellStyle name="Normal 6 49 4" xfId="38580" xr:uid="{8A962E79-1423-49DD-8829-8B5B2444A260}"/>
    <cellStyle name="Normal 6 5" xfId="4543" xr:uid="{00000000-0005-0000-0000-0000DF110000}"/>
    <cellStyle name="Normal-- 6 5" xfId="12313" xr:uid="{00000000-0005-0000-0000-000037230000}"/>
    <cellStyle name="Normal 6 5 10" xfId="8559" xr:uid="{00000000-0005-0000-0000-00004E240000}"/>
    <cellStyle name="Normal 6 5 10 2" xfId="41295" xr:uid="{3A62989C-B5AE-4FEA-B1AF-C8FCCA35600E}"/>
    <cellStyle name="Normal 6 5 11" xfId="12486" xr:uid="{00000000-0005-0000-0000-000086240000}"/>
    <cellStyle name="Normal 6 5 11 2" xfId="44960" xr:uid="{814D1862-E597-4607-A354-4F7624DD70A8}"/>
    <cellStyle name="Normal 6 5 12" xfId="8588" xr:uid="{00000000-0005-0000-0000-0000C2240000}"/>
    <cellStyle name="Normal 6 5 12 2" xfId="41317" xr:uid="{CEC1107E-3032-49A4-A3FF-9CA682B4D111}"/>
    <cellStyle name="Normal 6 5 13" xfId="12515" xr:uid="{00000000-0005-0000-0000-000002250000}"/>
    <cellStyle name="Normal 6 5 13 2" xfId="44989" xr:uid="{E9F13F20-DBD6-459F-B982-0769C9115695}"/>
    <cellStyle name="Normal 6 5 14" xfId="8622" xr:uid="{00000000-0005-0000-0000-000046250000}"/>
    <cellStyle name="Normal 6 5 14 2" xfId="41343" xr:uid="{4847799F-7D65-4794-BF8E-2CF8401384E5}"/>
    <cellStyle name="Normal 6 5 15" xfId="12543" xr:uid="{00000000-0005-0000-0000-00008E250000}"/>
    <cellStyle name="Normal 6 5 15 2" xfId="45014" xr:uid="{17DF8876-0491-463E-B9BA-155861CBDD7D}"/>
    <cellStyle name="Normal 6 5 16" xfId="8669" xr:uid="{00000000-0005-0000-0000-0000DA250000}"/>
    <cellStyle name="Normal 6 5 16 2" xfId="41377" xr:uid="{031A8C51-62B1-4D6D-8B40-0737B64232C9}"/>
    <cellStyle name="Normal 6 5 17" xfId="12595" xr:uid="{00000000-0005-0000-0000-00002A260000}"/>
    <cellStyle name="Normal 6 5 17 2" xfId="45066" xr:uid="{45700D84-FDEA-4870-BE7A-54EDD0668E7B}"/>
    <cellStyle name="Normal 6 5 18" xfId="8730" xr:uid="{00000000-0005-0000-0000-00007E260000}"/>
    <cellStyle name="Normal 6 5 18 2" xfId="41421" xr:uid="{779EBA6F-7713-460A-BFA3-CA9B374DB59C}"/>
    <cellStyle name="Normal 6 5 19" xfId="12637" xr:uid="{00000000-0005-0000-0000-0000D6260000}"/>
    <cellStyle name="Normal 6 5 19 2" xfId="45108" xr:uid="{D09D87F3-8065-4CBD-9A21-243C49AAAB67}"/>
    <cellStyle name="Normal 6 5 2" xfId="4544" xr:uid="{00000000-0005-0000-0000-0000E0110000}"/>
    <cellStyle name="Normal-- 6 5 2" xfId="44795" xr:uid="{100FF1CD-DADA-4B38-8025-026546D1D2F0}"/>
    <cellStyle name="Normal 6 5 2 10" xfId="40307" xr:uid="{452F2302-3912-4D1A-AEAC-4FB468CCC873}"/>
    <cellStyle name="Normal 6 5 2 11" xfId="48585" xr:uid="{F6B51BBE-4144-4169-89F0-BF0DD5E4580B}"/>
    <cellStyle name="Normal 6 5 2 2" xfId="10069" xr:uid="{00000000-0005-0000-0000-0000301F0000}"/>
    <cellStyle name="Normal 6 5 2 2 2" xfId="42558" xr:uid="{20C7C8E2-A65A-40D7-B565-F0CF39FA3433}"/>
    <cellStyle name="Normal 6 5 2 3" xfId="7121" xr:uid="{00000000-0005-0000-0000-00005C0E0000}"/>
    <cellStyle name="Normal 6 5 2 4" xfId="38582" xr:uid="{79A3E0E4-3E38-4305-AAF5-9BEBDE361C70}"/>
    <cellStyle name="Normal 6 5 2 5" xfId="15298" xr:uid="{88A6DD6E-880D-44FC-A265-B6CF3D5F6CC8}"/>
    <cellStyle name="Normal 6 5 2 6" xfId="48309" xr:uid="{2C550BE3-37FB-4F23-AA6A-C65DF47AEE15}"/>
    <cellStyle name="Normal 6 5 2 7" xfId="46410" xr:uid="{0EA1CEE7-C854-42C6-BC86-099D1F0BD948}"/>
    <cellStyle name="Normal 6 5 2 8" xfId="47654" xr:uid="{590862BE-8F18-455B-BEBC-E76BAAF1FF5F}"/>
    <cellStyle name="Normal 6 5 2 9" xfId="16306" xr:uid="{9E74B171-F5DC-4D2E-BCCF-ED00C5673F06}"/>
    <cellStyle name="Normal 6 5 20" xfId="8802" xr:uid="{00000000-0005-0000-0000-000032270000}"/>
    <cellStyle name="Normal 6 5 20 2" xfId="41470" xr:uid="{CCC7C000-2510-446E-AF44-347029497BE7}"/>
    <cellStyle name="Normal 6 5 21" xfId="12706" xr:uid="{00000000-0005-0000-0000-000092270000}"/>
    <cellStyle name="Normal 6 5 21 2" xfId="45177" xr:uid="{333B8B26-24A3-4609-9248-9C6F4D40AED5}"/>
    <cellStyle name="Normal 6 5 22" xfId="7120" xr:uid="{00000000-0005-0000-0000-00005B0E0000}"/>
    <cellStyle name="Normal 6 5 23" xfId="13175" xr:uid="{00000000-0005-0000-0000-0000B7300000}"/>
    <cellStyle name="Normal 6 5 23 2" xfId="45639" xr:uid="{1FD6AC2B-3D61-4740-89E4-02370B51C3D3}"/>
    <cellStyle name="Normal 6 5 24" xfId="11459" xr:uid="{00000000-0005-0000-0000-000023310000}"/>
    <cellStyle name="Normal 6 5 24 2" xfId="43947" xr:uid="{F99666A7-0DC7-435D-8C69-9C28D8CE1552}"/>
    <cellStyle name="Normal 6 5 25" xfId="13200" xr:uid="{00000000-0005-0000-0000-000093310000}"/>
    <cellStyle name="Normal 6 5 25 2" xfId="45664" xr:uid="{434A7F03-80C2-419C-A400-DD3FC8ED75BF}"/>
    <cellStyle name="Normal 6 5 26" xfId="11432" xr:uid="{00000000-0005-0000-0000-000007320000}"/>
    <cellStyle name="Normal 6 5 26 2" xfId="43920" xr:uid="{D532E784-F464-468E-BC3C-EF09E85F43F7}"/>
    <cellStyle name="Normal 6 5 27" xfId="13228" xr:uid="{00000000-0005-0000-0000-00007F320000}"/>
    <cellStyle name="Normal 6 5 27 2" xfId="45692" xr:uid="{9BE21F6B-9AF2-4AC1-B3C8-B8D523BE0885}"/>
    <cellStyle name="Normal 6 5 28" xfId="11409" xr:uid="{00000000-0005-0000-0000-0000FB320000}"/>
    <cellStyle name="Normal 6 5 28 2" xfId="43897" xr:uid="{C4B5D74C-B614-47E3-ABCD-50F36ABD7CFF}"/>
    <cellStyle name="Normal 6 5 29" xfId="13281" xr:uid="{00000000-0005-0000-0000-00007B330000}"/>
    <cellStyle name="Normal 6 5 29 2" xfId="45745" xr:uid="{6DDD7E7A-F74B-47AA-BEA6-0606C9314773}"/>
    <cellStyle name="Normal 6 5 3" xfId="10068" xr:uid="{00000000-0005-0000-0000-00002F1F0000}"/>
    <cellStyle name="Normal-- 6 5 3" xfId="48285" xr:uid="{AE8DAAE8-CAEB-48CF-919E-6DDF3973E81C}"/>
    <cellStyle name="Normal 6 5 3 2" xfId="18170" xr:uid="{FE4C1B1D-301B-46A9-9B90-4A44F6CA72A1}"/>
    <cellStyle name="Normal 6 5 3 3" xfId="42557" xr:uid="{72F5AF60-B4B8-42C3-A458-5B7AF8CDC069}"/>
    <cellStyle name="Normal 6 5 3 4" xfId="48190" xr:uid="{7459FFD1-AAD9-44AB-A38F-D32FA481674C}"/>
    <cellStyle name="Normal 6 5 3 5" xfId="47650" xr:uid="{0AC51D27-3245-4A1F-9F99-BADD203E88EB}"/>
    <cellStyle name="Normal 6 5 3 6" xfId="48472" xr:uid="{50C1DD61-11D1-4E37-A05F-7ECC78F7AD08}"/>
    <cellStyle name="Normal 6 5 3 7" xfId="46360" xr:uid="{89BCC481-4F70-4D8E-B7BE-EF3DE77FDEEB}"/>
    <cellStyle name="Normal 6 5 3 8" xfId="49173" xr:uid="{F0ACDBC0-EEF7-4A19-B2E1-F67FB1BF8EE2}"/>
    <cellStyle name="Normal 6 5 3 9" xfId="16456" xr:uid="{320C6581-4BCB-498C-9E38-CD9F4A06854C}"/>
    <cellStyle name="Normal 6 5 30" xfId="11317" xr:uid="{00000000-0005-0000-0000-0000FF330000}"/>
    <cellStyle name="Normal 6 5 30 2" xfId="43806" xr:uid="{1E9A547A-898A-44BC-9E1C-88A324F00718}"/>
    <cellStyle name="Normal 6 5 31" xfId="13398" xr:uid="{00000000-0005-0000-0000-000087340000}"/>
    <cellStyle name="Normal 6 5 31 2" xfId="45862" xr:uid="{9FAFA8DA-202A-4206-9FA6-5B2E48BFA312}"/>
    <cellStyle name="Normal 6 5 32" xfId="11230" xr:uid="{00000000-0005-0000-0000-000013350000}"/>
    <cellStyle name="Normal 6 5 32 2" xfId="43719" xr:uid="{20DBA0D2-2543-411D-9864-5B8CCC62DFFA}"/>
    <cellStyle name="Normal 6 5 33" xfId="15984" xr:uid="{A076EB39-4ED2-44A8-B6B4-BDE4402AC8D5}"/>
    <cellStyle name="Normal 6 5 34" xfId="38581" xr:uid="{956CC748-E6DC-4E7D-A694-606BCF3BAA19}"/>
    <cellStyle name="Normal 6 5 35" xfId="40422" xr:uid="{2C6C1E2B-C587-40EF-BA84-152E9E78CC0C}"/>
    <cellStyle name="Normal 6 5 36" xfId="46875" xr:uid="{BC9532D1-90F8-4127-9CBB-532D4F99655D}"/>
    <cellStyle name="Normal 6 5 37" xfId="15633" xr:uid="{18A3AB47-70F6-4B7D-B4C3-BD8ADF2222A6}"/>
    <cellStyle name="Normal 6 5 38" xfId="47188" xr:uid="{962C554D-8224-4B35-9329-49D7EB79EE81}"/>
    <cellStyle name="Normal 6 5 39" xfId="15506" xr:uid="{DF1049AB-E57B-476A-A850-264BB7CC1F98}"/>
    <cellStyle name="Normal 6 5 4" xfId="8504" xr:uid="{00000000-0005-0000-0000-000056230000}"/>
    <cellStyle name="Normal-- 6 5 4" xfId="40911" xr:uid="{C19A3C37-75DF-4EA9-91BD-FC0A9E1C1262}"/>
    <cellStyle name="Normal 6 5 4 2" xfId="41255" xr:uid="{85251728-8847-4FE7-B796-7A0D117547D3}"/>
    <cellStyle name="Normal 6 5 4 3" xfId="14925" xr:uid="{57647CE7-A58C-4FFD-B8EA-32188A1C2972}"/>
    <cellStyle name="Normal 6 5 4 4" xfId="48944" xr:uid="{28E03953-F468-4578-BA9A-2CA913F77C0F}"/>
    <cellStyle name="Normal 6 5 4 5" xfId="47345" xr:uid="{48AC89CD-5087-467F-BBAB-0ECDB9751654}"/>
    <cellStyle name="Normal 6 5 4 6" xfId="37907" xr:uid="{FF3445E5-A0C1-404E-846B-0CF4E37BE94D}"/>
    <cellStyle name="Normal 6 5 4 7" xfId="48877" xr:uid="{2853677A-1CB3-4B65-877D-46FE55FC1022}"/>
    <cellStyle name="Normal 6 5 40" xfId="15636" xr:uid="{A01303BD-11D6-4FE3-B89F-CB5033BF944B}"/>
    <cellStyle name="Normal 6 5 41" xfId="48870" xr:uid="{8B5457DE-AD53-47A4-BDD0-911B7194F497}"/>
    <cellStyle name="Normal 6 5 5" xfId="12425" xr:uid="{00000000-0005-0000-0000-000075230000}"/>
    <cellStyle name="Normal-- 6 5 5" xfId="47796" xr:uid="{E9161D11-B87E-4C4B-A3E0-40E1AC5D31D1}"/>
    <cellStyle name="Normal 6 5 5 2" xfId="44899" xr:uid="{384658A0-983F-4544-B36D-4B0717B407ED}"/>
    <cellStyle name="Normal 6 5 5 3" xfId="48250" xr:uid="{42179F1C-7BF7-4493-9566-EF4CB214AAC1}"/>
    <cellStyle name="Normal 6 5 5 4" xfId="46394" xr:uid="{40A5596A-04E0-4012-9137-0E274954B163}"/>
    <cellStyle name="Normal 6 5 5 5" xfId="16574" xr:uid="{5817FEED-E056-4BF8-981E-672964FFF152}"/>
    <cellStyle name="Normal 6 5 5 6" xfId="49947" xr:uid="{3B44049B-267B-4337-B871-7F5DACCB4F54}"/>
    <cellStyle name="Normal 6 5 6" xfId="8520" xr:uid="{00000000-0005-0000-0000-000098230000}"/>
    <cellStyle name="Normal-- 6 5 6" xfId="48617" xr:uid="{4E40F55A-82CE-4FFA-B235-5727BE778084}"/>
    <cellStyle name="Normal 6 5 6 2" xfId="41267" xr:uid="{9D3D9A8B-DDC2-475E-9D80-21637C9793CC}"/>
    <cellStyle name="Normal 6 5 6 3" xfId="37633" xr:uid="{4BDA273C-D430-44CA-8210-41ACA2E5C184}"/>
    <cellStyle name="Normal 6 5 6 4" xfId="46840" xr:uid="{8BEA57B9-F77C-4C1A-B5CF-AA1BD8E8401A}"/>
    <cellStyle name="Normal 6 5 6 5" xfId="37683" xr:uid="{269790B4-2665-4B3E-A626-EE033BF99D3D}"/>
    <cellStyle name="Normal 6 5 7" xfId="12441" xr:uid="{00000000-0005-0000-0000-0000BF230000}"/>
    <cellStyle name="Normal-- 6 5 7" xfId="47466" xr:uid="{5FD1F350-8EE5-4F0A-997C-F6878C10F014}"/>
    <cellStyle name="Normal 6 5 7 2" xfId="44915" xr:uid="{44091B16-51F1-443A-9828-2BAB701D22B0}"/>
    <cellStyle name="Normal 6 5 7 3" xfId="48412" xr:uid="{17E5489C-6957-4623-B13B-C136419B2C2B}"/>
    <cellStyle name="Normal 6 5 7 4" xfId="49952" xr:uid="{3AAEA0A4-5D35-459C-B7F6-DF5776651DF8}"/>
    <cellStyle name="Normal 6 5 8" xfId="8539" xr:uid="{00000000-0005-0000-0000-0000EA230000}"/>
    <cellStyle name="Normal-- 6 5 8" xfId="15175" xr:uid="{47A1272D-B536-4F05-AAAC-CF539E16D3D2}"/>
    <cellStyle name="Normal 6 5 8 2" xfId="41281" xr:uid="{D538F89F-A516-4523-B6A6-F89BFBC44825}"/>
    <cellStyle name="Normal 6 5 8 3" xfId="40120" xr:uid="{8C2110C2-9B3D-4321-9E4D-99A5332C44B3}"/>
    <cellStyle name="Normal 6 5 9" xfId="12461" xr:uid="{00000000-0005-0000-0000-00001A240000}"/>
    <cellStyle name="Normal-- 6 5 9" xfId="49235" xr:uid="{7073A478-40DE-4446-A98D-33B2278CB42F}"/>
    <cellStyle name="Normal 6 5 9 2" xfId="44935" xr:uid="{59DFB213-C507-4009-A299-EB2C8E41F594}"/>
    <cellStyle name="Normal 6 50" xfId="4545" xr:uid="{00000000-0005-0000-0000-0000E1110000}"/>
    <cellStyle name="Normal 6 50 2" xfId="10070" xr:uid="{00000000-0005-0000-0000-0000311F0000}"/>
    <cellStyle name="Normal 6 50 2 2" xfId="42559" xr:uid="{141A9166-E520-40F5-BFE3-FA631BE3FCD4}"/>
    <cellStyle name="Normal 6 50 3" xfId="7122" xr:uid="{00000000-0005-0000-0000-00005D0E0000}"/>
    <cellStyle name="Normal 6 50 4" xfId="38583" xr:uid="{85932341-4D91-4265-959D-08753126E708}"/>
    <cellStyle name="Normal 6 51" xfId="4546" xr:uid="{00000000-0005-0000-0000-0000E2110000}"/>
    <cellStyle name="Normal 6 51 2" xfId="10071" xr:uid="{00000000-0005-0000-0000-0000321F0000}"/>
    <cellStyle name="Normal 6 51 2 2" xfId="42560" xr:uid="{BC2BBF69-1EFB-4B62-A9CD-2566B9DB0EEB}"/>
    <cellStyle name="Normal 6 51 3" xfId="7124" xr:uid="{00000000-0005-0000-0000-00005E0E0000}"/>
    <cellStyle name="Normal 6 51 4" xfId="38584" xr:uid="{5ACEF5B7-223C-4390-95CB-ADD6E91DA2E0}"/>
    <cellStyle name="Normal 6 52" xfId="4547" xr:uid="{00000000-0005-0000-0000-0000E3110000}"/>
    <cellStyle name="Normal 6 52 2" xfId="10072" xr:uid="{00000000-0005-0000-0000-0000331F0000}"/>
    <cellStyle name="Normal 6 52 2 2" xfId="42561" xr:uid="{317AB350-AFB1-45C8-B2CC-99A7FDC1DA77}"/>
    <cellStyle name="Normal 6 52 3" xfId="7125" xr:uid="{00000000-0005-0000-0000-00005F0E0000}"/>
    <cellStyle name="Normal 6 52 4" xfId="38585" xr:uid="{FE19BA08-7715-432B-9C8B-79BC53A69822}"/>
    <cellStyle name="Normal 6 53" xfId="4548" xr:uid="{00000000-0005-0000-0000-0000E4110000}"/>
    <cellStyle name="Normal 6 53 2" xfId="10073" xr:uid="{00000000-0005-0000-0000-0000341F0000}"/>
    <cellStyle name="Normal 6 53 2 2" xfId="42562" xr:uid="{51DC5CE6-3676-4D3A-8AD5-0D0B19E0BAAB}"/>
    <cellStyle name="Normal 6 53 3" xfId="7126" xr:uid="{00000000-0005-0000-0000-0000600E0000}"/>
    <cellStyle name="Normal 6 53 4" xfId="38586" xr:uid="{B823E1BA-A43D-485F-8C95-5F313E4C9D35}"/>
    <cellStyle name="Normal 6 54" xfId="4549" xr:uid="{00000000-0005-0000-0000-0000E5110000}"/>
    <cellStyle name="Normal 6 54 2" xfId="10074" xr:uid="{00000000-0005-0000-0000-0000351F0000}"/>
    <cellStyle name="Normal 6 54 2 2" xfId="42563" xr:uid="{165AC559-968C-41BC-AB37-2BC439D2CA61}"/>
    <cellStyle name="Normal 6 54 3" xfId="7127" xr:uid="{00000000-0005-0000-0000-0000610E0000}"/>
    <cellStyle name="Normal 6 54 4" xfId="38587" xr:uid="{B1CDA811-025F-4AB5-B4B8-033B63BB1850}"/>
    <cellStyle name="Normal 6 55" xfId="4550" xr:uid="{00000000-0005-0000-0000-0000E6110000}"/>
    <cellStyle name="Normal 6 55 2" xfId="10075" xr:uid="{00000000-0005-0000-0000-0000361F0000}"/>
    <cellStyle name="Normal 6 55 2 2" xfId="42564" xr:uid="{AE31D8FA-2144-4075-AAC7-EAE77A946AA0}"/>
    <cellStyle name="Normal 6 55 3" xfId="7128" xr:uid="{00000000-0005-0000-0000-0000620E0000}"/>
    <cellStyle name="Normal 6 55 4" xfId="38588" xr:uid="{E0D3D38A-052A-4C4F-95EF-2AC8BB53F1DA}"/>
    <cellStyle name="Normal 6 56" xfId="4551" xr:uid="{00000000-0005-0000-0000-0000E7110000}"/>
    <cellStyle name="Normal 6 56 2" xfId="10076" xr:uid="{00000000-0005-0000-0000-0000371F0000}"/>
    <cellStyle name="Normal 6 56 2 2" xfId="42565" xr:uid="{36FB4181-B770-4EED-9F70-5F7F1682EED7}"/>
    <cellStyle name="Normal 6 56 3" xfId="7129" xr:uid="{00000000-0005-0000-0000-0000630E0000}"/>
    <cellStyle name="Normal 6 56 4" xfId="38589" xr:uid="{1A67E617-E6F4-49D7-B0CD-E7EA8BB9D0EB}"/>
    <cellStyle name="Normal 6 57" xfId="4552" xr:uid="{00000000-0005-0000-0000-0000E8110000}"/>
    <cellStyle name="Normal 6 57 2" xfId="10077" xr:uid="{00000000-0005-0000-0000-0000381F0000}"/>
    <cellStyle name="Normal 6 57 2 2" xfId="42566" xr:uid="{5779C9F8-BA1A-4F52-B3F6-73D4B409A49C}"/>
    <cellStyle name="Normal 6 57 3" xfId="7130" xr:uid="{00000000-0005-0000-0000-0000640E0000}"/>
    <cellStyle name="Normal 6 57 4" xfId="38590" xr:uid="{ED17E878-6841-41E3-A7F4-CDA79C68BC21}"/>
    <cellStyle name="Normal 6 58" xfId="4553" xr:uid="{00000000-0005-0000-0000-0000E9110000}"/>
    <cellStyle name="Normal 6 58 2" xfId="10078" xr:uid="{00000000-0005-0000-0000-0000391F0000}"/>
    <cellStyle name="Normal 6 58 2 2" xfId="42567" xr:uid="{E1E61BB2-5B33-4AB7-90A7-858D03F79077}"/>
    <cellStyle name="Normal 6 58 3" xfId="7131" xr:uid="{00000000-0005-0000-0000-0000650E0000}"/>
    <cellStyle name="Normal 6 58 4" xfId="38591" xr:uid="{B39470DD-2752-4D81-8769-F5342D901508}"/>
    <cellStyle name="Normal 6 59" xfId="4554" xr:uid="{00000000-0005-0000-0000-0000EA110000}"/>
    <cellStyle name="Normal 6 59 2" xfId="10079" xr:uid="{00000000-0005-0000-0000-00003A1F0000}"/>
    <cellStyle name="Normal 6 59 2 2" xfId="42568" xr:uid="{17E0C681-AEF8-4AC5-90A4-6B6500C0B15E}"/>
    <cellStyle name="Normal 6 59 3" xfId="7132" xr:uid="{00000000-0005-0000-0000-0000660E0000}"/>
    <cellStyle name="Normal 6 59 4" xfId="38592" xr:uid="{E3AA3C3E-05FF-402C-BBAD-69B2910D942F}"/>
    <cellStyle name="Normal 6 6" xfId="4555" xr:uid="{00000000-0005-0000-0000-0000EB110000}"/>
    <cellStyle name="Normal-- 6 6" xfId="8396" xr:uid="{00000000-0005-0000-0000-000052230000}"/>
    <cellStyle name="Normal 6 6 10" xfId="12500" xr:uid="{00000000-0005-0000-0000-000087240000}"/>
    <cellStyle name="Normal 6 6 10 2" xfId="44974" xr:uid="{4ED2981F-F357-4000-A094-9ADCB3E9F922}"/>
    <cellStyle name="Normal 6 6 11" xfId="8601" xr:uid="{00000000-0005-0000-0000-0000C3240000}"/>
    <cellStyle name="Normal 6 6 11 2" xfId="41328" xr:uid="{6422DE5E-AB4A-4B59-A631-88472ECCA271}"/>
    <cellStyle name="Normal 6 6 12" xfId="12526" xr:uid="{00000000-0005-0000-0000-000003250000}"/>
    <cellStyle name="Normal 6 6 12 2" xfId="44999" xr:uid="{CE3B2259-10B9-4E73-BCCE-CADC42B95538}"/>
    <cellStyle name="Normal 6 6 13" xfId="8640" xr:uid="{00000000-0005-0000-0000-000047250000}"/>
    <cellStyle name="Normal 6 6 13 2" xfId="41354" xr:uid="{B2A81388-2A04-4BFF-A64B-88FF23D70430}"/>
    <cellStyle name="Normal 6 6 14" xfId="12557" xr:uid="{00000000-0005-0000-0000-00008F250000}"/>
    <cellStyle name="Normal 6 6 14 2" xfId="45028" xr:uid="{90345988-5276-43CB-B19D-D8952929C6BE}"/>
    <cellStyle name="Normal 6 6 15" xfId="8686" xr:uid="{00000000-0005-0000-0000-0000DB250000}"/>
    <cellStyle name="Normal 6 6 15 2" xfId="41389" xr:uid="{6FABFE52-6AC3-4FAA-B1A5-A2B9BCE3CBB1}"/>
    <cellStyle name="Normal 6 6 16" xfId="12605" xr:uid="{00000000-0005-0000-0000-00002B260000}"/>
    <cellStyle name="Normal 6 6 16 2" xfId="45076" xr:uid="{836185AA-0892-4E04-8961-1778A42A671F}"/>
    <cellStyle name="Normal 6 6 17" xfId="8748" xr:uid="{00000000-0005-0000-0000-00007F260000}"/>
    <cellStyle name="Normal 6 6 17 2" xfId="41431" xr:uid="{AD7F34DF-D693-4E40-8A9D-98BCE7F06BC6}"/>
    <cellStyle name="Normal 6 6 18" xfId="12661" xr:uid="{00000000-0005-0000-0000-0000D7260000}"/>
    <cellStyle name="Normal 6 6 18 2" xfId="45132" xr:uid="{43C2463D-952F-49F1-B058-BC9F08387165}"/>
    <cellStyle name="Normal 6 6 19" xfId="8841" xr:uid="{00000000-0005-0000-0000-000033270000}"/>
    <cellStyle name="Normal 6 6 19 2" xfId="41500" xr:uid="{E8F2C11E-F5D0-42EA-9B9B-3A193206FC34}"/>
    <cellStyle name="Normal 6 6 2" xfId="4556" xr:uid="{00000000-0005-0000-0000-0000EC110000}"/>
    <cellStyle name="Normal-- 6 6 2" xfId="41167" xr:uid="{F192B5E7-183B-45A4-963C-0347385D3A38}"/>
    <cellStyle name="Normal 6 6 2 10" xfId="48089" xr:uid="{058D9901-7C05-4EF2-95ED-83FB406780DC}"/>
    <cellStyle name="Normal 6 6 2 11" xfId="48763" xr:uid="{1B3C962E-6009-40CE-800D-0199C4383CAA}"/>
    <cellStyle name="Normal 6 6 2 2" xfId="10081" xr:uid="{00000000-0005-0000-0000-00003C1F0000}"/>
    <cellStyle name="Normal 6 6 2 2 2" xfId="42570" xr:uid="{F71C06A7-AA8F-4703-8801-BA41CA49EA3B}"/>
    <cellStyle name="Normal 6 6 2 3" xfId="7134" xr:uid="{00000000-0005-0000-0000-0000680E0000}"/>
    <cellStyle name="Normal 6 6 2 4" xfId="38594" xr:uid="{CC3416C0-F6C3-449D-9E8B-81CE7A6C5970}"/>
    <cellStyle name="Normal 6 6 2 5" xfId="40417" xr:uid="{09BBFAE7-4E05-4FDC-A1DC-12C2E42C3FC9}"/>
    <cellStyle name="Normal 6 6 2 6" xfId="48009" xr:uid="{2C949ED8-2023-4EF1-8B3A-3A00889C4A23}"/>
    <cellStyle name="Normal 6 6 2 7" xfId="37819" xr:uid="{45F91F79-77CB-4497-913C-1161E25C41B3}"/>
    <cellStyle name="Normal 6 6 2 8" xfId="48184" xr:uid="{2EC3AC03-5816-4380-B7B4-9DA28D59E964}"/>
    <cellStyle name="Normal 6 6 2 9" xfId="47124" xr:uid="{2043AAC8-FFFB-4437-9A8E-7298460D6166}"/>
    <cellStyle name="Normal 6 6 20" xfId="12709" xr:uid="{00000000-0005-0000-0000-000093270000}"/>
    <cellStyle name="Normal 6 6 20 2" xfId="45180" xr:uid="{1ECB292E-89FB-45E1-ABAD-21DF3A75CEF2}"/>
    <cellStyle name="Normal 6 6 21" xfId="7133" xr:uid="{00000000-0005-0000-0000-0000670E0000}"/>
    <cellStyle name="Normal 6 6 22" xfId="13179" xr:uid="{00000000-0005-0000-0000-0000B8300000}"/>
    <cellStyle name="Normal 6 6 22 2" xfId="45643" xr:uid="{370EA6E8-3814-4FD6-9AF8-B589B44C5D6E}"/>
    <cellStyle name="Normal 6 6 23" xfId="11455" xr:uid="{00000000-0005-0000-0000-000024310000}"/>
    <cellStyle name="Normal 6 6 23 2" xfId="43943" xr:uid="{A275603D-3D3A-4910-AEE5-E9A9753CC1C6}"/>
    <cellStyle name="Normal 6 6 24" xfId="13205" xr:uid="{00000000-0005-0000-0000-000094310000}"/>
    <cellStyle name="Normal 6 6 24 2" xfId="45669" xr:uid="{F19AE329-ED91-44A4-B8F4-11BB45EF41EC}"/>
    <cellStyle name="Normal 6 6 25" xfId="11428" xr:uid="{00000000-0005-0000-0000-000008320000}"/>
    <cellStyle name="Normal 6 6 25 2" xfId="43916" xr:uid="{0EAEED41-7D4A-4956-9003-C9C945E9CA5D}"/>
    <cellStyle name="Normal 6 6 26" xfId="13250" xr:uid="{00000000-0005-0000-0000-000080320000}"/>
    <cellStyle name="Normal 6 6 26 2" xfId="45714" xr:uid="{26D89EE5-65DA-4097-986A-C0E0B95870E5}"/>
    <cellStyle name="Normal 6 6 27" xfId="11386" xr:uid="{00000000-0005-0000-0000-0000FC320000}"/>
    <cellStyle name="Normal 6 6 27 2" xfId="43875" xr:uid="{335A5FAC-1D1F-4EAA-9948-E8ACA8C123B5}"/>
    <cellStyle name="Normal 6 6 28" xfId="13323" xr:uid="{00000000-0005-0000-0000-00007C330000}"/>
    <cellStyle name="Normal 6 6 28 2" xfId="45787" xr:uid="{71407CED-EA59-4142-A181-DF9F938AAF60}"/>
    <cellStyle name="Normal 6 6 29" xfId="11310" xr:uid="{00000000-0005-0000-0000-000000340000}"/>
    <cellStyle name="Normal 6 6 29 2" xfId="43799" xr:uid="{B7ADEBA2-64AF-4117-B3C9-5C8945C0C1E8}"/>
    <cellStyle name="Normal 6 6 3" xfId="10080" xr:uid="{00000000-0005-0000-0000-00003B1F0000}"/>
    <cellStyle name="Normal-- 6 6 3" xfId="46830" xr:uid="{BE11CB70-28B8-4D9F-98AF-A58B02AFBAFB}"/>
    <cellStyle name="Normal 6 6 3 2" xfId="18171" xr:uid="{A6E84AAA-634C-4BEE-9475-5158AE7A8DD0}"/>
    <cellStyle name="Normal 6 6 3 3" xfId="42569" xr:uid="{304EB5EB-CB6B-4530-8175-F59DFA727795}"/>
    <cellStyle name="Normal 6 6 3 4" xfId="46376" xr:uid="{5EAA38D2-5D1E-4481-8307-1EAE6C574CB0}"/>
    <cellStyle name="Normal 6 6 3 5" xfId="47193" xr:uid="{E2F0B203-F6ED-4130-B5D2-54C7903606EC}"/>
    <cellStyle name="Normal 6 6 3 6" xfId="48228" xr:uid="{2E7AAE2F-B334-4053-B81B-B60A1717E7ED}"/>
    <cellStyle name="Normal 6 6 3 7" xfId="47264" xr:uid="{B645F47E-107B-4986-9A18-10A508EA5919}"/>
    <cellStyle name="Normal 6 6 3 8" xfId="47925" xr:uid="{D5D64569-8015-4510-91ED-A087B1C12E63}"/>
    <cellStyle name="Normal 6 6 3 9" xfId="47891" xr:uid="{0223CED7-9122-42FE-BA00-D056FA092EAF}"/>
    <cellStyle name="Normal 6 6 30" xfId="13413" xr:uid="{00000000-0005-0000-0000-000088340000}"/>
    <cellStyle name="Normal 6 6 30 2" xfId="45877" xr:uid="{E21D59E7-3479-44B4-BE1E-85B85A3E3146}"/>
    <cellStyle name="Normal 6 6 31" xfId="11217" xr:uid="{00000000-0005-0000-0000-000014350000}"/>
    <cellStyle name="Normal 6 6 31 2" xfId="43706" xr:uid="{C90476F5-F652-4E64-8DA5-DA2F891CBCF1}"/>
    <cellStyle name="Normal 6 6 32" xfId="15991" xr:uid="{928D046F-A23F-4139-AFD9-2095281854A5}"/>
    <cellStyle name="Normal 6 6 33" xfId="38593" xr:uid="{66728D4A-A80F-47B6-AA7B-987B6477DBD0}"/>
    <cellStyle name="Normal 6 6 34" xfId="15302" xr:uid="{696F2B93-FEA5-4306-9FE4-1D33801A6D4E}"/>
    <cellStyle name="Normal 6 6 35" xfId="48634" xr:uid="{A682EB13-D22C-4CA3-B1B1-7A98C2FE4AD4}"/>
    <cellStyle name="Normal 6 6 36" xfId="15140" xr:uid="{BBA29120-89F2-4C86-9F92-285A0CCBBE51}"/>
    <cellStyle name="Normal 6 6 37" xfId="40309" xr:uid="{A15457CC-2C6B-4DD5-B847-3A82F5E4AE11}"/>
    <cellStyle name="Normal 6 6 38" xfId="48730" xr:uid="{C1E5A6E9-132B-40F5-9C37-A4628C3D0197}"/>
    <cellStyle name="Normal 6 6 39" xfId="48729" xr:uid="{9E724C0D-D8FC-482E-82C6-A8F3F90FC4C1}"/>
    <cellStyle name="Normal 6 6 4" xfId="12435" xr:uid="{00000000-0005-0000-0000-000076230000}"/>
    <cellStyle name="Normal-- 6 6 4" xfId="48062" xr:uid="{8A7B4809-3069-4473-BCAF-6554B3B23307}"/>
    <cellStyle name="Normal 6 6 4 2" xfId="44909" xr:uid="{F50BAE2F-4755-4BFC-B737-30B39CF387A0}"/>
    <cellStyle name="Normal 6 6 4 3" xfId="47805" xr:uid="{C49E9AED-0A1A-4F66-9AAD-D89336F11EA3}"/>
    <cellStyle name="Normal 6 6 4 4" xfId="46552" xr:uid="{10740E13-74AD-4CF4-86F7-C7038A9CE6DF}"/>
    <cellStyle name="Normal 6 6 4 5" xfId="40827" xr:uid="{47EA361E-FB1B-40D9-ABF1-9B01AB5B5720}"/>
    <cellStyle name="Normal 6 6 4 6" xfId="49059" xr:uid="{07C775CD-6D64-4076-941E-6B906044D975}"/>
    <cellStyle name="Normal 6 6 4 7" xfId="49951" xr:uid="{C914CA40-FB4E-4793-BB91-235C89546879}"/>
    <cellStyle name="Normal 6 6 40" xfId="46301" xr:uid="{17D10795-09D4-4211-BFFF-3AD667EA2FC1}"/>
    <cellStyle name="Normal 6 6 5" xfId="8532" xr:uid="{00000000-0005-0000-0000-000099230000}"/>
    <cellStyle name="Normal-- 6 6 5" xfId="39862" xr:uid="{C78AF6DF-4B40-49EC-9079-E157792ACBE0}"/>
    <cellStyle name="Normal 6 6 5 2" xfId="41276" xr:uid="{1ED96384-ED48-4926-90CC-F1F1E7C81B9E}"/>
    <cellStyle name="Normal 6 6 5 3" xfId="48101" xr:uid="{6801B07E-EB16-42AC-9CD6-46C9A1F19334}"/>
    <cellStyle name="Normal 6 6 5 4" xfId="37882" xr:uid="{71267B24-10BA-46F7-91DE-9672680F7781}"/>
    <cellStyle name="Normal 6 6 5 5" xfId="46776" xr:uid="{CE47AB34-0EC4-4F7B-8320-AFDDD10539A7}"/>
    <cellStyle name="Normal 6 6 5 6" xfId="14243" xr:uid="{69281D41-3E3D-40E7-9F2C-F8B16B1388A0}"/>
    <cellStyle name="Normal 6 6 6" xfId="12453" xr:uid="{00000000-0005-0000-0000-0000C0230000}"/>
    <cellStyle name="Normal-- 6 6 6" xfId="48115" xr:uid="{1017A5CE-1E43-4FC8-AA35-250D1C5D98A3}"/>
    <cellStyle name="Normal 6 6 6 2" xfId="44927" xr:uid="{3ED263A1-C002-4FF5-ADDB-D31527EB1B5F}"/>
    <cellStyle name="Normal 6 6 6 3" xfId="48345" xr:uid="{9E8E0F9A-CE24-4A52-B41B-68C47E46706E}"/>
    <cellStyle name="Normal 6 6 6 4" xfId="41253" xr:uid="{23634835-CBF5-4D9D-96AB-FE98E3566252}"/>
    <cellStyle name="Normal 6 6 6 5" xfId="49953" xr:uid="{8C32E71F-FB4D-4A53-A3E5-BB18239A699C}"/>
    <cellStyle name="Normal 6 6 7" xfId="8551" xr:uid="{00000000-0005-0000-0000-0000EB230000}"/>
    <cellStyle name="Normal-- 6 6 7" xfId="39822" xr:uid="{D9F48A98-F4F7-4E78-BD7A-A62F53F72126}"/>
    <cellStyle name="Normal 6 6 7 2" xfId="41288" xr:uid="{C671EBA3-9BCF-4D4E-BB24-63601CFCE83D}"/>
    <cellStyle name="Normal 6 6 7 3" xfId="41641" xr:uid="{C1493758-EBAC-4CC1-B77B-54CFB23F8E71}"/>
    <cellStyle name="Normal 6 6 7 4" xfId="48681" xr:uid="{7C439AA0-2C32-407B-AD65-DA1E966EB728}"/>
    <cellStyle name="Normal 6 6 8" xfId="12474" xr:uid="{00000000-0005-0000-0000-00001B240000}"/>
    <cellStyle name="Normal-- 6 6 8" xfId="46288" xr:uid="{A6C97192-3E88-4C46-8CD4-A98F3ADDBBC4}"/>
    <cellStyle name="Normal 6 6 8 2" xfId="44948" xr:uid="{46C48F4B-EDAB-4658-8615-8352501E7503}"/>
    <cellStyle name="Normal 6 6 8 3" xfId="49961" xr:uid="{D0CD4E45-5877-45CC-B547-824DC8571125}"/>
    <cellStyle name="Normal 6 6 9" xfId="8572" xr:uid="{00000000-0005-0000-0000-00004F240000}"/>
    <cellStyle name="Normal-- 6 6 9" xfId="48993" xr:uid="{A3FA3347-8C88-4B2E-B0ED-023B7DEB72D6}"/>
    <cellStyle name="Normal 6 6 9 2" xfId="41306" xr:uid="{95980418-DABC-4825-8A48-E101D3D48A08}"/>
    <cellStyle name="Normal 6 60" xfId="4557" xr:uid="{00000000-0005-0000-0000-0000ED110000}"/>
    <cellStyle name="Normal 6 60 2" xfId="10082" xr:uid="{00000000-0005-0000-0000-00003D1F0000}"/>
    <cellStyle name="Normal 6 60 2 2" xfId="42571" xr:uid="{A1D1D5DE-7F0F-4592-A4F9-691396DBC74D}"/>
    <cellStyle name="Normal 6 60 3" xfId="7135" xr:uid="{00000000-0005-0000-0000-0000690E0000}"/>
    <cellStyle name="Normal 6 60 4" xfId="38595" xr:uid="{86C53D7A-1531-44E6-8CBE-A1FEE0317F45}"/>
    <cellStyle name="Normal 6 61" xfId="4558" xr:uid="{00000000-0005-0000-0000-0000EE110000}"/>
    <cellStyle name="Normal 6 61 2" xfId="10083" xr:uid="{00000000-0005-0000-0000-00003E1F0000}"/>
    <cellStyle name="Normal 6 61 2 2" xfId="42572" xr:uid="{B790832B-7DCD-4EF4-9E55-3A48007F0D2D}"/>
    <cellStyle name="Normal 6 61 3" xfId="7136" xr:uid="{00000000-0005-0000-0000-00006A0E0000}"/>
    <cellStyle name="Normal 6 61 4" xfId="38596" xr:uid="{804725D6-CE3C-4F7E-83E3-66EADC86B307}"/>
    <cellStyle name="Normal 6 62" xfId="4559" xr:uid="{00000000-0005-0000-0000-0000EF110000}"/>
    <cellStyle name="Normal 6 62 2" xfId="10084" xr:uid="{00000000-0005-0000-0000-00003F1F0000}"/>
    <cellStyle name="Normal 6 62 2 2" xfId="42573" xr:uid="{70D1EB1F-1E55-4357-8D22-CB287ACA7417}"/>
    <cellStyle name="Normal 6 62 3" xfId="7137" xr:uid="{00000000-0005-0000-0000-00006B0E0000}"/>
    <cellStyle name="Normal 6 62 4" xfId="38597" xr:uid="{1BF18E09-B4E2-45DD-ACA7-02DDF8226190}"/>
    <cellStyle name="Normal 6 63" xfId="4560" xr:uid="{00000000-0005-0000-0000-0000F0110000}"/>
    <cellStyle name="Normal 6 63 2" xfId="10085" xr:uid="{00000000-0005-0000-0000-0000401F0000}"/>
    <cellStyle name="Normal 6 63 2 2" xfId="42574" xr:uid="{C514B28C-7D42-4E0B-8F98-703001CB4F63}"/>
    <cellStyle name="Normal 6 63 3" xfId="7138" xr:uid="{00000000-0005-0000-0000-00006C0E0000}"/>
    <cellStyle name="Normal 6 63 4" xfId="38598" xr:uid="{6254A435-0A5E-4975-B64F-419F0FA61A11}"/>
    <cellStyle name="Normal 6 64" xfId="4561" xr:uid="{00000000-0005-0000-0000-0000F1110000}"/>
    <cellStyle name="Normal 6 64 2" xfId="10086" xr:uid="{00000000-0005-0000-0000-0000411F0000}"/>
    <cellStyle name="Normal 6 64 2 2" xfId="42575" xr:uid="{AC735F72-73D6-4375-9C9C-1041BD363E60}"/>
    <cellStyle name="Normal 6 64 3" xfId="7139" xr:uid="{00000000-0005-0000-0000-00006D0E0000}"/>
    <cellStyle name="Normal 6 64 4" xfId="38599" xr:uid="{31DBE0BD-1DD3-40A6-8C60-1545FDC9F7D4}"/>
    <cellStyle name="Normal 6 65" xfId="4562" xr:uid="{00000000-0005-0000-0000-0000F2110000}"/>
    <cellStyle name="Normal 6 65 2" xfId="10087" xr:uid="{00000000-0005-0000-0000-0000421F0000}"/>
    <cellStyle name="Normal 6 65 2 2" xfId="42576" xr:uid="{1C7B1549-14A1-45C9-ABB7-28B90A006CCB}"/>
    <cellStyle name="Normal 6 65 3" xfId="7140" xr:uid="{00000000-0005-0000-0000-00006E0E0000}"/>
    <cellStyle name="Normal 6 65 4" xfId="38600" xr:uid="{24381DEC-0395-4595-9067-27E9DDCBF5E4}"/>
    <cellStyle name="Normal 6 66" xfId="4563" xr:uid="{00000000-0005-0000-0000-0000F3110000}"/>
    <cellStyle name="Normal 6 66 2" xfId="10088" xr:uid="{00000000-0005-0000-0000-0000431F0000}"/>
    <cellStyle name="Normal 6 66 2 2" xfId="42577" xr:uid="{C65C7400-EDD1-495A-B6D7-86BAAA07D54F}"/>
    <cellStyle name="Normal 6 66 3" xfId="7142" xr:uid="{00000000-0005-0000-0000-00006F0E0000}"/>
    <cellStyle name="Normal 6 66 4" xfId="38601" xr:uid="{27E5EE21-19EF-4C5E-9C44-32DC67644B68}"/>
    <cellStyle name="Normal 6 67" xfId="4564" xr:uid="{00000000-0005-0000-0000-0000F4110000}"/>
    <cellStyle name="Normal 6 67 2" xfId="10089" xr:uid="{00000000-0005-0000-0000-0000441F0000}"/>
    <cellStyle name="Normal 6 67 2 2" xfId="42578" xr:uid="{EB882E57-65D9-485F-AD00-10032CF2E687}"/>
    <cellStyle name="Normal 6 67 3" xfId="7143" xr:uid="{00000000-0005-0000-0000-0000700E0000}"/>
    <cellStyle name="Normal 6 67 4" xfId="38602" xr:uid="{A39CC789-D65D-44CC-B2F4-49351289A2C3}"/>
    <cellStyle name="Normal 6 68" xfId="4565" xr:uid="{00000000-0005-0000-0000-0000F5110000}"/>
    <cellStyle name="Normal 6 68 2" xfId="10090" xr:uid="{00000000-0005-0000-0000-0000451F0000}"/>
    <cellStyle name="Normal 6 68 2 2" xfId="42579" xr:uid="{166C02BB-C798-4937-917E-401660583660}"/>
    <cellStyle name="Normal 6 68 3" xfId="7144" xr:uid="{00000000-0005-0000-0000-0000710E0000}"/>
    <cellStyle name="Normal 6 68 4" xfId="38603" xr:uid="{16A44F43-AF53-4CDD-A540-07E65266FF0A}"/>
    <cellStyle name="Normal 6 69" xfId="4566" xr:uid="{00000000-0005-0000-0000-0000F6110000}"/>
    <cellStyle name="Normal 6 69 2" xfId="10091" xr:uid="{00000000-0005-0000-0000-0000461F0000}"/>
    <cellStyle name="Normal 6 69 2 2" xfId="42580" xr:uid="{CB3EA256-3AC6-4CF0-BADC-DE06A15ED085}"/>
    <cellStyle name="Normal 6 69 3" xfId="7145" xr:uid="{00000000-0005-0000-0000-0000720E0000}"/>
    <cellStyle name="Normal 6 69 4" xfId="38604" xr:uid="{901FBE8F-D34F-463E-B6B3-61A1BB2F7A40}"/>
    <cellStyle name="Normal 6 7" xfId="4567" xr:uid="{00000000-0005-0000-0000-0000F7110000}"/>
    <cellStyle name="Normal-- 6 7" xfId="12324" xr:uid="{00000000-0005-0000-0000-000071230000}"/>
    <cellStyle name="Normal 6 7 10" xfId="8616" xr:uid="{00000000-0005-0000-0000-0000C4240000}"/>
    <cellStyle name="Normal 6 7 10 2" xfId="41338" xr:uid="{3A2C2016-5C0A-4BBE-AF92-1E9C176CC70D}"/>
    <cellStyle name="Normal 6 7 11" xfId="12533" xr:uid="{00000000-0005-0000-0000-000004250000}"/>
    <cellStyle name="Normal 6 7 11 2" xfId="45004" xr:uid="{6E05957D-1843-4BF2-9157-2B5EA3D85CBF}"/>
    <cellStyle name="Normal 6 7 12" xfId="8656" xr:uid="{00000000-0005-0000-0000-000048250000}"/>
    <cellStyle name="Normal 6 7 12 2" xfId="41365" xr:uid="{117E72B5-6C06-49E8-8918-C48752322B4D}"/>
    <cellStyle name="Normal 6 7 13" xfId="12573" xr:uid="{00000000-0005-0000-0000-000090250000}"/>
    <cellStyle name="Normal 6 7 13 2" xfId="45044" xr:uid="{307A11CA-9317-4F9C-83F7-6F01FFEB25AA}"/>
    <cellStyle name="Normal 6 7 14" xfId="8706" xr:uid="{00000000-0005-0000-0000-0000DC250000}"/>
    <cellStyle name="Normal 6 7 14 2" xfId="41402" xr:uid="{1686435B-2052-48CB-BD7D-1070254A2F94}"/>
    <cellStyle name="Normal 6 7 15" xfId="12626" xr:uid="{00000000-0005-0000-0000-00002C260000}"/>
    <cellStyle name="Normal 6 7 15 2" xfId="45097" xr:uid="{D77293DF-690E-4870-9A21-D386889A9EB1}"/>
    <cellStyle name="Normal 6 7 16" xfId="8777" xr:uid="{00000000-0005-0000-0000-000080260000}"/>
    <cellStyle name="Normal 6 7 16 2" xfId="41454" xr:uid="{518E2C80-451C-470E-A744-700D9CCCB9C1}"/>
    <cellStyle name="Normal 6 7 17" xfId="12670" xr:uid="{00000000-0005-0000-0000-0000D8260000}"/>
    <cellStyle name="Normal 6 7 17 2" xfId="45141" xr:uid="{8C2A1EA1-DE8B-46DC-97E0-11BA7CC0FFE7}"/>
    <cellStyle name="Normal 6 7 18" xfId="8860" xr:uid="{00000000-0005-0000-0000-000034270000}"/>
    <cellStyle name="Normal 6 7 18 2" xfId="41513" xr:uid="{327B40C3-47B3-4D95-9E97-D31001BE278F}"/>
    <cellStyle name="Normal 6 7 19" xfId="12734" xr:uid="{00000000-0005-0000-0000-000094270000}"/>
    <cellStyle name="Normal 6 7 19 2" xfId="45205" xr:uid="{4CBB1542-F410-45C6-A176-C7A00B92F7F4}"/>
    <cellStyle name="Normal 6 7 2" xfId="4568" xr:uid="{00000000-0005-0000-0000-0000F8110000}"/>
    <cellStyle name="Normal-- 6 7 2" xfId="44806" xr:uid="{1E4BE4B5-6ACD-4F0D-9D44-C26166791B14}"/>
    <cellStyle name="Normal 6 7 2 10" xfId="15164" xr:uid="{410E704D-2794-4E60-AFE2-078F1D1F2636}"/>
    <cellStyle name="Normal 6 7 2 11" xfId="46290" xr:uid="{589877D9-E204-4723-AEAB-5DBB8B5649AC}"/>
    <cellStyle name="Normal 6 7 2 2" xfId="10093" xr:uid="{00000000-0005-0000-0000-0000481F0000}"/>
    <cellStyle name="Normal 6 7 2 2 2" xfId="42582" xr:uid="{B5ECEA75-EEE5-4F3B-B522-ED575EFC6818}"/>
    <cellStyle name="Normal 6 7 2 3" xfId="7147" xr:uid="{00000000-0005-0000-0000-0000740E0000}"/>
    <cellStyle name="Normal 6 7 2 4" xfId="38606" xr:uid="{23AA96E4-3F04-4FFD-86B3-1BE6FBB7384F}"/>
    <cellStyle name="Normal 6 7 2 5" xfId="40415" xr:uid="{CB3F2AA7-B92E-46F2-82F5-EE8EEFC245D8}"/>
    <cellStyle name="Normal 6 7 2 6" xfId="46145" xr:uid="{E5D644C7-7A0C-4131-9719-B76BD4F8833E}"/>
    <cellStyle name="Normal 6 7 2 7" xfId="48177" xr:uid="{1E42B457-8CF3-4B9C-B082-037821740C30}"/>
    <cellStyle name="Normal 6 7 2 8" xfId="46808" xr:uid="{403E3C0D-EC64-4D06-BB14-ACC95114C00E}"/>
    <cellStyle name="Normal 6 7 2 9" xfId="13636" xr:uid="{45233F6A-AC1D-4750-AEC6-81BB0C2EE174}"/>
    <cellStyle name="Normal 6 7 20" xfId="7146" xr:uid="{00000000-0005-0000-0000-0000730E0000}"/>
    <cellStyle name="Normal 6 7 21" xfId="13183" xr:uid="{00000000-0005-0000-0000-0000B9300000}"/>
    <cellStyle name="Normal 6 7 21 2" xfId="45647" xr:uid="{C8330BA5-443C-40CE-8882-F166CE561053}"/>
    <cellStyle name="Normal 6 7 22" xfId="11449" xr:uid="{00000000-0005-0000-0000-000025310000}"/>
    <cellStyle name="Normal 6 7 22 2" xfId="43937" xr:uid="{E9C08CF9-1277-44B4-BDC4-59C4369A85A0}"/>
    <cellStyle name="Normal 6 7 23" xfId="13211" xr:uid="{00000000-0005-0000-0000-000095310000}"/>
    <cellStyle name="Normal 6 7 23 2" xfId="45675" xr:uid="{0C127381-F276-45D5-AEC4-E06FF4C65744}"/>
    <cellStyle name="Normal 6 7 24" xfId="11422" xr:uid="{00000000-0005-0000-0000-000009320000}"/>
    <cellStyle name="Normal 6 7 24 2" xfId="43910" xr:uid="{3E147B87-85DA-439E-BA68-2752C79E3E42}"/>
    <cellStyle name="Normal 6 7 25" xfId="13257" xr:uid="{00000000-0005-0000-0000-000081320000}"/>
    <cellStyle name="Normal 6 7 25 2" xfId="45721" xr:uid="{3AC639B0-33E7-4116-91F4-950E6BCB5C2B}"/>
    <cellStyle name="Normal 6 7 26" xfId="11375" xr:uid="{00000000-0005-0000-0000-0000FD320000}"/>
    <cellStyle name="Normal 6 7 26 2" xfId="43864" xr:uid="{4E73FCC8-19F9-4E4E-AA67-C7BFB33B9FCA}"/>
    <cellStyle name="Normal 6 7 27" xfId="13335" xr:uid="{00000000-0005-0000-0000-00007D330000}"/>
    <cellStyle name="Normal 6 7 27 2" xfId="45799" xr:uid="{57F66EC9-12E0-431B-A162-D82F2111E706}"/>
    <cellStyle name="Normal 6 7 28" xfId="11294" xr:uid="{00000000-0005-0000-0000-000001340000}"/>
    <cellStyle name="Normal 6 7 28 2" xfId="43783" xr:uid="{813A22FE-DF8A-47E0-9921-3B6F627D09B6}"/>
    <cellStyle name="Normal 6 7 29" xfId="13414" xr:uid="{00000000-0005-0000-0000-000089340000}"/>
    <cellStyle name="Normal 6 7 29 2" xfId="45878" xr:uid="{6145EC75-AB90-4FF6-B89E-D9EE306655A5}"/>
    <cellStyle name="Normal 6 7 3" xfId="10092" xr:uid="{00000000-0005-0000-0000-0000471F0000}"/>
    <cellStyle name="Normal-- 6 7 3" xfId="48286" xr:uid="{615FB9B9-67D3-4450-A3BC-55EA2A596231}"/>
    <cellStyle name="Normal 6 7 3 2" xfId="18172" xr:uid="{AF789163-3EB8-42BC-8CBF-D27EC6BD7ADF}"/>
    <cellStyle name="Normal 6 7 3 3" xfId="42581" xr:uid="{2C8BD36C-1E67-482B-B7F7-5F6702A219A9}"/>
    <cellStyle name="Normal 6 7 3 4" xfId="46375" xr:uid="{20960B52-21DD-462C-AE4B-B02EC0B6D6BB}"/>
    <cellStyle name="Normal 6 7 3 5" xfId="40629" xr:uid="{78BFE733-A947-4DE0-8EDE-D3DD406EBE47}"/>
    <cellStyle name="Normal 6 7 3 6" xfId="48424" xr:uid="{9860C365-704D-4ED2-8174-B1914ADBCC35}"/>
    <cellStyle name="Normal 6 7 3 7" xfId="49008" xr:uid="{0FADF880-C455-4B58-AE60-E1EE3F6E653B}"/>
    <cellStyle name="Normal 6 7 3 8" xfId="37935" xr:uid="{35707672-A624-4060-84FB-B1520C56AA88}"/>
    <cellStyle name="Normal 6 7 3 9" xfId="18310" xr:uid="{98E7BD49-7C5B-4C86-B058-83A8BE1BA920}"/>
    <cellStyle name="Normal 6 7 30" xfId="11216" xr:uid="{00000000-0005-0000-0000-000015350000}"/>
    <cellStyle name="Normal 6 7 30 2" xfId="43705" xr:uid="{3F596376-D87A-471C-9460-F0D2F5B0DC8C}"/>
    <cellStyle name="Normal 6 7 31" xfId="15997" xr:uid="{406E0849-4983-462C-B9F5-1BAA3F3A62A4}"/>
    <cellStyle name="Normal 6 7 32" xfId="38605" xr:uid="{9816354E-D2DE-4AFD-8FA0-F1D522D6706A}"/>
    <cellStyle name="Normal 6 7 33" xfId="40414" xr:uid="{C1FBBF52-D865-4B05-B601-5FD26FA1B767}"/>
    <cellStyle name="Normal 6 7 34" xfId="40448" xr:uid="{02D350B2-1A46-4319-A38D-75CB599992CC}"/>
    <cellStyle name="Normal 6 7 35" xfId="15634" xr:uid="{9ECED4E6-13EF-4C2E-8986-78E409DDA70E}"/>
    <cellStyle name="Normal 6 7 36" xfId="46399" xr:uid="{A9995CE8-E70D-4B1E-8F5D-9ED7604CDDA9}"/>
    <cellStyle name="Normal 6 7 37" xfId="48234" xr:uid="{B8970C8B-B101-4A7E-826F-45D0408F3FCD}"/>
    <cellStyle name="Normal 6 7 38" xfId="46952" xr:uid="{446F8CDD-0E6C-4AFF-9FC2-0532DE1812E6}"/>
    <cellStyle name="Normal 6 7 39" xfId="49840" xr:uid="{C23552CB-6479-400A-B657-928762591B8E}"/>
    <cellStyle name="Normal 6 7 4" xfId="8543" xr:uid="{00000000-0005-0000-0000-00009A230000}"/>
    <cellStyle name="Normal-- 6 7 4" xfId="40914" xr:uid="{C29375DC-5806-4094-9648-86860EB18885}"/>
    <cellStyle name="Normal 6 7 4 2" xfId="41285" xr:uid="{0B9D234B-80A6-48C7-9B2C-C995AD5D7C75}"/>
    <cellStyle name="Normal 6 7 4 3" xfId="14928" xr:uid="{80230CF8-A3BB-4FB9-AA77-DB045644F2EB}"/>
    <cellStyle name="Normal 6 7 4 4" xfId="48886" xr:uid="{B9790606-71F9-4151-BDB7-0357B0088410}"/>
    <cellStyle name="Normal 6 7 4 5" xfId="37954" xr:uid="{91B2F621-860F-408D-AEEB-061A2A28156F}"/>
    <cellStyle name="Normal 6 7 4 6" xfId="46176" xr:uid="{B39BA114-3B2A-4362-BCDC-D4B0E89C092E}"/>
    <cellStyle name="Normal 6 7 4 7" xfId="46308" xr:uid="{55685998-E216-4C3B-BD8E-B5E90775F1FA}"/>
    <cellStyle name="Normal 6 7 5" xfId="12465" xr:uid="{00000000-0005-0000-0000-0000C1230000}"/>
    <cellStyle name="Normal-- 6 7 5" xfId="40228" xr:uid="{C0DCE8E3-EC01-4BDC-B453-122613A2F4A4}"/>
    <cellStyle name="Normal 6 7 5 2" xfId="44939" xr:uid="{EC4BB666-D5A0-4BA6-B404-CBAB3AAEC68C}"/>
    <cellStyle name="Normal 6 7 5 3" xfId="48158" xr:uid="{CC14C6E4-6699-4217-A7E7-3D3C604F74EE}"/>
    <cellStyle name="Normal 6 7 5 4" xfId="40103" xr:uid="{FFD48ACF-D2B9-4D30-95B4-C8A81404E313}"/>
    <cellStyle name="Normal 6 7 5 5" xfId="40275" xr:uid="{E6AFD7AE-B599-4BB6-B3AF-B4AE65766252}"/>
    <cellStyle name="Normal 6 7 5 6" xfId="49959" xr:uid="{522A84CE-7657-4BB5-A9DA-3DF099ACE7D8}"/>
    <cellStyle name="Normal 6 7 6" xfId="8562" xr:uid="{00000000-0005-0000-0000-0000EC230000}"/>
    <cellStyle name="Normal-- 6 7 6" xfId="46556" xr:uid="{74006791-9E07-4E0F-856E-E2506651C4FD}"/>
    <cellStyle name="Normal 6 7 6 2" xfId="41298" xr:uid="{0AAAB651-A722-4EFD-86FB-98DAAA12E6D0}"/>
    <cellStyle name="Normal 6 7 6 3" xfId="16450" xr:uid="{643A191F-4FF4-4817-A17B-3F245F94E9E1}"/>
    <cellStyle name="Normal 6 7 6 4" xfId="48455" xr:uid="{AAF4C8FD-D417-46B1-B96F-FF3BD1B8D093}"/>
    <cellStyle name="Normal 6 7 6 5" xfId="40452" xr:uid="{F8D967E7-EA08-49F4-97CF-200063648945}"/>
    <cellStyle name="Normal 6 7 7" xfId="12487" xr:uid="{00000000-0005-0000-0000-00001C240000}"/>
    <cellStyle name="Normal-- 6 7 7" xfId="13627" xr:uid="{800BB4C7-C94A-48EB-AD41-22F0B75783F8}"/>
    <cellStyle name="Normal 6 7 7 2" xfId="44961" xr:uid="{F8E976B9-B1E5-4324-8C01-BF2490E85D24}"/>
    <cellStyle name="Normal 6 7 7 3" xfId="46459" xr:uid="{F3AECF82-BFE3-42F8-AFEE-545A3C6C6B34}"/>
    <cellStyle name="Normal 6 7 7 4" xfId="49963" xr:uid="{5777423F-E20B-48BC-AEDF-35D7FC085421}"/>
    <cellStyle name="Normal 6 7 8" xfId="8585" xr:uid="{00000000-0005-0000-0000-000050240000}"/>
    <cellStyle name="Normal-- 6 7 8" xfId="37761" xr:uid="{C8BE8AC0-B2D9-4BA1-BF23-7D031BFBC021}"/>
    <cellStyle name="Normal 6 7 8 2" xfId="41314" xr:uid="{648A3B0D-5EF7-4EC1-A4D5-5EBDEA5B73B5}"/>
    <cellStyle name="Normal 6 7 8 3" xfId="37667" xr:uid="{60F0C837-46B8-4D0B-81F2-1A7609BAAA1E}"/>
    <cellStyle name="Normal 6 7 9" xfId="12512" xr:uid="{00000000-0005-0000-0000-000088240000}"/>
    <cellStyle name="Normal-- 6 7 9" xfId="40295" xr:uid="{5A06DCD2-7D8B-45A1-8017-F8F1BEBB535A}"/>
    <cellStyle name="Normal 6 7 9 2" xfId="44986" xr:uid="{0A60CA69-6989-40E0-8C91-67596D4F8AE5}"/>
    <cellStyle name="Normal 6 70" xfId="4569" xr:uid="{00000000-0005-0000-0000-0000F9110000}"/>
    <cellStyle name="Normal 6 70 2" xfId="10094" xr:uid="{00000000-0005-0000-0000-0000491F0000}"/>
    <cellStyle name="Normal 6 70 2 2" xfId="42583" xr:uid="{7147669B-9927-4F27-AC40-7E062A0ADF67}"/>
    <cellStyle name="Normal 6 70 3" xfId="7148" xr:uid="{00000000-0005-0000-0000-0000750E0000}"/>
    <cellStyle name="Normal 6 70 4" xfId="38607" xr:uid="{E6845E05-3D78-4258-9ECB-CDCC3A0AECA5}"/>
    <cellStyle name="Normal 6 71" xfId="4570" xr:uid="{00000000-0005-0000-0000-0000FA110000}"/>
    <cellStyle name="Normal 6 71 2" xfId="10095" xr:uid="{00000000-0005-0000-0000-00004A1F0000}"/>
    <cellStyle name="Normal 6 71 2 2" xfId="42584" xr:uid="{1F236D8F-8C02-437B-9FAC-91498E1DD830}"/>
    <cellStyle name="Normal 6 71 3" xfId="7149" xr:uid="{00000000-0005-0000-0000-0000760E0000}"/>
    <cellStyle name="Normal 6 71 4" xfId="38608" xr:uid="{53EEB577-30D9-413C-AF82-1637E7BA2B3C}"/>
    <cellStyle name="Normal 6 72" xfId="4571" xr:uid="{00000000-0005-0000-0000-0000FB110000}"/>
    <cellStyle name="Normal 6 72 2" xfId="10096" xr:uid="{00000000-0005-0000-0000-00004B1F0000}"/>
    <cellStyle name="Normal 6 72 2 2" xfId="42585" xr:uid="{5F56CE59-CC00-4F06-B2EC-F6D4046113CE}"/>
    <cellStyle name="Normal 6 72 3" xfId="7150" xr:uid="{00000000-0005-0000-0000-0000770E0000}"/>
    <cellStyle name="Normal 6 72 4" xfId="38609" xr:uid="{45819D75-0279-41BC-8889-640A46D22389}"/>
    <cellStyle name="Normal 6 73" xfId="4572" xr:uid="{00000000-0005-0000-0000-0000FC110000}"/>
    <cellStyle name="Normal 6 73 2" xfId="10097" xr:uid="{00000000-0005-0000-0000-00004C1F0000}"/>
    <cellStyle name="Normal 6 73 2 2" xfId="42586" xr:uid="{C82D3878-75C0-471D-8DE2-00713161C208}"/>
    <cellStyle name="Normal 6 73 3" xfId="7151" xr:uid="{00000000-0005-0000-0000-0000780E0000}"/>
    <cellStyle name="Normal 6 73 4" xfId="38610" xr:uid="{0A08DB82-9549-41E1-9882-BEF6EE64CEFF}"/>
    <cellStyle name="Normal 6 74" xfId="4573" xr:uid="{00000000-0005-0000-0000-0000FD110000}"/>
    <cellStyle name="Normal 6 74 2" xfId="10098" xr:uid="{00000000-0005-0000-0000-00004D1F0000}"/>
    <cellStyle name="Normal 6 74 2 2" xfId="42587" xr:uid="{F8A940DE-D426-4459-99C7-A9BE73F30932}"/>
    <cellStyle name="Normal 6 74 3" xfId="7152" xr:uid="{00000000-0005-0000-0000-0000790E0000}"/>
    <cellStyle name="Normal 6 74 4" xfId="38611" xr:uid="{F768A2CD-4B19-49C3-95AE-51A06F1DE92C}"/>
    <cellStyle name="Normal 6 75" xfId="4574" xr:uid="{00000000-0005-0000-0000-0000FE110000}"/>
    <cellStyle name="Normal 6 75 2" xfId="10099" xr:uid="{00000000-0005-0000-0000-00004E1F0000}"/>
    <cellStyle name="Normal 6 75 2 2" xfId="42588" xr:uid="{2771769A-1766-4CFD-B80A-E5014AC6976C}"/>
    <cellStyle name="Normal 6 75 3" xfId="7153" xr:uid="{00000000-0005-0000-0000-00007A0E0000}"/>
    <cellStyle name="Normal 6 75 4" xfId="38612" xr:uid="{0BFC5F8B-BD2C-474D-BC82-423940CE6982}"/>
    <cellStyle name="Normal 6 76" xfId="4575" xr:uid="{00000000-0005-0000-0000-0000FF110000}"/>
    <cellStyle name="Normal 6 76 2" xfId="10100" xr:uid="{00000000-0005-0000-0000-00004F1F0000}"/>
    <cellStyle name="Normal 6 76 2 2" xfId="42589" xr:uid="{DF495081-9D7E-4F8E-8202-7E2A8B6257BB}"/>
    <cellStyle name="Normal 6 76 3" xfId="7154" xr:uid="{00000000-0005-0000-0000-00007B0E0000}"/>
    <cellStyle name="Normal 6 76 4" xfId="38613" xr:uid="{8E0A90CD-6C6B-45B6-B48C-BC77DE652AE2}"/>
    <cellStyle name="Normal 6 77" xfId="4576" xr:uid="{00000000-0005-0000-0000-000000120000}"/>
    <cellStyle name="Normal 6 77 2" xfId="10101" xr:uid="{00000000-0005-0000-0000-0000501F0000}"/>
    <cellStyle name="Normal 6 77 2 2" xfId="42590" xr:uid="{9B9E4199-16AE-4B38-A0DA-FAA6DE3653D1}"/>
    <cellStyle name="Normal 6 77 3" xfId="7155" xr:uid="{00000000-0005-0000-0000-00007C0E0000}"/>
    <cellStyle name="Normal 6 77 4" xfId="38614" xr:uid="{837CD953-66F1-4CF6-B3C3-283BA936EE03}"/>
    <cellStyle name="Normal 6 78" xfId="4577" xr:uid="{00000000-0005-0000-0000-000001120000}"/>
    <cellStyle name="Normal 6 78 2" xfId="10102" xr:uid="{00000000-0005-0000-0000-0000511F0000}"/>
    <cellStyle name="Normal 6 78 2 2" xfId="42591" xr:uid="{44BADE46-E8A0-42D7-801B-0361538BB2C6}"/>
    <cellStyle name="Normal 6 78 3" xfId="7591" xr:uid="{00000000-0005-0000-0000-00007D0E0000}"/>
    <cellStyle name="Normal 6 78 4" xfId="38615" xr:uid="{170E2256-BAF8-4A53-BA02-3FE925C0B1BC}"/>
    <cellStyle name="Normal 6 79" xfId="4578" xr:uid="{00000000-0005-0000-0000-000002120000}"/>
    <cellStyle name="Normal 6 79 2" xfId="10103" xr:uid="{00000000-0005-0000-0000-0000521F0000}"/>
    <cellStyle name="Normal 6 79 2 2" xfId="42592" xr:uid="{F1756DF9-E775-4D4F-8D8B-5B68D749FE07}"/>
    <cellStyle name="Normal 6 79 3" xfId="7598" xr:uid="{00000000-0005-0000-0000-00007E0E0000}"/>
    <cellStyle name="Normal 6 79 4" xfId="38616" xr:uid="{96321FAD-2649-408B-9604-BA0370D80F72}"/>
    <cellStyle name="Normal 6 8" xfId="4579" xr:uid="{00000000-0005-0000-0000-000003120000}"/>
    <cellStyle name="Normal-- 6 8" xfId="8408" xr:uid="{00000000-0005-0000-0000-000094230000}"/>
    <cellStyle name="Normal 6 8 10" xfId="12547" xr:uid="{00000000-0005-0000-0000-000005250000}"/>
    <cellStyle name="Normal 6 8 10 2" xfId="45018" xr:uid="{FE7631C7-B8F1-4DC9-AF55-1729CF2329FA}"/>
    <cellStyle name="Normal 6 8 11" xfId="8671" xr:uid="{00000000-0005-0000-0000-000049250000}"/>
    <cellStyle name="Normal 6 8 11 2" xfId="41378" xr:uid="{518F57E8-DFFA-4BF5-86FA-2BE3BA7BE79C}"/>
    <cellStyle name="Normal 6 8 12" xfId="12585" xr:uid="{00000000-0005-0000-0000-000091250000}"/>
    <cellStyle name="Normal 6 8 12 2" xfId="45056" xr:uid="{05FEE851-D386-4254-98A3-7BEACB76A977}"/>
    <cellStyle name="Normal 6 8 13" xfId="8733" xr:uid="{00000000-0005-0000-0000-0000DD250000}"/>
    <cellStyle name="Normal 6 8 13 2" xfId="41423" xr:uid="{521F4807-FFB9-4D96-A495-35A43A0A308B}"/>
    <cellStyle name="Normal 6 8 14" xfId="12634" xr:uid="{00000000-0005-0000-0000-00002D260000}"/>
    <cellStyle name="Normal 6 8 14 2" xfId="45105" xr:uid="{4000F1B1-8161-45A0-B59C-7AF54875B87A}"/>
    <cellStyle name="Normal 6 8 15" xfId="8795" xr:uid="{00000000-0005-0000-0000-000081260000}"/>
    <cellStyle name="Normal 6 8 15 2" xfId="41467" xr:uid="{E2579257-FAED-44AD-A0DF-AA947FC6EB7A}"/>
    <cellStyle name="Normal 6 8 16" xfId="12684" xr:uid="{00000000-0005-0000-0000-0000D9260000}"/>
    <cellStyle name="Normal 6 8 16 2" xfId="45155" xr:uid="{F40E52FB-82EC-45AD-BF92-861313F95DE3}"/>
    <cellStyle name="Normal 6 8 17" xfId="8901" xr:uid="{00000000-0005-0000-0000-000035270000}"/>
    <cellStyle name="Normal 6 8 17 2" xfId="41548" xr:uid="{C5E36A8E-EF51-4969-B772-547D4D074207}"/>
    <cellStyle name="Normal 6 8 18" xfId="12750" xr:uid="{00000000-0005-0000-0000-000095270000}"/>
    <cellStyle name="Normal 6 8 18 2" xfId="45221" xr:uid="{AB33C289-03CC-4926-AE98-43C03DBEEC37}"/>
    <cellStyle name="Normal 6 8 19" xfId="7599" xr:uid="{00000000-0005-0000-0000-00007F0E0000}"/>
    <cellStyle name="Normal 6 8 2" xfId="4580" xr:uid="{00000000-0005-0000-0000-000004120000}"/>
    <cellStyle name="Normal-- 6 8 2" xfId="41179" xr:uid="{2BFEE087-7A6A-4059-B6DE-DB3D2284BA53}"/>
    <cellStyle name="Normal 6 8 2 10" xfId="40829" xr:uid="{75012877-57D3-4E21-8102-9D1A9B368497}"/>
    <cellStyle name="Normal 6 8 2 11" xfId="47229" xr:uid="{6820AB97-C6EA-45DA-92DB-6F2B2976DAC9}"/>
    <cellStyle name="Normal 6 8 2 2" xfId="10105" xr:uid="{00000000-0005-0000-0000-0000541F0000}"/>
    <cellStyle name="Normal 6 8 2 2 2" xfId="42594" xr:uid="{8DDB216A-7270-4361-A1F8-916C4C75CA9D}"/>
    <cellStyle name="Normal 6 8 2 3" xfId="7602" xr:uid="{00000000-0005-0000-0000-0000800E0000}"/>
    <cellStyle name="Normal 6 8 2 4" xfId="38618" xr:uid="{30DB88A7-6940-4005-A5DE-CFDB9F955F38}"/>
    <cellStyle name="Normal 6 8 2 5" xfId="15313" xr:uid="{858CA07A-0861-4769-8B2D-320DFEE91F65}"/>
    <cellStyle name="Normal 6 8 2 6" xfId="40450" xr:uid="{78D22914-9703-4561-AC77-D7292A885DAD}"/>
    <cellStyle name="Normal 6 8 2 7" xfId="48178" xr:uid="{55A06F46-D697-4A20-9174-A2B9414409F6}"/>
    <cellStyle name="Normal 6 8 2 8" xfId="37708" xr:uid="{82E8220C-76B9-40FB-B20B-FF0DF454DD80}"/>
    <cellStyle name="Normal 6 8 2 9" xfId="48439" xr:uid="{4455F654-92B3-46E8-86D8-1E6E3D17B902}"/>
    <cellStyle name="Normal 6 8 20" xfId="13190" xr:uid="{00000000-0005-0000-0000-0000BA300000}"/>
    <cellStyle name="Normal 6 8 20 2" xfId="45654" xr:uid="{1EE16DEC-1129-43FD-B69F-103CD8C8E0F7}"/>
    <cellStyle name="Normal 6 8 21" xfId="11444" xr:uid="{00000000-0005-0000-0000-000026310000}"/>
    <cellStyle name="Normal 6 8 21 2" xfId="43932" xr:uid="{6C6CCFA6-1A3F-48D3-8E31-6D58F1AE1259}"/>
    <cellStyle name="Normal 6 8 22" xfId="13215" xr:uid="{00000000-0005-0000-0000-000096310000}"/>
    <cellStyle name="Normal 6 8 22 2" xfId="45679" xr:uid="{AE06C0B0-93A7-4159-9C5D-FB32D86BA4FC}"/>
    <cellStyle name="Normal 6 8 23" xfId="11418" xr:uid="{00000000-0005-0000-0000-00000A320000}"/>
    <cellStyle name="Normal 6 8 23 2" xfId="43906" xr:uid="{75D27786-13FF-4457-BDA0-7FEBD2AF741B}"/>
    <cellStyle name="Normal 6 8 24" xfId="13269" xr:uid="{00000000-0005-0000-0000-000082320000}"/>
    <cellStyle name="Normal 6 8 24 2" xfId="45733" xr:uid="{AF06AAC3-3F39-45F5-820C-33B8F778C312}"/>
    <cellStyle name="Normal 6 8 25" xfId="11369" xr:uid="{00000000-0005-0000-0000-0000FE320000}"/>
    <cellStyle name="Normal 6 8 25 2" xfId="43858" xr:uid="{6AFAB053-AA24-414A-99F8-815B1E804B99}"/>
    <cellStyle name="Normal 6 8 26" xfId="13346" xr:uid="{00000000-0005-0000-0000-00007E330000}"/>
    <cellStyle name="Normal 6 8 26 2" xfId="45810" xr:uid="{BAB68191-1CC3-4B52-A0AF-2373B4FE3539}"/>
    <cellStyle name="Normal 6 8 27" xfId="11288" xr:uid="{00000000-0005-0000-0000-000002340000}"/>
    <cellStyle name="Normal 6 8 27 2" xfId="43777" xr:uid="{D5C062FC-7DBF-44C7-9ED4-273B2AF059C1}"/>
    <cellStyle name="Normal 6 8 28" xfId="13415" xr:uid="{00000000-0005-0000-0000-00008A340000}"/>
    <cellStyle name="Normal 6 8 28 2" xfId="45879" xr:uid="{4151B113-12A6-49F8-AB57-E5B17A71214A}"/>
    <cellStyle name="Normal 6 8 29" xfId="11215" xr:uid="{00000000-0005-0000-0000-000016350000}"/>
    <cellStyle name="Normal 6 8 29 2" xfId="43704" xr:uid="{833FAFC7-21F4-41E0-9933-BB21506DD7C8}"/>
    <cellStyle name="Normal 6 8 3" xfId="10104" xr:uid="{00000000-0005-0000-0000-0000531F0000}"/>
    <cellStyle name="Normal-- 6 8 3" xfId="46837" xr:uid="{342D2EDE-FD44-4883-9D33-3C2D44AD41F7}"/>
    <cellStyle name="Normal 6 8 3 2" xfId="18173" xr:uid="{1B10D932-B1A8-40C9-A964-7FFCCD94095A}"/>
    <cellStyle name="Normal 6 8 3 3" xfId="42593" xr:uid="{DD7567F1-7424-4420-9158-D2B3A0236081}"/>
    <cellStyle name="Normal 6 8 3 4" xfId="46372" xr:uid="{BB8247AF-1CB7-4A79-BF3D-4F35312C139E}"/>
    <cellStyle name="Normal 6 8 3 5" xfId="40304" xr:uid="{6F517FF3-F15A-40D8-8AEC-F54588F882D6}"/>
    <cellStyle name="Normal 6 8 3 6" xfId="48381" xr:uid="{8052279A-711B-468F-9BFE-6EFC2D7D9766}"/>
    <cellStyle name="Normal 6 8 3 7" xfId="47051" xr:uid="{314B815F-1E8C-4A15-8C6A-2290E83BADE8}"/>
    <cellStyle name="Normal 6 8 3 8" xfId="49131" xr:uid="{E0898D20-F462-4F75-A2FE-8CE0FB182456}"/>
    <cellStyle name="Normal 6 8 3 9" xfId="48435" xr:uid="{69390A6D-E8D8-4F98-9FC1-9FCD6AF93D15}"/>
    <cellStyle name="Normal 6 8 30" xfId="16001" xr:uid="{36F7AF5E-6EE2-462F-AB7B-43CE742814B3}"/>
    <cellStyle name="Normal 6 8 31" xfId="38617" xr:uid="{0C6BDC8A-B812-4A6A-A16E-F0B1C8AC7D1B}"/>
    <cellStyle name="Normal 6 8 32" xfId="15312" xr:uid="{E6CA7C05-BA9F-4E9B-81B3-DA8E505B90E8}"/>
    <cellStyle name="Normal 6 8 33" xfId="15262" xr:uid="{59316603-115E-4D88-A2BD-46CD2530ABF0}"/>
    <cellStyle name="Normal 6 8 34" xfId="47253" xr:uid="{384A24F9-57AE-4DB2-967B-C0A11AA2E417}"/>
    <cellStyle name="Normal 6 8 35" xfId="47653" xr:uid="{966240C8-71ED-4EA6-8824-E64D316C89EE}"/>
    <cellStyle name="Normal 6 8 36" xfId="47855" xr:uid="{0C376740-B89E-445A-8E1E-2CAC3FCCDC67}"/>
    <cellStyle name="Normal 6 8 37" xfId="46181" xr:uid="{C4A5AE51-F36E-485B-A8D2-9C731E40B8CE}"/>
    <cellStyle name="Normal 6 8 38" xfId="13945" xr:uid="{28785B73-A322-4DE9-BCBD-A12175F54257}"/>
    <cellStyle name="Normal 6 8 4" xfId="12477" xr:uid="{00000000-0005-0000-0000-0000C2230000}"/>
    <cellStyle name="Normal-- 6 8 4" xfId="46664" xr:uid="{61F70D49-2200-4888-BF2C-F77EA45BF3AF}"/>
    <cellStyle name="Normal 6 8 4 2" xfId="44951" xr:uid="{C770F6C7-6013-413D-8E2F-379EBE19A008}"/>
    <cellStyle name="Normal 6 8 4 3" xfId="46763" xr:uid="{6919ED1F-630C-4C06-8FC0-265F4AA1C8E6}"/>
    <cellStyle name="Normal 6 8 4 4" xfId="46898" xr:uid="{FA911730-929A-4350-92E8-3015EDC04847}"/>
    <cellStyle name="Normal 6 8 4 5" xfId="40584" xr:uid="{CC2DD374-207F-403B-BF42-8C74B4D2F73A}"/>
    <cellStyle name="Normal 6 8 4 6" xfId="46648" xr:uid="{0773ADF4-F061-4C41-A572-CEA6FC906FF8}"/>
    <cellStyle name="Normal 6 8 4 7" xfId="49962" xr:uid="{178FC0C4-7B0C-4F8D-B551-8C2E5944E898}"/>
    <cellStyle name="Normal 6 8 5" xfId="8574" xr:uid="{00000000-0005-0000-0000-0000ED230000}"/>
    <cellStyle name="Normal-- 6 8 5" xfId="47001" xr:uid="{ACAF66F9-12BC-4662-95F2-E7C78E6CAC85}"/>
    <cellStyle name="Normal 6 8 5 2" xfId="41308" xr:uid="{2A2D81B1-1935-4C92-B97D-7D679CD8D606}"/>
    <cellStyle name="Normal 6 8 5 3" xfId="47030" xr:uid="{0880F161-9902-40EB-91C5-0D9CCB14765B}"/>
    <cellStyle name="Normal 6 8 5 4" xfId="40612" xr:uid="{25C11F0F-0E8D-4E25-A0A7-76671DB62CE0}"/>
    <cellStyle name="Normal 6 8 5 5" xfId="48290" xr:uid="{602A99FF-5A07-481E-9440-E9C15642CAA4}"/>
    <cellStyle name="Normal 6 8 5 6" xfId="48438" xr:uid="{9F815971-9769-41BC-9073-DCCAE7817FA1}"/>
    <cellStyle name="Normal 6 8 6" xfId="12499" xr:uid="{00000000-0005-0000-0000-00001D240000}"/>
    <cellStyle name="Normal-- 6 8 6" xfId="38005" xr:uid="{7029589A-E3A9-40F9-9D01-CA06B24D634E}"/>
    <cellStyle name="Normal 6 8 6 2" xfId="44973" xr:uid="{B51398FB-2473-4DF2-950F-4E2DBD709876}"/>
    <cellStyle name="Normal 6 8 6 3" xfId="17226" xr:uid="{A05077E8-C292-4D45-A35A-E721D388F4AC}"/>
    <cellStyle name="Normal 6 8 6 4" xfId="47797" xr:uid="{22C68DEE-E3F9-40AD-B3B2-32AC059A71C0}"/>
    <cellStyle name="Normal 6 8 6 5" xfId="49965" xr:uid="{2F4450AF-C79D-4098-9DFE-F395CF9E3C24}"/>
    <cellStyle name="Normal 6 8 7" xfId="8598" xr:uid="{00000000-0005-0000-0000-000051240000}"/>
    <cellStyle name="Normal-- 6 8 7" xfId="46114" xr:uid="{D2BB0BAA-4EE2-4275-950C-65F152A799F6}"/>
    <cellStyle name="Normal 6 8 7 2" xfId="41325" xr:uid="{A06C6966-39D0-40EA-83EC-69A1E35DA93E}"/>
    <cellStyle name="Normal 6 8 7 3" xfId="48923" xr:uid="{C6B9C9D8-2912-4E85-9639-6BFDB7081285}"/>
    <cellStyle name="Normal 6 8 7 4" xfId="47851" xr:uid="{1FA9037D-8173-4FA2-BF0A-73097DF4BC13}"/>
    <cellStyle name="Normal 6 8 8" xfId="12521" xr:uid="{00000000-0005-0000-0000-000089240000}"/>
    <cellStyle name="Normal-- 6 8 8" xfId="46233" xr:uid="{1933AA0D-C375-4AFC-BBBA-8E3C47B664BF}"/>
    <cellStyle name="Normal 6 8 8 2" xfId="44994" xr:uid="{64D029F3-9F93-477A-B574-CBFBD988D039}"/>
    <cellStyle name="Normal 6 8 8 3" xfId="49974" xr:uid="{406D5E6E-3966-4FC5-9706-961AC610782E}"/>
    <cellStyle name="Normal 6 8 9" xfId="8631" xr:uid="{00000000-0005-0000-0000-0000C5240000}"/>
    <cellStyle name="Normal-- 6 8 9" xfId="46121" xr:uid="{EFA9A94E-AF41-4D11-BCDD-49EDD261E875}"/>
    <cellStyle name="Normal 6 8 9 2" xfId="41348" xr:uid="{A434D88D-C59A-4904-A102-0D30A5AF3AE3}"/>
    <cellStyle name="Normal 6 80" xfId="4581" xr:uid="{00000000-0005-0000-0000-000005120000}"/>
    <cellStyle name="Normal 6 80 2" xfId="10106" xr:uid="{00000000-0005-0000-0000-0000551F0000}"/>
    <cellStyle name="Normal 6 80 2 2" xfId="42595" xr:uid="{EC4AF639-F8F3-4BFF-9F26-392C2E6689DE}"/>
    <cellStyle name="Normal 6 80 3" xfId="7603" xr:uid="{00000000-0005-0000-0000-0000810E0000}"/>
    <cellStyle name="Normal 6 80 4" xfId="38619" xr:uid="{B69D915F-4A01-44B6-992F-F12F79F93A00}"/>
    <cellStyle name="Normal 6 81" xfId="4582" xr:uid="{00000000-0005-0000-0000-000006120000}"/>
    <cellStyle name="Normal 6 81 2" xfId="10107" xr:uid="{00000000-0005-0000-0000-0000561F0000}"/>
    <cellStyle name="Normal 6 81 2 2" xfId="42596" xr:uid="{591E1BA1-E2D5-44D5-B184-DFE3BCC167CE}"/>
    <cellStyle name="Normal 6 81 3" xfId="7604" xr:uid="{00000000-0005-0000-0000-0000820E0000}"/>
    <cellStyle name="Normal 6 81 4" xfId="38620" xr:uid="{DB7BE016-7C7A-4E1E-B8DC-954047166B43}"/>
    <cellStyle name="Normal 6 82" xfId="4583" xr:uid="{00000000-0005-0000-0000-000007120000}"/>
    <cellStyle name="Normal 6 82 2" xfId="10108" xr:uid="{00000000-0005-0000-0000-0000571F0000}"/>
    <cellStyle name="Normal 6 82 2 2" xfId="42597" xr:uid="{72FF699F-078F-49EC-91B2-D2375AE62083}"/>
    <cellStyle name="Normal 6 82 3" xfId="7606" xr:uid="{00000000-0005-0000-0000-0000830E0000}"/>
    <cellStyle name="Normal 6 82 4" xfId="38621" xr:uid="{778618CF-E4C3-4F25-A01A-1A6E5BC1D784}"/>
    <cellStyle name="Normal 6 83" xfId="4584" xr:uid="{00000000-0005-0000-0000-000008120000}"/>
    <cellStyle name="Normal 6 83 2" xfId="10109" xr:uid="{00000000-0005-0000-0000-0000581F0000}"/>
    <cellStyle name="Normal 6 83 2 2" xfId="42598" xr:uid="{6AC4B8B3-A307-49F5-AF9A-AF595B48E27C}"/>
    <cellStyle name="Normal 6 83 3" xfId="7607" xr:uid="{00000000-0005-0000-0000-0000840E0000}"/>
    <cellStyle name="Normal 6 83 4" xfId="38622" xr:uid="{8BABEAFB-FFE6-4149-806A-88778194E19C}"/>
    <cellStyle name="Normal 6 84" xfId="4585" xr:uid="{00000000-0005-0000-0000-000009120000}"/>
    <cellStyle name="Normal 6 84 2" xfId="10110" xr:uid="{00000000-0005-0000-0000-0000591F0000}"/>
    <cellStyle name="Normal 6 84 2 2" xfId="42599" xr:uid="{18F23736-1566-49C8-914E-86CAB3FFB9F8}"/>
    <cellStyle name="Normal 6 84 3" xfId="7613" xr:uid="{00000000-0005-0000-0000-0000850E0000}"/>
    <cellStyle name="Normal 6 84 4" xfId="38623" xr:uid="{D2E5ADBA-BFB0-4188-989C-9820A26C1923}"/>
    <cellStyle name="Normal 6 85" xfId="4586" xr:uid="{00000000-0005-0000-0000-00000A120000}"/>
    <cellStyle name="Normal 6 85 2" xfId="10111" xr:uid="{00000000-0005-0000-0000-00005A1F0000}"/>
    <cellStyle name="Normal 6 85 2 2" xfId="42600" xr:uid="{407BCCC9-608D-4BE6-BFA5-3B3A1D113A5E}"/>
    <cellStyle name="Normal 6 85 3" xfId="7614" xr:uid="{00000000-0005-0000-0000-0000860E0000}"/>
    <cellStyle name="Normal 6 85 4" xfId="38624" xr:uid="{D5EB7818-5875-4B49-B26E-FC01B48510E1}"/>
    <cellStyle name="Normal 6 86" xfId="4587" xr:uid="{00000000-0005-0000-0000-00000B120000}"/>
    <cellStyle name="Normal 6 86 2" xfId="10112" xr:uid="{00000000-0005-0000-0000-00005B1F0000}"/>
    <cellStyle name="Normal 6 86 2 2" xfId="42601" xr:uid="{A92A6CB4-D917-4B75-9321-6C5DB3EDF0DF}"/>
    <cellStyle name="Normal 6 86 3" xfId="7616" xr:uid="{00000000-0005-0000-0000-0000870E0000}"/>
    <cellStyle name="Normal 6 86 4" xfId="38625" xr:uid="{ECFFAC94-8DDC-42A1-82C5-8981203CA498}"/>
    <cellStyle name="Normal 6 87" xfId="4588" xr:uid="{00000000-0005-0000-0000-00000C120000}"/>
    <cellStyle name="Normal 6 87 2" xfId="10113" xr:uid="{00000000-0005-0000-0000-00005C1F0000}"/>
    <cellStyle name="Normal 6 87 2 2" xfId="42602" xr:uid="{E69000BE-A987-4DFA-BF81-CCC31F97BBEB}"/>
    <cellStyle name="Normal 6 87 3" xfId="7632" xr:uid="{00000000-0005-0000-0000-0000880E0000}"/>
    <cellStyle name="Normal 6 87 4" xfId="38626" xr:uid="{A6EAB1BF-48A7-4A7C-849D-A33597D73D66}"/>
    <cellStyle name="Normal 6 88" xfId="4589" xr:uid="{00000000-0005-0000-0000-00000D120000}"/>
    <cellStyle name="Normal 6 88 2" xfId="10114" xr:uid="{00000000-0005-0000-0000-00005D1F0000}"/>
    <cellStyle name="Normal 6 88 2 2" xfId="42603" xr:uid="{EE769D4D-EE65-407C-8249-400F9657642A}"/>
    <cellStyle name="Normal 6 88 3" xfId="7648" xr:uid="{00000000-0005-0000-0000-0000890E0000}"/>
    <cellStyle name="Normal 6 88 4" xfId="38627" xr:uid="{A48E5EDF-9920-4D83-A5EA-67D286644DD5}"/>
    <cellStyle name="Normal 6 89" xfId="4590" xr:uid="{00000000-0005-0000-0000-00000E120000}"/>
    <cellStyle name="Normal 6 89 2" xfId="10115" xr:uid="{00000000-0005-0000-0000-00005E1F0000}"/>
    <cellStyle name="Normal 6 89 2 2" xfId="42604" xr:uid="{21C3DBD5-1826-416D-89A3-012041E70A5A}"/>
    <cellStyle name="Normal 6 89 3" xfId="7696" xr:uid="{00000000-0005-0000-0000-00008A0E0000}"/>
    <cellStyle name="Normal 6 89 4" xfId="38628" xr:uid="{816621A8-EA80-4A3B-8E46-B277BC7EACDC}"/>
    <cellStyle name="Normal 6 9" xfId="4591" xr:uid="{00000000-0005-0000-0000-00000F120000}"/>
    <cellStyle name="Normal-- 6 9" xfId="12337" xr:uid="{00000000-0005-0000-0000-0000BB230000}"/>
    <cellStyle name="Normal 6 9 10" xfId="8688" xr:uid="{00000000-0005-0000-0000-00004A250000}"/>
    <cellStyle name="Normal 6 9 10 2" xfId="41391" xr:uid="{8ED375B0-7A30-4B18-86F7-44A322CAA503}"/>
    <cellStyle name="Normal 6 9 11" xfId="12599" xr:uid="{00000000-0005-0000-0000-000092250000}"/>
    <cellStyle name="Normal 6 9 11 2" xfId="45070" xr:uid="{20E0FCED-91CE-4438-B3CA-644F6387C838}"/>
    <cellStyle name="Normal 6 9 12" xfId="8749" xr:uid="{00000000-0005-0000-0000-0000DE250000}"/>
    <cellStyle name="Normal 6 9 12 2" xfId="41432" xr:uid="{23BB8A8A-5359-4858-B1A6-E3BF5BAB2755}"/>
    <cellStyle name="Normal 6 9 13" xfId="12658" xr:uid="{00000000-0005-0000-0000-00002E260000}"/>
    <cellStyle name="Normal 6 9 13 2" xfId="45129" xr:uid="{DA74E0D0-4F44-4CEC-B037-761172FA818B}"/>
    <cellStyle name="Normal 6 9 14" xfId="8817" xr:uid="{00000000-0005-0000-0000-000082260000}"/>
    <cellStyle name="Normal 6 9 14 2" xfId="41481" xr:uid="{DDCEB121-462A-4370-86D1-9E21778488F8}"/>
    <cellStyle name="Normal 6 9 15" xfId="12707" xr:uid="{00000000-0005-0000-0000-0000DA260000}"/>
    <cellStyle name="Normal 6 9 15 2" xfId="45178" xr:uid="{AA61A51C-E950-46ED-A9A0-C65BEB1207F0}"/>
    <cellStyle name="Normal 6 9 16" xfId="8935" xr:uid="{00000000-0005-0000-0000-000036270000}"/>
    <cellStyle name="Normal 6 9 16 2" xfId="41579" xr:uid="{3193855F-8353-4890-91B2-FF6D9520B299}"/>
    <cellStyle name="Normal 6 9 17" xfId="12755" xr:uid="{00000000-0005-0000-0000-000096270000}"/>
    <cellStyle name="Normal 6 9 17 2" xfId="45226" xr:uid="{FC52E34E-857A-4F33-8966-E28C62EA6565}"/>
    <cellStyle name="Normal 6 9 18" xfId="7727" xr:uid="{00000000-0005-0000-0000-00008B0E0000}"/>
    <cellStyle name="Normal 6 9 19" xfId="13199" xr:uid="{00000000-0005-0000-0000-0000BB300000}"/>
    <cellStyle name="Normal 6 9 19 2" xfId="45663" xr:uid="{DF55CE95-1FEA-4A2A-B577-A089FB7C9D04}"/>
    <cellStyle name="Normal 6 9 2" xfId="4592" xr:uid="{00000000-0005-0000-0000-000010120000}"/>
    <cellStyle name="Normal-- 6 9 2" xfId="44818" xr:uid="{2371C18E-FE91-484D-8B17-B2DAE2590766}"/>
    <cellStyle name="Normal 6 9 2 10" xfId="15151" xr:uid="{1BDA3450-9DDA-4B6B-A2F1-5897F3D92291}"/>
    <cellStyle name="Normal 6 9 2 11" xfId="47130" xr:uid="{FB55B24E-45CC-4342-93E2-D83B5F79A2C9}"/>
    <cellStyle name="Normal 6 9 2 2" xfId="10117" xr:uid="{00000000-0005-0000-0000-0000601F0000}"/>
    <cellStyle name="Normal 6 9 2 2 2" xfId="42606" xr:uid="{E165EA6E-DAD5-4ABA-9CAD-5C564F9A9DC0}"/>
    <cellStyle name="Normal 6 9 2 3" xfId="7775" xr:uid="{00000000-0005-0000-0000-00008C0E0000}"/>
    <cellStyle name="Normal 6 9 2 4" xfId="38630" xr:uid="{1320B7B4-30E6-42BD-BB19-408CF7F06EA8}"/>
    <cellStyle name="Normal 6 9 2 5" xfId="40409" xr:uid="{BED4501A-1A55-4530-BD2D-79DAB133C146}"/>
    <cellStyle name="Normal 6 9 2 6" xfId="46143" xr:uid="{5E1374B3-1EDB-459C-AA02-636753A93CD2}"/>
    <cellStyle name="Normal 6 9 2 7" xfId="46411" xr:uid="{90B292BD-3CDD-4764-B30B-5C531D0F49A5}"/>
    <cellStyle name="Normal 6 9 2 8" xfId="15428" xr:uid="{8F2D68EA-F065-4439-9977-2D22AC9435CF}"/>
    <cellStyle name="Normal 6 9 2 9" xfId="16236" xr:uid="{05EB7A94-0C50-41FF-A5DD-018BF08B22CE}"/>
    <cellStyle name="Normal 6 9 20" xfId="11437" xr:uid="{00000000-0005-0000-0000-000027310000}"/>
    <cellStyle name="Normal 6 9 20 2" xfId="43925" xr:uid="{A928CDC3-B75B-4261-8E48-550510454208}"/>
    <cellStyle name="Normal 6 9 21" xfId="13222" xr:uid="{00000000-0005-0000-0000-000097310000}"/>
    <cellStyle name="Normal 6 9 21 2" xfId="45686" xr:uid="{261FD7E2-C0AD-4FBE-9E52-2C032E7BC2CB}"/>
    <cellStyle name="Normal 6 9 22" xfId="11414" xr:uid="{00000000-0005-0000-0000-00000B320000}"/>
    <cellStyle name="Normal 6 9 22 2" xfId="43902" xr:uid="{208B4E9D-EAC6-4222-A0AE-0A017D22D2DE}"/>
    <cellStyle name="Normal 6 9 23" xfId="13273" xr:uid="{00000000-0005-0000-0000-000083320000}"/>
    <cellStyle name="Normal 6 9 23 2" xfId="45737" xr:uid="{194D45AE-3D99-4D51-84FF-D5E3CCD74E42}"/>
    <cellStyle name="Normal 6 9 24" xfId="11365" xr:uid="{00000000-0005-0000-0000-0000FF320000}"/>
    <cellStyle name="Normal 6 9 24 2" xfId="43854" xr:uid="{6C6D94AF-BBEA-44DE-AE63-3B2121593DAB}"/>
    <cellStyle name="Normal 6 9 25" xfId="13352" xr:uid="{00000000-0005-0000-0000-00007F330000}"/>
    <cellStyle name="Normal 6 9 25 2" xfId="45816" xr:uid="{E3B05576-D8A5-4ECE-8F76-BBB8162A118F}"/>
    <cellStyle name="Normal 6 9 26" xfId="11281" xr:uid="{00000000-0005-0000-0000-000003340000}"/>
    <cellStyle name="Normal 6 9 26 2" xfId="43770" xr:uid="{429F397D-5D8F-4517-AD72-6BC3F832943B}"/>
    <cellStyle name="Normal 6 9 27" xfId="13416" xr:uid="{00000000-0005-0000-0000-00008B340000}"/>
    <cellStyle name="Normal 6 9 27 2" xfId="45880" xr:uid="{EBC2FE9F-34F9-4C61-97E4-2CE10410FAF9}"/>
    <cellStyle name="Normal 6 9 28" xfId="11203" xr:uid="{00000000-0005-0000-0000-000017350000}"/>
    <cellStyle name="Normal 6 9 28 2" xfId="43692" xr:uid="{6FCE691B-3E84-417E-9748-763C1F27E3ED}"/>
    <cellStyle name="Normal 6 9 29" xfId="16005" xr:uid="{1241C846-E5D2-419A-9528-C41B7D868A4E}"/>
    <cellStyle name="Normal 6 9 3" xfId="10116" xr:uid="{00000000-0005-0000-0000-00005F1F0000}"/>
    <cellStyle name="Normal-- 6 9 3" xfId="48289" xr:uid="{41C75B48-5EC8-41C8-B6DB-C79EDE7BFFB7}"/>
    <cellStyle name="Normal 6 9 3 2" xfId="18174" xr:uid="{B6159120-A3C5-4896-9111-7F0360CE488F}"/>
    <cellStyle name="Normal 6 9 3 3" xfId="42605" xr:uid="{2E3A74AB-EC56-4152-9752-860E93F120DC}"/>
    <cellStyle name="Normal 6 9 3 4" xfId="37850" xr:uid="{31F2C463-B3F1-4C2A-A66C-7D42DA76035B}"/>
    <cellStyle name="Normal 6 9 3 5" xfId="15435" xr:uid="{07F590E5-9657-4BF2-BD30-92C47B80452F}"/>
    <cellStyle name="Normal 6 9 3 6" xfId="46683" xr:uid="{F0D6CABF-6EBF-4757-99D9-CD0BD8B8F9AA}"/>
    <cellStyle name="Normal 6 9 3 7" xfId="46202" xr:uid="{CB3D6E3A-8818-4875-B5FE-286AE21D33A6}"/>
    <cellStyle name="Normal 6 9 3 8" xfId="48726" xr:uid="{104D2DA7-85E2-444D-8B9E-00A33D29EE2F}"/>
    <cellStyle name="Normal 6 9 3 9" xfId="15030" xr:uid="{9BACF245-4DDD-4797-A2DF-4A98277AE057}"/>
    <cellStyle name="Normal 6 9 30" xfId="38629" xr:uid="{7ACEB5E5-1A1E-4D87-AF9E-F72CF3B043AA}"/>
    <cellStyle name="Normal 6 9 31" xfId="15317" xr:uid="{89667150-AED9-4470-9BDE-D9BE8DE0318C}"/>
    <cellStyle name="Normal 6 9 32" xfId="40449" xr:uid="{406C47F5-A452-4A54-B307-4F0BE556251C}"/>
    <cellStyle name="Normal 6 9 33" xfId="15142" xr:uid="{F5EEED2E-43CD-43D9-B421-569CD49991A4}"/>
    <cellStyle name="Normal 6 9 34" xfId="41280" xr:uid="{53B46694-B0B6-49FE-9214-B6ED09FBC26B}"/>
    <cellStyle name="Normal 6 9 35" xfId="16570" xr:uid="{5EC37AC2-49FC-40F9-B58E-1D3790376289}"/>
    <cellStyle name="Normal 6 9 36" xfId="46688" xr:uid="{5317C9C6-CE48-497D-8F46-0A9B2F678140}"/>
    <cellStyle name="Normal 6 9 37" xfId="14127" xr:uid="{DB5DD6C4-85A0-4192-82F7-C9D287F103C2}"/>
    <cellStyle name="Normal 6 9 4" xfId="8586" xr:uid="{00000000-0005-0000-0000-0000EE230000}"/>
    <cellStyle name="Normal-- 6 9 4" xfId="40925" xr:uid="{794C770A-7A00-4849-80FD-692EC7EE82CB}"/>
    <cellStyle name="Normal 6 9 4 2" xfId="41315" xr:uid="{1A458EB0-ECA8-458A-96DF-14098D758771}"/>
    <cellStyle name="Normal 6 9 4 3" xfId="47601" xr:uid="{C2753A0D-A5D2-4ECC-9EF4-7103051588AA}"/>
    <cellStyle name="Normal 6 9 4 4" xfId="38004" xr:uid="{2B4BD8AD-351A-4F22-B9E1-F9AE6F48CBC0}"/>
    <cellStyle name="Normal 6 9 4 5" xfId="46601" xr:uid="{925D8EC7-76D4-4B6E-87C7-A3246D8C437E}"/>
    <cellStyle name="Normal 6 9 4 6" xfId="48039" xr:uid="{75494AFE-378F-4A1A-A2A2-F46D9F439895}"/>
    <cellStyle name="Normal 6 9 4 7" xfId="48075" xr:uid="{D653930E-2C6E-4F1C-8021-6128ACDFEF96}"/>
    <cellStyle name="Normal 6 9 5" xfId="12511" xr:uid="{00000000-0005-0000-0000-00001E240000}"/>
    <cellStyle name="Normal-- 6 9 5" xfId="16494" xr:uid="{1E8C6BBB-F275-4582-8CDD-3E700D8A3FF0}"/>
    <cellStyle name="Normal 6 9 5 2" xfId="44985" xr:uid="{B29859AD-F3CF-4077-900E-9336E1C8134F}"/>
    <cellStyle name="Normal 6 9 5 3" xfId="37972" xr:uid="{A81FF76B-28DE-4F23-865E-C094C44638F8}"/>
    <cellStyle name="Normal 6 9 5 4" xfId="40115" xr:uid="{3E29A421-EA1E-43FC-BF36-F1B289D5B48F}"/>
    <cellStyle name="Normal 6 9 5 5" xfId="46692" xr:uid="{3CFA2E45-C923-4258-AED5-C05BEEBAA515}"/>
    <cellStyle name="Normal 6 9 5 6" xfId="49969" xr:uid="{49E337D1-7DAC-4C8B-9CA4-CD077A3D16E9}"/>
    <cellStyle name="Normal 6 9 6" xfId="8610" xr:uid="{00000000-0005-0000-0000-000052240000}"/>
    <cellStyle name="Normal-- 6 9 6" xfId="46270" xr:uid="{5981D748-AB21-4325-8DC7-504922456E85}"/>
    <cellStyle name="Normal 6 9 6 2" xfId="41334" xr:uid="{C3604F46-AC92-4B22-810E-4ACBBC6B1F1F}"/>
    <cellStyle name="Normal 6 9 6 3" xfId="47594" xr:uid="{8BDD925C-9146-4644-AB60-91366D375688}"/>
    <cellStyle name="Normal 6 9 6 4" xfId="46185" xr:uid="{262466EA-EC22-4179-A981-6A15A432ACE3}"/>
    <cellStyle name="Normal 6 9 6 5" xfId="41821" xr:uid="{7955DDC0-BCA0-45B3-BDD7-8935B6002696}"/>
    <cellStyle name="Normal 6 9 7" xfId="12528" xr:uid="{00000000-0005-0000-0000-00008A240000}"/>
    <cellStyle name="Normal-- 6 9 7" xfId="48026" xr:uid="{32A1E992-3AD8-43F8-AC1A-6ED5E0FFEBDC}"/>
    <cellStyle name="Normal 6 9 7 2" xfId="45000" xr:uid="{FEB710E5-5CB7-449E-8A28-5950D1297B11}"/>
    <cellStyle name="Normal 6 9 7 3" xfId="46944" xr:uid="{D767F94C-F55D-4183-A243-0C6541CE3A42}"/>
    <cellStyle name="Normal 6 9 7 4" xfId="49977" xr:uid="{9722A96E-51F5-4BCC-BAB0-C8B065F561D7}"/>
    <cellStyle name="Normal 6 9 8" xfId="8645" xr:uid="{00000000-0005-0000-0000-0000C6240000}"/>
    <cellStyle name="Normal-- 6 9 8" xfId="49078" xr:uid="{13E1B2DD-BA82-4D7D-A57A-06EBEE4BC8ED}"/>
    <cellStyle name="Normal 6 9 8 2" xfId="41356" xr:uid="{BD52A28E-C988-468F-AF98-1E35DE7A3AB0}"/>
    <cellStyle name="Normal 6 9 8 3" xfId="40468" xr:uid="{341DCBA5-DFD9-41A1-8A57-D4EAAB6D41C8}"/>
    <cellStyle name="Normal 6 9 9" xfId="12561" xr:uid="{00000000-0005-0000-0000-000006250000}"/>
    <cellStyle name="Normal-- 6 9 9" xfId="47905" xr:uid="{8F59B2E9-C775-4D14-9D02-5C24060A7ED0}"/>
    <cellStyle name="Normal 6 9 9 2" xfId="45032" xr:uid="{499DB197-7DF6-40F2-834A-BC42DE097D8E}"/>
    <cellStyle name="Normal 6 90" xfId="4593" xr:uid="{00000000-0005-0000-0000-000011120000}"/>
    <cellStyle name="Normal 6 90 2" xfId="10118" xr:uid="{00000000-0005-0000-0000-0000611F0000}"/>
    <cellStyle name="Normal 6 90 2 2" xfId="42607" xr:uid="{48958F12-EECB-4B8C-A273-A69E88686769}"/>
    <cellStyle name="Normal 6 90 3" xfId="7776" xr:uid="{00000000-0005-0000-0000-00008D0E0000}"/>
    <cellStyle name="Normal 6 90 4" xfId="38631" xr:uid="{5D544820-BE9D-4B71-953D-515DE9F64EB0}"/>
    <cellStyle name="Normal 6 91" xfId="4594" xr:uid="{00000000-0005-0000-0000-000012120000}"/>
    <cellStyle name="Normal 6 91 2" xfId="10119" xr:uid="{00000000-0005-0000-0000-0000621F0000}"/>
    <cellStyle name="Normal 6 91 2 2" xfId="42608" xr:uid="{6F7A40A4-9F25-4560-969F-584B3F79D8F3}"/>
    <cellStyle name="Normal 6 91 3" xfId="7779" xr:uid="{00000000-0005-0000-0000-00008E0E0000}"/>
    <cellStyle name="Normal 6 91 4" xfId="38632" xr:uid="{E986F582-2E64-4562-81C9-77A9267864FB}"/>
    <cellStyle name="Normal 6 92" xfId="4595" xr:uid="{00000000-0005-0000-0000-000013120000}"/>
    <cellStyle name="Normal 6 92 2" xfId="10120" xr:uid="{00000000-0005-0000-0000-0000631F0000}"/>
    <cellStyle name="Normal 6 92 2 2" xfId="42609" xr:uid="{6DA13AD0-DB9A-4F22-A6F0-F62D363830C1}"/>
    <cellStyle name="Normal 6 92 3" xfId="7827" xr:uid="{00000000-0005-0000-0000-00008F0E0000}"/>
    <cellStyle name="Normal 6 92 4" xfId="38633" xr:uid="{0422EDE8-C87B-443B-BCD7-B40702A50C18}"/>
    <cellStyle name="Normal 6 93" xfId="4596" xr:uid="{00000000-0005-0000-0000-000014120000}"/>
    <cellStyle name="Normal 6 93 2" xfId="10121" xr:uid="{00000000-0005-0000-0000-0000641F0000}"/>
    <cellStyle name="Normal 6 93 2 2" xfId="42610" xr:uid="{B21B30F1-D682-4B50-A5BE-910BD254CFF2}"/>
    <cellStyle name="Normal 6 93 3" xfId="7828" xr:uid="{00000000-0005-0000-0000-0000900E0000}"/>
    <cellStyle name="Normal 6 93 4" xfId="38634" xr:uid="{48BD2010-D80B-4677-B6CC-727747841C60}"/>
    <cellStyle name="Normal 6 94" xfId="4597" xr:uid="{00000000-0005-0000-0000-000015120000}"/>
    <cellStyle name="Normal 6 94 2" xfId="10122" xr:uid="{00000000-0005-0000-0000-0000651F0000}"/>
    <cellStyle name="Normal 6 94 2 2" xfId="42611" xr:uid="{24F829FA-CD65-4356-B7C7-057B6E1220C1}"/>
    <cellStyle name="Normal 6 94 3" xfId="7879" xr:uid="{00000000-0005-0000-0000-0000910E0000}"/>
    <cellStyle name="Normal 6 94 4" xfId="38635" xr:uid="{1C198D8A-2DCF-4958-A048-906093C9A548}"/>
    <cellStyle name="Normal 6 95" xfId="4598" xr:uid="{00000000-0005-0000-0000-000016120000}"/>
    <cellStyle name="Normal 6 95 2" xfId="10123" xr:uid="{00000000-0005-0000-0000-0000661F0000}"/>
    <cellStyle name="Normal 6 95 2 2" xfId="42612" xr:uid="{CC57EC7B-AA90-43C9-8329-44C1A5D7E45F}"/>
    <cellStyle name="Normal 6 95 3" xfId="7880" xr:uid="{00000000-0005-0000-0000-0000920E0000}"/>
    <cellStyle name="Normal 6 95 4" xfId="38636" xr:uid="{D5ED3BA8-A25D-42A7-AECF-75B736F5A974}"/>
    <cellStyle name="Normal 6 96" xfId="4599" xr:uid="{00000000-0005-0000-0000-000017120000}"/>
    <cellStyle name="Normal 6 96 2" xfId="10124" xr:uid="{00000000-0005-0000-0000-0000671F0000}"/>
    <cellStyle name="Normal 6 96 2 2" xfId="42613" xr:uid="{9E02269F-ED9A-4093-925C-283E99E4E301}"/>
    <cellStyle name="Normal 6 96 3" xfId="7881" xr:uid="{00000000-0005-0000-0000-0000930E0000}"/>
    <cellStyle name="Normal 6 96 4" xfId="38637" xr:uid="{67CB44B7-458A-49FB-A1E3-4587FBBB93B2}"/>
    <cellStyle name="Normal 6 97" xfId="4600" xr:uid="{00000000-0005-0000-0000-000018120000}"/>
    <cellStyle name="Normal 6 97 2" xfId="10125" xr:uid="{00000000-0005-0000-0000-0000681F0000}"/>
    <cellStyle name="Normal 6 97 2 2" xfId="42614" xr:uid="{9F208506-7D04-4115-B482-7782514A721E}"/>
    <cellStyle name="Normal 6 97 3" xfId="7882" xr:uid="{00000000-0005-0000-0000-0000940E0000}"/>
    <cellStyle name="Normal 6 97 4" xfId="38638" xr:uid="{E385155B-2F2D-42B2-885C-4F2D9ACE901D}"/>
    <cellStyle name="Normal 6 98" xfId="4601" xr:uid="{00000000-0005-0000-0000-000019120000}"/>
    <cellStyle name="Normal 6 98 2" xfId="10126" xr:uid="{00000000-0005-0000-0000-0000691F0000}"/>
    <cellStyle name="Normal 6 98 2 2" xfId="42615" xr:uid="{3061B68E-51DA-41A3-8541-15B6E65DBF75}"/>
    <cellStyle name="Normal 6 98 3" xfId="7883" xr:uid="{00000000-0005-0000-0000-0000950E0000}"/>
    <cellStyle name="Normal 6 98 4" xfId="38639" xr:uid="{2620E987-E4F3-48BE-BD08-76AFFD5FAA60}"/>
    <cellStyle name="Normal 6 99" xfId="4602" xr:uid="{00000000-0005-0000-0000-00001A120000}"/>
    <cellStyle name="Normal 6 99 2" xfId="10127" xr:uid="{00000000-0005-0000-0000-00006A1F0000}"/>
    <cellStyle name="Normal 6 99 2 2" xfId="42616" xr:uid="{4475C911-0816-4C36-A131-589AB3BC1F7F}"/>
    <cellStyle name="Normal 6 99 3" xfId="7884" xr:uid="{00000000-0005-0000-0000-0000960E0000}"/>
    <cellStyle name="Normal 6 99 4" xfId="38640" xr:uid="{23DBB036-C345-475E-A085-FFBE9DDFD8C9}"/>
    <cellStyle name="Normal 60" xfId="4603" xr:uid="{00000000-0005-0000-0000-00001B120000}"/>
    <cellStyle name="Normal 60 10" xfId="17342" xr:uid="{A635C566-AD44-4BA5-8995-A9129A585A88}"/>
    <cellStyle name="Normal 60 11" xfId="38641" xr:uid="{8CB38D86-6046-4C0E-8AF6-325CB22A25DE}"/>
    <cellStyle name="Normal 60 2" xfId="4604" xr:uid="{00000000-0005-0000-0000-00001C120000}"/>
    <cellStyle name="Normal 60 2 2" xfId="10129" xr:uid="{00000000-0005-0000-0000-00006C1F0000}"/>
    <cellStyle name="Normal 60 2 2 2" xfId="42618" xr:uid="{7B81DE7F-8B36-409F-86EF-26170F1820DB}"/>
    <cellStyle name="Normal 60 2 3" xfId="7885" xr:uid="{00000000-0005-0000-0000-0000970E0000}"/>
    <cellStyle name="Normal 60 2 3 2" xfId="40763" xr:uid="{9799D081-658E-4B98-ABA1-E4F2F69AB2E0}"/>
    <cellStyle name="Normal 60 2 4" xfId="16007" xr:uid="{BCC1EE1E-CE36-4B20-8E82-262A7BD0211F}"/>
    <cellStyle name="Normal 60 2 5" xfId="38642" xr:uid="{6473EA2D-B5A4-4F27-80D5-F59476FF5C6E}"/>
    <cellStyle name="Normal 60 3" xfId="4605" xr:uid="{00000000-0005-0000-0000-00001D120000}"/>
    <cellStyle name="Normal 60 3 2" xfId="10130" xr:uid="{00000000-0005-0000-0000-00006D1F0000}"/>
    <cellStyle name="Normal 60 3 2 2" xfId="42619" xr:uid="{09BC01BF-A613-47BF-803D-E85DFD5C202A}"/>
    <cellStyle name="Normal 60 3 3" xfId="7886" xr:uid="{00000000-0005-0000-0000-0000980E0000}"/>
    <cellStyle name="Normal 60 3 3 2" xfId="40764" xr:uid="{F8F1892A-051D-4051-BB9A-7649721655DD}"/>
    <cellStyle name="Normal 60 3 4" xfId="16008" xr:uid="{DA835E60-5E62-46A8-820E-CE62AF988EBB}"/>
    <cellStyle name="Normal 60 3 5" xfId="38643" xr:uid="{E90E52D4-AECA-41CF-A038-9906FAF4DB01}"/>
    <cellStyle name="Normal 60 4" xfId="4606" xr:uid="{00000000-0005-0000-0000-00001E120000}"/>
    <cellStyle name="Normal 60 4 2" xfId="10131" xr:uid="{00000000-0005-0000-0000-00006E1F0000}"/>
    <cellStyle name="Normal 60 4 2 2" xfId="42620" xr:uid="{3B9DBA04-4262-4051-B31A-CD743DD269A4}"/>
    <cellStyle name="Normal 60 4 3" xfId="7887" xr:uid="{00000000-0005-0000-0000-0000990E0000}"/>
    <cellStyle name="Normal 60 4 3 2" xfId="40765" xr:uid="{38C5AE36-9E03-4295-9F6D-A02BF8D2FACA}"/>
    <cellStyle name="Normal 60 4 4" xfId="16009" xr:uid="{84B72E48-23C4-47BD-872E-D5A4FAE91532}"/>
    <cellStyle name="Normal 60 4 5" xfId="38644" xr:uid="{7FF7942B-DB1D-4B6C-876D-DB8B6B3E48F8}"/>
    <cellStyle name="Normal 60 5" xfId="4607" xr:uid="{00000000-0005-0000-0000-00001F120000}"/>
    <cellStyle name="Normal 60 5 2" xfId="10132" xr:uid="{00000000-0005-0000-0000-00006F1F0000}"/>
    <cellStyle name="Normal 60 5 2 2" xfId="42621" xr:uid="{5E18256D-9449-4EB2-94AE-D23E0CD143DD}"/>
    <cellStyle name="Normal 60 5 3" xfId="7888" xr:uid="{00000000-0005-0000-0000-00009A0E0000}"/>
    <cellStyle name="Normal 60 5 3 2" xfId="40766" xr:uid="{2BC8D358-64A3-4FD1-8D1D-001A627F6E85}"/>
    <cellStyle name="Normal 60 5 4" xfId="16010" xr:uid="{84FB2900-217E-4ECF-B96F-A5483F271556}"/>
    <cellStyle name="Normal 60 5 5" xfId="38645" xr:uid="{FFE4AA7C-987F-4E0F-8FE1-50599545BA84}"/>
    <cellStyle name="Normal 60 6" xfId="4608" xr:uid="{00000000-0005-0000-0000-000020120000}"/>
    <cellStyle name="Normal 60 6 2" xfId="10133" xr:uid="{00000000-0005-0000-0000-0000701F0000}"/>
    <cellStyle name="Normal 60 6 2 2" xfId="42622" xr:uid="{5F75CEF5-E874-4461-A399-247BC99902BC}"/>
    <cellStyle name="Normal 60 6 3" xfId="7889" xr:uid="{00000000-0005-0000-0000-00009B0E0000}"/>
    <cellStyle name="Normal 60 6 3 2" xfId="40767" xr:uid="{B19D4847-D149-44D1-B9A5-47FA114CB352}"/>
    <cellStyle name="Normal 60 6 4" xfId="16011" xr:uid="{AA4E420A-749B-48DE-A896-B7160897DBEB}"/>
    <cellStyle name="Normal 60 6 5" xfId="38646" xr:uid="{20AA2B40-2077-4A89-A286-6813620BD9B1}"/>
    <cellStyle name="Normal 60 7" xfId="4609" xr:uid="{00000000-0005-0000-0000-000021120000}"/>
    <cellStyle name="Normal 60 7 2" xfId="10134" xr:uid="{00000000-0005-0000-0000-0000711F0000}"/>
    <cellStyle name="Normal 60 7 2 2" xfId="42623" xr:uid="{C8AABF8F-8F44-4654-B836-315B8670034C}"/>
    <cellStyle name="Normal 60 7 3" xfId="7890" xr:uid="{00000000-0005-0000-0000-00009C0E0000}"/>
    <cellStyle name="Normal 60 7 3 2" xfId="40768" xr:uid="{3CDCFBF1-6BA0-46B9-B7E3-661CCB134261}"/>
    <cellStyle name="Normal 60 7 4" xfId="16012" xr:uid="{2D98D23D-32AC-46B4-9BD3-E2A33D03F5DE}"/>
    <cellStyle name="Normal 60 7 5" xfId="38647" xr:uid="{D383B50A-5C8F-45D3-86DE-92545D80E93C}"/>
    <cellStyle name="Normal 60 8" xfId="4610" xr:uid="{00000000-0005-0000-0000-000022120000}"/>
    <cellStyle name="Normal 60 8 2" xfId="10135" xr:uid="{00000000-0005-0000-0000-0000721F0000}"/>
    <cellStyle name="Normal 60 8 2 2" xfId="42624" xr:uid="{0BD53C59-7592-4667-B9B2-BF5F13FD1E67}"/>
    <cellStyle name="Normal 60 8 3" xfId="7891" xr:uid="{00000000-0005-0000-0000-00009D0E0000}"/>
    <cellStyle name="Normal 60 8 3 2" xfId="40769" xr:uid="{E753BDE8-4807-4C87-8FF8-660454B12D28}"/>
    <cellStyle name="Normal 60 8 4" xfId="16013" xr:uid="{996A0EF2-71DE-48F1-BC63-4D00E1691971}"/>
    <cellStyle name="Normal 60 8 5" xfId="38648" xr:uid="{7D737EC4-CBB0-4C3F-844A-4D9D3B7B505C}"/>
    <cellStyle name="Normal 60 9" xfId="10128" xr:uid="{00000000-0005-0000-0000-00006B1F0000}"/>
    <cellStyle name="Normal 60 9 2" xfId="42617" xr:uid="{7D909A82-4FFC-47F0-AC33-DA3097E81AD1}"/>
    <cellStyle name="Normal 61" xfId="4611" xr:uid="{00000000-0005-0000-0000-000023120000}"/>
    <cellStyle name="Normal 61 10" xfId="10136" xr:uid="{00000000-0005-0000-0000-0000731F0000}"/>
    <cellStyle name="Normal 61 10 2" xfId="42625" xr:uid="{49A9A12E-774F-46DF-AC99-6CEA270159AB}"/>
    <cellStyle name="Normal 61 11" xfId="18826" xr:uid="{650D9180-969A-4244-B647-789AF18FBE34}"/>
    <cellStyle name="Normal 61 12" xfId="38649" xr:uid="{AB21C006-ED17-4636-B2A9-455C2CCADE58}"/>
    <cellStyle name="Normal 61 2" xfId="4612" xr:uid="{00000000-0005-0000-0000-000024120000}"/>
    <cellStyle name="Normal 61 2 2" xfId="10137" xr:uid="{00000000-0005-0000-0000-0000741F0000}"/>
    <cellStyle name="Normal 61 2 2 2" xfId="42626" xr:uid="{DA0D227A-889C-4AB1-A4E7-AA8744B47EDB}"/>
    <cellStyle name="Normal 61 2 3" xfId="7892" xr:uid="{00000000-0005-0000-0000-00009E0E0000}"/>
    <cellStyle name="Normal 61 2 3 2" xfId="40770" xr:uid="{ED2DED9B-A17C-4C6B-A45F-6E9DB4D72B47}"/>
    <cellStyle name="Normal 61 2 4" xfId="16014" xr:uid="{9A8DF468-C9E8-4BF0-AF66-BA6DF188D87F}"/>
    <cellStyle name="Normal 61 2 5" xfId="38650" xr:uid="{9714E36B-C343-493C-B849-AD1FBED5F202}"/>
    <cellStyle name="Normal 61 3" xfId="4613" xr:uid="{00000000-0005-0000-0000-000025120000}"/>
    <cellStyle name="Normal 61 3 2" xfId="10138" xr:uid="{00000000-0005-0000-0000-0000751F0000}"/>
    <cellStyle name="Normal 61 3 2 2" xfId="42627" xr:uid="{0E9A2150-602A-460F-96AB-1B8AC61721C0}"/>
    <cellStyle name="Normal 61 3 3" xfId="7893" xr:uid="{00000000-0005-0000-0000-00009F0E0000}"/>
    <cellStyle name="Normal 61 3 3 2" xfId="40771" xr:uid="{DF73A72E-9E97-4D98-A214-B299A4749933}"/>
    <cellStyle name="Normal 61 3 4" xfId="16015" xr:uid="{BA5E0414-5A3B-41EA-8429-781AD664A855}"/>
    <cellStyle name="Normal 61 3 5" xfId="38651" xr:uid="{B3E72039-8023-4481-8495-80E4A627CE67}"/>
    <cellStyle name="Normal 61 4" xfId="4614" xr:uid="{00000000-0005-0000-0000-000026120000}"/>
    <cellStyle name="Normal 61 4 2" xfId="10139" xr:uid="{00000000-0005-0000-0000-0000761F0000}"/>
    <cellStyle name="Normal 61 4 2 2" xfId="42628" xr:uid="{740B5DAA-4DA1-485C-B50C-CC615C9BFD7F}"/>
    <cellStyle name="Normal 61 4 3" xfId="7894" xr:uid="{00000000-0005-0000-0000-0000A00E0000}"/>
    <cellStyle name="Normal 61 4 3 2" xfId="40772" xr:uid="{EDFD2AA6-D30B-40E3-A504-4B61CFED242E}"/>
    <cellStyle name="Normal 61 4 4" xfId="16016" xr:uid="{3E6AE54F-0254-4101-854D-3C82EE8EB85C}"/>
    <cellStyle name="Normal 61 4 5" xfId="38652" xr:uid="{60BEF051-06B1-4857-8029-3F5FFAB93879}"/>
    <cellStyle name="Normal 61 5" xfId="4615" xr:uid="{00000000-0005-0000-0000-000027120000}"/>
    <cellStyle name="Normal 61 5 2" xfId="10140" xr:uid="{00000000-0005-0000-0000-0000771F0000}"/>
    <cellStyle name="Normal 61 5 2 2" xfId="42629" xr:uid="{9522E8F9-3C0A-4074-850E-6A7FC6F7EBB1}"/>
    <cellStyle name="Normal 61 5 3" xfId="7895" xr:uid="{00000000-0005-0000-0000-0000A10E0000}"/>
    <cellStyle name="Normal 61 5 3 2" xfId="40773" xr:uid="{FD1A66B9-CC93-4317-A652-0EDC2E97FFEA}"/>
    <cellStyle name="Normal 61 5 4" xfId="16017" xr:uid="{9918B046-78F9-471A-A50D-6C789C6A7117}"/>
    <cellStyle name="Normal 61 5 5" xfId="38653" xr:uid="{B25AC74C-BD9D-497B-B0B5-F93764945746}"/>
    <cellStyle name="Normal 61 6" xfId="4616" xr:uid="{00000000-0005-0000-0000-000028120000}"/>
    <cellStyle name="Normal 61 6 2" xfId="10141" xr:uid="{00000000-0005-0000-0000-0000781F0000}"/>
    <cellStyle name="Normal 61 6 2 2" xfId="42630" xr:uid="{61D19C66-E15C-4692-B0FF-FEA0228D1C79}"/>
    <cellStyle name="Normal 61 6 3" xfId="7896" xr:uid="{00000000-0005-0000-0000-0000A20E0000}"/>
    <cellStyle name="Normal 61 6 3 2" xfId="40774" xr:uid="{3F1FE89B-AAB1-4FB7-885A-03646FB7B31F}"/>
    <cellStyle name="Normal 61 6 4" xfId="16018" xr:uid="{F38F08F2-142A-4D46-877E-E4CB3798F562}"/>
    <cellStyle name="Normal 61 6 5" xfId="38654" xr:uid="{955A2C16-A44A-4927-8C4C-6512C400F15C}"/>
    <cellStyle name="Normal 61 7" xfId="4617" xr:uid="{00000000-0005-0000-0000-000029120000}"/>
    <cellStyle name="Normal 61 7 2" xfId="10142" xr:uid="{00000000-0005-0000-0000-0000791F0000}"/>
    <cellStyle name="Normal 61 7 2 2" xfId="42631" xr:uid="{3995A1E4-80F8-469F-B066-96F7EB7AC9F3}"/>
    <cellStyle name="Normal 61 7 3" xfId="7897" xr:uid="{00000000-0005-0000-0000-0000A30E0000}"/>
    <cellStyle name="Normal 61 7 3 2" xfId="40775" xr:uid="{A0C8EE8A-B66B-4EB8-B15F-2E817C4CC052}"/>
    <cellStyle name="Normal 61 7 4" xfId="16019" xr:uid="{292DB94D-FE9B-4B84-821E-72423CB08CA4}"/>
    <cellStyle name="Normal 61 7 5" xfId="38655" xr:uid="{2E1F5485-CB75-4B01-A897-819054DB6850}"/>
    <cellStyle name="Normal 61 8" xfId="4618" xr:uid="{00000000-0005-0000-0000-00002A120000}"/>
    <cellStyle name="Normal 61 8 2" xfId="10143" xr:uid="{00000000-0005-0000-0000-00007A1F0000}"/>
    <cellStyle name="Normal 61 8 2 2" xfId="42632" xr:uid="{2813AA00-7534-46E7-A4EC-001FEF100797}"/>
    <cellStyle name="Normal 61 8 3" xfId="7898" xr:uid="{00000000-0005-0000-0000-0000A40E0000}"/>
    <cellStyle name="Normal 61 8 3 2" xfId="40776" xr:uid="{0CEEED8C-D843-416A-B6D5-A53748C55486}"/>
    <cellStyle name="Normal 61 8 4" xfId="16020" xr:uid="{B56B9F7F-BB50-4DA8-A114-49177303C345}"/>
    <cellStyle name="Normal 61 8 5" xfId="38656" xr:uid="{182BC5F2-85AD-4C42-95E4-B280005B3A94}"/>
    <cellStyle name="Normal 61 9" xfId="4619" xr:uid="{00000000-0005-0000-0000-00002B120000}"/>
    <cellStyle name="Normal 61 9 2" xfId="10144" xr:uid="{00000000-0005-0000-0000-00007B1F0000}"/>
    <cellStyle name="Normal 61 9 2 2" xfId="42633" xr:uid="{190216D7-B51F-4D21-BF53-47F8549591F8}"/>
    <cellStyle name="Normal 61 9 3" xfId="17334" xr:uid="{492A37B9-B5BF-4E3F-AE72-D5968A6A8A67}"/>
    <cellStyle name="Normal 61 9 4" xfId="38657" xr:uid="{1C2BAE84-17EB-49B2-8943-17ABBBCDB10D}"/>
    <cellStyle name="Normal 62" xfId="5561" xr:uid="{00000000-0005-0000-0000-00002C120000}"/>
    <cellStyle name="Normal 62 2" xfId="4620" xr:uid="{00000000-0005-0000-0000-00002D120000}"/>
    <cellStyle name="Normal 62 2 2" xfId="10145" xr:uid="{00000000-0005-0000-0000-00007C1F0000}"/>
    <cellStyle name="Normal 62 2 2 2" xfId="42634" xr:uid="{0D7A73E7-11F1-4762-8B34-21D57B7217BE}"/>
    <cellStyle name="Normal 62 2 3" xfId="7899" xr:uid="{00000000-0005-0000-0000-0000A50E0000}"/>
    <cellStyle name="Normal 62 2 3 2" xfId="40777" xr:uid="{BD2F9F73-8130-42BB-AC12-A2227F15F57C}"/>
    <cellStyle name="Normal 62 2 4" xfId="16021" xr:uid="{D8EFE575-7622-4CCE-BF15-B2F84F924DD7}"/>
    <cellStyle name="Normal 62 2 5" xfId="38658" xr:uid="{496FA606-30D6-4F0F-81D2-E87FA2C8C207}"/>
    <cellStyle name="Normal 62 3" xfId="4621" xr:uid="{00000000-0005-0000-0000-00002E120000}"/>
    <cellStyle name="Normal 62 3 2" xfId="10146" xr:uid="{00000000-0005-0000-0000-00007D1F0000}"/>
    <cellStyle name="Normal 62 3 2 2" xfId="42635" xr:uid="{C7D5285F-60E6-4C10-872D-7C8319CA7531}"/>
    <cellStyle name="Normal 62 3 3" xfId="7900" xr:uid="{00000000-0005-0000-0000-0000A60E0000}"/>
    <cellStyle name="Normal 62 3 3 2" xfId="40778" xr:uid="{6DC6D754-6D66-44EA-9794-A27FBD0FE503}"/>
    <cellStyle name="Normal 62 3 4" xfId="16022" xr:uid="{7D638174-D2CB-4956-B2B8-2AB98CE765AC}"/>
    <cellStyle name="Normal 62 3 5" xfId="38659" xr:uid="{44B237AE-96DE-4F2C-A047-2F1FD10615F4}"/>
    <cellStyle name="Normal 62 4" xfId="4622" xr:uid="{00000000-0005-0000-0000-00002F120000}"/>
    <cellStyle name="Normal 62 4 2" xfId="10147" xr:uid="{00000000-0005-0000-0000-00007E1F0000}"/>
    <cellStyle name="Normal 62 4 2 2" xfId="42636" xr:uid="{998D0D7B-50B4-4C39-B270-F44D5E997F94}"/>
    <cellStyle name="Normal 62 4 3" xfId="7901" xr:uid="{00000000-0005-0000-0000-0000A70E0000}"/>
    <cellStyle name="Normal 62 4 3 2" xfId="40779" xr:uid="{8E52A11B-E07A-458D-9365-9E07D0B2D8C8}"/>
    <cellStyle name="Normal 62 4 4" xfId="16023" xr:uid="{4E2669AF-A03D-4C76-85D5-4757CEA6D58F}"/>
    <cellStyle name="Normal 62 4 5" xfId="38660" xr:uid="{BB5462B8-56A2-4A89-A4E1-BC1A7481E391}"/>
    <cellStyle name="Normal 62 5" xfId="4623" xr:uid="{00000000-0005-0000-0000-000030120000}"/>
    <cellStyle name="Normal 62 5 2" xfId="10148" xr:uid="{00000000-0005-0000-0000-00007F1F0000}"/>
    <cellStyle name="Normal 62 5 2 2" xfId="42637" xr:uid="{26578A68-45EA-49E2-A229-2DBDFD439C86}"/>
    <cellStyle name="Normal 62 5 3" xfId="7902" xr:uid="{00000000-0005-0000-0000-0000A80E0000}"/>
    <cellStyle name="Normal 62 5 3 2" xfId="40780" xr:uid="{6D1A0B82-7CEE-4A58-8790-67A2E04E8A92}"/>
    <cellStyle name="Normal 62 5 4" xfId="16024" xr:uid="{E6994F32-D8EA-4B51-BFF5-799E097B2669}"/>
    <cellStyle name="Normal 62 5 5" xfId="38661" xr:uid="{643DEEE4-620E-4CAC-8718-0EC4391FC69E}"/>
    <cellStyle name="Normal 62 6" xfId="4624" xr:uid="{00000000-0005-0000-0000-000031120000}"/>
    <cellStyle name="Normal 62 6 2" xfId="10149" xr:uid="{00000000-0005-0000-0000-0000801F0000}"/>
    <cellStyle name="Normal 62 6 2 2" xfId="42638" xr:uid="{24F6B0CE-FEA7-4D52-AC0F-1D5F6F1F2101}"/>
    <cellStyle name="Normal 62 6 3" xfId="7903" xr:uid="{00000000-0005-0000-0000-0000A90E0000}"/>
    <cellStyle name="Normal 62 6 3 2" xfId="40781" xr:uid="{F9ADF426-E6F8-4C17-B333-8819F3430F40}"/>
    <cellStyle name="Normal 62 6 4" xfId="16025" xr:uid="{CA9B1970-5E1D-4E09-89A1-BA27859346F7}"/>
    <cellStyle name="Normal 62 6 5" xfId="38662" xr:uid="{31F13424-5571-4C27-A0A4-5FA832C46AFE}"/>
    <cellStyle name="Normal 62 7" xfId="4625" xr:uid="{00000000-0005-0000-0000-000032120000}"/>
    <cellStyle name="Normal 62 7 2" xfId="10150" xr:uid="{00000000-0005-0000-0000-0000811F0000}"/>
    <cellStyle name="Normal 62 7 2 2" xfId="42639" xr:uid="{FC66917B-44C8-4A70-A844-7B0D0473DDA0}"/>
    <cellStyle name="Normal 62 7 3" xfId="7906" xr:uid="{00000000-0005-0000-0000-0000AA0E0000}"/>
    <cellStyle name="Normal 62 7 3 2" xfId="40784" xr:uid="{04B82362-25CE-4799-ADED-6B5D84BA2226}"/>
    <cellStyle name="Normal 62 7 4" xfId="16026" xr:uid="{0D3C4AC5-A674-4552-B949-9A07F1118439}"/>
    <cellStyle name="Normal 62 7 5" xfId="38663" xr:uid="{854A93B8-5BB0-4401-B4B1-1918B9E46405}"/>
    <cellStyle name="Normal 62 8" xfId="4626" xr:uid="{00000000-0005-0000-0000-000033120000}"/>
    <cellStyle name="Normal 62 8 2" xfId="10151" xr:uid="{00000000-0005-0000-0000-0000821F0000}"/>
    <cellStyle name="Normal 62 8 2 2" xfId="42640" xr:uid="{EFAF9D56-AB3D-40DA-8807-92BE0546A0D2}"/>
    <cellStyle name="Normal 62 8 3" xfId="7907" xr:uid="{00000000-0005-0000-0000-0000AB0E0000}"/>
    <cellStyle name="Normal 62 8 3 2" xfId="40785" xr:uid="{41C32752-4C9A-4285-8C7D-08D672C39482}"/>
    <cellStyle name="Normal 62 8 4" xfId="16027" xr:uid="{8AF9E379-D6C9-48B7-854C-0B19863A76B5}"/>
    <cellStyle name="Normal 62 8 5" xfId="38664" xr:uid="{1B454803-419E-40C1-9B88-9E64E1FE5E41}"/>
    <cellStyle name="Normal 62 9" xfId="18725" xr:uid="{250C7902-3193-4199-A50B-83E395356A1E}"/>
    <cellStyle name="Normal 63" xfId="5569" xr:uid="{00000000-0005-0000-0000-000034120000}"/>
    <cellStyle name="Normal 63 10" xfId="17891" xr:uid="{F6AFDFC9-EAC7-4D5F-BB33-322827DD0CF6}"/>
    <cellStyle name="Normal 63 2" xfId="4627" xr:uid="{00000000-0005-0000-0000-000035120000}"/>
    <cellStyle name="Normal 63 2 2" xfId="10152" xr:uid="{00000000-0005-0000-0000-0000831F0000}"/>
    <cellStyle name="Normal 63 2 2 2" xfId="42641" xr:uid="{E6888F47-DCD1-4A93-BA9F-2A0351C88C0C}"/>
    <cellStyle name="Normal 63 2 3" xfId="7908" xr:uid="{00000000-0005-0000-0000-0000AC0E0000}"/>
    <cellStyle name="Normal 63 2 3 2" xfId="40786" xr:uid="{7D674F7A-0C7E-4633-8D21-1423C9A4B481}"/>
    <cellStyle name="Normal 63 2 4" xfId="16028" xr:uid="{0FE11065-47A4-4E8F-8DD3-62C5A2DB4A79}"/>
    <cellStyle name="Normal 63 2 5" xfId="38665" xr:uid="{2429FD16-69AE-4A20-B6FB-C05CB562B2BC}"/>
    <cellStyle name="Normal 63 3" xfId="4628" xr:uid="{00000000-0005-0000-0000-000036120000}"/>
    <cellStyle name="Normal 63 3 2" xfId="10153" xr:uid="{00000000-0005-0000-0000-0000841F0000}"/>
    <cellStyle name="Normal 63 3 2 2" xfId="42642" xr:uid="{0A5B7A30-1518-4855-A56D-937F0CAD387E}"/>
    <cellStyle name="Normal 63 3 3" xfId="7909" xr:uid="{00000000-0005-0000-0000-0000AD0E0000}"/>
    <cellStyle name="Normal 63 3 3 2" xfId="40787" xr:uid="{33CB364E-5768-46AF-AE6C-7A09DA1BDE90}"/>
    <cellStyle name="Normal 63 3 4" xfId="16029" xr:uid="{1FB1328A-3D11-469A-8FA8-9BF105B023A0}"/>
    <cellStyle name="Normal 63 3 5" xfId="38666" xr:uid="{66B330AF-8275-4078-8D13-4FD33A12A524}"/>
    <cellStyle name="Normal 63 4" xfId="4629" xr:uid="{00000000-0005-0000-0000-000037120000}"/>
    <cellStyle name="Normal 63 4 2" xfId="10154" xr:uid="{00000000-0005-0000-0000-0000851F0000}"/>
    <cellStyle name="Normal 63 4 2 2" xfId="42643" xr:uid="{7DC37670-7871-45F1-8E4A-01849237463E}"/>
    <cellStyle name="Normal 63 4 3" xfId="7910" xr:uid="{00000000-0005-0000-0000-0000AE0E0000}"/>
    <cellStyle name="Normal 63 4 3 2" xfId="40788" xr:uid="{6062C85A-5C3E-4F3E-8C09-21425A65BA86}"/>
    <cellStyle name="Normal 63 4 4" xfId="16030" xr:uid="{0DE2E3D6-8FBC-43D9-9097-67718FAB4BC4}"/>
    <cellStyle name="Normal 63 4 5" xfId="38667" xr:uid="{F345BBDF-E7E5-4C26-BF2D-1E30333367A1}"/>
    <cellStyle name="Normal 63 5" xfId="4630" xr:uid="{00000000-0005-0000-0000-000038120000}"/>
    <cellStyle name="Normal 63 5 2" xfId="10155" xr:uid="{00000000-0005-0000-0000-0000861F0000}"/>
    <cellStyle name="Normal 63 5 2 2" xfId="42644" xr:uid="{515FDC4F-4938-4ACC-939D-2717621905D5}"/>
    <cellStyle name="Normal 63 5 3" xfId="7911" xr:uid="{00000000-0005-0000-0000-0000AF0E0000}"/>
    <cellStyle name="Normal 63 5 3 2" xfId="40789" xr:uid="{1405F36E-3FB2-4A48-876C-AB0DFC0656C3}"/>
    <cellStyle name="Normal 63 5 4" xfId="16031" xr:uid="{6083D025-A89A-4022-B762-2D21B5E8D27A}"/>
    <cellStyle name="Normal 63 5 5" xfId="38668" xr:uid="{3E140970-DA04-4390-86EF-8ECBCE46384D}"/>
    <cellStyle name="Normal 63 6" xfId="4631" xr:uid="{00000000-0005-0000-0000-000039120000}"/>
    <cellStyle name="Normal 63 6 2" xfId="10156" xr:uid="{00000000-0005-0000-0000-0000871F0000}"/>
    <cellStyle name="Normal 63 6 2 2" xfId="42645" xr:uid="{BD5D681A-CE83-4622-BB09-75378C8DF17F}"/>
    <cellStyle name="Normal 63 6 3" xfId="7912" xr:uid="{00000000-0005-0000-0000-0000B00E0000}"/>
    <cellStyle name="Normal 63 6 3 2" xfId="40790" xr:uid="{F0A1A1E3-F44B-4C85-ADD8-E2BCAC908BA5}"/>
    <cellStyle name="Normal 63 6 4" xfId="16032" xr:uid="{4B4EC4C1-0134-42A7-8F0D-112BAB889897}"/>
    <cellStyle name="Normal 63 6 5" xfId="38669" xr:uid="{C805A266-7915-4EDA-BF71-B53849D3E97E}"/>
    <cellStyle name="Normal 63 7" xfId="4632" xr:uid="{00000000-0005-0000-0000-00003A120000}"/>
    <cellStyle name="Normal 63 7 2" xfId="10157" xr:uid="{00000000-0005-0000-0000-0000881F0000}"/>
    <cellStyle name="Normal 63 7 2 2" xfId="42646" xr:uid="{2963B597-5130-407E-A82A-9349CA4B65A7}"/>
    <cellStyle name="Normal 63 7 3" xfId="7913" xr:uid="{00000000-0005-0000-0000-0000B10E0000}"/>
    <cellStyle name="Normal 63 7 3 2" xfId="40791" xr:uid="{69BAC2AA-94EA-4E4A-A2D7-1F3ED5F7EC27}"/>
    <cellStyle name="Normal 63 7 4" xfId="16033" xr:uid="{178997D9-7A95-4A08-B7DE-7E21F511FA5A}"/>
    <cellStyle name="Normal 63 7 5" xfId="38670" xr:uid="{0AEC37C2-148A-4FE7-8F23-C5F17355217B}"/>
    <cellStyle name="Normal 63 8" xfId="4633" xr:uid="{00000000-0005-0000-0000-00003B120000}"/>
    <cellStyle name="Normal 63 8 2" xfId="10158" xr:uid="{00000000-0005-0000-0000-0000891F0000}"/>
    <cellStyle name="Normal 63 8 2 2" xfId="42647" xr:uid="{5FAC91B0-F055-4F12-A3E9-45C82FF7BCB3}"/>
    <cellStyle name="Normal 63 8 3" xfId="7917" xr:uid="{00000000-0005-0000-0000-0000B20E0000}"/>
    <cellStyle name="Normal 63 8 3 2" xfId="40793" xr:uid="{88066278-F52B-4429-A846-221A6F2B5900}"/>
    <cellStyle name="Normal 63 8 4" xfId="16034" xr:uid="{ACCAD767-A416-429C-9C1F-B0A98EC14282}"/>
    <cellStyle name="Normal 63 8 5" xfId="38671" xr:uid="{F7A8EA90-F824-48DC-B30F-49A10DC7BD07}"/>
    <cellStyle name="Normal 63 9" xfId="26352" xr:uid="{A481B697-849C-4FFB-9FEA-50B880757AC4}"/>
    <cellStyle name="Normal 64" xfId="5570" xr:uid="{00000000-0005-0000-0000-00003C120000}"/>
    <cellStyle name="Normal 64 2" xfId="4634" xr:uid="{00000000-0005-0000-0000-00003D120000}"/>
    <cellStyle name="Normal 64 2 2" xfId="10159" xr:uid="{00000000-0005-0000-0000-00008A1F0000}"/>
    <cellStyle name="Normal 64 2 2 2" xfId="42648" xr:uid="{8B22758C-1B7E-4C0B-AC82-83A5AF0CE768}"/>
    <cellStyle name="Normal 64 2 3" xfId="7919" xr:uid="{00000000-0005-0000-0000-0000B30E0000}"/>
    <cellStyle name="Normal 64 2 3 2" xfId="40794" xr:uid="{5229CE4B-4D35-49C2-A94F-A92F0ECEFF96}"/>
    <cellStyle name="Normal 64 2 4" xfId="16035" xr:uid="{39088DDB-12ED-464F-B9AD-6215D3B51CA4}"/>
    <cellStyle name="Normal 64 2 5" xfId="38672" xr:uid="{B11649D4-5CF2-45A1-835B-84F26146B370}"/>
    <cellStyle name="Normal 64 3" xfId="4635" xr:uid="{00000000-0005-0000-0000-00003E120000}"/>
    <cellStyle name="Normal 64 3 2" xfId="10160" xr:uid="{00000000-0005-0000-0000-00008B1F0000}"/>
    <cellStyle name="Normal 64 3 2 2" xfId="42649" xr:uid="{87A3F879-C263-43A8-895E-2EF7C4708B84}"/>
    <cellStyle name="Normal 64 3 3" xfId="7920" xr:uid="{00000000-0005-0000-0000-0000B40E0000}"/>
    <cellStyle name="Normal 64 3 3 2" xfId="40795" xr:uid="{289BEBBA-D489-4747-9007-B39F7C41F251}"/>
    <cellStyle name="Normal 64 3 4" xfId="16036" xr:uid="{FB83FFF0-1755-45E6-805C-F2CEADEAF498}"/>
    <cellStyle name="Normal 64 3 5" xfId="38673" xr:uid="{1BCE439E-EB0C-439C-B997-BAE34DCE501D}"/>
    <cellStyle name="Normal 64 4" xfId="4636" xr:uid="{00000000-0005-0000-0000-00003F120000}"/>
    <cellStyle name="Normal 64 4 2" xfId="10161" xr:uid="{00000000-0005-0000-0000-00008C1F0000}"/>
    <cellStyle name="Normal 64 4 2 2" xfId="42650" xr:uid="{72E8BF6E-DC16-4373-BEB4-E84A68E51618}"/>
    <cellStyle name="Normal 64 4 3" xfId="7921" xr:uid="{00000000-0005-0000-0000-0000B50E0000}"/>
    <cellStyle name="Normal 64 4 3 2" xfId="40796" xr:uid="{A5B308F4-73C0-4B01-ACA0-A21E10107EF0}"/>
    <cellStyle name="Normal 64 4 4" xfId="16037" xr:uid="{EF2F93E3-F47C-4480-9DE3-2E57BAAF56B0}"/>
    <cellStyle name="Normal 64 4 5" xfId="38674" xr:uid="{04EC24F9-4F3B-4AE0-AA68-3A270CD5DAD9}"/>
    <cellStyle name="Normal 64 5" xfId="4637" xr:uid="{00000000-0005-0000-0000-000040120000}"/>
    <cellStyle name="Normal 64 5 2" xfId="10162" xr:uid="{00000000-0005-0000-0000-00008D1F0000}"/>
    <cellStyle name="Normal 64 5 2 2" xfId="42651" xr:uid="{81D0E506-362E-4152-A121-BAACD76E7E4A}"/>
    <cellStyle name="Normal 64 5 3" xfId="7922" xr:uid="{00000000-0005-0000-0000-0000B60E0000}"/>
    <cellStyle name="Normal 64 5 3 2" xfId="40797" xr:uid="{D227F488-6F14-4720-85E3-2B5DC3A4DDCF}"/>
    <cellStyle name="Normal 64 5 4" xfId="16038" xr:uid="{50DB542F-458C-4873-AA24-67776CD335B7}"/>
    <cellStyle name="Normal 64 5 5" xfId="38675" xr:uid="{87BC68A8-5F79-4B70-9123-323A4CF67A36}"/>
    <cellStyle name="Normal 64 6" xfId="4638" xr:uid="{00000000-0005-0000-0000-000041120000}"/>
    <cellStyle name="Normal 64 6 2" xfId="10163" xr:uid="{00000000-0005-0000-0000-00008E1F0000}"/>
    <cellStyle name="Normal 64 6 2 2" xfId="42652" xr:uid="{A10E9BE9-169C-4A8C-81F6-F395FAA4A7B8}"/>
    <cellStyle name="Normal 64 6 3" xfId="7923" xr:uid="{00000000-0005-0000-0000-0000B70E0000}"/>
    <cellStyle name="Normal 64 6 3 2" xfId="40798" xr:uid="{8F09F41E-359F-4033-9E69-9071C92F5D79}"/>
    <cellStyle name="Normal 64 6 4" xfId="16039" xr:uid="{C68AD9C6-E079-4E09-8E30-2884D4A124D8}"/>
    <cellStyle name="Normal 64 6 5" xfId="38676" xr:uid="{8DC5CF45-15BF-40C2-8B5D-94E2593948B9}"/>
    <cellStyle name="Normal 64 7" xfId="4639" xr:uid="{00000000-0005-0000-0000-000042120000}"/>
    <cellStyle name="Normal 64 7 2" xfId="10164" xr:uid="{00000000-0005-0000-0000-00008F1F0000}"/>
    <cellStyle name="Normal 64 7 2 2" xfId="42653" xr:uid="{2E2B5B6B-AC46-4B3F-8EAB-6A3C00307854}"/>
    <cellStyle name="Normal 64 7 3" xfId="7924" xr:uid="{00000000-0005-0000-0000-0000B80E0000}"/>
    <cellStyle name="Normal 64 7 3 2" xfId="40799" xr:uid="{1ED44FFB-A9EF-4EE9-B785-CF3DA4DA0A92}"/>
    <cellStyle name="Normal 64 7 4" xfId="16040" xr:uid="{6E357C81-9824-49B4-B0B6-018A0D5E5E1A}"/>
    <cellStyle name="Normal 64 7 5" xfId="38677" xr:uid="{6BF7A37D-E1E4-4D37-B669-37B40AD0D95B}"/>
    <cellStyle name="Normal 64 8" xfId="4640" xr:uid="{00000000-0005-0000-0000-000043120000}"/>
    <cellStyle name="Normal 64 8 2" xfId="10165" xr:uid="{00000000-0005-0000-0000-0000901F0000}"/>
    <cellStyle name="Normal 64 8 2 2" xfId="42654" xr:uid="{93286426-009D-48F1-8AFD-F173ECEDFE0D}"/>
    <cellStyle name="Normal 64 8 3" xfId="7925" xr:uid="{00000000-0005-0000-0000-0000B90E0000}"/>
    <cellStyle name="Normal 64 8 3 2" xfId="40800" xr:uid="{E990BE66-9CED-4BEC-9453-F6A63820237D}"/>
    <cellStyle name="Normal 64 8 4" xfId="16041" xr:uid="{7F1F42B2-A7E2-4EC4-B2AD-4947438DB3B9}"/>
    <cellStyle name="Normal 64 8 5" xfId="38678" xr:uid="{76352835-0E18-421D-82AE-E8F267E28F01}"/>
    <cellStyle name="Normal 64 9" xfId="18830" xr:uid="{BB2E76BD-D852-4435-BD30-18DCFEF8B492}"/>
    <cellStyle name="Normal 65" xfId="4641" xr:uid="{00000000-0005-0000-0000-000044120000}"/>
    <cellStyle name="Normal 65 10" xfId="7926" xr:uid="{00000000-0005-0000-0000-0000BA0E0000}"/>
    <cellStyle name="Normal 65 11" xfId="38679" xr:uid="{50EA621B-3128-48C9-AB53-FE788E1E92E3}"/>
    <cellStyle name="Normal 65 2" xfId="4642" xr:uid="{00000000-0005-0000-0000-000045120000}"/>
    <cellStyle name="Normal 65 2 2" xfId="10167" xr:uid="{00000000-0005-0000-0000-0000921F0000}"/>
    <cellStyle name="Normal 65 2 2 2" xfId="42656" xr:uid="{709C461F-8255-4212-867F-598D3BEAE752}"/>
    <cellStyle name="Normal 65 2 3" xfId="7927" xr:uid="{00000000-0005-0000-0000-0000BB0E0000}"/>
    <cellStyle name="Normal 65 2 4" xfId="38680" xr:uid="{61A0CE95-9340-47DE-A5D0-AFC1E7546AD3}"/>
    <cellStyle name="Normal 65 3" xfId="4643" xr:uid="{00000000-0005-0000-0000-000046120000}"/>
    <cellStyle name="Normal 65 3 2" xfId="10168" xr:uid="{00000000-0005-0000-0000-0000931F0000}"/>
    <cellStyle name="Normal 65 3 2 2" xfId="42657" xr:uid="{3EED6289-06B3-4182-BC31-FB3BC2109CBF}"/>
    <cellStyle name="Normal 65 3 3" xfId="7928" xr:uid="{00000000-0005-0000-0000-0000BC0E0000}"/>
    <cellStyle name="Normal 65 3 4" xfId="38681" xr:uid="{77699D5E-0401-4251-95EC-AE41A5BE70D5}"/>
    <cellStyle name="Normal 65 4" xfId="4644" xr:uid="{00000000-0005-0000-0000-000047120000}"/>
    <cellStyle name="Normal 65 4 2" xfId="10169" xr:uid="{00000000-0005-0000-0000-0000941F0000}"/>
    <cellStyle name="Normal 65 4 2 2" xfId="42658" xr:uid="{813C885D-3953-40B3-89D4-005DCC5E13CC}"/>
    <cellStyle name="Normal 65 4 3" xfId="7929" xr:uid="{00000000-0005-0000-0000-0000BD0E0000}"/>
    <cellStyle name="Normal 65 4 4" xfId="38682" xr:uid="{7F3DEA94-E5C2-4120-B8FA-5BA07922119C}"/>
    <cellStyle name="Normal 65 5" xfId="4645" xr:uid="{00000000-0005-0000-0000-000048120000}"/>
    <cellStyle name="Normal 65 5 2" xfId="10170" xr:uid="{00000000-0005-0000-0000-0000951F0000}"/>
    <cellStyle name="Normal 65 5 2 2" xfId="42659" xr:uid="{0E03FAFE-D84A-4919-BADE-14FC506CA701}"/>
    <cellStyle name="Normal 65 5 3" xfId="7930" xr:uid="{00000000-0005-0000-0000-0000BE0E0000}"/>
    <cellStyle name="Normal 65 5 4" xfId="38683" xr:uid="{A7E52988-E303-4902-B1FB-1B72BD35745B}"/>
    <cellStyle name="Normal 65 6" xfId="4646" xr:uid="{00000000-0005-0000-0000-000049120000}"/>
    <cellStyle name="Normal 65 6 2" xfId="10171" xr:uid="{00000000-0005-0000-0000-0000961F0000}"/>
    <cellStyle name="Normal 65 6 2 2" xfId="42660" xr:uid="{3B98F35E-36E0-4B36-A7BF-27C39BBF25FB}"/>
    <cellStyle name="Normal 65 6 3" xfId="7931" xr:uid="{00000000-0005-0000-0000-0000BF0E0000}"/>
    <cellStyle name="Normal 65 6 4" xfId="38684" xr:uid="{BB872D09-CCB7-4249-B3C7-BDEC5EAEADDA}"/>
    <cellStyle name="Normal 65 7" xfId="4647" xr:uid="{00000000-0005-0000-0000-00004A120000}"/>
    <cellStyle name="Normal 65 7 2" xfId="10172" xr:uid="{00000000-0005-0000-0000-0000971F0000}"/>
    <cellStyle name="Normal 65 7 2 2" xfId="42661" xr:uid="{182FC012-B7CA-4987-B5DA-35F6C630B43E}"/>
    <cellStyle name="Normal 65 7 3" xfId="7932" xr:uid="{00000000-0005-0000-0000-0000C00E0000}"/>
    <cellStyle name="Normal 65 7 4" xfId="38685" xr:uid="{27424043-5397-4DBB-B53B-5D88DA0A391E}"/>
    <cellStyle name="Normal 65 8" xfId="4648" xr:uid="{00000000-0005-0000-0000-00004B120000}"/>
    <cellStyle name="Normal 65 8 2" xfId="10173" xr:uid="{00000000-0005-0000-0000-0000981F0000}"/>
    <cellStyle name="Normal 65 8 2 2" xfId="42662" xr:uid="{67D3868A-3BC0-4341-8DCD-89FC47876A0D}"/>
    <cellStyle name="Normal 65 8 3" xfId="7933" xr:uid="{00000000-0005-0000-0000-0000C10E0000}"/>
    <cellStyle name="Normal 65 8 4" xfId="38686" xr:uid="{B2478DF4-0C79-4F83-9836-008E37CC47E4}"/>
    <cellStyle name="Normal 65 9" xfId="10166" xr:uid="{00000000-0005-0000-0000-0000911F0000}"/>
    <cellStyle name="Normal 65 9 2" xfId="42655" xr:uid="{5835EE00-B396-46B9-BA19-FAAF25749528}"/>
    <cellStyle name="Normal 66" xfId="4649" xr:uid="{00000000-0005-0000-0000-00004C120000}"/>
    <cellStyle name="Normal 66 2" xfId="10174" xr:uid="{00000000-0005-0000-0000-0000991F0000}"/>
    <cellStyle name="Normal 66 2 2" xfId="42663" xr:uid="{EFD39F85-E90A-4C73-B1D0-DAFB98B1474F}"/>
    <cellStyle name="Normal 66 3" xfId="17335" xr:uid="{29163196-E964-4D4A-A63E-01DAC98553DB}"/>
    <cellStyle name="Normal 66 4" xfId="38687" xr:uid="{1CBCECEB-6F5D-4C7E-9C45-93875784375D}"/>
    <cellStyle name="Normal 67" xfId="12986" xr:uid="{00000000-0005-0000-0000-0000CB270000}"/>
    <cellStyle name="Normal 67 2" xfId="4650" xr:uid="{00000000-0005-0000-0000-00004D120000}"/>
    <cellStyle name="Normal 67 2 2" xfId="10175" xr:uid="{00000000-0005-0000-0000-00009A1F0000}"/>
    <cellStyle name="Normal 67 2 2 2" xfId="42664" xr:uid="{5A64A165-A630-4AE1-BC5F-FE9327E0BED1}"/>
    <cellStyle name="Normal 67 2 3" xfId="7934" xr:uid="{00000000-0005-0000-0000-0000C20E0000}"/>
    <cellStyle name="Normal 67 2 3 2" xfId="40804" xr:uid="{BAA8F67B-6C4B-47F3-9D67-13218FDAA631}"/>
    <cellStyle name="Normal 67 2 4" xfId="16043" xr:uid="{E67C3318-0802-42A4-98C4-480D65E2E6FE}"/>
    <cellStyle name="Normal 67 2 5" xfId="38688" xr:uid="{0D15F1BD-BB07-4AA4-9F90-1C71E7D520F2}"/>
    <cellStyle name="Normal 67 3" xfId="4651" xr:uid="{00000000-0005-0000-0000-00004E120000}"/>
    <cellStyle name="Normal 67 3 2" xfId="10176" xr:uid="{00000000-0005-0000-0000-00009B1F0000}"/>
    <cellStyle name="Normal 67 3 2 2" xfId="42665" xr:uid="{186EF6A1-4B46-4688-8F0C-CD87105B0528}"/>
    <cellStyle name="Normal 67 3 3" xfId="7935" xr:uid="{00000000-0005-0000-0000-0000C30E0000}"/>
    <cellStyle name="Normal 67 3 3 2" xfId="40805" xr:uid="{F5D497BD-D15A-45D2-B652-DCAE9387E584}"/>
    <cellStyle name="Normal 67 3 4" xfId="16044" xr:uid="{02504B6F-0E79-46A5-B1E7-07CBF53D052E}"/>
    <cellStyle name="Normal 67 3 5" xfId="38689" xr:uid="{19C6027E-F349-4A87-AC79-570E81C0297B}"/>
    <cellStyle name="Normal 67 4" xfId="4652" xr:uid="{00000000-0005-0000-0000-00004F120000}"/>
    <cellStyle name="Normal 67 4 2" xfId="10177" xr:uid="{00000000-0005-0000-0000-00009C1F0000}"/>
    <cellStyle name="Normal 67 4 2 2" xfId="42666" xr:uid="{D2EDB80F-8067-4861-921D-6FEB5DA828DE}"/>
    <cellStyle name="Normal 67 4 3" xfId="7936" xr:uid="{00000000-0005-0000-0000-0000C40E0000}"/>
    <cellStyle name="Normal 67 4 3 2" xfId="40806" xr:uid="{D3E286D8-A057-4B28-A974-F7F76752B7CA}"/>
    <cellStyle name="Normal 67 4 4" xfId="16045" xr:uid="{59B58D16-E929-43C6-B472-C3EB754598C0}"/>
    <cellStyle name="Normal 67 4 5" xfId="38690" xr:uid="{B7469A35-4FA8-42C9-86CE-67667E17DDE2}"/>
    <cellStyle name="Normal 67 5" xfId="4653" xr:uid="{00000000-0005-0000-0000-000050120000}"/>
    <cellStyle name="Normal 67 5 2" xfId="10178" xr:uid="{00000000-0005-0000-0000-00009D1F0000}"/>
    <cellStyle name="Normal 67 5 2 2" xfId="42667" xr:uid="{685248D2-B5C9-405A-958B-A788E1C35AA6}"/>
    <cellStyle name="Normal 67 5 3" xfId="7937" xr:uid="{00000000-0005-0000-0000-0000C50E0000}"/>
    <cellStyle name="Normal 67 5 3 2" xfId="40807" xr:uid="{6EF052C9-338A-47C3-8A7F-F3AF01F9C62F}"/>
    <cellStyle name="Normal 67 5 4" xfId="16046" xr:uid="{C6EA8185-B57D-492A-9AD9-9BA372C554D9}"/>
    <cellStyle name="Normal 67 5 5" xfId="38691" xr:uid="{49352BA4-6253-4E97-855D-85899FADFECA}"/>
    <cellStyle name="Normal 67 6" xfId="4654" xr:uid="{00000000-0005-0000-0000-000051120000}"/>
    <cellStyle name="Normal 67 6 2" xfId="10179" xr:uid="{00000000-0005-0000-0000-00009E1F0000}"/>
    <cellStyle name="Normal 67 6 2 2" xfId="42668" xr:uid="{809CE9A3-652A-4ACF-A432-9447F9B8268B}"/>
    <cellStyle name="Normal 67 6 3" xfId="7938" xr:uid="{00000000-0005-0000-0000-0000C60E0000}"/>
    <cellStyle name="Normal 67 6 3 2" xfId="40808" xr:uid="{6110D518-91C1-4512-9842-A9FEEC9ACE0F}"/>
    <cellStyle name="Normal 67 6 4" xfId="16047" xr:uid="{E66363E5-2ECB-4AF2-8E0C-7E4D4479D6DC}"/>
    <cellStyle name="Normal 67 6 5" xfId="38692" xr:uid="{5F0F7555-FA41-4C62-9FEF-7FE5C69FD573}"/>
    <cellStyle name="Normal 67 7" xfId="4655" xr:uid="{00000000-0005-0000-0000-000052120000}"/>
    <cellStyle name="Normal 67 7 2" xfId="10180" xr:uid="{00000000-0005-0000-0000-00009F1F0000}"/>
    <cellStyle name="Normal 67 7 2 2" xfId="42669" xr:uid="{AC85D1E6-D201-4F74-BA24-139B6623CB2C}"/>
    <cellStyle name="Normal 67 7 3" xfId="7939" xr:uid="{00000000-0005-0000-0000-0000C70E0000}"/>
    <cellStyle name="Normal 67 7 3 2" xfId="40809" xr:uid="{DBEACD49-3AB1-4655-91F0-A936C24D48C0}"/>
    <cellStyle name="Normal 67 7 4" xfId="16048" xr:uid="{FB359883-41C5-4493-BA1E-37CCBA5118E4}"/>
    <cellStyle name="Normal 67 7 5" xfId="38693" xr:uid="{15EDA7F9-E993-4A2E-9399-326F0456C839}"/>
    <cellStyle name="Normal 67 8" xfId="4656" xr:uid="{00000000-0005-0000-0000-000053120000}"/>
    <cellStyle name="Normal 67 8 2" xfId="10181" xr:uid="{00000000-0005-0000-0000-0000A01F0000}"/>
    <cellStyle name="Normal 67 8 2 2" xfId="42670" xr:uid="{151A2FDE-9A92-47F5-89C6-CB878F0022F7}"/>
    <cellStyle name="Normal 67 8 3" xfId="7940" xr:uid="{00000000-0005-0000-0000-0000C80E0000}"/>
    <cellStyle name="Normal 67 8 3 2" xfId="40810" xr:uid="{ACBC32F3-61B0-45E9-8309-A3F89827F6CD}"/>
    <cellStyle name="Normal 67 8 4" xfId="16049" xr:uid="{0583A462-8D3D-4B22-9C02-789C1EE1B771}"/>
    <cellStyle name="Normal 67 8 5" xfId="38694" xr:uid="{BB1DFE69-1E39-4207-9506-765F34C26F01}"/>
    <cellStyle name="Normal 67 9" xfId="17370" xr:uid="{5CACE8EA-D460-4347-8FAF-C7B0959E5342}"/>
    <cellStyle name="Normal 68" xfId="12983" xr:uid="{00000000-0005-0000-0000-0000CD270000}"/>
    <cellStyle name="Normal 68 2" xfId="17631" xr:uid="{B7B5F300-3065-418B-B415-14C631683682}"/>
    <cellStyle name="Normal 68 3" xfId="45449" xr:uid="{07196FBF-E8CF-488C-9314-BA5F5F81C7B4}"/>
    <cellStyle name="Normal 69" xfId="12984" xr:uid="{00000000-0005-0000-0000-0000CF270000}"/>
    <cellStyle name="Normal 69 2" xfId="4657" xr:uid="{00000000-0005-0000-0000-000054120000}"/>
    <cellStyle name="Normal 69 2 2" xfId="10182" xr:uid="{00000000-0005-0000-0000-0000A11F0000}"/>
    <cellStyle name="Normal 69 2 2 2" xfId="42671" xr:uid="{6562D7AC-51DC-4247-92E4-75B98719FE3C}"/>
    <cellStyle name="Normal 69 2 3" xfId="7941" xr:uid="{00000000-0005-0000-0000-0000C90E0000}"/>
    <cellStyle name="Normal 69 2 3 2" xfId="40811" xr:uid="{8BF61505-B2A6-4853-9BBB-0CC9BC38CB3B}"/>
    <cellStyle name="Normal 69 2 4" xfId="16050" xr:uid="{29356538-1414-4840-BE40-1226B47166C1}"/>
    <cellStyle name="Normal 69 2 5" xfId="38695" xr:uid="{9F290FC6-9D46-4FC1-8AF8-A14AAB5C9813}"/>
    <cellStyle name="Normal 69 3" xfId="4658" xr:uid="{00000000-0005-0000-0000-000055120000}"/>
    <cellStyle name="Normal 69 3 2" xfId="10183" xr:uid="{00000000-0005-0000-0000-0000A21F0000}"/>
    <cellStyle name="Normal 69 3 2 2" xfId="42672" xr:uid="{9C2DF87F-5077-435B-9DA1-26DD1622C49D}"/>
    <cellStyle name="Normal 69 3 3" xfId="7942" xr:uid="{00000000-0005-0000-0000-0000CA0E0000}"/>
    <cellStyle name="Normal 69 3 3 2" xfId="40812" xr:uid="{6D4D5D77-9062-46F3-8170-41813CB69BCB}"/>
    <cellStyle name="Normal 69 3 4" xfId="16051" xr:uid="{3CBF91D6-449D-4882-B897-701DBC0B1DDE}"/>
    <cellStyle name="Normal 69 3 5" xfId="38696" xr:uid="{07011CB9-0619-4F1D-B73D-D7730AC842BA}"/>
    <cellStyle name="Normal 69 4" xfId="4659" xr:uid="{00000000-0005-0000-0000-000056120000}"/>
    <cellStyle name="Normal 69 4 2" xfId="10184" xr:uid="{00000000-0005-0000-0000-0000A31F0000}"/>
    <cellStyle name="Normal 69 4 2 2" xfId="42673" xr:uid="{3BE43699-CA2E-4076-A470-8072EF4191FA}"/>
    <cellStyle name="Normal 69 4 3" xfId="7943" xr:uid="{00000000-0005-0000-0000-0000CB0E0000}"/>
    <cellStyle name="Normal 69 4 3 2" xfId="40813" xr:uid="{C869E194-E3C9-411B-9695-13756BA71A56}"/>
    <cellStyle name="Normal 69 4 4" xfId="16052" xr:uid="{2512E6DD-5C54-4783-8CF2-F5934DE697D9}"/>
    <cellStyle name="Normal 69 4 5" xfId="38697" xr:uid="{9433D261-5E2C-4004-A61A-8743A0DE3378}"/>
    <cellStyle name="Normal 69 5" xfId="4660" xr:uid="{00000000-0005-0000-0000-000057120000}"/>
    <cellStyle name="Normal 69 5 2" xfId="10185" xr:uid="{00000000-0005-0000-0000-0000A41F0000}"/>
    <cellStyle name="Normal 69 5 2 2" xfId="42674" xr:uid="{1D52DDCE-9A70-4FF7-87EB-15E4AE17302E}"/>
    <cellStyle name="Normal 69 5 3" xfId="7944" xr:uid="{00000000-0005-0000-0000-0000CC0E0000}"/>
    <cellStyle name="Normal 69 5 3 2" xfId="40814" xr:uid="{95162CA5-A5D0-4022-81D3-C5619E9C896C}"/>
    <cellStyle name="Normal 69 5 4" xfId="16053" xr:uid="{48B97C49-36F5-4439-B93E-5AA7B3B8BF7B}"/>
    <cellStyle name="Normal 69 5 5" xfId="38698" xr:uid="{DC430C41-269D-42CE-8079-0485B6BEA7C8}"/>
    <cellStyle name="Normal 69 6" xfId="4661" xr:uid="{00000000-0005-0000-0000-000058120000}"/>
    <cellStyle name="Normal 69 6 2" xfId="10186" xr:uid="{00000000-0005-0000-0000-0000A51F0000}"/>
    <cellStyle name="Normal 69 6 2 2" xfId="42675" xr:uid="{92D776CA-D37F-4B18-95EB-F2CB06ECFD16}"/>
    <cellStyle name="Normal 69 6 3" xfId="7945" xr:uid="{00000000-0005-0000-0000-0000CD0E0000}"/>
    <cellStyle name="Normal 69 6 3 2" xfId="40815" xr:uid="{D948C5E1-FB78-45C1-8B65-BD3F7026E580}"/>
    <cellStyle name="Normal 69 6 4" xfId="16054" xr:uid="{B7AC319B-6CE6-44F8-B866-76968B21A627}"/>
    <cellStyle name="Normal 69 6 5" xfId="38699" xr:uid="{2055B764-0CF0-4CA2-8CC9-F82747FC8906}"/>
    <cellStyle name="Normal 69 7" xfId="4662" xr:uid="{00000000-0005-0000-0000-000059120000}"/>
    <cellStyle name="Normal 69 7 2" xfId="10187" xr:uid="{00000000-0005-0000-0000-0000A61F0000}"/>
    <cellStyle name="Normal 69 7 2 2" xfId="42676" xr:uid="{F51EB020-5971-4F87-BF09-0DED3BE0E57C}"/>
    <cellStyle name="Normal 69 7 3" xfId="7946" xr:uid="{00000000-0005-0000-0000-0000CE0E0000}"/>
    <cellStyle name="Normal 69 7 3 2" xfId="40816" xr:uid="{8E85C9F8-CF48-40A1-9CDA-C78BDC951136}"/>
    <cellStyle name="Normal 69 7 4" xfId="16055" xr:uid="{338F6A37-1257-4938-9845-5648640869F4}"/>
    <cellStyle name="Normal 69 7 5" xfId="38700" xr:uid="{4DF7E794-D09B-4F9C-BF1F-EE6E39F046A1}"/>
    <cellStyle name="Normal 69 8" xfId="4663" xr:uid="{00000000-0005-0000-0000-00005A120000}"/>
    <cellStyle name="Normal 69 8 2" xfId="10188" xr:uid="{00000000-0005-0000-0000-0000A71F0000}"/>
    <cellStyle name="Normal 69 8 2 2" xfId="42677" xr:uid="{55BD10EF-89CA-4D62-B293-99BB4E1BE32D}"/>
    <cellStyle name="Normal 69 8 3" xfId="7947" xr:uid="{00000000-0005-0000-0000-0000CF0E0000}"/>
    <cellStyle name="Normal 69 8 3 2" xfId="40817" xr:uid="{63E9CAC8-CE48-4775-9C6B-C24F9B54B866}"/>
    <cellStyle name="Normal 69 8 4" xfId="16056" xr:uid="{289A61CE-ACED-416E-B032-ABD00D0B1D8E}"/>
    <cellStyle name="Normal 69 8 5" xfId="38701" xr:uid="{9F092968-9CFA-4B65-BB21-D104BF05459D}"/>
    <cellStyle name="Normal 69 9" xfId="21275" xr:uid="{AFA87C1A-6FE5-4355-BF34-8D219B49FBA6}"/>
    <cellStyle name="Normal 7" xfId="4664" xr:uid="{00000000-0005-0000-0000-00005B120000}"/>
    <cellStyle name="Normal-- 7" xfId="4665" xr:uid="{00000000-0005-0000-0000-00005C120000}"/>
    <cellStyle name="Normal 7 10" xfId="4666" xr:uid="{00000000-0005-0000-0000-00005D120000}"/>
    <cellStyle name="Normal-- 7 10" xfId="8673" xr:uid="{00000000-0005-0000-0000-0000F0230000}"/>
    <cellStyle name="Normal 7 10 10" xfId="8916" xr:uid="{00000000-0005-0000-0000-0000E1250000}"/>
    <cellStyle name="Normal 7 10 10 2" xfId="41561" xr:uid="{03966F4B-59C8-481A-8784-643C819EFBCF}"/>
    <cellStyle name="Normal 7 10 11" xfId="12740" xr:uid="{00000000-0005-0000-0000-000031260000}"/>
    <cellStyle name="Normal 7 10 11 2" xfId="45211" xr:uid="{26E341F7-C97B-409B-9386-B4668495AC85}"/>
    <cellStyle name="Normal 7 10 12" xfId="9001" xr:uid="{00000000-0005-0000-0000-000085260000}"/>
    <cellStyle name="Normal 7 10 12 2" xfId="41628" xr:uid="{A43F0D74-679F-4FA5-8AE3-DC48B24417B4}"/>
    <cellStyle name="Normal 7 10 13" xfId="12782" xr:uid="{00000000-0005-0000-0000-0000DD260000}"/>
    <cellStyle name="Normal 7 10 13 2" xfId="45253" xr:uid="{132DD07D-6D0A-4BDB-8D64-A66532E62324}"/>
    <cellStyle name="Normal 7 10 14" xfId="9088" xr:uid="{00000000-0005-0000-0000-000039270000}"/>
    <cellStyle name="Normal 7 10 14 2" xfId="41691" xr:uid="{C3DEDBF6-FA2E-463B-A6E2-5A022F3C4714}"/>
    <cellStyle name="Normal 7 10 15" xfId="12829" xr:uid="{00000000-0005-0000-0000-000099270000}"/>
    <cellStyle name="Normal 7 10 15 2" xfId="45300" xr:uid="{19A63630-DF32-41E2-9853-1A44B0ADA242}"/>
    <cellStyle name="Normal 7 10 16" xfId="7950" xr:uid="{00000000-0005-0000-0000-0000D20E0000}"/>
    <cellStyle name="Normal 7 10 17" xfId="13234" xr:uid="{00000000-0005-0000-0000-0000BE300000}"/>
    <cellStyle name="Normal 7 10 17 2" xfId="45698" xr:uid="{B4587CB0-D48A-4EBA-AF8A-4F69C457B6DC}"/>
    <cellStyle name="Normal 7 10 18" xfId="12954" xr:uid="{00000000-0005-0000-0000-00002A310000}"/>
    <cellStyle name="Normal 7 10 18 2" xfId="45425" xr:uid="{2955306B-C09F-49C1-A779-389870FF3C56}"/>
    <cellStyle name="Normal 7 10 19" xfId="13284" xr:uid="{00000000-0005-0000-0000-00009A310000}"/>
    <cellStyle name="Normal 7 10 19 2" xfId="45748" xr:uid="{CB46A3D3-99D0-46AD-8C2A-283A5D556959}"/>
    <cellStyle name="Normal 7 10 2" xfId="10191" xr:uid="{00000000-0005-0000-0000-0000AA1F0000}"/>
    <cellStyle name="Normal-- 7 10 2" xfId="41380" xr:uid="{2A53FA03-06E0-440D-B46C-AFC7B08BA8A7}"/>
    <cellStyle name="Normal 7 10 2 2" xfId="42680" xr:uid="{7F8A949A-7389-46DB-AB8E-F199A5B86F77}"/>
    <cellStyle name="Normal 7 10 2 3" xfId="47504" xr:uid="{A0C4A071-2300-448B-94DB-0F1BDC908005}"/>
    <cellStyle name="Normal 7 10 2 4" xfId="37866" xr:uid="{8A966E9D-D0E5-4835-BBA1-B825F2FBFF0A}"/>
    <cellStyle name="Normal 7 10 2 5" xfId="47667" xr:uid="{09DE5AF3-551B-4166-B308-A702CFB6BF27}"/>
    <cellStyle name="Normal 7 10 2 6" xfId="47781" xr:uid="{BC34133E-B6D1-4588-BE1C-BEE296E0D3FD}"/>
    <cellStyle name="Normal 7 10 2 7" xfId="15153" xr:uid="{D324F587-6124-425E-B4F9-E92DF5DAF767}"/>
    <cellStyle name="Normal 7 10 2 8" xfId="46892" xr:uid="{EBBC8A2D-D7CA-41C5-92B3-9E63981141B0}"/>
    <cellStyle name="Normal 7 10 2 9" xfId="49107" xr:uid="{51869C32-FF41-46DF-A1FE-4940E9785D58}"/>
    <cellStyle name="Normal 7 10 20" xfId="11355" xr:uid="{00000000-0005-0000-0000-00000E320000}"/>
    <cellStyle name="Normal 7 10 20 2" xfId="43844" xr:uid="{B2B3728E-4711-45ED-AD57-B88CEE04A953}"/>
    <cellStyle name="Normal 7 10 21" xfId="13356" xr:uid="{00000000-0005-0000-0000-000086320000}"/>
    <cellStyle name="Normal 7 10 21 2" xfId="45820" xr:uid="{F01A6D3B-03F3-41EB-A343-BEB434BCDFBF}"/>
    <cellStyle name="Normal 7 10 22" xfId="11263" xr:uid="{00000000-0005-0000-0000-000002330000}"/>
    <cellStyle name="Normal 7 10 22 2" xfId="43752" xr:uid="{E4AB118B-DDBB-4705-9D85-273B11E6F72D}"/>
    <cellStyle name="Normal 7 10 23" xfId="13435" xr:uid="{00000000-0005-0000-0000-000082330000}"/>
    <cellStyle name="Normal 7 10 23 2" xfId="45899" xr:uid="{A505B397-1E0C-4FE1-A88C-5EF21872F329}"/>
    <cellStyle name="Normal 7 10 24" xfId="11200" xr:uid="{00000000-0005-0000-0000-000006340000}"/>
    <cellStyle name="Normal 7 10 24 2" xfId="43689" xr:uid="{6053FA1D-5A37-4C69-88A0-F8EEED10A208}"/>
    <cellStyle name="Normal 7 10 25" xfId="13499" xr:uid="{00000000-0005-0000-0000-00008E340000}"/>
    <cellStyle name="Normal 7 10 25 2" xfId="45963" xr:uid="{5466F883-2910-4429-8457-A75C8F51CE1B}"/>
    <cellStyle name="Normal 7 10 26" xfId="11135" xr:uid="{00000000-0005-0000-0000-00001A350000}"/>
    <cellStyle name="Normal 7 10 26 2" xfId="43624" xr:uid="{0A9E9F97-B2C5-4139-9108-CB9CD1CF7E73}"/>
    <cellStyle name="Normal 7 10 27" xfId="16059" xr:uid="{0FBF3F26-802C-40D2-B1AD-540289393DC1}"/>
    <cellStyle name="Normal 7 10 28" xfId="38704" xr:uid="{E04AC519-3BF8-4BDF-8903-1549B2E35729}"/>
    <cellStyle name="Normal 7 10 29" xfId="40396" xr:uid="{B72E1E8B-C460-421C-B439-DDA2DD10632C}"/>
    <cellStyle name="Normal 7 10 3" xfId="12581" xr:uid="{00000000-0005-0000-0000-000021240000}"/>
    <cellStyle name="Normal-- 7 10 3" xfId="46943" xr:uid="{34A0DCFB-4CA6-4DC7-92F2-9D5E505CE2C2}"/>
    <cellStyle name="Normal 7 10 3 2" xfId="45052" xr:uid="{9DCC34E8-88EF-450B-962B-5C7EE5C6ED3C}"/>
    <cellStyle name="Normal 7 10 3 3" xfId="41321" xr:uid="{3554A76C-9DB9-48FD-A4CB-DD82A75831D1}"/>
    <cellStyle name="Normal 7 10 3 4" xfId="47191" xr:uid="{60B3687A-142F-4345-9726-C7A1B0C9FAFA}"/>
    <cellStyle name="Normal 7 10 3 5" xfId="46548" xr:uid="{3C42031A-0CA9-4309-8DE1-22B0CE919B85}"/>
    <cellStyle name="Normal 7 10 3 6" xfId="40684" xr:uid="{DB9AC106-360E-411A-8466-2C493A110750}"/>
    <cellStyle name="Normal 7 10 3 7" xfId="47062" xr:uid="{562DE656-C584-4665-8B3E-004B4A283528}"/>
    <cellStyle name="Normal 7 10 3 8" xfId="49994" xr:uid="{0BD31437-C6F3-4B05-A65C-8461D1386163}"/>
    <cellStyle name="Normal 7 10 30" xfId="48671" xr:uid="{C3F5F134-8E52-4625-8D3D-5F36FB64759A}"/>
    <cellStyle name="Normal 7 10 31" xfId="15649" xr:uid="{930C75AD-69D0-4BD3-BA08-C62342B6D7E0}"/>
    <cellStyle name="Normal 7 10 32" xfId="40312" xr:uid="{67362306-7871-4C8A-8D22-D97E24F7BE7B}"/>
    <cellStyle name="Normal 7 10 33" xfId="47732" xr:uid="{D7140872-4FFD-4116-B2BF-54A0C3E8438D}"/>
    <cellStyle name="Normal 7 10 34" xfId="46125" xr:uid="{FB3BC4E8-B876-405C-98FA-487575A340E7}"/>
    <cellStyle name="Normal 7 10 35" xfId="49607" xr:uid="{6C0F7506-08D6-405B-AE08-A0032000C735}"/>
    <cellStyle name="Normal 7 10 4" xfId="8709" xr:uid="{00000000-0005-0000-0000-000055240000}"/>
    <cellStyle name="Normal-- 7 10 4" xfId="48081" xr:uid="{E8C78389-12F1-4FAC-89A3-F6FE434BA510}"/>
    <cellStyle name="Normal 7 10 4 2" xfId="41405" xr:uid="{162B82A6-9B29-4FE4-A181-8BED017DDD00}"/>
    <cellStyle name="Normal 7 10 4 3" xfId="40075" xr:uid="{182CB40D-7776-4F5D-9A46-82F902B8D53E}"/>
    <cellStyle name="Normal 7 10 4 4" xfId="15703" xr:uid="{94535D05-4F17-4041-9EDD-3111C094E1F3}"/>
    <cellStyle name="Normal 7 10 4 5" xfId="15219" xr:uid="{7780AD7F-2896-4D24-9EFB-E63650A6EB4F}"/>
    <cellStyle name="Normal 7 10 4 6" xfId="47021" xr:uid="{49A85DF8-0DAA-40CB-91EF-2DDEEC642AA1}"/>
    <cellStyle name="Normal 7 10 4 7" xfId="14547" xr:uid="{9EAA537A-1D7B-4399-8DA7-FB075C824EE5}"/>
    <cellStyle name="Normal 7 10 5" xfId="12611" xr:uid="{00000000-0005-0000-0000-00008D240000}"/>
    <cellStyle name="Normal-- 7 10 5" xfId="40334" xr:uid="{CC8F52A1-7A26-4D32-A05D-E7AC0B7D1C03}"/>
    <cellStyle name="Normal 7 10 5 2" xfId="45082" xr:uid="{883D7A1D-8E9D-40F3-AEA1-C41DEBBF660F}"/>
    <cellStyle name="Normal 7 10 5 3" xfId="46241" xr:uid="{FB39E7C3-C684-4C6B-9A0A-A6E4CC375C41}"/>
    <cellStyle name="Normal 7 10 5 4" xfId="49433" xr:uid="{E5291B79-863B-4255-81A3-6A82A43F6724}"/>
    <cellStyle name="Normal 7 10 5 5" xfId="46697" xr:uid="{5BC2BE88-AA68-4B22-9E6B-B11E5FB4821D}"/>
    <cellStyle name="Normal 7 10 5 6" xfId="50006" xr:uid="{68FC31C6-1519-45DA-B93F-B2153B853CA5}"/>
    <cellStyle name="Normal 7 10 6" xfId="8756" xr:uid="{00000000-0005-0000-0000-0000C9240000}"/>
    <cellStyle name="Normal-- 7 10 6" xfId="48724" xr:uid="{EC55E05E-6DDA-40B3-AB0F-F9471D29B945}"/>
    <cellStyle name="Normal 7 10 6 2" xfId="41437" xr:uid="{ED842428-BE81-4DD8-B8BA-F0441E85312C}"/>
    <cellStyle name="Normal 7 10 6 3" xfId="15808" xr:uid="{2D5FE46C-C4D2-40BE-86CA-C483C56CCC45}"/>
    <cellStyle name="Normal 7 10 6 4" xfId="40599" xr:uid="{E27BC85A-5991-4B20-BA74-3558304C8CCF}"/>
    <cellStyle name="Normal 7 10 6 5" xfId="46231" xr:uid="{49BE1419-01AC-402A-8A10-D3F0A25C91B0}"/>
    <cellStyle name="Normal 7 10 7" xfId="12648" xr:uid="{00000000-0005-0000-0000-000009250000}"/>
    <cellStyle name="Normal-- 7 10 7" xfId="46600" xr:uid="{E97D75DD-95D6-4079-BE5E-F2BC5A912BD5}"/>
    <cellStyle name="Normal 7 10 7 2" xfId="45119" xr:uid="{5DB4659D-4229-4151-9354-2D665D17F147}"/>
    <cellStyle name="Normal 7 10 7 3" xfId="46966" xr:uid="{BEE60271-D30A-4961-8A6A-23F31389CBFC}"/>
    <cellStyle name="Normal 7 10 7 4" xfId="50028" xr:uid="{5EF98BF7-992F-4EA7-A1ED-AEA9578457F9}"/>
    <cellStyle name="Normal 7 10 8" xfId="8820" xr:uid="{00000000-0005-0000-0000-00004D250000}"/>
    <cellStyle name="Normal-- 7 10 8" xfId="14208" xr:uid="{5BC7BEE5-EC94-4C99-9874-66772541E964}"/>
    <cellStyle name="Normal 7 10 8 2" xfId="41484" xr:uid="{60FB9730-BC8B-40E9-8E37-1E65AF041289}"/>
    <cellStyle name="Normal 7 10 8 3" xfId="47289" xr:uid="{F3E9DDC2-9438-430D-B624-ACD1F9EE31C8}"/>
    <cellStyle name="Normal 7 10 9" xfId="12687" xr:uid="{00000000-0005-0000-0000-000095250000}"/>
    <cellStyle name="Normal-- 7 10 9" xfId="49166" xr:uid="{EAE8A180-B028-4795-B836-0DB371736775}"/>
    <cellStyle name="Normal 7 10 9 2" xfId="45158" xr:uid="{6C206D3D-894F-407E-9DF3-9E163DC5BC09}"/>
    <cellStyle name="Normal 7 11" xfId="4667" xr:uid="{00000000-0005-0000-0000-00005E120000}"/>
    <cellStyle name="Normal-- 7 11" xfId="12580" xr:uid="{00000000-0005-0000-0000-000020240000}"/>
    <cellStyle name="Normal 7 11 10" xfId="12741" xr:uid="{00000000-0005-0000-0000-000032260000}"/>
    <cellStyle name="Normal 7 11 10 2" xfId="45212" xr:uid="{8692D46A-C487-433A-84C4-73540A828045}"/>
    <cellStyle name="Normal 7 11 11" xfId="9002" xr:uid="{00000000-0005-0000-0000-000086260000}"/>
    <cellStyle name="Normal 7 11 11 2" xfId="41629" xr:uid="{F03DE2D1-B4B5-4E70-8E15-6DCC9A8B66DE}"/>
    <cellStyle name="Normal 7 11 12" xfId="12785" xr:uid="{00000000-0005-0000-0000-0000DE260000}"/>
    <cellStyle name="Normal 7 11 12 2" xfId="45256" xr:uid="{8D4F10DD-8062-4610-9F6A-043309F59342}"/>
    <cellStyle name="Normal 7 11 13" xfId="9090" xr:uid="{00000000-0005-0000-0000-00003A270000}"/>
    <cellStyle name="Normal 7 11 13 2" xfId="41693" xr:uid="{F2ADE438-8DB3-4D41-B41B-0CD501904ED9}"/>
    <cellStyle name="Normal 7 11 14" xfId="12831" xr:uid="{00000000-0005-0000-0000-00009A270000}"/>
    <cellStyle name="Normal 7 11 14 2" xfId="45302" xr:uid="{33CE0E88-82E5-4B72-AFCB-02DB82D5BE20}"/>
    <cellStyle name="Normal 7 11 15" xfId="7951" xr:uid="{00000000-0005-0000-0000-0000D30E0000}"/>
    <cellStyle name="Normal 7 11 16" xfId="13235" xr:uid="{00000000-0005-0000-0000-0000BF300000}"/>
    <cellStyle name="Normal 7 11 16 2" xfId="45699" xr:uid="{BE64BFBB-5B15-4389-8BF9-5392AD28BCEA}"/>
    <cellStyle name="Normal 7 11 17" xfId="12968" xr:uid="{00000000-0005-0000-0000-00002B310000}"/>
    <cellStyle name="Normal 7 11 17 2" xfId="45436" xr:uid="{E8B6F623-E2AA-40D7-8637-2B1C0E715EC3}"/>
    <cellStyle name="Normal 7 11 18" xfId="13285" xr:uid="{00000000-0005-0000-0000-00009B310000}"/>
    <cellStyle name="Normal 7 11 18 2" xfId="45749" xr:uid="{5933D062-7CF5-41DD-BA9C-71ACCA8470EF}"/>
    <cellStyle name="Normal 7 11 19" xfId="11354" xr:uid="{00000000-0005-0000-0000-00000F320000}"/>
    <cellStyle name="Normal 7 11 19 2" xfId="43843" xr:uid="{E982B700-D749-4B17-93CE-3EF9F59820C8}"/>
    <cellStyle name="Normal 7 11 2" xfId="10192" xr:uid="{00000000-0005-0000-0000-0000AB1F0000}"/>
    <cellStyle name="Normal-- 7 11 2" xfId="45051" xr:uid="{634798EA-F0F6-46B4-98B1-4998052923BA}"/>
    <cellStyle name="Normal 7 11 2 2" xfId="42681" xr:uid="{6243A8AB-0D33-4C2D-9C81-7BB3B4BB55F0}"/>
    <cellStyle name="Normal 7 11 2 3" xfId="47505" xr:uid="{804DEBC2-E333-4696-9AFE-7199FAAC0150}"/>
    <cellStyle name="Normal 7 11 2 4" xfId="37867" xr:uid="{1A513417-6138-4621-8E8B-C760E1134426}"/>
    <cellStyle name="Normal 7 11 2 5" xfId="40517" xr:uid="{F16F7754-1BD9-41FE-8274-769D328E0EC6}"/>
    <cellStyle name="Normal 7 11 2 6" xfId="47953" xr:uid="{CA3C2A45-327A-47DE-A1B7-FE482C47EEBF}"/>
    <cellStyle name="Normal 7 11 2 7" xfId="47692" xr:uid="{B58B2469-5C93-447E-888D-7D308E550D5D}"/>
    <cellStyle name="Normal 7 11 2 8" xfId="49130" xr:uid="{09ED5EA3-4D51-4DE2-9E99-9527CC4C9C11}"/>
    <cellStyle name="Normal 7 11 2 9" xfId="48494" xr:uid="{D741EED4-DC59-4C15-B3B1-4484F6C611A0}"/>
    <cellStyle name="Normal 7 11 20" xfId="13357" xr:uid="{00000000-0005-0000-0000-000087320000}"/>
    <cellStyle name="Normal 7 11 20 2" xfId="45821" xr:uid="{6C727BD8-46FF-4B7E-A386-F8914BCE28F1}"/>
    <cellStyle name="Normal 7 11 21" xfId="11262" xr:uid="{00000000-0005-0000-0000-000003330000}"/>
    <cellStyle name="Normal 7 11 21 2" xfId="43751" xr:uid="{5828034E-CE73-4745-9062-9C8EBCA1F520}"/>
    <cellStyle name="Normal 7 11 22" xfId="13436" xr:uid="{00000000-0005-0000-0000-000083330000}"/>
    <cellStyle name="Normal 7 11 22 2" xfId="45900" xr:uid="{C4EE0FEA-0099-4702-BE5B-847D643784A0}"/>
    <cellStyle name="Normal 7 11 23" xfId="11199" xr:uid="{00000000-0005-0000-0000-000007340000}"/>
    <cellStyle name="Normal 7 11 23 2" xfId="43688" xr:uid="{448537C9-696F-4B8C-8428-4B1404C98B5E}"/>
    <cellStyle name="Normal 7 11 24" xfId="13500" xr:uid="{00000000-0005-0000-0000-00008F340000}"/>
    <cellStyle name="Normal 7 11 24 2" xfId="45964" xr:uid="{AD767408-7C2F-4AC8-9B85-6F3A8FB6ACAB}"/>
    <cellStyle name="Normal 7 11 25" xfId="11134" xr:uid="{00000000-0005-0000-0000-00001B350000}"/>
    <cellStyle name="Normal 7 11 25 2" xfId="43623" xr:uid="{F049BF0C-835F-4685-8F54-92733C9D682B}"/>
    <cellStyle name="Normal 7 11 26" xfId="16060" xr:uid="{886B1E13-C9EE-43BE-8805-127A1C45504E}"/>
    <cellStyle name="Normal 7 11 27" xfId="38705" xr:uid="{065107F0-3461-46DD-92DA-7291E9EB414E}"/>
    <cellStyle name="Normal 7 11 28" xfId="40397" xr:uid="{45D0A847-DAF7-43F0-8E6B-D1B2EC82B1F4}"/>
    <cellStyle name="Normal 7 11 29" xfId="47973" xr:uid="{E6C3A1A5-CE11-4101-96F1-6EE8F0E4DFCD}"/>
    <cellStyle name="Normal 7 11 3" xfId="8710" xr:uid="{00000000-0005-0000-0000-000056240000}"/>
    <cellStyle name="Normal-- 7 11 3" xfId="48384" xr:uid="{71D1F515-41FE-4838-83C6-F6DABFB83D5C}"/>
    <cellStyle name="Normal 7 11 3 2" xfId="41406" xr:uid="{B66905B0-EA72-4883-915C-8338350BC0E0}"/>
    <cellStyle name="Normal 7 11 3 3" xfId="46617" xr:uid="{E78E74EE-1582-45C5-B2CF-A467708D4AEE}"/>
    <cellStyle name="Normal 7 11 3 4" xfId="14947" xr:uid="{90815734-B089-4255-B82F-BA1CF719BD75}"/>
    <cellStyle name="Normal 7 11 3 5" xfId="16615" xr:uid="{CC2AD041-1B42-42D5-9382-751D41C6ECBC}"/>
    <cellStyle name="Normal 7 11 3 6" xfId="46219" xr:uid="{4E00A26B-34FD-4A83-AF4E-90EAE0987FB9}"/>
    <cellStyle name="Normal 7 11 3 7" xfId="49145" xr:uid="{51677472-9FAE-427B-BAAA-C6A4089A96EC}"/>
    <cellStyle name="Normal 7 11 3 8" xfId="37937" xr:uid="{C5FAAA83-CFBF-4B94-B9C6-62A71FCF2D4B}"/>
    <cellStyle name="Normal 7 11 30" xfId="48176" xr:uid="{65FABF27-857C-4F8D-921F-3BB14E1BF28F}"/>
    <cellStyle name="Normal 7 11 31" xfId="16604" xr:uid="{4AFC4E21-8830-4B43-BC5B-DEF81C00DCE9}"/>
    <cellStyle name="Normal 7 11 32" xfId="15419" xr:uid="{9B50710B-9617-4DD4-97C2-70D6474C2B61}"/>
    <cellStyle name="Normal 7 11 33" xfId="46304" xr:uid="{87126CEE-4A9F-4F1E-9A33-16A99212A8A3}"/>
    <cellStyle name="Normal 7 11 34" xfId="37641" xr:uid="{C8005CAE-B665-4A87-848B-385FEF5E3916}"/>
    <cellStyle name="Normal 7 11 4" xfId="12612" xr:uid="{00000000-0005-0000-0000-00008E240000}"/>
    <cellStyle name="Normal-- 7 11 4" xfId="41320" xr:uid="{3718C43E-2AD3-4C6C-AC9E-F0A661CCA32E}"/>
    <cellStyle name="Normal 7 11 4 2" xfId="45083" xr:uid="{E4FD135F-E69A-4ED3-865D-B42413257E69}"/>
    <cellStyle name="Normal 7 11 4 3" xfId="40200" xr:uid="{C914A121-A0D1-4451-814E-FED234762FFD}"/>
    <cellStyle name="Normal 7 11 4 4" xfId="47910" xr:uid="{8C865621-BD45-4C1B-94F8-BEDEF5EF1088}"/>
    <cellStyle name="Normal 7 11 4 5" xfId="49434" xr:uid="{CD898C41-FBD1-4309-AF77-1E940B368CD1}"/>
    <cellStyle name="Normal 7 11 4 6" xfId="47879" xr:uid="{DCD118F7-00FB-4AE7-9AF9-CAD087D78AED}"/>
    <cellStyle name="Normal 7 11 4 7" xfId="50007" xr:uid="{3AEDB84A-8483-46BC-B90E-AB6460E7DB0B}"/>
    <cellStyle name="Normal 7 11 5" xfId="8758" xr:uid="{00000000-0005-0000-0000-0000CA240000}"/>
    <cellStyle name="Normal-- 7 11 5" xfId="48053" xr:uid="{4ED25E16-E5E2-4AEC-A70E-8D597AFCD73F}"/>
    <cellStyle name="Normal 7 11 5 2" xfId="41439" xr:uid="{F44D115D-6CEE-455F-887F-8D49C88DBF97}"/>
    <cellStyle name="Normal 7 11 5 3" xfId="47201" xr:uid="{F1B3E326-EC41-49CF-B51A-7DFFD40A73C7}"/>
    <cellStyle name="Normal 7 11 5 4" xfId="48458" xr:uid="{10A1E89A-2331-4921-A9C9-6072E58A6494}"/>
    <cellStyle name="Normal 7 11 5 5" xfId="37733" xr:uid="{40BAA65D-D178-4B35-9B14-5549011F6C57}"/>
    <cellStyle name="Normal 7 11 5 6" xfId="37994" xr:uid="{23CB8A42-B6A8-48C2-A998-E9B595C4D6CA}"/>
    <cellStyle name="Normal 7 11 6" xfId="12649" xr:uid="{00000000-0005-0000-0000-00000A250000}"/>
    <cellStyle name="Normal-- 7 11 6" xfId="37974" xr:uid="{A28D5466-1E0A-40F5-970C-568C3C82667A}"/>
    <cellStyle name="Normal 7 11 6 2" xfId="45120" xr:uid="{8EE75587-4293-4E64-A6D1-81266F7C797A}"/>
    <cellStyle name="Normal 7 11 6 3" xfId="49447" xr:uid="{461D2254-BC5C-4CAB-B7B2-7298EC6E2956}"/>
    <cellStyle name="Normal 7 11 6 4" xfId="15505" xr:uid="{4FEB4542-5A45-4025-811E-38794B145AC0}"/>
    <cellStyle name="Normal 7 11 6 5" xfId="50029" xr:uid="{092B6368-CEFB-4EA4-947A-BD2804FE64BA}"/>
    <cellStyle name="Normal 7 11 7" xfId="8825" xr:uid="{00000000-0005-0000-0000-00004E250000}"/>
    <cellStyle name="Normal-- 7 11 7" xfId="47189" xr:uid="{5B196D3C-3CB3-49A3-B145-F60D66AD34EE}"/>
    <cellStyle name="Normal 7 11 7 2" xfId="41489" xr:uid="{AA0B4065-D59D-4021-8045-27460953F6FC}"/>
    <cellStyle name="Normal 7 11 7 3" xfId="47284" xr:uid="{40D30F18-E0C5-424C-9F3F-2E6654B5D1F9}"/>
    <cellStyle name="Normal 7 11 7 4" xfId="48231" xr:uid="{B49BEBE2-1148-4802-94F8-8BB7D57DCAFD}"/>
    <cellStyle name="Normal 7 11 8" xfId="12689" xr:uid="{00000000-0005-0000-0000-000096250000}"/>
    <cellStyle name="Normal-- 7 11 8" xfId="49064" xr:uid="{FE61DB92-ABE6-4E50-8C23-2676AD4D5536}"/>
    <cellStyle name="Normal 7 11 8 2" xfId="45160" xr:uid="{62D48763-3569-400C-AB28-21B35502140E}"/>
    <cellStyle name="Normal 7 11 8 3" xfId="50048" xr:uid="{20ADAE3F-FB96-4837-8062-BCBECD130A95}"/>
    <cellStyle name="Normal 7 11 9" xfId="8917" xr:uid="{00000000-0005-0000-0000-0000E2250000}"/>
    <cellStyle name="Normal-- 7 11 9" xfId="49993" xr:uid="{7B11218E-7F12-45C4-9537-C737C216CF24}"/>
    <cellStyle name="Normal 7 11 9 2" xfId="41562" xr:uid="{3583DBBE-7A8A-4D14-9A65-720DC4E352D2}"/>
    <cellStyle name="Normal 7 12" xfId="4668" xr:uid="{00000000-0005-0000-0000-00005F120000}"/>
    <cellStyle name="Normal-- 7 12" xfId="8708" xr:uid="{00000000-0005-0000-0000-000054240000}"/>
    <cellStyle name="Normal 7 12 10" xfId="9003" xr:uid="{00000000-0005-0000-0000-000087260000}"/>
    <cellStyle name="Normal 7 12 10 2" xfId="41630" xr:uid="{2B33BB88-62A6-4C4E-9226-EC1E1B5E214D}"/>
    <cellStyle name="Normal 7 12 11" xfId="12786" xr:uid="{00000000-0005-0000-0000-0000DF260000}"/>
    <cellStyle name="Normal 7 12 11 2" xfId="45257" xr:uid="{C42D8E70-ED0C-4D10-B51C-E37BECC2095E}"/>
    <cellStyle name="Normal 7 12 12" xfId="9092" xr:uid="{00000000-0005-0000-0000-00003B270000}"/>
    <cellStyle name="Normal 7 12 12 2" xfId="41695" xr:uid="{8F87B0A8-ABCB-4319-8F79-8D6A246BE4C9}"/>
    <cellStyle name="Normal 7 12 13" xfId="12832" xr:uid="{00000000-0005-0000-0000-00009B270000}"/>
    <cellStyle name="Normal 7 12 13 2" xfId="45303" xr:uid="{2E48A79F-50D9-44BA-96F3-98AF2B6382F2}"/>
    <cellStyle name="Normal 7 12 14" xfId="7952" xr:uid="{00000000-0005-0000-0000-0000D40E0000}"/>
    <cellStyle name="Normal 7 12 15" xfId="13236" xr:uid="{00000000-0005-0000-0000-0000C0300000}"/>
    <cellStyle name="Normal 7 12 15 2" xfId="45700" xr:uid="{CA3D3F37-168E-4D2E-A969-DD4CD6873FF4}"/>
    <cellStyle name="Normal 7 12 16" xfId="11404" xr:uid="{00000000-0005-0000-0000-00002C310000}"/>
    <cellStyle name="Normal 7 12 16 2" xfId="43892" xr:uid="{C695B409-04F0-437E-9DAD-17CDD6752B12}"/>
    <cellStyle name="Normal 7 12 17" xfId="13286" xr:uid="{00000000-0005-0000-0000-00009C310000}"/>
    <cellStyle name="Normal 7 12 17 2" xfId="45750" xr:uid="{D309EB37-4E75-4A3E-979E-D2560D5F50ED}"/>
    <cellStyle name="Normal 7 12 18" xfId="11353" xr:uid="{00000000-0005-0000-0000-000010320000}"/>
    <cellStyle name="Normal 7 12 18 2" xfId="43842" xr:uid="{96CD6620-B600-4EFB-A6B6-FA115ECE3965}"/>
    <cellStyle name="Normal 7 12 19" xfId="13371" xr:uid="{00000000-0005-0000-0000-000088320000}"/>
    <cellStyle name="Normal 7 12 19 2" xfId="45835" xr:uid="{62E78092-4005-4E05-85DD-414E5F206B88}"/>
    <cellStyle name="Normal 7 12 2" xfId="10193" xr:uid="{00000000-0005-0000-0000-0000AC1F0000}"/>
    <cellStyle name="Normal-- 7 12 2" xfId="41404" xr:uid="{925F17E0-7C74-4C26-8C1F-5CBE7A7020EF}"/>
    <cellStyle name="Normal 7 12 2 2" xfId="42682" xr:uid="{F19CEAD3-839C-4956-A857-C52DF846F4AD}"/>
    <cellStyle name="Normal 7 12 2 3" xfId="47506" xr:uid="{39DB1D72-02A2-4AF1-90C2-1AF922318E6C}"/>
    <cellStyle name="Normal 7 12 2 4" xfId="37868" xr:uid="{4FA92CA3-02D8-466E-AF99-80BD2132C9DF}"/>
    <cellStyle name="Normal 7 12 2 5" xfId="15071" xr:uid="{2756A38C-D7D6-4231-9AC0-DC0D42F07CDC}"/>
    <cellStyle name="Normal 7 12 2 6" xfId="48702" xr:uid="{5B88675E-969D-461D-B399-7B496367F6D3}"/>
    <cellStyle name="Normal 7 12 2 7" xfId="37666" xr:uid="{843A1C0D-BF93-4B3D-BFE0-3C1A64C7B067}"/>
    <cellStyle name="Normal 7 12 2 8" xfId="40277" xr:uid="{D7EFCC2A-AB8C-48B6-8426-5714B5176A9E}"/>
    <cellStyle name="Normal 7 12 2 9" xfId="41811" xr:uid="{95761C86-B414-47DA-BDAF-A068E4C171F9}"/>
    <cellStyle name="Normal 7 12 20" xfId="11259" xr:uid="{00000000-0005-0000-0000-000004330000}"/>
    <cellStyle name="Normal 7 12 20 2" xfId="43748" xr:uid="{18043E63-205D-4FE2-9E0A-66F05FAD0CE2}"/>
    <cellStyle name="Normal 7 12 21" xfId="13437" xr:uid="{00000000-0005-0000-0000-000084330000}"/>
    <cellStyle name="Normal 7 12 21 2" xfId="45901" xr:uid="{F559A383-94D5-45DA-AB80-076C1E511F58}"/>
    <cellStyle name="Normal 7 12 22" xfId="11198" xr:uid="{00000000-0005-0000-0000-000008340000}"/>
    <cellStyle name="Normal 7 12 22 2" xfId="43687" xr:uid="{30337E1F-21C8-4CA4-ACE1-BF1849035B38}"/>
    <cellStyle name="Normal 7 12 23" xfId="13501" xr:uid="{00000000-0005-0000-0000-000090340000}"/>
    <cellStyle name="Normal 7 12 23 2" xfId="45965" xr:uid="{22BB2537-EDAB-44F2-A95F-DDBD713CCBB6}"/>
    <cellStyle name="Normal 7 12 24" xfId="11133" xr:uid="{00000000-0005-0000-0000-00001C350000}"/>
    <cellStyle name="Normal 7 12 24 2" xfId="43622" xr:uid="{BE5BCB9D-5621-4966-8357-85E74E9DDE98}"/>
    <cellStyle name="Normal 7 12 25" xfId="16061" xr:uid="{5F077BDB-ED4E-41B5-AFB3-8295EB4AC961}"/>
    <cellStyle name="Normal 7 12 26" xfId="38706" xr:uid="{F2C6AEF9-FABF-4E17-84DC-4A135B5AD616}"/>
    <cellStyle name="Normal 7 12 27" xfId="15331" xr:uid="{68DB454C-DA80-43F4-B33A-189DEA803123}"/>
    <cellStyle name="Normal 7 12 28" xfId="48657" xr:uid="{C9AF5162-5512-4165-AE26-FBB5257D85B8}"/>
    <cellStyle name="Normal 7 12 29" xfId="48637" xr:uid="{A58D58FC-7DCF-4F08-BE2F-3E4BA52FCB89}"/>
    <cellStyle name="Normal 7 12 3" xfId="12613" xr:uid="{00000000-0005-0000-0000-00008F240000}"/>
    <cellStyle name="Normal-- 7 12 3" xfId="46958" xr:uid="{72DC6D3E-4AEE-41F6-B54B-3E53935E79A2}"/>
    <cellStyle name="Normal 7 12 3 2" xfId="45084" xr:uid="{16E76E5A-4FBF-435C-95F7-5D7B1C1C38A3}"/>
    <cellStyle name="Normal 7 12 3 3" xfId="15969" xr:uid="{E90A4DEF-CD53-46F1-99CE-F05AD7DC7901}"/>
    <cellStyle name="Normal 7 12 3 4" xfId="48576" xr:uid="{148F146B-37D4-4413-88AE-9FC070605C32}"/>
    <cellStyle name="Normal 7 12 3 5" xfId="37687" xr:uid="{B4D60C54-B623-4075-AA6C-05B33F059CBF}"/>
    <cellStyle name="Normal 7 12 3 6" xfId="49435" xr:uid="{F0C7D243-DE71-4CB7-8B79-4B700BCEE561}"/>
    <cellStyle name="Normal 7 12 3 7" xfId="15321" xr:uid="{8551696A-2B51-4848-AB66-E2DCB9F8E1FD}"/>
    <cellStyle name="Normal 7 12 3 8" xfId="50008" xr:uid="{082252E8-EAEF-49A0-AD7D-D16E6CEE7970}"/>
    <cellStyle name="Normal 7 12 30" xfId="15303" xr:uid="{8F08AAFC-E8CB-451E-A21F-663C6CD056E0}"/>
    <cellStyle name="Normal 7 12 31" xfId="47923" xr:uid="{EC946A4D-1E02-4369-9346-51E5DE454AA7}"/>
    <cellStyle name="Normal 7 12 32" xfId="46117" xr:uid="{E8A988CA-B7C6-41AB-8A3C-B6EBD2C1E050}"/>
    <cellStyle name="Normal 7 12 33" xfId="47709" xr:uid="{B4AA5B58-9270-4771-909F-22A8A82E7D6E}"/>
    <cellStyle name="Normal 7 12 4" xfId="8760" xr:uid="{00000000-0005-0000-0000-0000CB240000}"/>
    <cellStyle name="Normal-- 7 12 4" xfId="13689" xr:uid="{23530D2E-296F-4EEA-A9FA-B807FFEBD711}"/>
    <cellStyle name="Normal 7 12 4 2" xfId="41441" xr:uid="{FBC887D7-F4CB-48B5-AB7C-6420F2778091}"/>
    <cellStyle name="Normal 7 12 4 3" xfId="40330" xr:uid="{9D02B650-BF81-4D7C-A2C4-313422F5A0A0}"/>
    <cellStyle name="Normal 7 12 4 4" xfId="47024" xr:uid="{D479743D-96DC-4333-AB6A-6FD1538F86B1}"/>
    <cellStyle name="Normal 7 12 4 5" xfId="40758" xr:uid="{A94C3928-4EC5-425E-B1DF-07AB48288639}"/>
    <cellStyle name="Normal 7 12 4 6" xfId="47101" xr:uid="{0E02BCEC-2EC9-4F46-9A3A-9D084060F9E8}"/>
    <cellStyle name="Normal 7 12 4 7" xfId="47287" xr:uid="{46F5E56F-2A81-4E06-B924-33418FB9B76D}"/>
    <cellStyle name="Normal 7 12 5" xfId="12650" xr:uid="{00000000-0005-0000-0000-00000B250000}"/>
    <cellStyle name="Normal-- 7 12 5" xfId="40333" xr:uid="{9E89B10F-A152-4879-B12A-6CB3503F00DC}"/>
    <cellStyle name="Normal 7 12 5 2" xfId="45121" xr:uid="{D2921A9D-5B9C-4BF1-B6BF-C7CA27F659CF}"/>
    <cellStyle name="Normal 7 12 5 3" xfId="48030" xr:uid="{652B638D-A5E3-40F3-8D93-ABF36A2308A2}"/>
    <cellStyle name="Normal 7 12 5 4" xfId="49448" xr:uid="{8AF63024-33EE-48AC-BE3B-FB1424A73F36}"/>
    <cellStyle name="Normal 7 12 5 5" xfId="48709" xr:uid="{2E490687-3BF2-45CE-B82F-A755AF7D6717}"/>
    <cellStyle name="Normal 7 12 5 6" xfId="50030" xr:uid="{C87CCE89-9FD1-4F3D-9E9F-69EC90E1A075}"/>
    <cellStyle name="Normal 7 12 6" xfId="8826" xr:uid="{00000000-0005-0000-0000-00004F250000}"/>
    <cellStyle name="Normal-- 7 12 6" xfId="37697" xr:uid="{A3A842F5-B932-4CD0-B198-0A7C4C6237DD}"/>
    <cellStyle name="Normal 7 12 6 2" xfId="41490" xr:uid="{6E380F18-FDD6-4B15-8118-DD0A4C50A56B}"/>
    <cellStyle name="Normal 7 12 6 3" xfId="46209" xr:uid="{48577C78-663A-4260-BAD9-6D51BAFFEC7B}"/>
    <cellStyle name="Normal 7 12 6 4" xfId="46909" xr:uid="{1730681F-616D-4326-93EF-3D556167341A}"/>
    <cellStyle name="Normal 7 12 6 5" xfId="48205" xr:uid="{3577E0DB-5D7B-43FE-8DB5-00B583AF23E4}"/>
    <cellStyle name="Normal 7 12 7" xfId="12691" xr:uid="{00000000-0005-0000-0000-000097250000}"/>
    <cellStyle name="Normal-- 7 12 7" xfId="47270" xr:uid="{E1EFC880-42BC-4C14-BB35-D17453F88F80}"/>
    <cellStyle name="Normal 7 12 7 2" xfId="45162" xr:uid="{5B990D14-9904-4EE6-9D47-5800518539A6}"/>
    <cellStyle name="Normal 7 12 7 3" xfId="49704" xr:uid="{C83254D0-D947-4CB4-B028-6DEE386A4F79}"/>
    <cellStyle name="Normal 7 12 7 4" xfId="50049" xr:uid="{02755925-960C-4578-9144-474BA40C291C}"/>
    <cellStyle name="Normal 7 12 8" xfId="8918" xr:uid="{00000000-0005-0000-0000-0000E3250000}"/>
    <cellStyle name="Normal-- 7 12 8" xfId="47092" xr:uid="{85D0B65E-CF4A-4156-AB32-6D9765E3A1EF}"/>
    <cellStyle name="Normal 7 12 8 2" xfId="41563" xr:uid="{B05C4306-7140-4970-99A8-FC6FC78E412E}"/>
    <cellStyle name="Normal 7 12 8 3" xfId="49473" xr:uid="{B8B19175-7817-406A-A223-50ACD45E6758}"/>
    <cellStyle name="Normal 7 12 9" xfId="12742" xr:uid="{00000000-0005-0000-0000-000033260000}"/>
    <cellStyle name="Normal-- 7 12 9" xfId="48934" xr:uid="{391CF163-0975-4322-85D9-AC7CF44B0DEB}"/>
    <cellStyle name="Normal 7 12 9 2" xfId="45213" xr:uid="{22A9EF6F-4205-48A1-9764-B1153E99D1D2}"/>
    <cellStyle name="Normal 7 13" xfId="4669" xr:uid="{00000000-0005-0000-0000-000060120000}"/>
    <cellStyle name="Normal-- 7 13" xfId="12608" xr:uid="{00000000-0005-0000-0000-00008C240000}"/>
    <cellStyle name="Normal 7 13 10" xfId="12787" xr:uid="{00000000-0005-0000-0000-0000E0260000}"/>
    <cellStyle name="Normal 7 13 10 2" xfId="45258" xr:uid="{1E582DB0-D2C5-4014-A9BC-B9A7A76E882B}"/>
    <cellStyle name="Normal 7 13 11" xfId="9093" xr:uid="{00000000-0005-0000-0000-00003C270000}"/>
    <cellStyle name="Normal 7 13 11 2" xfId="41696" xr:uid="{201E031E-DFDD-4C88-BFF5-0C99B7F1DD3B}"/>
    <cellStyle name="Normal 7 13 12" xfId="12833" xr:uid="{00000000-0005-0000-0000-00009C270000}"/>
    <cellStyle name="Normal 7 13 12 2" xfId="45304" xr:uid="{558DECA4-B45B-4158-963C-5CE39794709B}"/>
    <cellStyle name="Normal 7 13 13" xfId="7953" xr:uid="{00000000-0005-0000-0000-0000D50E0000}"/>
    <cellStyle name="Normal 7 13 14" xfId="13237" xr:uid="{00000000-0005-0000-0000-0000C1300000}"/>
    <cellStyle name="Normal 7 13 14 2" xfId="45701" xr:uid="{BE9A8CB2-CF36-4D8C-8C61-E208B9541643}"/>
    <cellStyle name="Normal 7 13 15" xfId="11403" xr:uid="{00000000-0005-0000-0000-00002D310000}"/>
    <cellStyle name="Normal 7 13 15 2" xfId="43891" xr:uid="{75BD3B81-947A-4FC3-BC40-BF361FFD48F9}"/>
    <cellStyle name="Normal 7 13 16" xfId="13287" xr:uid="{00000000-0005-0000-0000-00009D310000}"/>
    <cellStyle name="Normal 7 13 16 2" xfId="45751" xr:uid="{8D31F602-F0D4-40E2-936E-20F487F07B3F}"/>
    <cellStyle name="Normal 7 13 17" xfId="11352" xr:uid="{00000000-0005-0000-0000-000011320000}"/>
    <cellStyle name="Normal 7 13 17 2" xfId="43841" xr:uid="{917F9F8D-4133-4E17-AD9F-EDA2A739C7F0}"/>
    <cellStyle name="Normal 7 13 18" xfId="13372" xr:uid="{00000000-0005-0000-0000-000089320000}"/>
    <cellStyle name="Normal 7 13 18 2" xfId="45836" xr:uid="{7F966BB0-5B62-4E50-AE88-12392005CB09}"/>
    <cellStyle name="Normal 7 13 19" xfId="11258" xr:uid="{00000000-0005-0000-0000-000005330000}"/>
    <cellStyle name="Normal 7 13 19 2" xfId="43747" xr:uid="{C2AEC798-1061-4A95-8CB3-BF880193A8C1}"/>
    <cellStyle name="Normal 7 13 2" xfId="10194" xr:uid="{00000000-0005-0000-0000-0000AD1F0000}"/>
    <cellStyle name="Normal-- 7 13 2" xfId="45079" xr:uid="{DAAB8AE6-2317-4F20-80E3-5EE1BBCD6A4E}"/>
    <cellStyle name="Normal 7 13 2 2" xfId="42683" xr:uid="{6568CAC2-A75E-440D-B0D1-BF04A1E0F443}"/>
    <cellStyle name="Normal 7 13 2 3" xfId="47507" xr:uid="{483D445F-32A8-46DC-AB07-F821F506076A}"/>
    <cellStyle name="Normal 7 13 2 4" xfId="37869" xr:uid="{5783BA72-19D5-43E1-8B9B-03B4EBDACBE3}"/>
    <cellStyle name="Normal 7 13 2 5" xfId="15066" xr:uid="{5C5564B2-D593-4101-9D2A-B169D0C1F3B5}"/>
    <cellStyle name="Normal 7 13 2 6" xfId="48129" xr:uid="{457AE14E-5A55-47C2-941E-E60A00179DE4}"/>
    <cellStyle name="Normal 7 13 2 7" xfId="46591" xr:uid="{2E6FB2DA-2F4E-4256-B3E3-A9B314CD1CC9}"/>
    <cellStyle name="Normal 7 13 2 8" xfId="48238" xr:uid="{52B07FE3-4557-4579-9812-DFCC6723467C}"/>
    <cellStyle name="Normal 7 13 2 9" xfId="48200" xr:uid="{931178F5-4A72-4B56-BEA8-B45D5574133C}"/>
    <cellStyle name="Normal 7 13 20" xfId="13438" xr:uid="{00000000-0005-0000-0000-000085330000}"/>
    <cellStyle name="Normal 7 13 20 2" xfId="45902" xr:uid="{16A3D67D-666D-4644-93C9-D8E6ACF43152}"/>
    <cellStyle name="Normal 7 13 21" xfId="9518" xr:uid="{00000000-0005-0000-0000-000009340000}"/>
    <cellStyle name="Normal 7 13 21 2" xfId="42007" xr:uid="{2C1E8D2C-7923-48FC-B28D-7BFE6641A843}"/>
    <cellStyle name="Normal 7 13 22" xfId="13502" xr:uid="{00000000-0005-0000-0000-000091340000}"/>
    <cellStyle name="Normal 7 13 22 2" xfId="45966" xr:uid="{22227A84-A291-4127-ACF5-210C111399DB}"/>
    <cellStyle name="Normal 7 13 23" xfId="11132" xr:uid="{00000000-0005-0000-0000-00001D350000}"/>
    <cellStyle name="Normal 7 13 23 2" xfId="43621" xr:uid="{670EDD44-0DD2-4175-AD71-0AA82DA2C634}"/>
    <cellStyle name="Normal 7 13 24" xfId="16062" xr:uid="{0EB7F5E4-DAAF-406B-81A6-0162B921D403}"/>
    <cellStyle name="Normal 7 13 25" xfId="38707" xr:uid="{A98CC761-ECB2-4E73-BC13-B292B8358B47}"/>
    <cellStyle name="Normal 7 13 26" xfId="15332" xr:uid="{769AC1AB-0775-4884-B394-0497584F7649}"/>
    <cellStyle name="Normal 7 13 27" xfId="47990" xr:uid="{9C4996EB-6CE0-4A54-BF9F-86DDA810DCDD}"/>
    <cellStyle name="Normal 7 13 28" xfId="40551" xr:uid="{3FD80279-67F3-4726-9CC1-B4BA6053B0C0}"/>
    <cellStyle name="Normal 7 13 29" xfId="46806" xr:uid="{70C82B96-A8BB-4748-B926-686EF6F90E5B}"/>
    <cellStyle name="Normal 7 13 3" xfId="8767" xr:uid="{00000000-0005-0000-0000-0000CC240000}"/>
    <cellStyle name="Normal-- 7 13 3" xfId="48396" xr:uid="{DB768A87-8F24-49F9-A0C5-FE6BC36F5EE6}"/>
    <cellStyle name="Normal 7 13 3 2" xfId="41448" xr:uid="{8A2C6B11-83BE-4F6C-AD16-B3FED0D2AB6D}"/>
    <cellStyle name="Normal 7 13 3 3" xfId="13680" xr:uid="{EF9A1E2B-2D59-4EFA-B4F7-906309DC283C}"/>
    <cellStyle name="Normal 7 13 3 4" xfId="46106" xr:uid="{3E9669BC-4FD1-4783-8077-8FCFE50234F0}"/>
    <cellStyle name="Normal 7 13 3 5" xfId="47389" xr:uid="{C24B47AA-EEED-4437-89AA-D92BC5A89FE9}"/>
    <cellStyle name="Normal 7 13 3 6" xfId="41352" xr:uid="{C2B5CC19-BBD1-4A3A-9E93-887D7BEE83B0}"/>
    <cellStyle name="Normal 7 13 3 7" xfId="47770" xr:uid="{94B826A7-F430-4EB4-9295-61C5C8610F1F}"/>
    <cellStyle name="Normal 7 13 3 8" xfId="49505" xr:uid="{421EE1DF-AEAA-49BB-8629-A4F1E346F393}"/>
    <cellStyle name="Normal 7 13 30" xfId="49099" xr:uid="{E04365DF-01EB-4F87-952C-6C7FDB91623D}"/>
    <cellStyle name="Normal 7 13 31" xfId="40083" xr:uid="{6C8CB592-2430-452C-81C6-307D20CED416}"/>
    <cellStyle name="Normal 7 13 32" xfId="39589" xr:uid="{018F7DE7-4CD1-43CB-A691-103EA14C865F}"/>
    <cellStyle name="Normal 7 13 4" xfId="12651" xr:uid="{00000000-0005-0000-0000-00000C250000}"/>
    <cellStyle name="Normal-- 7 13 4" xfId="41345" xr:uid="{3159D9E3-0921-465C-AD0F-2F60DC3A9DE9}"/>
    <cellStyle name="Normal 7 13 4 2" xfId="45122" xr:uid="{D6D9521D-6561-455E-914A-BA74E7ABAFE4}"/>
    <cellStyle name="Normal 7 13 4 3" xfId="47138" xr:uid="{E16B49BC-51C1-40B9-8CBE-071E88F044C5}"/>
    <cellStyle name="Normal 7 13 4 4" xfId="47332" xr:uid="{DC4287BC-2CBC-47E0-8752-099248098A97}"/>
    <cellStyle name="Normal 7 13 4 5" xfId="49449" xr:uid="{3CFE05AD-444A-4878-8A69-1593D41B162B}"/>
    <cellStyle name="Normal 7 13 4 6" xfId="48483" xr:uid="{94873873-8076-4F5C-91D5-22B2728D65AD}"/>
    <cellStyle name="Normal 7 13 4 7" xfId="50031" xr:uid="{AC6548EB-2685-40FD-9176-FD829A0656DF}"/>
    <cellStyle name="Normal 7 13 5" xfId="8827" xr:uid="{00000000-0005-0000-0000-000050250000}"/>
    <cellStyle name="Normal-- 7 13 5" xfId="47243" xr:uid="{B0113D4F-1ACA-48CF-9978-F927AC67B436}"/>
    <cellStyle name="Normal 7 13 5 2" xfId="41491" xr:uid="{6F556FCA-1550-4204-B5C5-FE521FA07381}"/>
    <cellStyle name="Normal 7 13 5 3" xfId="47387" xr:uid="{26B7135B-F414-4897-82E1-0C1F813393F3}"/>
    <cellStyle name="Normal 7 13 5 4" xfId="48489" xr:uid="{55D14F07-71F8-47FF-AF59-254782AD5BBA}"/>
    <cellStyle name="Normal 7 13 5 5" xfId="40697" xr:uid="{226BCC45-93DD-4B5D-9803-5EDB0F099A90}"/>
    <cellStyle name="Normal 7 13 5 6" xfId="37961" xr:uid="{DC940F21-8E26-4E25-9741-4724E81FAB8F}"/>
    <cellStyle name="Normal 7 13 6" xfId="12693" xr:uid="{00000000-0005-0000-0000-000098250000}"/>
    <cellStyle name="Normal-- 7 13 6" xfId="15158" xr:uid="{E020BA7F-F96D-4FFE-BCFA-23C7C6DB8591}"/>
    <cellStyle name="Normal 7 13 6 2" xfId="45164" xr:uid="{7507CBA8-814C-4D2C-BD13-DBEE749CD70D}"/>
    <cellStyle name="Normal 7 13 6 3" xfId="49465" xr:uid="{77D210B5-67A1-4996-A07B-9824894E7492}"/>
    <cellStyle name="Normal 7 13 6 4" xfId="49705" xr:uid="{741313D6-FBFE-4BA5-8B8E-DCB7BE4B723B}"/>
    <cellStyle name="Normal 7 13 6 5" xfId="50050" xr:uid="{7F4CD366-9D2C-45A2-9194-B44D92E1DE91}"/>
    <cellStyle name="Normal 7 13 7" xfId="8920" xr:uid="{00000000-0005-0000-0000-0000E4250000}"/>
    <cellStyle name="Normal-- 7 13 7" xfId="49431" xr:uid="{AF1010FA-8168-4D6F-BD47-6B8273FA6CE6}"/>
    <cellStyle name="Normal 7 13 7 2" xfId="41565" xr:uid="{7813AA54-D698-413C-87A0-47A2885D1F30}"/>
    <cellStyle name="Normal 7 13 7 3" xfId="40102" xr:uid="{5A3E3576-616E-48D1-9996-161FA00AE614}"/>
    <cellStyle name="Normal 7 13 7 4" xfId="16479" xr:uid="{65985F1E-33C9-48A4-ABD6-C3247E23F702}"/>
    <cellStyle name="Normal 7 13 8" xfId="12743" xr:uid="{00000000-0005-0000-0000-000034260000}"/>
    <cellStyle name="Normal-- 7 13 8" xfId="48449" xr:uid="{3B8916FD-1141-480D-930A-4FE7DC615E6F}"/>
    <cellStyle name="Normal 7 13 8 2" xfId="45214" xr:uid="{04B29EE7-B1AD-4F19-AA27-FCAD046E0160}"/>
    <cellStyle name="Normal 7 13 8 3" xfId="50069" xr:uid="{A90EAFF9-EE14-4D27-A487-1478F028646A}"/>
    <cellStyle name="Normal 7 13 9" xfId="9004" xr:uid="{00000000-0005-0000-0000-000088260000}"/>
    <cellStyle name="Normal-- 7 13 9" xfId="50004" xr:uid="{F8CE1323-6D56-4B29-8626-0440983CD741}"/>
    <cellStyle name="Normal 7 13 9 2" xfId="41631" xr:uid="{77AE5EA6-5318-45CC-9EB8-B2206D8D2333}"/>
    <cellStyle name="Normal 7 14" xfId="4670" xr:uid="{00000000-0005-0000-0000-000061120000}"/>
    <cellStyle name="Normal-- 7 14" xfId="8755" xr:uid="{00000000-0005-0000-0000-0000C8240000}"/>
    <cellStyle name="Normal 7 14 10" xfId="9094" xr:uid="{00000000-0005-0000-0000-00003D270000}"/>
    <cellStyle name="Normal 7 14 10 2" xfId="41697" xr:uid="{AEA8CBB6-4F85-4BD8-B058-447BBC18D634}"/>
    <cellStyle name="Normal 7 14 11" xfId="12834" xr:uid="{00000000-0005-0000-0000-00009D270000}"/>
    <cellStyle name="Normal 7 14 11 2" xfId="45305" xr:uid="{B1508B62-01AF-4008-8449-5FBDEF25CE80}"/>
    <cellStyle name="Normal 7 14 12" xfId="7954" xr:uid="{00000000-0005-0000-0000-0000D60E0000}"/>
    <cellStyle name="Normal 7 14 13" xfId="13238" xr:uid="{00000000-0005-0000-0000-0000C2300000}"/>
    <cellStyle name="Normal 7 14 13 2" xfId="45702" xr:uid="{B80FABCC-9259-419E-8271-F295FFE33BF6}"/>
    <cellStyle name="Normal 7 14 14" xfId="11402" xr:uid="{00000000-0005-0000-0000-00002E310000}"/>
    <cellStyle name="Normal 7 14 14 2" xfId="43890" xr:uid="{83F81004-A686-4BB3-87BB-24E2327C2DE9}"/>
    <cellStyle name="Normal 7 14 15" xfId="13288" xr:uid="{00000000-0005-0000-0000-00009E310000}"/>
    <cellStyle name="Normal 7 14 15 2" xfId="45752" xr:uid="{ED979836-C620-4789-9058-31BC4047756C}"/>
    <cellStyle name="Normal 7 14 16" xfId="11351" xr:uid="{00000000-0005-0000-0000-000012320000}"/>
    <cellStyle name="Normal 7 14 16 2" xfId="43840" xr:uid="{CE536A69-805C-4B75-9D37-3CD96CC42B3A}"/>
    <cellStyle name="Normal 7 14 17" xfId="13373" xr:uid="{00000000-0005-0000-0000-00008A320000}"/>
    <cellStyle name="Normal 7 14 17 2" xfId="45837" xr:uid="{D867B143-D7B1-4E4E-AD4E-6616DD5673AE}"/>
    <cellStyle name="Normal 7 14 18" xfId="11257" xr:uid="{00000000-0005-0000-0000-000006330000}"/>
    <cellStyle name="Normal 7 14 18 2" xfId="43746" xr:uid="{469416B0-D0A7-4D48-91FC-1CD7AB444197}"/>
    <cellStyle name="Normal 7 14 19" xfId="13439" xr:uid="{00000000-0005-0000-0000-000086330000}"/>
    <cellStyle name="Normal 7 14 19 2" xfId="45903" xr:uid="{B5D88BB0-E67B-4A55-84AF-600B790188D4}"/>
    <cellStyle name="Normal 7 14 2" xfId="10195" xr:uid="{00000000-0005-0000-0000-0000AE1F0000}"/>
    <cellStyle name="Normal-- 7 14 2" xfId="41436" xr:uid="{F4093173-1DCA-4CA4-88DC-1E598D1D9196}"/>
    <cellStyle name="Normal 7 14 2 2" xfId="42684" xr:uid="{CB3C5C67-9357-40EE-A5B8-35CF2F742668}"/>
    <cellStyle name="Normal 7 14 2 3" xfId="47508" xr:uid="{F6EE30B1-4134-46B3-ADF3-A40CD19E2830}"/>
    <cellStyle name="Normal 7 14 2 4" xfId="37870" xr:uid="{D40570AC-21B5-4917-85A0-0F5D0F10D3F5}"/>
    <cellStyle name="Normal 7 14 2 5" xfId="46832" xr:uid="{CECD6B75-CF8E-4943-B5BD-E6F54FB72FE2}"/>
    <cellStyle name="Normal 7 14 2 6" xfId="37930" xr:uid="{6124FC86-02DB-4D51-B9EE-D1175B2AF112}"/>
    <cellStyle name="Normal 7 14 2 7" xfId="41509" xr:uid="{4A52594D-58C2-433E-A5BA-BD7F63C74077}"/>
    <cellStyle name="Normal 7 14 2 8" xfId="15475" xr:uid="{194866F4-A4D0-49FE-80B9-560E57116998}"/>
    <cellStyle name="Normal 7 14 2 9" xfId="46991" xr:uid="{B45D99FF-7810-412E-8A08-5643DE29A629}"/>
    <cellStyle name="Normal 7 14 20" xfId="11196" xr:uid="{00000000-0005-0000-0000-00000A340000}"/>
    <cellStyle name="Normal 7 14 20 2" xfId="43685" xr:uid="{F25B8B76-1286-45FE-B393-F7BB102092BE}"/>
    <cellStyle name="Normal 7 14 21" xfId="13503" xr:uid="{00000000-0005-0000-0000-000092340000}"/>
    <cellStyle name="Normal 7 14 21 2" xfId="45967" xr:uid="{11F78177-2DF8-423E-B748-8937B56458F3}"/>
    <cellStyle name="Normal 7 14 22" xfId="11130" xr:uid="{00000000-0005-0000-0000-00001E350000}"/>
    <cellStyle name="Normal 7 14 22 2" xfId="43619" xr:uid="{ED2B226D-206B-4360-BEC2-D199D484B0E2}"/>
    <cellStyle name="Normal 7 14 23" xfId="16063" xr:uid="{59CE1E5B-3A24-413B-B974-4C34827948D9}"/>
    <cellStyle name="Normal 7 14 24" xfId="38708" xr:uid="{6139486F-40FC-44A2-869A-2C562832BAB3}"/>
    <cellStyle name="Normal 7 14 25" xfId="40392" xr:uid="{9645CB6B-444A-456F-90FB-1D64205428A1}"/>
    <cellStyle name="Normal 7 14 26" xfId="48639" xr:uid="{7E416097-3DF5-43F3-B431-E0076A58C159}"/>
    <cellStyle name="Normal 7 14 27" xfId="37816" xr:uid="{8E41E457-469C-43CF-AC40-E346DE84ECDD}"/>
    <cellStyle name="Normal 7 14 28" xfId="16435" xr:uid="{4EDA9D8B-531A-40DC-9018-7AA925EBC7A5}"/>
    <cellStyle name="Normal 7 14 29" xfId="15048" xr:uid="{FA1CD457-BDBA-4540-A878-DF823E2BB5B5}"/>
    <cellStyle name="Normal 7 14 3" xfId="12654" xr:uid="{00000000-0005-0000-0000-00000D250000}"/>
    <cellStyle name="Normal-- 7 14 3" xfId="46976" xr:uid="{B35DF479-D886-484F-93A8-780EAF460380}"/>
    <cellStyle name="Normal 7 14 3 2" xfId="45125" xr:uid="{36E668A2-65EB-4D03-B593-DCBFE5C3B24B}"/>
    <cellStyle name="Normal 7 14 3 3" xfId="15926" xr:uid="{1F5D27DC-3BB3-4B26-93B2-C77A5010D438}"/>
    <cellStyle name="Normal 7 14 3 4" xfId="16502" xr:uid="{458CF068-43E8-4F16-8956-A85947D0B38C}"/>
    <cellStyle name="Normal 7 14 3 5" xfId="48018" xr:uid="{956D738C-C453-4BE6-A94D-A8D8847E1C88}"/>
    <cellStyle name="Normal 7 14 3 6" xfId="49452" xr:uid="{DFB1681B-268E-44AD-8804-7263F9A6C351}"/>
    <cellStyle name="Normal 7 14 3 7" xfId="46081" xr:uid="{AB169ABA-4633-434B-BBDE-885854621338}"/>
    <cellStyle name="Normal 7 14 3 8" xfId="50034" xr:uid="{411BC593-8D85-43FB-BE81-255D15D5B260}"/>
    <cellStyle name="Normal 7 14 30" xfId="46377" xr:uid="{C3B0D8D3-88C7-4B50-AEFC-FCA735496A78}"/>
    <cellStyle name="Normal 7 14 31" xfId="37981" xr:uid="{D1525A6A-F996-4C79-A240-27BAF171F262}"/>
    <cellStyle name="Normal 7 14 4" xfId="8829" xr:uid="{00000000-0005-0000-0000-000051250000}"/>
    <cellStyle name="Normal-- 7 14 4" xfId="46613" xr:uid="{0CADE0E7-DC0B-438A-8E6E-04F0089D3816}"/>
    <cellStyle name="Normal 7 14 4 2" xfId="41493" xr:uid="{7CD11884-B19E-41CB-A1A3-6B6C5BF2FDB1}"/>
    <cellStyle name="Normal 7 14 4 3" xfId="14952" xr:uid="{0E0A6A29-95F1-4F08-9A80-E7549571A89E}"/>
    <cellStyle name="Normal 7 14 4 4" xfId="46327" xr:uid="{6D4434CF-E3FE-4276-8E9A-387BD6FF489F}"/>
    <cellStyle name="Normal 7 14 4 5" xfId="16526" xr:uid="{93683796-065B-4AC3-BE60-B082866FCDDF}"/>
    <cellStyle name="Normal 7 14 4 6" xfId="48836" xr:uid="{4588B937-08BA-46A4-855D-EE0E3F09D66A}"/>
    <cellStyle name="Normal 7 14 4 7" xfId="46678" xr:uid="{A9AE298E-DEB6-488D-86AA-F7A25C6EC6A1}"/>
    <cellStyle name="Normal 7 14 5" xfId="12694" xr:uid="{00000000-0005-0000-0000-000099250000}"/>
    <cellStyle name="Normal-- 7 14 5" xfId="40721" xr:uid="{A09ABE2F-DD63-4B92-A20F-233679E65254}"/>
    <cellStyle name="Normal 7 14 5 2" xfId="45165" xr:uid="{CBBAEB7A-BE29-4660-9A2E-26AC7CFCE8EA}"/>
    <cellStyle name="Normal 7 14 5 3" xfId="46239" xr:uid="{3B1E0AD4-326B-4815-9A5A-2AC6F70ABE2F}"/>
    <cellStyle name="Normal 7 14 5 4" xfId="49466" xr:uid="{5DFF1D61-0C6D-47AF-B358-434A358CE470}"/>
    <cellStyle name="Normal 7 14 5 5" xfId="49706" xr:uid="{8CA14C76-F482-4189-8BC8-B34747FC95E6}"/>
    <cellStyle name="Normal 7 14 5 6" xfId="50051" xr:uid="{63E46077-6072-47C2-8616-7E56892A1559}"/>
    <cellStyle name="Normal 7 14 6" xfId="8921" xr:uid="{00000000-0005-0000-0000-0000E5250000}"/>
    <cellStyle name="Normal-- 7 14 6" xfId="47047" xr:uid="{49866189-3E12-47DC-8054-4D2FF57662ED}"/>
    <cellStyle name="Normal 7 14 6 2" xfId="41566" xr:uid="{2F08832B-4F65-4627-BAE8-D755AB405F97}"/>
    <cellStyle name="Normal 7 14 6 3" xfId="46262" xr:uid="{4D25E5F4-F49B-4DD4-B9F7-2D13E2437877}"/>
    <cellStyle name="Normal 7 14 6 4" xfId="48984" xr:uid="{2E60761A-04AE-4F54-B990-969ADFCC36BA}"/>
    <cellStyle name="Normal 7 14 6 5" xfId="46326" xr:uid="{8788BDFB-6F2A-4036-8079-732216E99AF6}"/>
    <cellStyle name="Normal 7 14 7" xfId="12744" xr:uid="{00000000-0005-0000-0000-000035260000}"/>
    <cellStyle name="Normal-- 7 14 7" xfId="15914" xr:uid="{7364A6E9-B6A6-4C82-AE3E-67FF5C357267}"/>
    <cellStyle name="Normal 7 14 7 2" xfId="45215" xr:uid="{4C1E177E-698B-413D-ABAF-0FEE4D337F80}"/>
    <cellStyle name="Normal 7 14 7 3" xfId="49722" xr:uid="{EFDFC14F-1025-448C-983C-790E8395FEDD}"/>
    <cellStyle name="Normal 7 14 7 4" xfId="50070" xr:uid="{BAEEE0EA-F2D7-41B7-ABC7-74F095A4E13D}"/>
    <cellStyle name="Normal 7 14 8" xfId="9005" xr:uid="{00000000-0005-0000-0000-000089260000}"/>
    <cellStyle name="Normal-- 7 14 8" xfId="39585" xr:uid="{903D6635-B77C-4D5C-98EE-09C573ACE5A4}"/>
    <cellStyle name="Normal 7 14 8 2" xfId="41632" xr:uid="{E51ECA46-25B1-452E-BC6F-0F497A76CB72}"/>
    <cellStyle name="Normal 7 14 8 3" xfId="15503" xr:uid="{567D46DA-F9BA-4B17-99FB-CAF6BF07D40C}"/>
    <cellStyle name="Normal 7 14 9" xfId="12788" xr:uid="{00000000-0005-0000-0000-0000E1260000}"/>
    <cellStyle name="Normal-- 7 14 9" xfId="37707" xr:uid="{3A3BF5AA-941B-472A-A4E6-96338E34059F}"/>
    <cellStyle name="Normal 7 14 9 2" xfId="45259" xr:uid="{ADA57A50-7E4D-47E8-B8DC-074D4120C8BB}"/>
    <cellStyle name="Normal 7 15" xfId="4671" xr:uid="{00000000-0005-0000-0000-000062120000}"/>
    <cellStyle name="Normal-- 7 15" xfId="12641" xr:uid="{00000000-0005-0000-0000-000008250000}"/>
    <cellStyle name="Normal 7 15 10" xfId="12840" xr:uid="{00000000-0005-0000-0000-00009E270000}"/>
    <cellStyle name="Normal 7 15 10 2" xfId="45311" xr:uid="{FC23DF5F-292A-48A6-95E4-22BA9C825493}"/>
    <cellStyle name="Normal 7 15 11" xfId="7955" xr:uid="{00000000-0005-0000-0000-0000D70E0000}"/>
    <cellStyle name="Normal 7 15 12" xfId="13239" xr:uid="{00000000-0005-0000-0000-0000C3300000}"/>
    <cellStyle name="Normal 7 15 12 2" xfId="45703" xr:uid="{1A3E9E22-423D-4142-8A87-26B4DF04D519}"/>
    <cellStyle name="Normal 7 15 13" xfId="11401" xr:uid="{00000000-0005-0000-0000-00002F310000}"/>
    <cellStyle name="Normal 7 15 13 2" xfId="43889" xr:uid="{06C27FA7-7541-4EE7-A0C2-3B1A7A405E4B}"/>
    <cellStyle name="Normal 7 15 14" xfId="13289" xr:uid="{00000000-0005-0000-0000-00009F310000}"/>
    <cellStyle name="Normal 7 15 14 2" xfId="45753" xr:uid="{518734A7-F4DE-4C61-8777-F2213114B093}"/>
    <cellStyle name="Normal 7 15 15" xfId="11336" xr:uid="{00000000-0005-0000-0000-000013320000}"/>
    <cellStyle name="Normal 7 15 15 2" xfId="43825" xr:uid="{53AE6B0E-A7F6-4915-A43C-BE743BECBE52}"/>
    <cellStyle name="Normal 7 15 16" xfId="13376" xr:uid="{00000000-0005-0000-0000-00008B320000}"/>
    <cellStyle name="Normal 7 15 16 2" xfId="45840" xr:uid="{8629814C-C12B-464B-A0BA-ED182FDE0487}"/>
    <cellStyle name="Normal 7 15 17" xfId="11256" xr:uid="{00000000-0005-0000-0000-000007330000}"/>
    <cellStyle name="Normal 7 15 17 2" xfId="43745" xr:uid="{4B838D25-11C9-4CC1-ACAC-2B74EC30F89E}"/>
    <cellStyle name="Normal 7 15 18" xfId="13440" xr:uid="{00000000-0005-0000-0000-000087330000}"/>
    <cellStyle name="Normal 7 15 18 2" xfId="45904" xr:uid="{487D1E88-0E02-44E0-AE6D-E47DAE1BA590}"/>
    <cellStyle name="Normal 7 15 19" xfId="11195" xr:uid="{00000000-0005-0000-0000-00000B340000}"/>
    <cellStyle name="Normal 7 15 19 2" xfId="43684" xr:uid="{B35635C6-1C3F-4DD3-BE79-B9E5F3049B5A}"/>
    <cellStyle name="Normal 7 15 2" xfId="10196" xr:uid="{00000000-0005-0000-0000-0000AF1F0000}"/>
    <cellStyle name="Normal-- 7 15 2" xfId="45112" xr:uid="{ACA4CDBF-BB43-4319-83DE-1EE8306B61D0}"/>
    <cellStyle name="Normal 7 15 2 2" xfId="42685" xr:uid="{9C4FCA44-AEDA-46F6-A41B-967C355FA0C1}"/>
    <cellStyle name="Normal 7 15 2 3" xfId="47509" xr:uid="{E47340F2-F18F-4E51-9D0F-C8ADC081D229}"/>
    <cellStyle name="Normal 7 15 2 4" xfId="37871" xr:uid="{B210852B-34E5-4301-9184-6058AA98D812}"/>
    <cellStyle name="Normal 7 15 2 5" xfId="40514" xr:uid="{DE3D67E4-E35F-47E4-AA13-0DBD6609BA26}"/>
    <cellStyle name="Normal 7 15 2 6" xfId="46669" xr:uid="{7598911B-053A-4C71-B097-CAA50E97049E}"/>
    <cellStyle name="Normal 7 15 2 7" xfId="48491" xr:uid="{2C2DD801-17E1-493D-84E2-CD257C7022FC}"/>
    <cellStyle name="Normal 7 15 2 8" xfId="48023" xr:uid="{2D4F0024-DA93-43AD-A647-15BA9EF7F100}"/>
    <cellStyle name="Normal 7 15 2 9" xfId="37939" xr:uid="{10977D06-9542-4EA4-87B6-0582AED5883A}"/>
    <cellStyle name="Normal 7 15 20" xfId="13504" xr:uid="{00000000-0005-0000-0000-000093340000}"/>
    <cellStyle name="Normal 7 15 20 2" xfId="45968" xr:uid="{A32B2056-DF42-4D09-B26F-C4F550DD9C3A}"/>
    <cellStyle name="Normal 7 15 21" xfId="11129" xr:uid="{00000000-0005-0000-0000-00001F350000}"/>
    <cellStyle name="Normal 7 15 21 2" xfId="43618" xr:uid="{2BEB14F0-8CE9-4044-9581-AE99EF1D3EFA}"/>
    <cellStyle name="Normal 7 15 22" xfId="16064" xr:uid="{9FEABE28-19FB-44FB-BFC4-CA4557E84533}"/>
    <cellStyle name="Normal 7 15 23" xfId="38709" xr:uid="{2E01A56B-9869-4D96-B0FD-DE61211F80BD}"/>
    <cellStyle name="Normal 7 15 24" xfId="40395" xr:uid="{399A4624-5731-43B5-B16D-B5E9E1A2BAB2}"/>
    <cellStyle name="Normal 7 15 25" xfId="48002" xr:uid="{7670ABEA-2220-4995-9689-37F1D72E9175}"/>
    <cellStyle name="Normal 7 15 26" xfId="47993" xr:uid="{96BEC461-6F90-41E5-BA19-A81D62BE5238}"/>
    <cellStyle name="Normal 7 15 27" xfId="46366" xr:uid="{DD2B79CB-CFFE-42CC-A807-77A12592F166}"/>
    <cellStyle name="Normal 7 15 28" xfId="48705" xr:uid="{0A185D4C-C5A6-4A91-AA56-8C515B58DB9A}"/>
    <cellStyle name="Normal 7 15 29" xfId="48773" xr:uid="{5DA5B197-13C8-4309-9061-73F20A4D90E7}"/>
    <cellStyle name="Normal 7 15 3" xfId="8830" xr:uid="{00000000-0005-0000-0000-000052250000}"/>
    <cellStyle name="Normal-- 7 15 3" xfId="48413" xr:uid="{F5A6F42F-54FE-4826-81DB-93038061D3A2}"/>
    <cellStyle name="Normal 7 15 3 2" xfId="41494" xr:uid="{2A4B9930-02AC-46D6-A502-C5A1B3EDB6EB}"/>
    <cellStyle name="Normal 7 15 3 3" xfId="16585" xr:uid="{EC2518A6-07B5-4F52-B40D-A56BE878F208}"/>
    <cellStyle name="Normal 7 15 3 4" xfId="40714" xr:uid="{2B8D0618-A8E6-40E5-AB95-25E36FE37A2E}"/>
    <cellStyle name="Normal 7 15 3 5" xfId="40251" xr:uid="{D0376473-FF12-4C75-884D-4790AC192040}"/>
    <cellStyle name="Normal 7 15 3 6" xfId="46619" xr:uid="{CBC4BB7C-57F2-4A49-B3C7-F62DFC31A1BE}"/>
    <cellStyle name="Normal 7 15 3 7" xfId="40702" xr:uid="{F4DAACAB-5328-4E9E-AAD5-EDE8AE10B2BB}"/>
    <cellStyle name="Normal 7 15 3 8" xfId="40568" xr:uid="{002263F7-9A89-4E31-A69A-44AA3A275040}"/>
    <cellStyle name="Normal 7 15 30" xfId="15797" xr:uid="{4BF9363C-1A55-4AB9-8500-3923288C9DFB}"/>
    <cellStyle name="Normal 7 15 4" xfId="12696" xr:uid="{00000000-0005-0000-0000-00009A250000}"/>
    <cellStyle name="Normal-- 7 15 4" xfId="15939" xr:uid="{C387836E-8B9F-4AD7-A2DC-8851928C1E94}"/>
    <cellStyle name="Normal 7 15 4 2" xfId="45167" xr:uid="{BD4032C8-1696-42CB-B24D-F60B003E8CC1}"/>
    <cellStyle name="Normal 7 15 4 3" xfId="47140" xr:uid="{F31F188C-1FE5-4838-97F9-1AA6FF1BB54A}"/>
    <cellStyle name="Normal 7 15 4 4" xfId="46450" xr:uid="{9C17C069-38AF-4AC8-86D0-7A79CA140DF7}"/>
    <cellStyle name="Normal 7 15 4 5" xfId="49467" xr:uid="{A7208095-FB9E-4E0C-A841-FFC39B556593}"/>
    <cellStyle name="Normal 7 15 4 6" xfId="49707" xr:uid="{8C714D7C-5DB7-4B72-A3FD-40A30AC3ECBE}"/>
    <cellStyle name="Normal 7 15 4 7" xfId="50052" xr:uid="{97526BA2-C1FA-49A4-B59B-72B90A39D163}"/>
    <cellStyle name="Normal 7 15 5" xfId="8922" xr:uid="{00000000-0005-0000-0000-0000E6250000}"/>
    <cellStyle name="Normal-- 7 15 5" xfId="47323" xr:uid="{76FBF615-435C-4BBB-A0C4-5212FB9DD6B1}"/>
    <cellStyle name="Normal 7 15 5 2" xfId="41567" xr:uid="{8D691132-CD4E-4B4E-B987-E7C9BD5F90CC}"/>
    <cellStyle name="Normal 7 15 5 3" xfId="15479" xr:uid="{A9E91462-FC59-4E5A-BC5E-E99D3C87CF2E}"/>
    <cellStyle name="Normal 7 15 5 4" xfId="37682" xr:uid="{2EB5DA16-672C-4DE4-8216-7D63D74186FB}"/>
    <cellStyle name="Normal 7 15 5 5" xfId="16635" xr:uid="{58BD0103-EC71-48F1-9D36-9C85F3D6B737}"/>
    <cellStyle name="Normal 7 15 5 6" xfId="47271" xr:uid="{7ED35035-3B23-49E8-A04E-057206481967}"/>
    <cellStyle name="Normal 7 15 6" xfId="12745" xr:uid="{00000000-0005-0000-0000-000036260000}"/>
    <cellStyle name="Normal-- 7 15 6" xfId="48111" xr:uid="{9EE42D43-B66D-4C90-88BD-D8B379D488A9}"/>
    <cellStyle name="Normal 7 15 6 2" xfId="45216" xr:uid="{5827640F-2422-43AE-BE63-4B02438D7100}"/>
    <cellStyle name="Normal 7 15 6 3" xfId="49485" xr:uid="{E96E7443-5BF4-4D61-A082-5E8160CA8E52}"/>
    <cellStyle name="Normal 7 15 6 4" xfId="49723" xr:uid="{B7328FE5-4A60-4EC2-A2C2-8852F4B53C8F}"/>
    <cellStyle name="Normal 7 15 6 5" xfId="50071" xr:uid="{45304CB6-AAFD-42A6-AD7B-556ABFA739E2}"/>
    <cellStyle name="Normal 7 15 7" xfId="9006" xr:uid="{00000000-0005-0000-0000-00008A260000}"/>
    <cellStyle name="Normal-- 7 15 7" xfId="49444" xr:uid="{FD869795-E3ED-49A5-8E66-F55440DBE6D1}"/>
    <cellStyle name="Normal 7 15 7 2" xfId="41633" xr:uid="{1BFAD629-156B-4297-B5C3-79CC568A9A8B}"/>
    <cellStyle name="Normal 7 15 7 3" xfId="41130" xr:uid="{C19BE914-4BD4-4297-B4FB-3C0F41CFC258}"/>
    <cellStyle name="Normal 7 15 7 4" xfId="47848" xr:uid="{F57173E8-C3B2-49AF-9C17-7D29BB5A4AB3}"/>
    <cellStyle name="Normal 7 15 8" xfId="12789" xr:uid="{00000000-0005-0000-0000-0000E2260000}"/>
    <cellStyle name="Normal-- 7 15 8" xfId="49071" xr:uid="{A7B61FEE-B9CD-4F3D-8279-34B6E08C5AA3}"/>
    <cellStyle name="Normal 7 15 8 2" xfId="45260" xr:uid="{48B1D0EE-870D-4611-B26D-43806873232D}"/>
    <cellStyle name="Normal 7 15 8 3" xfId="50084" xr:uid="{79844891-A616-404A-BFE0-D8AC9BDA891E}"/>
    <cellStyle name="Normal 7 15 9" xfId="9095" xr:uid="{00000000-0005-0000-0000-00003E270000}"/>
    <cellStyle name="Normal-- 7 15 9" xfId="50023" xr:uid="{369BCA49-FF8B-4EDE-AE2A-1D8AE9C28DF1}"/>
    <cellStyle name="Normal 7 15 9 2" xfId="41698" xr:uid="{D20EE4F4-6FBB-480A-9014-F8B3ED54B190}"/>
    <cellStyle name="Normal 7 16" xfId="4672" xr:uid="{00000000-0005-0000-0000-000063120000}"/>
    <cellStyle name="Normal-- 7 16" xfId="8819" xr:uid="{00000000-0005-0000-0000-00004C250000}"/>
    <cellStyle name="Normal 7 16 10" xfId="7956" xr:uid="{00000000-0005-0000-0000-0000D80E0000}"/>
    <cellStyle name="Normal 7 16 11" xfId="13240" xr:uid="{00000000-0005-0000-0000-0000C4300000}"/>
    <cellStyle name="Normal 7 16 11 2" xfId="45704" xr:uid="{533FDD82-B1AF-4C42-8F3B-E1BA089DD802}"/>
    <cellStyle name="Normal 7 16 12" xfId="12975" xr:uid="{00000000-0005-0000-0000-000030310000}"/>
    <cellStyle name="Normal 7 16 12 2" xfId="45443" xr:uid="{882A5DB6-0FB8-4E20-A5E1-A38493CF743C}"/>
    <cellStyle name="Normal 7 16 13" xfId="13290" xr:uid="{00000000-0005-0000-0000-0000A0310000}"/>
    <cellStyle name="Normal 7 16 13 2" xfId="45754" xr:uid="{B10758DF-A3E1-4831-994B-F1D0FAB111C5}"/>
    <cellStyle name="Normal 7 16 14" xfId="11335" xr:uid="{00000000-0005-0000-0000-000014320000}"/>
    <cellStyle name="Normal 7 16 14 2" xfId="43824" xr:uid="{A06F38CE-1E1D-42B7-8B2A-CD9FF058364F}"/>
    <cellStyle name="Normal 7 16 15" xfId="13377" xr:uid="{00000000-0005-0000-0000-00008C320000}"/>
    <cellStyle name="Normal 7 16 15 2" xfId="45841" xr:uid="{B3993C9A-285D-4491-AFF7-1E500BE49A07}"/>
    <cellStyle name="Normal 7 16 16" xfId="11255" xr:uid="{00000000-0005-0000-0000-000008330000}"/>
    <cellStyle name="Normal 7 16 16 2" xfId="43744" xr:uid="{39ED573A-D82E-4665-9433-AAF1803E71E0}"/>
    <cellStyle name="Normal 7 16 17" xfId="13442" xr:uid="{00000000-0005-0000-0000-000088330000}"/>
    <cellStyle name="Normal 7 16 17 2" xfId="45906" xr:uid="{CFCAD406-3627-45D6-BF90-B91C8D9BC8F8}"/>
    <cellStyle name="Normal 7 16 18" xfId="11194" xr:uid="{00000000-0005-0000-0000-00000C340000}"/>
    <cellStyle name="Normal 7 16 18 2" xfId="43683" xr:uid="{22025992-3E85-4EB8-8A78-9A41A3EBEE72}"/>
    <cellStyle name="Normal 7 16 19" xfId="13505" xr:uid="{00000000-0005-0000-0000-000094340000}"/>
    <cellStyle name="Normal 7 16 19 2" xfId="45969" xr:uid="{76FABF96-BCEA-42A1-B6B3-93D6EE27464A}"/>
    <cellStyle name="Normal 7 16 2" xfId="10197" xr:uid="{00000000-0005-0000-0000-0000B01F0000}"/>
    <cellStyle name="Normal-- 7 16 2" xfId="41483" xr:uid="{897C02C8-519C-4DD1-BD08-5562882496AA}"/>
    <cellStyle name="Normal 7 16 2 2" xfId="42686" xr:uid="{30075323-6D12-4F75-A35C-2799168AD25A}"/>
    <cellStyle name="Normal 7 16 2 3" xfId="47510" xr:uid="{E6929C05-8851-48D0-A1AD-152583ABFF50}"/>
    <cellStyle name="Normal 7 16 2 4" xfId="48196" xr:uid="{EF5B64F2-52AD-45AC-8646-84DF3D0CBCC5}"/>
    <cellStyle name="Normal 7 16 2 5" xfId="15068" xr:uid="{923D6520-BDE4-4415-B264-88B86724E665}"/>
    <cellStyle name="Normal 7 16 2 6" xfId="48020" xr:uid="{E0AC5AE9-83F8-4D40-A899-238136EF38E7}"/>
    <cellStyle name="Normal 7 16 2 7" xfId="48274" xr:uid="{D6260C26-5654-4E5D-A2EB-7EF6C13F8DD5}"/>
    <cellStyle name="Normal 7 16 2 8" xfId="48515" xr:uid="{7A78CC99-7A1F-4A36-A968-6EA6EFAB44DD}"/>
    <cellStyle name="Normal 7 16 2 9" xfId="15704" xr:uid="{EEC949C4-A39A-4689-8CAB-BBF298240734}"/>
    <cellStyle name="Normal 7 16 20" xfId="11128" xr:uid="{00000000-0005-0000-0000-000020350000}"/>
    <cellStyle name="Normal 7 16 20 2" xfId="43617" xr:uid="{F3A8C529-F86C-4E19-BA52-E0F332DC7DF2}"/>
    <cellStyle name="Normal 7 16 21" xfId="16065" xr:uid="{F79064D9-6B64-4A40-8D57-BBA786882DE6}"/>
    <cellStyle name="Normal 7 16 22" xfId="38710" xr:uid="{91969DCE-7BA5-4F48-A9D1-D4AB669668AB}"/>
    <cellStyle name="Normal 7 16 23" xfId="15333" xr:uid="{75165F9C-BA9E-4310-88C6-9F8318FF6F0C}"/>
    <cellStyle name="Normal 7 16 24" xfId="48628" xr:uid="{048E4B48-8711-4331-87C0-C41D25DCFEA7}"/>
    <cellStyle name="Normal 7 16 25" xfId="47255" xr:uid="{671E6BB7-2F01-41B1-84A4-5D7BDBC57A18}"/>
    <cellStyle name="Normal 7 16 26" xfId="47651" xr:uid="{75BBADD6-ED83-4354-90E2-2AD6CA8CFEB8}"/>
    <cellStyle name="Normal 7 16 27" xfId="41294" xr:uid="{60E9D50B-DF6A-4338-8705-E26D76EC37F4}"/>
    <cellStyle name="Normal 7 16 28" xfId="46211" xr:uid="{D7E33C5E-C34A-47FB-9CEE-A1145EEC70DF}"/>
    <cellStyle name="Normal 7 16 29" xfId="49613" xr:uid="{768C03A6-9823-4EA6-BF9D-D22A7DA33EC8}"/>
    <cellStyle name="Normal 7 16 3" xfId="12697" xr:uid="{00000000-0005-0000-0000-00009B250000}"/>
    <cellStyle name="Normal-- 7 16 3" xfId="47002" xr:uid="{8AB36D15-AA89-4FB8-BE99-7FE89EC840CA}"/>
    <cellStyle name="Normal 7 16 3 2" xfId="45168" xr:uid="{DC5F5354-370C-4EAF-9901-C0CC6DA9EC38}"/>
    <cellStyle name="Normal 7 16 3 3" xfId="41424" xr:uid="{DD49A0A0-4398-4F5A-B0A3-13392A4FE165}"/>
    <cellStyle name="Normal 7 16 3 4" xfId="46782" xr:uid="{27E280CB-8CFB-40DD-A59A-3ABD09B92B40}"/>
    <cellStyle name="Normal 7 16 3 5" xfId="48019" xr:uid="{3A02DB30-0D41-4D20-99F0-B59B078DF22D}"/>
    <cellStyle name="Normal 7 16 3 6" xfId="49468" xr:uid="{33D9773F-895A-4878-B195-1AD9A78BC055}"/>
    <cellStyle name="Normal 7 16 3 7" xfId="49708" xr:uid="{AA5B6956-3B20-489E-91B1-90A11B3180C9}"/>
    <cellStyle name="Normal 7 16 3 8" xfId="50053" xr:uid="{5214961D-75E3-4F6B-8249-4BFE0D425854}"/>
    <cellStyle name="Normal 7 16 4" xfId="8923" xr:uid="{00000000-0005-0000-0000-0000E7250000}"/>
    <cellStyle name="Normal-- 7 16 4" xfId="46607" xr:uid="{272BCC37-2031-4306-9D93-5F1913756B0D}"/>
    <cellStyle name="Normal 7 16 4 2" xfId="41568" xr:uid="{CB8785AC-BAD8-4EBF-B771-D20C362EC2BE}"/>
    <cellStyle name="Normal 7 16 4 3" xfId="40088" xr:uid="{DDE855EC-CB23-4F18-A791-495DE4D7476D}"/>
    <cellStyle name="Normal 7 16 4 4" xfId="46707" xr:uid="{3DCD1177-CD24-436B-ACB3-B624EA758484}"/>
    <cellStyle name="Normal 7 16 4 5" xfId="46618" xr:uid="{A1E0F189-23CA-4617-9796-402829337D37}"/>
    <cellStyle name="Normal 7 16 4 6" xfId="48839" xr:uid="{DF849122-53B8-4112-B760-62731E2C2802}"/>
    <cellStyle name="Normal 7 16 4 7" xfId="49474" xr:uid="{EE22E10E-3129-4F5D-B1BF-8FD0EFA68F8B}"/>
    <cellStyle name="Normal 7 16 5" xfId="12746" xr:uid="{00000000-0005-0000-0000-000037260000}"/>
    <cellStyle name="Normal-- 7 16 5" xfId="40072" xr:uid="{F15031A7-5C67-4CAE-9435-094A18B81ADF}"/>
    <cellStyle name="Normal 7 16 5 2" xfId="45217" xr:uid="{92BDAEA0-2922-48DD-8419-B3D9E382141D}"/>
    <cellStyle name="Normal 7 16 5 3" xfId="13628" xr:uid="{02413D30-451B-4343-9F08-0173ECF273FF}"/>
    <cellStyle name="Normal 7 16 5 4" xfId="49486" xr:uid="{5884B946-73BC-4CAA-9B02-9354ABC1BCBD}"/>
    <cellStyle name="Normal 7 16 5 5" xfId="49724" xr:uid="{7375E579-C5CA-44D3-83DF-FEE37D8A8ED9}"/>
    <cellStyle name="Normal 7 16 5 6" xfId="50072" xr:uid="{F51004C1-0263-4B46-BD32-A481BE4738C9}"/>
    <cellStyle name="Normal 7 16 6" xfId="9007" xr:uid="{00000000-0005-0000-0000-00008B260000}"/>
    <cellStyle name="Normal-- 7 16 6" xfId="47555" xr:uid="{651CF21C-D27B-463C-B173-F6D8B0AE5CED}"/>
    <cellStyle name="Normal 7 16 6 2" xfId="41634" xr:uid="{5EED443B-A6FE-41A3-955E-D466C13E651A}"/>
    <cellStyle name="Normal 7 16 6 3" xfId="16586" xr:uid="{F56657EB-DB06-47B9-BFFE-9880AF75EE89}"/>
    <cellStyle name="Normal 7 16 6 4" xfId="49201" xr:uid="{69F24EA3-7EDB-47F6-B0F0-19F9EF48B85D}"/>
    <cellStyle name="Normal 7 16 6 5" xfId="49340" xr:uid="{8AF70A61-50EC-4112-A4A6-CBDD3C2A7F2E}"/>
    <cellStyle name="Normal 7 16 7" xfId="12790" xr:uid="{00000000-0005-0000-0000-0000E3260000}"/>
    <cellStyle name="Normal-- 7 16 7" xfId="14903" xr:uid="{D29BBF65-B248-46FF-A956-C1EFCA8CDBE6}"/>
    <cellStyle name="Normal 7 16 7 2" xfId="45261" xr:uid="{9C427EEB-D94F-4C5B-9E78-41C3821866CE}"/>
    <cellStyle name="Normal 7 16 7 3" xfId="49734" xr:uid="{D6E92214-10B6-4950-96F3-71B1BBE233D4}"/>
    <cellStyle name="Normal 7 16 7 4" xfId="50085" xr:uid="{75E4132E-58B4-42DB-96D1-E9E82E432340}"/>
    <cellStyle name="Normal 7 16 8" xfId="9096" xr:uid="{00000000-0005-0000-0000-00003F270000}"/>
    <cellStyle name="Normal-- 7 16 8" xfId="46603" xr:uid="{189B0C35-CF92-4556-A520-D5B40FC65D8E}"/>
    <cellStyle name="Normal 7 16 8 2" xfId="41699" xr:uid="{F2A0F919-401A-4854-B8DF-F9874F4B7401}"/>
    <cellStyle name="Normal 7 16 8 3" xfId="40672" xr:uid="{95D8CC1E-5071-48FB-AE91-1D80FDBCCACD}"/>
    <cellStyle name="Normal 7 16 9" xfId="12841" xr:uid="{00000000-0005-0000-0000-00009F270000}"/>
    <cellStyle name="Normal-- 7 16 9" xfId="14412" xr:uid="{7B6AF7A0-75C3-4781-8D57-877BF7461C91}"/>
    <cellStyle name="Normal 7 16 9 2" xfId="45312" xr:uid="{9F8281BF-66BE-4C50-B1DB-0DA4DCA40059}"/>
    <cellStyle name="Normal 7 17" xfId="4673" xr:uid="{00000000-0005-0000-0000-000064120000}"/>
    <cellStyle name="Normal-- 7 17" xfId="12686" xr:uid="{00000000-0005-0000-0000-000094250000}"/>
    <cellStyle name="Normal 7 17 10" xfId="13241" xr:uid="{00000000-0005-0000-0000-0000C5300000}"/>
    <cellStyle name="Normal 7 17 10 2" xfId="45705" xr:uid="{DE8B5BC7-F605-42DA-8053-FA5EA2CB2DE1}"/>
    <cellStyle name="Normal 7 17 11" xfId="11400" xr:uid="{00000000-0005-0000-0000-000031310000}"/>
    <cellStyle name="Normal 7 17 11 2" xfId="43888" xr:uid="{EE3E2A13-BD75-4EF9-8591-F9CB9B91D934}"/>
    <cellStyle name="Normal 7 17 12" xfId="13291" xr:uid="{00000000-0005-0000-0000-0000A1310000}"/>
    <cellStyle name="Normal 7 17 12 2" xfId="45755" xr:uid="{11BB6B7B-E7D6-4978-AF40-9DB9B43E490D}"/>
    <cellStyle name="Normal 7 17 13" xfId="11334" xr:uid="{00000000-0005-0000-0000-000015320000}"/>
    <cellStyle name="Normal 7 17 13 2" xfId="43823" xr:uid="{5809AC5E-AD0C-4D09-B64B-8BC384D0162C}"/>
    <cellStyle name="Normal 7 17 14" xfId="13378" xr:uid="{00000000-0005-0000-0000-00008D320000}"/>
    <cellStyle name="Normal 7 17 14 2" xfId="45842" xr:uid="{B1A90776-B720-4900-B5A8-0F2A1FFFFF49}"/>
    <cellStyle name="Normal 7 17 15" xfId="11254" xr:uid="{00000000-0005-0000-0000-000009330000}"/>
    <cellStyle name="Normal 7 17 15 2" xfId="43743" xr:uid="{5FA9C1EF-020E-4586-8E4D-9844D4EFECC7}"/>
    <cellStyle name="Normal 7 17 16" xfId="13443" xr:uid="{00000000-0005-0000-0000-000089330000}"/>
    <cellStyle name="Normal 7 17 16 2" xfId="45907" xr:uid="{F38F88DB-7074-4466-8585-454AFB8C8D2D}"/>
    <cellStyle name="Normal 7 17 17" xfId="11193" xr:uid="{00000000-0005-0000-0000-00000D340000}"/>
    <cellStyle name="Normal 7 17 17 2" xfId="43682" xr:uid="{CBC63700-A5F3-49E0-806E-243FFAE72F30}"/>
    <cellStyle name="Normal 7 17 18" xfId="13507" xr:uid="{00000000-0005-0000-0000-000095340000}"/>
    <cellStyle name="Normal 7 17 18 2" xfId="45971" xr:uid="{31E81178-5928-4632-AE51-E2E6C6D68197}"/>
    <cellStyle name="Normal 7 17 19" xfId="11126" xr:uid="{00000000-0005-0000-0000-000021350000}"/>
    <cellStyle name="Normal 7 17 19 2" xfId="43615" xr:uid="{AD48300F-21C7-414C-BBBB-1FF6EE8D84C6}"/>
    <cellStyle name="Normal 7 17 2" xfId="10198" xr:uid="{00000000-0005-0000-0000-0000B11F0000}"/>
    <cellStyle name="Normal-- 7 17 2" xfId="45157" xr:uid="{DD1CA9E1-684E-4105-8744-557AB1755D01}"/>
    <cellStyle name="Normal 7 17 2 2" xfId="42687" xr:uid="{8E2CCDC7-2570-4915-9929-4A02B81B5099}"/>
    <cellStyle name="Normal 7 17 2 3" xfId="47511" xr:uid="{77EF9A13-53F3-4E6E-BFCF-698A5FAD994B}"/>
    <cellStyle name="Normal 7 17 2 4" xfId="46353" xr:uid="{66EAD744-DE4B-4628-90CD-359267BD584E}"/>
    <cellStyle name="Normal 7 17 2 5" xfId="15067" xr:uid="{6419793D-0856-445F-9D53-14E6A4F4E4B1}"/>
    <cellStyle name="Normal 7 17 2 6" xfId="46298" xr:uid="{128F9106-4299-4D49-A2C2-5F64E06C1363}"/>
    <cellStyle name="Normal 7 17 2 7" xfId="41463" xr:uid="{4DCD514F-8110-4A10-AF69-98A8EE1C20CC}"/>
    <cellStyle name="Normal 7 17 2 8" xfId="40748" xr:uid="{7DD39EE7-2E36-4E3C-A9C5-5E5F543C0ED5}"/>
    <cellStyle name="Normal 7 17 2 9" xfId="46805" xr:uid="{BE75133E-4E9B-4429-8A0C-7CD53FD05E16}"/>
    <cellStyle name="Normal 7 17 20" xfId="16066" xr:uid="{C31071B8-F512-48AE-85B3-484ABAC66719}"/>
    <cellStyle name="Normal 7 17 21" xfId="38711" xr:uid="{FB0107AB-A95C-4601-AD29-715492A7AC7F}"/>
    <cellStyle name="Normal 7 17 22" xfId="40393" xr:uid="{5F1D8777-7BAA-467B-98FC-E82AE2201D35}"/>
    <cellStyle name="Normal 7 17 23" xfId="46138" xr:uid="{A093987C-0DA3-4623-8341-513050304C79}"/>
    <cellStyle name="Normal 7 17 24" xfId="37815" xr:uid="{C1D730BE-1609-4EF1-B5C3-F4B94F0C671D}"/>
    <cellStyle name="Normal 7 17 25" xfId="48065" xr:uid="{9EF4ED76-9B60-4E2F-83BB-2E9E7B20C31D}"/>
    <cellStyle name="Normal 7 17 26" xfId="37846" xr:uid="{059C253C-1D61-4E6D-90A4-7E084FF347E7}"/>
    <cellStyle name="Normal 7 17 27" xfId="41101" xr:uid="{B752ECA2-10FF-414F-8B96-29B0215ED865}"/>
    <cellStyle name="Normal 7 17 28" xfId="15440" xr:uid="{FA34FF88-1C4C-4C05-A035-1292C41FA80E}"/>
    <cellStyle name="Normal 7 17 3" xfId="8924" xr:uid="{00000000-0005-0000-0000-0000E8250000}"/>
    <cellStyle name="Normal-- 7 17 3" xfId="48434" xr:uid="{A5765362-7A5B-472C-A308-4C5B2FC33D24}"/>
    <cellStyle name="Normal 7 17 3 2" xfId="41569" xr:uid="{6F15D444-288C-4C27-9A7A-6F87277E3111}"/>
    <cellStyle name="Normal 7 17 3 3" xfId="37642" xr:uid="{76F83A46-947A-4BF2-9229-C19B56FBD8A0}"/>
    <cellStyle name="Normal 7 17 3 4" xfId="40706" xr:uid="{DD02AE57-8FD4-4E70-826A-409343686999}"/>
    <cellStyle name="Normal 7 17 3 5" xfId="40365" xr:uid="{2BCE3218-D779-4F1B-951E-DB5BA7C98C02}"/>
    <cellStyle name="Normal 7 17 3 6" xfId="39818" xr:uid="{068944A2-C0D8-4401-96B0-247D47D8188E}"/>
    <cellStyle name="Normal 7 17 3 7" xfId="40696" xr:uid="{D2380704-4DBA-47F5-A180-DBC6A3378325}"/>
    <cellStyle name="Normal 7 17 3 8" xfId="48421" xr:uid="{092AEF28-6F7F-4E82-BCD0-BAF1BC762264}"/>
    <cellStyle name="Normal 7 17 4" xfId="12747" xr:uid="{00000000-0005-0000-0000-000038260000}"/>
    <cellStyle name="Normal-- 7 17 4" xfId="41419" xr:uid="{A203AA36-5C91-4B08-B8CA-7448E5794403}"/>
    <cellStyle name="Normal 7 17 4 2" xfId="45218" xr:uid="{C1A0EDFC-F044-4600-BFF1-A3375830FD78}"/>
    <cellStyle name="Normal 7 17 4 3" xfId="40191" xr:uid="{824D97F5-4C79-4A6F-87BC-167F15F786D3}"/>
    <cellStyle name="Normal 7 17 4 4" xfId="46235" xr:uid="{5F1E61DD-60CC-4139-91D2-6533A5AA12E7}"/>
    <cellStyle name="Normal 7 17 4 5" xfId="49487" xr:uid="{A11B55C1-C41C-478D-BB24-97B9D06A3293}"/>
    <cellStyle name="Normal 7 17 4 6" xfId="49725" xr:uid="{12817DC2-A3F6-4F9E-A4E1-C33F0AEF12B1}"/>
    <cellStyle name="Normal 7 17 4 7" xfId="50073" xr:uid="{E7797414-FC48-4BE1-820F-477DC0902F2B}"/>
    <cellStyle name="Normal 7 17 5" xfId="9008" xr:uid="{00000000-0005-0000-0000-00008C260000}"/>
    <cellStyle name="Normal-- 7 17 5" xfId="15521" xr:uid="{28319406-76E7-44BA-A061-AEEAFA149123}"/>
    <cellStyle name="Normal 7 17 5 2" xfId="41635" xr:uid="{76FE420E-43AB-4CF2-85D6-8F7C391D3855}"/>
    <cellStyle name="Normal 7 17 5 3" xfId="15965" xr:uid="{1DA468CB-88FA-4939-A10E-AD3EE13CE286}"/>
    <cellStyle name="Normal 7 17 5 4" xfId="15090" xr:uid="{34835AB3-C293-4734-8A3E-7E88DF0021D0}"/>
    <cellStyle name="Normal 7 17 5 5" xfId="47012" xr:uid="{73BE35E4-C7A9-4D50-992C-6356D9BA748B}"/>
    <cellStyle name="Normal 7 17 5 6" xfId="40232" xr:uid="{86527CBC-8F23-4C9F-BFEB-79C6ECCCE5DE}"/>
    <cellStyle name="Normal 7 17 6" xfId="12792" xr:uid="{00000000-0005-0000-0000-0000E4260000}"/>
    <cellStyle name="Normal-- 7 17 6" xfId="46267" xr:uid="{8F416848-AC4B-41E3-A2CE-DD8B42C08ADE}"/>
    <cellStyle name="Normal 7 17 6 2" xfId="45263" xr:uid="{4F6E6A66-1BA5-483A-9FE4-28DACD8AB30A}"/>
    <cellStyle name="Normal 7 17 6 3" xfId="49496" xr:uid="{CAAD7921-438F-42E4-85F6-4D989F91D80E}"/>
    <cellStyle name="Normal 7 17 6 4" xfId="49735" xr:uid="{0A09D019-F8A6-4A0D-97E1-DC34FB4660EA}"/>
    <cellStyle name="Normal 7 17 6 5" xfId="50086" xr:uid="{3422D4B4-5A24-4023-BAC2-32D66AD78873}"/>
    <cellStyle name="Normal 7 17 7" xfId="9097" xr:uid="{00000000-0005-0000-0000-000040270000}"/>
    <cellStyle name="Normal-- 7 17 7" xfId="49464" xr:uid="{D3BBD473-2D56-4B9A-9211-110F406387F7}"/>
    <cellStyle name="Normal 7 17 7 2" xfId="41700" xr:uid="{3DD09E64-4E28-4CE3-A9F7-624182D7747F}"/>
    <cellStyle name="Normal 7 17 7 3" xfId="40586" xr:uid="{5819F94E-2431-46C7-AB5B-897CC1124888}"/>
    <cellStyle name="Normal 7 17 7 4" xfId="46284" xr:uid="{B0E1C632-613F-4198-8118-3C4C46C5C3FC}"/>
    <cellStyle name="Normal 7 17 8" xfId="12842" xr:uid="{00000000-0005-0000-0000-0000A0270000}"/>
    <cellStyle name="Normal-- 7 17 8" xfId="49703" xr:uid="{48F32533-87B8-4B65-8158-54B22DE822BF}"/>
    <cellStyle name="Normal 7 17 8 2" xfId="45313" xr:uid="{6243BFAF-6001-486B-AAE3-9E1ACD9FD428}"/>
    <cellStyle name="Normal 7 17 8 3" xfId="50098" xr:uid="{401D7B0E-54FB-4F3C-A321-4A071DA27532}"/>
    <cellStyle name="Normal 7 17 9" xfId="7957" xr:uid="{00000000-0005-0000-0000-0000D90E0000}"/>
    <cellStyle name="Normal-- 7 17 9" xfId="50047" xr:uid="{5342E2A4-5016-4371-8276-F0C60A35C95C}"/>
    <cellStyle name="Normal 7 18" xfId="4674" xr:uid="{00000000-0005-0000-0000-000065120000}"/>
    <cellStyle name="Normal-- 7 18" xfId="8915" xr:uid="{00000000-0005-0000-0000-0000E0250000}"/>
    <cellStyle name="Normal 7 18 10" xfId="11399" xr:uid="{00000000-0005-0000-0000-000032310000}"/>
    <cellStyle name="Normal 7 18 10 2" xfId="43887" xr:uid="{803D3979-AC5A-4D87-B56F-378179267A17}"/>
    <cellStyle name="Normal 7 18 11" xfId="13305" xr:uid="{00000000-0005-0000-0000-0000A2310000}"/>
    <cellStyle name="Normal 7 18 11 2" xfId="45769" xr:uid="{543CCC91-DA6A-4F34-ABBF-1E7DB6E28742}"/>
    <cellStyle name="Normal 7 18 12" xfId="11331" xr:uid="{00000000-0005-0000-0000-000016320000}"/>
    <cellStyle name="Normal 7 18 12 2" xfId="43820" xr:uid="{1A4CBD36-60D3-4D8C-ABC9-3CBFF2BA20A8}"/>
    <cellStyle name="Normal 7 18 13" xfId="13379" xr:uid="{00000000-0005-0000-0000-00008E320000}"/>
    <cellStyle name="Normal 7 18 13 2" xfId="45843" xr:uid="{2F65F641-51D8-4907-8177-D8C9794913E1}"/>
    <cellStyle name="Normal 7 18 14" xfId="11253" xr:uid="{00000000-0005-0000-0000-00000A330000}"/>
    <cellStyle name="Normal 7 18 14 2" xfId="43742" xr:uid="{8CE02E6E-7C3B-4FD4-B65D-D84B71F9A767}"/>
    <cellStyle name="Normal 7 18 15" xfId="13444" xr:uid="{00000000-0005-0000-0000-00008A330000}"/>
    <cellStyle name="Normal 7 18 15 2" xfId="45908" xr:uid="{A2D60173-88EE-4473-AEC1-B2EFD1BD6485}"/>
    <cellStyle name="Normal 7 18 16" xfId="11192" xr:uid="{00000000-0005-0000-0000-00000E340000}"/>
    <cellStyle name="Normal 7 18 16 2" xfId="43681" xr:uid="{5C44C687-C49F-4AED-82CF-2F1BBA6B18FE}"/>
    <cellStyle name="Normal 7 18 17" xfId="13508" xr:uid="{00000000-0005-0000-0000-000096340000}"/>
    <cellStyle name="Normal 7 18 17 2" xfId="45972" xr:uid="{9E9D15D7-AF49-4CD7-92A3-7882292E43CB}"/>
    <cellStyle name="Normal 7 18 18" xfId="11118" xr:uid="{00000000-0005-0000-0000-000022350000}"/>
    <cellStyle name="Normal 7 18 18 2" xfId="43607" xr:uid="{D2A1697A-DFE1-4CCA-AF1D-1A3FCD8B750C}"/>
    <cellStyle name="Normal 7 18 19" xfId="16067" xr:uid="{A1BD1E7F-37CB-4145-9E80-8BB93F69D023}"/>
    <cellStyle name="Normal 7 18 2" xfId="10199" xr:uid="{00000000-0005-0000-0000-0000B21F0000}"/>
    <cellStyle name="Normal-- 7 18 2" xfId="41560" xr:uid="{539990AC-047C-4383-AEAF-36EB41679A4A}"/>
    <cellStyle name="Normal 7 18 2 2" xfId="42688" xr:uid="{6047739D-E0EB-48EC-AE7E-1A8D70E60048}"/>
    <cellStyle name="Normal 7 18 2 3" xfId="47512" xr:uid="{7A11A079-780C-4B12-AEA5-69EB5956934A}"/>
    <cellStyle name="Normal 7 18 2 4" xfId="46358" xr:uid="{880FCE10-C36F-413F-96CC-6BEF34C4AEED}"/>
    <cellStyle name="Normal 7 18 2 5" xfId="47666" xr:uid="{6283D668-01C4-4370-B5A4-55171DC7F630}"/>
    <cellStyle name="Normal 7 18 2 6" xfId="47885" xr:uid="{4E2A4F40-5A43-4677-9CA9-CF49866A9FAC}"/>
    <cellStyle name="Normal 7 18 2 7" xfId="37656" xr:uid="{CE84CDDA-339E-49B2-A0F6-9A8619460746}"/>
    <cellStyle name="Normal 7 18 2 8" xfId="37765" xr:uid="{16CD6766-D706-4899-9320-CB699ED99669}"/>
    <cellStyle name="Normal 7 18 2 9" xfId="48084" xr:uid="{BE644249-A379-4D97-9111-3CA610AF2FE4}"/>
    <cellStyle name="Normal 7 18 20" xfId="38712" xr:uid="{A877C040-8EE9-43E0-9373-09D5751863CF}"/>
    <cellStyle name="Normal 7 18 21" xfId="40394" xr:uid="{A7E7C47C-C3F5-44DA-94BF-4CF6299F3BE5}"/>
    <cellStyle name="Normal 7 18 22" xfId="47421" xr:uid="{16A3B0E2-F632-4ADD-AB28-867539F45C3E}"/>
    <cellStyle name="Normal 7 18 23" xfId="48654" xr:uid="{6124B8AE-D969-4ABC-9AC3-3C213F29CEAA}"/>
    <cellStyle name="Normal 7 18 24" xfId="47470" xr:uid="{F0A15B49-0D98-4223-B58C-0205169550C4}"/>
    <cellStyle name="Normal 7 18 25" xfId="47067" xr:uid="{57A27AD6-5802-421F-8973-E0113007B8D6}"/>
    <cellStyle name="Normal 7 18 26" xfId="40633" xr:uid="{E392CA65-7CD6-460A-93F2-D8C1D6A3BBC4}"/>
    <cellStyle name="Normal 7 18 27" xfId="40660" xr:uid="{3E442CB3-CCC1-4ADC-B386-E9CDB9FD84E8}"/>
    <cellStyle name="Normal 7 18 3" xfId="12748" xr:uid="{00000000-0005-0000-0000-000039260000}"/>
    <cellStyle name="Normal-- 7 18 3" xfId="47033" xr:uid="{7C4CA407-F972-4A6E-87D2-73632B9182DD}"/>
    <cellStyle name="Normal 7 18 3 2" xfId="45219" xr:uid="{D4D7F4D0-97B4-48DB-8F52-B6E28F0DC80D}"/>
    <cellStyle name="Normal 7 18 3 3" xfId="41469" xr:uid="{D59046F6-677F-4806-8E30-22CCCF109E58}"/>
    <cellStyle name="Normal 7 18 3 4" xfId="15523" xr:uid="{7B84D6C4-CF93-4C3E-A8F4-336A29DF2C9E}"/>
    <cellStyle name="Normal 7 18 3 5" xfId="37985" xr:uid="{D00B44B1-59A0-4AD2-AF93-ABB09A5BC42C}"/>
    <cellStyle name="Normal 7 18 3 6" xfId="49488" xr:uid="{A81C5BA8-4B3B-4744-9A12-B90A5C53A720}"/>
    <cellStyle name="Normal 7 18 3 7" xfId="49726" xr:uid="{9156D62A-DDC7-4F54-8466-FBCCFB58D0B9}"/>
    <cellStyle name="Normal 7 18 3 8" xfId="50074" xr:uid="{11186CC8-F955-49FE-8A46-CF29396467D0}"/>
    <cellStyle name="Normal 7 18 4" xfId="9009" xr:uid="{00000000-0005-0000-0000-00008D260000}"/>
    <cellStyle name="Normal-- 7 18 4" xfId="48092" xr:uid="{8028AFA1-F850-45CA-81D7-1B6CDD914CE3}"/>
    <cellStyle name="Normal 7 18 4 2" xfId="41636" xr:uid="{D2A0F2D5-F003-4BFD-8EA9-504E2EC4EFF8}"/>
    <cellStyle name="Normal 7 18 4 3" xfId="14978" xr:uid="{31E5D9B4-206B-42A0-A540-DC04A4508A93}"/>
    <cellStyle name="Normal 7 18 4 4" xfId="46703" xr:uid="{F43F37B7-29A9-40C8-BB94-0DA31434F847}"/>
    <cellStyle name="Normal 7 18 4 5" xfId="47163" xr:uid="{5A473EC5-5341-42C1-8BFA-051ACE2A3CB7}"/>
    <cellStyle name="Normal 7 18 4 6" xfId="15109" xr:uid="{1D1F2119-8494-49FD-B303-51414C8385F0}"/>
    <cellStyle name="Normal 7 18 4 7" xfId="16481" xr:uid="{91B6A417-CF3A-4042-90B0-E09CB6F736CE}"/>
    <cellStyle name="Normal 7 18 5" xfId="12794" xr:uid="{00000000-0005-0000-0000-0000E5260000}"/>
    <cellStyle name="Normal-- 7 18 5" xfId="14973" xr:uid="{CEC221A1-42A2-4C18-99C8-CA469FE93E09}"/>
    <cellStyle name="Normal 7 18 5 2" xfId="45265" xr:uid="{E1456D9F-252C-4784-A2CE-86EA51409E65}"/>
    <cellStyle name="Normal 7 18 5 3" xfId="46511" xr:uid="{3C3C6B36-5CC7-4DB0-9073-BCE014412245}"/>
    <cellStyle name="Normal 7 18 5 4" xfId="49497" xr:uid="{E603D02C-95C4-4D69-9127-10CA935F2200}"/>
    <cellStyle name="Normal 7 18 5 5" xfId="49736" xr:uid="{11A120A4-610E-4666-9A53-5445ECA1CB0C}"/>
    <cellStyle name="Normal 7 18 5 6" xfId="50087" xr:uid="{9E6FB6E5-A41C-4FF2-A360-07BF0DBA8450}"/>
    <cellStyle name="Normal 7 18 6" xfId="9098" xr:uid="{00000000-0005-0000-0000-000041270000}"/>
    <cellStyle name="Normal-- 7 18 6" xfId="47385" xr:uid="{4FE59789-1FC3-4122-8BF8-748F828AA7D8}"/>
    <cellStyle name="Normal 7 18 6 2" xfId="41701" xr:uid="{38417611-D6F3-4CE9-802A-A7014B7D5A75}"/>
    <cellStyle name="Normal 7 18 6 3" xfId="37695" xr:uid="{308975DC-ED83-487A-B8AC-84EBFEF99310}"/>
    <cellStyle name="Normal 7 18 6 4" xfId="47920" xr:uid="{E13D490A-C7F1-4EC7-A963-9E558A7B2B81}"/>
    <cellStyle name="Normal 7 18 6 5" xfId="16513" xr:uid="{4572864B-1BF3-4A9A-8080-FB53EAA0B5BF}"/>
    <cellStyle name="Normal 7 18 7" xfId="12843" xr:uid="{00000000-0005-0000-0000-0000A1270000}"/>
    <cellStyle name="Normal-- 7 18 7" xfId="15781" xr:uid="{7177E4DB-2F40-4C6F-ADC8-4B82DE644E50}"/>
    <cellStyle name="Normal 7 18 7 2" xfId="45314" xr:uid="{25FEA345-5CFE-4C03-8208-B7CC51C2436A}"/>
    <cellStyle name="Normal 7 18 7 3" xfId="49746" xr:uid="{7F099804-CAAE-4BB0-A513-319BE77C0520}"/>
    <cellStyle name="Normal 7 18 7 4" xfId="50099" xr:uid="{D509D659-C6FE-4C96-812A-1AA30D23492D}"/>
    <cellStyle name="Normal 7 18 8" xfId="7958" xr:uid="{00000000-0005-0000-0000-0000DA0E0000}"/>
    <cellStyle name="Normal-- 7 18 8" xfId="45435" xr:uid="{273B0A1E-2C69-460F-B5A2-D4133D3A3078}"/>
    <cellStyle name="Normal 7 18 9" xfId="13242" xr:uid="{00000000-0005-0000-0000-0000C6300000}"/>
    <cellStyle name="Normal-- 7 18 9" xfId="46533" xr:uid="{3C1CAC78-DFE0-4A36-BC60-7269C4297A64}"/>
    <cellStyle name="Normal 7 18 9 2" xfId="45706" xr:uid="{AE910C65-AD7A-4FE9-AFE4-8687316461ED}"/>
    <cellStyle name="Normal 7 19" xfId="4675" xr:uid="{00000000-0005-0000-0000-000066120000}"/>
    <cellStyle name="Normal-- 7 19" xfId="12739" xr:uid="{00000000-0005-0000-0000-000030260000}"/>
    <cellStyle name="Normal 7 19 10" xfId="13306" xr:uid="{00000000-0005-0000-0000-0000A3310000}"/>
    <cellStyle name="Normal 7 19 10 2" xfId="45770" xr:uid="{1BF1C872-20AA-4B36-BB0D-D7D03F6DE3BD}"/>
    <cellStyle name="Normal 7 19 11" xfId="11330" xr:uid="{00000000-0005-0000-0000-000017320000}"/>
    <cellStyle name="Normal 7 19 11 2" xfId="43819" xr:uid="{0EBB4DC1-26C4-469D-A795-D9467083F906}"/>
    <cellStyle name="Normal 7 19 12" xfId="13380" xr:uid="{00000000-0005-0000-0000-00008F320000}"/>
    <cellStyle name="Normal 7 19 12 2" xfId="45844" xr:uid="{619E5957-AC29-41D8-A881-E308C94F9028}"/>
    <cellStyle name="Normal 7 19 13" xfId="11251" xr:uid="{00000000-0005-0000-0000-00000B330000}"/>
    <cellStyle name="Normal 7 19 13 2" xfId="43740" xr:uid="{4A8E6F75-D042-46CC-B723-3BA7BB5C99CB}"/>
    <cellStyle name="Normal 7 19 14" xfId="13445" xr:uid="{00000000-0005-0000-0000-00008B330000}"/>
    <cellStyle name="Normal 7 19 14 2" xfId="45909" xr:uid="{8C15EB79-F5CE-4E9D-B8B4-51273D8DFC67}"/>
    <cellStyle name="Normal 7 19 15" xfId="11191" xr:uid="{00000000-0005-0000-0000-00000F340000}"/>
    <cellStyle name="Normal 7 19 15 2" xfId="43680" xr:uid="{07AFB85D-AA58-4053-82EB-DD158F811524}"/>
    <cellStyle name="Normal 7 19 16" xfId="13509" xr:uid="{00000000-0005-0000-0000-000097340000}"/>
    <cellStyle name="Normal 7 19 16 2" xfId="45973" xr:uid="{4A8025DB-434D-465E-9E65-5D7E85AAAE27}"/>
    <cellStyle name="Normal 7 19 17" xfId="11114" xr:uid="{00000000-0005-0000-0000-000023350000}"/>
    <cellStyle name="Normal 7 19 17 2" xfId="43603" xr:uid="{41D75B2B-7E8E-41FA-BF73-EA0BEE09004A}"/>
    <cellStyle name="Normal 7 19 18" xfId="16068" xr:uid="{B876CAE3-6041-455C-86C6-735EEBEBEAEA}"/>
    <cellStyle name="Normal 7 19 19" xfId="38713" xr:uid="{0D4262C3-FDF6-4BA7-A68A-1E546F11DD74}"/>
    <cellStyle name="Normal 7 19 2" xfId="10200" xr:uid="{00000000-0005-0000-0000-0000B31F0000}"/>
    <cellStyle name="Normal-- 7 19 2" xfId="45210" xr:uid="{0B6C8838-4CD2-444C-B74A-8374CD2A212D}"/>
    <cellStyle name="Normal 7 19 2 2" xfId="42689" xr:uid="{D709244D-7325-4891-BF97-91B0BA974760}"/>
    <cellStyle name="Normal 7 19 2 3" xfId="47513" xr:uid="{7CBDB7A9-5F64-45CE-A5C8-D0798536795F}"/>
    <cellStyle name="Normal 7 19 2 4" xfId="37872" xr:uid="{A738F38D-C6B0-4C60-A0F5-B9C24F9636B2}"/>
    <cellStyle name="Normal 7 19 2 5" xfId="46831" xr:uid="{C5B9489A-CFEF-4C07-ADCA-9B607C7D52F4}"/>
    <cellStyle name="Normal 7 19 2 6" xfId="46510" xr:uid="{8D0AFDD3-1E69-47A6-BA8B-4732190ADE22}"/>
    <cellStyle name="Normal 7 19 2 7" xfId="15446" xr:uid="{32E1E460-F375-4E49-8250-0ECF18652F21}"/>
    <cellStyle name="Normal 7 19 2 8" xfId="39969" xr:uid="{7139809D-F11E-475C-BF28-83B52ADE263E}"/>
    <cellStyle name="Normal 7 19 2 9" xfId="39933" xr:uid="{F0B6B7CB-1A11-4B6B-8772-68110BAE0A91}"/>
    <cellStyle name="Normal 7 19 20" xfId="15339" xr:uid="{3A52EFC1-FDE3-4A2A-936A-15F58AFACDF4}"/>
    <cellStyle name="Normal 7 19 21" xfId="48010" xr:uid="{1E6C8965-A2D2-451C-9BBF-14F8BE35948F}"/>
    <cellStyle name="Normal 7 19 22" xfId="41904" xr:uid="{F006F6E5-F2FE-4412-B3B0-B28519DA3994}"/>
    <cellStyle name="Normal 7 19 23" xfId="46807" xr:uid="{638EC76C-7018-416B-A723-3AD21EA4529C}"/>
    <cellStyle name="Normal 7 19 24" xfId="49113" xr:uid="{0D37D58C-8A81-4EBC-9E0A-AF5E807A940D}"/>
    <cellStyle name="Normal 7 19 25" xfId="47341" xr:uid="{D0463025-57F1-4054-BE14-49CF1244B262}"/>
    <cellStyle name="Normal 7 19 26" xfId="16506" xr:uid="{A15E6267-D551-446C-8F82-43941185D569}"/>
    <cellStyle name="Normal 7 19 3" xfId="9010" xr:uid="{00000000-0005-0000-0000-00008E260000}"/>
    <cellStyle name="Normal-- 7 19 3" xfId="48451" xr:uid="{EF85D5F5-84E1-4E82-BD59-17DEAD5DDB63}"/>
    <cellStyle name="Normal 7 19 3 2" xfId="41637" xr:uid="{06AE712B-B155-4BFC-B775-274871B3AEAF}"/>
    <cellStyle name="Normal 7 19 3 3" xfId="37658" xr:uid="{DFA31BA1-BEC6-4628-AAC3-1F65C2B0B006}"/>
    <cellStyle name="Normal 7 19 3 4" xfId="46751" xr:uid="{15146240-871A-4496-8DEC-D9D440020ED4}"/>
    <cellStyle name="Normal 7 19 3 5" xfId="46704" xr:uid="{D77C5094-230F-4B49-916B-18567432C4D2}"/>
    <cellStyle name="Normal 7 19 3 6" xfId="37645" xr:uid="{0CBE8932-C1E6-4A9B-9F63-76ABD31E36CF}"/>
    <cellStyle name="Normal 7 19 3 7" xfId="49184" xr:uid="{5D795260-F70D-49DB-B50F-BB5E5070817F}"/>
    <cellStyle name="Normal 7 19 3 8" xfId="16511" xr:uid="{2D1E7AA4-AFB1-4781-B3DC-C2CD0C86E0E3}"/>
    <cellStyle name="Normal 7 19 4" xfId="12795" xr:uid="{00000000-0005-0000-0000-0000E6260000}"/>
    <cellStyle name="Normal-- 7 19 4" xfId="15806" xr:uid="{0EF05601-6564-4D06-977F-54FA3ED0379F}"/>
    <cellStyle name="Normal 7 19 4 2" xfId="45266" xr:uid="{6049C7E4-794A-4EDA-823B-6A2BB9910A50}"/>
    <cellStyle name="Normal 7 19 4 3" xfId="17291" xr:uid="{F5BE810F-ABD9-41DB-8142-FF80CD339CA2}"/>
    <cellStyle name="Normal 7 19 4 4" xfId="47280" xr:uid="{021FE0B0-7C43-4E4F-A278-E369D27B4349}"/>
    <cellStyle name="Normal 7 19 4 5" xfId="49498" xr:uid="{87D717A0-2EF4-4535-98D1-2CBCAE2F62DA}"/>
    <cellStyle name="Normal 7 19 4 6" xfId="49737" xr:uid="{947E69E2-6DCB-44F2-8925-E75A4AF35EB0}"/>
    <cellStyle name="Normal 7 19 4 7" xfId="50088" xr:uid="{0541BE3A-A5CB-4AF5-800C-94C65E914314}"/>
    <cellStyle name="Normal 7 19 5" xfId="9099" xr:uid="{00000000-0005-0000-0000-000042270000}"/>
    <cellStyle name="Normal-- 7 19 5" xfId="48590" xr:uid="{AFEF7D0D-F5AD-49D4-80F3-38ACB7D86834}"/>
    <cellStyle name="Normal 7 19 5 2" xfId="41702" xr:uid="{9A289000-2162-43DE-BFAC-538338FDD219}"/>
    <cellStyle name="Normal 7 19 5 3" xfId="37910" xr:uid="{E785F5EC-400A-4E60-A50D-B80129A56688}"/>
    <cellStyle name="Normal 7 19 5 4" xfId="46838" xr:uid="{2040FCDF-D2AA-4D6A-A4DE-AE9DF9BAC1A4}"/>
    <cellStyle name="Normal 7 19 5 5" xfId="46823" xr:uid="{1E78E6F3-2B85-44C8-A89A-4AAB59D7B1CF}"/>
    <cellStyle name="Normal 7 19 5 6" xfId="47478" xr:uid="{1B49851E-0831-4435-B951-13C695C1D9D0}"/>
    <cellStyle name="Normal 7 19 6" xfId="12844" xr:uid="{00000000-0005-0000-0000-0000A2270000}"/>
    <cellStyle name="Normal-- 7 19 6" xfId="37984" xr:uid="{94840BC5-04CD-4B94-82DB-1A46B9417F20}"/>
    <cellStyle name="Normal 7 19 6 2" xfId="45315" xr:uid="{A69B25AC-D2E2-4DE9-99EF-37C70815CFA4}"/>
    <cellStyle name="Normal 7 19 6 3" xfId="49507" xr:uid="{3451C2AA-ACD4-4169-8749-EBB1CB9D71B3}"/>
    <cellStyle name="Normal 7 19 6 4" xfId="49747" xr:uid="{227AA614-C6E8-44A3-AFE4-3520D292AB49}"/>
    <cellStyle name="Normal 7 19 6 5" xfId="50100" xr:uid="{A913186D-F7B2-45C2-B294-392E01A3BEA9}"/>
    <cellStyle name="Normal 7 19 7" xfId="7959" xr:uid="{00000000-0005-0000-0000-0000DB0E0000}"/>
    <cellStyle name="Normal-- 7 19 7" xfId="49484" xr:uid="{D8671EC9-2E8C-4B31-ADF8-66B544BDE53E}"/>
    <cellStyle name="Normal 7 19 8" xfId="13243" xr:uid="{00000000-0005-0000-0000-0000C7300000}"/>
    <cellStyle name="Normal-- 7 19 8" xfId="49721" xr:uid="{C782905A-C3C1-4A81-88D9-B6AEAF82DE74}"/>
    <cellStyle name="Normal 7 19 8 2" xfId="45707" xr:uid="{BE74F9B8-508B-4A4F-A053-02EB4CA7DCB4}"/>
    <cellStyle name="Normal 7 19 8 3" xfId="50198" xr:uid="{8ECDC47A-98A5-4E86-8185-DDF1D9C0AC77}"/>
    <cellStyle name="Normal 7 19 9" xfId="11398" xr:uid="{00000000-0005-0000-0000-000033310000}"/>
    <cellStyle name="Normal-- 7 19 9" xfId="50068" xr:uid="{CCC18247-1003-4C28-B784-BAFB6C26D3B1}"/>
    <cellStyle name="Normal 7 19 9 2" xfId="43886" xr:uid="{66348B0C-B7C3-4CB5-B332-FE4860C617B7}"/>
    <cellStyle name="Normal 7 2" xfId="4676" xr:uid="{00000000-0005-0000-0000-000067120000}"/>
    <cellStyle name="Normal-- 7 2" xfId="10190" xr:uid="{00000000-0005-0000-0000-0000A91F0000}"/>
    <cellStyle name="Normal 7 2 10" xfId="12546" xr:uid="{00000000-0005-0000-0000-000079230000}"/>
    <cellStyle name="Normal 7 2 10 2" xfId="45017" xr:uid="{D5AAB51D-439C-408A-B5AF-FD6D4C6C6503}"/>
    <cellStyle name="Normal 7 2 11" xfId="8659" xr:uid="{00000000-0005-0000-0000-00009D230000}"/>
    <cellStyle name="Normal 7 2 11 2" xfId="41368" xr:uid="{636AF3D3-FC41-479F-ADBB-ADDBFDCEAC8D}"/>
    <cellStyle name="Normal 7 2 12" xfId="12564" xr:uid="{00000000-0005-0000-0000-0000C5230000}"/>
    <cellStyle name="Normal 7 2 12 2" xfId="45035" xr:uid="{91250914-1A63-41EB-84D5-1F38FD1256C9}"/>
    <cellStyle name="Normal 7 2 13" xfId="8685" xr:uid="{00000000-0005-0000-0000-0000F1230000}"/>
    <cellStyle name="Normal 7 2 13 2" xfId="41388" xr:uid="{AB10C275-1B38-43FE-88EA-CEC22CB13A73}"/>
    <cellStyle name="Normal 7 2 14" xfId="12587" xr:uid="{00000000-0005-0000-0000-000022240000}"/>
    <cellStyle name="Normal 7 2 14 2" xfId="45058" xr:uid="{62542D96-3635-4051-8067-B1184B056797}"/>
    <cellStyle name="Normal 7 2 15" xfId="8728" xr:uid="{00000000-0005-0000-0000-000057240000}"/>
    <cellStyle name="Normal 7 2 15 2" xfId="41420" xr:uid="{2BC0D6EF-F3B0-4567-906A-CE3817F97F44}"/>
    <cellStyle name="Normal 7 2 16" xfId="12624" xr:uid="{00000000-0005-0000-0000-000090240000}"/>
    <cellStyle name="Normal 7 2 16 2" xfId="45095" xr:uid="{FFB0AC48-4DD1-412B-B1CF-8408EA81F216}"/>
    <cellStyle name="Normal 7 2 17" xfId="8774" xr:uid="{00000000-0005-0000-0000-0000CD240000}"/>
    <cellStyle name="Normal 7 2 17 2" xfId="41452" xr:uid="{0508A9B5-C85C-4A23-B40E-3A8339A3EC18}"/>
    <cellStyle name="Normal 7 2 18" xfId="12659" xr:uid="{00000000-0005-0000-0000-00000E250000}"/>
    <cellStyle name="Normal 7 2 18 2" xfId="45130" xr:uid="{C04696F2-2789-4621-8E28-81DD9771994A}"/>
    <cellStyle name="Normal 7 2 19" xfId="8836" xr:uid="{00000000-0005-0000-0000-000053250000}"/>
    <cellStyle name="Normal 7 2 19 2" xfId="41497" xr:uid="{A18442F7-5964-4D23-8AC3-34F6A3854AC2}"/>
    <cellStyle name="Normal 7 2 2" xfId="4677" xr:uid="{00000000-0005-0000-0000-000068120000}"/>
    <cellStyle name="Normal-- 7 2 2" xfId="42679" xr:uid="{D75B8935-A96E-4A79-AD89-3EAB40CC4813}"/>
    <cellStyle name="Normal 7 2 2 10" xfId="46412" xr:uid="{36783BCE-D74D-45D6-914E-BB6592D7EF05}"/>
    <cellStyle name="Normal 7 2 2 11" xfId="46654" xr:uid="{53B4BC43-E0F1-42E2-8B00-8ECE1BA53F06}"/>
    <cellStyle name="Normal 7 2 2 2" xfId="10202" xr:uid="{00000000-0005-0000-0000-0000B51F0000}"/>
    <cellStyle name="Normal 7 2 2 2 2" xfId="42691" xr:uid="{85A54622-07E7-40CA-BC39-C97260D7E0FD}"/>
    <cellStyle name="Normal 7 2 2 3" xfId="7961" xr:uid="{00000000-0005-0000-0000-0000DD0E0000}"/>
    <cellStyle name="Normal 7 2 2 4" xfId="38715" xr:uid="{8DFD169E-56C4-4DF4-8BB9-F5FB4CE2828D}"/>
    <cellStyle name="Normal 7 2 2 5" xfId="15340" xr:uid="{1B9BC518-50C7-463D-8077-83687470B519}"/>
    <cellStyle name="Normal 7 2 2 6" xfId="46137" xr:uid="{E11CFC2C-7044-4F77-983C-5FF5F93F05E8}"/>
    <cellStyle name="Normal 7 2 2 7" xfId="47976" xr:uid="{40A8A126-5602-4DF7-8437-B357D7D6FBA5}"/>
    <cellStyle name="Normal 7 2 2 8" xfId="40419" xr:uid="{3F20C126-6C6D-4E5D-A340-BDA99E42428C}"/>
    <cellStyle name="Normal 7 2 2 9" xfId="46303" xr:uid="{9305B555-4F6D-409B-B1F0-A77F4B8F25A3}"/>
    <cellStyle name="Normal 7 2 20" xfId="12704" xr:uid="{00000000-0005-0000-0000-00009C250000}"/>
    <cellStyle name="Normal 7 2 20 2" xfId="45175" xr:uid="{2D02E691-B9FD-4CA9-A39B-07391687F223}"/>
    <cellStyle name="Normal 7 2 21" xfId="8927" xr:uid="{00000000-0005-0000-0000-0000E9250000}"/>
    <cellStyle name="Normal 7 2 21 2" xfId="41571" xr:uid="{BC491945-FCFA-4554-BB72-7703A344F8FB}"/>
    <cellStyle name="Normal 7 2 22" xfId="12749" xr:uid="{00000000-0005-0000-0000-00003A260000}"/>
    <cellStyle name="Normal 7 2 22 2" xfId="45220" xr:uid="{5B37E835-56C6-4DAB-A3A9-552F62EBDA5E}"/>
    <cellStyle name="Normal 7 2 23" xfId="9011" xr:uid="{00000000-0005-0000-0000-00008F260000}"/>
    <cellStyle name="Normal 7 2 23 2" xfId="41638" xr:uid="{A4BB9E36-6A0C-4EB1-8EA3-77DC90A59119}"/>
    <cellStyle name="Normal 7 2 24" xfId="12796" xr:uid="{00000000-0005-0000-0000-0000E7260000}"/>
    <cellStyle name="Normal 7 2 24 2" xfId="45267" xr:uid="{0F14C115-43F8-42A2-839C-89D5C2E0A536}"/>
    <cellStyle name="Normal 7 2 25" xfId="9100" xr:uid="{00000000-0005-0000-0000-000043270000}"/>
    <cellStyle name="Normal 7 2 25 2" xfId="41703" xr:uid="{74540DF5-1BDB-4FB0-A34B-44A735B03CD5}"/>
    <cellStyle name="Normal 7 2 26" xfId="12845" xr:uid="{00000000-0005-0000-0000-0000A3270000}"/>
    <cellStyle name="Normal 7 2 26 2" xfId="45316" xr:uid="{BB390C6B-4BA6-4681-A092-C14265DE9F89}"/>
    <cellStyle name="Normal 7 2 27" xfId="7960" xr:uid="{00000000-0005-0000-0000-0000DC0E0000}"/>
    <cellStyle name="Normal 7 2 28" xfId="13244" xr:uid="{00000000-0005-0000-0000-0000C8300000}"/>
    <cellStyle name="Normal 7 2 28 2" xfId="45708" xr:uid="{E2F8D383-53EF-432C-B10C-BB3278F30869}"/>
    <cellStyle name="Normal 7 2 29" xfId="11397" xr:uid="{00000000-0005-0000-0000-000034310000}"/>
    <cellStyle name="Normal 7 2 29 2" xfId="43885" xr:uid="{FE0F4BA5-F34F-448A-A54B-57C41F25B22B}"/>
    <cellStyle name="Normal 7 2 3" xfId="4678" xr:uid="{00000000-0005-0000-0000-000069120000}"/>
    <cellStyle name="Normal-- 7 2 3" xfId="47503" xr:uid="{2C301119-559A-4996-8917-59FCD745922F}"/>
    <cellStyle name="Normal 7 2 3 10" xfId="49834" xr:uid="{79918D22-FD1B-468C-BF94-ECC81D29B7C8}"/>
    <cellStyle name="Normal 7 2 3 2" xfId="10203" xr:uid="{00000000-0005-0000-0000-0000B61F0000}"/>
    <cellStyle name="Normal 7 2 3 2 2" xfId="42692" xr:uid="{1C69EE50-53A1-4B84-A3D1-0BF974339711}"/>
    <cellStyle name="Normal 7 2 3 3" xfId="7962" xr:uid="{00000000-0005-0000-0000-0000DE0E0000}"/>
    <cellStyle name="Normal 7 2 3 4" xfId="38716" xr:uid="{1DB46B69-B79D-44E6-8B37-9EA678FDC1BB}"/>
    <cellStyle name="Normal 7 2 3 5" xfId="48372" xr:uid="{B58838BC-C128-4CF4-B199-CC5B0FCC64D8}"/>
    <cellStyle name="Normal 7 2 3 6" xfId="40552" xr:uid="{24BC401B-D7D1-4D23-9B6F-48F34D6B9D1A}"/>
    <cellStyle name="Normal 7 2 3 7" xfId="47652" xr:uid="{CB44E576-19AE-45CC-9D26-8BF7F4B09D4A}"/>
    <cellStyle name="Normal 7 2 3 8" xfId="47728" xr:uid="{DB6D44B4-87D8-454C-89F4-FDFB7C25B291}"/>
    <cellStyle name="Normal 7 2 3 9" xfId="15099" xr:uid="{003311A7-74AD-4E29-9B70-A75626328079}"/>
    <cellStyle name="Normal 7 2 30" xfId="13307" xr:uid="{00000000-0005-0000-0000-0000A4310000}"/>
    <cellStyle name="Normal 7 2 30 2" xfId="45771" xr:uid="{77B8E5E6-B5B4-47BE-8630-E18BA6AE65DB}"/>
    <cellStyle name="Normal 7 2 31" xfId="11329" xr:uid="{00000000-0005-0000-0000-000018320000}"/>
    <cellStyle name="Normal 7 2 31 2" xfId="43818" xr:uid="{C6002A5A-468A-4598-9BE0-37D6CB4092B0}"/>
    <cellStyle name="Normal 7 2 32" xfId="13381" xr:uid="{00000000-0005-0000-0000-000090320000}"/>
    <cellStyle name="Normal 7 2 32 2" xfId="45845" xr:uid="{192B14C4-1BB6-4697-8EE7-5A3C36B56968}"/>
    <cellStyle name="Normal 7 2 33" xfId="11250" xr:uid="{00000000-0005-0000-0000-00000C330000}"/>
    <cellStyle name="Normal 7 2 33 2" xfId="43739" xr:uid="{A4366515-AF94-44F1-A6DA-F8459F0C2A18}"/>
    <cellStyle name="Normal 7 2 34" xfId="13446" xr:uid="{00000000-0005-0000-0000-00008C330000}"/>
    <cellStyle name="Normal 7 2 34 2" xfId="45910" xr:uid="{A620D446-64B1-45E0-B4F3-118CA57CFF08}"/>
    <cellStyle name="Normal 7 2 35" xfId="11189" xr:uid="{00000000-0005-0000-0000-000010340000}"/>
    <cellStyle name="Normal 7 2 35 2" xfId="43678" xr:uid="{8C076B88-9D63-4323-BD11-9EA8BC4710DA}"/>
    <cellStyle name="Normal 7 2 36" xfId="13511" xr:uid="{00000000-0005-0000-0000-000098340000}"/>
    <cellStyle name="Normal 7 2 36 2" xfId="45975" xr:uid="{675A7E73-CFF6-468F-9019-0EE96A6760CE}"/>
    <cellStyle name="Normal 7 2 37" xfId="11113" xr:uid="{00000000-0005-0000-0000-000024350000}"/>
    <cellStyle name="Normal 7 2 37 2" xfId="43602" xr:uid="{F5F8A982-9F0C-47E5-8693-92EE7BB27032}"/>
    <cellStyle name="Normal 7 2 38" xfId="16069" xr:uid="{2BAFBD83-BC7B-45A0-9B12-174A86F3D19C}"/>
    <cellStyle name="Normal 7 2 39" xfId="38714" xr:uid="{B2CA38F3-68D3-4E52-B664-4051939410E9}"/>
    <cellStyle name="Normal 7 2 4" xfId="4679" xr:uid="{00000000-0005-0000-0000-00006A120000}"/>
    <cellStyle name="Normal-- 7 2 4" xfId="37865" xr:uid="{D8D78F7F-38A8-4AEF-AAEC-CF621D0CE464}"/>
    <cellStyle name="Normal 7 2 4 2" xfId="10204" xr:uid="{00000000-0005-0000-0000-0000B71F0000}"/>
    <cellStyle name="Normal 7 2 4 2 2" xfId="42693" xr:uid="{39BD9F32-47B9-4561-96D6-B89D2128E4FB}"/>
    <cellStyle name="Normal 7 2 4 3" xfId="7963" xr:uid="{00000000-0005-0000-0000-0000DF0E0000}"/>
    <cellStyle name="Normal 7 2 4 4" xfId="38717" xr:uid="{3B207830-5176-4DC6-B3FB-FBC385AA7611}"/>
    <cellStyle name="Normal 7 2 4 5" xfId="46416" xr:uid="{628172C1-605A-4A7C-8D37-6B8055CDC966}"/>
    <cellStyle name="Normal 7 2 4 6" xfId="14087" xr:uid="{EF380FBD-7A3C-485F-AD6D-5385128774F6}"/>
    <cellStyle name="Normal 7 2 4 7" xfId="15985" xr:uid="{8280E597-39A5-409B-8C46-33B405C50A04}"/>
    <cellStyle name="Normal 7 2 4 8" xfId="15002" xr:uid="{84529ED7-48AF-432F-9C5E-9348FD76E791}"/>
    <cellStyle name="Normal 7 2 4 9" xfId="15461" xr:uid="{1DCFB81C-ED00-4FE3-A292-BEAF90199088}"/>
    <cellStyle name="Normal 7 2 40" xfId="15297" xr:uid="{9257A3A9-0024-4386-A3B0-89ADC8AD8F24}"/>
    <cellStyle name="Normal 7 2 41" xfId="48622" xr:uid="{B3F1E086-81C7-459A-8262-53FE6276151E}"/>
    <cellStyle name="Normal 7 2 42" xfId="37814" xr:uid="{89085ECD-BC1F-4FEA-A9C1-BE3DA8FB9714}"/>
    <cellStyle name="Normal 7 2 43" xfId="17319" xr:uid="{0A86BEC0-9FFE-4C59-AA30-A301C9193067}"/>
    <cellStyle name="Normal 7 2 44" xfId="16587" xr:uid="{BB5036BE-16C8-4AC5-A3AB-478CE327FF47}"/>
    <cellStyle name="Normal 7 2 45" xfId="46753" xr:uid="{C17CE856-0D15-423E-91E8-1DB47846C123}"/>
    <cellStyle name="Normal 7 2 46" xfId="49837" xr:uid="{4B464682-7081-47ED-B785-7311F89D2D1C}"/>
    <cellStyle name="Normal 7 2 5" xfId="10201" xr:uid="{00000000-0005-0000-0000-0000B41F0000}"/>
    <cellStyle name="Normal-- 7 2 5" xfId="15436" xr:uid="{3637CB28-D148-49F4-A8D0-08D9142C0C58}"/>
    <cellStyle name="Normal 7 2 5 2" xfId="42690" xr:uid="{2B3F1D7B-596C-4F41-8852-7F69F81F1E8E}"/>
    <cellStyle name="Normal 7 2 5 3" xfId="14124" xr:uid="{E4A3FF94-884C-45C6-BB25-21104C951ED7}"/>
    <cellStyle name="Normal 7 2 5 4" xfId="47100" xr:uid="{17AAC035-AB4B-486C-9229-90629449FFC4}"/>
    <cellStyle name="Normal 7 2 5 5" xfId="46764" xr:uid="{5F8FF7BA-B786-47B0-925E-7FC911C2CC1E}"/>
    <cellStyle name="Normal 7 2 5 6" xfId="47916" xr:uid="{803B6FD5-0348-4EA2-BCCC-535ABCAE3BEA}"/>
    <cellStyle name="Normal 7 2 6" xfId="12523" xr:uid="{00000000-0005-0000-0000-000011230000}"/>
    <cellStyle name="Normal-- 7 2 6" xfId="48230" xr:uid="{9230E5AF-6741-4ECC-A8F3-F749FCF83154}"/>
    <cellStyle name="Normal 7 2 6 2" xfId="44996" xr:uid="{21F5DC75-821C-480B-BA9F-E9410FDBEFA4}"/>
    <cellStyle name="Normal 7 2 6 3" xfId="15116" xr:uid="{AF5EBC55-0217-4AB2-BFC6-4437AEEE21BD}"/>
    <cellStyle name="Normal 7 2 6 4" xfId="47376" xr:uid="{A41EBB9D-3E5A-4A12-8A32-A2960711D13E}"/>
    <cellStyle name="Normal 7 2 6 5" xfId="49975" xr:uid="{11574FFE-A77B-44F9-8751-B836017516CB}"/>
    <cellStyle name="Normal 7 2 7" xfId="8623" xr:uid="{00000000-0005-0000-0000-000025230000}"/>
    <cellStyle name="Normal-- 7 2 7" xfId="41581" xr:uid="{744833E7-568D-4B45-A8B0-E1D4C7DCD9DC}"/>
    <cellStyle name="Normal 7 2 7 2" xfId="41344" xr:uid="{73512092-1657-46D1-8557-350AE0BB0F58}"/>
    <cellStyle name="Normal 7 2 7 3" xfId="16202" xr:uid="{D0E6314A-3183-4FA5-B957-24DD10F9DDDA}"/>
    <cellStyle name="Normal 7 2 7 4" xfId="40110" xr:uid="{0A8336FB-B297-4081-B730-2B63DECCF3EE}"/>
    <cellStyle name="Normal 7 2 8" xfId="12531" xr:uid="{00000000-0005-0000-0000-00003D230000}"/>
    <cellStyle name="Normal-- 7 2 8" xfId="41387" xr:uid="{DF441031-FB51-49D8-8610-109F917589FB}"/>
    <cellStyle name="Normal 7 2 8 2" xfId="45003" xr:uid="{86478875-29B9-4F7D-9F13-996763C1A582}"/>
    <cellStyle name="Normal 7 2 8 3" xfId="49978" xr:uid="{9DBFCCE9-6769-4EE8-9EDD-4DC13B37095D}"/>
    <cellStyle name="Normal 7 2 9" xfId="8639" xr:uid="{00000000-0005-0000-0000-000059230000}"/>
    <cellStyle name="Normal-- 7 2 9" xfId="47306" xr:uid="{41C4AA05-5DE3-4249-9305-040CDFA0EAEF}"/>
    <cellStyle name="Normal 7 2 9 2" xfId="41353" xr:uid="{9F9FE94F-A939-4282-83D4-B808250D60C7}"/>
    <cellStyle name="Normal 7 20" xfId="4680" xr:uid="{00000000-0005-0000-0000-00006B120000}"/>
    <cellStyle name="Normal-- 7 20" xfId="8999" xr:uid="{00000000-0005-0000-0000-000084260000}"/>
    <cellStyle name="Normal 7 20 10" xfId="11327" xr:uid="{00000000-0005-0000-0000-000019320000}"/>
    <cellStyle name="Normal 7 20 10 2" xfId="43816" xr:uid="{0AE89FF2-671B-4AED-A70F-B3739F219AE8}"/>
    <cellStyle name="Normal 7 20 11" xfId="13383" xr:uid="{00000000-0005-0000-0000-000091320000}"/>
    <cellStyle name="Normal 7 20 11 2" xfId="45847" xr:uid="{5D1C549A-AA87-49C4-A0F1-97E6494DB310}"/>
    <cellStyle name="Normal 7 20 12" xfId="11249" xr:uid="{00000000-0005-0000-0000-00000D330000}"/>
    <cellStyle name="Normal 7 20 12 2" xfId="43738" xr:uid="{F25E524F-8757-496D-8177-8E02CA7AFB86}"/>
    <cellStyle name="Normal 7 20 13" xfId="13448" xr:uid="{00000000-0005-0000-0000-00008D330000}"/>
    <cellStyle name="Normal 7 20 13 2" xfId="45912" xr:uid="{AA60C69C-F0F7-44C5-8353-060F4AEA61A1}"/>
    <cellStyle name="Normal 7 20 14" xfId="11181" xr:uid="{00000000-0005-0000-0000-000011340000}"/>
    <cellStyle name="Normal 7 20 14 2" xfId="43670" xr:uid="{18902F8C-2CD5-49EC-9437-100A46E07BA8}"/>
    <cellStyle name="Normal 7 20 15" xfId="13520" xr:uid="{00000000-0005-0000-0000-000099340000}"/>
    <cellStyle name="Normal 7 20 15 2" xfId="45984" xr:uid="{D0EE1B85-C232-45B3-8B29-AFE0181B85E4}"/>
    <cellStyle name="Normal 7 20 16" xfId="11112" xr:uid="{00000000-0005-0000-0000-000025350000}"/>
    <cellStyle name="Normal 7 20 16 2" xfId="43601" xr:uid="{3A224071-0DFC-41B8-938E-E87C21E712FD}"/>
    <cellStyle name="Normal 7 20 17" xfId="16071" xr:uid="{ED799ED3-1CF7-42A9-96AC-F8BE9C37A324}"/>
    <cellStyle name="Normal 7 20 18" xfId="38718" xr:uid="{FF308E76-BD56-467F-8A39-44E17907CF45}"/>
    <cellStyle name="Normal 7 20 19" xfId="40391" xr:uid="{CB55C8E4-C8C1-4A4E-9E63-C639C34DDFCF}"/>
    <cellStyle name="Normal 7 20 2" xfId="10205" xr:uid="{00000000-0005-0000-0000-0000B81F0000}"/>
    <cellStyle name="Normal-- 7 20 2" xfId="41626" xr:uid="{6549F263-6BCF-45A9-8E8C-9B6D9C2729BE}"/>
    <cellStyle name="Normal 7 20 2 2" xfId="42694" xr:uid="{CAD5495D-4F72-4956-862A-11993832C6F5}"/>
    <cellStyle name="Normal 7 20 2 3" xfId="47516" xr:uid="{3A779156-8370-4DF4-BBCB-86A71B6AF867}"/>
    <cellStyle name="Normal 7 20 2 4" xfId="37873" xr:uid="{685BC34C-0ECB-47ED-B23E-1F94D85E1A93}"/>
    <cellStyle name="Normal 7 20 2 5" xfId="40515" xr:uid="{6DF982D4-953D-4E15-8E75-121B3EC19886}"/>
    <cellStyle name="Normal 7 20 2 6" xfId="48613" xr:uid="{D60A0075-3F43-488D-8FFC-7A9357895782}"/>
    <cellStyle name="Normal 7 20 2 7" xfId="14542" xr:uid="{2AC51283-CA94-4117-9E56-9C0D9222A083}"/>
    <cellStyle name="Normal 7 20 2 8" xfId="47620" xr:uid="{813068C4-DF26-47A0-94E9-516C9B2DE880}"/>
    <cellStyle name="Normal 7 20 2 9" xfId="46273" xr:uid="{2246AF39-9369-42B0-92C2-B208C84D0F57}"/>
    <cellStyle name="Normal 7 20 20" xfId="48352" xr:uid="{75CAF3AB-D528-4393-A871-6274906011E6}"/>
    <cellStyle name="Normal 7 20 21" xfId="48668" xr:uid="{6D24C328-C2FE-4848-AC35-B1E633B31870}"/>
    <cellStyle name="Normal 7 20 22" xfId="46907" xr:uid="{02918AEE-C05C-4EFD-ABB9-8748BB5503F6}"/>
    <cellStyle name="Normal 7 20 23" xfId="48732" xr:uid="{D0AA2449-5444-47E6-BEC6-8E8F0F1B8656}"/>
    <cellStyle name="Normal 7 20 24" xfId="47881" xr:uid="{4C0A8B2A-BAF8-4B2F-A4E9-B3A988A70C13}"/>
    <cellStyle name="Normal 7 20 25" xfId="49828" xr:uid="{B5874AA8-BEB4-4342-9C55-7BAE514EF028}"/>
    <cellStyle name="Normal 7 20 3" xfId="12798" xr:uid="{00000000-0005-0000-0000-0000E8260000}"/>
    <cellStyle name="Normal-- 7 20 3" xfId="47060" xr:uid="{704270FF-D829-49FB-BE0B-3F2649587EB5}"/>
    <cellStyle name="Normal 7 20 3 2" xfId="45269" xr:uid="{C84B5685-7EB6-4C35-887A-4FC07B900976}"/>
    <cellStyle name="Normal 7 20 3 3" xfId="41516" xr:uid="{8ED5EB76-C357-4B6A-9BD1-820AB1801B83}"/>
    <cellStyle name="Normal 7 20 3 4" xfId="47145" xr:uid="{3CD2B53E-C7F0-41CB-B943-2943A7875C49}"/>
    <cellStyle name="Normal 7 20 3 5" xfId="37689" xr:uid="{38E3935F-7E09-4958-A2D7-BBA99AEACCE5}"/>
    <cellStyle name="Normal 7 20 3 6" xfId="49499" xr:uid="{7B7C2895-EDF2-44B7-BC1B-BC7ACD0320F6}"/>
    <cellStyle name="Normal 7 20 3 7" xfId="49738" xr:uid="{D520E0CA-4A42-4D21-BC44-4131BA91A926}"/>
    <cellStyle name="Normal 7 20 3 8" xfId="50089" xr:uid="{A00E40F5-C2CE-4C70-A096-00FC5BDC2F2B}"/>
    <cellStyle name="Normal 7 20 4" xfId="9105" xr:uid="{00000000-0005-0000-0000-000044270000}"/>
    <cellStyle name="Normal-- 7 20 4" xfId="37655" xr:uid="{62BAE696-5781-47AB-87C8-94D6AEA2415A}"/>
    <cellStyle name="Normal 7 20 4 2" xfId="41708" xr:uid="{D6996C38-6E37-45B4-906C-1D284A8F7E71}"/>
    <cellStyle name="Normal 7 20 4 3" xfId="14985" xr:uid="{2BD53DDF-0BE5-4636-BB8D-489E02F9A352}"/>
    <cellStyle name="Normal 7 20 4 4" xfId="40373" xr:uid="{1928AD28-6BB0-428B-8347-CD404872C3F5}"/>
    <cellStyle name="Normal 7 20 4 5" xfId="48999" xr:uid="{32C1C8E2-E3E5-4B06-8895-B3F97193EA05}"/>
    <cellStyle name="Normal 7 20 4 6" xfId="40281" xr:uid="{01D618C6-CF38-45CB-9406-6ADCEFDB066E}"/>
    <cellStyle name="Normal 7 20 4 7" xfId="47131" xr:uid="{E7967ACB-FE46-47EA-8BCF-2615AF3A68D1}"/>
    <cellStyle name="Normal 7 20 5" xfId="12846" xr:uid="{00000000-0005-0000-0000-0000A4270000}"/>
    <cellStyle name="Normal-- 7 20 5" xfId="44242" xr:uid="{C53827DE-EC5B-4DAF-8880-ADCEBFBBA464}"/>
    <cellStyle name="Normal 7 20 5 2" xfId="45317" xr:uid="{97C6ACED-C62D-494C-A64F-31FDEA86851F}"/>
    <cellStyle name="Normal 7 20 5 3" xfId="47631" xr:uid="{0897F762-76F6-4762-9899-3F52848C0A34}"/>
    <cellStyle name="Normal 7 20 5 4" xfId="49508" xr:uid="{6FA14D99-F8EF-4C22-978E-FFB131EFB934}"/>
    <cellStyle name="Normal 7 20 5 5" xfId="49748" xr:uid="{545E139E-A4C8-4AFA-9AF2-6A2903CC92B9}"/>
    <cellStyle name="Normal 7 20 5 6" xfId="50101" xr:uid="{69262A3B-CF34-4EA7-AF1A-8234C7CB7D6A}"/>
    <cellStyle name="Normal 7 20 6" xfId="7964" xr:uid="{00000000-0005-0000-0000-0000E00E0000}"/>
    <cellStyle name="Normal-- 7 20 6" xfId="15481" xr:uid="{258E4BEF-ADF1-4961-ACB5-A9FFF1D30B3B}"/>
    <cellStyle name="Normal 7 20 7" xfId="13245" xr:uid="{00000000-0005-0000-0000-0000C9300000}"/>
    <cellStyle name="Normal-- 7 20 7" xfId="48987" xr:uid="{55D1994D-7E46-4885-9831-56D7C941756E}"/>
    <cellStyle name="Normal 7 20 7 2" xfId="45709" xr:uid="{621DC574-2817-4411-AF3B-F2004EBE9F37}"/>
    <cellStyle name="Normal 7 20 7 3" xfId="49856" xr:uid="{56EF4D84-BC1F-4D85-8DE4-F268FFBEDA77}"/>
    <cellStyle name="Normal 7 20 7 4" xfId="50199" xr:uid="{07617391-0982-47A5-8E9F-F3F78A225772}"/>
    <cellStyle name="Normal 7 20 8" xfId="11396" xr:uid="{00000000-0005-0000-0000-000035310000}"/>
    <cellStyle name="Normal-- 7 20 8" xfId="48943" xr:uid="{A82E7062-CA25-42F0-A08B-2835E8BA0ECE}"/>
    <cellStyle name="Normal 7 20 8 2" xfId="43884" xr:uid="{29FF1C70-D6B7-4ABE-B64A-FCC51458E5A2}"/>
    <cellStyle name="Normal 7 20 8 3" xfId="16462" xr:uid="{19CA7243-7381-471A-B5B5-B6B43E261EA9}"/>
    <cellStyle name="Normal 7 20 9" xfId="13311" xr:uid="{00000000-0005-0000-0000-0000A5310000}"/>
    <cellStyle name="Normal-- 7 20 9" xfId="48733" xr:uid="{A892522D-490C-4192-A129-1C102D3937F1}"/>
    <cellStyle name="Normal 7 20 9 2" xfId="45775" xr:uid="{76064647-3402-4839-99CE-91A684C461ED}"/>
    <cellStyle name="Normal 7 21" xfId="4681" xr:uid="{00000000-0005-0000-0000-00006C120000}"/>
    <cellStyle name="Normal-- 7 21" xfId="12781" xr:uid="{00000000-0005-0000-0000-0000DC260000}"/>
    <cellStyle name="Normal 7 21 10" xfId="13384" xr:uid="{00000000-0005-0000-0000-000092320000}"/>
    <cellStyle name="Normal 7 21 10 2" xfId="45848" xr:uid="{BF9CE454-208E-4394-BD00-7A0B0C922B6E}"/>
    <cellStyle name="Normal 7 21 11" xfId="11248" xr:uid="{00000000-0005-0000-0000-00000E330000}"/>
    <cellStyle name="Normal 7 21 11 2" xfId="43737" xr:uid="{0630B176-4639-40F1-8857-E3FDF68B01C6}"/>
    <cellStyle name="Normal 7 21 12" xfId="13449" xr:uid="{00000000-0005-0000-0000-00008E330000}"/>
    <cellStyle name="Normal 7 21 12 2" xfId="45913" xr:uid="{C599D669-2EAA-45B1-9440-7EBB661FD3A8}"/>
    <cellStyle name="Normal 7 21 13" xfId="11180" xr:uid="{00000000-0005-0000-0000-000012340000}"/>
    <cellStyle name="Normal 7 21 13 2" xfId="43669" xr:uid="{952A2E9A-EF9F-428F-9AA2-917CB3C5D2B4}"/>
    <cellStyle name="Normal 7 21 14" xfId="13521" xr:uid="{00000000-0005-0000-0000-00009A340000}"/>
    <cellStyle name="Normal 7 21 14 2" xfId="45985" xr:uid="{C1A38467-486F-4B7F-82E9-4AB818CA84E5}"/>
    <cellStyle name="Normal 7 21 15" xfId="11111" xr:uid="{00000000-0005-0000-0000-000026350000}"/>
    <cellStyle name="Normal 7 21 15 2" xfId="43600" xr:uid="{BAA2572A-194B-4815-A5E7-4A1046EB8340}"/>
    <cellStyle name="Normal 7 21 16" xfId="16072" xr:uid="{BA1C2532-CFD0-43DE-8B71-8B7B95795C02}"/>
    <cellStyle name="Normal 7 21 17" xfId="38719" xr:uid="{ACE46CB4-BA5F-41C3-8C4F-B5C5E0D9A626}"/>
    <cellStyle name="Normal 7 21 18" xfId="15341" xr:uid="{8B86EEE7-C44F-43ED-B24F-360F0F8443CB}"/>
    <cellStyle name="Normal 7 21 19" xfId="46896" xr:uid="{EE2A951A-4634-4E26-AE3A-829686B0B4BB}"/>
    <cellStyle name="Normal 7 21 2" xfId="10206" xr:uid="{00000000-0005-0000-0000-0000B91F0000}"/>
    <cellStyle name="Normal-- 7 21 2" xfId="45252" xr:uid="{524870CF-9007-4D64-8BE1-3AC73786D5D2}"/>
    <cellStyle name="Normal 7 21 2 2" xfId="42695" xr:uid="{97735A32-0A74-4527-B835-8B367760EE25}"/>
    <cellStyle name="Normal 7 21 2 3" xfId="47517" xr:uid="{B609DE00-F996-4164-BA4F-BA4890E125A7}"/>
    <cellStyle name="Normal 7 21 2 4" xfId="48195" xr:uid="{EE8AE3BF-5C5E-4C0A-B4C9-68CDA1CF2280}"/>
    <cellStyle name="Normal 7 21 2 5" xfId="40620" xr:uid="{C8B20F1A-90B9-466E-81F6-80DF1E988C33}"/>
    <cellStyle name="Normal 7 21 2 6" xfId="48024" xr:uid="{3E837121-5AB3-43B5-A4EE-FD02E29EE4D8}"/>
    <cellStyle name="Normal 7 21 2 7" xfId="46864" xr:uid="{53BEB5CA-A2AA-40D2-A1A3-F57E99E4180C}"/>
    <cellStyle name="Normal 7 21 2 8" xfId="47794" xr:uid="{85F335CE-16BD-40CB-96CA-3C44AA04C4EA}"/>
    <cellStyle name="Normal 7 21 2 9" xfId="40577" xr:uid="{D64B337E-4B8B-4645-A7EB-88204C41769F}"/>
    <cellStyle name="Normal 7 21 20" xfId="15143" xr:uid="{8458C49A-7F79-40C5-86DB-D52A58D618DF}"/>
    <cellStyle name="Normal 7 21 21" xfId="40310" xr:uid="{B4201674-20D6-4560-9F56-01D6747001B0}"/>
    <cellStyle name="Normal 7 21 22" xfId="15399" xr:uid="{DE8C1A27-41D5-4E02-9582-FFF7B07E81F6}"/>
    <cellStyle name="Normal 7 21 23" xfId="40710" xr:uid="{197F558E-B9E0-4DC9-AD31-DD856A251584}"/>
    <cellStyle name="Normal 7 21 24" xfId="46680" xr:uid="{9408858E-FC4F-4198-B6C6-77DB20603A39}"/>
    <cellStyle name="Normal 7 21 3" xfId="9106" xr:uid="{00000000-0005-0000-0000-000045270000}"/>
    <cellStyle name="Normal-- 7 21 3" xfId="48468" xr:uid="{E3B3DBE5-68F8-4F13-83CE-738077F12D1F}"/>
    <cellStyle name="Normal 7 21 3 2" xfId="41709" xr:uid="{7A68017F-26C9-4383-B694-2E7C1ADA88F5}"/>
    <cellStyle name="Normal 7 21 3 3" xfId="37673" xr:uid="{93B0BD96-DD8B-4D20-B143-CE3C90A74ABC}"/>
    <cellStyle name="Normal 7 21 3 4" xfId="47622" xr:uid="{46ADE297-EC42-446B-9F53-ABB4C05598D4}"/>
    <cellStyle name="Normal 7 21 3 5" xfId="47540" xr:uid="{5CABFC78-8A27-4AA1-A637-F87DFAD6B594}"/>
    <cellStyle name="Normal 7 21 3 6" xfId="37962" xr:uid="{24102FEA-9A76-4001-B7D8-BBE2C7B10F02}"/>
    <cellStyle name="Normal 7 21 3 7" xfId="15101" xr:uid="{45E1EFFD-C516-45F4-8030-956981AB8A67}"/>
    <cellStyle name="Normal 7 21 3 8" xfId="46699" xr:uid="{D54D17A6-C05E-408B-AB53-BCC2633B652C}"/>
    <cellStyle name="Normal 7 21 4" xfId="12847" xr:uid="{00000000-0005-0000-0000-0000A5270000}"/>
    <cellStyle name="Normal-- 7 21 4" xfId="41508" xr:uid="{86B6A78A-D84B-48D5-8916-D190E208DE22}"/>
    <cellStyle name="Normal 7 21 4 2" xfId="45318" xr:uid="{AC98E2C0-0B27-49DC-A662-56B0CAF483E6}"/>
    <cellStyle name="Normal 7 21 4 3" xfId="48981" xr:uid="{A82F8888-606B-42BC-B882-65B567A1E4C8}"/>
    <cellStyle name="Normal 7 21 4 4" xfId="46539" xr:uid="{81DD9574-E80B-452F-BCBC-885AB2A33CC7}"/>
    <cellStyle name="Normal 7 21 4 5" xfId="49509" xr:uid="{ED4FFB7E-F36B-44AC-B593-E39963BECD18}"/>
    <cellStyle name="Normal 7 21 4 6" xfId="49749" xr:uid="{1939C31F-BBAD-4DE7-87A8-0510B0EFA251}"/>
    <cellStyle name="Normal 7 21 4 7" xfId="50102" xr:uid="{4ADF9EF9-72FC-43F0-A236-1AFD9117EA75}"/>
    <cellStyle name="Normal 7 21 5" xfId="7965" xr:uid="{00000000-0005-0000-0000-0000E10E0000}"/>
    <cellStyle name="Normal-- 7 21 5" xfId="15525" xr:uid="{709B47A1-71C1-4535-823D-5DBCE0A18CB3}"/>
    <cellStyle name="Normal 7 21 6" xfId="13246" xr:uid="{00000000-0005-0000-0000-0000CA300000}"/>
    <cellStyle name="Normal-- 7 21 6" xfId="47180" xr:uid="{10838389-916A-459C-84C3-B6C8FAFE0EDE}"/>
    <cellStyle name="Normal 7 21 6 2" xfId="45710" xr:uid="{356B5106-30AD-474A-91DA-81E34DD1F49A}"/>
    <cellStyle name="Normal 7 21 6 3" xfId="49620" xr:uid="{AC92086A-4DE2-4C96-BFAE-E75E52A4C9F9}"/>
    <cellStyle name="Normal 7 21 6 4" xfId="49857" xr:uid="{C90C4B46-1188-44A3-96C2-0295C07CB2AF}"/>
    <cellStyle name="Normal 7 21 6 5" xfId="50200" xr:uid="{BE696984-CAA5-427A-8DE2-CBD66A06DF39}"/>
    <cellStyle name="Normal 7 21 7" xfId="11395" xr:uid="{00000000-0005-0000-0000-000036310000}"/>
    <cellStyle name="Normal-- 7 21 7" xfId="49495" xr:uid="{C9ADC256-CB54-4F42-8157-44F080B46634}"/>
    <cellStyle name="Normal 7 21 7 2" xfId="43883" xr:uid="{3D741029-DF1E-4601-B3B7-DDFA90C2BAD3}"/>
    <cellStyle name="Normal 7 21 7 3" xfId="13984" xr:uid="{36F15698-1B1D-4557-892A-3C1DD78AB41C}"/>
    <cellStyle name="Normal 7 21 7 4" xfId="41887" xr:uid="{69D6F2A4-6DD9-4D0C-8939-6FEB22769632}"/>
    <cellStyle name="Normal 7 21 8" xfId="13312" xr:uid="{00000000-0005-0000-0000-0000A6310000}"/>
    <cellStyle name="Normal-- 7 21 8" xfId="49733" xr:uid="{59F68B2E-C69F-485E-B732-8389F350EB75}"/>
    <cellStyle name="Normal 7 21 8 2" xfId="45776" xr:uid="{15BF19B4-3632-4ED5-8AA9-8BAE6B70FA71}"/>
    <cellStyle name="Normal 7 21 8 3" xfId="50211" xr:uid="{06581BD5-D4F2-4673-9AD7-BD1107157BF3}"/>
    <cellStyle name="Normal 7 21 9" xfId="11325" xr:uid="{00000000-0005-0000-0000-00001A320000}"/>
    <cellStyle name="Normal-- 7 21 9" xfId="50083" xr:uid="{7E4B4D34-C36E-401D-B894-B3CD99AC2370}"/>
    <cellStyle name="Normal 7 21 9 2" xfId="43814" xr:uid="{0D27450E-6845-4301-B98F-718F642014CF}"/>
    <cellStyle name="Normal 7 22" xfId="4682" xr:uid="{00000000-0005-0000-0000-00006D120000}"/>
    <cellStyle name="Normal-- 7 22" xfId="9087" xr:uid="{00000000-0005-0000-0000-000038270000}"/>
    <cellStyle name="Normal 7 22 10" xfId="11246" xr:uid="{00000000-0005-0000-0000-00000F330000}"/>
    <cellStyle name="Normal 7 22 10 2" xfId="43735" xr:uid="{CADCF5FD-35C5-48C3-8E72-4F1A54CBA096}"/>
    <cellStyle name="Normal 7 22 11" xfId="13451" xr:uid="{00000000-0005-0000-0000-00008F330000}"/>
    <cellStyle name="Normal 7 22 11 2" xfId="45915" xr:uid="{6D2C6AF6-C62E-4905-8467-A736219EA20B}"/>
    <cellStyle name="Normal 7 22 12" xfId="11179" xr:uid="{00000000-0005-0000-0000-000013340000}"/>
    <cellStyle name="Normal 7 22 12 2" xfId="43668" xr:uid="{AA345902-E469-46C3-9712-D901D04ABE51}"/>
    <cellStyle name="Normal 7 22 13" xfId="13523" xr:uid="{00000000-0005-0000-0000-00009B340000}"/>
    <cellStyle name="Normal 7 22 13 2" xfId="45987" xr:uid="{7FB0182C-0916-4E6B-A894-F0A0BE68CED3}"/>
    <cellStyle name="Normal 7 22 14" xfId="11110" xr:uid="{00000000-0005-0000-0000-000027350000}"/>
    <cellStyle name="Normal 7 22 14 2" xfId="43599" xr:uid="{6B1AF478-3D30-4401-926A-62B462DDCBD6}"/>
    <cellStyle name="Normal 7 22 15" xfId="16073" xr:uid="{C5521A90-2F3B-47D2-9AA0-05F18352CC34}"/>
    <cellStyle name="Normal 7 22 16" xfId="38720" xr:uid="{49F79878-2AFA-453C-A711-20E67162F9D0}"/>
    <cellStyle name="Normal 7 22 17" xfId="15342" xr:uid="{B154BCFA-A3DB-4077-B550-6A365E0DD6E3}"/>
    <cellStyle name="Normal 7 22 18" xfId="48333" xr:uid="{5F96695E-C34B-4D69-8A5E-F4BF2E5C35A1}"/>
    <cellStyle name="Normal 7 22 19" xfId="46415" xr:uid="{8E8B568A-0DA2-43D1-8753-7EAFF6877A28}"/>
    <cellStyle name="Normal 7 22 2" xfId="10207" xr:uid="{00000000-0005-0000-0000-0000BA1F0000}"/>
    <cellStyle name="Normal-- 7 22 2" xfId="41690" xr:uid="{87AB7944-F86E-4A44-A0D3-755205E27B4C}"/>
    <cellStyle name="Normal 7 22 2 2" xfId="42696" xr:uid="{2D8C5BF9-064D-4C32-9042-2E5788B6E1C5}"/>
    <cellStyle name="Normal 7 22 2 3" xfId="47518" xr:uid="{E0825BEB-A543-42A5-BAED-25BE5AAB2C71}"/>
    <cellStyle name="Normal 7 22 2 4" xfId="46354" xr:uid="{5D1BCDCA-363D-4DF3-9C4F-D6F65BAFB801}"/>
    <cellStyle name="Normal 7 22 2 5" xfId="15070" xr:uid="{AD6C578E-B8DA-4D99-913C-7E5E14EBA3E4}"/>
    <cellStyle name="Normal 7 22 2 6" xfId="47782" xr:uid="{68C6429C-2A71-4BFA-9249-2CC3084879AE}"/>
    <cellStyle name="Normal 7 22 2 7" xfId="48014" xr:uid="{BE4DC3F5-B7D1-4C40-8649-9A3F87E2419D}"/>
    <cellStyle name="Normal 7 22 2 8" xfId="47869" xr:uid="{9490A137-A1AA-4F01-94EA-C5488976FE8E}"/>
    <cellStyle name="Normal 7 22 2 9" xfId="48786" xr:uid="{9AC29F45-2D41-49E7-B278-423C33F8E294}"/>
    <cellStyle name="Normal 7 22 20" xfId="16404" xr:uid="{19508847-767B-4EFF-BC3F-614EFA6B1E4A}"/>
    <cellStyle name="Normal 7 22 21" xfId="47337" xr:uid="{98AFC678-9445-4797-B7DE-A7A65D45D17C}"/>
    <cellStyle name="Normal 7 22 22" xfId="46652" xr:uid="{93B231CA-41F1-4125-ACBA-18D873030CE5}"/>
    <cellStyle name="Normal 7 22 23" xfId="49823" xr:uid="{758DCD77-47F1-4D4C-84F7-BEF43CECA46D}"/>
    <cellStyle name="Normal 7 22 3" xfId="12848" xr:uid="{00000000-0005-0000-0000-0000A6270000}"/>
    <cellStyle name="Normal-- 7 22 3" xfId="47089" xr:uid="{D927DCBA-8465-47B7-9F4E-60C101526710}"/>
    <cellStyle name="Normal 7 22 3 2" xfId="45319" xr:uid="{5A02B617-6EB5-4F8C-8811-0F56CEDD3DC6}"/>
    <cellStyle name="Normal 7 22 3 3" xfId="15769" xr:uid="{22AC0861-45E2-4002-8D19-0724B8C5C848}"/>
    <cellStyle name="Normal 7 22 3 4" xfId="48982" xr:uid="{095BD278-924A-49D4-97C1-9796687342D2}"/>
    <cellStyle name="Normal 7 22 3 5" xfId="16509" xr:uid="{C8A88C36-76CB-4D3F-9B8B-B1A2D44CF590}"/>
    <cellStyle name="Normal 7 22 3 6" xfId="49510" xr:uid="{3ED166A8-1E71-4CFC-B488-A3F0BDF74F57}"/>
    <cellStyle name="Normal 7 22 3 7" xfId="49750" xr:uid="{395A8D36-3ED3-4156-A9B5-2D941FAB69A7}"/>
    <cellStyle name="Normal 7 22 3 8" xfId="50103" xr:uid="{58470084-9A38-4CE4-B9C9-66D93D9D7E56}"/>
    <cellStyle name="Normal 7 22 4" xfId="7966" xr:uid="{00000000-0005-0000-0000-0000E20E0000}"/>
    <cellStyle name="Normal-- 7 22 4" xfId="48104" xr:uid="{FCDA2024-E20F-4738-A060-A08EC966E604}"/>
    <cellStyle name="Normal 7 22 5" xfId="13247" xr:uid="{00000000-0005-0000-0000-0000CB300000}"/>
    <cellStyle name="Normal-- 7 22 5" xfId="46772" xr:uid="{AFC86DC3-29DA-49DC-96E4-0DE04369ABA0}"/>
    <cellStyle name="Normal 7 22 5 2" xfId="45711" xr:uid="{21F51DE5-8FC6-4F76-BB6D-ED0E267456F8}"/>
    <cellStyle name="Normal 7 22 5 3" xfId="49337" xr:uid="{E9133570-DD9F-4564-A713-76E44596AD5C}"/>
    <cellStyle name="Normal 7 22 5 4" xfId="49621" xr:uid="{4F449C94-A6F4-47F9-B99E-A5973F1293A2}"/>
    <cellStyle name="Normal 7 22 5 5" xfId="49858" xr:uid="{C0EC22B0-EFA3-4F10-B36F-28BEA0EED74F}"/>
    <cellStyle name="Normal 7 22 5 6" xfId="50201" xr:uid="{EDD4ACF4-94FE-49EE-8616-8867DC42A94B}"/>
    <cellStyle name="Normal 7 22 6" xfId="11394" xr:uid="{00000000-0005-0000-0000-000037310000}"/>
    <cellStyle name="Normal-- 7 22 6" xfId="40249" xr:uid="{29F37D8B-ABB2-4FDE-A1FE-E27789DAAD93}"/>
    <cellStyle name="Normal 7 22 6 2" xfId="43882" xr:uid="{2FFE598E-F3BB-488E-B2C8-5DEA3CE31E45}"/>
    <cellStyle name="Normal 7 22 6 3" xfId="48342" xr:uid="{DF751709-F513-495D-8AB7-05354FCD9446}"/>
    <cellStyle name="Normal 7 22 6 4" xfId="49074" xr:uid="{25328AEE-1E49-4D04-9CCE-1011FD69F489}"/>
    <cellStyle name="Normal 7 22 6 5" xfId="48051" xr:uid="{ED3ADD38-7D7C-4FF9-AB2D-C9FC8FEFDF15}"/>
    <cellStyle name="Normal 7 22 7" xfId="13313" xr:uid="{00000000-0005-0000-0000-0000A7310000}"/>
    <cellStyle name="Normal-- 7 22 7" xfId="48277" xr:uid="{4F5B383B-D981-48D2-8276-2672816B7131}"/>
    <cellStyle name="Normal 7 22 7 2" xfId="45777" xr:uid="{BC4B33B5-EEB2-4C51-B2D4-0D4018B8B839}"/>
    <cellStyle name="Normal 7 22 7 3" xfId="49868" xr:uid="{5BF4B7CC-9934-45FE-B20E-7C4B06C19F17}"/>
    <cellStyle name="Normal 7 22 7 4" xfId="50212" xr:uid="{DC97F632-3E6C-448A-BF66-4C0999D244D0}"/>
    <cellStyle name="Normal 7 22 8" xfId="11324" xr:uid="{00000000-0005-0000-0000-00001B320000}"/>
    <cellStyle name="Normal-- 7 22 8" xfId="48060" xr:uid="{C1F6888C-5CAC-4258-BFE2-915F469BCB4F}"/>
    <cellStyle name="Normal 7 22 8 2" xfId="43813" xr:uid="{3CCA6770-77E8-470D-80C6-43EFFCF2EA9C}"/>
    <cellStyle name="Normal 7 22 8 3" xfId="49284" xr:uid="{79856BCC-DA6E-43F5-8814-10031FEE392A}"/>
    <cellStyle name="Normal 7 22 9" xfId="13385" xr:uid="{00000000-0005-0000-0000-000093320000}"/>
    <cellStyle name="Normal-- 7 22 9" xfId="47372" xr:uid="{8F6A60EE-F905-4AF4-8B30-2FCD687EA65B}"/>
    <cellStyle name="Normal 7 22 9 2" xfId="45849" xr:uid="{1CD9864F-E8A1-4EF5-BFC7-55A9B923721A}"/>
    <cellStyle name="Normal 7 23" xfId="4683" xr:uid="{00000000-0005-0000-0000-00006E120000}"/>
    <cellStyle name="Normal-- 7 23" xfId="12828" xr:uid="{00000000-0005-0000-0000-000098270000}"/>
    <cellStyle name="Normal 7 23 10" xfId="13456" xr:uid="{00000000-0005-0000-0000-000090330000}"/>
    <cellStyle name="Normal 7 23 10 2" xfId="45920" xr:uid="{0C48B72B-4C9B-469D-A343-12D5AC986D01}"/>
    <cellStyle name="Normal 7 23 11" xfId="11178" xr:uid="{00000000-0005-0000-0000-000014340000}"/>
    <cellStyle name="Normal 7 23 11 2" xfId="43667" xr:uid="{F2033256-E3F3-4B81-85BD-E8AC2AF82030}"/>
    <cellStyle name="Normal 7 23 12" xfId="13524" xr:uid="{00000000-0005-0000-0000-00009C340000}"/>
    <cellStyle name="Normal 7 23 12 2" xfId="45988" xr:uid="{3CF9BE07-CB92-465D-9B06-283220BDD7D0}"/>
    <cellStyle name="Normal 7 23 13" xfId="11108" xr:uid="{00000000-0005-0000-0000-000028350000}"/>
    <cellStyle name="Normal 7 23 13 2" xfId="43597" xr:uid="{46BC690E-A5EA-49D3-B371-D9B1821812E3}"/>
    <cellStyle name="Normal 7 23 14" xfId="16074" xr:uid="{3D7A7629-258E-409F-86E7-0D9A30D7501F}"/>
    <cellStyle name="Normal 7 23 15" xfId="38721" xr:uid="{5A46DC46-25CE-4A55-BBCD-289119CBF665}"/>
    <cellStyle name="Normal 7 23 16" xfId="15343" xr:uid="{01E39E2B-2D7D-4FB2-BA45-1D527404C78D}"/>
    <cellStyle name="Normal 7 23 17" xfId="46885" xr:uid="{8BE3B271-A172-4D94-8A1D-EDC8E4EAB0A2}"/>
    <cellStyle name="Normal 7 23 18" xfId="47961" xr:uid="{742BEA68-7E93-49D0-82E4-C5F0858628FA}"/>
    <cellStyle name="Normal 7 23 19" xfId="46489" xr:uid="{36681C8B-A2A7-45E2-86E7-2701989C9DD3}"/>
    <cellStyle name="Normal 7 23 2" xfId="10208" xr:uid="{00000000-0005-0000-0000-0000BB1F0000}"/>
    <cellStyle name="Normal-- 7 23 2" xfId="45299" xr:uid="{380F0D58-FC20-482D-85A3-77DAC2293286}"/>
    <cellStyle name="Normal 7 23 2 2" xfId="42697" xr:uid="{11ACA2B6-E408-4BFE-9A0F-D74F3E314176}"/>
    <cellStyle name="Normal 7 23 2 3" xfId="47519" xr:uid="{050882B1-DBBA-4E09-BA4C-714F55C40F24}"/>
    <cellStyle name="Normal 7 23 2 4" xfId="46357" xr:uid="{1CA0E170-C995-47BF-8542-A4619A78E5EE}"/>
    <cellStyle name="Normal 7 23 2 5" xfId="47668" xr:uid="{28FC6293-C0EF-4AF0-93B7-E2E0815BB11F}"/>
    <cellStyle name="Normal 7 23 2 6" xfId="37647" xr:uid="{A6065647-7721-4F5D-9A42-437E41EEFBF8}"/>
    <cellStyle name="Normal 7 23 2 7" xfId="48294" xr:uid="{CE27D518-5A94-4B26-8898-4EF007B00D69}"/>
    <cellStyle name="Normal 7 23 2 8" xfId="48365" xr:uid="{7CD9AFBA-F990-4239-9F65-4D17B90FF774}"/>
    <cellStyle name="Normal 7 23 2 9" xfId="37688" xr:uid="{A97FA0D0-8F60-4227-9E09-B6341D7AFF07}"/>
    <cellStyle name="Normal 7 23 20" xfId="15240" xr:uid="{C784C3E2-1B79-4938-A849-8E944B8D5D89}"/>
    <cellStyle name="Normal 7 23 21" xfId="37759" xr:uid="{400CAFC6-D0C2-467E-9794-E4D10E57C100}"/>
    <cellStyle name="Normal 7 23 22" xfId="47252" xr:uid="{60D526CA-9CEF-41C4-86DA-F1C53E1B2804}"/>
    <cellStyle name="Normal 7 23 3" xfId="7967" xr:uid="{00000000-0005-0000-0000-0000E30E0000}"/>
    <cellStyle name="Normal-- 7 23 3" xfId="48486" xr:uid="{F61E8A09-F874-49BA-8A71-A53A4BB195B2}"/>
    <cellStyle name="Normal 7 23 4" xfId="13248" xr:uid="{00000000-0005-0000-0000-0000CC300000}"/>
    <cellStyle name="Normal-- 7 23 4" xfId="15783" xr:uid="{0279EA69-1152-4600-9FE0-B63F57F9F6F1}"/>
    <cellStyle name="Normal 7 23 4 2" xfId="45712" xr:uid="{E0F3997A-28D7-4780-98FF-19D82E9E87A2}"/>
    <cellStyle name="Normal 7 23 4 3" xfId="49132" xr:uid="{EDFFDA6E-2DFE-4C8F-853A-16A84E682013}"/>
    <cellStyle name="Normal 7 23 4 4" xfId="49338" xr:uid="{58C79C9B-8026-4ED4-A61F-10A07A245E81}"/>
    <cellStyle name="Normal 7 23 4 5" xfId="49622" xr:uid="{5225AC24-76C3-413A-9B13-B185F56F3B8A}"/>
    <cellStyle name="Normal 7 23 4 6" xfId="49859" xr:uid="{F3BE29FF-C07C-446C-BE5D-67FB2A538846}"/>
    <cellStyle name="Normal 7 23 4 7" xfId="50202" xr:uid="{D3CD58FC-BA56-4027-A1F3-BC14C0ADC991}"/>
    <cellStyle name="Normal 7 23 5" xfId="11393" xr:uid="{00000000-0005-0000-0000-000038310000}"/>
    <cellStyle name="Normal-- 7 23 5" xfId="47829" xr:uid="{6C2D0653-EBA6-4DA3-B3F0-BF47C5149490}"/>
    <cellStyle name="Normal 7 23 5 2" xfId="43881" xr:uid="{2BD2EEF4-2E3E-405E-85BF-22D1EDB8B23F}"/>
    <cellStyle name="Normal 7 23 5 3" xfId="46568" xr:uid="{3A3C64FF-6DB9-4781-854E-8857D91AB0EC}"/>
    <cellStyle name="Normal 7 23 5 4" xfId="47611" xr:uid="{DD38695A-432D-44AD-B247-A8963F07128B}"/>
    <cellStyle name="Normal 7 23 5 5" xfId="37902" xr:uid="{190A5E28-11DA-47DA-87A4-39AC83721C60}"/>
    <cellStyle name="Normal 7 23 5 6" xfId="45432" xr:uid="{23E4A1DF-C555-46DF-A582-3DB059AC47AE}"/>
    <cellStyle name="Normal 7 23 6" xfId="13314" xr:uid="{00000000-0005-0000-0000-0000A8310000}"/>
    <cellStyle name="Normal-- 7 23 6" xfId="48027" xr:uid="{0AB32B50-B901-4BC9-B90A-C528E8D0E68D}"/>
    <cellStyle name="Normal 7 23 6 2" xfId="45778" xr:uid="{21E366E4-11B9-4D8A-B4A8-A7BBC9E32F08}"/>
    <cellStyle name="Normal 7 23 6 3" xfId="49630" xr:uid="{036F3195-085D-49A0-A5B2-460AFBF922C3}"/>
    <cellStyle name="Normal 7 23 6 4" xfId="49869" xr:uid="{530E2726-DD1F-40A1-B5A0-9C31D5145405}"/>
    <cellStyle name="Normal 7 23 6 5" xfId="50213" xr:uid="{22ACA2FE-4272-4052-80D5-A7588CD11912}"/>
    <cellStyle name="Normal 7 23 7" xfId="11323" xr:uid="{00000000-0005-0000-0000-00001C320000}"/>
    <cellStyle name="Normal-- 7 23 7" xfId="49506" xr:uid="{BA62D19D-F040-4F93-A3DB-8D9BFFC43468}"/>
    <cellStyle name="Normal 7 23 7 2" xfId="43812" xr:uid="{BD6E054F-13D2-4F5F-BCC6-CE720B6DE599}"/>
    <cellStyle name="Normal 7 23 7 3" xfId="46825" xr:uid="{4A69A7CB-2118-4899-899B-8FA648281964}"/>
    <cellStyle name="Normal 7 23 7 4" xfId="48946" xr:uid="{313FACEF-5E46-4B22-ABC4-7C67C331B65D}"/>
    <cellStyle name="Normal 7 23 8" xfId="13386" xr:uid="{00000000-0005-0000-0000-000094320000}"/>
    <cellStyle name="Normal-- 7 23 8" xfId="49745" xr:uid="{C71C5CDB-F492-4168-85E0-F930C05FE17A}"/>
    <cellStyle name="Normal 7 23 8 2" xfId="45850" xr:uid="{36BB2E13-6115-44A4-AF92-3DBB27996803}"/>
    <cellStyle name="Normal 7 23 8 3" xfId="50224" xr:uid="{C8606D71-6E16-4E87-A443-5FCFD65DE57D}"/>
    <cellStyle name="Normal 7 23 9" xfId="11245" xr:uid="{00000000-0005-0000-0000-000010330000}"/>
    <cellStyle name="Normal-- 7 23 9" xfId="50097" xr:uid="{37D2EA60-2179-4096-BEF8-BF4276F22174}"/>
    <cellStyle name="Normal 7 23 9 2" xfId="43734" xr:uid="{81D093A8-AF6F-42BD-9BBE-883A458A67F7}"/>
    <cellStyle name="Normal 7 24" xfId="4684" xr:uid="{00000000-0005-0000-0000-00006F120000}"/>
    <cellStyle name="Normal-- 7 24" xfId="7949" xr:uid="{00000000-0005-0000-0000-0000D10E0000}"/>
    <cellStyle name="Normal 7 24 10" xfId="13458" xr:uid="{00000000-0005-0000-0000-000091330000}"/>
    <cellStyle name="Normal 7 24 10 2" xfId="45922" xr:uid="{356635F7-8802-43AF-BEE6-12EDB0A62EE9}"/>
    <cellStyle name="Normal 7 24 11" xfId="11176" xr:uid="{00000000-0005-0000-0000-000015340000}"/>
    <cellStyle name="Normal 7 24 11 2" xfId="43665" xr:uid="{69AD142B-34AC-40A6-BA1A-132F6931F578}"/>
    <cellStyle name="Normal 7 24 12" xfId="13525" xr:uid="{00000000-0005-0000-0000-00009D340000}"/>
    <cellStyle name="Normal 7 24 12 2" xfId="45989" xr:uid="{2D9B4AE4-D867-4477-AEC8-19683E5361D8}"/>
    <cellStyle name="Normal 7 24 13" xfId="11107" xr:uid="{00000000-0005-0000-0000-000029350000}"/>
    <cellStyle name="Normal 7 24 13 2" xfId="43596" xr:uid="{8F40C69D-86F2-46FD-9AC5-C4EBDD14AE64}"/>
    <cellStyle name="Normal 7 24 14" xfId="16075" xr:uid="{0B1920F6-2286-4617-9DAB-652FB3BEAA51}"/>
    <cellStyle name="Normal 7 24 15" xfId="38722" xr:uid="{709DA4D2-6727-43BA-857B-E4BAD77491D5}"/>
    <cellStyle name="Normal 7 24 16" xfId="15348" xr:uid="{5F62A611-5EE6-4735-8479-F14F584739E0}"/>
    <cellStyle name="Normal 7 24 17" xfId="48314" xr:uid="{09F69027-8E37-433E-98C1-51859395ED70}"/>
    <cellStyle name="Normal 7 24 18" xfId="47257" xr:uid="{BDDC43E5-32DF-44D2-8675-955106F94577}"/>
    <cellStyle name="Normal 7 24 19" xfId="15427" xr:uid="{1B0A9C91-92F0-4E1F-8004-EC7FA3DD99AA}"/>
    <cellStyle name="Normal 7 24 2" xfId="10209" xr:uid="{00000000-0005-0000-0000-0000BC1F0000}"/>
    <cellStyle name="Normal 7 24 2 2" xfId="42698" xr:uid="{07EB8415-6E2B-4F9C-A713-D78509403366}"/>
    <cellStyle name="Normal 7 24 20" xfId="46294" xr:uid="{E47C3F91-A503-4645-9142-154C143DA42E}"/>
    <cellStyle name="Normal 7 24 21" xfId="48888" xr:uid="{44D407C9-9622-40AE-9FE8-AB539A14797D}"/>
    <cellStyle name="Normal 7 24 22" xfId="49818" xr:uid="{57481097-0230-4893-82F8-51C66CAF9D25}"/>
    <cellStyle name="Normal 7 24 3" xfId="7968" xr:uid="{00000000-0005-0000-0000-0000E40E0000}"/>
    <cellStyle name="Normal 7 24 4" xfId="13249" xr:uid="{00000000-0005-0000-0000-0000CD300000}"/>
    <cellStyle name="Normal 7 24 4 2" xfId="45713" xr:uid="{42374E0E-BF67-4801-B8AD-02DD3046046B}"/>
    <cellStyle name="Normal 7 24 5" xfId="11392" xr:uid="{00000000-0005-0000-0000-000039310000}"/>
    <cellStyle name="Normal 7 24 5 2" xfId="43880" xr:uid="{AE3595AF-E4E1-40AF-B545-9F0AFB9F9260}"/>
    <cellStyle name="Normal 7 24 6" xfId="13316" xr:uid="{00000000-0005-0000-0000-0000A9310000}"/>
    <cellStyle name="Normal 7 24 6 2" xfId="45780" xr:uid="{95ACC7CE-D290-4BF4-B4EF-C9BA1ABCD1BA}"/>
    <cellStyle name="Normal 7 24 7" xfId="11322" xr:uid="{00000000-0005-0000-0000-00001D320000}"/>
    <cellStyle name="Normal 7 24 7 2" xfId="43811" xr:uid="{9B9B653F-931E-46A6-ADAC-8D234A81508A}"/>
    <cellStyle name="Normal 7 24 8" xfId="13387" xr:uid="{00000000-0005-0000-0000-000095320000}"/>
    <cellStyle name="Normal 7 24 8 2" xfId="45851" xr:uid="{78361E23-9D17-4071-AD6E-07579D8844AE}"/>
    <cellStyle name="Normal 7 24 9" xfId="11244" xr:uid="{00000000-0005-0000-0000-000011330000}"/>
    <cellStyle name="Normal 7 24 9 2" xfId="43733" xr:uid="{C17C4EEA-3149-45DA-AB4C-9198D258143F}"/>
    <cellStyle name="Normal 7 25" xfId="4685" xr:uid="{00000000-0005-0000-0000-000070120000}"/>
    <cellStyle name="Normal-- 7 25" xfId="13233" xr:uid="{00000000-0005-0000-0000-0000BD300000}"/>
    <cellStyle name="Normal 7 25 10" xfId="11175" xr:uid="{00000000-0005-0000-0000-000016340000}"/>
    <cellStyle name="Normal 7 25 10 2" xfId="43664" xr:uid="{A8499408-881C-4D9C-BFF5-67B62A84822B}"/>
    <cellStyle name="Normal 7 25 11" xfId="13526" xr:uid="{00000000-0005-0000-0000-00009E340000}"/>
    <cellStyle name="Normal 7 25 11 2" xfId="45990" xr:uid="{6E5DCFF8-DC58-4F87-9ABF-A45564B55ECD}"/>
    <cellStyle name="Normal 7 25 12" xfId="11106" xr:uid="{00000000-0005-0000-0000-00002A350000}"/>
    <cellStyle name="Normal 7 25 12 2" xfId="43595" xr:uid="{C1AD55EC-BD47-4187-AB0A-D36B41A9A315}"/>
    <cellStyle name="Normal 7 25 13" xfId="16076" xr:uid="{9719302C-CDA8-42B7-B396-B2DF9402CF0A}"/>
    <cellStyle name="Normal 7 25 14" xfId="38723" xr:uid="{819B2D7C-D11A-4EC1-B1E3-4BB32D02B26E}"/>
    <cellStyle name="Normal 7 25 15" xfId="40386" xr:uid="{8E2847B7-99A4-43C2-90B2-2D9E6DDAB178}"/>
    <cellStyle name="Normal 7 25 16" xfId="47411" xr:uid="{3B68CEF5-D45D-4473-9535-266F6CEC28D8}"/>
    <cellStyle name="Normal 7 25 17" xfId="48691" xr:uid="{48A09A80-3D00-450B-A56F-B91DC638827F}"/>
    <cellStyle name="Normal 7 25 18" xfId="14055" xr:uid="{43435B8E-82D1-4C68-BD8C-B2893613ADDA}"/>
    <cellStyle name="Normal 7 25 19" xfId="15919" xr:uid="{3B791918-B8A4-4144-8136-26191FF5D393}"/>
    <cellStyle name="Normal 7 25 2" xfId="10210" xr:uid="{00000000-0005-0000-0000-0000BD1F0000}"/>
    <cellStyle name="Normal-- 7 25 2" xfId="45697" xr:uid="{5A2841F2-6A77-445F-9795-D9CFF5055AA8}"/>
    <cellStyle name="Normal 7 25 2 2" xfId="42699" xr:uid="{6A2D59BA-6DEB-4D37-8CA0-D1A7BEAC0C98}"/>
    <cellStyle name="Normal 7 25 2 3" xfId="47521" xr:uid="{FEA74E84-C2C3-4CA8-9C66-CBA9A8D31AB6}"/>
    <cellStyle name="Normal 7 25 2 4" xfId="48194" xr:uid="{499F1212-49B6-42D5-9C66-207FE0EC0DA8}"/>
    <cellStyle name="Normal 7 25 2 5" xfId="47665" xr:uid="{0D614E50-B7B1-4CD8-AE61-DC1218ADA7BE}"/>
    <cellStyle name="Normal 7 25 2 6" xfId="16538" xr:uid="{44C73F91-3613-46AE-9491-C49DB4A9F9BB}"/>
    <cellStyle name="Normal 7 25 2 7" xfId="46122" xr:uid="{8AAE5524-CD72-48DE-8852-52DD83074D0D}"/>
    <cellStyle name="Normal 7 25 2 8" xfId="40087" xr:uid="{22799494-B561-4626-9C93-CF75B1A6E437}"/>
    <cellStyle name="Normal 7 25 2 9" xfId="13980" xr:uid="{BF237C24-7891-4B4F-9120-CC37DE182D2D}"/>
    <cellStyle name="Normal 7 25 20" xfId="40318" xr:uid="{FA06A947-0833-453B-8337-C1881A49ACF2}"/>
    <cellStyle name="Normal 7 25 21" xfId="37979" xr:uid="{557301B3-4F48-46BD-A433-D55635F6EBF4}"/>
    <cellStyle name="Normal 7 25 3" xfId="7969" xr:uid="{00000000-0005-0000-0000-0000E50E0000}"/>
    <cellStyle name="Normal-- 7 25 3" xfId="48673" xr:uid="{69B3BFF9-38FE-406B-BFB4-FC63E9A8837C}"/>
    <cellStyle name="Normal 7 25 4" xfId="11391" xr:uid="{00000000-0005-0000-0000-00003A310000}"/>
    <cellStyle name="Normal-- 7 25 4" xfId="48867" xr:uid="{C9463553-2B68-4C20-AA5E-1BAB90A36A4C}"/>
    <cellStyle name="Normal 7 25 4 2" xfId="43879" xr:uid="{ED4BF3B4-7C75-45EF-BBCC-6E080F0B7194}"/>
    <cellStyle name="Normal 7 25 4 3" xfId="15129" xr:uid="{190EA7FC-575A-4036-B8E0-64BE055581BD}"/>
    <cellStyle name="Normal 7 25 4 4" xfId="48251" xr:uid="{FE2109C4-FCEB-4A91-AFBC-6B10511886F1}"/>
    <cellStyle name="Normal 7 25 4 5" xfId="48879" xr:uid="{87FBA978-923B-4EE9-8AB1-714C7742EA4F}"/>
    <cellStyle name="Normal 7 25 4 6" xfId="47735" xr:uid="{372C9F08-6618-4FF3-AABC-7F842AB9C30B}"/>
    <cellStyle name="Normal 7 25 4 7" xfId="40753" xr:uid="{1EB15443-3712-4CF4-A29D-DC424B18BEBD}"/>
    <cellStyle name="Normal 7 25 5" xfId="13317" xr:uid="{00000000-0005-0000-0000-0000AA310000}"/>
    <cellStyle name="Normal-- 7 25 5" xfId="49129" xr:uid="{47161E52-FF53-49FC-A2EE-22B50C62754A}"/>
    <cellStyle name="Normal 7 25 5 2" xfId="45781" xr:uid="{A86AA741-D330-430A-947A-3D25ACA7689F}"/>
    <cellStyle name="Normal 7 25 5 3" xfId="49351" xr:uid="{57C9AFFF-BD8A-447F-8FBB-6BA182769653}"/>
    <cellStyle name="Normal 7 25 5 4" xfId="49631" xr:uid="{A9D66C1D-1CA8-4CD5-A578-215A176BF782}"/>
    <cellStyle name="Normal 7 25 5 5" xfId="49870" xr:uid="{06B37CFB-2452-493E-8824-FF6E477B4AA2}"/>
    <cellStyle name="Normal 7 25 5 6" xfId="50215" xr:uid="{4064DEBE-A72E-449D-96F4-48043EEBB42D}"/>
    <cellStyle name="Normal 7 25 6" xfId="11321" xr:uid="{00000000-0005-0000-0000-00001E320000}"/>
    <cellStyle name="Normal-- 7 25 6" xfId="49335" xr:uid="{780BAAB3-EC36-412F-9966-B0847A571E0D}"/>
    <cellStyle name="Normal 7 25 6 2" xfId="43810" xr:uid="{A910569F-9929-42E2-85A0-9569E783F62F}"/>
    <cellStyle name="Normal 7 25 6 3" xfId="40288" xr:uid="{BFDB9C50-67DF-4CF8-85F5-7B9B76601CBD}"/>
    <cellStyle name="Normal 7 25 6 4" xfId="47872" xr:uid="{1B06112F-B70C-4DC4-BD1D-47A15EA26B4A}"/>
    <cellStyle name="Normal 7 25 6 5" xfId="37849" xr:uid="{0D1E8800-29BD-45B5-9153-665645C84956}"/>
    <cellStyle name="Normal 7 25 7" xfId="13389" xr:uid="{00000000-0005-0000-0000-000096320000}"/>
    <cellStyle name="Normal-- 7 25 7" xfId="49619" xr:uid="{5216799B-EFF7-4312-BD98-30500769EECC}"/>
    <cellStyle name="Normal 7 25 7 2" xfId="45853" xr:uid="{08024DFB-AEBD-4D59-8600-3A5498E4709D}"/>
    <cellStyle name="Normal 7 25 7 3" xfId="49879" xr:uid="{F1AC2726-58CD-453B-B4BC-82BC754C131C}"/>
    <cellStyle name="Normal 7 25 7 4" xfId="50226" xr:uid="{CACBC9B3-B0B2-4CAC-B86E-5FEEB6A05B78}"/>
    <cellStyle name="Normal 7 25 8" xfId="11242" xr:uid="{00000000-0005-0000-0000-000012330000}"/>
    <cellStyle name="Normal-- 7 25 8" xfId="49855" xr:uid="{0825B7A3-F559-4A45-B162-6F5140B91EFF}"/>
    <cellStyle name="Normal 7 25 8 2" xfId="43731" xr:uid="{E71C9729-A7D0-4998-904F-713395DBBF1D}"/>
    <cellStyle name="Normal 7 25 8 3" xfId="40610" xr:uid="{0B223A21-F336-43BA-8338-1979397A53CE}"/>
    <cellStyle name="Normal 7 25 9" xfId="13459" xr:uid="{00000000-0005-0000-0000-000092330000}"/>
    <cellStyle name="Normal-- 7 25 9" xfId="50197" xr:uid="{F27D6F67-FFCB-4C51-88BE-2FFF84C7BE3C}"/>
    <cellStyle name="Normal 7 25 9 2" xfId="45923" xr:uid="{12A6E42D-AD01-44A4-BA08-53CADBE3C1A7}"/>
    <cellStyle name="Normal 7 26" xfId="4686" xr:uid="{00000000-0005-0000-0000-000071120000}"/>
    <cellStyle name="Normal-- 7 26" xfId="11405" xr:uid="{00000000-0005-0000-0000-000029310000}"/>
    <cellStyle name="Normal 7 26 10" xfId="13527" xr:uid="{00000000-0005-0000-0000-00009F340000}"/>
    <cellStyle name="Normal 7 26 10 2" xfId="45991" xr:uid="{3E737E34-E480-498D-AC49-6704F4587EC6}"/>
    <cellStyle name="Normal 7 26 11" xfId="11105" xr:uid="{00000000-0005-0000-0000-00002B350000}"/>
    <cellStyle name="Normal 7 26 11 2" xfId="43594" xr:uid="{30766836-8B27-468C-B1F9-9BC06A19AC15}"/>
    <cellStyle name="Normal 7 26 12" xfId="16077" xr:uid="{2752FF9B-EC36-46E5-A064-AC8D33DF325C}"/>
    <cellStyle name="Normal 7 26 13" xfId="38724" xr:uid="{D6C62BE0-E71D-4BD1-8702-56C2EFEF92FA}"/>
    <cellStyle name="Normal 7 26 14" xfId="15349" xr:uid="{427CAA7D-E527-437A-89FF-714080F29987}"/>
    <cellStyle name="Normal 7 26 15" xfId="46133" xr:uid="{C1F2BC7C-849C-4003-A58F-6F586AEB099D}"/>
    <cellStyle name="Normal 7 26 16" xfId="46389" xr:uid="{81266A89-E87B-4F1D-A3F1-A98B24923E18}"/>
    <cellStyle name="Normal 7 26 17" xfId="48141" xr:uid="{D35393D3-9255-4F30-B05D-17ABD588C33F}"/>
    <cellStyle name="Normal 7 26 18" xfId="48233" xr:uid="{3E7E02C4-8F1E-48D3-9734-CC506302A279}"/>
    <cellStyle name="Normal 7 26 19" xfId="39564" xr:uid="{B4325A6F-829B-4B7D-B365-582061470494}"/>
    <cellStyle name="Normal 7 26 2" xfId="10211" xr:uid="{00000000-0005-0000-0000-0000BE1F0000}"/>
    <cellStyle name="Normal-- 7 26 2" xfId="43893" xr:uid="{2E0E5DCB-7E82-43EA-882A-1997236D22C8}"/>
    <cellStyle name="Normal 7 26 2 2" xfId="42700" xr:uid="{137C1FB2-838D-4A66-A530-832CEF0BB3E5}"/>
    <cellStyle name="Normal 7 26 2 3" xfId="47522" xr:uid="{79DCF512-EA5E-44CA-BD3D-E55B8248B58D}"/>
    <cellStyle name="Normal 7 26 2 4" xfId="46355" xr:uid="{D428600B-D729-4EBA-A459-F73E83784A02}"/>
    <cellStyle name="Normal 7 26 2 5" xfId="46829" xr:uid="{6166C1C5-65B2-4A31-964A-C053C73CEB18}"/>
    <cellStyle name="Normal 7 26 2 6" xfId="15168" xr:uid="{83B7C615-5D4B-45D2-AA6C-4873D8230F6A}"/>
    <cellStyle name="Normal 7 26 2 7" xfId="47691" xr:uid="{6F345B21-ABA6-4F9B-9913-F9B4F1420147}"/>
    <cellStyle name="Normal 7 26 2 8" xfId="14050" xr:uid="{6905AFC5-A530-4C5F-900A-FB3176C16E0B}"/>
    <cellStyle name="Normal 7 26 2 9" xfId="16182" xr:uid="{CD55475D-9611-411C-AC95-D64F3EB23398}"/>
    <cellStyle name="Normal 7 26 20" xfId="48779" xr:uid="{2BC7EA0C-850A-4403-81FA-B42378441E74}"/>
    <cellStyle name="Normal 7 26 3" xfId="7970" xr:uid="{00000000-0005-0000-0000-0000E60E0000}"/>
    <cellStyle name="Normal-- 7 26 3" xfId="47956" xr:uid="{5C5F0FE9-A640-40BF-A902-143F479F8E25}"/>
    <cellStyle name="Normal 7 26 4" xfId="13318" xr:uid="{00000000-0005-0000-0000-0000AB310000}"/>
    <cellStyle name="Normal-- 7 26 4" xfId="48319" xr:uid="{5CB29F1F-3CA5-4B56-B29E-076F9EEABBBE}"/>
    <cellStyle name="Normal 7 26 4 2" xfId="45782" xr:uid="{0603497D-E657-41C0-B6BF-025F7A12D98E}"/>
    <cellStyle name="Normal 7 26 4 3" xfId="49151" xr:uid="{37381930-8FE3-46B3-8670-AF2D254B4A96}"/>
    <cellStyle name="Normal 7 26 4 4" xfId="49352" xr:uid="{756022B2-79DB-42B6-B00C-C216EF2928E3}"/>
    <cellStyle name="Normal 7 26 4 5" xfId="49632" xr:uid="{9CF235D7-17D1-457A-ACD4-4315FEBDF4E2}"/>
    <cellStyle name="Normal 7 26 4 6" xfId="49871" xr:uid="{76B4D209-3E23-43D7-A95E-15DF4DF7E4EA}"/>
    <cellStyle name="Normal 7 26 4 7" xfId="50216" xr:uid="{5B3B942E-569C-47AA-A3B1-00B46D220843}"/>
    <cellStyle name="Normal 7 26 5" xfId="11320" xr:uid="{00000000-0005-0000-0000-00001F320000}"/>
    <cellStyle name="Normal-- 7 26 5" xfId="46948" xr:uid="{12CFF5D4-7EA9-4920-903C-7C2458FE188E}"/>
    <cellStyle name="Normal 7 26 5 2" xfId="43809" xr:uid="{DE1FC3CD-E17D-4898-98B6-518881AC22E5}"/>
    <cellStyle name="Normal 7 26 5 3" xfId="46632" xr:uid="{B4DE783E-E893-4A8B-B2FC-8C34340F581C}"/>
    <cellStyle name="Normal 7 26 5 4" xfId="39583" xr:uid="{9C114D7C-198B-499D-9CAB-15CE5EBC10DA}"/>
    <cellStyle name="Normal 7 26 5 5" xfId="15637" xr:uid="{7AFE65CD-C9D3-46D0-8E32-2A58082ED1A0}"/>
    <cellStyle name="Normal 7 26 5 6" xfId="48152" xr:uid="{81671A13-7FF8-4AB2-AA0C-B3034FBD6D9C}"/>
    <cellStyle name="Normal 7 26 6" xfId="13390" xr:uid="{00000000-0005-0000-0000-000097320000}"/>
    <cellStyle name="Normal-- 7 26 6" xfId="15304" xr:uid="{997393EF-562F-49C3-85DE-4BBB27D5CC86}"/>
    <cellStyle name="Normal 7 26 6 2" xfId="45854" xr:uid="{0E426030-592F-42EE-9A48-14A37CA5A235}"/>
    <cellStyle name="Normal 7 26 6 3" xfId="49641" xr:uid="{1AD1624C-9CC4-41EB-A0BA-FE82656A4F37}"/>
    <cellStyle name="Normal 7 26 6 4" xfId="49880" xr:uid="{09F03261-6782-4156-814D-F9B6DCC47F62}"/>
    <cellStyle name="Normal 7 26 6 5" xfId="50227" xr:uid="{ED031E64-6A06-4000-97AE-6DA27FDF5CEF}"/>
    <cellStyle name="Normal 7 26 7" xfId="11238" xr:uid="{00000000-0005-0000-0000-000013330000}"/>
    <cellStyle name="Normal-- 7 26 7" xfId="46156" xr:uid="{EF196C0A-0F9D-45E7-824A-E08AAF4EBCFA}"/>
    <cellStyle name="Normal 7 26 7 2" xfId="43727" xr:uid="{AE509AE9-56CE-4D75-AB95-DB7557E913C6}"/>
    <cellStyle name="Normal 7 26 7 3" xfId="47137" xr:uid="{AFE1404C-1AD1-43B5-9C9A-8C9B5B5E4F91}"/>
    <cellStyle name="Normal 7 26 7 4" xfId="40802" xr:uid="{D272F454-D76B-4029-BBFB-0E5285F7C63C}"/>
    <cellStyle name="Normal 7 26 8" xfId="13460" xr:uid="{00000000-0005-0000-0000-000093330000}"/>
    <cellStyle name="Normal-- 7 26 8" xfId="48890" xr:uid="{7EC0DAD6-90B0-4375-8B6C-DEEF4A283E78}"/>
    <cellStyle name="Normal 7 26 8 2" xfId="45924" xr:uid="{9FC85326-C5E0-45EF-88D1-0BEDF9E3D1BC}"/>
    <cellStyle name="Normal 7 26 8 3" xfId="50238" xr:uid="{6D9CCC50-84ED-4BE3-97F0-15C4836986BD}"/>
    <cellStyle name="Normal 7 26 9" xfId="11174" xr:uid="{00000000-0005-0000-0000-000017340000}"/>
    <cellStyle name="Normal-- 7 26 9" xfId="49324" xr:uid="{F96E5B12-C6EA-4EAE-90E3-9214FEA64F78}"/>
    <cellStyle name="Normal 7 26 9 2" xfId="43663" xr:uid="{74FD0408-33F2-487F-AD0D-A7D4AA7EAFC1}"/>
    <cellStyle name="Normal 7 27" xfId="4687" xr:uid="{00000000-0005-0000-0000-000072120000}"/>
    <cellStyle name="Normal-- 7 27" xfId="13283" xr:uid="{00000000-0005-0000-0000-000099310000}"/>
    <cellStyle name="Normal 7 27 10" xfId="11099" xr:uid="{00000000-0005-0000-0000-00002C350000}"/>
    <cellStyle name="Normal 7 27 10 2" xfId="43588" xr:uid="{1916F970-1721-4986-9462-1889813BA7AE}"/>
    <cellStyle name="Normal 7 27 11" xfId="16078" xr:uid="{1A954071-BB7A-4396-8C7F-E13439DFFC83}"/>
    <cellStyle name="Normal 7 27 12" xfId="38725" xr:uid="{32596E21-5151-4E3C-96FF-7A561EF7F253}"/>
    <cellStyle name="Normal 7 27 13" xfId="15351" xr:uid="{570A971A-0E74-4BBF-83FD-09F23C42329F}"/>
    <cellStyle name="Normal 7 27 14" xfId="47418" xr:uid="{63C9D8C4-A488-4E41-A2C4-98B97EF07D4A}"/>
    <cellStyle name="Normal 7 27 15" xfId="41903" xr:uid="{A465C751-F0FF-40FD-8105-8407764EBEBD}"/>
    <cellStyle name="Normal 7 27 16" xfId="13835" xr:uid="{D99B0500-795A-474F-AA03-099497BDB628}"/>
    <cellStyle name="Normal 7 27 17" xfId="49312" xr:uid="{EDE820EF-F1A5-4B42-AD68-A1E97AEF3F8B}"/>
    <cellStyle name="Normal 7 27 18" xfId="49597" xr:uid="{A785BD0C-B94E-401E-90D8-3F2410F2CDF5}"/>
    <cellStyle name="Normal 7 27 19" xfId="41818" xr:uid="{E0A0836B-F35C-435C-B7BB-40C74184B275}"/>
    <cellStyle name="Normal 7 27 2" xfId="10212" xr:uid="{00000000-0005-0000-0000-0000BF1F0000}"/>
    <cellStyle name="Normal-- 7 27 2" xfId="45747" xr:uid="{8643F167-7E81-4E67-AC06-D6D196AE2911}"/>
    <cellStyle name="Normal 7 27 2 2" xfId="42701" xr:uid="{0AFD3B7A-101B-4089-8038-FB5300DA9060}"/>
    <cellStyle name="Normal 7 27 2 3" xfId="47523" xr:uid="{DF43F847-FCDB-4884-9A91-B015C2D6CAA4}"/>
    <cellStyle name="Normal 7 27 2 4" xfId="46356" xr:uid="{80354015-F407-4C1D-9082-8AB6C906CF95}"/>
    <cellStyle name="Normal 7 27 2 5" xfId="40528" xr:uid="{67AF3633-874E-4333-9CB7-2DEE129E4DB2}"/>
    <cellStyle name="Normal 7 27 2 6" xfId="47064" xr:uid="{C70EC940-07C2-417E-BDF6-1934D933075B}"/>
    <cellStyle name="Normal 7 27 2 7" xfId="15294" xr:uid="{6195EF7A-8AA8-4ACB-8DED-1B31F524C906}"/>
    <cellStyle name="Normal 7 27 2 8" xfId="48154" xr:uid="{77B434E7-25F3-409F-8B53-3274DA33E7A3}"/>
    <cellStyle name="Normal 7 27 2 9" xfId="16608" xr:uid="{D0EC14D0-0226-4115-9955-28983018A452}"/>
    <cellStyle name="Normal 7 27 3" xfId="7971" xr:uid="{00000000-0005-0000-0000-0000E70E0000}"/>
    <cellStyle name="Normal-- 7 27 3" xfId="48693" xr:uid="{2824A31B-7D39-42DC-8DDD-32E9BF41C4C8}"/>
    <cellStyle name="Normal 7 27 4" xfId="11319" xr:uid="{00000000-0005-0000-0000-000020320000}"/>
    <cellStyle name="Normal-- 7 27 4" xfId="48882" xr:uid="{F0125302-E034-47B7-BFB6-E4A0E47EB706}"/>
    <cellStyle name="Normal 7 27 4 2" xfId="43808" xr:uid="{FF57BA7B-01E8-41DE-84F8-349AA32FB6AE}"/>
    <cellStyle name="Normal 7 27 4 3" xfId="47238" xr:uid="{5FA4CC5A-4C5D-4859-9F19-E61E30092145}"/>
    <cellStyle name="Normal 7 27 4 4" xfId="37943" xr:uid="{C5A3B7C8-C464-4725-85D1-74910294BF3E}"/>
    <cellStyle name="Normal 7 27 4 5" xfId="47608" xr:uid="{1361B175-D601-46B6-909C-2E4D1E0225F2}"/>
    <cellStyle name="Normal 7 27 4 6" xfId="46312" xr:uid="{F15E5F42-B341-4EA2-9902-66DAAB475129}"/>
    <cellStyle name="Normal 7 27 4 7" xfId="46213" xr:uid="{C8A554A1-8874-4F44-B938-B82070E694B1}"/>
    <cellStyle name="Normal 7 27 5" xfId="13391" xr:uid="{00000000-0005-0000-0000-000098320000}"/>
    <cellStyle name="Normal-- 7 27 5" xfId="49142" xr:uid="{F84352BC-184C-4AA4-A324-4ED98C6D8246}"/>
    <cellStyle name="Normal 7 27 5 2" xfId="45855" xr:uid="{78C0EE6B-F8C1-4895-8401-C5F97CC1BEE7}"/>
    <cellStyle name="Normal 7 27 5 3" xfId="49360" xr:uid="{19043047-5877-4C8A-BA2B-7A7D861B80DA}"/>
    <cellStyle name="Normal 7 27 5 4" xfId="49642" xr:uid="{932FA29D-DDB3-4E5C-847A-4AB79C21B087}"/>
    <cellStyle name="Normal 7 27 5 5" xfId="49881" xr:uid="{A1B0A606-9DA2-42E8-B98C-F10ADF6635E4}"/>
    <cellStyle name="Normal 7 27 5 6" xfId="50228" xr:uid="{8060E554-7D5A-4466-AB06-EFD6AF70EF62}"/>
    <cellStyle name="Normal 7 27 6" xfId="11237" xr:uid="{00000000-0005-0000-0000-000014330000}"/>
    <cellStyle name="Normal-- 7 27 6" xfId="49345" xr:uid="{FE3591B0-48D9-4E96-B6E5-1FA2D635AD2E}"/>
    <cellStyle name="Normal 7 27 6 2" xfId="43726" xr:uid="{82B7D615-A9DE-4CEF-8393-E8B1E9D541F5}"/>
    <cellStyle name="Normal 7 27 6 3" xfId="23499" xr:uid="{8F6A307C-4491-47E3-8FB9-7297AB2FEDDF}"/>
    <cellStyle name="Normal 7 27 6 4" xfId="15063" xr:uid="{C8DD54DB-648D-4778-B64A-BF749F73421E}"/>
    <cellStyle name="Normal 7 27 6 5" xfId="49293" xr:uid="{2D87BE1E-A053-42A8-A7F0-03BF480645CD}"/>
    <cellStyle name="Normal 7 27 7" xfId="13461" xr:uid="{00000000-0005-0000-0000-000094330000}"/>
    <cellStyle name="Normal-- 7 27 7" xfId="49628" xr:uid="{D56CECD3-4F08-4E42-8B79-0CDB4DCDA28C}"/>
    <cellStyle name="Normal 7 27 7 2" xfId="45925" xr:uid="{6B0A8DCA-1727-4206-A33A-1D174CBAD3CA}"/>
    <cellStyle name="Normal 7 27 7 3" xfId="49893" xr:uid="{0FCB93E2-4936-4C7D-9AEF-DAE97DE6026C}"/>
    <cellStyle name="Normal 7 27 7 4" xfId="50239" xr:uid="{4B6C680A-F942-4367-94EF-0BA9BADEA1D8}"/>
    <cellStyle name="Normal 7 27 8" xfId="11173" xr:uid="{00000000-0005-0000-0000-000018340000}"/>
    <cellStyle name="Normal-- 7 27 8" xfId="49863" xr:uid="{3DD55891-CFE1-4AAA-9FAC-0129026FE6DF}"/>
    <cellStyle name="Normal 7 27 8 2" xfId="43662" xr:uid="{6DBAE6A4-1A60-4238-A25C-055495644C44}"/>
    <cellStyle name="Normal 7 27 8 3" xfId="46724" xr:uid="{0562B9AD-5ED1-454C-A030-9FCCCE7F6AFF}"/>
    <cellStyle name="Normal 7 27 9" xfId="13529" xr:uid="{00000000-0005-0000-0000-0000A0340000}"/>
    <cellStyle name="Normal-- 7 27 9" xfId="50207" xr:uid="{0C44443B-6B89-434F-87DE-16016289E6AF}"/>
    <cellStyle name="Normal 7 27 9 2" xfId="45993" xr:uid="{5FFF6F35-D87C-4470-9389-72BC25E6173E}"/>
    <cellStyle name="Normal 7 28" xfId="4688" xr:uid="{00000000-0005-0000-0000-000073120000}"/>
    <cellStyle name="Normal-- 7 28" xfId="11356" xr:uid="{00000000-0005-0000-0000-00000D320000}"/>
    <cellStyle name="Normal 7 28 10" xfId="16079" xr:uid="{9525B9A1-E502-4D75-84A8-3EAD89C2EF5D}"/>
    <cellStyle name="Normal 7 28 11" xfId="38726" xr:uid="{4D4BB4FA-47F8-4AE0-9FC9-CC18751285DE}"/>
    <cellStyle name="Normal 7 28 12" xfId="15352" xr:uid="{804D5D59-CE5F-4809-ACE2-CF1B9942DCA0}"/>
    <cellStyle name="Normal 7 28 13" xfId="40457" xr:uid="{60CEEBB2-6603-4670-A71D-DE8619E7F30E}"/>
    <cellStyle name="Normal 7 28 14" xfId="37813" xr:uid="{BE894D63-8ECE-4BDA-8705-A3D02BF0D651}"/>
    <cellStyle name="Normal 7 28 15" xfId="48556" xr:uid="{F3465F47-CCAD-4C81-947D-C1BDE4BF1029}"/>
    <cellStyle name="Normal 7 28 16" xfId="46367" xr:uid="{5B56EB8D-4C88-4DA4-B97D-5B24517E7244}"/>
    <cellStyle name="Normal 7 28 17" xfId="15156" xr:uid="{14054F08-F0F4-4B66-A97A-25A16BFBEF35}"/>
    <cellStyle name="Normal 7 28 18" xfId="46770" xr:uid="{E9AA1FE2-AB6C-4EB0-B650-BF43222C0DD5}"/>
    <cellStyle name="Normal 7 28 2" xfId="10213" xr:uid="{00000000-0005-0000-0000-0000C01F0000}"/>
    <cellStyle name="Normal-- 7 28 2" xfId="43845" xr:uid="{1B1FF352-FF5E-4DDD-A708-1A3E6AC1A226}"/>
    <cellStyle name="Normal 7 28 2 2" xfId="42702" xr:uid="{C36EBDBF-D0F2-458C-927E-5FB5F725374C}"/>
    <cellStyle name="Normal 7 28 2 3" xfId="47524" xr:uid="{32B5A0A3-20FD-4B22-9DC8-4C3C57273F68}"/>
    <cellStyle name="Normal 7 28 2 4" xfId="37875" xr:uid="{18BF9A11-65DD-493E-80CF-67A41C85A64E}"/>
    <cellStyle name="Normal 7 28 2 5" xfId="40621" xr:uid="{E85027C9-F7B7-4150-8435-A2551AFC187C}"/>
    <cellStyle name="Normal 7 28 2 6" xfId="46586" xr:uid="{842FB072-64E3-4EC1-8681-2DD5E24EFAC4}"/>
    <cellStyle name="Normal 7 28 2 7" xfId="16926" xr:uid="{77E0428A-3C30-4BCD-8E0F-5CE4AADAFA8C}"/>
    <cellStyle name="Normal 7 28 2 8" xfId="47574" xr:uid="{456D6C2B-1845-4016-B178-B617EDE85141}"/>
    <cellStyle name="Normal 7 28 2 9" xfId="37968" xr:uid="{D82B4E2F-B0B4-47EF-8EAA-2D1E5CEC22A0}"/>
    <cellStyle name="Normal 7 28 3" xfId="7972" xr:uid="{00000000-0005-0000-0000-0000E80E0000}"/>
    <cellStyle name="Normal-- 7 28 3" xfId="47933" xr:uid="{CB3B12B7-F95C-44AE-B6F7-7A10C3AEFCC3}"/>
    <cellStyle name="Normal 7 28 4" xfId="13393" xr:uid="{00000000-0005-0000-0000-000099320000}"/>
    <cellStyle name="Normal-- 7 28 4" xfId="38020" xr:uid="{1B719F6F-DCEB-4149-A837-5E2EF2F1263B}"/>
    <cellStyle name="Normal 7 28 4 2" xfId="45857" xr:uid="{278E19DF-438D-4B50-8546-5FEE8D6790B8}"/>
    <cellStyle name="Normal 7 28 4 3" xfId="49163" xr:uid="{81C54350-49F7-4868-9C74-B65377568CF1}"/>
    <cellStyle name="Normal 7 28 4 4" xfId="49361" xr:uid="{40069BD4-7AC6-4144-95EB-7184AB1362C4}"/>
    <cellStyle name="Normal 7 28 4 5" xfId="49643" xr:uid="{FF57D4EF-48F9-4EFA-8CC7-55E23566C7E3}"/>
    <cellStyle name="Normal 7 28 4 6" xfId="49882" xr:uid="{DE1A0276-E050-4FE5-8B36-B2B2DF2217D7}"/>
    <cellStyle name="Normal 7 28 4 7" xfId="50229" xr:uid="{9B6595B9-7317-40EC-A84E-E424EB2042E0}"/>
    <cellStyle name="Normal 7 28 5" xfId="11235" xr:uid="{00000000-0005-0000-0000-000015330000}"/>
    <cellStyle name="Normal-- 7 28 5" xfId="47722" xr:uid="{5195A29C-934B-4EAC-B436-C8F3A7433F4F}"/>
    <cellStyle name="Normal 7 28 5 2" xfId="43724" xr:uid="{9A618EAA-D637-4C6E-A16F-288C9C4CD7E5}"/>
    <cellStyle name="Normal 7 28 5 3" xfId="46640" xr:uid="{00854ED5-7A91-4EBF-8955-CF3D59734E35}"/>
    <cellStyle name="Normal 7 28 5 4" xfId="40647" xr:uid="{8389ADBA-B269-4F05-B5A2-D31B4F645CB6}"/>
    <cellStyle name="Normal 7 28 5 5" xfId="40636" xr:uid="{28D95D28-4DAC-48F8-B6E0-57701925DB7F}"/>
    <cellStyle name="Normal 7 28 5 6" xfId="37959" xr:uid="{662BC711-B4AF-44B3-8709-EDAE195F67B6}"/>
    <cellStyle name="Normal 7 28 6" xfId="13462" xr:uid="{00000000-0005-0000-0000-000095330000}"/>
    <cellStyle name="Normal-- 7 28 6" xfId="47980" xr:uid="{DCB0B3D2-8C28-49BA-A848-69A827C5F5FF}"/>
    <cellStyle name="Normal 7 28 6 2" xfId="45926" xr:uid="{FD40A424-482F-49B7-9DD1-A001276849B7}"/>
    <cellStyle name="Normal 7 28 6 3" xfId="49654" xr:uid="{D363B5CA-2EAB-406A-AE8D-A70D75BDA3B5}"/>
    <cellStyle name="Normal 7 28 6 4" xfId="49894" xr:uid="{731C6AA0-D0EE-490A-B50F-5232FD1D66A7}"/>
    <cellStyle name="Normal 7 28 6 5" xfId="50240" xr:uid="{4C13A5D6-DF50-47BB-8769-02B999616D0D}"/>
    <cellStyle name="Normal 7 28 7" xfId="11172" xr:uid="{00000000-0005-0000-0000-000019340000}"/>
    <cellStyle name="Normal-- 7 28 7" xfId="17277" xr:uid="{0E996FAB-F544-44B5-A6AC-76DA4CEAADA8}"/>
    <cellStyle name="Normal 7 28 7 2" xfId="43661" xr:uid="{A83754E9-D218-4800-A875-F52E7D8C742D}"/>
    <cellStyle name="Normal 7 28 7 3" xfId="48501" xr:uid="{5D54486F-B536-40AB-9F28-3BF68E2EFFD3}"/>
    <cellStyle name="Normal 7 28 7 4" xfId="37800" xr:uid="{518E69E6-BCD3-4F91-A6DD-FD42EFF5D3E0}"/>
    <cellStyle name="Normal 7 28 8" xfId="13530" xr:uid="{00000000-0005-0000-0000-0000A1340000}"/>
    <cellStyle name="Normal-- 7 28 8" xfId="14935" xr:uid="{B26CAF7E-5C94-48AD-8915-B9CFA3020951}"/>
    <cellStyle name="Normal 7 28 8 2" xfId="45994" xr:uid="{772CAD19-D520-4521-888C-458FA40239CA}"/>
    <cellStyle name="Normal 7 28 8 3" xfId="50250" xr:uid="{452D4EE9-ECCD-433E-B843-A747EFE9C594}"/>
    <cellStyle name="Normal 7 28 9" xfId="11098" xr:uid="{00000000-0005-0000-0000-00002D350000}"/>
    <cellStyle name="Normal-- 7 28 9" xfId="37772" xr:uid="{8FD27C01-7D52-4224-86FC-AFF16A29352C}"/>
    <cellStyle name="Normal 7 28 9 2" xfId="43587" xr:uid="{0D6C6867-AFB2-44A3-9CC2-0405B4D00B94}"/>
    <cellStyle name="Normal 7 29" xfId="4689" xr:uid="{00000000-0005-0000-0000-000074120000}"/>
    <cellStyle name="Normal-- 7 29" xfId="13355" xr:uid="{00000000-0005-0000-0000-000085320000}"/>
    <cellStyle name="Normal 7 29 10" xfId="38727" xr:uid="{09D90522-1331-4E20-B26B-3594A361B1EC}"/>
    <cellStyle name="Normal 7 29 11" xfId="15354" xr:uid="{D9068BD8-14B8-4F0F-879F-CCAAAA24BEAD}"/>
    <cellStyle name="Normal 7 29 12" xfId="46132" xr:uid="{ED4ED076-02A8-4C39-8ADE-49C4D6A0D57A}"/>
    <cellStyle name="Normal 7 29 13" xfId="47926" xr:uid="{C20265B2-1809-48A6-AB74-4067A393E81E}"/>
    <cellStyle name="Normal 7 29 14" xfId="48343" xr:uid="{882514D1-5E84-4C72-BF41-25C3AF376540}"/>
    <cellStyle name="Normal 7 29 15" xfId="49309" xr:uid="{7D1AEDBC-C248-4E9F-8E6F-91DDE803E2C6}"/>
    <cellStyle name="Normal 7 29 16" xfId="49594" xr:uid="{A4F8A379-404D-4C4E-AD71-757C258C470C}"/>
    <cellStyle name="Normal 7 29 17" xfId="47281" xr:uid="{E0584FED-B0BB-47D9-91DA-4D8B6FFA794A}"/>
    <cellStyle name="Normal 7 29 2" xfId="10214" xr:uid="{00000000-0005-0000-0000-0000C11F0000}"/>
    <cellStyle name="Normal-- 7 29 2" xfId="45819" xr:uid="{301C0762-696F-4C56-A824-DABBE803371B}"/>
    <cellStyle name="Normal 7 29 2 2" xfId="42703" xr:uid="{4FE257B8-4B10-4353-899C-F3ADE5805BF2}"/>
    <cellStyle name="Normal 7 29 2 3" xfId="47525" xr:uid="{A6E9FCD5-04C5-4CEF-8D09-1E59453A773A}"/>
    <cellStyle name="Normal 7 29 2 4" xfId="37876" xr:uid="{962FE805-6BE2-4422-8F5B-A77C19E38E3F}"/>
    <cellStyle name="Normal 7 29 2 5" xfId="40626" xr:uid="{908EB490-EAAB-453F-B334-94349C96D7AE}"/>
    <cellStyle name="Normal 7 29 2 6" xfId="47364" xr:uid="{86DD5EE1-651E-4A3B-86A2-86CCC3F78F56}"/>
    <cellStyle name="Normal 7 29 2 7" xfId="40792" xr:uid="{B1E8686D-AB58-470F-8EE0-F92FE957E0CE}"/>
    <cellStyle name="Normal 7 29 2 8" xfId="48589" xr:uid="{4267EB74-C2C6-4461-A645-96285AE8A70A}"/>
    <cellStyle name="Normal 7 29 2 9" xfId="46871" xr:uid="{57AE3F04-41B8-453E-99CC-FB2D6475F603}"/>
    <cellStyle name="Normal 7 29 3" xfId="7973" xr:uid="{00000000-0005-0000-0000-0000E90E0000}"/>
    <cellStyle name="Normal-- 7 29 3" xfId="48722" xr:uid="{20FE6974-F267-4973-972F-54347AA5D0AE}"/>
    <cellStyle name="Normal 7 29 4" xfId="11234" xr:uid="{00000000-0005-0000-0000-000016330000}"/>
    <cellStyle name="Normal-- 7 29 4" xfId="48901" xr:uid="{02819609-D2F8-4697-8439-A83049689C6A}"/>
    <cellStyle name="Normal 7 29 4 2" xfId="43723" xr:uid="{2A357B8F-B683-44E7-A250-D113CE8D71F6}"/>
    <cellStyle name="Normal 7 29 4 3" xfId="46930" xr:uid="{706C20B2-72FE-49C8-ACFD-632CD446C78D}"/>
    <cellStyle name="Normal 7 29 4 4" xfId="48423" xr:uid="{E7C67912-2E22-42DD-9BD7-D8D5D8272E51}"/>
    <cellStyle name="Normal 7 29 4 5" xfId="46378" xr:uid="{B86F3006-029E-42A5-A3F7-2903A5DA4C9A}"/>
    <cellStyle name="Normal 7 29 4 6" xfId="41426" xr:uid="{464D7A76-5084-4CAC-843D-95CCE7C433B6}"/>
    <cellStyle name="Normal 7 29 4 7" xfId="40337" xr:uid="{D6DAAD6E-31C7-4455-89FE-F921A5E95FBD}"/>
    <cellStyle name="Normal 7 29 5" xfId="13463" xr:uid="{00000000-0005-0000-0000-000096330000}"/>
    <cellStyle name="Normal-- 7 29 5" xfId="49158" xr:uid="{1205B838-1A93-4C59-B046-702651761CAE}"/>
    <cellStyle name="Normal 7 29 5 2" xfId="45927" xr:uid="{17AE4124-C0EA-4BBC-A004-4B901E783A6F}"/>
    <cellStyle name="Normal 7 29 5 3" xfId="49377" xr:uid="{6AF55443-6770-41CA-B00E-0AE7DA86A65C}"/>
    <cellStyle name="Normal 7 29 5 4" xfId="49655" xr:uid="{415B6DBA-3D4B-46B8-B69C-909D49824D03}"/>
    <cellStyle name="Normal 7 29 5 5" xfId="49895" xr:uid="{69EBE0D6-1F86-4B5D-80FD-71E613B87125}"/>
    <cellStyle name="Normal 7 29 5 6" xfId="50241" xr:uid="{F3FAECD0-366E-43CD-AEF7-C4F3065E8D38}"/>
    <cellStyle name="Normal 7 29 6" xfId="11171" xr:uid="{00000000-0005-0000-0000-00001A340000}"/>
    <cellStyle name="Normal-- 7 29 6" xfId="49357" xr:uid="{EF400F43-DF87-4DE1-B0EE-E2328251D30D}"/>
    <cellStyle name="Normal 7 29 6 2" xfId="43660" xr:uid="{15C80D8A-778D-4BDC-A6E5-0A9F05133BF1}"/>
    <cellStyle name="Normal 7 29 6 3" xfId="16619" xr:uid="{CD966AFC-7EC0-478B-8E8D-0649437D02FE}"/>
    <cellStyle name="Normal 7 29 6 4" xfId="40240" xr:uid="{7E908E5B-E8C6-4DCB-9F9C-C3279909B3F2}"/>
    <cellStyle name="Normal 7 29 6 5" xfId="40372" xr:uid="{D149B326-D202-4A86-BBD6-FEBE7D80D401}"/>
    <cellStyle name="Normal 7 29 7" xfId="13531" xr:uid="{00000000-0005-0000-0000-0000A2340000}"/>
    <cellStyle name="Normal-- 7 29 7" xfId="49637" xr:uid="{F916039A-69FD-4E6B-BAFE-47BCBDB5269A}"/>
    <cellStyle name="Normal 7 29 7 2" xfId="45995" xr:uid="{9FEC5557-DB83-4513-861D-3997A76F07F1}"/>
    <cellStyle name="Normal 7 29 7 3" xfId="49905" xr:uid="{513E4E1E-E3C4-444F-986B-5541DA7632D6}"/>
    <cellStyle name="Normal 7 29 7 4" xfId="50251" xr:uid="{B2D68656-215C-4E22-851C-CC24D57C97D3}"/>
    <cellStyle name="Normal 7 29 8" xfId="11097" xr:uid="{00000000-0005-0000-0000-00002E350000}"/>
    <cellStyle name="Normal-- 7 29 8" xfId="49876" xr:uid="{A282D0FF-5268-47B3-BE7F-4ACB80028102}"/>
    <cellStyle name="Normal 7 29 8 2" xfId="43586" xr:uid="{58D8BD54-C6F6-4DB1-AAAD-78EE3F7BCCCB}"/>
    <cellStyle name="Normal 7 29 8 3" xfId="49296" xr:uid="{CBAEDF08-61B9-4852-8A59-D1C7C8DC968A}"/>
    <cellStyle name="Normal 7 29 9" xfId="16080" xr:uid="{577F230D-D16A-4D73-BCFF-52F39F36F31F}"/>
    <cellStyle name="Normal-- 7 29 9" xfId="50222" xr:uid="{7359BBBB-EFAC-4266-AA6C-91864753E419}"/>
    <cellStyle name="Normal 7 3" xfId="4690" xr:uid="{00000000-0005-0000-0000-000075120000}"/>
    <cellStyle name="Normal-- 7 3" xfId="12518" xr:uid="{00000000-0005-0000-0000-000010230000}"/>
    <cellStyle name="Normal 7 3 10" xfId="8705" xr:uid="{00000000-0005-0000-0000-0000F2230000}"/>
    <cellStyle name="Normal 7 3 10 2" xfId="41401" xr:uid="{40983993-3DFC-4ED0-A6ED-394B2D60DC5D}"/>
    <cellStyle name="Normal 7 3 11" xfId="12603" xr:uid="{00000000-0005-0000-0000-000023240000}"/>
    <cellStyle name="Normal 7 3 11 2" xfId="45074" xr:uid="{6FDD414A-7039-4DA2-88EB-0A6DC3ECAD59}"/>
    <cellStyle name="Normal 7 3 12" xfId="8743" xr:uid="{00000000-0005-0000-0000-000058240000}"/>
    <cellStyle name="Normal 7 3 12 2" xfId="41427" xr:uid="{531CB5BB-D91F-4D2E-B95F-D492C4E32B81}"/>
    <cellStyle name="Normal 7 3 13" xfId="12633" xr:uid="{00000000-0005-0000-0000-000091240000}"/>
    <cellStyle name="Normal 7 3 13 2" xfId="45104" xr:uid="{E509740E-B46B-4349-A1C3-5856BEE64CB0}"/>
    <cellStyle name="Normal 7 3 14" xfId="8794" xr:uid="{00000000-0005-0000-0000-0000CE240000}"/>
    <cellStyle name="Normal 7 3 14 2" xfId="41466" xr:uid="{CFAE2DB4-40B5-47C7-AB16-221A2154B0BE}"/>
    <cellStyle name="Normal 7 3 15" xfId="12665" xr:uid="{00000000-0005-0000-0000-00000F250000}"/>
    <cellStyle name="Normal 7 3 15 2" xfId="45136" xr:uid="{C14BBF83-E747-4CF3-B4C3-425D1EEA3D28}"/>
    <cellStyle name="Normal 7 3 16" xfId="8857" xr:uid="{00000000-0005-0000-0000-000054250000}"/>
    <cellStyle name="Normal 7 3 16 2" xfId="41512" xr:uid="{40C5562A-0FEC-41C7-AFBF-1A447345DFA2}"/>
    <cellStyle name="Normal 7 3 17" xfId="12708" xr:uid="{00000000-0005-0000-0000-00009D250000}"/>
    <cellStyle name="Normal 7 3 17 2" xfId="45179" xr:uid="{DF1D4D23-0ACC-4BEA-8A24-204D2172B8A3}"/>
    <cellStyle name="Normal 7 3 18" xfId="8951" xr:uid="{00000000-0005-0000-0000-0000EA250000}"/>
    <cellStyle name="Normal 7 3 18 2" xfId="41592" xr:uid="{0BD1A67D-1552-4221-AD8C-5D049D52D053}"/>
    <cellStyle name="Normal 7 3 19" xfId="12753" xr:uid="{00000000-0005-0000-0000-00003B260000}"/>
    <cellStyle name="Normal 7 3 19 2" xfId="45224" xr:uid="{5C985537-2DD3-4FC5-8173-5B66AD1F0803}"/>
    <cellStyle name="Normal 7 3 2" xfId="4691" xr:uid="{00000000-0005-0000-0000-000076120000}"/>
    <cellStyle name="Normal-- 7 3 2" xfId="44991" xr:uid="{918F10F4-E595-4169-B086-B3CFB03BBA51}"/>
    <cellStyle name="Normal 7 3 2 10" xfId="41282" xr:uid="{A3AF3182-C86A-4134-AB08-7D8676E6C63F}"/>
    <cellStyle name="Normal 7 3 2 11" xfId="49307" xr:uid="{4078559F-44BF-4A6D-91CC-ED42ED6AACC9}"/>
    <cellStyle name="Normal 7 3 2 12" xfId="49592" xr:uid="{6F016B8B-00EB-4B51-B7BC-32E1DAD65CDC}"/>
    <cellStyle name="Normal 7 3 2 13" xfId="15108" xr:uid="{F68672A8-D360-4C68-B8E4-1566353A5408}"/>
    <cellStyle name="Normal 7 3 2 2" xfId="10216" xr:uid="{00000000-0005-0000-0000-0000C31F0000}"/>
    <cellStyle name="Normal 7 3 2 2 2" xfId="17767" xr:uid="{0C9870FB-38AC-4D73-B5DF-68EE4D5F77B9}"/>
    <cellStyle name="Normal 7 3 2 2 2 2" xfId="18478" xr:uid="{89452EB9-4545-4108-BCAB-5763C001BB31}"/>
    <cellStyle name="Normal 7 3 2 2 3" xfId="18649" xr:uid="{8C52847D-7DA4-42BD-BA12-4B49D48008D8}"/>
    <cellStyle name="Normal 7 3 2 2 4" xfId="17499" xr:uid="{9C06049C-0CF4-436B-B88A-23F1BA3CA2A6}"/>
    <cellStyle name="Normal 7 3 2 2 5" xfId="42705" xr:uid="{F4FFA09D-3BAE-444E-BDEF-FBD5E6565C9A}"/>
    <cellStyle name="Normal 7 3 2 3" xfId="17689" xr:uid="{84DF2A4E-B05A-4AEF-ADD6-51DA9B7B6170}"/>
    <cellStyle name="Normal 7 3 2 3 2" xfId="18530" xr:uid="{E547F8E7-FDB6-423E-BE53-83B5B7414272}"/>
    <cellStyle name="Normal 7 3 2 4" xfId="18329" xr:uid="{A44E3860-7ABB-4E09-A661-C91678ED4737}"/>
    <cellStyle name="Normal 7 3 2 5" xfId="17307" xr:uid="{DB0F5BDB-7302-4CCD-B7A2-FFE6D18D4330}"/>
    <cellStyle name="Normal 7 3 2 6" xfId="38729" xr:uid="{E8AC4005-301C-4A2D-A800-1F9BD8C09EB6}"/>
    <cellStyle name="Normal 7 3 2 7" xfId="15356" xr:uid="{B808895B-D791-4EDB-AAF5-99BB151DDC82}"/>
    <cellStyle name="Normal 7 3 2 8" xfId="15257" xr:uid="{FC2353FB-20A1-4479-A30E-CB99B3ED5CCE}"/>
    <cellStyle name="Normal 7 3 2 9" xfId="46417" xr:uid="{30076A75-8468-4BC7-BC13-3601AB298A1D}"/>
    <cellStyle name="Normal 7 3 20" xfId="9027" xr:uid="{00000000-0005-0000-0000-000090260000}"/>
    <cellStyle name="Normal 7 3 20 2" xfId="41645" xr:uid="{077B987A-7938-47C3-B8EE-2C56697C1D5D}"/>
    <cellStyle name="Normal 7 3 21" xfId="12804" xr:uid="{00000000-0005-0000-0000-0000E9260000}"/>
    <cellStyle name="Normal 7 3 21 2" xfId="45275" xr:uid="{ABDF6248-5E36-440B-8A74-8FA25B356C4B}"/>
    <cellStyle name="Normal 7 3 22" xfId="9133" xr:uid="{00000000-0005-0000-0000-000046270000}"/>
    <cellStyle name="Normal 7 3 22 2" xfId="41733" xr:uid="{920D588D-5180-4BC7-9FA0-6BE66D07E3AF}"/>
    <cellStyle name="Normal 7 3 23" xfId="12866" xr:uid="{00000000-0005-0000-0000-0000A7270000}"/>
    <cellStyle name="Normal 7 3 23 2" xfId="45337" xr:uid="{7BF0BB78-AE55-4EA5-BAE9-A6265E5EFE63}"/>
    <cellStyle name="Normal 7 3 24" xfId="7974" xr:uid="{00000000-0005-0000-0000-0000EA0E0000}"/>
    <cellStyle name="Normal 7 3 24 2" xfId="40824" xr:uid="{0BBECE4E-B19F-49BE-A732-6220F89E3CB7}"/>
    <cellStyle name="Normal 7 3 25" xfId="13252" xr:uid="{00000000-0005-0000-0000-0000CE300000}"/>
    <cellStyle name="Normal 7 3 25 2" xfId="45716" xr:uid="{CEF95775-B295-410F-953A-E17777D89F9A}"/>
    <cellStyle name="Normal 7 3 26" xfId="11387" xr:uid="{00000000-0005-0000-0000-00003B310000}"/>
    <cellStyle name="Normal 7 3 26 2" xfId="43876" xr:uid="{A59D7A95-2298-4F50-B556-34D22C9CF2EE}"/>
    <cellStyle name="Normal 7 3 27" xfId="13319" xr:uid="{00000000-0005-0000-0000-0000AC310000}"/>
    <cellStyle name="Normal 7 3 27 2" xfId="45783" xr:uid="{30FDB1D8-13DC-4DBC-A653-59FB8700BC40}"/>
    <cellStyle name="Normal 7 3 28" xfId="11315" xr:uid="{00000000-0005-0000-0000-000021320000}"/>
    <cellStyle name="Normal 7 3 28 2" xfId="43804" xr:uid="{EE9466C1-2C0F-4AA5-AB98-23EDB50617DA}"/>
    <cellStyle name="Normal 7 3 29" xfId="13396" xr:uid="{00000000-0005-0000-0000-00009A320000}"/>
    <cellStyle name="Normal 7 3 29 2" xfId="45860" xr:uid="{30CA7DEA-5768-41AD-81F5-006B760C8DE4}"/>
    <cellStyle name="Normal 7 3 3" xfId="10215" xr:uid="{00000000-0005-0000-0000-0000C21F0000}"/>
    <cellStyle name="Normal-- 7 3 3" xfId="48361" xr:uid="{F3795E03-00E4-4B2A-AFB9-47B141566E55}"/>
    <cellStyle name="Normal 7 3 3 10" xfId="47756" xr:uid="{5605BDB5-D6EF-408F-BAF5-09EDCB8CB5E3}"/>
    <cellStyle name="Normal 7 3 3 11" xfId="37631" xr:uid="{E335F17A-8B18-4002-85F6-B26232AD86EC}"/>
    <cellStyle name="Normal 7 3 3 2" xfId="17733" xr:uid="{F11E9E9D-999B-46F6-BE21-92011EAC3CF4}"/>
    <cellStyle name="Normal 7 3 3 2 2" xfId="18502" xr:uid="{B2FF9833-5555-4883-861C-95C5258EAA55}"/>
    <cellStyle name="Normal 7 3 3 3" xfId="18672" xr:uid="{5C5257D8-AA95-4C53-9419-B9E1B173D5E2}"/>
    <cellStyle name="Normal 7 3 3 4" xfId="17470" xr:uid="{13A43C62-DDF7-4EB2-871F-5C4630D107B9}"/>
    <cellStyle name="Normal 7 3 3 5" xfId="42704" xr:uid="{CF9529B7-14A1-4AAC-A327-A563C937E09B}"/>
    <cellStyle name="Normal 7 3 3 6" xfId="37877" xr:uid="{D7E5FEDB-D7DF-4274-9CA0-E55B971C37C0}"/>
    <cellStyle name="Normal 7 3 3 7" xfId="40299" xr:uid="{A5CA0728-EA54-4F64-A685-5DFC9DC1E3BF}"/>
    <cellStyle name="Normal 7 3 3 8" xfId="48609" xr:uid="{EE4836AB-8AAD-4388-8D45-05555F220D62}"/>
    <cellStyle name="Normal 7 3 3 9" xfId="48476" xr:uid="{445CE9A5-6AAF-469F-A65E-26EADF9ACBAD}"/>
    <cellStyle name="Normal 7 3 30" xfId="11233" xr:uid="{00000000-0005-0000-0000-000017330000}"/>
    <cellStyle name="Normal 7 3 30 2" xfId="43722" xr:uid="{7A458286-1E3D-4040-A2F1-C92CDEDE8EEC}"/>
    <cellStyle name="Normal 7 3 31" xfId="13464" xr:uid="{00000000-0005-0000-0000-000097330000}"/>
    <cellStyle name="Normal 7 3 31 2" xfId="45928" xr:uid="{E882317A-86EF-4929-9B9C-E2A8C5D48280}"/>
    <cellStyle name="Normal 7 3 32" xfId="11169" xr:uid="{00000000-0005-0000-0000-00001B340000}"/>
    <cellStyle name="Normal 7 3 32 2" xfId="43658" xr:uid="{8CDD4905-FDD6-47D7-8B55-BDBEBAC7B24E}"/>
    <cellStyle name="Normal 7 3 33" xfId="13532" xr:uid="{00000000-0005-0000-0000-0000A3340000}"/>
    <cellStyle name="Normal 7 3 33 2" xfId="45996" xr:uid="{F5149830-6AD5-4476-BDC5-8A7997ED47BB}"/>
    <cellStyle name="Normal 7 3 34" xfId="11096" xr:uid="{00000000-0005-0000-0000-00002F350000}"/>
    <cellStyle name="Normal 7 3 34 2" xfId="43585" xr:uid="{75E32D2E-ED92-4F1E-BCD3-8592827BA00D}"/>
    <cellStyle name="Normal 7 3 35" xfId="16081" xr:uid="{C1D88033-D4B9-4469-8631-638AC4B8BC10}"/>
    <cellStyle name="Normal 7 3 36" xfId="38728" xr:uid="{CE9B6E74-7F06-4921-9828-54C8B5D7CCF6}"/>
    <cellStyle name="Normal 7 3 37" xfId="15355" xr:uid="{EB8B2E17-60C7-41D6-8303-BA81F7B76FF9}"/>
    <cellStyle name="Normal 7 3 38" xfId="47417" xr:uid="{7852FE02-01B7-4294-A427-5710F45F0E39}"/>
    <cellStyle name="Normal 7 3 39" xfId="47256" xr:uid="{3E97B493-FC2E-45A4-86DE-4EDA8EAAE71D}"/>
    <cellStyle name="Normal 7 3 4" xfId="8637" xr:uid="{00000000-0005-0000-0000-000026230000}"/>
    <cellStyle name="Normal-- 7 3 4" xfId="41269" xr:uid="{B5D43EC0-C2D4-402E-87BF-88B4AD747E98}"/>
    <cellStyle name="Normal 7 3 4 10" xfId="45448" xr:uid="{BD766DD3-109E-45E8-995D-EC34B6722694}"/>
    <cellStyle name="Normal 7 3 4 2" xfId="17870" xr:uid="{5908898F-1E41-4A94-A03D-316AE4195B86}"/>
    <cellStyle name="Normal 7 3 4 2 2" xfId="18408" xr:uid="{E0B50AF3-C146-4E64-82B2-D1452EBF54B6}"/>
    <cellStyle name="Normal 7 3 4 3" xfId="18583" xr:uid="{1D4E1303-3182-4A64-8E9C-13EF52DA0015}"/>
    <cellStyle name="Normal 7 3 4 4" xfId="17605" xr:uid="{1CF0A2C8-AD7E-4F3F-9A95-999690EAECFE}"/>
    <cellStyle name="Normal 7 3 4 5" xfId="41351" xr:uid="{4525A7E4-B207-4F5C-8CFB-80B01DEC49BB}"/>
    <cellStyle name="Normal 7 3 4 6" xfId="40731" xr:uid="{BB5F89E3-7EDC-4014-9534-491DE210A6AA}"/>
    <cellStyle name="Normal 7 3 4 7" xfId="47076" xr:uid="{E4B8FAA4-1057-422E-B6F3-700098CBD197}"/>
    <cellStyle name="Normal 7 3 4 8" xfId="40673" xr:uid="{7CBE149A-BB38-4ECB-BD82-D81A0CD91B45}"/>
    <cellStyle name="Normal 7 3 4 9" xfId="41108" xr:uid="{D72B2C48-5B24-43B3-B281-F7A598166D1D}"/>
    <cellStyle name="Normal 7 3 40" xfId="48569" xr:uid="{5AB25451-7A1F-41A7-AEE2-BE5D115D11BD}"/>
    <cellStyle name="Normal 7 3 41" xfId="48262" xr:uid="{63ED739D-15F3-4BFC-8FE5-A3B8FCADA956}"/>
    <cellStyle name="Normal 7 3 42" xfId="48754" xr:uid="{22E789D7-033E-45F8-AD00-00CC177D15C1}"/>
    <cellStyle name="Normal 7 3 43" xfId="48480" xr:uid="{94408A78-0773-4728-92DF-966A28387331}"/>
    <cellStyle name="Normal 7 3 5" xfId="12542" xr:uid="{00000000-0005-0000-0000-00003E230000}"/>
    <cellStyle name="Normal-- 7 3 5" xfId="15508" xr:uid="{9269B1E6-63C0-4787-8164-E0549D0C276E}"/>
    <cellStyle name="Normal 7 3 5 2" xfId="18560" xr:uid="{06863830-A0EA-4275-B092-4E789755AFEF}"/>
    <cellStyle name="Normal 7 3 5 3" xfId="17645" xr:uid="{65A98092-5E8E-4F32-AFB7-0CF253869B2B}"/>
    <cellStyle name="Normal 7 3 5 4" xfId="45013" xr:uid="{C62F1229-E539-48D4-AFF0-3E0889E30D0F}"/>
    <cellStyle name="Normal 7 3 5 5" xfId="46498" xr:uid="{18FB2980-72D2-4B26-B3DD-7E9522AA92A2}"/>
    <cellStyle name="Normal 7 3 5 6" xfId="14159" xr:uid="{245AF04F-1003-414D-B98C-22E75A82E89C}"/>
    <cellStyle name="Normal 7 3 5 7" xfId="40671" xr:uid="{7BA9F4F3-D8E5-43B2-9B3C-33B04DBDCD95}"/>
    <cellStyle name="Normal 7 3 5 8" xfId="49981" xr:uid="{9DB65E06-D2AD-4D02-9651-83E6601B7090}"/>
    <cellStyle name="Normal 7 3 6" xfId="8653" xr:uid="{00000000-0005-0000-0000-00005A230000}"/>
    <cellStyle name="Normal-- 7 3 6" xfId="46514" xr:uid="{DD1A2500-AE90-414F-8728-14235B861D56}"/>
    <cellStyle name="Normal 7 3 6 2" xfId="23699" xr:uid="{DFDB827E-AF98-4EB3-9EC1-A556D136F260}"/>
    <cellStyle name="Normal 7 3 6 3" xfId="18176" xr:uid="{D100B6FB-7144-4079-A0CB-CD0963AF7A4B}"/>
    <cellStyle name="Normal 7 3 6 4" xfId="41362" xr:uid="{C294FFFA-2540-4DDF-8553-6DAF86C256DA}"/>
    <cellStyle name="Normal 7 3 6 5" xfId="47681" xr:uid="{530508C0-25CF-422A-AAB6-7AA1AA584EB5}"/>
    <cellStyle name="Normal 7 3 6 6" xfId="48924" xr:uid="{8E499360-F87E-444F-A6F0-43CD5B54B8AE}"/>
    <cellStyle name="Normal 7 3 6 7" xfId="37992" xr:uid="{0402A001-0373-4C72-B466-1D14515E43B8}"/>
    <cellStyle name="Normal 7 3 7" xfId="12558" xr:uid="{00000000-0005-0000-0000-00007A230000}"/>
    <cellStyle name="Normal-- 7 3 7" xfId="15117" xr:uid="{95980EA0-DAE6-426A-9661-08A080FB1DBE}"/>
    <cellStyle name="Normal 7 3 7 2" xfId="24496" xr:uid="{DA93695E-2B00-4359-B7E8-20EF64C8587C}"/>
    <cellStyle name="Normal 7 3 7 3" xfId="45029" xr:uid="{B50E5BB0-4836-4305-869A-A08CB8075C47}"/>
    <cellStyle name="Normal 7 3 7 4" xfId="15360" xr:uid="{604537E1-734E-4533-A53E-649852FBD117}"/>
    <cellStyle name="Normal 7 3 7 5" xfId="49988" xr:uid="{3D3FD867-5B0B-422B-8CF1-4777171D7731}"/>
    <cellStyle name="Normal 7 3 8" xfId="8675" xr:uid="{00000000-0005-0000-0000-00009E230000}"/>
    <cellStyle name="Normal-- 7 3 8" xfId="15498" xr:uid="{CE487066-741A-4628-99AC-F25E5B072134}"/>
    <cellStyle name="Normal 7 3 8 2" xfId="41382" xr:uid="{A9E1252C-8C1A-424A-8016-29E30FEFA5B7}"/>
    <cellStyle name="Normal 7 3 8 3" xfId="48927" xr:uid="{DE2F8236-2744-4B16-831C-1419CBFDA44B}"/>
    <cellStyle name="Normal 7 3 9" xfId="12579" xr:uid="{00000000-0005-0000-0000-0000C6230000}"/>
    <cellStyle name="Normal-- 7 3 9" xfId="49973" xr:uid="{80FF3AD4-282B-4D22-93C9-7A15464DEF4E}"/>
    <cellStyle name="Normal 7 3 9 2" xfId="45050" xr:uid="{B573FA53-72E1-4DA4-9249-A2C74F9B1E7A}"/>
    <cellStyle name="Normal 7 30" xfId="4692" xr:uid="{00000000-0005-0000-0000-000077120000}"/>
    <cellStyle name="Normal-- 7 30" xfId="11264" xr:uid="{00000000-0005-0000-0000-000001330000}"/>
    <cellStyle name="Normal 7 30 10" xfId="44746" xr:uid="{845B575A-CEC9-4A7C-918C-2437E350BF9B}"/>
    <cellStyle name="Normal 7 30 11" xfId="46130" xr:uid="{7D89B869-477E-41D9-B957-076B34B3DAAF}"/>
    <cellStyle name="Normal 7 30 12" xfId="47433" xr:uid="{4B5B17AE-EF48-431A-A52B-C9A127A62B7C}"/>
    <cellStyle name="Normal 7 30 13" xfId="46490" xr:uid="{6CC7E715-3FAE-42AA-9446-5CEE325CF0B7}"/>
    <cellStyle name="Normal 7 30 14" xfId="37737" xr:uid="{AEB488F1-A5D2-4FE3-9372-2CC8AFFBD0C4}"/>
    <cellStyle name="Normal 7 30 15" xfId="40588" xr:uid="{B9946C80-6A83-40C5-86CB-9D569D26C6C1}"/>
    <cellStyle name="Normal 7 30 16" xfId="40274" xr:uid="{A3C20CE0-4085-4F38-92FB-482BE9B8A5A6}"/>
    <cellStyle name="Normal 7 30 2" xfId="10217" xr:uid="{00000000-0005-0000-0000-0000C41F0000}"/>
    <cellStyle name="Normal-- 7 30 2" xfId="43753" xr:uid="{94513770-9A8C-42D5-B818-FD2119C10AB1}"/>
    <cellStyle name="Normal 7 30 2 2" xfId="42706" xr:uid="{CF95251D-E861-424C-9C25-D3047CB01013}"/>
    <cellStyle name="Normal 7 30 2 3" xfId="47528" xr:uid="{449682B5-1CFD-4F4C-A362-41957E108EF6}"/>
    <cellStyle name="Normal 7 30 2 4" xfId="37878" xr:uid="{921E8C75-C7EA-4318-B788-CA93BE7EB44F}"/>
    <cellStyle name="Normal 7 30 2 5" xfId="15072" xr:uid="{3B3F3C66-44DF-483F-84FF-F15ACA49F6D4}"/>
    <cellStyle name="Normal 7 30 2 6" xfId="47783" xr:uid="{F9F71EE6-C443-4AC5-8276-2B910BCF0735}"/>
    <cellStyle name="Normal 7 30 2 7" xfId="46851" xr:uid="{89A42BE1-0552-4342-B777-6CEE7BF68979}"/>
    <cellStyle name="Normal 7 30 2 8" xfId="48436" xr:uid="{33D270B2-6FCF-4F6A-8564-BB59A4DAD23B}"/>
    <cellStyle name="Normal 7 30 2 9" xfId="46644" xr:uid="{CA3FFE3B-E06D-4EB6-BE1F-8A398074D043}"/>
    <cellStyle name="Normal 7 30 3" xfId="7975" xr:uid="{00000000-0005-0000-0000-0000EB0E0000}"/>
    <cellStyle name="Normal-- 7 30 3" xfId="47902" xr:uid="{E01AA5A8-AB8F-40A3-88E9-33E7490B210E}"/>
    <cellStyle name="Normal 7 30 4" xfId="13466" xr:uid="{00000000-0005-0000-0000-000098330000}"/>
    <cellStyle name="Normal-- 7 30 4" xfId="38008" xr:uid="{94367EA9-4B3A-476F-B64C-A640B069946A}"/>
    <cellStyle name="Normal 7 30 4 2" xfId="45930" xr:uid="{30A39615-A45A-4DB2-96A7-DB03B19897D9}"/>
    <cellStyle name="Normal 7 30 4 3" xfId="49178" xr:uid="{6CFCA24B-FA6C-4DDD-82A7-6857761EB673}"/>
    <cellStyle name="Normal 7 30 4 4" xfId="49378" xr:uid="{3D441DD4-DCE5-443F-8AFF-1275A0245F7E}"/>
    <cellStyle name="Normal 7 30 4 5" xfId="49656" xr:uid="{44D73006-06DD-4FF2-B9CF-276C578E0DD9}"/>
    <cellStyle name="Normal 7 30 4 6" xfId="49896" xr:uid="{5454C606-D9F8-4124-AAFD-C665D48CAD9A}"/>
    <cellStyle name="Normal 7 30 4 7" xfId="50242" xr:uid="{DA968704-D717-4E60-909F-D3F165FDE650}"/>
    <cellStyle name="Normal 7 30 5" xfId="11167" xr:uid="{00000000-0005-0000-0000-00001C340000}"/>
    <cellStyle name="Normal-- 7 30 5" xfId="47228" xr:uid="{1E265C42-1215-433A-8C6F-28E2BD48596A}"/>
    <cellStyle name="Normal 7 30 5 2" xfId="43656" xr:uid="{B462330D-8579-44BB-A03A-03AB238BCEE8}"/>
    <cellStyle name="Normal 7 30 5 3" xfId="47479" xr:uid="{FCA122DD-2ED7-4B24-9CE6-7E467E933BE5}"/>
    <cellStyle name="Normal 7 30 5 4" xfId="40883" xr:uid="{5AEF4F5D-4E62-4CDD-A56B-3547A46B1489}"/>
    <cellStyle name="Normal 7 30 5 5" xfId="49066" xr:uid="{D41D6254-4B88-4454-B606-E0EDFF54168D}"/>
    <cellStyle name="Normal 7 30 5 6" xfId="48155" xr:uid="{D792316D-5C98-477E-B857-A4FC896B1E30}"/>
    <cellStyle name="Normal 7 30 6" xfId="13538" xr:uid="{00000000-0005-0000-0000-0000A4340000}"/>
    <cellStyle name="Normal-- 7 30 6" xfId="47806" xr:uid="{3453D2B8-AD2A-47BD-9605-C4DE73C741F1}"/>
    <cellStyle name="Normal 7 30 6 2" xfId="46002" xr:uid="{97E169AF-549C-4E30-BF13-42D1EA2C9F5A}"/>
    <cellStyle name="Normal 7 30 6 3" xfId="49664" xr:uid="{2F5F5F90-DDC0-4B59-98E6-82B96DEB483B}"/>
    <cellStyle name="Normal 7 30 6 4" xfId="49906" xr:uid="{B97CA062-341C-4EBC-8757-CDC50571AC26}"/>
    <cellStyle name="Normal 7 30 6 5" xfId="50252" xr:uid="{450CEA19-9339-43FB-BA55-5C2CE242F72A}"/>
    <cellStyle name="Normal 7 30 7" xfId="11095" xr:uid="{00000000-0005-0000-0000-000030350000}"/>
    <cellStyle name="Normal-- 7 30 7" xfId="47606" xr:uid="{32515EF0-D7AD-408C-8B08-1D866C15CBD6}"/>
    <cellStyle name="Normal 7 30 7 2" xfId="43584" xr:uid="{ADA823A7-3A67-46F1-B96B-5283BEB7D80E}"/>
    <cellStyle name="Normal 7 30 7 3" xfId="47502" xr:uid="{E869DA06-9C5D-4FCF-931A-55116407A409}"/>
    <cellStyle name="Normal 7 30 7 4" xfId="46433" xr:uid="{6B661AF8-687F-4B97-AF5E-1F078D62B613}"/>
    <cellStyle name="Normal 7 30 8" xfId="16082" xr:uid="{63A88A0D-8480-442E-8D0B-39880BC2AC59}"/>
    <cellStyle name="Normal-- 7 30 8" xfId="47048" xr:uid="{299FCA31-3737-4948-909B-4927DEE571EA}"/>
    <cellStyle name="Normal 7 30 9" xfId="38730" xr:uid="{B25FA6FB-4345-4D62-9E40-4FA38F2C61B8}"/>
    <cellStyle name="Normal-- 7 30 9" xfId="47424" xr:uid="{AE81DC93-8B05-4091-978B-00202A5A1490}"/>
    <cellStyle name="Normal 7 31" xfId="4693" xr:uid="{00000000-0005-0000-0000-000078120000}"/>
    <cellStyle name="Normal-- 7 31" xfId="13434" xr:uid="{00000000-0005-0000-0000-000081330000}"/>
    <cellStyle name="Normal 7 31 10" xfId="47416" xr:uid="{37BCBE22-F33A-433E-9B7B-F2A39FD22A2B}"/>
    <cellStyle name="Normal 7 31 11" xfId="15653" xr:uid="{230E9E12-0FE7-4C5E-BA5E-1CD21800F6BA}"/>
    <cellStyle name="Normal 7 31 12" xfId="40287" xr:uid="{4B11DDAD-1360-48F0-8162-994FBBD92B7E}"/>
    <cellStyle name="Normal 7 31 13" xfId="49303" xr:uid="{C750C110-2DD0-45A5-9961-4C779803F120}"/>
    <cellStyle name="Normal 7 31 14" xfId="49587" xr:uid="{6BD2350D-79CE-43CC-BE4E-5161E04F4FF1}"/>
    <cellStyle name="Normal 7 31 15" xfId="48208" xr:uid="{D56FF850-2D0E-4359-84C3-240A17077444}"/>
    <cellStyle name="Normal 7 31 2" xfId="10218" xr:uid="{00000000-0005-0000-0000-0000C51F0000}"/>
    <cellStyle name="Normal-- 7 31 2" xfId="45898" xr:uid="{2A8A98DE-4678-4FDA-A835-D8E07413EF49}"/>
    <cellStyle name="Normal 7 31 2 2" xfId="42707" xr:uid="{EC0D5864-BF12-4F17-A26A-BED3BC4AD39B}"/>
    <cellStyle name="Normal 7 31 2 3" xfId="47529" xr:uid="{16E4C463-A734-4AA4-A2BC-79BF74740C50}"/>
    <cellStyle name="Normal 7 31 2 4" xfId="48209" xr:uid="{E80B6A73-BE25-48D7-A51D-910571152AB9}"/>
    <cellStyle name="Normal 7 31 2 5" xfId="40627" xr:uid="{1AB89423-8AA2-4ABB-8278-2A1EA477624F}"/>
    <cellStyle name="Normal 7 31 2 6" xfId="39592" xr:uid="{19AD4D88-A52C-4D7F-8178-F3FE2823F1D4}"/>
    <cellStyle name="Normal 7 31 2 7" xfId="37864" xr:uid="{7B66036E-6051-40F1-9F3F-F830C2208D93}"/>
    <cellStyle name="Normal 7 31 2 8" xfId="15113" xr:uid="{DB3B72CC-CFC3-4872-ACE7-8404F159DCD4}"/>
    <cellStyle name="Normal 7 31 2 9" xfId="46306" xr:uid="{EB913B14-4323-437C-A515-63B04A40726E}"/>
    <cellStyle name="Normal 7 31 3" xfId="7976" xr:uid="{00000000-0005-0000-0000-0000EC0E0000}"/>
    <cellStyle name="Normal-- 7 31 3" xfId="48744" xr:uid="{7F7AE7B2-339F-40CC-8BB5-B5CC32DCF24F}"/>
    <cellStyle name="Normal 7 31 4" xfId="11166" xr:uid="{00000000-0005-0000-0000-00001D340000}"/>
    <cellStyle name="Normal-- 7 31 4" xfId="48919" xr:uid="{5402D571-F9F5-4342-8E23-6A502CDC9865}"/>
    <cellStyle name="Normal 7 31 4 2" xfId="43655" xr:uid="{660C4930-70B6-4519-AC62-E9CA030E0BD4}"/>
    <cellStyle name="Normal 7 31 4 3" xfId="15457" xr:uid="{B111D9F9-3D6D-4C71-A29A-53E31966B9DB}"/>
    <cellStyle name="Normal 7 31 4 4" xfId="47185" xr:uid="{596C1DCF-7910-46D5-9A9B-754B7E6DFD68}"/>
    <cellStyle name="Normal 7 31 4 5" xfId="46160" xr:uid="{287110E5-0611-4DF0-86FC-D13F4FBC73B8}"/>
    <cellStyle name="Normal 7 31 4 6" xfId="46803" xr:uid="{555E8F9A-48B4-450A-BD36-798141A7F4D7}"/>
    <cellStyle name="Normal 7 31 4 7" xfId="46612" xr:uid="{E4C2BF5E-340C-436C-AC49-BEA2D7C093D7}"/>
    <cellStyle name="Normal 7 31 5" xfId="13539" xr:uid="{00000000-0005-0000-0000-0000A5340000}"/>
    <cellStyle name="Normal-- 7 31 5" xfId="49169" xr:uid="{B3A9F564-B20F-47CF-88E0-36CED1D8B564}"/>
    <cellStyle name="Normal 7 31 5 2" xfId="46003" xr:uid="{53AE1D10-29D1-4D2C-AA99-24DF36C20366}"/>
    <cellStyle name="Normal 7 31 5 3" xfId="49394" xr:uid="{8F0D717E-DD24-437A-A90D-8739F206B9D5}"/>
    <cellStyle name="Normal 7 31 5 4" xfId="49665" xr:uid="{172686F6-7E65-46E5-B1CA-C9C33C2DE10D}"/>
    <cellStyle name="Normal 7 31 5 5" xfId="49907" xr:uid="{1105099F-6C90-4EE5-B548-92040566F7CE}"/>
    <cellStyle name="Normal 7 31 5 6" xfId="50253" xr:uid="{9A5DA8D4-AA49-444D-9C50-778168063B86}"/>
    <cellStyle name="Normal 7 31 6" xfId="11094" xr:uid="{00000000-0005-0000-0000-000031350000}"/>
    <cellStyle name="Normal-- 7 31 6" xfId="49372" xr:uid="{B08CA240-7448-4BB1-BCA9-A5A652922B2F}"/>
    <cellStyle name="Normal 7 31 6 2" xfId="43583" xr:uid="{28A850D9-489B-4344-AE86-CDA565C032C2}"/>
    <cellStyle name="Normal 7 31 6 3" xfId="48330" xr:uid="{EC8BF970-E605-4863-B24E-1AB6353A499E}"/>
    <cellStyle name="Normal 7 31 6 4" xfId="47977" xr:uid="{FD000602-0990-4704-B889-37230E62DD48}"/>
    <cellStyle name="Normal 7 31 6 5" xfId="15398" xr:uid="{EC9EDBED-6151-4C64-B927-C0CA853801A9}"/>
    <cellStyle name="Normal 7 31 7" xfId="16083" xr:uid="{61169A43-CAF9-4B40-93E6-3427EA163FA3}"/>
    <cellStyle name="Normal-- 7 31 7" xfId="49649" xr:uid="{5BF7BD22-15E2-40B8-8B00-E4EC85B2AE03}"/>
    <cellStyle name="Normal 7 31 8" xfId="38731" xr:uid="{BEC1B17C-7E68-4A4C-8BA3-5A369A41B9F7}"/>
    <cellStyle name="Normal-- 7 31 8" xfId="49888" xr:uid="{F0393A71-2D44-4AF9-9BCD-741D9B65762E}"/>
    <cellStyle name="Normal 7 31 9" xfId="15357" xr:uid="{3AE95B5A-D9A6-4292-9347-4E600ABDC8D0}"/>
    <cellStyle name="Normal-- 7 31 9" xfId="50233" xr:uid="{0C24F438-E3C7-434A-A736-E78A60DD1843}"/>
    <cellStyle name="Normal 7 32" xfId="4694" xr:uid="{00000000-0005-0000-0000-000079120000}"/>
    <cellStyle name="Normal-- 7 32" xfId="12926" xr:uid="{00000000-0005-0000-0000-000005340000}"/>
    <cellStyle name="Normal 7 32 10" xfId="46414" xr:uid="{1ABF13E3-EDBA-46DA-85EE-27FDA8A7B084}"/>
    <cellStyle name="Normal 7 32 11" xfId="46627" xr:uid="{4155B256-4D1D-4B52-835C-482CE4211916}"/>
    <cellStyle name="Normal 7 32 12" xfId="47347" xr:uid="{B39AAAFF-8090-4CE6-9B79-A3151F2BA671}"/>
    <cellStyle name="Normal 7 32 13" xfId="16434" xr:uid="{B18B4FFB-646D-4C84-B32E-3E1E5A46CAD4}"/>
    <cellStyle name="Normal 7 32 14" xfId="40569" xr:uid="{137D33B5-C72E-44E7-997B-D7BC857221D7}"/>
    <cellStyle name="Normal 7 32 2" xfId="10219" xr:uid="{00000000-0005-0000-0000-0000C61F0000}"/>
    <cellStyle name="Normal-- 7 32 2" xfId="45397" xr:uid="{C2D35177-3C64-4F34-B6E5-6DAFB50C5273}"/>
    <cellStyle name="Normal 7 32 2 2" xfId="42708" xr:uid="{7B78CBA9-E5B4-4CD9-96E1-71634E56556E}"/>
    <cellStyle name="Normal 7 32 2 3" xfId="47530" xr:uid="{A10FC41F-B6E6-492A-AA68-55B3263D78FD}"/>
    <cellStyle name="Normal 7 32 2 4" xfId="46331" xr:uid="{C59911F1-9375-4714-B7E0-D2D6E8A2219A}"/>
    <cellStyle name="Normal 7 32 2 5" xfId="40301" xr:uid="{56D722E1-07C7-4ECC-99E5-B866734526AB}"/>
    <cellStyle name="Normal 7 32 2 6" xfId="48454" xr:uid="{B45B4C36-DA80-409B-9BD2-31117B803B34}"/>
    <cellStyle name="Normal 7 32 2 7" xfId="48642" xr:uid="{1C34EDB3-0B3B-4191-80C9-3C002EEC40C7}"/>
    <cellStyle name="Normal 7 32 2 8" xfId="16484" xr:uid="{F6881007-29E8-401C-BF7F-698D8B189099}"/>
    <cellStyle name="Normal 7 32 2 9" xfId="15232" xr:uid="{5ACB67DC-553E-4612-8046-65011E66A79D}"/>
    <cellStyle name="Normal 7 32 3" xfId="7977" xr:uid="{00000000-0005-0000-0000-0000ED0E0000}"/>
    <cellStyle name="Normal-- 7 32 3" xfId="48528" xr:uid="{CAA1D0A6-7D85-46E2-89FF-EE291DF652F8}"/>
    <cellStyle name="Normal 7 32 4" xfId="13540" xr:uid="{00000000-0005-0000-0000-0000A6340000}"/>
    <cellStyle name="Normal-- 7 32 4" xfId="15698" xr:uid="{174EA67B-4F7C-4828-9B83-99B6E1557CF8}"/>
    <cellStyle name="Normal 7 32 4 2" xfId="46004" xr:uid="{EAEEBBBF-4D0C-4376-8A8F-464EF8616339}"/>
    <cellStyle name="Normal 7 32 4 3" xfId="49198" xr:uid="{DF853159-B427-42F1-903B-6CFFC640BA08}"/>
    <cellStyle name="Normal 7 32 4 4" xfId="49395" xr:uid="{B5D93898-01D1-475B-BA5B-67142B28339F}"/>
    <cellStyle name="Normal 7 32 4 5" xfId="49666" xr:uid="{8D03D173-730E-4022-A973-DE619B54CD00}"/>
    <cellStyle name="Normal 7 32 4 6" xfId="49908" xr:uid="{AAF1DA21-9F21-420F-B900-65F7003E83F3}"/>
    <cellStyle name="Normal 7 32 4 7" xfId="50254" xr:uid="{165D25D1-3DB0-464E-B034-03F65E031C7A}"/>
    <cellStyle name="Normal 7 32 5" xfId="11093" xr:uid="{00000000-0005-0000-0000-000032350000}"/>
    <cellStyle name="Normal-- 7 32 5" xfId="49011" xr:uid="{0CDFCFF3-2E17-4A35-8CAD-2E4794106E71}"/>
    <cellStyle name="Normal 7 32 5 2" xfId="43582" xr:uid="{CEB7955C-5796-49AB-B4C2-9C932DF81855}"/>
    <cellStyle name="Normal 7 32 5 3" xfId="37942" xr:uid="{EE656442-173C-40E7-AB41-7FB996361D85}"/>
    <cellStyle name="Normal 7 32 5 4" xfId="46113" xr:uid="{1A65A5D2-5AD9-4D93-83EA-DF60CB1CB0CB}"/>
    <cellStyle name="Normal 7 32 5 5" xfId="15815" xr:uid="{69AE3FD6-3D78-4442-8A53-5F567F77F9F6}"/>
    <cellStyle name="Normal 7 32 5 6" xfId="46279" xr:uid="{07C87D93-0EBB-46B8-88CD-60D972592CCD}"/>
    <cellStyle name="Normal 7 32 6" xfId="16084" xr:uid="{B4F2B29B-A70E-4C4E-90E9-FBD28FE1BF9A}"/>
    <cellStyle name="Normal-- 7 32 6" xfId="49240" xr:uid="{839CE298-C434-4806-B20B-45E118585E9F}"/>
    <cellStyle name="Normal 7 32 7" xfId="38732" xr:uid="{C7A04F4E-82F7-4D70-87DA-6247676D4D61}"/>
    <cellStyle name="Normal-- 7 32 7" xfId="49530" xr:uid="{789F7AE9-DCAB-499A-B96C-89C42989B1C6}"/>
    <cellStyle name="Normal 7 32 8" xfId="40381" xr:uid="{FCAF4640-A165-4832-A8CB-81D2C2F9D633}"/>
    <cellStyle name="Normal-- 7 32 8" xfId="49773" xr:uid="{3F02EDCD-BF1D-4DF7-95C3-CEE79ACE1E29}"/>
    <cellStyle name="Normal 7 32 9" xfId="40459" xr:uid="{03F67379-911D-4795-AEDC-C143A34D6007}"/>
    <cellStyle name="Normal-- 7 32 9" xfId="50126" xr:uid="{8DDDA724-BDE9-40E6-9C7C-A668F34134B2}"/>
    <cellStyle name="Normal 7 33" xfId="4695" xr:uid="{00000000-0005-0000-0000-00007A120000}"/>
    <cellStyle name="Normal-- 7 33" xfId="13497" xr:uid="{00000000-0005-0000-0000-00008D340000}"/>
    <cellStyle name="Normal 7 33 10" xfId="37739" xr:uid="{F99EAE1D-AE13-408A-B1FA-65054B19CA74}"/>
    <cellStyle name="Normal 7 33 11" xfId="15021" xr:uid="{71115BD8-8ED0-4DEF-8DFA-95DA3643ABE0}"/>
    <cellStyle name="Normal 7 33 12" xfId="40390" xr:uid="{208B38A0-674B-4F23-AE3C-0C9A27C2FB72}"/>
    <cellStyle name="Normal 7 33 13" xfId="47715" xr:uid="{BCBEE546-AC0C-4A95-A40C-C0A7D55D0DB8}"/>
    <cellStyle name="Normal 7 33 2" xfId="10220" xr:uid="{00000000-0005-0000-0000-0000C71F0000}"/>
    <cellStyle name="Normal-- 7 33 2" xfId="45961" xr:uid="{E515375B-C1F8-4776-B9CD-029B510217B9}"/>
    <cellStyle name="Normal 7 33 2 2" xfId="42709" xr:uid="{5153F068-5A37-4CBA-9A97-857CFDA2B775}"/>
    <cellStyle name="Normal 7 33 2 3" xfId="47531" xr:uid="{70FCCD46-4E19-4FA4-9907-DC63EBC0D700}"/>
    <cellStyle name="Normal 7 33 2 4" xfId="46352" xr:uid="{0DA920DB-217D-4A1A-9252-47C2051D7E11}"/>
    <cellStyle name="Normal 7 33 2 5" xfId="15437" xr:uid="{D37A84BF-BD8A-47DE-9D6D-B9555680D4DE}"/>
    <cellStyle name="Normal 7 33 2 6" xfId="48064" xr:uid="{C801B3A5-1B55-45DA-897C-447721C320E5}"/>
    <cellStyle name="Normal 7 33 2 7" xfId="40543" xr:uid="{6141C410-0A12-4D35-81AA-8F1A717483D6}"/>
    <cellStyle name="Normal 7 33 2 8" xfId="14974" xr:uid="{325F0E1B-EEDA-4F66-AB08-1C1D7ECD5B01}"/>
    <cellStyle name="Normal 7 33 2 9" xfId="49060" xr:uid="{66698DFA-8662-4EA3-9243-5CD25F565737}"/>
    <cellStyle name="Normal 7 33 3" xfId="7978" xr:uid="{00000000-0005-0000-0000-0000EE0E0000}"/>
    <cellStyle name="Normal-- 7 33 3" xfId="48766" xr:uid="{A4349C0C-FFB8-46A8-933E-7D10E94F6613}"/>
    <cellStyle name="Normal 7 33 4" xfId="11092" xr:uid="{00000000-0005-0000-0000-000033350000}"/>
    <cellStyle name="Normal-- 7 33 4" xfId="48936" xr:uid="{E73D2598-0F22-4253-828C-5B616A62DED9}"/>
    <cellStyle name="Normal 7 33 4 2" xfId="43581" xr:uid="{E786835B-3861-4DFE-BB8F-3600BD960B3F}"/>
    <cellStyle name="Normal 7 33 4 3" xfId="15454" xr:uid="{38175063-E68E-472D-83D6-12EF3457096C}"/>
    <cellStyle name="Normal 7 33 4 4" xfId="48275" xr:uid="{0E41D3FF-7768-4BA9-8861-693B3C8492C3}"/>
    <cellStyle name="Normal 7 33 4 5" xfId="47697" xr:uid="{E18ADE80-FA9B-4EA4-839C-CF84C1F03034}"/>
    <cellStyle name="Normal 7 33 4 6" xfId="41069" xr:uid="{5FC4EE7C-9B97-4F68-9132-456A9EB216C6}"/>
    <cellStyle name="Normal 7 33 4 7" xfId="40482" xr:uid="{A2E3B651-1B9C-439A-A224-163DA63E132E}"/>
    <cellStyle name="Normal 7 33 5" xfId="16085" xr:uid="{B023BCC6-4043-42B6-A391-F8B2427D2033}"/>
    <cellStyle name="Normal-- 7 33 5" xfId="49187" xr:uid="{6A0FFF87-F25C-48BB-A40E-F41B3C5477B9}"/>
    <cellStyle name="Normal 7 33 6" xfId="38733" xr:uid="{E7634DA2-E66F-4FAF-9FD9-108A7B11D2EE}"/>
    <cellStyle name="Normal-- 7 33 6" xfId="49385" xr:uid="{8F04D313-E359-4B5C-A5F7-C668B08E7EC8}"/>
    <cellStyle name="Normal 7 33 7" xfId="40382" xr:uid="{4A29C4F2-E72B-4853-A6C7-1BCA75B33788}"/>
    <cellStyle name="Normal-- 7 33 7" xfId="49659" xr:uid="{3F11C11A-4412-47BF-A32E-B943F317BF08}"/>
    <cellStyle name="Normal 7 33 8" xfId="46129" xr:uid="{65BF7B00-8AC4-42CF-B16C-3BF7C7C19CA0}"/>
    <cellStyle name="Normal-- 7 33 8" xfId="49900" xr:uid="{C2CFE3B9-FD5C-4279-8332-B7B1D9E6A534}"/>
    <cellStyle name="Normal 7 33 9" xfId="46189" xr:uid="{20C17F97-EA2F-4219-8BED-8D4397304019}"/>
    <cellStyle name="Normal-- 7 33 9" xfId="50244" xr:uid="{82629EE8-C703-4788-9D11-1034B762BB4C}"/>
    <cellStyle name="Normal 7 34" xfId="4696" xr:uid="{00000000-0005-0000-0000-00007B120000}"/>
    <cellStyle name="Normal-- 7 34" xfId="11136" xr:uid="{00000000-0005-0000-0000-000019350000}"/>
    <cellStyle name="Normal 7 34 10" xfId="46691" xr:uid="{2B18B0B1-B9FE-4991-B6F0-6F0D7C4E8CA6}"/>
    <cellStyle name="Normal 7 34 11" xfId="14954" xr:uid="{ED2B4FC7-A9B6-4160-A581-51862A3CFB6E}"/>
    <cellStyle name="Normal 7 34 12" xfId="48366" xr:uid="{CC350017-3D96-4081-A888-C1410CA00D37}"/>
    <cellStyle name="Normal 7 34 2" xfId="10221" xr:uid="{00000000-0005-0000-0000-0000C81F0000}"/>
    <cellStyle name="Normal-- 7 34 2" xfId="43625" xr:uid="{54D58EAA-E70F-4ED8-8C40-8EAB1C7F0E25}"/>
    <cellStyle name="Normal 7 34 2 2" xfId="42710" xr:uid="{7946A727-3A9D-4AFD-98A6-6A7DBE782106}"/>
    <cellStyle name="Normal 7 34 2 3" xfId="47532" xr:uid="{0818383F-7E1A-483B-BEC2-DB349BC1C6DC}"/>
    <cellStyle name="Normal 7 34 2 4" xfId="37879" xr:uid="{10EE8DBF-56DA-4133-933A-F673F88C6FF4}"/>
    <cellStyle name="Normal 7 34 2 5" xfId="40520" xr:uid="{EAD287EF-D306-449D-A6CB-26C94716FB7D}"/>
    <cellStyle name="Normal 7 34 2 6" xfId="47298" xr:uid="{A7EA5657-7B27-4967-9B48-F26709A6A988}"/>
    <cellStyle name="Normal 7 34 2 7" xfId="47689" xr:uid="{E4CFB59E-96AE-4D47-9FCE-73D2D55B4A32}"/>
    <cellStyle name="Normal 7 34 2 8" xfId="48461" xr:uid="{42001A35-F069-41B5-B81F-F1214FF7E2E9}"/>
    <cellStyle name="Normal 7 34 2 9" xfId="15748" xr:uid="{8E643BBE-0091-4853-BA02-DDE9B32500B5}"/>
    <cellStyle name="Normal 7 34 3" xfId="7979" xr:uid="{00000000-0005-0000-0000-0000EF0E0000}"/>
    <cellStyle name="Normal-- 7 34 3" xfId="47866" xr:uid="{DED579D3-44BD-4E0A-9C5B-4ECE23A39851}"/>
    <cellStyle name="Normal 7 34 4" xfId="16086" xr:uid="{9662183A-5553-4496-85F0-4E061182FA51}"/>
    <cellStyle name="Normal-- 7 34 4" xfId="46221" xr:uid="{9E546B0C-288D-4FF1-98EA-443619957DA4}"/>
    <cellStyle name="Normal 7 34 5" xfId="38734" xr:uid="{C752DE44-1527-4076-B9B0-D29813BADF2F}"/>
    <cellStyle name="Normal-- 7 34 5" xfId="47712" xr:uid="{9604B0D0-BDA7-405C-86FC-2603E4953945}"/>
    <cellStyle name="Normal 7 34 6" xfId="15358" xr:uid="{CDC1AFCF-13FC-422F-8378-B09F2DF9E982}"/>
    <cellStyle name="Normal-- 7 34 6" xfId="47117" xr:uid="{0D029388-3DA3-4C50-9231-E1D8A71402D4}"/>
    <cellStyle name="Normal 7 34 7" xfId="47415" xr:uid="{1876740F-4B83-4410-803C-50A6944E211F}"/>
    <cellStyle name="Normal-- 7 34 7" xfId="48873" xr:uid="{9CCF1A08-704F-43BB-9287-5D9C99AFB234}"/>
    <cellStyle name="Normal 7 34 8" xfId="15144" xr:uid="{2C4445BC-0559-43EF-8EDF-4DC8FC61A625}"/>
    <cellStyle name="Normal-- 7 34 8" xfId="47793" xr:uid="{392FA35A-0112-4B07-B16E-DF78013B021C}"/>
    <cellStyle name="Normal 7 34 9" xfId="15426" xr:uid="{C1CD4006-250B-4E6A-891B-ED71063CD29F}"/>
    <cellStyle name="Normal-- 7 34 9" xfId="14148" xr:uid="{55AAAE0D-5A26-4DD5-8E91-BA2CF9A99A9C}"/>
    <cellStyle name="Normal 7 35" xfId="4697" xr:uid="{00000000-0005-0000-0000-00007C120000}"/>
    <cellStyle name="Normal-- 7 35" xfId="16058" xr:uid="{0E2A243F-0ED9-4BC3-BDBD-3F3D4E3EDC7C}"/>
    <cellStyle name="Normal 7 35 10" xfId="49582" xr:uid="{9B17200C-FAB7-4C56-8B19-68BB4C5FBB61}"/>
    <cellStyle name="Normal 7 35 11" xfId="16475" xr:uid="{9BCF9813-03D5-47FE-A206-7F12BC3D5A83}"/>
    <cellStyle name="Normal 7 35 2" xfId="10222" xr:uid="{00000000-0005-0000-0000-0000C91F0000}"/>
    <cellStyle name="Normal 7 35 2 2" xfId="42711" xr:uid="{0B4E9392-5110-4A16-9755-EB4F1BCFE259}"/>
    <cellStyle name="Normal 7 35 3" xfId="7980" xr:uid="{00000000-0005-0000-0000-0000F00E0000}"/>
    <cellStyle name="Normal 7 35 4" xfId="38735" xr:uid="{FCDDA5D2-6919-4D36-A0CF-9C8C8B933F37}"/>
    <cellStyle name="Normal 7 35 5" xfId="15359" xr:uid="{7C19125F-EA94-4D4C-B129-04B0C26EF0B3}"/>
    <cellStyle name="Normal 7 35 6" xfId="40453" xr:uid="{4F2E5B7F-E5AE-44E2-ADA7-B842C100789D}"/>
    <cellStyle name="Normal 7 35 7" xfId="48175" xr:uid="{E41F243B-6A60-4570-A087-5E042E25C410}"/>
    <cellStyle name="Normal 7 35 8" xfId="15979" xr:uid="{A7C3091F-5EFE-44FD-B98B-FD64EFAAB0A6}"/>
    <cellStyle name="Normal 7 35 9" xfId="49298" xr:uid="{7AC8DD0C-1466-4FC6-8928-40718F2FEF62}"/>
    <cellStyle name="Normal 7 36" xfId="4698" xr:uid="{00000000-0005-0000-0000-00007D120000}"/>
    <cellStyle name="Normal-- 7 36" xfId="38703" xr:uid="{0D1C77CF-6107-4A9E-9E7A-E16917F0295F}"/>
    <cellStyle name="Normal 7 36 10" xfId="47962" xr:uid="{84374433-2311-49B7-A6AE-CB6BA4210E21}"/>
    <cellStyle name="Normal 7 36 11" xfId="46787" xr:uid="{FB29B6D9-F78C-47B0-81FF-45DF9EC6680A}"/>
    <cellStyle name="Normal 7 36 2" xfId="10223" xr:uid="{00000000-0005-0000-0000-0000CA1F0000}"/>
    <cellStyle name="Normal 7 36 2 2" xfId="42712" xr:uid="{569B535C-972A-450F-A84A-7DB004D83585}"/>
    <cellStyle name="Normal 7 36 3" xfId="7981" xr:uid="{00000000-0005-0000-0000-0000F10E0000}"/>
    <cellStyle name="Normal 7 36 4" xfId="38736" xr:uid="{0147AF5B-A7D1-46CC-A682-14A21B9B6AB0}"/>
    <cellStyle name="Normal 7 36 5" xfId="40379" xr:uid="{D2BC6BED-5683-47CE-852F-C2CA90EBF766}"/>
    <cellStyle name="Normal 7 36 6" xfId="46128" xr:uid="{48478BDB-7207-4EC8-A4DE-2737C06E3415}"/>
    <cellStyle name="Normal 7 36 7" xfId="47432" xr:uid="{7C529AEE-003A-46E3-BF4A-335C70AABBA4}"/>
    <cellStyle name="Normal 7 36 8" xfId="46894" xr:uid="{97D99743-1DE6-4C7B-B822-35DDEC458276}"/>
    <cellStyle name="Normal 7 36 9" xfId="13641" xr:uid="{03C85E27-8669-4BBC-AF6E-CCB91B2DC1B0}"/>
    <cellStyle name="Normal 7 37" xfId="4699" xr:uid="{00000000-0005-0000-0000-00007E120000}"/>
    <cellStyle name="Normal-- 7 37" xfId="15330" xr:uid="{C3DD9D32-C8A8-49D5-8DDD-7FE37EF5BD26}"/>
    <cellStyle name="Normal 7 37 10" xfId="15802" xr:uid="{805F82CD-4B6C-40BF-B0C7-E17F5232FE12}"/>
    <cellStyle name="Normal 7 37 2" xfId="10224" xr:uid="{00000000-0005-0000-0000-0000CB1F0000}"/>
    <cellStyle name="Normal 7 37 2 2" xfId="42713" xr:uid="{777E87CE-19D3-48EA-BC0D-434C73BC881D}"/>
    <cellStyle name="Normal 7 37 3" xfId="7982" xr:uid="{00000000-0005-0000-0000-0000F20E0000}"/>
    <cellStyle name="Normal 7 37 4" xfId="38737" xr:uid="{B2A9F061-91EB-47D7-8C40-9F07027B3B96}"/>
    <cellStyle name="Normal 7 37 5" xfId="47414" xr:uid="{67BD31B4-DC21-4CCE-8E06-C2EA8D076A5F}"/>
    <cellStyle name="Normal 7 37 6" xfId="47258" xr:uid="{84DA13F1-C987-4C53-803C-E9C005213586}"/>
    <cellStyle name="Normal 7 37 7" xfId="48568" xr:uid="{705BEFD5-265E-4729-8411-000770C15325}"/>
    <cellStyle name="Normal 7 37 8" xfId="47983" xr:uid="{F6CBB6CC-C749-4CD6-B2BA-A809A7A986B1}"/>
    <cellStyle name="Normal 7 37 9" xfId="16312" xr:uid="{122AFFB1-4A93-4C05-AE32-8D8F21F1629D}"/>
    <cellStyle name="Normal 7 38" xfId="4700" xr:uid="{00000000-0005-0000-0000-00007F120000}"/>
    <cellStyle name="Normal-- 7 38" xfId="47958" xr:uid="{73D322E7-62FD-4586-8930-65A36ED5BD34}"/>
    <cellStyle name="Normal 7 38 2" xfId="10225" xr:uid="{00000000-0005-0000-0000-0000CC1F0000}"/>
    <cellStyle name="Normal 7 38 2 2" xfId="42714" xr:uid="{62D1440A-5491-4B7F-97B4-2408A74FEED5}"/>
    <cellStyle name="Normal 7 38 3" xfId="7983" xr:uid="{00000000-0005-0000-0000-0000F30E0000}"/>
    <cellStyle name="Normal 7 38 4" xfId="38738" xr:uid="{BB19BA0F-4912-4DAA-87FE-3783350FC066}"/>
    <cellStyle name="Normal 7 38 5" xfId="37812" xr:uid="{F5F4589E-EDE3-4DE6-AA46-1868F0166189}"/>
    <cellStyle name="Normal 7 38 6" xfId="47241" xr:uid="{B4701EEB-E531-4802-9252-7E5EFE19EB88}"/>
    <cellStyle name="Normal 7 38 7" xfId="41395" xr:uid="{2A66BB14-372E-4114-936C-4AB58D71D7D0}"/>
    <cellStyle name="Normal 7 38 8" xfId="37705" xr:uid="{7F88F502-CB9E-4060-9BA8-0FC3AE771346}"/>
    <cellStyle name="Normal 7 38 9" xfId="47090" xr:uid="{32804400-DC5C-4618-817A-04D6711F5FFE}"/>
    <cellStyle name="Normal 7 39" xfId="4701" xr:uid="{00000000-0005-0000-0000-000080120000}"/>
    <cellStyle name="Normal-- 7 39" xfId="48003" xr:uid="{67E0949B-D0EB-498C-80F3-D110E40E9934}"/>
    <cellStyle name="Normal 7 39 2" xfId="10226" xr:uid="{00000000-0005-0000-0000-0000CD1F0000}"/>
    <cellStyle name="Normal 7 39 2 2" xfId="42715" xr:uid="{317B3DD2-0E8B-4840-89E6-15D5E42C0ED4}"/>
    <cellStyle name="Normal 7 39 3" xfId="7948" xr:uid="{00000000-0005-0000-0000-0000D00E0000}"/>
    <cellStyle name="Normal 7 39 3 2" xfId="40818" xr:uid="{56766905-431E-4BE6-99A6-8D13F565A772}"/>
    <cellStyle name="Normal 7 39 4" xfId="17306" xr:uid="{8831FE19-1B91-4CC2-9756-8D6C9E006FE3}"/>
    <cellStyle name="Normal 7 39 5" xfId="38739" xr:uid="{614F5C33-350B-44E5-A2BB-EF3BAC50C856}"/>
    <cellStyle name="Normal 7 39 6" xfId="48328" xr:uid="{AC432614-D6F3-4D92-A724-993E1FFA4D44}"/>
    <cellStyle name="Normal 7 39 7" xfId="48106" xr:uid="{E0EF4915-93FE-44A5-816B-D0983A79C819}"/>
    <cellStyle name="Normal 7 39 8" xfId="40674" xr:uid="{4F93DDB5-AB68-4B7A-9DA4-F275FC5C9F3E}"/>
    <cellStyle name="Normal 7 39 9" xfId="40713" xr:uid="{9C1ABF45-3D04-4146-A763-3C9F474530D4}"/>
    <cellStyle name="Normal 7 4" xfId="4702" xr:uid="{00000000-0005-0000-0000-000081120000}"/>
    <cellStyle name="Normal-- 7 4" xfId="8612" xr:uid="{00000000-0005-0000-0000-000024230000}"/>
    <cellStyle name="Normal 7 4 10" xfId="12615" xr:uid="{00000000-0005-0000-0000-000024240000}"/>
    <cellStyle name="Normal 7 4 10 2" xfId="45086" xr:uid="{3BD1BCA7-DE96-4652-B97D-F1931B9138F1}"/>
    <cellStyle name="Normal 7 4 11" xfId="8759" xr:uid="{00000000-0005-0000-0000-000059240000}"/>
    <cellStyle name="Normal 7 4 11 2" xfId="41440" xr:uid="{4577C0EE-674E-4D16-91FB-7D689E5E6640}"/>
    <cellStyle name="Normal 7 4 12" xfId="12640" xr:uid="{00000000-0005-0000-0000-000092240000}"/>
    <cellStyle name="Normal 7 4 12 2" xfId="45111" xr:uid="{23D622C0-CD75-4AAF-A396-6D6F1087DAE3}"/>
    <cellStyle name="Normal 7 4 13" xfId="8807" xr:uid="{00000000-0005-0000-0000-0000CF240000}"/>
    <cellStyle name="Normal 7 4 13 2" xfId="41472" xr:uid="{D51094A4-7B12-44D2-B2AA-A9365FDDC1DD}"/>
    <cellStyle name="Normal 7 4 14" xfId="12671" xr:uid="{00000000-0005-0000-0000-000010250000}"/>
    <cellStyle name="Normal 7 4 14 2" xfId="45142" xr:uid="{23942BF0-7AE3-4069-9DCB-828F7B1DB956}"/>
    <cellStyle name="Normal 7 4 15" xfId="8871" xr:uid="{00000000-0005-0000-0000-000055250000}"/>
    <cellStyle name="Normal 7 4 15 2" xfId="41519" xr:uid="{4348656D-9425-4AB1-A3AB-5332A9946E0D}"/>
    <cellStyle name="Normal 7 4 16" xfId="12712" xr:uid="{00000000-0005-0000-0000-00009E250000}"/>
    <cellStyle name="Normal 7 4 16 2" xfId="45183" xr:uid="{7D047FCB-010F-4F84-9B27-22C86CC3C327}"/>
    <cellStyle name="Normal 7 4 17" xfId="8980" xr:uid="{00000000-0005-0000-0000-0000EB250000}"/>
    <cellStyle name="Normal 7 4 17 2" xfId="41614" xr:uid="{66387D34-DE78-4D64-811B-86488BB3C7BD}"/>
    <cellStyle name="Normal 7 4 18" xfId="12774" xr:uid="{00000000-0005-0000-0000-00003C260000}"/>
    <cellStyle name="Normal 7 4 18 2" xfId="45245" xr:uid="{6ED5A55D-91E7-439C-B277-BD342D934D74}"/>
    <cellStyle name="Normal 7 4 19" xfId="9058" xr:uid="{00000000-0005-0000-0000-000091260000}"/>
    <cellStyle name="Normal 7 4 19 2" xfId="41670" xr:uid="{B796D1D4-43D0-4019-8930-51636CEC36E1}"/>
    <cellStyle name="Normal 7 4 2" xfId="4703" xr:uid="{00000000-0005-0000-0000-000082120000}"/>
    <cellStyle name="Normal-- 7 4 2" xfId="41336" xr:uid="{29690CEC-31F2-4429-9147-AF4B10D7EE66}"/>
    <cellStyle name="Normal 7 4 2 10" xfId="40667" xr:uid="{C3935308-DA26-481C-9B0F-14339E0E3DFD}"/>
    <cellStyle name="Normal 7 4 2 11" xfId="40751" xr:uid="{618FD6C5-405F-40C8-B79A-DCED78B26B7A}"/>
    <cellStyle name="Normal 7 4 2 2" xfId="10228" xr:uid="{00000000-0005-0000-0000-0000CF1F0000}"/>
    <cellStyle name="Normal 7 4 2 2 2" xfId="42717" xr:uid="{70E0086E-4D95-4ADA-8350-F292BF013954}"/>
    <cellStyle name="Normal 7 4 2 3" xfId="17308" xr:uid="{C2211A41-716B-43FF-A2E4-81B54D0D413E}"/>
    <cellStyle name="Normal 7 4 2 4" xfId="38741" xr:uid="{BE13F7E6-DD78-45EE-862E-137B5BA4F918}"/>
    <cellStyle name="Normal 7 4 2 5" xfId="40378" xr:uid="{128C9F62-E0B0-4F9B-9A81-36326D6778D5}"/>
    <cellStyle name="Normal 7 4 2 6" xfId="15255" xr:uid="{3B7B4721-818A-468F-ADDC-F832B83DB83C}"/>
    <cellStyle name="Normal 7 4 2 7" xfId="46418" xr:uid="{24AA48EC-8C03-4F2E-8F4F-ADA6C37B5012}"/>
    <cellStyle name="Normal 7 4 2 8" xfId="48827" xr:uid="{CA560E46-7154-4EE2-9B85-CF6C287E334A}"/>
    <cellStyle name="Normal 7 4 2 9" xfId="46866" xr:uid="{127FF1FD-D5E8-4B50-A84A-E032B8186736}"/>
    <cellStyle name="Normal 7 4 20" xfId="12817" xr:uid="{00000000-0005-0000-0000-0000EA260000}"/>
    <cellStyle name="Normal 7 4 20 2" xfId="45288" xr:uid="{17161A72-F575-425D-A711-196BEFF9B3DC}"/>
    <cellStyle name="Normal 7 4 21" xfId="9147" xr:uid="{00000000-0005-0000-0000-000047270000}"/>
    <cellStyle name="Normal 7 4 21 2" xfId="41742" xr:uid="{41010211-537A-4AF2-8530-F4DE6E858B2C}"/>
    <cellStyle name="Normal 7 4 22" xfId="12867" xr:uid="{00000000-0005-0000-0000-0000A8270000}"/>
    <cellStyle name="Normal 7 4 22 2" xfId="45338" xr:uid="{CE9A2E81-D44E-4E5F-8C4C-78C9D03A4BD6}"/>
    <cellStyle name="Normal 7 4 23" xfId="7984" xr:uid="{00000000-0005-0000-0000-0000F40E0000}"/>
    <cellStyle name="Normal 7 4 24" xfId="13259" xr:uid="{00000000-0005-0000-0000-0000CF300000}"/>
    <cellStyle name="Normal 7 4 24 2" xfId="45723" xr:uid="{D8F8C0A0-D53A-44C3-A84A-CE32CCF6222B}"/>
    <cellStyle name="Normal 7 4 25" xfId="11382" xr:uid="{00000000-0005-0000-0000-00003C310000}"/>
    <cellStyle name="Normal 7 4 25 2" xfId="43871" xr:uid="{F9650B33-3CF1-4B77-AF99-B7A5045CB48D}"/>
    <cellStyle name="Normal 7 4 26" xfId="13326" xr:uid="{00000000-0005-0000-0000-0000AD310000}"/>
    <cellStyle name="Normal 7 4 26 2" xfId="45790" xr:uid="{7DD74848-AB43-45DC-B449-A28AA39DAB38}"/>
    <cellStyle name="Normal 7 4 27" xfId="11309" xr:uid="{00000000-0005-0000-0000-000022320000}"/>
    <cellStyle name="Normal 7 4 27 2" xfId="43798" xr:uid="{47CF13E1-B72E-421C-981C-1812761B6DE7}"/>
    <cellStyle name="Normal 7 4 28" xfId="13399" xr:uid="{00000000-0005-0000-0000-00009B320000}"/>
    <cellStyle name="Normal 7 4 28 2" xfId="45863" xr:uid="{FC636B74-E0F5-49F3-9253-30DD885DF934}"/>
    <cellStyle name="Normal 7 4 29" xfId="11229" xr:uid="{00000000-0005-0000-0000-000018330000}"/>
    <cellStyle name="Normal 7 4 29 2" xfId="43718" xr:uid="{C59649E2-1E84-407F-81DB-81BA798617D5}"/>
    <cellStyle name="Normal 7 4 3" xfId="10227" xr:uid="{00000000-0005-0000-0000-0000CE1F0000}"/>
    <cellStyle name="Normal-- 7 4 3" xfId="46923" xr:uid="{08C8823B-529D-420F-86B7-C42E07FD45AA}"/>
    <cellStyle name="Normal 7 4 3 2" xfId="18177" xr:uid="{7971787F-C48C-4D7B-83BB-044E7216F419}"/>
    <cellStyle name="Normal 7 4 3 3" xfId="42716" xr:uid="{B8EFDEBB-0643-4912-8A1E-85A5414D3BF5}"/>
    <cellStyle name="Normal 7 4 3 4" xfId="48198" xr:uid="{EB9DDEA5-6E63-4DC6-9A33-12CD32F0B9AB}"/>
    <cellStyle name="Normal 7 4 3 5" xfId="40623" xr:uid="{9AA86EED-844A-4777-8424-1E9B3C5C1F25}"/>
    <cellStyle name="Normal 7 4 3 6" xfId="37634" xr:uid="{137BD125-F1DE-4E84-BFFD-49C4FD5CCFFD}"/>
    <cellStyle name="Normal 7 4 3 7" xfId="46859" xr:uid="{35889376-A303-439E-91B5-F4782DD9FEC5}"/>
    <cellStyle name="Normal 7 4 3 8" xfId="40687" xr:uid="{A1EB2139-9DAB-4F04-8E85-B55B98D70E9E}"/>
    <cellStyle name="Normal 7 4 3 9" xfId="14125" xr:uid="{979F32E9-C984-455B-AD42-F3A167CC6224}"/>
    <cellStyle name="Normal 7 4 30" xfId="13474" xr:uid="{00000000-0005-0000-0000-000099330000}"/>
    <cellStyle name="Normal 7 4 30 2" xfId="45938" xr:uid="{3787F512-4EC3-4D80-9BBB-4FC4AEB9BA1D}"/>
    <cellStyle name="Normal 7 4 31" xfId="11160" xr:uid="{00000000-0005-0000-0000-00001E340000}"/>
    <cellStyle name="Normal 7 4 31 2" xfId="43649" xr:uid="{6A546FC7-13E9-4CD4-B556-394F18528E9A}"/>
    <cellStyle name="Normal 7 4 32" xfId="13541" xr:uid="{00000000-0005-0000-0000-0000A7340000}"/>
    <cellStyle name="Normal 7 4 32 2" xfId="46005" xr:uid="{BB2CF84E-10AD-43A1-A2D2-234BDF1A6EB5}"/>
    <cellStyle name="Normal 7 4 33" xfId="11091" xr:uid="{00000000-0005-0000-0000-000034350000}"/>
    <cellStyle name="Normal 7 4 33 2" xfId="43580" xr:uid="{EFE3117E-3BC5-4117-8922-0055182A753B}"/>
    <cellStyle name="Normal 7 4 34" xfId="16089" xr:uid="{E71D22EB-D351-43BF-96F5-D539AC7C2AD9}"/>
    <cellStyle name="Normal 7 4 35" xfId="38740" xr:uid="{9BAF3F41-4279-4323-8CEC-247ED8EB9FE7}"/>
    <cellStyle name="Normal 7 4 36" xfId="40377" xr:uid="{F8B851D0-9F9D-473F-BCEC-C97EB5D0EB5B}"/>
    <cellStyle name="Normal 7 4 37" xfId="47413" xr:uid="{7150357E-22FC-4FA3-9582-E213FD67327C}"/>
    <cellStyle name="Normal 7 4 38" xfId="15145" xr:uid="{C4BDF404-02C3-43D5-AF2D-87FBB093238D}"/>
    <cellStyle name="Normal 7 4 39" xfId="48524" xr:uid="{DB0454E3-3CE3-4D0A-A88E-07A301493295}"/>
    <cellStyle name="Normal 7 4 4" xfId="12553" xr:uid="{00000000-0005-0000-0000-00003F230000}"/>
    <cellStyle name="Normal-- 7 4 4" xfId="13802" xr:uid="{85B31BBD-8DAC-477B-A8D9-84687ACBC6D3}"/>
    <cellStyle name="Normal 7 4 4 2" xfId="45024" xr:uid="{069220D5-3B97-499A-A403-C3C085C596D0}"/>
    <cellStyle name="Normal 7 4 4 3" xfId="48239" xr:uid="{F0E009FC-BB6A-4A92-ACEB-27244BC2B207}"/>
    <cellStyle name="Normal 7 4 4 4" xfId="48022" xr:uid="{12E9588E-47F1-4A45-A414-E1D984FEDB3D}"/>
    <cellStyle name="Normal 7 4 4 5" xfId="37784" xr:uid="{606020DB-65FC-4BBB-B0B7-6525A39ADE8F}"/>
    <cellStyle name="Normal 7 4 4 6" xfId="46873" xr:uid="{7405A9C3-E77B-4518-8E8F-51656394B562}"/>
    <cellStyle name="Normal 7 4 4 7" xfId="49985" xr:uid="{980A0A40-1832-4766-977F-6C0FBF40CE15}"/>
    <cellStyle name="Normal 7 4 40" xfId="15699" xr:uid="{0C452988-A3B5-4AD2-898F-1809E40FC525}"/>
    <cellStyle name="Normal 7 4 41" xfId="40607" xr:uid="{70E713CA-DE08-4060-AB37-3F5804C450D8}"/>
    <cellStyle name="Normal 7 4 42" xfId="46684" xr:uid="{975FC3E2-F085-48A4-972B-49823F5B8268}"/>
    <cellStyle name="Normal 7 4 5" xfId="8665" xr:uid="{00000000-0005-0000-0000-00005B230000}"/>
    <cellStyle name="Normal-- 7 4 5" xfId="40733" xr:uid="{5D2CA78E-E289-4C14-8E0B-F60FECE04708}"/>
    <cellStyle name="Normal 7 4 5 2" xfId="41373" xr:uid="{7376F955-477D-488C-9E4D-1F995E79C940}"/>
    <cellStyle name="Normal 7 4 5 3" xfId="47758" xr:uid="{B9D632DB-8E36-4181-9D37-9EE4CB65FA24}"/>
    <cellStyle name="Normal 7 4 5 4" xfId="48199" xr:uid="{717ACDC5-6B6F-4494-B9F5-2463E8464BF7}"/>
    <cellStyle name="Normal 7 4 5 5" xfId="15110" xr:uid="{C2B367D0-7F5F-466C-80A4-826A1499FA32}"/>
    <cellStyle name="Normal 7 4 5 6" xfId="48562" xr:uid="{47755179-340D-452B-828E-68ACAC842093}"/>
    <cellStyle name="Normal 7 4 6" xfId="12568" xr:uid="{00000000-0005-0000-0000-00007B230000}"/>
    <cellStyle name="Normal-- 7 4 6" xfId="41458" xr:uid="{F24C57F7-9D19-4861-98C0-444E67AD2AF7}"/>
    <cellStyle name="Normal 7 4 6 2" xfId="45039" xr:uid="{CB06F077-9C58-4BE9-BD9F-C8CFEF66BE1D}"/>
    <cellStyle name="Normal 7 4 6 3" xfId="15468" xr:uid="{D1E4DA88-8B50-4045-9874-09CAB54070B5}"/>
    <cellStyle name="Normal 7 4 6 4" xfId="47909" xr:uid="{331276DB-BDA8-4FAD-9B06-24769D77EC24}"/>
    <cellStyle name="Normal 7 4 6 5" xfId="49989" xr:uid="{58643CA5-8448-4063-8CA8-38C497D54076}"/>
    <cellStyle name="Normal 7 4 7" xfId="8687" xr:uid="{00000000-0005-0000-0000-00009F230000}"/>
    <cellStyle name="Normal-- 7 4 7" xfId="40461" xr:uid="{4B2F44D9-46FC-4B7C-B3D0-3860C3BD0B7C}"/>
    <cellStyle name="Normal 7 4 7 2" xfId="41390" xr:uid="{D6A8BC9A-9955-481C-A278-DF8E027B643D}"/>
    <cellStyle name="Normal 7 4 7 3" xfId="40283" xr:uid="{63F8EC9A-7CC9-46F4-98D4-5C5E71C8244A}"/>
    <cellStyle name="Normal 7 4 7 4" xfId="48889" xr:uid="{22E0D570-3336-4D0F-B0E4-BE6603D3630C}"/>
    <cellStyle name="Normal 7 4 8" xfId="12586" xr:uid="{00000000-0005-0000-0000-0000C7230000}"/>
    <cellStyle name="Normal-- 7 4 8" xfId="49204" xr:uid="{448493E5-3542-4979-B7D7-8AE566CCC3D7}"/>
    <cellStyle name="Normal 7 4 8 2" xfId="45057" xr:uid="{2EE57EB8-A753-4CBB-9556-33C972ED935F}"/>
    <cellStyle name="Normal 7 4 8 3" xfId="49996" xr:uid="{A78DFAAD-BF04-42B1-9EA4-C15D2461896D}"/>
    <cellStyle name="Normal 7 4 9" xfId="8718" xr:uid="{00000000-0005-0000-0000-0000F3230000}"/>
    <cellStyle name="Normal-- 7 4 9" xfId="40267" xr:uid="{9C001640-427E-4D48-AB11-F233A66078F0}"/>
    <cellStyle name="Normal 7 4 9 2" xfId="41410" xr:uid="{C1C0ED2D-A5A8-4FCF-AD8D-8160853CC31C}"/>
    <cellStyle name="Normal 7 40" xfId="10189" xr:uid="{00000000-0005-0000-0000-0000A81F0000}"/>
    <cellStyle name="Normal-- 7 40" xfId="46491" xr:uid="{7C493FFB-2F57-4F36-B1DC-91C4F065E7BA}"/>
    <cellStyle name="Normal 7 40 2" xfId="9297" xr:uid="{00000000-0005-0000-0000-0000D00E0000}"/>
    <cellStyle name="Normal 7 40 2 2" xfId="41822" xr:uid="{FF0243D8-5D21-43B3-B0E7-99BB3443082B}"/>
    <cellStyle name="Normal 7 40 3" xfId="18175" xr:uid="{7F2CCB13-B6D5-4F6A-AD79-17CA68CB8906}"/>
    <cellStyle name="Normal 7 40 4" xfId="42678" xr:uid="{975C8C26-1EF0-47A3-B19C-9090CEB8C71F}"/>
    <cellStyle name="Normal 7 40 5" xfId="46560" xr:uid="{5FD70007-7013-4E5C-9A3C-5A0CDAA86498}"/>
    <cellStyle name="Normal 7 40 6" xfId="15069" xr:uid="{1565F498-DCD9-4FA2-81AB-5F0E0AF3EC7F}"/>
    <cellStyle name="Normal 7 40 7" xfId="40681" xr:uid="{63ABD4FD-DA9D-4950-B434-C10D98AE73D2}"/>
    <cellStyle name="Normal 7 41" xfId="12517" xr:uid="{00000000-0005-0000-0000-00000F230000}"/>
    <cellStyle name="Normal-- 7 41" xfId="46679" xr:uid="{39F74B57-CE3B-4006-8C87-03BF6DC89FCA}"/>
    <cellStyle name="Normal 7 41 2" xfId="9257" xr:uid="{00000000-0005-0000-0000-000028230000}"/>
    <cellStyle name="Normal 7 41 2 2" xfId="41793" xr:uid="{BE714973-062D-4F20-B851-3D8A60FD9999}"/>
    <cellStyle name="Normal 7 41 3" xfId="23846" xr:uid="{BC4544AE-6DDE-4A03-A421-AE179E40CE04}"/>
    <cellStyle name="Normal 7 41 4" xfId="44990" xr:uid="{32C248A1-0CF2-4382-8957-DF8D7529C6AE}"/>
    <cellStyle name="Normal 7 41 5" xfId="15361" xr:uid="{B20B96C0-DA47-44F5-9A30-7C22DD792E8A}"/>
    <cellStyle name="Normal 7 41 6" xfId="49972" xr:uid="{5181412D-5C6D-4F6B-9154-61B3A7BB0575}"/>
    <cellStyle name="Normal 7 42" xfId="8611" xr:uid="{00000000-0005-0000-0000-000023230000}"/>
    <cellStyle name="Normal-- 7 42" xfId="47321" xr:uid="{826F017F-2ED1-41DB-9E97-F6A3C9651DBC}"/>
    <cellStyle name="Normal 7 42 2" xfId="24232" xr:uid="{0E4E3B2B-2B67-4ECC-ABD5-F6B1CB622FB4}"/>
    <cellStyle name="Normal 7 42 3" xfId="41335" xr:uid="{EB341651-FAF1-47B7-98D6-30E3E44A00C9}"/>
    <cellStyle name="Normal 7 42 4" xfId="47823" xr:uid="{33AD1A28-737E-4676-8465-3EE872700AC0}"/>
    <cellStyle name="Normal 7 43" xfId="12524" xr:uid="{00000000-0005-0000-0000-00003B230000}"/>
    <cellStyle name="Normal-- 7 43" xfId="47842" xr:uid="{644CCD6E-1C22-46B6-8DC4-C4C12914103E}"/>
    <cellStyle name="Normal 7 43 2" xfId="24756" xr:uid="{906DCA05-78B7-412E-B223-3BFAD108A3B3}"/>
    <cellStyle name="Normal 7 43 3" xfId="44997" xr:uid="{6F8455ED-4361-420E-859D-ECCAC1AF3036}"/>
    <cellStyle name="Normal 7 44" xfId="8626" xr:uid="{00000000-0005-0000-0000-000057230000}"/>
    <cellStyle name="Normal 7 44 2" xfId="24166" xr:uid="{FCCFBF1C-B06A-4514-AF37-213078AD56FD}"/>
    <cellStyle name="Normal 7 44 3" xfId="41346" xr:uid="{EA3E58EC-71E8-40E4-977C-06B58066AF67}"/>
    <cellStyle name="Normal 7 45" xfId="12534" xr:uid="{00000000-0005-0000-0000-000077230000}"/>
    <cellStyle name="Normal 7 45 2" xfId="23875" xr:uid="{4D5393E5-DE56-48CF-8299-A95D946D3995}"/>
    <cellStyle name="Normal 7 45 3" xfId="45005" xr:uid="{00B110AE-8D94-4289-B59B-C1E01E0D23D9}"/>
    <cellStyle name="Normal 7 46" xfId="8646" xr:uid="{00000000-0005-0000-0000-00009B230000}"/>
    <cellStyle name="Normal 7 46 2" xfId="24727" xr:uid="{2C285D72-9676-49FE-A16A-CCA1DBC6ACFD}"/>
    <cellStyle name="Normal 7 46 3" xfId="41357" xr:uid="{9D66761A-E722-4E55-A573-D39B98E23E43}"/>
    <cellStyle name="Normal 7 47" xfId="12554" xr:uid="{00000000-0005-0000-0000-0000C3230000}"/>
    <cellStyle name="Normal 7 47 2" xfId="24762" xr:uid="{069D3A56-6F77-4955-A1FC-DF0ACFF226BD}"/>
    <cellStyle name="Normal 7 47 3" xfId="45025" xr:uid="{5C7DD767-3012-4DDD-85D1-C4F42974F897}"/>
    <cellStyle name="Normal 7 48" xfId="8672" xr:uid="{00000000-0005-0000-0000-0000EF230000}"/>
    <cellStyle name="Normal 7 48 2" xfId="23784" xr:uid="{C3BB6612-4493-42EA-A847-626C6E76164A}"/>
    <cellStyle name="Normal 7 48 3" xfId="41379" xr:uid="{BC5E0DE8-3FC3-459B-9B17-9B20726D5159}"/>
    <cellStyle name="Normal 7 49" xfId="12578" xr:uid="{00000000-0005-0000-0000-00001F240000}"/>
    <cellStyle name="Normal 7 49 2" xfId="24305" xr:uid="{07754D2D-1F4C-40D7-B077-C3D3AC2E9D90}"/>
    <cellStyle name="Normal 7 49 3" xfId="45049" xr:uid="{2FC02956-6DAC-484A-8BC4-88832CA159BD}"/>
    <cellStyle name="Normal 7 5" xfId="4704" xr:uid="{00000000-0005-0000-0000-000083120000}"/>
    <cellStyle name="Normal-- 7 5" xfId="12525" xr:uid="{00000000-0005-0000-0000-00003C230000}"/>
    <cellStyle name="Normal 7 5 10" xfId="12642" xr:uid="{00000000-0005-0000-0000-000093240000}"/>
    <cellStyle name="Normal 7 5 10 2" xfId="45113" xr:uid="{2FFE9D5E-1213-44FF-982D-5C405FEFAEDD}"/>
    <cellStyle name="Normal 7 5 11" xfId="8812" xr:uid="{00000000-0005-0000-0000-0000D0240000}"/>
    <cellStyle name="Normal 7 5 11 2" xfId="41476" xr:uid="{1915F020-D412-41B8-90D3-D4930D1320DD}"/>
    <cellStyle name="Normal 7 5 12" xfId="12672" xr:uid="{00000000-0005-0000-0000-000011250000}"/>
    <cellStyle name="Normal 7 5 12 2" xfId="45143" xr:uid="{3A2A32E6-6F57-4B94-89DB-04948D11CF4C}"/>
    <cellStyle name="Normal 7 5 13" xfId="8874" xr:uid="{00000000-0005-0000-0000-000056250000}"/>
    <cellStyle name="Normal 7 5 13 2" xfId="41522" xr:uid="{22B4DA54-52F1-44E8-AF11-1B44D3AC04CC}"/>
    <cellStyle name="Normal 7 5 14" xfId="12723" xr:uid="{00000000-0005-0000-0000-00009F250000}"/>
    <cellStyle name="Normal 7 5 14 2" xfId="45194" xr:uid="{8143E6CF-D368-4E59-B933-13EFB9EC0C2E}"/>
    <cellStyle name="Normal 7 5 15" xfId="8982" xr:uid="{00000000-0005-0000-0000-0000EC250000}"/>
    <cellStyle name="Normal 7 5 15 2" xfId="41616" xr:uid="{58F29F4C-F16D-4A3A-8780-68CC640CBD7A}"/>
    <cellStyle name="Normal 7 5 16" xfId="12775" xr:uid="{00000000-0005-0000-0000-00003D260000}"/>
    <cellStyle name="Normal 7 5 16 2" xfId="45246" xr:uid="{344D23D0-6697-4845-841B-B2F1EA14D2D8}"/>
    <cellStyle name="Normal 7 5 17" xfId="9060" xr:uid="{00000000-0005-0000-0000-000092260000}"/>
    <cellStyle name="Normal 7 5 17 2" xfId="41671" xr:uid="{12733530-9EBB-40C3-8374-1A1B0B620254}"/>
    <cellStyle name="Normal 7 5 18" xfId="12818" xr:uid="{00000000-0005-0000-0000-0000EB260000}"/>
    <cellStyle name="Normal 7 5 18 2" xfId="45289" xr:uid="{E1A7ED90-393B-4010-9820-451C639E9918}"/>
    <cellStyle name="Normal 7 5 19" xfId="9149" xr:uid="{00000000-0005-0000-0000-000048270000}"/>
    <cellStyle name="Normal 7 5 19 2" xfId="41743" xr:uid="{93DBA843-7807-4350-B395-EE1E66DD0A30}"/>
    <cellStyle name="Normal 7 5 2" xfId="10229" xr:uid="{00000000-0005-0000-0000-0000D01F0000}"/>
    <cellStyle name="Normal-- 7 5 2" xfId="44998" xr:uid="{790AED1B-8414-4ADA-852C-32EEC35EC881}"/>
    <cellStyle name="Normal 7 5 2 10" xfId="14543" xr:uid="{937805F9-FF8D-4EF3-829D-E138E3ADE95F}"/>
    <cellStyle name="Normal 7 5 2 11" xfId="48260" xr:uid="{C1FF7B34-4C77-4BE2-B6CE-A945FB43E2B7}"/>
    <cellStyle name="Normal 7 5 2 12" xfId="48074" xr:uid="{7CEBC5FF-11AB-4DC9-8DD2-CB41D5FB7FBA}"/>
    <cellStyle name="Normal 7 5 2 2" xfId="17755" xr:uid="{387867A1-C39D-4B2C-97F3-02FFAA21D998}"/>
    <cellStyle name="Normal 7 5 2 2 2" xfId="18488" xr:uid="{193AA6AE-A239-4C89-B100-CBDACC0CCFAF}"/>
    <cellStyle name="Normal 7 5 2 3" xfId="18659" xr:uid="{CB30D0F3-BAF2-4D5D-8EBF-89CE53DEF3D4}"/>
    <cellStyle name="Normal 7 5 2 4" xfId="17487" xr:uid="{8B6CF355-3986-4B23-93F2-CA00730510D9}"/>
    <cellStyle name="Normal 7 5 2 5" xfId="42718" xr:uid="{0217B099-7085-4463-B5C6-F7A06100A870}"/>
    <cellStyle name="Normal 7 5 2 6" xfId="47534" xr:uid="{93B53A45-5CEC-49B7-9E54-AEDB1D961815}"/>
    <cellStyle name="Normal 7 5 2 7" xfId="46351" xr:uid="{0E3E92BA-DB39-4895-95C1-72BE115CF813}"/>
    <cellStyle name="Normal 7 5 2 8" xfId="47669" xr:uid="{5267236B-EE41-4163-9543-A284858A64FE}"/>
    <cellStyle name="Normal 7 5 2 9" xfId="39582" xr:uid="{923B0C0E-84C8-4703-AAE3-EE40B5A20FA5}"/>
    <cellStyle name="Normal 7 5 20" xfId="12868" xr:uid="{00000000-0005-0000-0000-0000A9270000}"/>
    <cellStyle name="Normal 7 5 20 2" xfId="45339" xr:uid="{8093F782-743E-4472-A389-00EE2BEA0DF5}"/>
    <cellStyle name="Normal 7 5 21" xfId="7985" xr:uid="{00000000-0005-0000-0000-0000F50E0000}"/>
    <cellStyle name="Normal 7 5 22" xfId="13261" xr:uid="{00000000-0005-0000-0000-0000D0300000}"/>
    <cellStyle name="Normal 7 5 22 2" xfId="45725" xr:uid="{8572E956-CC95-45F8-B226-091B73C2821D}"/>
    <cellStyle name="Normal 7 5 23" xfId="11380" xr:uid="{00000000-0005-0000-0000-00003D310000}"/>
    <cellStyle name="Normal 7 5 23 2" xfId="43869" xr:uid="{8B0C0AB5-033E-40DA-BFD9-E43FDD8DBF5A}"/>
    <cellStyle name="Normal 7 5 24" xfId="13328" xr:uid="{00000000-0005-0000-0000-0000AE310000}"/>
    <cellStyle name="Normal 7 5 24 2" xfId="45792" xr:uid="{24BB467D-C066-4BEF-8A06-B6D2EEFD747F}"/>
    <cellStyle name="Normal 7 5 25" xfId="11307" xr:uid="{00000000-0005-0000-0000-000023320000}"/>
    <cellStyle name="Normal 7 5 25 2" xfId="43796" xr:uid="{53E92F35-1107-4727-9429-3223803D4E01}"/>
    <cellStyle name="Normal 7 5 26" xfId="13401" xr:uid="{00000000-0005-0000-0000-00009C320000}"/>
    <cellStyle name="Normal 7 5 26 2" xfId="45865" xr:uid="{D4263AC5-BEBF-4344-9A4B-6ED93E0EAD5D}"/>
    <cellStyle name="Normal 7 5 27" xfId="11222" xr:uid="{00000000-0005-0000-0000-000019330000}"/>
    <cellStyle name="Normal 7 5 27 2" xfId="43711" xr:uid="{7CFF67D5-B347-4491-A0FE-A55965DFA73C}"/>
    <cellStyle name="Normal 7 5 28" xfId="13475" xr:uid="{00000000-0005-0000-0000-00009A330000}"/>
    <cellStyle name="Normal 7 5 28 2" xfId="45939" xr:uid="{122FCEE9-EA49-4B51-A64B-57E9EE51B030}"/>
    <cellStyle name="Normal 7 5 29" xfId="11159" xr:uid="{00000000-0005-0000-0000-00001F340000}"/>
    <cellStyle name="Normal 7 5 29 2" xfId="43648" xr:uid="{459E23DB-3CCD-479E-805B-D86702A63C55}"/>
    <cellStyle name="Normal 7 5 3" xfId="8667" xr:uid="{00000000-0005-0000-0000-00005C230000}"/>
    <cellStyle name="Normal-- 7 5 3" xfId="48363" xr:uid="{CA52E293-9A60-47EC-818D-3E83C85D3804}"/>
    <cellStyle name="Normal 7 5 3 10" xfId="48244" xr:uid="{08554C22-4E31-4E38-8D25-C0DF49F4ECBB}"/>
    <cellStyle name="Normal 7 5 3 2" xfId="18547" xr:uid="{5D55D0C0-0840-4862-AE79-30916FA5E3C2}"/>
    <cellStyle name="Normal 7 5 3 3" xfId="17668" xr:uid="{D1040F78-8964-4284-89C0-E9186A0D7E46}"/>
    <cellStyle name="Normal 7 5 3 4" xfId="41375" xr:uid="{A9B9B148-8440-428D-8D07-322EA685FEC7}"/>
    <cellStyle name="Normal 7 5 3 5" xfId="13727" xr:uid="{246FDA98-4B31-4F25-A13E-443A4058FC74}"/>
    <cellStyle name="Normal 7 5 3 6" xfId="40726" xr:uid="{68883162-4C55-47F0-A06F-93ADFDC9F008}"/>
    <cellStyle name="Normal 7 5 3 7" xfId="47889" xr:uid="{E178C156-1780-41CF-88EB-3E7E3F8F27B2}"/>
    <cellStyle name="Normal 7 5 3 8" xfId="46667" xr:uid="{F7F8CB6E-DD9A-4F8C-8DA5-29FEDAE84B7B}"/>
    <cellStyle name="Normal 7 5 3 9" xfId="15126" xr:uid="{578AA6E4-10E6-4FFC-BA3B-F1BA354519E9}"/>
    <cellStyle name="Normal 7 5 30" xfId="13542" xr:uid="{00000000-0005-0000-0000-0000A8340000}"/>
    <cellStyle name="Normal 7 5 30 2" xfId="46006" xr:uid="{D8B9A4CD-DB75-4F59-9A31-9B7AAB4BB996}"/>
    <cellStyle name="Normal 7 5 31" xfId="11090" xr:uid="{00000000-0005-0000-0000-000035350000}"/>
    <cellStyle name="Normal 7 5 31 2" xfId="43579" xr:uid="{8D386537-970C-41A8-81A0-DE8F69ACC4C8}"/>
    <cellStyle name="Normal 7 5 32" xfId="16090" xr:uid="{DE761DD9-7E94-4E04-9A7F-6F3280711F96}"/>
    <cellStyle name="Normal 7 5 33" xfId="38742" xr:uid="{C936683F-951B-4569-AD6D-51CED2FA7F85}"/>
    <cellStyle name="Normal 7 5 34" xfId="15362" xr:uid="{C2C48DB4-B675-43D2-9F16-DFD738936C02}"/>
    <cellStyle name="Normal 7 5 35" xfId="46127" xr:uid="{2276BE93-99B1-42B9-B3CE-D877773391F8}"/>
    <cellStyle name="Normal 7 5 36" xfId="15656" xr:uid="{F28F06EC-70E1-4419-B9B4-A91196BFB410}"/>
    <cellStyle name="Normal 7 5 37" xfId="37740" xr:uid="{6DE1B477-D1C9-4DA4-B1F8-41F99B0FA13C}"/>
    <cellStyle name="Normal 7 5 38" xfId="47136" xr:uid="{A5CC53C9-E949-407F-8579-4FE4772EC65D}"/>
    <cellStyle name="Normal 7 5 39" xfId="15251" xr:uid="{648D0AF3-8C27-47C8-B072-607C20CB588E}"/>
    <cellStyle name="Normal 7 5 4" xfId="12570" xr:uid="{00000000-0005-0000-0000-00007C230000}"/>
    <cellStyle name="Normal-- 7 5 4" xfId="16002" xr:uid="{F4ABF8CB-1BBC-4CFE-BE15-C77092013C99}"/>
    <cellStyle name="Normal 7 5 4 2" xfId="23700" xr:uid="{E6FB6529-4DFF-4846-8D1A-6425F4D695F6}"/>
    <cellStyle name="Normal 7 5 4 3" xfId="18715" xr:uid="{86D04995-BB07-452D-A276-1471E62FD6B7}"/>
    <cellStyle name="Normal 7 5 4 4" xfId="45041" xr:uid="{401DBDE8-7025-441C-8F28-EE32CB1A4DE3}"/>
    <cellStyle name="Normal 7 5 4 5" xfId="46780" xr:uid="{32AE6736-13F2-48C5-A0EE-33D6F9B36A32}"/>
    <cellStyle name="Normal 7 5 4 6" xfId="47286" xr:uid="{26E4725E-3680-4D52-8063-C9C01B97E48F}"/>
    <cellStyle name="Normal 7 5 4 7" xfId="47072" xr:uid="{8D56EC53-BEE3-4263-89F0-3B1661102467}"/>
    <cellStyle name="Normal 7 5 4 8" xfId="48482" xr:uid="{E9C2D67C-B42F-4F49-88B3-E8106E80F61A}"/>
    <cellStyle name="Normal 7 5 4 9" xfId="49990" xr:uid="{4A91FB1C-8229-48D3-82DE-1906B984E296}"/>
    <cellStyle name="Normal 7 5 40" xfId="47301" xr:uid="{6063FA91-4E42-4C80-BEB8-B9FAEF266338}"/>
    <cellStyle name="Normal 7 5 5" xfId="8689" xr:uid="{00000000-0005-0000-0000-0000A0230000}"/>
    <cellStyle name="Normal-- 7 5 5" xfId="47126" xr:uid="{981C07AF-E479-4B89-B71A-DE25CC320111}"/>
    <cellStyle name="Normal 7 5 5 2" xfId="24535" xr:uid="{DF82749F-8DE8-4724-B4B2-3F441845AFCF}"/>
    <cellStyle name="Normal 7 5 5 3" xfId="18178" xr:uid="{44A3AD31-3BF5-4B7A-828D-30605CDEC838}"/>
    <cellStyle name="Normal 7 5 5 4" xfId="41392" xr:uid="{2ED213B8-0CF1-4E72-911B-8799185741A3}"/>
    <cellStyle name="Normal 7 5 5 5" xfId="46579" xr:uid="{4467A911-BD22-4733-8725-16C49CF1A597}"/>
    <cellStyle name="Normal 7 5 5 6" xfId="40322" xr:uid="{75115EAD-872F-4FA6-9949-643A5F39E53E}"/>
    <cellStyle name="Normal 7 5 5 7" xfId="40579" xr:uid="{FF59E349-1745-4665-B064-F59ED5E24C50}"/>
    <cellStyle name="Normal 7 5 5 8" xfId="46494" xr:uid="{D8477BD8-5255-441F-87DA-4F3C6242FA98}"/>
    <cellStyle name="Normal 7 5 6" xfId="12588" xr:uid="{00000000-0005-0000-0000-0000C8230000}"/>
    <cellStyle name="Normal-- 7 5 6" xfId="48276" xr:uid="{FC1FBC64-175D-4F3B-882E-8A9338893AAC}"/>
    <cellStyle name="Normal 7 5 6 2" xfId="17417" xr:uid="{508E3788-2BC8-4484-AB4C-744AF642C29B}"/>
    <cellStyle name="Normal 7 5 6 3" xfId="45059" xr:uid="{DB207CD5-CF62-4D7A-ACC9-C626D4D9FCCB}"/>
    <cellStyle name="Normal 7 5 6 4" xfId="15014" xr:uid="{0085435F-CFF9-4E58-BE7F-3F8C6EB1CB00}"/>
    <cellStyle name="Normal 7 5 6 5" xfId="48711" xr:uid="{4AE8F7FC-9230-4BAE-8FF4-052486E83EC8}"/>
    <cellStyle name="Normal 7 5 6 6" xfId="49997" xr:uid="{5AB03582-35B7-4E6C-B483-8DB24E3CAD23}"/>
    <cellStyle name="Normal 7 5 7" xfId="8722" xr:uid="{00000000-0005-0000-0000-0000F4230000}"/>
    <cellStyle name="Normal-- 7 5 7" xfId="15421" xr:uid="{D1ED2936-37E6-4307-A3F7-4FFA60E954DB}"/>
    <cellStyle name="Normal 7 5 7 2" xfId="41414" xr:uid="{EDD01728-3388-4CDF-B82C-72C1D3F4E20D}"/>
    <cellStyle name="Normal 7 5 7 3" xfId="15229" xr:uid="{9C05BB02-30E9-48EE-9798-D859CCBFEFD8}"/>
    <cellStyle name="Normal 7 5 7 4" xfId="47423" xr:uid="{5A71B7CC-5828-4F50-8A39-F39655112B1E}"/>
    <cellStyle name="Normal 7 5 8" xfId="12617" xr:uid="{00000000-0005-0000-0000-000025240000}"/>
    <cellStyle name="Normal-- 7 5 8" xfId="15420" xr:uid="{012C4ED9-7B9C-4333-B422-25D4C5BE26B6}"/>
    <cellStyle name="Normal 7 5 8 2" xfId="45088" xr:uid="{3035D9A7-D318-49BE-ABD1-2FD0C618471A}"/>
    <cellStyle name="Normal 7 5 8 3" xfId="50011" xr:uid="{78298481-3BD0-4579-9BEF-6023EC03B548}"/>
    <cellStyle name="Normal 7 5 9" xfId="8761" xr:uid="{00000000-0005-0000-0000-00005A240000}"/>
    <cellStyle name="Normal-- 7 5 9" xfId="49976" xr:uid="{DF30964E-2994-4374-ADCF-16A67181E386}"/>
    <cellStyle name="Normal 7 5 9 2" xfId="41442" xr:uid="{19280A15-E74A-4CC7-A7ED-ACF4A8E2CFF9}"/>
    <cellStyle name="Normal 7 50" xfId="8707" xr:uid="{00000000-0005-0000-0000-000053240000}"/>
    <cellStyle name="Normal 7 50 2" xfId="24181" xr:uid="{B7F184AC-D719-46FB-A9C8-E894C784BA00}"/>
    <cellStyle name="Normal 7 50 3" xfId="41403" xr:uid="{5E658579-EF2E-44A0-8FF8-64550A4F8B61}"/>
    <cellStyle name="Normal 7 51" xfId="12607" xr:uid="{00000000-0005-0000-0000-00008B240000}"/>
    <cellStyle name="Normal 7 51 2" xfId="23968" xr:uid="{D0559583-1E44-4E0A-B606-511E38C8010E}"/>
    <cellStyle name="Normal 7 51 3" xfId="45078" xr:uid="{7F8CD667-14C8-4D12-A6B5-C0650585C36C}"/>
    <cellStyle name="Normal 7 52" xfId="8754" xr:uid="{00000000-0005-0000-0000-0000C7240000}"/>
    <cellStyle name="Normal 7 52 2" xfId="24622" xr:uid="{1D8461BA-6FA5-4800-842B-8B6158974527}"/>
    <cellStyle name="Normal 7 52 3" xfId="41435" xr:uid="{5BA09323-0CD1-48C1-962D-ECED4D76F54F}"/>
    <cellStyle name="Normal 7 53" xfId="12639" xr:uid="{00000000-0005-0000-0000-000007250000}"/>
    <cellStyle name="Normal 7 53 2" xfId="24697" xr:uid="{BDCD17E2-ED86-4953-9A6B-A03A0878843B}"/>
    <cellStyle name="Normal 7 53 3" xfId="45110" xr:uid="{ED1954C2-053C-4F2B-A9A5-E1B9D560FC68}"/>
    <cellStyle name="Normal 7 54" xfId="8818" xr:uid="{00000000-0005-0000-0000-00004B250000}"/>
    <cellStyle name="Normal 7 54 2" xfId="24104" xr:uid="{6DB3EC3F-34EA-4F08-8E71-2255EFD00467}"/>
    <cellStyle name="Normal 7 54 3" xfId="41482" xr:uid="{97A222CD-DAC0-4A3A-B70F-B90E288BC083}"/>
    <cellStyle name="Normal 7 55" xfId="12685" xr:uid="{00000000-0005-0000-0000-000093250000}"/>
    <cellStyle name="Normal 7 55 2" xfId="24218" xr:uid="{BDF7CDDA-4A9C-404E-8F86-3329D0A4F154}"/>
    <cellStyle name="Normal 7 55 3" xfId="45156" xr:uid="{C3EFC8E2-3DFD-4D7E-9E67-79B658FE9465}"/>
    <cellStyle name="Normal 7 56" xfId="8913" xr:uid="{00000000-0005-0000-0000-0000DF250000}"/>
    <cellStyle name="Normal 7 56 2" xfId="25343" xr:uid="{F23CC439-4968-4A24-903B-D9B8CD565C0D}"/>
    <cellStyle name="Normal 7 56 3" xfId="41558" xr:uid="{691342A4-D558-4544-9C5B-0940378BB843}"/>
    <cellStyle name="Normal 7 57" xfId="12738" xr:uid="{00000000-0005-0000-0000-00002F260000}"/>
    <cellStyle name="Normal 7 57 2" xfId="25225" xr:uid="{2A0B16F4-7DFE-4485-892B-23EAC8BB10FA}"/>
    <cellStyle name="Normal 7 57 3" xfId="45209" xr:uid="{06C26825-A3EF-412A-96E9-8FED7DF38456}"/>
    <cellStyle name="Normal 7 58" xfId="8998" xr:uid="{00000000-0005-0000-0000-000083260000}"/>
    <cellStyle name="Normal 7 58 2" xfId="24046" xr:uid="{F9753F6B-7AA6-4D41-B318-D74C580753C5}"/>
    <cellStyle name="Normal 7 58 3" xfId="41625" xr:uid="{629F0A58-029A-488C-B128-04A599D8A61A}"/>
    <cellStyle name="Normal 7 59" xfId="12780" xr:uid="{00000000-0005-0000-0000-0000DB260000}"/>
    <cellStyle name="Normal 7 59 2" xfId="24237" xr:uid="{8C60D96C-EA0C-4D4B-B390-67A44F3C8F89}"/>
    <cellStyle name="Normal 7 59 3" xfId="45251" xr:uid="{C84A7E6C-BEDF-4440-AA4E-D2B3CED6A2E3}"/>
    <cellStyle name="Normal 7 6" xfId="4705" xr:uid="{00000000-0005-0000-0000-000084120000}"/>
    <cellStyle name="Normal-- 7 6" xfId="8627" xr:uid="{00000000-0005-0000-0000-000058230000}"/>
    <cellStyle name="Normal 7 6 10" xfId="8813" xr:uid="{00000000-0005-0000-0000-0000D1240000}"/>
    <cellStyle name="Normal 7 6 10 2" xfId="41477" xr:uid="{5BDF7AAA-C0A3-4DC4-AF94-5A1D22ED03C3}"/>
    <cellStyle name="Normal 7 6 11" xfId="12673" xr:uid="{00000000-0005-0000-0000-000012250000}"/>
    <cellStyle name="Normal 7 6 11 2" xfId="45144" xr:uid="{2228F187-1519-4F81-AC61-3ED8E6D37F51}"/>
    <cellStyle name="Normal 7 6 12" xfId="8876" xr:uid="{00000000-0005-0000-0000-000057250000}"/>
    <cellStyle name="Normal 7 6 12 2" xfId="41524" xr:uid="{1AFEB7C3-87C3-4391-BCF6-CC9FCB99AEB0}"/>
    <cellStyle name="Normal 7 6 13" xfId="12724" xr:uid="{00000000-0005-0000-0000-0000A0250000}"/>
    <cellStyle name="Normal 7 6 13 2" xfId="45195" xr:uid="{81E5C5FA-AA3D-445C-A375-0C88DB6AEC66}"/>
    <cellStyle name="Normal 7 6 14" xfId="8984" xr:uid="{00000000-0005-0000-0000-0000ED250000}"/>
    <cellStyle name="Normal 7 6 14 2" xfId="41618" xr:uid="{18F109FF-46D4-47F9-8991-D9FD8DCC6CCA}"/>
    <cellStyle name="Normal 7 6 15" xfId="12776" xr:uid="{00000000-0005-0000-0000-00003E260000}"/>
    <cellStyle name="Normal 7 6 15 2" xfId="45247" xr:uid="{D2F4EBC6-5AFE-46A1-B240-B3E91A63BBD0}"/>
    <cellStyle name="Normal 7 6 16" xfId="9061" xr:uid="{00000000-0005-0000-0000-000093260000}"/>
    <cellStyle name="Normal 7 6 16 2" xfId="41672" xr:uid="{25F43C95-3FF0-4379-8D8F-3B8AE132AE81}"/>
    <cellStyle name="Normal 7 6 17" xfId="12821" xr:uid="{00000000-0005-0000-0000-0000EC260000}"/>
    <cellStyle name="Normal 7 6 17 2" xfId="45292" xr:uid="{0BADDBCE-4222-49FF-B28C-0D8380BD653D}"/>
    <cellStyle name="Normal 7 6 18" xfId="9150" xr:uid="{00000000-0005-0000-0000-000049270000}"/>
    <cellStyle name="Normal 7 6 18 2" xfId="41744" xr:uid="{F2A9C0EB-3C35-487E-99D1-B68BAB6C4076}"/>
    <cellStyle name="Normal 7 6 19" xfId="12869" xr:uid="{00000000-0005-0000-0000-0000AA270000}"/>
    <cellStyle name="Normal 7 6 19 2" xfId="45340" xr:uid="{59416559-C181-4FE0-801A-DC9A046BDAAB}"/>
    <cellStyle name="Normal 7 6 2" xfId="10230" xr:uid="{00000000-0005-0000-0000-0000D11F0000}"/>
    <cellStyle name="Normal-- 7 6 2" xfId="41347" xr:uid="{93AFC6FF-6542-42EB-9662-697B6F854A2F}"/>
    <cellStyle name="Normal 7 6 2 10" xfId="47107" xr:uid="{15F98D05-CB63-4FC3-9539-725E1355A0DA}"/>
    <cellStyle name="Normal 7 6 2 11" xfId="49276" xr:uid="{969A8CEB-381E-4287-9F8C-A028B37E2056}"/>
    <cellStyle name="Normal 7 6 2 2" xfId="18512" xr:uid="{B78F83F0-4A66-4D84-A13A-58000D52DE71}"/>
    <cellStyle name="Normal 7 6 2 3" xfId="17721" xr:uid="{4B1033B6-22DB-49C9-881D-201483E21CEA}"/>
    <cellStyle name="Normal 7 6 2 4" xfId="42719" xr:uid="{722BB0ED-A1CF-4275-991C-721A351209F3}"/>
    <cellStyle name="Normal 7 6 2 5" xfId="47535" xr:uid="{F9D617C6-C7AF-4EE5-A59D-857597CE759B}"/>
    <cellStyle name="Normal 7 6 2 6" xfId="37880" xr:uid="{FF573D6A-6856-4F9F-91A1-3CCA6F1DAAE7}"/>
    <cellStyle name="Normal 7 6 2 7" xfId="46834" xr:uid="{E5D172B3-3709-42B4-BBA0-3622F1CEEFAA}"/>
    <cellStyle name="Normal 7 6 2 8" xfId="47074" xr:uid="{5FAB80B9-28AA-4356-8F2F-0B4CDE4F2243}"/>
    <cellStyle name="Normal 7 6 2 9" xfId="47121" xr:uid="{20F1062E-25D3-4830-897A-73B15804E867}"/>
    <cellStyle name="Normal 7 6 20" xfId="7986" xr:uid="{00000000-0005-0000-0000-0000F60E0000}"/>
    <cellStyle name="Normal 7 6 21" xfId="13262" xr:uid="{00000000-0005-0000-0000-0000D1300000}"/>
    <cellStyle name="Normal 7 6 21 2" xfId="45726" xr:uid="{9DF549A4-ABB5-4996-B990-31A19ED06F44}"/>
    <cellStyle name="Normal 7 6 22" xfId="11379" xr:uid="{00000000-0005-0000-0000-00003E310000}"/>
    <cellStyle name="Normal 7 6 22 2" xfId="43868" xr:uid="{DC0C2113-88B5-48EB-A516-EF16216FF82A}"/>
    <cellStyle name="Normal 7 6 23" xfId="13329" xr:uid="{00000000-0005-0000-0000-0000AF310000}"/>
    <cellStyle name="Normal 7 6 23 2" xfId="45793" xr:uid="{7970B258-B611-4EC7-B3B7-4AB1AD6B09FA}"/>
    <cellStyle name="Normal 7 6 24" xfId="11306" xr:uid="{00000000-0005-0000-0000-000024320000}"/>
    <cellStyle name="Normal 7 6 24 2" xfId="43795" xr:uid="{8FF8D4F3-AF91-49E9-A429-5C1E0122CCFC}"/>
    <cellStyle name="Normal 7 6 25" xfId="13402" xr:uid="{00000000-0005-0000-0000-00009D320000}"/>
    <cellStyle name="Normal 7 6 25 2" xfId="45866" xr:uid="{47E7FAD1-4222-49D8-9E8D-BF935B84D085}"/>
    <cellStyle name="Normal 7 6 26" xfId="11221" xr:uid="{00000000-0005-0000-0000-00001A330000}"/>
    <cellStyle name="Normal 7 6 26 2" xfId="43710" xr:uid="{98F82CA0-C0E9-44E9-9812-1BE8A0B6738F}"/>
    <cellStyle name="Normal 7 6 27" xfId="13476" xr:uid="{00000000-0005-0000-0000-00009B330000}"/>
    <cellStyle name="Normal 7 6 27 2" xfId="45940" xr:uid="{8BACB3F5-438B-4A04-A1DE-D537C4FD5725}"/>
    <cellStyle name="Normal 7 6 28" xfId="11158" xr:uid="{00000000-0005-0000-0000-000020340000}"/>
    <cellStyle name="Normal 7 6 28 2" xfId="43647" xr:uid="{6C76F337-5762-4608-B703-6B7B11D84213}"/>
    <cellStyle name="Normal 7 6 29" xfId="13543" xr:uid="{00000000-0005-0000-0000-0000A9340000}"/>
    <cellStyle name="Normal 7 6 29 2" xfId="46007" xr:uid="{BDF4B52B-D923-4277-B2C4-6EFA32C8BB66}"/>
    <cellStyle name="Normal 7 6 3" xfId="12571" xr:uid="{00000000-0005-0000-0000-00007D230000}"/>
    <cellStyle name="Normal-- 7 6 3" xfId="46928" xr:uid="{6A3FDF01-1521-4770-BE69-16791401EB2E}"/>
    <cellStyle name="Normal 7 6 3 10" xfId="49991" xr:uid="{133AE530-5A4A-413C-9446-BE099281F3DC}"/>
    <cellStyle name="Normal 7 6 3 2" xfId="23701" xr:uid="{064128A7-0A1F-48E0-8644-E6D89F68943E}"/>
    <cellStyle name="Normal 7 6 3 3" xfId="18684" xr:uid="{467FF179-C299-4809-A2BD-EC09A54F17E0}"/>
    <cellStyle name="Normal 7 6 3 4" xfId="45042" xr:uid="{A551A5BB-FBEB-4220-B392-60731DE96085}"/>
    <cellStyle name="Normal 7 6 3 5" xfId="15986" xr:uid="{C0C57348-F03C-4E1B-A0F4-09389BAD42ED}"/>
    <cellStyle name="Normal 7 6 3 6" xfId="48253" xr:uid="{860DF513-692A-459D-B3CE-C0554429EC9A}"/>
    <cellStyle name="Normal 7 6 3 7" xfId="48159" xr:uid="{F023664D-491A-4307-B232-6EE73056826E}"/>
    <cellStyle name="Normal 7 6 3 8" xfId="41072" xr:uid="{712FC030-2802-4F0E-9D9E-5C4CB8155B04}"/>
    <cellStyle name="Normal 7 6 3 9" xfId="14162" xr:uid="{879E9F04-7FA9-4D1E-9C4F-87ABCFA9547B}"/>
    <cellStyle name="Normal 7 6 30" xfId="11089" xr:uid="{00000000-0005-0000-0000-000036350000}"/>
    <cellStyle name="Normal 7 6 30 2" xfId="43578" xr:uid="{3D33A7AE-42A6-4C02-962D-C17B1A99ED07}"/>
    <cellStyle name="Normal 7 6 31" xfId="16091" xr:uid="{CA6F4A0A-B72B-45A8-8A35-649FDA7AC51D}"/>
    <cellStyle name="Normal 7 6 32" xfId="38743" xr:uid="{5D235E23-FCCD-478E-8D38-D6023A05EE53}"/>
    <cellStyle name="Normal 7 6 33" xfId="15363" xr:uid="{B6C0046F-3AA6-4D1A-B597-6E8D4062FB81}"/>
    <cellStyle name="Normal 7 6 34" xfId="47412" xr:uid="{E5FAB6FE-3938-485D-A418-52EDDD0EEFB0}"/>
    <cellStyle name="Normal 7 6 35" xfId="37811" xr:uid="{048F6E1A-5616-406C-A6F4-00869E80329E}"/>
    <cellStyle name="Normal 7 6 36" xfId="40314" xr:uid="{06766FDC-7902-49EA-81B6-9685E25472B7}"/>
    <cellStyle name="Normal 7 6 37" xfId="46773" xr:uid="{80AA87EE-6876-4DE1-9171-FA27EA4FCEAD}"/>
    <cellStyle name="Normal 7 6 38" xfId="40956" xr:uid="{8F5DF192-B9D5-4104-B8AD-0AA88819F07F}"/>
    <cellStyle name="Normal 7 6 39" xfId="48445" xr:uid="{B6CF0F75-4646-4F4F-89E6-550C94A9DA42}"/>
    <cellStyle name="Normal 7 6 4" xfId="8690" xr:uid="{00000000-0005-0000-0000-0000A1230000}"/>
    <cellStyle name="Normal-- 7 6 4" xfId="13767" xr:uid="{89292B31-7BC2-4EF3-984F-31434E0BBE18}"/>
    <cellStyle name="Normal 7 6 4 2" xfId="24564" xr:uid="{9BFA71BC-3F9B-4BE3-883E-76A399F7D784}"/>
    <cellStyle name="Normal 7 6 4 3" xfId="18179" xr:uid="{ED2E3531-F279-4298-B723-E5B1C6467B9C}"/>
    <cellStyle name="Normal 7 6 4 4" xfId="41393" xr:uid="{63E5749F-2D48-47BC-AAB3-4390974CC920}"/>
    <cellStyle name="Normal 7 6 4 5" xfId="40074" xr:uid="{12AC949D-B2F7-4ADF-A380-65DDB5C0F810}"/>
    <cellStyle name="Normal 7 6 4 6" xfId="15798" xr:uid="{9EACF2B8-B42E-45FB-9EC7-80D27558671E}"/>
    <cellStyle name="Normal 7 6 4 7" xfId="37956" xr:uid="{331802FF-8987-4D19-8AB7-FD6B41DC5350}"/>
    <cellStyle name="Normal 7 6 4 8" xfId="15533" xr:uid="{D2D16A41-1A87-460B-BC10-F15A2F11E792}"/>
    <cellStyle name="Normal 7 6 4 9" xfId="15154" xr:uid="{C4D8CF92-0D3A-40F3-AB58-59019AB63A9D}"/>
    <cellStyle name="Normal 7 6 5" xfId="12589" xr:uid="{00000000-0005-0000-0000-0000C9230000}"/>
    <cellStyle name="Normal-- 7 6 5" xfId="40335" xr:uid="{DC49D742-369C-4AA7-80E6-A81CFE5E197F}"/>
    <cellStyle name="Normal 7 6 5 2" xfId="17458" xr:uid="{515E2EB0-07C8-4BD6-998D-CF013C67508F}"/>
    <cellStyle name="Normal 7 6 5 3" xfId="45060" xr:uid="{8E2905D0-1901-4C37-96EC-A09E6286A84E}"/>
    <cellStyle name="Normal 7 6 5 4" xfId="37976" xr:uid="{E0C66BE1-30E8-41EA-9F4D-4F47F9C7EDB0}"/>
    <cellStyle name="Normal 7 6 5 5" xfId="40680" xr:uid="{681C124E-37F7-499D-A77A-84D20567CCB7}"/>
    <cellStyle name="Normal 7 6 5 6" xfId="48847" xr:uid="{D41AC718-8F06-4349-97A2-9AFB73AF4691}"/>
    <cellStyle name="Normal 7 6 5 7" xfId="49998" xr:uid="{30D9FDDA-1E85-4537-B8B7-E72A9B479155}"/>
    <cellStyle name="Normal 7 6 6" xfId="8723" xr:uid="{00000000-0005-0000-0000-0000F5230000}"/>
    <cellStyle name="Normal-- 7 6 6" xfId="48121" xr:uid="{779C6F6D-4B47-4DA6-8F91-57077B554902}"/>
    <cellStyle name="Normal 7 6 6 2" xfId="41415" xr:uid="{C09408F7-9ABF-4D25-BA37-88C6E9184DCF}"/>
    <cellStyle name="Normal 7 6 6 3" xfId="48947" xr:uid="{CBA06BD4-1AFB-473B-9B8E-022CB404C15E}"/>
    <cellStyle name="Normal 7 6 6 4" xfId="47362" xr:uid="{1EAC9560-0E5C-42E7-8A10-2BD5C48867F6}"/>
    <cellStyle name="Normal 7 6 6 5" xfId="40541" xr:uid="{7517AE02-E895-4A09-86B1-E3005FC7F68D}"/>
    <cellStyle name="Normal 7 6 7" xfId="12618" xr:uid="{00000000-0005-0000-0000-000026240000}"/>
    <cellStyle name="Normal-- 7 6 7" xfId="46348" xr:uid="{2F890FB3-FBE5-4736-98A2-358144056FD4}"/>
    <cellStyle name="Normal 7 6 7 2" xfId="45089" xr:uid="{208C5258-503B-463A-890B-5A8BFAEBB446}"/>
    <cellStyle name="Normal 7 6 7 3" xfId="47044" xr:uid="{1BDB255C-B6C1-4AC8-8CE5-A7CFF3CAB164}"/>
    <cellStyle name="Normal 7 6 7 4" xfId="50012" xr:uid="{C16C0116-3EA7-4962-AA28-E33CC1D43574}"/>
    <cellStyle name="Normal 7 6 8" xfId="8762" xr:uid="{00000000-0005-0000-0000-00005B240000}"/>
    <cellStyle name="Normal-- 7 6 8" xfId="48996" xr:uid="{E3EBC748-3E05-4CB6-B21A-FE90436B2DBC}"/>
    <cellStyle name="Normal 7 6 8 2" xfId="41443" xr:uid="{07F3321C-B4B3-4385-9857-74937517A3E7}"/>
    <cellStyle name="Normal 7 6 8 3" xfId="48893" xr:uid="{9C915EB0-B310-4B1B-ABF8-044FD74CA156}"/>
    <cellStyle name="Normal 7 6 9" xfId="12643" xr:uid="{00000000-0005-0000-0000-000094240000}"/>
    <cellStyle name="Normal-- 7 6 9" xfId="46595" xr:uid="{E340540C-4DA4-4DAD-B5BF-85FF9AA07727}"/>
    <cellStyle name="Normal 7 6 9 2" xfId="45114" xr:uid="{F1F0AA16-C129-4DE0-9988-AA5F47FC5EFC}"/>
    <cellStyle name="Normal 7 60" xfId="9085" xr:uid="{00000000-0005-0000-0000-000037270000}"/>
    <cellStyle name="Normal 7 60 2" xfId="24969" xr:uid="{65CDDAAF-25EB-4028-8A0D-F04AEE26BA28}"/>
    <cellStyle name="Normal 7 60 3" xfId="41688" xr:uid="{90702EE3-2AA1-41B7-A231-B327721901D4}"/>
    <cellStyle name="Normal 7 61" xfId="12827" xr:uid="{00000000-0005-0000-0000-000097270000}"/>
    <cellStyle name="Normal 7 61 2" xfId="25042" xr:uid="{74BB4F3A-A632-4CFE-B308-E69DEB6046E4}"/>
    <cellStyle name="Normal 7 61 3" xfId="45298" xr:uid="{2CCFCD90-A75C-4C8B-A94C-CD86CDD626DF}"/>
    <cellStyle name="Normal 7 62" xfId="12963" xr:uid="{00000000-0005-0000-0000-000007000000}"/>
    <cellStyle name="Normal 7 62 2" xfId="25304" xr:uid="{EBAD9DCD-8A4C-45E0-B984-C7EEF42AC00B}"/>
    <cellStyle name="Normal 7 63" xfId="13232" xr:uid="{00000000-0005-0000-0000-0000BC300000}"/>
    <cellStyle name="Normal 7 63 2" xfId="24240" xr:uid="{9CD7986B-A324-42C1-AB6E-2BDE9BF8DE0A}"/>
    <cellStyle name="Normal 7 63 3" xfId="45696" xr:uid="{1A63B05C-560D-48AC-8D87-DBFB38EF5253}"/>
    <cellStyle name="Normal 7 64" xfId="11406" xr:uid="{00000000-0005-0000-0000-000028310000}"/>
    <cellStyle name="Normal 7 64 2" xfId="25317" xr:uid="{8924DC63-4B5B-4DF0-9730-46B766D6FE09}"/>
    <cellStyle name="Normal 7 64 3" xfId="43894" xr:uid="{2EAE4974-DF04-4383-8950-51042A492A9C}"/>
    <cellStyle name="Normal 7 65" xfId="13282" xr:uid="{00000000-0005-0000-0000-000098310000}"/>
    <cellStyle name="Normal 7 65 2" xfId="25334" xr:uid="{156CD67C-F455-4D88-9F94-5640487A11A1}"/>
    <cellStyle name="Normal 7 65 3" xfId="45746" xr:uid="{DB4B7197-7029-44D9-819F-9014296710E8}"/>
    <cellStyle name="Normal 7 66" xfId="11357" xr:uid="{00000000-0005-0000-0000-00000C320000}"/>
    <cellStyle name="Normal 7 66 2" xfId="24025" xr:uid="{1BFFD838-1179-4B68-933C-D4622016AB88}"/>
    <cellStyle name="Normal 7 66 3" xfId="43846" xr:uid="{64E933EF-7219-4981-A0A4-29242BA9845E}"/>
    <cellStyle name="Normal 7 67" xfId="13354" xr:uid="{00000000-0005-0000-0000-000084320000}"/>
    <cellStyle name="Normal 7 67 2" xfId="24016" xr:uid="{00BB098B-243B-4587-8304-E6C331FE24AA}"/>
    <cellStyle name="Normal 7 67 3" xfId="45818" xr:uid="{9892F8FF-1DFD-44BF-B26E-76CC04756EF2}"/>
    <cellStyle name="Normal 7 68" xfId="11278" xr:uid="{00000000-0005-0000-0000-000000330000}"/>
    <cellStyle name="Normal 7 68 2" xfId="24021" xr:uid="{3F4C7E5A-E8A7-4C53-BCC7-234299535FF2}"/>
    <cellStyle name="Normal 7 68 3" xfId="43767" xr:uid="{09911978-DE46-4C90-BC96-CE90E083F860}"/>
    <cellStyle name="Normal 7 69" xfId="13431" xr:uid="{00000000-0005-0000-0000-000080330000}"/>
    <cellStyle name="Normal 7 69 2" xfId="24831" xr:uid="{5A936ED1-CD68-4C60-BA78-31EF61477A8E}"/>
    <cellStyle name="Normal 7 69 3" xfId="45895" xr:uid="{CA1AAA9B-9468-4836-AAA7-59CF8E6B7203}"/>
    <cellStyle name="Normal 7 7" xfId="4706" xr:uid="{00000000-0005-0000-0000-000085120000}"/>
    <cellStyle name="Normal-- 7 7" xfId="12535" xr:uid="{00000000-0005-0000-0000-000078230000}"/>
    <cellStyle name="Normal 7 7 10" xfId="12674" xr:uid="{00000000-0005-0000-0000-000013250000}"/>
    <cellStyle name="Normal 7 7 10 2" xfId="45145" xr:uid="{CEB52557-04F7-40C1-B9D6-1CCA7A4422CB}"/>
    <cellStyle name="Normal 7 7 11" xfId="8885" xr:uid="{00000000-0005-0000-0000-000058250000}"/>
    <cellStyle name="Normal 7 7 11 2" xfId="41533" xr:uid="{430DE051-959D-4017-82C6-FD613444B174}"/>
    <cellStyle name="Normal 7 7 12" xfId="12725" xr:uid="{00000000-0005-0000-0000-0000A1250000}"/>
    <cellStyle name="Normal 7 7 12 2" xfId="45196" xr:uid="{40A327B4-DC01-4979-B15E-EC787C77E9E7}"/>
    <cellStyle name="Normal 7 7 13" xfId="8985" xr:uid="{00000000-0005-0000-0000-0000EE250000}"/>
    <cellStyle name="Normal 7 7 13 2" xfId="41619" xr:uid="{1F322A84-35D6-490B-B4D0-A4071768E215}"/>
    <cellStyle name="Normal 7 7 14" xfId="12777" xr:uid="{00000000-0005-0000-0000-00003F260000}"/>
    <cellStyle name="Normal 7 7 14 2" xfId="45248" xr:uid="{03A700CD-3CDD-4C11-A527-73287CAB6DA5}"/>
    <cellStyle name="Normal 7 7 15" xfId="9062" xr:uid="{00000000-0005-0000-0000-000094260000}"/>
    <cellStyle name="Normal 7 7 15 2" xfId="41673" xr:uid="{15CAB9CC-98E1-4EBB-A6FC-3D407CB96C36}"/>
    <cellStyle name="Normal 7 7 16" xfId="12822" xr:uid="{00000000-0005-0000-0000-0000ED260000}"/>
    <cellStyle name="Normal 7 7 16 2" xfId="45293" xr:uid="{D8E35870-DBFF-4160-9C48-426C82B7C30B}"/>
    <cellStyle name="Normal 7 7 17" xfId="9151" xr:uid="{00000000-0005-0000-0000-00004A270000}"/>
    <cellStyle name="Normal 7 7 17 2" xfId="41745" xr:uid="{3782B736-71D7-41CB-8F70-F8A2518F803A}"/>
    <cellStyle name="Normal 7 7 18" xfId="12870" xr:uid="{00000000-0005-0000-0000-0000AB270000}"/>
    <cellStyle name="Normal 7 7 18 2" xfId="45341" xr:uid="{39085604-473A-408D-8964-06B740A5DD75}"/>
    <cellStyle name="Normal 7 7 19" xfId="7987" xr:uid="{00000000-0005-0000-0000-0000F70E0000}"/>
    <cellStyle name="Normal 7 7 2" xfId="10231" xr:uid="{00000000-0005-0000-0000-0000D21F0000}"/>
    <cellStyle name="Normal-- 7 7 2" xfId="45006" xr:uid="{1C9663BD-DBB9-425E-891B-38A21BB64C3D}"/>
    <cellStyle name="Normal 7 7 2 10" xfId="16331" xr:uid="{1E01A278-A030-434B-AE0C-40F26F116FA7}"/>
    <cellStyle name="Normal 7 7 2 11" xfId="40418" xr:uid="{93C65061-394E-4810-893B-38E09B88B964}"/>
    <cellStyle name="Normal 7 7 2 2" xfId="18817" xr:uid="{C4A98615-F04D-47FA-9880-26CE221DE002}"/>
    <cellStyle name="Normal 7 7 2 3" xfId="17869" xr:uid="{1046DFEA-6FB4-4A3E-984E-F10B22FD438D}"/>
    <cellStyle name="Normal 7 7 2 4" xfId="42720" xr:uid="{D17BBF46-B77D-424B-890C-0C34F06B0DA2}"/>
    <cellStyle name="Normal 7 7 2 5" xfId="47536" xr:uid="{17449933-B95F-4C7C-9E98-FE9ED2D09068}"/>
    <cellStyle name="Normal 7 7 2 6" xfId="48197" xr:uid="{683A3178-299E-444D-98B6-6A1BC1F187FE}"/>
    <cellStyle name="Normal 7 7 2 7" xfId="40525" xr:uid="{69D979CD-811C-48A0-9F67-BEA48DC05381}"/>
    <cellStyle name="Normal 7 7 2 8" xfId="48769" xr:uid="{E3473702-878C-4F84-BB52-AA3F10A24141}"/>
    <cellStyle name="Normal 7 7 2 9" xfId="46467" xr:uid="{D58BE89F-1430-4725-938C-96F0393EEA0A}"/>
    <cellStyle name="Normal 7 7 20" xfId="13263" xr:uid="{00000000-0005-0000-0000-0000D2300000}"/>
    <cellStyle name="Normal 7 7 20 2" xfId="45727" xr:uid="{F9F7AA89-3652-43CE-89E4-A73E15734592}"/>
    <cellStyle name="Normal 7 7 21" xfId="11378" xr:uid="{00000000-0005-0000-0000-00003F310000}"/>
    <cellStyle name="Normal 7 7 21 2" xfId="43867" xr:uid="{440B1E43-29DA-4FBC-B8EA-28179C587F05}"/>
    <cellStyle name="Normal 7 7 22" xfId="13330" xr:uid="{00000000-0005-0000-0000-0000B0310000}"/>
    <cellStyle name="Normal 7 7 22 2" xfId="45794" xr:uid="{4B16E962-07BA-4E16-8A11-59AECDFA77D9}"/>
    <cellStyle name="Normal 7 7 23" xfId="11305" xr:uid="{00000000-0005-0000-0000-000025320000}"/>
    <cellStyle name="Normal 7 7 23 2" xfId="43794" xr:uid="{97665AC7-6BE6-48A8-889C-9F34C63D1B80}"/>
    <cellStyle name="Normal 7 7 24" xfId="13403" xr:uid="{00000000-0005-0000-0000-00009E320000}"/>
    <cellStyle name="Normal 7 7 24 2" xfId="45867" xr:uid="{04CF68A5-B00E-436B-BD90-EFF057578230}"/>
    <cellStyle name="Normal 7 7 25" xfId="11220" xr:uid="{00000000-0005-0000-0000-00001B330000}"/>
    <cellStyle name="Normal 7 7 25 2" xfId="43709" xr:uid="{7BE853EF-0A2C-4022-B9E7-17AD2F6DC48C}"/>
    <cellStyle name="Normal 7 7 26" xfId="13477" xr:uid="{00000000-0005-0000-0000-00009C330000}"/>
    <cellStyle name="Normal 7 7 26 2" xfId="45941" xr:uid="{0C01958B-3240-4D0A-BFEE-F2E811E9733F}"/>
    <cellStyle name="Normal 7 7 27" xfId="11157" xr:uid="{00000000-0005-0000-0000-000021340000}"/>
    <cellStyle name="Normal 7 7 27 2" xfId="43646" xr:uid="{0AD95AC1-6F95-4529-B327-15A207DCC179}"/>
    <cellStyle name="Normal 7 7 28" xfId="13544" xr:uid="{00000000-0005-0000-0000-0000AA340000}"/>
    <cellStyle name="Normal 7 7 28 2" xfId="46008" xr:uid="{9E5E54C2-D0D5-44B2-B2E5-327611D2EB76}"/>
    <cellStyle name="Normal 7 7 29" xfId="11088" xr:uid="{00000000-0005-0000-0000-000037350000}"/>
    <cellStyle name="Normal 7 7 29 2" xfId="43577" xr:uid="{A7918285-A852-43CD-BE9E-9C3F0D30ACDE}"/>
    <cellStyle name="Normal 7 7 3" xfId="8691" xr:uid="{00000000-0005-0000-0000-0000A2230000}"/>
    <cellStyle name="Normal-- 7 7 3" xfId="48367" xr:uid="{87DFC49C-516C-403B-B88A-30D0A3745F72}"/>
    <cellStyle name="Normal 7 7 3 10" xfId="46702" xr:uid="{057308F8-174D-4C69-B4E3-E35E8D0E9A04}"/>
    <cellStyle name="Normal 7 7 3 2" xfId="23702" xr:uid="{D7D15AD0-8B92-451C-B7F5-B12C480E468A}"/>
    <cellStyle name="Normal 7 7 3 3" xfId="18584" xr:uid="{7A3DA018-88C7-4B1D-A559-BF20CB6EBDDF}"/>
    <cellStyle name="Normal 7 7 3 4" xfId="41394" xr:uid="{E51EDAAE-531B-4755-A34B-D6FBDDDF6F30}"/>
    <cellStyle name="Normal 7 7 3 5" xfId="46616" xr:uid="{C160E230-B26D-4ED3-86F4-5009C4FF16DF}"/>
    <cellStyle name="Normal 7 7 3 6" xfId="14945" xr:uid="{4D4332C2-37DE-4D66-A0CC-33747269F3DA}"/>
    <cellStyle name="Normal 7 7 3 7" xfId="47171" xr:uid="{EAE44A71-F7DD-42C3-B405-4DD427083C40}"/>
    <cellStyle name="Normal 7 7 3 8" xfId="15917" xr:uid="{15D2EA59-E288-4610-9A01-FA4AB248F3A5}"/>
    <cellStyle name="Normal 7 7 3 9" xfId="46299" xr:uid="{C16D537A-D604-4D63-80E7-5D39AEBC399A}"/>
    <cellStyle name="Normal 7 7 30" xfId="16092" xr:uid="{EF5C2838-601F-4A76-8103-73A595BE59FF}"/>
    <cellStyle name="Normal 7 7 31" xfId="38744" xr:uid="{3B99816B-2CEC-43E6-9BB8-FEF0E3725BC2}"/>
    <cellStyle name="Normal 7 7 32" xfId="40375" xr:uid="{F64F7AB5-609A-4C4A-A7FD-1703690120A4}"/>
    <cellStyle name="Normal 7 7 33" xfId="15254" xr:uid="{4B46D1F1-2B80-4C47-9F01-8AFEE85CDB93}"/>
    <cellStyle name="Normal 7 7 34" xfId="46925" xr:uid="{58C9141B-E42D-45AB-8D3D-11B7DB1016F3}"/>
    <cellStyle name="Normal 7 7 35" xfId="48140" xr:uid="{7342C5F3-8113-42CA-ACF2-2A82AFCA354E}"/>
    <cellStyle name="Normal 7 7 36" xfId="48783" xr:uid="{5ACCCAAB-10F0-4BE9-8852-5C6042FBAABC}"/>
    <cellStyle name="Normal 7 7 37" xfId="47678" xr:uid="{D8D43F57-B395-47F0-96B0-16D2824667FE}"/>
    <cellStyle name="Normal 7 7 38" xfId="15073" xr:uid="{A81528C9-207A-49DD-ACE1-D75FB6A53099}"/>
    <cellStyle name="Normal 7 7 4" xfId="12591" xr:uid="{00000000-0005-0000-0000-0000CA230000}"/>
    <cellStyle name="Normal-- 7 7 4" xfId="41278" xr:uid="{950C59FD-9014-45B1-AE6C-059BDCE60C02}"/>
    <cellStyle name="Normal 7 7 4 2" xfId="24628" xr:uid="{55258174-2E40-4854-8B93-16930821E359}"/>
    <cellStyle name="Normal 7 7 4 3" xfId="18180" xr:uid="{EC79A57A-89E3-47EA-B418-F19EEF6ECC4D}"/>
    <cellStyle name="Normal 7 7 4 4" xfId="45062" xr:uid="{BA33FFBE-D351-46FD-9FFC-57662944CB1A}"/>
    <cellStyle name="Normal 7 7 4 5" xfId="40210" xr:uid="{FB91A687-4B7B-433E-8078-5321D59122AB}"/>
    <cellStyle name="Normal 7 7 4 6" xfId="46546" xr:uid="{B9EE0FC0-F563-4592-9E1A-01C5EB2AC380}"/>
    <cellStyle name="Normal 7 7 4 7" xfId="48520" xr:uid="{74EC6BBF-E62F-46EF-9A84-05031FBA0003}"/>
    <cellStyle name="Normal 7 7 4 8" xfId="47799" xr:uid="{B8CCA5F5-9018-4578-978B-B14909BB80E0}"/>
    <cellStyle name="Normal 7 7 4 9" xfId="50000" xr:uid="{7218ED5D-BC98-4EFA-89DB-D25BB59547E9}"/>
    <cellStyle name="Normal 7 7 5" xfId="8724" xr:uid="{00000000-0005-0000-0000-0000F6230000}"/>
    <cellStyle name="Normal-- 7 7 5" xfId="46765" xr:uid="{37D3F7E0-A428-4975-AC33-19C9833D9DEC}"/>
    <cellStyle name="Normal 7 7 5 2" xfId="17604" xr:uid="{5DB60B5A-62A1-4026-940E-40BB1C917F16}"/>
    <cellStyle name="Normal 7 7 5 3" xfId="41416" xr:uid="{A4627752-C48D-4756-9997-116B00722511}"/>
    <cellStyle name="Normal 7 7 5 4" xfId="47761" xr:uid="{CF1FFF37-3A0F-418B-908E-75E30B1A64CB}"/>
    <cellStyle name="Normal 7 7 5 5" xfId="38011" xr:uid="{A578EC8C-7B09-4EAA-AF3B-2644271419F6}"/>
    <cellStyle name="Normal 7 7 5 6" xfId="40934" xr:uid="{3A082868-6447-4589-BEBB-979B51626012}"/>
    <cellStyle name="Normal 7 7 5 7" xfId="48144" xr:uid="{35EB35EF-78C7-40FB-A9EB-0E34B821D5CF}"/>
    <cellStyle name="Normal 7 7 6" xfId="12619" xr:uid="{00000000-0005-0000-0000-000027240000}"/>
    <cellStyle name="Normal-- 7 7 6" xfId="47335" xr:uid="{206816F8-2E5D-4C4C-A2E2-68154CCBA4DB}"/>
    <cellStyle name="Normal 7 7 6 2" xfId="45090" xr:uid="{7F8B5685-5C2B-4248-B020-9FBFF9BF3BF5}"/>
    <cellStyle name="Normal 7 7 6 3" xfId="49436" xr:uid="{F8BC8FD0-68CE-432B-9E26-B4DDAFE06A01}"/>
    <cellStyle name="Normal 7 7 6 4" xfId="15641" xr:uid="{1144CF49-A780-448C-9523-9B04F0D3E9C6}"/>
    <cellStyle name="Normal 7 7 6 5" xfId="50013" xr:uid="{D566F8FB-C544-401B-8D6E-24BBD99B2D4A}"/>
    <cellStyle name="Normal 7 7 7" xfId="8763" xr:uid="{00000000-0005-0000-0000-00005C240000}"/>
    <cellStyle name="Normal-- 7 7 7" xfId="47160" xr:uid="{C230574E-049F-4F04-AD75-A9194BEE6FBF}"/>
    <cellStyle name="Normal 7 7 7 2" xfId="41444" xr:uid="{1E28CAA0-90C7-41A6-B595-B07E700B7CDB}"/>
    <cellStyle name="Normal 7 7 7 3" xfId="47106" xr:uid="{B9D2CA44-703E-411E-8B8C-C6BCB3E83068}"/>
    <cellStyle name="Normal 7 7 7 4" xfId="40694" xr:uid="{F176E0F3-88DF-49DB-BB06-1D73DB2314A0}"/>
    <cellStyle name="Normal 7 7 8" xfId="12644" xr:uid="{00000000-0005-0000-0000-000095240000}"/>
    <cellStyle name="Normal-- 7 7 8" xfId="40380" xr:uid="{B339602D-75F6-4E23-B524-6D6ECF0C7BCA}"/>
    <cellStyle name="Normal 7 7 8 2" xfId="45115" xr:uid="{F31036BB-CBF0-48E8-A58D-1FDB5078D01A}"/>
    <cellStyle name="Normal 7 7 8 3" xfId="50024" xr:uid="{E101DBD7-1CA0-4BF7-98E0-FA68863C76C6}"/>
    <cellStyle name="Normal 7 7 9" xfId="8814" xr:uid="{00000000-0005-0000-0000-0000D2240000}"/>
    <cellStyle name="Normal-- 7 7 9" xfId="49979" xr:uid="{2DE694B1-BD1E-451F-8864-1E42616C4EFB}"/>
    <cellStyle name="Normal 7 7 9 2" xfId="41478" xr:uid="{A9EA56B9-15B9-429A-9EBD-3B03FB00AB35}"/>
    <cellStyle name="Normal 7 70" xfId="11201" xr:uid="{00000000-0005-0000-0000-000004340000}"/>
    <cellStyle name="Normal 7 70 2" xfId="25751" xr:uid="{8781A199-5466-4801-AE7D-7BAC09397F69}"/>
    <cellStyle name="Normal 7 70 3" xfId="43690" xr:uid="{D943B660-5555-4372-B86D-AF930556426A}"/>
    <cellStyle name="Normal 7 71" xfId="13496" xr:uid="{00000000-0005-0000-0000-00008C340000}"/>
    <cellStyle name="Normal 7 71 2" xfId="45960" xr:uid="{A70CAA8C-4513-4EC6-A9FF-2BF22ADBDD92}"/>
    <cellStyle name="Normal 7 72" xfId="11137" xr:uid="{00000000-0005-0000-0000-000018350000}"/>
    <cellStyle name="Normal 7 72 2" xfId="43626" xr:uid="{36EE43B9-6E5F-4893-B576-72C0A003BA6E}"/>
    <cellStyle name="Normal 7 73" xfId="16057" xr:uid="{6A786D30-DE0F-47B4-AB52-43B4FAC82411}"/>
    <cellStyle name="Normal 7 74" xfId="38702" xr:uid="{39951212-FAB7-40A7-BF73-F5696CEA5F2E}"/>
    <cellStyle name="Normal 7 75" xfId="40398" xr:uid="{DA795530-EE08-462F-8377-7A47506914F1}"/>
    <cellStyle name="Normal 7 76" xfId="47420" xr:uid="{006C411C-849C-4404-A24B-76F119AD5B52}"/>
    <cellStyle name="Normal 7 77" xfId="46413" xr:uid="{C66F280A-7D35-4DBD-8249-E5FFF50C1A45}"/>
    <cellStyle name="Normal 7 78" xfId="48525" xr:uid="{CB78BCC0-EADC-4934-A593-FE2075EA14A4}"/>
    <cellStyle name="Normal 7 79" xfId="41359" xr:uid="{C5184CB5-18FA-4F9F-AE6C-7EDD47564E9D}"/>
    <cellStyle name="Normal 7 8" xfId="4707" xr:uid="{00000000-0005-0000-0000-000086120000}"/>
    <cellStyle name="Normal-- 7 8" xfId="8647" xr:uid="{00000000-0005-0000-0000-00009C230000}"/>
    <cellStyle name="Normal 7 8 10" xfId="8895" xr:uid="{00000000-0005-0000-0000-000059250000}"/>
    <cellStyle name="Normal 7 8 10 2" xfId="41543" xr:uid="{72CAABEB-88E0-4C14-BF36-177B2FEF4723}"/>
    <cellStyle name="Normal 7 8 11" xfId="12731" xr:uid="{00000000-0005-0000-0000-0000A2250000}"/>
    <cellStyle name="Normal 7 8 11 2" xfId="45202" xr:uid="{F818EB76-4798-4B79-A6ED-B82767E7EB74}"/>
    <cellStyle name="Normal 7 8 12" xfId="8987" xr:uid="{00000000-0005-0000-0000-0000EF250000}"/>
    <cellStyle name="Normal 7 8 12 2" xfId="41621" xr:uid="{4CB8B8BC-B706-43C7-9115-EAD1159715DD}"/>
    <cellStyle name="Normal 7 8 13" xfId="12778" xr:uid="{00000000-0005-0000-0000-000040260000}"/>
    <cellStyle name="Normal 7 8 13 2" xfId="45249" xr:uid="{79E2348E-CA5E-47E0-96BC-1804BACD0D18}"/>
    <cellStyle name="Normal 7 8 14" xfId="9063" xr:uid="{00000000-0005-0000-0000-000095260000}"/>
    <cellStyle name="Normal 7 8 14 2" xfId="41674" xr:uid="{630CFF48-F612-4563-9DF1-929D8A8DEF65}"/>
    <cellStyle name="Normal 7 8 15" xfId="12823" xr:uid="{00000000-0005-0000-0000-0000EE260000}"/>
    <cellStyle name="Normal 7 8 15 2" xfId="45294" xr:uid="{C607FB7B-CE41-4949-9CBB-5083C576295D}"/>
    <cellStyle name="Normal 7 8 16" xfId="9153" xr:uid="{00000000-0005-0000-0000-00004B270000}"/>
    <cellStyle name="Normal 7 8 16 2" xfId="41747" xr:uid="{969B6C01-666E-478B-8DC4-E72E8B5E1068}"/>
    <cellStyle name="Normal 7 8 17" xfId="12871" xr:uid="{00000000-0005-0000-0000-0000AC270000}"/>
    <cellStyle name="Normal 7 8 17 2" xfId="45342" xr:uid="{7D505889-0EEA-4EFD-A16D-F9179EA9F8B7}"/>
    <cellStyle name="Normal 7 8 18" xfId="7988" xr:uid="{00000000-0005-0000-0000-0000F80E0000}"/>
    <cellStyle name="Normal 7 8 19" xfId="13264" xr:uid="{00000000-0005-0000-0000-0000D3300000}"/>
    <cellStyle name="Normal 7 8 19 2" xfId="45728" xr:uid="{92157BAE-1EDD-426B-97EC-0907FDB8704B}"/>
    <cellStyle name="Normal 7 8 2" xfId="10232" xr:uid="{00000000-0005-0000-0000-0000D31F0000}"/>
    <cellStyle name="Normal-- 7 8 2" xfId="41358" xr:uid="{CDB67CD7-A7C7-4344-908B-1DBEBEEDE8CD}"/>
    <cellStyle name="Normal 7 8 2 10" xfId="48592" xr:uid="{7101A474-5527-4224-932E-72133249C460}"/>
    <cellStyle name="Normal 7 8 2 11" xfId="49290" xr:uid="{E23E3B15-912E-4FB2-BA71-EF7F3B0A1CF6}"/>
    <cellStyle name="Normal 7 8 2 2" xfId="23703" xr:uid="{85664160-8B99-4F3E-B561-274305586242}"/>
    <cellStyle name="Normal 7 8 2 3" xfId="18571" xr:uid="{4F59E735-5096-4AF0-8250-3EB284F73BEF}"/>
    <cellStyle name="Normal 7 8 2 4" xfId="42721" xr:uid="{071E7151-A4BD-4046-A8C0-FDE8FF357E99}"/>
    <cellStyle name="Normal 7 8 2 5" xfId="47537" xr:uid="{5DB95017-5FB3-4752-89B0-CB9E77DD9023}"/>
    <cellStyle name="Normal 7 8 2 6" xfId="46349" xr:uid="{36EF48F2-5BC6-4DFC-9CF5-68B3397E05BE}"/>
    <cellStyle name="Normal 7 8 2 7" xfId="15075" xr:uid="{027AB734-7A41-49B8-80A4-924136176106}"/>
    <cellStyle name="Normal 7 8 2 8" xfId="47862" xr:uid="{C2A67637-9116-4037-BBC6-9172990860B9}"/>
    <cellStyle name="Normal 7 8 2 9" xfId="48306" xr:uid="{B4BDBC29-0901-4F53-A47D-3F5C32795784}"/>
    <cellStyle name="Normal 7 8 20" xfId="11377" xr:uid="{00000000-0005-0000-0000-000040310000}"/>
    <cellStyle name="Normal 7 8 20 2" xfId="43866" xr:uid="{5D7B6951-79E9-404F-AD03-531199059FCF}"/>
    <cellStyle name="Normal 7 8 21" xfId="13331" xr:uid="{00000000-0005-0000-0000-0000B1310000}"/>
    <cellStyle name="Normal 7 8 21 2" xfId="45795" xr:uid="{D75A509B-D704-468E-9DC8-55301D852651}"/>
    <cellStyle name="Normal 7 8 22" xfId="11303" xr:uid="{00000000-0005-0000-0000-000026320000}"/>
    <cellStyle name="Normal 7 8 22 2" xfId="43792" xr:uid="{609F03E9-ECD0-4F29-95FC-8CD5B2C3A496}"/>
    <cellStyle name="Normal 7 8 23" xfId="13410" xr:uid="{00000000-0005-0000-0000-00009F320000}"/>
    <cellStyle name="Normal 7 8 23 2" xfId="45874" xr:uid="{EAB0C9C3-161F-4A58-857B-5C6DD27B7747}"/>
    <cellStyle name="Normal 7 8 24" xfId="11219" xr:uid="{00000000-0005-0000-0000-00001C330000}"/>
    <cellStyle name="Normal 7 8 24 2" xfId="43708" xr:uid="{45391AEC-EBA2-4BB7-93F5-67B76280344C}"/>
    <cellStyle name="Normal 7 8 25" xfId="13478" xr:uid="{00000000-0005-0000-0000-00009D330000}"/>
    <cellStyle name="Normal 7 8 25 2" xfId="45942" xr:uid="{2AAF1DE2-8B54-44F0-A361-AE4C37BAC018}"/>
    <cellStyle name="Normal 7 8 26" xfId="11156" xr:uid="{00000000-0005-0000-0000-000022340000}"/>
    <cellStyle name="Normal 7 8 26 2" xfId="43645" xr:uid="{6D68DE06-1D50-42F6-941C-D717B691416B}"/>
    <cellStyle name="Normal 7 8 27" xfId="13545" xr:uid="{00000000-0005-0000-0000-0000AB340000}"/>
    <cellStyle name="Normal 7 8 27 2" xfId="46009" xr:uid="{46F2D824-B864-4426-A503-6DF44CC84046}"/>
    <cellStyle name="Normal 7 8 28" xfId="11087" xr:uid="{00000000-0005-0000-0000-000038350000}"/>
    <cellStyle name="Normal 7 8 28 2" xfId="43576" xr:uid="{BD714D7E-EE62-4094-8233-BCB978C279FD}"/>
    <cellStyle name="Normal 7 8 29" xfId="16093" xr:uid="{C6CE86B0-C213-489F-A56C-BD88B7BA63CC}"/>
    <cellStyle name="Normal 7 8 3" xfId="12592" xr:uid="{00000000-0005-0000-0000-0000CB230000}"/>
    <cellStyle name="Normal-- 7 8 3" xfId="46935" xr:uid="{D4777B90-7289-42F7-B218-358267F6B163}"/>
    <cellStyle name="Normal 7 8 3 10" xfId="50001" xr:uid="{C7FEB19D-02EF-4C80-9E6A-FC06564B9C0B}"/>
    <cellStyle name="Normal 7 8 3 2" xfId="24641" xr:uid="{87787893-AC5F-4B07-BB34-AF599FF9A81C}"/>
    <cellStyle name="Normal 7 8 3 3" xfId="18181" xr:uid="{0577C448-5962-4E3A-BAB2-DAF1A42C123D}"/>
    <cellStyle name="Normal 7 8 3 4" xfId="45063" xr:uid="{EF1D697C-BC2A-40D6-9552-8AA856C0FD44}"/>
    <cellStyle name="Normal 7 8 3 5" xfId="41835" xr:uid="{16FBC389-4E3C-47DF-9B14-C0EC451DCC47}"/>
    <cellStyle name="Normal 7 8 3 6" xfId="15512" xr:uid="{760C3154-A431-433B-B669-F199418AC962}"/>
    <cellStyle name="Normal 7 8 3 7" xfId="47333" xr:uid="{477FBEDF-DA0D-40E2-AA4C-E8ECF231829A}"/>
    <cellStyle name="Normal 7 8 3 8" xfId="46783" xr:uid="{FF3FB04B-DBD8-43C7-871B-2CCB07E87779}"/>
    <cellStyle name="Normal 7 8 3 9" xfId="47774" xr:uid="{DFFBCC46-08D2-442D-BDF9-A5A3F25F6154}"/>
    <cellStyle name="Normal 7 8 30" xfId="38745" xr:uid="{C742AFB4-2B1C-4696-B362-6E9B3433DB1F}"/>
    <cellStyle name="Normal 7 8 31" xfId="40376" xr:uid="{46983711-B4BF-45FF-9A6B-EDAC9ED11397}"/>
    <cellStyle name="Normal 7 8 32" xfId="46126" xr:uid="{A964B675-5BA0-4460-8152-9B21D927A54B}"/>
    <cellStyle name="Normal 7 8 33" xfId="48374" xr:uid="{9408A60F-31FD-4B90-B85E-E35D60F722C5}"/>
    <cellStyle name="Normal 7 8 34" xfId="40290" xr:uid="{2725C430-CD74-4410-9AE8-6297B1E85C3C}"/>
    <cellStyle name="Normal 7 8 35" xfId="46629" xr:uid="{F6BE7DA8-4878-48E1-8EDD-6A1CCD0AF158}"/>
    <cellStyle name="Normal 7 8 36" xfId="48748" xr:uid="{2537387A-E305-4D3E-98D4-74A88E4FF2AA}"/>
    <cellStyle name="Normal 7 8 37" xfId="37883" xr:uid="{886315E0-8119-42C4-BBC6-8244B91B2CA7}"/>
    <cellStyle name="Normal 7 8 4" xfId="8725" xr:uid="{00000000-0005-0000-0000-0000F7230000}"/>
    <cellStyle name="Normal-- 7 8 4" xfId="13622" xr:uid="{94FD583A-D50E-407F-9350-337AD8AFF7F6}"/>
    <cellStyle name="Normal 7 8 4 2" xfId="17634" xr:uid="{270C4676-AFBB-4848-8210-70148054CC92}"/>
    <cellStyle name="Normal 7 8 4 3" xfId="41417" xr:uid="{2EA07C12-8964-47CB-BC8B-AE47C69DB6D7}"/>
    <cellStyle name="Normal 7 8 4 4" xfId="40722" xr:uid="{F3DEB136-A684-45E9-855D-7A55D33D77E4}"/>
    <cellStyle name="Normal 7 8 4 5" xfId="47906" xr:uid="{E9149D99-BD5F-4E56-B588-5C1FF4100F3E}"/>
    <cellStyle name="Normal 7 8 4 6" xfId="47557" xr:uid="{B1ABEE10-7449-4020-B340-43240B09AC08}"/>
    <cellStyle name="Normal 7 8 4 7" xfId="49203" xr:uid="{3496350C-A72B-40AC-9B4B-65625B77512B}"/>
    <cellStyle name="Normal 7 8 4 8" xfId="16453" xr:uid="{21CD622F-7D57-46C4-8A9A-94B555170F95}"/>
    <cellStyle name="Normal 7 8 5" xfId="12621" xr:uid="{00000000-0005-0000-0000-000028240000}"/>
    <cellStyle name="Normal-- 7 8 5" xfId="40728" xr:uid="{9B719ED5-2EE9-4D82-A2D5-98290A1432DF}"/>
    <cellStyle name="Normal 7 8 5 2" xfId="45092" xr:uid="{303B0EFA-CD35-47AC-895D-33244EB795BB}"/>
    <cellStyle name="Normal 7 8 5 3" xfId="15949" xr:uid="{75D281A2-CEDF-4373-ABA1-EB69673964D2}"/>
    <cellStyle name="Normal 7 8 5 4" xfId="49437" xr:uid="{21F4F3CA-A4D5-4D45-ACEE-2466B151D7FB}"/>
    <cellStyle name="Normal 7 8 5 5" xfId="37940" xr:uid="{56C61895-9BB1-44A1-A668-EA8668D115C9}"/>
    <cellStyle name="Normal 7 8 5 6" xfId="50014" xr:uid="{6563A4EE-0EAB-457B-88B2-F3FA6F1646F4}"/>
    <cellStyle name="Normal 7 8 6" xfId="8765" xr:uid="{00000000-0005-0000-0000-00005D240000}"/>
    <cellStyle name="Normal-- 7 8 6" xfId="47326" xr:uid="{3F66470B-B3B8-492B-84C0-A539C2CF2D2E}"/>
    <cellStyle name="Normal 7 8 6 2" xfId="41446" xr:uid="{0F209EE5-85ED-463D-823F-DF7CF543B797}"/>
    <cellStyle name="Normal 7 8 6 3" xfId="46598" xr:uid="{1643E90F-A3AF-4F5E-A77C-AA13BA169A2C}"/>
    <cellStyle name="Normal 7 8 6 4" xfId="41761" xr:uid="{2B6B7369-858B-4B7D-A429-E6493B1293F0}"/>
    <cellStyle name="Normal 7 8 6 5" xfId="16647" xr:uid="{8A948EA0-46F6-41BB-BA52-B60EBF077CD5}"/>
    <cellStyle name="Normal 7 8 7" xfId="12645" xr:uid="{00000000-0005-0000-0000-000096240000}"/>
    <cellStyle name="Normal-- 7 8 7" xfId="15253" xr:uid="{1A9D6AC6-A10F-418F-A757-0427FDA636C9}"/>
    <cellStyle name="Normal 7 8 7 2" xfId="45116" xr:uid="{6E9636FA-B33A-4DF4-A181-10B12C550286}"/>
    <cellStyle name="Normal 7 8 7 3" xfId="49067" xr:uid="{0EB8A384-1C4A-42B7-9681-BA652F2C46C7}"/>
    <cellStyle name="Normal 7 8 7 4" xfId="50025" xr:uid="{FFDB3AE2-35F2-49ED-B0CA-883A5BE6CCE8}"/>
    <cellStyle name="Normal 7 8 8" xfId="8815" xr:uid="{00000000-0005-0000-0000-0000D3240000}"/>
    <cellStyle name="Normal-- 7 8 8" xfId="40693" xr:uid="{24E61AA5-35D0-4551-B5FB-569A2882E506}"/>
    <cellStyle name="Normal 7 8 8 2" xfId="41479" xr:uid="{ACF12F03-47A5-4705-A770-D279284966DC}"/>
    <cellStyle name="Normal 7 8 8 3" xfId="47929" xr:uid="{37C107F8-EDCB-4713-AC56-7B0D688BA193}"/>
    <cellStyle name="Normal 7 8 9" xfId="12675" xr:uid="{00000000-0005-0000-0000-000014250000}"/>
    <cellStyle name="Normal-- 7 8 9" xfId="46562" xr:uid="{5ADCFCC2-B570-45A3-B7DE-F652A9393FA8}"/>
    <cellStyle name="Normal 7 8 9 2" xfId="45146" xr:uid="{79708D93-4224-49E0-9208-98CFFB129458}"/>
    <cellStyle name="Normal 7 80" xfId="47208" xr:uid="{75DE391D-2F6C-4A49-A70D-C1237E024988}"/>
    <cellStyle name="Normal 7 81" xfId="49322" xr:uid="{D491FBAF-4B15-45CC-93AB-2259B77C2BD8}"/>
    <cellStyle name="Normal 7 9" xfId="4708" xr:uid="{00000000-0005-0000-0000-000087120000}"/>
    <cellStyle name="Normal-- 7 9" xfId="12555" xr:uid="{00000000-0005-0000-0000-0000C4230000}"/>
    <cellStyle name="Normal 7 9 10" xfId="12732" xr:uid="{00000000-0005-0000-0000-0000A3250000}"/>
    <cellStyle name="Normal 7 9 10 2" xfId="45203" xr:uid="{643F517A-FB73-433A-846E-7A45EEBD14C3}"/>
    <cellStyle name="Normal 7 9 11" xfId="8988" xr:uid="{00000000-0005-0000-0000-0000F0250000}"/>
    <cellStyle name="Normal 7 9 11 2" xfId="41622" xr:uid="{9FA99E79-ABD3-4839-87CA-AC8F48859088}"/>
    <cellStyle name="Normal 7 9 12" xfId="12779" xr:uid="{00000000-0005-0000-0000-000041260000}"/>
    <cellStyle name="Normal 7 9 12 2" xfId="45250" xr:uid="{DB7D2782-8F5C-4221-9D2A-2AD9CFD45D7E}"/>
    <cellStyle name="Normal 7 9 13" xfId="9064" xr:uid="{00000000-0005-0000-0000-000096260000}"/>
    <cellStyle name="Normal 7 9 13 2" xfId="41675" xr:uid="{8C700ED3-B5C3-4381-8A67-A594A09605E9}"/>
    <cellStyle name="Normal 7 9 14" xfId="12824" xr:uid="{00000000-0005-0000-0000-0000EF260000}"/>
    <cellStyle name="Normal 7 9 14 2" xfId="45295" xr:uid="{51A89AFF-41D4-4BD9-B366-947AECD679CC}"/>
    <cellStyle name="Normal 7 9 15" xfId="9154" xr:uid="{00000000-0005-0000-0000-00004C270000}"/>
    <cellStyle name="Normal 7 9 15 2" xfId="41748" xr:uid="{9872107E-7F36-454B-B0EA-2DF7F9A9B1DA}"/>
    <cellStyle name="Normal 7 9 16" xfId="12872" xr:uid="{00000000-0005-0000-0000-0000AD270000}"/>
    <cellStyle name="Normal 7 9 16 2" xfId="45343" xr:uid="{9AB85656-8488-425C-8701-A6944C3677AB}"/>
    <cellStyle name="Normal 7 9 17" xfId="7989" xr:uid="{00000000-0005-0000-0000-0000F90E0000}"/>
    <cellStyle name="Normal 7 9 18" xfId="13265" xr:uid="{00000000-0005-0000-0000-0000D4300000}"/>
    <cellStyle name="Normal 7 9 18 2" xfId="45729" xr:uid="{36093E1F-0BA8-4D88-94D0-50EE9FB8900F}"/>
    <cellStyle name="Normal 7 9 19" xfId="11376" xr:uid="{00000000-0005-0000-0000-000041310000}"/>
    <cellStyle name="Normal 7 9 19 2" xfId="43865" xr:uid="{8BC34A62-9630-45E8-A33A-942EDCE7F98D}"/>
    <cellStyle name="Normal 7 9 2" xfId="10233" xr:uid="{00000000-0005-0000-0000-0000D41F0000}"/>
    <cellStyle name="Normal-- 7 9 2" xfId="45026" xr:uid="{094EEDE0-E7FA-4B3C-BCD1-B7BB4AB7E819}"/>
    <cellStyle name="Normal 7 9 2 2" xfId="42722" xr:uid="{7B680352-BCF7-4992-8209-98A9771FBA6A}"/>
    <cellStyle name="Normal 7 9 2 3" xfId="47538" xr:uid="{0B5D8152-E77A-4FE6-84B5-CE16B1AB70DD}"/>
    <cellStyle name="Normal 7 9 2 4" xfId="46350" xr:uid="{8CA09A5E-BCD7-45FA-822D-3213894CC627}"/>
    <cellStyle name="Normal 7 9 2 5" xfId="40624" xr:uid="{E277CCE7-6A68-4139-8688-923416524CFD}"/>
    <cellStyle name="Normal 7 9 2 6" xfId="46297" xr:uid="{B474A1F0-2408-473A-8332-B1B17D849EBB}"/>
    <cellStyle name="Normal 7 9 2 7" xfId="37863" xr:uid="{9ACB632E-98FF-4FED-8AF7-EAF24BFBCD51}"/>
    <cellStyle name="Normal 7 9 2 8" xfId="40076" xr:uid="{BC08925C-B5A6-4399-B3C6-EF13F80FE57D}"/>
    <cellStyle name="Normal 7 9 2 9" xfId="46278" xr:uid="{7CAECA12-1472-40DD-BDF5-5663B4225412}"/>
    <cellStyle name="Normal 7 9 20" xfId="13332" xr:uid="{00000000-0005-0000-0000-0000B2310000}"/>
    <cellStyle name="Normal 7 9 20 2" xfId="45796" xr:uid="{4E0FFD96-B25D-4703-A70D-A334C871B4C5}"/>
    <cellStyle name="Normal 7 9 21" xfId="11302" xr:uid="{00000000-0005-0000-0000-000027320000}"/>
    <cellStyle name="Normal 7 9 21 2" xfId="43791" xr:uid="{8907D328-DE21-449D-B507-BEA77139261B}"/>
    <cellStyle name="Normal 7 9 22" xfId="13412" xr:uid="{00000000-0005-0000-0000-0000A0320000}"/>
    <cellStyle name="Normal 7 9 22 2" xfId="45876" xr:uid="{807A19E9-42B6-4686-B41F-54A49CB1C1C5}"/>
    <cellStyle name="Normal 7 9 23" xfId="11218" xr:uid="{00000000-0005-0000-0000-00001D330000}"/>
    <cellStyle name="Normal 7 9 23 2" xfId="43707" xr:uid="{9E90049D-95A2-48CF-A15C-3CB64625971E}"/>
    <cellStyle name="Normal 7 9 24" xfId="13479" xr:uid="{00000000-0005-0000-0000-00009E330000}"/>
    <cellStyle name="Normal 7 9 24 2" xfId="45943" xr:uid="{A47F315D-B383-4DF4-8A95-753800A214D7}"/>
    <cellStyle name="Normal 7 9 25" xfId="11155" xr:uid="{00000000-0005-0000-0000-000023340000}"/>
    <cellStyle name="Normal 7 9 25 2" xfId="43644" xr:uid="{72C5500B-EAB5-4F61-8401-958B129F7671}"/>
    <cellStyle name="Normal 7 9 26" xfId="13546" xr:uid="{00000000-0005-0000-0000-0000AC340000}"/>
    <cellStyle name="Normal 7 9 26 2" xfId="46010" xr:uid="{CF1AA3BC-2538-44A1-95F1-6DF8918E4E1E}"/>
    <cellStyle name="Normal 7 9 27" xfId="11086" xr:uid="{00000000-0005-0000-0000-000039350000}"/>
    <cellStyle name="Normal 7 9 27 2" xfId="43575" xr:uid="{66A6E060-A603-4FA7-B179-BCC8F2AFF244}"/>
    <cellStyle name="Normal 7 9 28" xfId="16094" xr:uid="{41FD3496-4BA1-4FA9-B96B-5E916C62B5DD}"/>
    <cellStyle name="Normal 7 9 29" xfId="38746" xr:uid="{501F1B9D-019A-43F0-B459-1E559E39978C}"/>
    <cellStyle name="Normal 7 9 3" xfId="8726" xr:uid="{00000000-0005-0000-0000-0000F8230000}"/>
    <cellStyle name="Normal-- 7 9 3" xfId="48376" xr:uid="{C94E9AF3-0173-4300-BCF1-C60361C8C5B0}"/>
    <cellStyle name="Normal 7 9 3 2" xfId="41418" xr:uid="{EC9AB634-1C3E-41EA-B478-5BE785D51BB8}"/>
    <cellStyle name="Normal 7 9 3 3" xfId="13685" xr:uid="{4D3DC0C3-F9FD-4623-82CB-8D737A3DDF84}"/>
    <cellStyle name="Normal 7 9 3 4" xfId="40723" xr:uid="{CF2CD12E-946A-4A59-82E5-483C74DCE075}"/>
    <cellStyle name="Normal 7 9 3 5" xfId="48742" xr:uid="{EB23B5BD-AA75-430A-B87B-A765ABBE602D}"/>
    <cellStyle name="Normal 7 9 3 6" xfId="16528" xr:uid="{8E329B86-1FD2-4310-8DB8-161D6FD3A410}"/>
    <cellStyle name="Normal 7 9 3 7" xfId="47147" xr:uid="{1AE5D212-1BB4-4608-AC1D-E7BB2237C5E6}"/>
    <cellStyle name="Normal 7 9 3 8" xfId="48265" xr:uid="{782EC6CD-0E3A-4516-ADDF-37D53C8ADCB2}"/>
    <cellStyle name="Normal 7 9 30" xfId="15364" xr:uid="{C9ED2E34-141B-44E7-93DD-660A5A416B05}"/>
    <cellStyle name="Normal 7 9 31" xfId="40460" xr:uid="{8508D1CB-7A40-4C6F-9C97-A790705A9239}"/>
    <cellStyle name="Normal 7 9 32" xfId="47259" xr:uid="{0C9FC709-BCCB-411C-9BF5-5163B11F4F7F}"/>
    <cellStyle name="Normal 7 9 33" xfId="46165" xr:uid="{D6B5CB16-1A1D-4186-9434-BEF2876921F9}"/>
    <cellStyle name="Normal 7 9 34" xfId="17330" xr:uid="{F11A9836-00E4-4A93-9CA1-F7D3627AA213}"/>
    <cellStyle name="Normal 7 9 35" xfId="47439" xr:uid="{090E1383-DE0D-430D-9243-455CD8FA4761}"/>
    <cellStyle name="Normal 7 9 36" xfId="46549" xr:uid="{D1AF462A-51B9-4633-8809-5E71F205BF8A}"/>
    <cellStyle name="Normal 7 9 4" xfId="12622" xr:uid="{00000000-0005-0000-0000-000029240000}"/>
    <cellStyle name="Normal-- 7 9 4" xfId="41300" xr:uid="{6E090BC2-F7D4-43BF-8817-53A328CAAE31}"/>
    <cellStyle name="Normal 7 9 4 2" xfId="45093" xr:uid="{91C38FB0-1F06-4B04-865F-A11EBC86B904}"/>
    <cellStyle name="Normal 7 9 4 3" xfId="47818" xr:uid="{C04F7377-DB64-495E-ACD2-A16A52092E70}"/>
    <cellStyle name="Normal 7 9 4 4" xfId="15959" xr:uid="{6511A69F-D288-4E64-8E05-B44806D3E4D1}"/>
    <cellStyle name="Normal 7 9 4 5" xfId="49438" xr:uid="{2F981D31-923A-4D2C-ADB5-D2882A137F3C}"/>
    <cellStyle name="Normal 7 9 4 6" xfId="40561" xr:uid="{F8CF6861-8149-4DF6-91C6-8A3568F880E5}"/>
    <cellStyle name="Normal 7 9 4 7" xfId="50015" xr:uid="{E1F1267D-86B5-4655-B919-C39549E83B98}"/>
    <cellStyle name="Normal 7 9 5" xfId="8766" xr:uid="{00000000-0005-0000-0000-00005E240000}"/>
    <cellStyle name="Normal-- 7 9 5" xfId="48242" xr:uid="{D3B73272-F3C4-4807-9E7F-E610B7D6EC46}"/>
    <cellStyle name="Normal 7 9 5 2" xfId="41447" xr:uid="{B2187116-D33D-4EE6-9819-1E31F5805CBA}"/>
    <cellStyle name="Normal 7 9 5 3" xfId="14209" xr:uid="{779585E5-D315-4486-80A8-7DE3DE71DD7A}"/>
    <cellStyle name="Normal 7 9 5 4" xfId="13686" xr:uid="{8F48B281-D5D9-4053-AADD-E9D87AC54A66}"/>
    <cellStyle name="Normal 7 9 5 5" xfId="47827" xr:uid="{6A0F687C-11A3-46F1-B02C-1AA35209D68D}"/>
    <cellStyle name="Normal 7 9 5 6" xfId="48860" xr:uid="{7549A54A-D35A-4E8F-B5C4-050F0F8C9767}"/>
    <cellStyle name="Normal 7 9 6" xfId="12646" xr:uid="{00000000-0005-0000-0000-000097240000}"/>
    <cellStyle name="Normal-- 7 9 6" xfId="47455" xr:uid="{67381A8F-8715-4933-BDF9-BF499C106D47}"/>
    <cellStyle name="Normal 7 9 6 2" xfId="45117" xr:uid="{5A27AA18-ABB3-4068-B718-6C553E63E6BD}"/>
    <cellStyle name="Normal 7 9 6 3" xfId="49445" xr:uid="{1A0952FC-5C21-49D7-B2DA-0929612CE352}"/>
    <cellStyle name="Normal 7 9 6 4" xfId="46675" xr:uid="{15060C83-C6BE-4299-9A1A-11058FDDFF9A}"/>
    <cellStyle name="Normal 7 9 6 5" xfId="50026" xr:uid="{6B2B79CB-38D7-411B-8C6C-E369162E11F4}"/>
    <cellStyle name="Normal 7 9 7" xfId="8816" xr:uid="{00000000-0005-0000-0000-0000D4240000}"/>
    <cellStyle name="Normal-- 7 9 7" xfId="40324" xr:uid="{8923B8AB-C910-4ADA-BAE9-B080428411A2}"/>
    <cellStyle name="Normal 7 9 7 2" xfId="41480" xr:uid="{D748E841-9238-40D2-A759-E845386B2512}"/>
    <cellStyle name="Normal 7 9 7 3" xfId="14982" xr:uid="{49666B41-74A0-4E4E-8E1C-1CD78E599088}"/>
    <cellStyle name="Normal 7 9 7 4" xfId="16452" xr:uid="{8335ABB1-B734-44F4-8280-F5C412ED99FD}"/>
    <cellStyle name="Normal 7 9 8" xfId="12676" xr:uid="{00000000-0005-0000-0000-000015250000}"/>
    <cellStyle name="Normal-- 7 9 8" xfId="40404" xr:uid="{9FACBF12-DE7F-4829-A330-C93357A14DC5}"/>
    <cellStyle name="Normal 7 9 8 2" xfId="45147" xr:uid="{FE7BE58A-30E8-49E8-B779-E7BB8E4799A6}"/>
    <cellStyle name="Normal 7 9 8 3" xfId="50042" xr:uid="{3075D830-B003-4025-BB2E-C7D6D38E83B7}"/>
    <cellStyle name="Normal 7 9 9" xfId="8896" xr:uid="{00000000-0005-0000-0000-00005A250000}"/>
    <cellStyle name="Normal-- 7 9 9" xfId="49986" xr:uid="{EB58DBC7-3994-4FCA-A89E-0A3D0378F078}"/>
    <cellStyle name="Normal 7 9 9 2" xfId="41544" xr:uid="{0E145370-9EED-46FA-B7A7-28D060150703}"/>
    <cellStyle name="Normal 70" xfId="12978" xr:uid="{00000000-0005-0000-0000-0000D1270000}"/>
    <cellStyle name="Normal 70 2" xfId="4709" xr:uid="{00000000-0005-0000-0000-000088120000}"/>
    <cellStyle name="Normal 70 2 2" xfId="10234" xr:uid="{00000000-0005-0000-0000-0000D51F0000}"/>
    <cellStyle name="Normal 70 2 2 2" xfId="42723" xr:uid="{1A27A98C-2081-42EC-B252-A4E9AEF7264D}"/>
    <cellStyle name="Normal 70 2 3" xfId="7990" xr:uid="{00000000-0005-0000-0000-0000FA0E0000}"/>
    <cellStyle name="Normal 70 2 3 2" xfId="40831" xr:uid="{673A51DC-7A84-46BB-A015-F14F1DCD1C4D}"/>
    <cellStyle name="Normal 70 2 4" xfId="16095" xr:uid="{B92EB0FB-7D8C-4280-B30A-8EFB2030913B}"/>
    <cellStyle name="Normal 70 2 5" xfId="38747" xr:uid="{BF694F4E-628F-4A19-BEA2-20245019CB81}"/>
    <cellStyle name="Normal 70 3" xfId="4710" xr:uid="{00000000-0005-0000-0000-000089120000}"/>
    <cellStyle name="Normal 70 3 2" xfId="10235" xr:uid="{00000000-0005-0000-0000-0000D61F0000}"/>
    <cellStyle name="Normal 70 3 2 2" xfId="42724" xr:uid="{254A9C20-EC19-4013-9E4D-DA2FFA7B20DA}"/>
    <cellStyle name="Normal 70 3 3" xfId="7991" xr:uid="{00000000-0005-0000-0000-0000FB0E0000}"/>
    <cellStyle name="Normal 70 3 3 2" xfId="40832" xr:uid="{7D136847-3BA3-48C7-A2D5-6F199E520179}"/>
    <cellStyle name="Normal 70 3 4" xfId="16096" xr:uid="{D59D2379-F636-4EEF-9F6C-B841BF7659E3}"/>
    <cellStyle name="Normal 70 3 5" xfId="38748" xr:uid="{32D6EC7A-CC3F-4145-849D-762A7A2D5F98}"/>
    <cellStyle name="Normal 70 4" xfId="4711" xr:uid="{00000000-0005-0000-0000-00008A120000}"/>
    <cellStyle name="Normal 70 4 2" xfId="10236" xr:uid="{00000000-0005-0000-0000-0000D71F0000}"/>
    <cellStyle name="Normal 70 4 2 2" xfId="42725" xr:uid="{85E3E721-F375-42A6-9599-B33A61C218B9}"/>
    <cellStyle name="Normal 70 4 3" xfId="7992" xr:uid="{00000000-0005-0000-0000-0000FC0E0000}"/>
    <cellStyle name="Normal 70 4 3 2" xfId="40833" xr:uid="{DA79BACD-8D07-40EF-B27A-103A3B7B6C40}"/>
    <cellStyle name="Normal 70 4 4" xfId="16097" xr:uid="{E618F34D-ABEA-47C8-879E-11588C19FCAA}"/>
    <cellStyle name="Normal 70 4 5" xfId="38749" xr:uid="{07CF8065-4FF3-4ED8-8479-6DD9EC09447A}"/>
    <cellStyle name="Normal 70 5" xfId="4712" xr:uid="{00000000-0005-0000-0000-00008B120000}"/>
    <cellStyle name="Normal 70 5 2" xfId="10237" xr:uid="{00000000-0005-0000-0000-0000D81F0000}"/>
    <cellStyle name="Normal 70 5 2 2" xfId="42726" xr:uid="{D4801584-8DBD-4583-A9EB-5FF1FAAFD7D9}"/>
    <cellStyle name="Normal 70 5 3" xfId="7993" xr:uid="{00000000-0005-0000-0000-0000FD0E0000}"/>
    <cellStyle name="Normal 70 5 3 2" xfId="40834" xr:uid="{1E820559-DD35-4121-8F37-340982267AED}"/>
    <cellStyle name="Normal 70 5 4" xfId="16098" xr:uid="{E1D85C79-0BE5-4B8C-9DA0-B1824F163FBE}"/>
    <cellStyle name="Normal 70 5 5" xfId="38750" xr:uid="{306882E7-0827-4D24-A091-274B8FFC42C1}"/>
    <cellStyle name="Normal 70 6" xfId="4713" xr:uid="{00000000-0005-0000-0000-00008C120000}"/>
    <cellStyle name="Normal 70 6 2" xfId="10238" xr:uid="{00000000-0005-0000-0000-0000D91F0000}"/>
    <cellStyle name="Normal 70 6 2 2" xfId="42727" xr:uid="{5E8499A4-8CAE-4D6F-B892-844D1044028A}"/>
    <cellStyle name="Normal 70 6 3" xfId="7994" xr:uid="{00000000-0005-0000-0000-0000FE0E0000}"/>
    <cellStyle name="Normal 70 6 3 2" xfId="40835" xr:uid="{2D780CF2-DE6A-4045-9EFA-283E5C9F0BE1}"/>
    <cellStyle name="Normal 70 6 4" xfId="16099" xr:uid="{5CB224E2-12D1-4460-B9B5-8860B2EF6AAE}"/>
    <cellStyle name="Normal 70 6 5" xfId="38751" xr:uid="{0C3B1AC8-22BD-4671-AE6B-84EB16173AF1}"/>
    <cellStyle name="Normal 70 7" xfId="4714" xr:uid="{00000000-0005-0000-0000-00008D120000}"/>
    <cellStyle name="Normal 70 7 2" xfId="10239" xr:uid="{00000000-0005-0000-0000-0000DA1F0000}"/>
    <cellStyle name="Normal 70 7 2 2" xfId="42728" xr:uid="{78034C6D-98B3-42F3-96B0-84ED72284680}"/>
    <cellStyle name="Normal 70 7 3" xfId="7995" xr:uid="{00000000-0005-0000-0000-0000FF0E0000}"/>
    <cellStyle name="Normal 70 7 3 2" xfId="40836" xr:uid="{D33C07C2-3B20-46D5-9141-F49EFA4FACB5}"/>
    <cellStyle name="Normal 70 7 4" xfId="16100" xr:uid="{7F1FB664-3A0D-4D37-804B-3798074805DA}"/>
    <cellStyle name="Normal 70 7 5" xfId="38752" xr:uid="{C6982598-0900-4C3E-A58C-4965ACCC43AF}"/>
    <cellStyle name="Normal 70 8" xfId="4715" xr:uid="{00000000-0005-0000-0000-00008E120000}"/>
    <cellStyle name="Normal 70 8 2" xfId="10240" xr:uid="{00000000-0005-0000-0000-0000DB1F0000}"/>
    <cellStyle name="Normal 70 8 2 2" xfId="42729" xr:uid="{F6D2AFFD-204A-42D4-8BD5-3A7FA0F3D510}"/>
    <cellStyle name="Normal 70 8 3" xfId="7996" xr:uid="{00000000-0005-0000-0000-0000000F0000}"/>
    <cellStyle name="Normal 70 8 3 2" xfId="40837" xr:uid="{B3334DA6-3B17-457D-8E08-12E3D9784150}"/>
    <cellStyle name="Normal 70 8 4" xfId="16101" xr:uid="{F4C684BA-7BEC-40CD-A84B-FC4923D0B735}"/>
    <cellStyle name="Normal 70 8 5" xfId="38753" xr:uid="{E500AEC5-919E-4F1A-9C04-B9BAD37D1093}"/>
    <cellStyle name="Normal 70 9" xfId="21794" xr:uid="{285849C5-94BE-4A4F-BAD3-BA61A8760728}"/>
    <cellStyle name="Normal 71" xfId="12967" xr:uid="{00000000-0005-0000-0000-0000A42A0000}"/>
    <cellStyle name="Normal 71 2" xfId="4716" xr:uid="{00000000-0005-0000-0000-00008F120000}"/>
    <cellStyle name="Normal 71 2 2" xfId="10241" xr:uid="{00000000-0005-0000-0000-0000DC1F0000}"/>
    <cellStyle name="Normal 71 2 2 2" xfId="42730" xr:uid="{4C2012BF-82D9-465F-A26D-BBC7192187EF}"/>
    <cellStyle name="Normal 71 2 3" xfId="7997" xr:uid="{00000000-0005-0000-0000-0000010F0000}"/>
    <cellStyle name="Normal 71 2 3 2" xfId="40838" xr:uid="{1C3E8703-6B52-4550-A8C1-AAFADFA17271}"/>
    <cellStyle name="Normal 71 2 4" xfId="16102" xr:uid="{D4A206C9-2BA8-43A5-93D7-0DD0D56EA630}"/>
    <cellStyle name="Normal 71 2 5" xfId="38754" xr:uid="{DD0B9517-A49E-4F0A-9977-99479C520A46}"/>
    <cellStyle name="Normal 71 3" xfId="4717" xr:uid="{00000000-0005-0000-0000-000090120000}"/>
    <cellStyle name="Normal 71 3 2" xfId="10242" xr:uid="{00000000-0005-0000-0000-0000DD1F0000}"/>
    <cellStyle name="Normal 71 3 2 2" xfId="42731" xr:uid="{2B9ACD55-C83E-4252-98BE-36F6D548D566}"/>
    <cellStyle name="Normal 71 3 3" xfId="7998" xr:uid="{00000000-0005-0000-0000-0000020F0000}"/>
    <cellStyle name="Normal 71 3 3 2" xfId="40839" xr:uid="{5F45BD0D-A632-4896-8B9A-80278B775749}"/>
    <cellStyle name="Normal 71 3 4" xfId="16103" xr:uid="{01EC5E31-AE43-47BB-A70B-9E6650EB1A9E}"/>
    <cellStyle name="Normal 71 3 5" xfId="38755" xr:uid="{1394CFE9-CD36-4416-86DF-E104900B7512}"/>
    <cellStyle name="Normal 71 4" xfId="4718" xr:uid="{00000000-0005-0000-0000-000091120000}"/>
    <cellStyle name="Normal 71 4 2" xfId="10243" xr:uid="{00000000-0005-0000-0000-0000DE1F0000}"/>
    <cellStyle name="Normal 71 4 2 2" xfId="42732" xr:uid="{12018251-1167-4B4B-BB32-9BB42E6B7435}"/>
    <cellStyle name="Normal 71 4 3" xfId="7999" xr:uid="{00000000-0005-0000-0000-0000030F0000}"/>
    <cellStyle name="Normal 71 4 3 2" xfId="40840" xr:uid="{846F9184-D955-407A-8134-FE6E33B5AB70}"/>
    <cellStyle name="Normal 71 4 4" xfId="16104" xr:uid="{A9C90CE2-F1F0-4325-9B71-C2C5E80DFA77}"/>
    <cellStyle name="Normal 71 4 5" xfId="38756" xr:uid="{09B71FCD-2499-406A-83A3-35EBB84B6532}"/>
    <cellStyle name="Normal 71 5" xfId="4719" xr:uid="{00000000-0005-0000-0000-000092120000}"/>
    <cellStyle name="Normal 71 5 2" xfId="10244" xr:uid="{00000000-0005-0000-0000-0000DF1F0000}"/>
    <cellStyle name="Normal 71 5 2 2" xfId="42733" xr:uid="{5BA8E829-9FC3-41EE-B243-E9DA8EAC824C}"/>
    <cellStyle name="Normal 71 5 3" xfId="8000" xr:uid="{00000000-0005-0000-0000-0000040F0000}"/>
    <cellStyle name="Normal 71 5 3 2" xfId="40841" xr:uid="{8E4EBE6A-FB39-4064-9E25-3A6A16C03F38}"/>
    <cellStyle name="Normal 71 5 4" xfId="16105" xr:uid="{E4CD7370-520C-49CB-9364-C7E8C6744A30}"/>
    <cellStyle name="Normal 71 5 5" xfId="38757" xr:uid="{467D285B-DDF3-47A4-931B-5A4BF604365C}"/>
    <cellStyle name="Normal 71 6" xfId="4720" xr:uid="{00000000-0005-0000-0000-000093120000}"/>
    <cellStyle name="Normal 71 6 2" xfId="10245" xr:uid="{00000000-0005-0000-0000-0000E01F0000}"/>
    <cellStyle name="Normal 71 6 2 2" xfId="42734" xr:uid="{4DF1B297-B1BF-4D6C-A42D-79FD76E3216D}"/>
    <cellStyle name="Normal 71 6 3" xfId="8001" xr:uid="{00000000-0005-0000-0000-0000050F0000}"/>
    <cellStyle name="Normal 71 6 3 2" xfId="40842" xr:uid="{167CD942-272F-4906-8DDD-7EB9EF5D94BE}"/>
    <cellStyle name="Normal 71 6 4" xfId="16106" xr:uid="{92B5D55B-5EE0-485B-947A-4872E33D0A62}"/>
    <cellStyle name="Normal 71 6 5" xfId="38758" xr:uid="{39F36473-152B-4A2F-BAAD-FF4266F30DDF}"/>
    <cellStyle name="Normal 71 7" xfId="4721" xr:uid="{00000000-0005-0000-0000-000094120000}"/>
    <cellStyle name="Normal 71 7 2" xfId="10246" xr:uid="{00000000-0005-0000-0000-0000E11F0000}"/>
    <cellStyle name="Normal 71 7 2 2" xfId="42735" xr:uid="{71ECC818-A9E4-4690-81C0-25B89FE5F3BB}"/>
    <cellStyle name="Normal 71 7 3" xfId="8002" xr:uid="{00000000-0005-0000-0000-0000060F0000}"/>
    <cellStyle name="Normal 71 7 3 2" xfId="40843" xr:uid="{3715A9D9-5D6D-45A0-BB15-D9BF367E144C}"/>
    <cellStyle name="Normal 71 7 4" xfId="16107" xr:uid="{49B4BC44-27E1-4936-9727-A31C535D3CAE}"/>
    <cellStyle name="Normal 71 7 5" xfId="38759" xr:uid="{90394C63-50B6-452F-8A19-99FA9BD5DE1F}"/>
    <cellStyle name="Normal 71 8" xfId="4722" xr:uid="{00000000-0005-0000-0000-000095120000}"/>
    <cellStyle name="Normal 71 8 2" xfId="10247" xr:uid="{00000000-0005-0000-0000-0000E21F0000}"/>
    <cellStyle name="Normal 71 8 2 2" xfId="42736" xr:uid="{AA0E000C-2B9E-425F-B13B-A16AD37269BD}"/>
    <cellStyle name="Normal 71 8 3" xfId="8003" xr:uid="{00000000-0005-0000-0000-0000070F0000}"/>
    <cellStyle name="Normal 71 8 3 2" xfId="40844" xr:uid="{A7297543-455B-4BA2-A8FC-2824A04D885E}"/>
    <cellStyle name="Normal 71 8 4" xfId="16108" xr:uid="{31C45DFF-DFCE-4385-B584-7A09D97354C0}"/>
    <cellStyle name="Normal 71 8 5" xfId="38760" xr:uid="{9700024A-5E60-43D9-B0DD-AAFBFB3B29ED}"/>
    <cellStyle name="Normal 71 9" xfId="19456" xr:uid="{04FEFAB6-5A84-462A-B61F-2C55FA633E17}"/>
    <cellStyle name="Normal 72" xfId="13608" xr:uid="{00000000-0005-0000-0000-000035350000}"/>
    <cellStyle name="Normal 72 2" xfId="4723" xr:uid="{00000000-0005-0000-0000-000096120000}"/>
    <cellStyle name="Normal 72 2 2" xfId="10248" xr:uid="{00000000-0005-0000-0000-0000E31F0000}"/>
    <cellStyle name="Normal 72 2 2 2" xfId="42737" xr:uid="{A381344F-04CC-4696-B2FD-064AD20F0F24}"/>
    <cellStyle name="Normal 72 2 3" xfId="8004" xr:uid="{00000000-0005-0000-0000-0000080F0000}"/>
    <cellStyle name="Normal 72 2 3 2" xfId="40845" xr:uid="{9296C685-EB9F-47BC-AC1D-D7C25CC5FAEF}"/>
    <cellStyle name="Normal 72 2 4" xfId="16109" xr:uid="{1B40AA08-8804-44F7-9C28-B08A5F14D7A4}"/>
    <cellStyle name="Normal 72 2 5" xfId="38761" xr:uid="{4C214A29-B11C-428E-A116-0BB406D6C968}"/>
    <cellStyle name="Normal 72 3" xfId="4724" xr:uid="{00000000-0005-0000-0000-000097120000}"/>
    <cellStyle name="Normal 72 3 2" xfId="10249" xr:uid="{00000000-0005-0000-0000-0000E41F0000}"/>
    <cellStyle name="Normal 72 3 2 2" xfId="42738" xr:uid="{61417587-0321-42A1-94E8-B2F4238A45EC}"/>
    <cellStyle name="Normal 72 3 3" xfId="8005" xr:uid="{00000000-0005-0000-0000-0000090F0000}"/>
    <cellStyle name="Normal 72 3 3 2" xfId="40846" xr:uid="{4EABDC30-AA19-44D5-8193-F16D8CA87E4F}"/>
    <cellStyle name="Normal 72 3 4" xfId="16110" xr:uid="{15D8976E-943C-41F0-B5A6-CCE158FA2722}"/>
    <cellStyle name="Normal 72 3 5" xfId="38762" xr:uid="{9D8A6E77-959F-480B-B0B8-774A4D261B3B}"/>
    <cellStyle name="Normal 72 4" xfId="4725" xr:uid="{00000000-0005-0000-0000-000098120000}"/>
    <cellStyle name="Normal 72 4 2" xfId="10250" xr:uid="{00000000-0005-0000-0000-0000E51F0000}"/>
    <cellStyle name="Normal 72 4 2 2" xfId="42739" xr:uid="{5F35D2C2-E7E4-4BA5-8328-A893D0BC504D}"/>
    <cellStyle name="Normal 72 4 3" xfId="8006" xr:uid="{00000000-0005-0000-0000-00000A0F0000}"/>
    <cellStyle name="Normal 72 4 3 2" xfId="40847" xr:uid="{567457E0-EE1F-43B1-B323-3990E705490B}"/>
    <cellStyle name="Normal 72 4 4" xfId="16111" xr:uid="{79ECF860-4A44-4B5D-8020-B5E89AEE1707}"/>
    <cellStyle name="Normal 72 4 5" xfId="38763" xr:uid="{8A543521-C4E1-46D0-B960-D30DA4D5C0E2}"/>
    <cellStyle name="Normal 72 5" xfId="4726" xr:uid="{00000000-0005-0000-0000-000099120000}"/>
    <cellStyle name="Normal 72 5 2" xfId="10251" xr:uid="{00000000-0005-0000-0000-0000E61F0000}"/>
    <cellStyle name="Normal 72 5 2 2" xfId="42740" xr:uid="{BD8B8500-2A11-448E-84B1-77D8EEFC7E2C}"/>
    <cellStyle name="Normal 72 5 3" xfId="8007" xr:uid="{00000000-0005-0000-0000-00000B0F0000}"/>
    <cellStyle name="Normal 72 5 3 2" xfId="40848" xr:uid="{5F0A05DA-A5F0-4D43-B24A-A1D042AF523B}"/>
    <cellStyle name="Normal 72 5 4" xfId="16112" xr:uid="{03E85A77-A061-46A8-9ABF-665507BBDA02}"/>
    <cellStyle name="Normal 72 5 5" xfId="38764" xr:uid="{9A1282D1-4E28-4084-B1FD-153134A460D8}"/>
    <cellStyle name="Normal 72 6" xfId="4727" xr:uid="{00000000-0005-0000-0000-00009A120000}"/>
    <cellStyle name="Normal 72 6 2" xfId="10252" xr:uid="{00000000-0005-0000-0000-0000E71F0000}"/>
    <cellStyle name="Normal 72 6 2 2" xfId="42741" xr:uid="{5E58123F-1F82-4892-8408-719F7723388F}"/>
    <cellStyle name="Normal 72 6 3" xfId="8008" xr:uid="{00000000-0005-0000-0000-00000C0F0000}"/>
    <cellStyle name="Normal 72 6 3 2" xfId="40849" xr:uid="{AC379108-7681-47FB-B58D-96863F9BF4BB}"/>
    <cellStyle name="Normal 72 6 4" xfId="16113" xr:uid="{F5748C70-45F0-42E8-B004-E373FCC2EC6F}"/>
    <cellStyle name="Normal 72 6 5" xfId="38765" xr:uid="{B9EA467D-2E0F-4275-846D-7422FD62CE1E}"/>
    <cellStyle name="Normal 72 7" xfId="4728" xr:uid="{00000000-0005-0000-0000-00009B120000}"/>
    <cellStyle name="Normal 72 7 2" xfId="10253" xr:uid="{00000000-0005-0000-0000-0000E81F0000}"/>
    <cellStyle name="Normal 72 7 2 2" xfId="42742" xr:uid="{80E4BEEA-5EA6-4CDD-901F-3DC848373014}"/>
    <cellStyle name="Normal 72 7 3" xfId="8009" xr:uid="{00000000-0005-0000-0000-00000D0F0000}"/>
    <cellStyle name="Normal 72 7 3 2" xfId="40850" xr:uid="{7A2001F0-5CCA-4639-B44C-EA4D5C6291D5}"/>
    <cellStyle name="Normal 72 7 4" xfId="16114" xr:uid="{CA0F1C54-1D1D-4E4F-B481-9F86DA16076D}"/>
    <cellStyle name="Normal 72 7 5" xfId="38766" xr:uid="{0E609189-5E76-4F62-AED7-F5E07302BDFF}"/>
    <cellStyle name="Normal 72 8" xfId="4729" xr:uid="{00000000-0005-0000-0000-00009C120000}"/>
    <cellStyle name="Normal 72 8 2" xfId="10254" xr:uid="{00000000-0005-0000-0000-0000E91F0000}"/>
    <cellStyle name="Normal 72 8 2 2" xfId="42743" xr:uid="{DCDFBA22-C774-4EB6-AEF4-3A4FECCA3A20}"/>
    <cellStyle name="Normal 72 8 3" xfId="8010" xr:uid="{00000000-0005-0000-0000-00000E0F0000}"/>
    <cellStyle name="Normal 72 8 3 2" xfId="40851" xr:uid="{E0341C03-85FC-47AD-BEC0-E82A86267E76}"/>
    <cellStyle name="Normal 72 8 4" xfId="16115" xr:uid="{0678A17A-199E-4B29-B946-26041E3D54C9}"/>
    <cellStyle name="Normal 72 8 5" xfId="38767" xr:uid="{F594C591-79C3-4361-A908-5425DE13CEBC}"/>
    <cellStyle name="Normal 72 9" xfId="19518" xr:uid="{0F539919-5D5B-46EB-B896-5F915D47D1A4}"/>
    <cellStyle name="Normal 73" xfId="20624" xr:uid="{E1A6DF01-4D42-4932-93BB-B319F806367E}"/>
    <cellStyle name="Normal 73 2" xfId="4730" xr:uid="{00000000-0005-0000-0000-00009D120000}"/>
    <cellStyle name="Normal 73 2 2" xfId="10255" xr:uid="{00000000-0005-0000-0000-0000EA1F0000}"/>
    <cellStyle name="Normal 73 2 2 2" xfId="42744" xr:uid="{1B6E5B1E-88EE-44DE-80D6-3DE29DBC05F4}"/>
    <cellStyle name="Normal 73 2 3" xfId="8011" xr:uid="{00000000-0005-0000-0000-00000F0F0000}"/>
    <cellStyle name="Normal 73 2 3 2" xfId="40852" xr:uid="{0FE67DFD-3A5E-445A-BEB4-D2E2277827E1}"/>
    <cellStyle name="Normal 73 2 4" xfId="16116" xr:uid="{5BE99617-7C5F-4DB0-BD99-0FD863882D52}"/>
    <cellStyle name="Normal 73 2 5" xfId="38768" xr:uid="{43C08FE3-F4E3-4F18-8A47-084C4B17795C}"/>
    <cellStyle name="Normal 73 3" xfId="4731" xr:uid="{00000000-0005-0000-0000-00009E120000}"/>
    <cellStyle name="Normal 73 3 2" xfId="10256" xr:uid="{00000000-0005-0000-0000-0000EB1F0000}"/>
    <cellStyle name="Normal 73 3 2 2" xfId="42745" xr:uid="{14645D4C-B6CB-4B62-984B-B8D2D20EE3E6}"/>
    <cellStyle name="Normal 73 3 3" xfId="8012" xr:uid="{00000000-0005-0000-0000-0000100F0000}"/>
    <cellStyle name="Normal 73 3 3 2" xfId="40853" xr:uid="{D85868DD-3D7F-4298-B6D9-32A0B9920CD2}"/>
    <cellStyle name="Normal 73 3 4" xfId="16117" xr:uid="{E65CB9A0-60C9-462F-9CF5-9EF9BB22EFC9}"/>
    <cellStyle name="Normal 73 3 5" xfId="38769" xr:uid="{3B3F86FA-6817-48A8-8992-51CED1397EBB}"/>
    <cellStyle name="Normal 73 4" xfId="4732" xr:uid="{00000000-0005-0000-0000-00009F120000}"/>
    <cellStyle name="Normal 73 4 2" xfId="10257" xr:uid="{00000000-0005-0000-0000-0000EC1F0000}"/>
    <cellStyle name="Normal 73 4 2 2" xfId="42746" xr:uid="{4A8108D1-B980-46B5-9EC9-96D9B8E1E6FA}"/>
    <cellStyle name="Normal 73 4 3" xfId="8013" xr:uid="{00000000-0005-0000-0000-0000110F0000}"/>
    <cellStyle name="Normal 73 4 3 2" xfId="40854" xr:uid="{7C2E0F0C-8A0D-46C0-AA39-256240B7CE0D}"/>
    <cellStyle name="Normal 73 4 4" xfId="16118" xr:uid="{B132A1EB-FECC-44F1-843E-4D055DC6BFAA}"/>
    <cellStyle name="Normal 73 4 5" xfId="38770" xr:uid="{4CA4F6FE-6391-48F7-9ED5-A2268C73B774}"/>
    <cellStyle name="Normal 73 5" xfId="4733" xr:uid="{00000000-0005-0000-0000-0000A0120000}"/>
    <cellStyle name="Normal 73 5 2" xfId="10258" xr:uid="{00000000-0005-0000-0000-0000ED1F0000}"/>
    <cellStyle name="Normal 73 5 2 2" xfId="42747" xr:uid="{9EC52D0A-5DCD-42A9-95E7-551D935B8656}"/>
    <cellStyle name="Normal 73 5 3" xfId="8014" xr:uid="{00000000-0005-0000-0000-0000120F0000}"/>
    <cellStyle name="Normal 73 5 3 2" xfId="40855" xr:uid="{1B6938F1-17E4-443C-A0F6-8AD24AC925C0}"/>
    <cellStyle name="Normal 73 5 4" xfId="16119" xr:uid="{A040D20E-1022-4767-8C05-81F599C4FDF0}"/>
    <cellStyle name="Normal 73 5 5" xfId="38771" xr:uid="{7806D4EC-0AA6-4185-844C-9E34701625A3}"/>
    <cellStyle name="Normal 73 6" xfId="4734" xr:uid="{00000000-0005-0000-0000-0000A1120000}"/>
    <cellStyle name="Normal 73 6 2" xfId="10259" xr:uid="{00000000-0005-0000-0000-0000EE1F0000}"/>
    <cellStyle name="Normal 73 6 2 2" xfId="42748" xr:uid="{ED15611F-D212-47C2-9376-84CB1BFE9A93}"/>
    <cellStyle name="Normal 73 6 3" xfId="8015" xr:uid="{00000000-0005-0000-0000-0000130F0000}"/>
    <cellStyle name="Normal 73 6 3 2" xfId="40856" xr:uid="{0B766B73-AB8F-4445-867A-871AF7461001}"/>
    <cellStyle name="Normal 73 6 4" xfId="16120" xr:uid="{DAC1DCC8-E125-4094-9B8B-0FD4C1D93E4C}"/>
    <cellStyle name="Normal 73 6 5" xfId="38772" xr:uid="{9AEB6BCF-5255-455E-A7FA-48166D5D7EFF}"/>
    <cellStyle name="Normal 73 7" xfId="4735" xr:uid="{00000000-0005-0000-0000-0000A2120000}"/>
    <cellStyle name="Normal 73 7 2" xfId="10260" xr:uid="{00000000-0005-0000-0000-0000EF1F0000}"/>
    <cellStyle name="Normal 73 7 2 2" xfId="42749" xr:uid="{7A9650AF-AC61-4F48-AE53-3FBCA8F7F8BA}"/>
    <cellStyle name="Normal 73 7 3" xfId="8016" xr:uid="{00000000-0005-0000-0000-0000140F0000}"/>
    <cellStyle name="Normal 73 7 3 2" xfId="40857" xr:uid="{19F14C6C-45D5-4819-8F1D-3AA8A5655575}"/>
    <cellStyle name="Normal 73 7 4" xfId="16121" xr:uid="{B06F8010-ACE8-491D-A82C-72C957D9022F}"/>
    <cellStyle name="Normal 73 7 5" xfId="38773" xr:uid="{EEDBD695-1135-48AF-9777-8FB0385E8C4C}"/>
    <cellStyle name="Normal 73 8" xfId="4736" xr:uid="{00000000-0005-0000-0000-0000A3120000}"/>
    <cellStyle name="Normal 73 8 2" xfId="10261" xr:uid="{00000000-0005-0000-0000-0000F01F0000}"/>
    <cellStyle name="Normal 73 8 2 2" xfId="42750" xr:uid="{E1924E29-4FD2-436C-9753-BDE943EB5209}"/>
    <cellStyle name="Normal 73 8 3" xfId="8017" xr:uid="{00000000-0005-0000-0000-0000150F0000}"/>
    <cellStyle name="Normal 73 8 3 2" xfId="40858" xr:uid="{51F67D2D-BEFC-4531-B75E-ECE4BC106381}"/>
    <cellStyle name="Normal 73 8 4" xfId="16122" xr:uid="{1FFD1F02-5315-49B9-8979-AA4B7341EC20}"/>
    <cellStyle name="Normal 73 8 5" xfId="38774" xr:uid="{5A765E3C-7EF6-4409-9FF9-AA78599B77FA}"/>
    <cellStyle name="Normal 74" xfId="22050" xr:uid="{FDB139FE-0AD3-46B2-B715-13D4F4C919A7}"/>
    <cellStyle name="Normal 74 2" xfId="4737" xr:uid="{00000000-0005-0000-0000-0000A4120000}"/>
    <cellStyle name="Normal 74 2 2" xfId="10262" xr:uid="{00000000-0005-0000-0000-0000F11F0000}"/>
    <cellStyle name="Normal 74 2 2 2" xfId="42751" xr:uid="{A7827D8B-9D5C-44CA-8798-977D81BD4142}"/>
    <cellStyle name="Normal 74 2 3" xfId="8018" xr:uid="{00000000-0005-0000-0000-0000160F0000}"/>
    <cellStyle name="Normal 74 2 3 2" xfId="40859" xr:uid="{46BE4706-06C3-4A1F-8755-2179CE16153F}"/>
    <cellStyle name="Normal 74 2 4" xfId="16123" xr:uid="{9FD85F10-B816-493A-89BC-0EF8D4A0BBAF}"/>
    <cellStyle name="Normal 74 2 5" xfId="38775" xr:uid="{5CFF533C-E45D-48EF-A854-A73F07F9CA32}"/>
    <cellStyle name="Normal 74 3" xfId="4738" xr:uid="{00000000-0005-0000-0000-0000A5120000}"/>
    <cellStyle name="Normal 74 3 2" xfId="10263" xr:uid="{00000000-0005-0000-0000-0000F21F0000}"/>
    <cellStyle name="Normal 74 3 2 2" xfId="42752" xr:uid="{9440779B-73BF-494A-8262-0EF68D0CEC0C}"/>
    <cellStyle name="Normal 74 3 3" xfId="8019" xr:uid="{00000000-0005-0000-0000-0000170F0000}"/>
    <cellStyle name="Normal 74 3 3 2" xfId="40860" xr:uid="{B9993036-36C3-4637-94C5-6F19A3B5C896}"/>
    <cellStyle name="Normal 74 3 4" xfId="16124" xr:uid="{A8CC33AB-D1E0-44FD-ACAD-450469E4A49C}"/>
    <cellStyle name="Normal 74 3 5" xfId="38776" xr:uid="{DE6DF7CC-92FC-49FA-B386-AA0BB6CA38D4}"/>
    <cellStyle name="Normal 74 4" xfId="4739" xr:uid="{00000000-0005-0000-0000-0000A6120000}"/>
    <cellStyle name="Normal 74 4 2" xfId="10264" xr:uid="{00000000-0005-0000-0000-0000F31F0000}"/>
    <cellStyle name="Normal 74 4 2 2" xfId="42753" xr:uid="{7DBE1406-9BA4-4427-8C6F-B8E5B5F7C14D}"/>
    <cellStyle name="Normal 74 4 3" xfId="8020" xr:uid="{00000000-0005-0000-0000-0000180F0000}"/>
    <cellStyle name="Normal 74 4 3 2" xfId="40861" xr:uid="{16363305-9BEE-4F39-8B70-3B36BBD5D53B}"/>
    <cellStyle name="Normal 74 4 4" xfId="16125" xr:uid="{15AB9868-3E03-46A1-BB52-6DE0FAAAF3A3}"/>
    <cellStyle name="Normal 74 4 5" xfId="38777" xr:uid="{E15C60D5-85E7-49CF-A9C0-BF848DD208E4}"/>
    <cellStyle name="Normal 74 5" xfId="4740" xr:uid="{00000000-0005-0000-0000-0000A7120000}"/>
    <cellStyle name="Normal 74 5 2" xfId="10265" xr:uid="{00000000-0005-0000-0000-0000F41F0000}"/>
    <cellStyle name="Normal 74 5 2 2" xfId="42754" xr:uid="{950ADABB-19AF-4B96-85FB-886A81A1384F}"/>
    <cellStyle name="Normal 74 5 3" xfId="8021" xr:uid="{00000000-0005-0000-0000-0000190F0000}"/>
    <cellStyle name="Normal 74 5 3 2" xfId="40862" xr:uid="{0B6FB227-4F8E-44AD-AFBF-E39024E188D4}"/>
    <cellStyle name="Normal 74 5 4" xfId="16126" xr:uid="{28710B8F-1EC5-4C49-8A06-2862F35E2A14}"/>
    <cellStyle name="Normal 74 5 5" xfId="38778" xr:uid="{4CDABAA8-0893-4AC3-830A-617EA09A0E9A}"/>
    <cellStyle name="Normal 74 6" xfId="4741" xr:uid="{00000000-0005-0000-0000-0000A8120000}"/>
    <cellStyle name="Normal 74 6 2" xfId="10266" xr:uid="{00000000-0005-0000-0000-0000F51F0000}"/>
    <cellStyle name="Normal 74 6 2 2" xfId="42755" xr:uid="{36AB74E6-5A17-4630-81D6-324AC56CC12A}"/>
    <cellStyle name="Normal 74 6 3" xfId="8022" xr:uid="{00000000-0005-0000-0000-00001A0F0000}"/>
    <cellStyle name="Normal 74 6 3 2" xfId="40863" xr:uid="{58571A63-2029-424D-AE5E-42C9E69AFFCB}"/>
    <cellStyle name="Normal 74 6 4" xfId="16127" xr:uid="{29061CB9-3C2C-4FCE-B5BD-540B92CAACCF}"/>
    <cellStyle name="Normal 74 6 5" xfId="38779" xr:uid="{4845B2FC-456F-47B9-A0A0-51A9891AFBF1}"/>
    <cellStyle name="Normal 74 7" xfId="4742" xr:uid="{00000000-0005-0000-0000-0000A9120000}"/>
    <cellStyle name="Normal 74 7 2" xfId="10267" xr:uid="{00000000-0005-0000-0000-0000F61F0000}"/>
    <cellStyle name="Normal 74 7 2 2" xfId="42756" xr:uid="{AAFF5FF6-A969-4C83-B753-0D35D2BD71CC}"/>
    <cellStyle name="Normal 74 7 3" xfId="8023" xr:uid="{00000000-0005-0000-0000-00001B0F0000}"/>
    <cellStyle name="Normal 74 7 3 2" xfId="40864" xr:uid="{780082D1-1DC0-4DE4-9E80-6F234F01DB9B}"/>
    <cellStyle name="Normal 74 7 4" xfId="16128" xr:uid="{93A173F2-F0BA-4458-953D-F1044AA29461}"/>
    <cellStyle name="Normal 74 7 5" xfId="38780" xr:uid="{6BB81C45-EF75-43A8-90EB-7677BCB660BB}"/>
    <cellStyle name="Normal 74 8" xfId="4743" xr:uid="{00000000-0005-0000-0000-0000AA120000}"/>
    <cellStyle name="Normal 74 8 2" xfId="10268" xr:uid="{00000000-0005-0000-0000-0000F71F0000}"/>
    <cellStyle name="Normal 74 8 2 2" xfId="42757" xr:uid="{B30A0297-0FDF-4027-8EA4-486D61F1E104}"/>
    <cellStyle name="Normal 74 8 3" xfId="8024" xr:uid="{00000000-0005-0000-0000-00001C0F0000}"/>
    <cellStyle name="Normal 74 8 3 2" xfId="40865" xr:uid="{40DD351A-BA1B-4953-9C89-29DCD6D07376}"/>
    <cellStyle name="Normal 74 8 4" xfId="16129" xr:uid="{47DF686A-A49C-444F-BC3B-18A0C009D673}"/>
    <cellStyle name="Normal 74 8 5" xfId="38781" xr:uid="{6CB72C26-C6D8-427E-AE51-0EF8ADE0D47B}"/>
    <cellStyle name="Normal 75" xfId="20563" xr:uid="{4543D34E-C212-4F1A-BB6F-0DC6F6CE1EFE}"/>
    <cellStyle name="Normal 75 2" xfId="4744" xr:uid="{00000000-0005-0000-0000-0000AB120000}"/>
    <cellStyle name="Normal 75 2 2" xfId="10269" xr:uid="{00000000-0005-0000-0000-0000F81F0000}"/>
    <cellStyle name="Normal 75 2 2 2" xfId="42758" xr:uid="{B1B880AB-FD9F-4B32-ACE7-0862D35D423E}"/>
    <cellStyle name="Normal 75 2 3" xfId="8025" xr:uid="{00000000-0005-0000-0000-00001D0F0000}"/>
    <cellStyle name="Normal 75 2 3 2" xfId="40866" xr:uid="{D58107B5-88B8-486E-A645-A9B6571AABFF}"/>
    <cellStyle name="Normal 75 2 4" xfId="16130" xr:uid="{28B4AB7B-850C-420A-A857-69DCBE1E1702}"/>
    <cellStyle name="Normal 75 2 5" xfId="38782" xr:uid="{12649AF0-45B3-4EEF-98A1-4FB0EF7C76FB}"/>
    <cellStyle name="Normal 75 3" xfId="4745" xr:uid="{00000000-0005-0000-0000-0000AC120000}"/>
    <cellStyle name="Normal 75 3 2" xfId="10270" xr:uid="{00000000-0005-0000-0000-0000F91F0000}"/>
    <cellStyle name="Normal 75 3 2 2" xfId="42759" xr:uid="{B2330A3B-CD8B-45EB-B7A5-656F12C9E911}"/>
    <cellStyle name="Normal 75 3 3" xfId="8026" xr:uid="{00000000-0005-0000-0000-00001E0F0000}"/>
    <cellStyle name="Normal 75 3 3 2" xfId="40867" xr:uid="{B2223F3F-CA60-4B63-AF72-D39D88798F25}"/>
    <cellStyle name="Normal 75 3 4" xfId="16131" xr:uid="{62C27DB8-A40D-441C-B61A-F65783662B95}"/>
    <cellStyle name="Normal 75 3 5" xfId="38783" xr:uid="{334F1654-3C5A-457B-9D7E-1F63732E8CAF}"/>
    <cellStyle name="Normal 75 4" xfId="4746" xr:uid="{00000000-0005-0000-0000-0000AD120000}"/>
    <cellStyle name="Normal 75 4 2" xfId="10271" xr:uid="{00000000-0005-0000-0000-0000FA1F0000}"/>
    <cellStyle name="Normal 75 4 2 2" xfId="42760" xr:uid="{EFDFBEF0-97C1-4F17-BEB8-122E8EC00ECF}"/>
    <cellStyle name="Normal 75 4 3" xfId="8027" xr:uid="{00000000-0005-0000-0000-00001F0F0000}"/>
    <cellStyle name="Normal 75 4 3 2" xfId="40868" xr:uid="{63E93068-8A04-4B62-BBD6-DB0BBFE26D76}"/>
    <cellStyle name="Normal 75 4 4" xfId="16132" xr:uid="{F37D9B8D-0B2E-4154-94CF-D1B8FA4E8E12}"/>
    <cellStyle name="Normal 75 4 5" xfId="38784" xr:uid="{2C1E2074-8B40-41C9-8C24-B3934C201B37}"/>
    <cellStyle name="Normal 75 5" xfId="4747" xr:uid="{00000000-0005-0000-0000-0000AE120000}"/>
    <cellStyle name="Normal 75 5 2" xfId="10272" xr:uid="{00000000-0005-0000-0000-0000FB1F0000}"/>
    <cellStyle name="Normal 75 5 2 2" xfId="42761" xr:uid="{E7918F2C-5130-48F4-9309-F8B40CD4DD77}"/>
    <cellStyle name="Normal 75 5 3" xfId="8028" xr:uid="{00000000-0005-0000-0000-0000200F0000}"/>
    <cellStyle name="Normal 75 5 3 2" xfId="40869" xr:uid="{B4268390-45A6-47A2-9F17-68D577BC0EBB}"/>
    <cellStyle name="Normal 75 5 4" xfId="16133" xr:uid="{8EE15F70-FB75-4FFD-9DF7-A659736B4035}"/>
    <cellStyle name="Normal 75 5 5" xfId="38785" xr:uid="{41960218-4398-43E2-8119-E3DA919541E0}"/>
    <cellStyle name="Normal 75 6" xfId="4748" xr:uid="{00000000-0005-0000-0000-0000AF120000}"/>
    <cellStyle name="Normal 75 6 2" xfId="10273" xr:uid="{00000000-0005-0000-0000-0000FC1F0000}"/>
    <cellStyle name="Normal 75 6 2 2" xfId="42762" xr:uid="{5E0956FF-A9CD-4E05-8F25-8F4E68826116}"/>
    <cellStyle name="Normal 75 6 3" xfId="8029" xr:uid="{00000000-0005-0000-0000-0000210F0000}"/>
    <cellStyle name="Normal 75 6 3 2" xfId="40870" xr:uid="{733E6635-2DC2-4EC2-8F0E-2CE23F9740AB}"/>
    <cellStyle name="Normal 75 6 4" xfId="16134" xr:uid="{3BE7B12F-078B-4BDC-9E1B-1DEC0ADFB9F5}"/>
    <cellStyle name="Normal 75 6 5" xfId="38786" xr:uid="{EC1078CD-8763-459D-A9A9-61A1FCBE6558}"/>
    <cellStyle name="Normal 75 7" xfId="4749" xr:uid="{00000000-0005-0000-0000-0000B0120000}"/>
    <cellStyle name="Normal 75 7 2" xfId="10274" xr:uid="{00000000-0005-0000-0000-0000FD1F0000}"/>
    <cellStyle name="Normal 75 7 2 2" xfId="42763" xr:uid="{7B800D96-8B54-4714-AFB0-6F88638F0972}"/>
    <cellStyle name="Normal 75 7 3" xfId="8030" xr:uid="{00000000-0005-0000-0000-0000220F0000}"/>
    <cellStyle name="Normal 75 7 3 2" xfId="40871" xr:uid="{3EAC1485-6FE0-4461-B215-B7C377D21E60}"/>
    <cellStyle name="Normal 75 7 4" xfId="16135" xr:uid="{E06F1337-7748-4A29-B1EF-E5DAABAC7398}"/>
    <cellStyle name="Normal 75 7 5" xfId="38787" xr:uid="{D6B1253E-1155-45DC-A5F9-8B820BEC0E20}"/>
    <cellStyle name="Normal 75 8" xfId="4750" xr:uid="{00000000-0005-0000-0000-0000B1120000}"/>
    <cellStyle name="Normal 75 8 2" xfId="10275" xr:uid="{00000000-0005-0000-0000-0000FE1F0000}"/>
    <cellStyle name="Normal 75 8 2 2" xfId="42764" xr:uid="{0E684D1D-C2D0-42BB-8463-A667244E13FD}"/>
    <cellStyle name="Normal 75 8 3" xfId="8031" xr:uid="{00000000-0005-0000-0000-0000230F0000}"/>
    <cellStyle name="Normal 75 8 3 2" xfId="40872" xr:uid="{D1FA3733-F32D-4552-99A4-80EE2F1B3E64}"/>
    <cellStyle name="Normal 75 8 4" xfId="16136" xr:uid="{2F667763-6CD6-424B-B737-5B4BD7588F56}"/>
    <cellStyle name="Normal 75 8 5" xfId="38788" xr:uid="{DF99A35B-772C-433A-A1C8-08BE4BA2A0DC}"/>
    <cellStyle name="Normal 76" xfId="4751" xr:uid="{00000000-0005-0000-0000-0000B2120000}"/>
    <cellStyle name="Normal 76 2" xfId="10276" xr:uid="{00000000-0005-0000-0000-0000FF1F0000}"/>
    <cellStyle name="Normal 76 2 2" xfId="42765" xr:uid="{40DA418B-4CBF-4230-AD50-BAD7723E69C0}"/>
    <cellStyle name="Normal 76 3" xfId="8032" xr:uid="{00000000-0005-0000-0000-0000240F0000}"/>
    <cellStyle name="Normal 76 4" xfId="38789" xr:uid="{9861466D-5149-40CC-9386-3FD095AF0CA3}"/>
    <cellStyle name="Normal 77" xfId="4752" xr:uid="{00000000-0005-0000-0000-0000B3120000}"/>
    <cellStyle name="Normal 77 2" xfId="10277" xr:uid="{00000000-0005-0000-0000-000000200000}"/>
    <cellStyle name="Normal 77 2 2" xfId="42766" xr:uid="{7E48F40C-0747-40CA-80D9-422428084068}"/>
    <cellStyle name="Normal 77 3" xfId="8033" xr:uid="{00000000-0005-0000-0000-0000250F0000}"/>
    <cellStyle name="Normal 77 4" xfId="38790" xr:uid="{53754811-B528-4621-921A-A6CB37B9896F}"/>
    <cellStyle name="Normal 78" xfId="21153" xr:uid="{F60594B2-EDEF-4F1E-BF95-4022FBE0F856}"/>
    <cellStyle name="Normal 79" xfId="21218" xr:uid="{40FC650B-2BA2-4D5F-8328-263220C17120}"/>
    <cellStyle name="Normal 8" xfId="4753" xr:uid="{00000000-0005-0000-0000-0000B4120000}"/>
    <cellStyle name="Normal-- 8" xfId="4754" xr:uid="{00000000-0005-0000-0000-0000B5120000}"/>
    <cellStyle name="Normal 8 10" xfId="4755" xr:uid="{00000000-0005-0000-0000-0000B6120000}"/>
    <cellStyle name="Normal-- 8 10" xfId="8779" xr:uid="{00000000-0005-0000-0000-0000FA230000}"/>
    <cellStyle name="Normal 8 10 10" xfId="9046" xr:uid="{00000000-0005-0000-0000-0000F3250000}"/>
    <cellStyle name="Normal 8 10 10 2" xfId="41659" xr:uid="{4615162E-5B9B-4F48-ABE4-54DD08618657}"/>
    <cellStyle name="Normal 8 10 11" xfId="12807" xr:uid="{00000000-0005-0000-0000-000044260000}"/>
    <cellStyle name="Normal 8 10 11 2" xfId="45278" xr:uid="{DBE80877-D5E7-4837-8B9C-C1EF897C64D9}"/>
    <cellStyle name="Normal 8 10 12" xfId="9121" xr:uid="{00000000-0005-0000-0000-000099260000}"/>
    <cellStyle name="Normal 8 10 12 2" xfId="41722" xr:uid="{8E34DF03-78F0-4748-B572-339CD972C119}"/>
    <cellStyle name="Normal 8 10 13" xfId="12852" xr:uid="{00000000-0005-0000-0000-0000F2260000}"/>
    <cellStyle name="Normal 8 10 13 2" xfId="45323" xr:uid="{08CB71C0-357A-4940-B9DE-74158303655B}"/>
    <cellStyle name="Normal 8 10 14" xfId="9206" xr:uid="{00000000-0005-0000-0000-00004F270000}"/>
    <cellStyle name="Normal 8 10 14 2" xfId="41771" xr:uid="{D435B102-899A-49D2-9F6C-C934A2812FF8}"/>
    <cellStyle name="Normal 8 10 15" xfId="12885" xr:uid="{00000000-0005-0000-0000-0000B0270000}"/>
    <cellStyle name="Normal 8 10 15 2" xfId="45356" xr:uid="{9ABA97BE-C02F-4BBF-B6C2-499B67F1F31A}"/>
    <cellStyle name="Normal 8 10 16" xfId="8036" xr:uid="{00000000-0005-0000-0000-0000280F0000}"/>
    <cellStyle name="Normal 8 10 17" xfId="13294" xr:uid="{00000000-0005-0000-0000-0000D7300000}"/>
    <cellStyle name="Normal 8 10 17 2" xfId="45758" xr:uid="{1E2E234D-0979-4087-9F80-A5DCF91B7EA2}"/>
    <cellStyle name="Normal 8 10 18" xfId="11348" xr:uid="{00000000-0005-0000-0000-000044310000}"/>
    <cellStyle name="Normal 8 10 18 2" xfId="43837" xr:uid="{41561475-6CDD-4B3D-96DF-ED0D1B288EF3}"/>
    <cellStyle name="Normal 8 10 19" xfId="13360" xr:uid="{00000000-0005-0000-0000-0000B5310000}"/>
    <cellStyle name="Normal 8 10 19 2" xfId="45824" xr:uid="{058DDF88-1276-420F-BBC5-F43E15296A4E}"/>
    <cellStyle name="Normal 8 10 2" xfId="10280" xr:uid="{00000000-0005-0000-0000-000003200000}"/>
    <cellStyle name="Normal-- 8 10 2" xfId="41456" xr:uid="{A238A976-5ABF-476D-8E3B-C7CE2173E7AF}"/>
    <cellStyle name="Normal 8 10 2 2" xfId="42769" xr:uid="{46A4217E-C99C-4881-93B7-07AD9D570C83}"/>
    <cellStyle name="Normal 8 10 2 3" xfId="47559" xr:uid="{9B0901FD-8D3C-4D1D-8F07-DCD688F815FE}"/>
    <cellStyle name="Normal 8 10 2 4" xfId="48201" xr:uid="{29F631A8-CA69-4008-8CC3-AAC4B9B2E3AF}"/>
    <cellStyle name="Normal 8 10 2 5" xfId="40532" xr:uid="{027D502F-D7D7-4D25-91DA-ACC9F9CE6988}"/>
    <cellStyle name="Normal 8 10 2 6" xfId="46666" xr:uid="{AA8838D6-9D99-4AC5-AF93-B39365F86FEB}"/>
    <cellStyle name="Normal 8 10 2 7" xfId="14544" xr:uid="{201423A4-561C-4DBF-BABF-4E34498AEA6E}"/>
    <cellStyle name="Normal 8 10 2 8" xfId="37751" xr:uid="{D219AFD1-FA1E-471D-A92F-7037CE14CABC}"/>
    <cellStyle name="Normal 8 10 2 9" xfId="48746" xr:uid="{BAB760E5-580B-42B9-8891-BB1A118F0886}"/>
    <cellStyle name="Normal 8 10 20" xfId="11275" xr:uid="{00000000-0005-0000-0000-00002A320000}"/>
    <cellStyle name="Normal 8 10 20 2" xfId="43764" xr:uid="{7EE68D69-2AB7-4B76-AD92-D1BD64034358}"/>
    <cellStyle name="Normal 8 10 21" xfId="13419" xr:uid="{00000000-0005-0000-0000-0000A3320000}"/>
    <cellStyle name="Normal 8 10 21 2" xfId="45883" xr:uid="{F97A6061-DE4F-4B77-9F67-76B7CF6B8BE8}"/>
    <cellStyle name="Normal 8 10 22" xfId="11212" xr:uid="{00000000-0005-0000-0000-000020330000}"/>
    <cellStyle name="Normal 8 10 22 2" xfId="43701" xr:uid="{2CBCF12B-B54F-4EB8-9F5D-1A0B89CE18EF}"/>
    <cellStyle name="Normal 8 10 23" xfId="13483" xr:uid="{00000000-0005-0000-0000-0000A1330000}"/>
    <cellStyle name="Normal 8 10 23 2" xfId="45947" xr:uid="{626AA353-542F-41E0-BEC9-F1F64F04F1C7}"/>
    <cellStyle name="Normal 8 10 24" xfId="11151" xr:uid="{00000000-0005-0000-0000-000026340000}"/>
    <cellStyle name="Normal 8 10 24 2" xfId="43640" xr:uid="{9145AC9F-9D19-4F7B-9AFF-7E80998A96CA}"/>
    <cellStyle name="Normal 8 10 25" xfId="13550" xr:uid="{00000000-0005-0000-0000-0000AF340000}"/>
    <cellStyle name="Normal 8 10 25 2" xfId="46014" xr:uid="{34B9334D-9376-4D6C-BF2F-AC1FC76EE38E}"/>
    <cellStyle name="Normal 8 10 26" xfId="11082" xr:uid="{00000000-0005-0000-0000-00003C350000}"/>
    <cellStyle name="Normal 8 10 26 2" xfId="43571" xr:uid="{183AD985-22BB-4EE3-A6BD-799ED65E22FE}"/>
    <cellStyle name="Normal 8 10 27" xfId="16141" xr:uid="{088DC69D-8D46-4F22-9F2D-EE68235E9F3F}"/>
    <cellStyle name="Normal 8 10 28" xfId="38793" xr:uid="{9E6D523F-F495-4209-B02D-38CF6174F40E}"/>
    <cellStyle name="Normal 8 10 29" xfId="40362" xr:uid="{D23BF3CD-B532-4A2E-BF87-43211CC36DCD}"/>
    <cellStyle name="Normal 8 10 3" xfId="12657" xr:uid="{00000000-0005-0000-0000-00002C240000}"/>
    <cellStyle name="Normal-- 8 10 3" xfId="46981" xr:uid="{AE4979AB-0A3C-43AD-BEBC-32E509777A4D}"/>
    <cellStyle name="Normal 8 10 3 2" xfId="45128" xr:uid="{921F6E86-A833-46D9-BAF8-24F3F10D6EBF}"/>
    <cellStyle name="Normal 8 10 3 3" xfId="15925" xr:uid="{ABDA19F1-F80F-4F3A-B012-7B0A8E30A9FE}"/>
    <cellStyle name="Normal 8 10 3 4" xfId="46774" xr:uid="{3598DC5C-C696-48E9-9BC0-37B358D25CFA}"/>
    <cellStyle name="Normal 8 10 3 5" xfId="48615" xr:uid="{10AE0685-6B14-4438-A3E7-B1AB83DE4D9D}"/>
    <cellStyle name="Normal 8 10 3 6" xfId="49454" xr:uid="{48E581EC-1129-46F2-8060-E9AC4A1205B8}"/>
    <cellStyle name="Normal 8 10 3 7" xfId="47765" xr:uid="{CF104B5F-B842-47EA-BDF7-05AAEBD5283B}"/>
    <cellStyle name="Normal 8 10 3 8" xfId="50036" xr:uid="{407B9A0C-0EBC-4C20-BC85-9353581ADE47}"/>
    <cellStyle name="Normal 8 10 30" xfId="46112" xr:uid="{BFE9DD35-991F-46EC-B86C-F2A61593BA86}"/>
    <cellStyle name="Normal 8 10 31" xfId="46926" xr:uid="{41942874-6F9B-4137-AC45-FBFF8A4FC8FF}"/>
    <cellStyle name="Normal 8 10 32" xfId="46488" xr:uid="{05128719-9018-4E75-A8B0-8256E3F3D0EC}"/>
    <cellStyle name="Normal 8 10 33" xfId="46218" xr:uid="{EB966613-644C-46BB-AA16-E383FBAB1756}"/>
    <cellStyle name="Normal 8 10 34" xfId="48866" xr:uid="{7C1C943A-1663-4B63-A0B1-3E9EABF75A5A}"/>
    <cellStyle name="Normal 8 10 35" xfId="49379" xr:uid="{44CAE7AE-C14A-40A8-8CB8-20836161F2B7}"/>
    <cellStyle name="Normal 8 10 4" xfId="8823" xr:uid="{00000000-0005-0000-0000-000061240000}"/>
    <cellStyle name="Normal-- 8 10 4" xfId="46610" xr:uid="{EB5B0006-74DA-42EF-B970-C8CDC7DF61C2}"/>
    <cellStyle name="Normal 8 10 4 2" xfId="41487" xr:uid="{34A6A167-3269-493C-8AF9-84AA87262F30}"/>
    <cellStyle name="Normal 8 10 4 3" xfId="40331" xr:uid="{6DD2039F-AF46-496A-A53E-7C69198F2A8B}"/>
    <cellStyle name="Normal 8 10 4 4" xfId="40363" xr:uid="{D92DDBB4-3490-4260-B1B9-513997949A6D}"/>
    <cellStyle name="Normal 8 10 4 5" xfId="40609" xr:uid="{DA462AA5-5DF5-4FCE-A993-BC6BA398986C}"/>
    <cellStyle name="Normal 8 10 4 6" xfId="49080" xr:uid="{D2C22F65-544A-4B11-87CD-7A540376ABED}"/>
    <cellStyle name="Normal 8 10 4 7" xfId="49472" xr:uid="{EE30531C-1358-4815-A484-6D4C8513C9D2}"/>
    <cellStyle name="Normal 8 10 5" xfId="12680" xr:uid="{00000000-0005-0000-0000-00009A240000}"/>
    <cellStyle name="Normal-- 8 10 5" xfId="46743" xr:uid="{1A998D97-5E93-46AA-B1F1-8FB7AA07D55F}"/>
    <cellStyle name="Normal 8 10 5 2" xfId="45151" xr:uid="{D91AEEE2-12DD-458A-9236-5F3CA5CA1D58}"/>
    <cellStyle name="Normal 8 10 5 3" xfId="47453" xr:uid="{0E37C189-5D08-4EE7-8673-E8559A7E5041}"/>
    <cellStyle name="Normal 8 10 5 4" xfId="49460" xr:uid="{7E9EB702-D456-4250-8AA4-FE995F3C8ABC}"/>
    <cellStyle name="Normal 8 10 5 5" xfId="49700" xr:uid="{DAAFED3C-4DC1-4FEB-B874-FA8DADADB5E9}"/>
    <cellStyle name="Normal 8 10 5 6" xfId="50044" xr:uid="{F3CE2911-2580-4368-AA1B-A621AE8FE7F0}"/>
    <cellStyle name="Normal 8 10 6" xfId="8891" xr:uid="{00000000-0005-0000-0000-0000D7240000}"/>
    <cellStyle name="Normal-- 8 10 6" xfId="47931" xr:uid="{3F070017-F5B4-4D8A-9D8A-59ECD913BFB6}"/>
    <cellStyle name="Normal 8 10 6 2" xfId="41539" xr:uid="{3796F36A-D3F1-4B85-856C-2B1EB823459D}"/>
    <cellStyle name="Normal 8 10 6 3" xfId="46190" xr:uid="{60C6BB4F-0C58-40D5-8F2B-85949C00FE70}"/>
    <cellStyle name="Normal 8 10 6 4" xfId="16088" xr:uid="{E89A5925-3067-4D5A-8CEA-96ED95EE9E17}"/>
    <cellStyle name="Normal 8 10 6 5" xfId="47300" xr:uid="{D63D6C54-C7A7-4A8A-A069-0EDC676A4E2D}"/>
    <cellStyle name="Normal 8 10 7" xfId="12716" xr:uid="{00000000-0005-0000-0000-000018250000}"/>
    <cellStyle name="Normal-- 8 10 7" xfId="48512" xr:uid="{D7AFD335-92D3-4658-9E42-A711C501C7AC}"/>
    <cellStyle name="Normal 8 10 7 2" xfId="45187" xr:uid="{FED5039A-BF95-496D-A56D-B4E28F3CADC5}"/>
    <cellStyle name="Normal 8 10 7 3" xfId="49714" xr:uid="{775A27F5-7553-45D4-BD5D-758E00D49A6C}"/>
    <cellStyle name="Normal 8 10 7 4" xfId="50060" xr:uid="{00BD6E8B-3EF1-4828-8B36-9F2F35EE3D8B}"/>
    <cellStyle name="Normal 8 10 8" xfId="8966" xr:uid="{00000000-0005-0000-0000-00005D250000}"/>
    <cellStyle name="Normal-- 8 10 8" xfId="47250" xr:uid="{605F9F02-9B66-436E-ABE2-0212DEFD1A05}"/>
    <cellStyle name="Normal 8 10 8 2" xfId="41600" xr:uid="{71E99444-7EC6-4CFF-908E-C6354D24D182}"/>
    <cellStyle name="Normal 8 10 8 3" xfId="47542" xr:uid="{705D710F-C16D-4295-900B-E1702D016FE4}"/>
    <cellStyle name="Normal 8 10 9" xfId="12764" xr:uid="{00000000-0005-0000-0000-0000A6250000}"/>
    <cellStyle name="Normal-- 8 10 9" xfId="47465" xr:uid="{546A008F-58E0-4507-9D70-DD08BB1F7199}"/>
    <cellStyle name="Normal 8 10 9 2" xfId="45235" xr:uid="{ACF96DE7-98BE-4429-8FDC-9CFAC20847D1}"/>
    <cellStyle name="Normal 8 11" xfId="4756" xr:uid="{00000000-0005-0000-0000-0000B7120000}"/>
    <cellStyle name="Normal-- 8 11" xfId="12656" xr:uid="{00000000-0005-0000-0000-00002B240000}"/>
    <cellStyle name="Normal 8 11 10" xfId="12808" xr:uid="{00000000-0005-0000-0000-000045260000}"/>
    <cellStyle name="Normal 8 11 10 2" xfId="45279" xr:uid="{249F5E12-DBA3-43DA-9BC7-958255F460C2}"/>
    <cellStyle name="Normal 8 11 11" xfId="9122" xr:uid="{00000000-0005-0000-0000-00009A260000}"/>
    <cellStyle name="Normal 8 11 11 2" xfId="41723" xr:uid="{387333D3-DBF0-4DC4-B3B6-DAFC6611C095}"/>
    <cellStyle name="Normal 8 11 12" xfId="12853" xr:uid="{00000000-0005-0000-0000-0000F3260000}"/>
    <cellStyle name="Normal 8 11 12 2" xfId="45324" xr:uid="{8C2F5B43-05FC-4286-8835-DB865E00180B}"/>
    <cellStyle name="Normal 8 11 13" xfId="9207" xr:uid="{00000000-0005-0000-0000-000050270000}"/>
    <cellStyle name="Normal 8 11 13 2" xfId="41772" xr:uid="{80518738-CBF3-4B70-9037-3A686A86D5BA}"/>
    <cellStyle name="Normal 8 11 14" xfId="12886" xr:uid="{00000000-0005-0000-0000-0000B1270000}"/>
    <cellStyle name="Normal 8 11 14 2" xfId="45357" xr:uid="{2553BFDE-FC57-457D-93F2-CC323BCD7407}"/>
    <cellStyle name="Normal 8 11 15" xfId="8037" xr:uid="{00000000-0005-0000-0000-0000290F0000}"/>
    <cellStyle name="Normal 8 11 16" xfId="13295" xr:uid="{00000000-0005-0000-0000-0000D8300000}"/>
    <cellStyle name="Normal 8 11 16 2" xfId="45759" xr:uid="{FD3500C7-45F8-41F2-BFD2-B47D20ABF541}"/>
    <cellStyle name="Normal 8 11 17" xfId="11347" xr:uid="{00000000-0005-0000-0000-000045310000}"/>
    <cellStyle name="Normal 8 11 17 2" xfId="43836" xr:uid="{5327C0DF-444B-4FAC-90DF-782326AB927E}"/>
    <cellStyle name="Normal 8 11 18" xfId="13361" xr:uid="{00000000-0005-0000-0000-0000B6310000}"/>
    <cellStyle name="Normal 8 11 18 2" xfId="45825" xr:uid="{A9CC74CE-14C9-4796-80B5-FC280F7CC9C7}"/>
    <cellStyle name="Normal 8 11 19" xfId="11274" xr:uid="{00000000-0005-0000-0000-00002B320000}"/>
    <cellStyle name="Normal 8 11 19 2" xfId="43763" xr:uid="{50E07EB2-FBBC-4059-8CE3-B917A7D3D846}"/>
    <cellStyle name="Normal 8 11 2" xfId="10281" xr:uid="{00000000-0005-0000-0000-000004200000}"/>
    <cellStyle name="Normal-- 8 11 2" xfId="45127" xr:uid="{1CB7CBA2-655A-4616-8677-D645B0F76E4E}"/>
    <cellStyle name="Normal 8 11 2 2" xfId="42770" xr:uid="{11D9ACF0-E153-4AE7-9B92-38B907955C6E}"/>
    <cellStyle name="Normal 8 11 2 3" xfId="47560" xr:uid="{401BE4E3-DF71-4565-BA22-8DA5B0E9D12F}"/>
    <cellStyle name="Normal 8 11 2 4" xfId="46343" xr:uid="{7617F38B-CF99-454F-9BAC-5FC95CF6DD62}"/>
    <cellStyle name="Normal 8 11 2 5" xfId="15080" xr:uid="{646DAD6B-92E2-4847-9DEB-6DFC47770696}"/>
    <cellStyle name="Normal 8 11 2 6" xfId="15170" xr:uid="{731E7176-891E-47C2-9AE1-61C49805CBB3}"/>
    <cellStyle name="Normal 8 11 2 7" xfId="15260" xr:uid="{D38A44DB-ACA6-4EB3-880E-4A5B48FA8FE9}"/>
    <cellStyle name="Normal 8 11 2 8" xfId="47087" xr:uid="{98BBCD46-0D3E-438F-B59E-82AA9FB948F5}"/>
    <cellStyle name="Normal 8 11 2 9" xfId="47409" xr:uid="{33AB3799-52DE-430F-ACB8-B5187CE47032}"/>
    <cellStyle name="Normal 8 11 20" xfId="13420" xr:uid="{00000000-0005-0000-0000-0000A4320000}"/>
    <cellStyle name="Normal 8 11 20 2" xfId="45884" xr:uid="{22B7A70B-2015-4309-A88A-4D5EFEB09D21}"/>
    <cellStyle name="Normal 8 11 21" xfId="11211" xr:uid="{00000000-0005-0000-0000-000021330000}"/>
    <cellStyle name="Normal 8 11 21 2" xfId="43700" xr:uid="{FBF44857-530B-4925-B327-25F4647FF21F}"/>
    <cellStyle name="Normal 8 11 22" xfId="13484" xr:uid="{00000000-0005-0000-0000-0000A2330000}"/>
    <cellStyle name="Normal 8 11 22 2" xfId="45948" xr:uid="{D80B9DB1-59C7-4208-AAE3-785DE658D214}"/>
    <cellStyle name="Normal 8 11 23" xfId="11150" xr:uid="{00000000-0005-0000-0000-000027340000}"/>
    <cellStyle name="Normal 8 11 23 2" xfId="43639" xr:uid="{EC625D31-E8B6-4725-B5D2-A85939569C9A}"/>
    <cellStyle name="Normal 8 11 24" xfId="13551" xr:uid="{00000000-0005-0000-0000-0000B0340000}"/>
    <cellStyle name="Normal 8 11 24 2" xfId="46015" xr:uid="{E0097695-564A-4D54-B192-1956FD5B4B54}"/>
    <cellStyle name="Normal 8 11 25" xfId="11081" xr:uid="{00000000-0005-0000-0000-00003D350000}"/>
    <cellStyle name="Normal 8 11 25 2" xfId="43570" xr:uid="{8E68A62C-E4E2-4C9E-942F-A4762FD9CAA9}"/>
    <cellStyle name="Normal 8 11 26" xfId="16142" xr:uid="{299A042A-3C61-49FB-B656-0C5C2185B186}"/>
    <cellStyle name="Normal 8 11 27" xfId="38794" xr:uid="{BB85BBD1-DBC5-4914-BAF8-50552880DB75}"/>
    <cellStyle name="Normal 8 11 28" xfId="15372" xr:uid="{29267BE6-3E61-4836-AFC8-19B6D3EB718B}"/>
    <cellStyle name="Normal 8 11 29" xfId="15248" xr:uid="{4B38EE51-D958-4137-ACF1-8BA4AEB6271C}"/>
    <cellStyle name="Normal 8 11 3" xfId="8824" xr:uid="{00000000-0005-0000-0000-000062240000}"/>
    <cellStyle name="Normal-- 8 11 3" xfId="48422" xr:uid="{9BF5509E-8035-40BC-BAFD-D9486696BE03}"/>
    <cellStyle name="Normal 8 11 3 2" xfId="41488" xr:uid="{58FF831B-F50B-4242-8B2C-09DF9E91B639}"/>
    <cellStyle name="Normal 8 11 3 3" xfId="16623" xr:uid="{DDC743C8-79F0-466C-B418-1742D6791473}"/>
    <cellStyle name="Normal 8 11 3 4" xfId="40080" xr:uid="{220FC605-9255-49FE-858B-7FCF8962BE7E}"/>
    <cellStyle name="Normal 8 11 3 5" xfId="14206" xr:uid="{3871204C-2794-4507-808D-50CCCFADD2D6}"/>
    <cellStyle name="Normal 8 11 3 6" xfId="46269" xr:uid="{5C8014FA-97E3-4F58-A091-C587E1E94052}"/>
    <cellStyle name="Normal 8 11 3 7" xfId="48066" xr:uid="{729F502E-21BA-4DD9-BC18-2DE860653D1B}"/>
    <cellStyle name="Normal 8 11 3 8" xfId="15236" xr:uid="{C95D3773-7F8F-48D7-B857-616E3DAD9263}"/>
    <cellStyle name="Normal 8 11 30" xfId="15659" xr:uid="{B487D6AB-145C-40DB-BF8F-8E8105ADB308}"/>
    <cellStyle name="Normal 8 11 31" xfId="48043" xr:uid="{02D8DDFE-7F5C-4A30-96A7-04C7BC9AE9D9}"/>
    <cellStyle name="Normal 8 11 32" xfId="37770" xr:uid="{AAE559D3-440D-40FD-B724-733514299ED9}"/>
    <cellStyle name="Normal 8 11 33" xfId="15150" xr:uid="{D6E305E7-A455-49D2-BC07-5A0077F7DD75}"/>
    <cellStyle name="Normal 8 11 34" xfId="37996" xr:uid="{20447782-85D2-4674-9E51-29EDB50634FA}"/>
    <cellStyle name="Normal 8 11 4" xfId="12682" xr:uid="{00000000-0005-0000-0000-00009B240000}"/>
    <cellStyle name="Normal-- 8 11 4" xfId="15924" xr:uid="{F0038820-4654-4782-86AC-653FA295DF85}"/>
    <cellStyle name="Normal 8 11 4 2" xfId="45153" xr:uid="{C5D0AD6A-0827-467E-BF07-666588556AB0}"/>
    <cellStyle name="Normal 8 11 4 3" xfId="48605" xr:uid="{007C968B-1198-4DCA-A020-BCF42B3F6EE5}"/>
    <cellStyle name="Normal 8 11 4 4" xfId="37777" xr:uid="{266EED28-570A-44E2-9229-79F3D6F24DA0}"/>
    <cellStyle name="Normal 8 11 4 5" xfId="49462" xr:uid="{16611B08-AF48-4359-AF1F-4DA2A5994604}"/>
    <cellStyle name="Normal 8 11 4 6" xfId="49701" xr:uid="{26B6947E-BE40-43EA-B197-AA47C1177911}"/>
    <cellStyle name="Normal 8 11 4 7" xfId="50045" xr:uid="{401BC1AB-B432-4337-A59F-A4053B01648D}"/>
    <cellStyle name="Normal 8 11 5" xfId="8892" xr:uid="{00000000-0005-0000-0000-0000D8240000}"/>
    <cellStyle name="Normal-- 8 11 5" xfId="47819" xr:uid="{AD2F8475-FE26-48DF-880E-340D3F76BC13}"/>
    <cellStyle name="Normal 8 11 5 2" xfId="41540" xr:uid="{9CC008EE-8BCF-4121-B492-47AD207CF722}"/>
    <cellStyle name="Normal 8 11 5 3" xfId="47763" xr:uid="{DD9E9592-262E-42B5-9082-273F032D012C}"/>
    <cellStyle name="Normal 8 11 5 4" xfId="48918" xr:uid="{4EA64390-D062-48B2-AF8F-1851859CD0DB}"/>
    <cellStyle name="Normal 8 11 5 5" xfId="47084" xr:uid="{BF7DE22A-9C97-4045-853F-6F2A45EC3582}"/>
    <cellStyle name="Normal 8 11 5 6" xfId="40544" xr:uid="{E76BCDD9-FB46-40D7-A7F7-E78C65599FEC}"/>
    <cellStyle name="Normal 8 11 6" xfId="12717" xr:uid="{00000000-0005-0000-0000-000019250000}"/>
    <cellStyle name="Normal-- 8 11 6" xfId="41750" xr:uid="{18A6FE4C-7933-4E99-937E-883F353F1491}"/>
    <cellStyle name="Normal 8 11 6 2" xfId="45188" xr:uid="{87D8FBFE-15D8-44DD-9B44-1F9794BF6D60}"/>
    <cellStyle name="Normal 8 11 6 3" xfId="49476" xr:uid="{F6225C0A-6BA0-48AA-BC48-3FB4FA1E21F4}"/>
    <cellStyle name="Normal 8 11 6 4" xfId="49715" xr:uid="{3D51CF65-A089-4928-A8E0-2FFC66C1A0F3}"/>
    <cellStyle name="Normal 8 11 6 5" xfId="50061" xr:uid="{5DF88289-DB0E-40A5-A0A6-2DF51A24E6E7}"/>
    <cellStyle name="Normal 8 11 7" xfId="8967" xr:uid="{00000000-0005-0000-0000-00005E250000}"/>
    <cellStyle name="Normal-- 8 11 7" xfId="49453" xr:uid="{D6DCD50C-AFC4-46D6-A258-B1ADB1A8F204}"/>
    <cellStyle name="Normal 8 11 7 2" xfId="41601" xr:uid="{153FC73D-BB67-43F5-B554-8C4C1B54C0E5}"/>
    <cellStyle name="Normal 8 11 7 3" xfId="48420" xr:uid="{2C180657-7BF4-4EDB-8940-D9E587D56540}"/>
    <cellStyle name="Normal 8 11 7 4" xfId="46559" xr:uid="{0E7EECC3-C01B-4CF1-940F-CC134AE3A098}"/>
    <cellStyle name="Normal 8 11 8" xfId="12766" xr:uid="{00000000-0005-0000-0000-0000A7250000}"/>
    <cellStyle name="Normal-- 8 11 8" xfId="48611" xr:uid="{49C15FA1-378C-4CBD-8B4B-66DF3930436D}"/>
    <cellStyle name="Normal 8 11 8 2" xfId="45237" xr:uid="{E2685402-5A3C-4077-BE52-6EFFFEFBD4D7}"/>
    <cellStyle name="Normal 8 11 8 3" xfId="50077" xr:uid="{4AE417C2-679C-48E1-9131-01F25CC1EC65}"/>
    <cellStyle name="Normal 8 11 9" xfId="9047" xr:uid="{00000000-0005-0000-0000-0000F4250000}"/>
    <cellStyle name="Normal-- 8 11 9" xfId="50035" xr:uid="{D69C09BD-C138-4185-A074-DD741FD7BB18}"/>
    <cellStyle name="Normal 8 11 9 2" xfId="41660" xr:uid="{8EA1DAB7-11C9-435B-87CB-10836CCDFB75}"/>
    <cellStyle name="Normal 8 12" xfId="4757" xr:uid="{00000000-0005-0000-0000-0000B8120000}"/>
    <cellStyle name="Normal-- 8 12" xfId="8822" xr:uid="{00000000-0005-0000-0000-000060240000}"/>
    <cellStyle name="Normal 8 12 10" xfId="9123" xr:uid="{00000000-0005-0000-0000-00009B260000}"/>
    <cellStyle name="Normal 8 12 10 2" xfId="41724" xr:uid="{F1224FF6-0BF1-4300-A269-8E1CEE54BD5E}"/>
    <cellStyle name="Normal 8 12 11" xfId="12854" xr:uid="{00000000-0005-0000-0000-0000F4260000}"/>
    <cellStyle name="Normal 8 12 11 2" xfId="45325" xr:uid="{BFEB6C03-6301-4736-8D0D-7C3B88CEF906}"/>
    <cellStyle name="Normal 8 12 12" xfId="9208" xr:uid="{00000000-0005-0000-0000-000051270000}"/>
    <cellStyle name="Normal 8 12 12 2" xfId="41773" xr:uid="{6402F43B-BAA7-4AA4-A811-216DA34103F3}"/>
    <cellStyle name="Normal 8 12 13" xfId="12887" xr:uid="{00000000-0005-0000-0000-0000B2270000}"/>
    <cellStyle name="Normal 8 12 13 2" xfId="45358" xr:uid="{CA28EF04-E57A-46E2-84BE-76B8406B1CA1}"/>
    <cellStyle name="Normal 8 12 14" xfId="8038" xr:uid="{00000000-0005-0000-0000-00002A0F0000}"/>
    <cellStyle name="Normal 8 12 15" xfId="13296" xr:uid="{00000000-0005-0000-0000-0000D9300000}"/>
    <cellStyle name="Normal 8 12 15 2" xfId="45760" xr:uid="{A94DC193-0FDF-48FD-B841-F434C398A9F7}"/>
    <cellStyle name="Normal 8 12 16" xfId="11346" xr:uid="{00000000-0005-0000-0000-000046310000}"/>
    <cellStyle name="Normal 8 12 16 2" xfId="43835" xr:uid="{A7D88F52-9A38-4E30-ADC0-47BB4C592667}"/>
    <cellStyle name="Normal 8 12 17" xfId="13362" xr:uid="{00000000-0005-0000-0000-0000B7310000}"/>
    <cellStyle name="Normal 8 12 17 2" xfId="45826" xr:uid="{CF24766C-3493-41A7-9855-AA9EB2C5ABCE}"/>
    <cellStyle name="Normal 8 12 18" xfId="11273" xr:uid="{00000000-0005-0000-0000-00002C320000}"/>
    <cellStyle name="Normal 8 12 18 2" xfId="43762" xr:uid="{1453BFD4-B10A-4B07-9061-A0CF3AFD2F83}"/>
    <cellStyle name="Normal 8 12 19" xfId="13421" xr:uid="{00000000-0005-0000-0000-0000A5320000}"/>
    <cellStyle name="Normal 8 12 19 2" xfId="45885" xr:uid="{3D414F24-CB14-433B-B963-12B8D07781F2}"/>
    <cellStyle name="Normal 8 12 2" xfId="10282" xr:uid="{00000000-0005-0000-0000-000005200000}"/>
    <cellStyle name="Normal-- 8 12 2" xfId="41486" xr:uid="{361E7699-BB7A-4E09-87E0-2DD2CE1CBE23}"/>
    <cellStyle name="Normal 8 12 2 2" xfId="42771" xr:uid="{078AE765-1D12-4012-B40F-CB271B938BCC}"/>
    <cellStyle name="Normal 8 12 2 3" xfId="47561" xr:uid="{B7767CAB-1134-48A0-A5C3-430DBC18F066}"/>
    <cellStyle name="Normal 8 12 2 4" xfId="46344" xr:uid="{23201ACA-A37F-4295-8743-7F0A3B851408}"/>
    <cellStyle name="Normal 8 12 2 5" xfId="15077" xr:uid="{41CF3E83-488E-4C73-A76D-42AC9541E756}"/>
    <cellStyle name="Normal 8 12 2 6" xfId="48745" xr:uid="{E9812709-B9FA-4901-9A62-A2B854963503}"/>
    <cellStyle name="Normal 8 12 2 7" xfId="40742" xr:uid="{2A4B322A-89E3-4C36-AD7E-4572011D8EE3}"/>
    <cellStyle name="Normal 8 12 2 8" xfId="49190" xr:uid="{C0819827-D1E5-4105-8494-EA1B816CF838}"/>
    <cellStyle name="Normal 8 12 2 9" xfId="46386" xr:uid="{DEC092F6-7DA9-4094-9561-9FC6784CC933}"/>
    <cellStyle name="Normal 8 12 20" xfId="11210" xr:uid="{00000000-0005-0000-0000-000022330000}"/>
    <cellStyle name="Normal 8 12 20 2" xfId="43699" xr:uid="{C3940908-0D97-400C-A090-7957140F7D38}"/>
    <cellStyle name="Normal 8 12 21" xfId="13485" xr:uid="{00000000-0005-0000-0000-0000A3330000}"/>
    <cellStyle name="Normal 8 12 21 2" xfId="45949" xr:uid="{AD8D53A3-6369-4FA8-ABE7-86224F010636}"/>
    <cellStyle name="Normal 8 12 22" xfId="11149" xr:uid="{00000000-0005-0000-0000-000028340000}"/>
    <cellStyle name="Normal 8 12 22 2" xfId="43638" xr:uid="{BD6864A2-4AC6-47B2-852D-286B2B02A8F9}"/>
    <cellStyle name="Normal 8 12 23" xfId="13552" xr:uid="{00000000-0005-0000-0000-0000B1340000}"/>
    <cellStyle name="Normal 8 12 23 2" xfId="46016" xr:uid="{376EF41F-F9E2-416A-8FFF-D0CCE9DA8DCD}"/>
    <cellStyle name="Normal 8 12 24" xfId="11080" xr:uid="{00000000-0005-0000-0000-00003E350000}"/>
    <cellStyle name="Normal 8 12 24 2" xfId="43569" xr:uid="{5C8F2C40-3FF8-4352-941C-C696BE72AE57}"/>
    <cellStyle name="Normal 8 12 25" xfId="16143" xr:uid="{D143032F-CA07-42DC-9E1A-E1050957B6D0}"/>
    <cellStyle name="Normal 8 12 26" xfId="38795" xr:uid="{34F0DB1A-42C1-409A-813C-8730BC2F8499}"/>
    <cellStyle name="Normal 8 12 27" xfId="15373" xr:uid="{10EE61A6-E5C5-48BE-958C-7AD0D15CFD1F}"/>
    <cellStyle name="Normal 8 12 28" xfId="47400" xr:uid="{05D8D22C-6038-4D67-A7FC-04F5AA39A7A9}"/>
    <cellStyle name="Normal 8 12 29" xfId="46424" xr:uid="{902FA43E-FF31-4C25-BA69-D0EF849C2994}"/>
    <cellStyle name="Normal 8 12 3" xfId="12683" xr:uid="{00000000-0005-0000-0000-00009C240000}"/>
    <cellStyle name="Normal-- 8 12 3" xfId="47003" xr:uid="{510BA18E-1AE4-4481-AFD7-3D06AB60A20B}"/>
    <cellStyle name="Normal 8 12 3 2" xfId="45154" xr:uid="{C552BA6B-DEC1-4AAE-92E4-39572695D062}"/>
    <cellStyle name="Normal 8 12 3 3" xfId="41413" xr:uid="{52E82567-71D0-4AFB-8E7A-2088ECB68202}"/>
    <cellStyle name="Normal 8 12 3 4" xfId="47139" xr:uid="{DB20456E-1D58-406A-B0BF-82678E7E547C}"/>
    <cellStyle name="Normal 8 12 3 5" xfId="47330" xr:uid="{5F61AE3D-C35C-48F0-B4FB-519E2AFC83D4}"/>
    <cellStyle name="Normal 8 12 3 6" xfId="49463" xr:uid="{5DCB7B1B-84E7-4AC6-ADAD-8C11768E5DE0}"/>
    <cellStyle name="Normal 8 12 3 7" xfId="49702" xr:uid="{0A9E9910-42FD-4A27-A965-316D67207E3F}"/>
    <cellStyle name="Normal 8 12 3 8" xfId="50046" xr:uid="{1CE9A829-12C1-428F-8C53-9C09EBA25013}"/>
    <cellStyle name="Normal 8 12 30" xfId="41071" xr:uid="{834F1BE9-8068-41A1-9FAF-3416C6791EC0}"/>
    <cellStyle name="Normal 8 12 31" xfId="48498" xr:uid="{F1E28325-B5A0-44ED-9092-87B7FDADD3B6}"/>
    <cellStyle name="Normal 8 12 32" xfId="37755" xr:uid="{4DDAE8ED-C500-462B-80AF-F306BA2A6ABC}"/>
    <cellStyle name="Normal 8 12 33" xfId="47670" xr:uid="{93F971E8-FBC8-4D29-81A0-37B4B2BFFE85}"/>
    <cellStyle name="Normal 8 12 4" xfId="8893" xr:uid="{00000000-0005-0000-0000-0000D9240000}"/>
    <cellStyle name="Normal-- 8 12 4" xfId="46606" xr:uid="{52967DBD-4756-4BBE-9160-6B1B160C4486}"/>
    <cellStyle name="Normal 8 12 4 2" xfId="41541" xr:uid="{838219A1-7221-4E59-84CB-6EE1A86DEED6}"/>
    <cellStyle name="Normal 8 12 4 3" xfId="40086" xr:uid="{48C98EF9-6159-4961-A3BD-5797815E699B}"/>
    <cellStyle name="Normal 8 12 4 4" xfId="47550" xr:uid="{E528C27E-076A-4695-BADE-A1D8619C5F6E}"/>
    <cellStyle name="Normal 8 12 4 5" xfId="47437" xr:uid="{4264CDE9-4F7D-40F0-B7CA-9D189D787AD4}"/>
    <cellStyle name="Normal 8 12 4 6" xfId="15501" xr:uid="{EC58CE5D-F8EF-4E4B-8116-0D36761EF2F4}"/>
    <cellStyle name="Normal 8 12 4 7" xfId="49657" xr:uid="{4E2011AB-9D52-4B90-939D-68D62FF9C0CF}"/>
    <cellStyle name="Normal 8 12 5" xfId="12718" xr:uid="{00000000-0005-0000-0000-00001A250000}"/>
    <cellStyle name="Normal-- 8 12 5" xfId="47181" xr:uid="{9FF9E082-E92D-4A53-8B7C-A692FA8F62CE}"/>
    <cellStyle name="Normal 8 12 5 2" xfId="45189" xr:uid="{B37F36A3-A0E4-4FA0-AF60-3633FFA2F73B}"/>
    <cellStyle name="Normal 8 12 5 3" xfId="15816" xr:uid="{EC087681-BFE3-4975-9BA2-80E7665E3696}"/>
    <cellStyle name="Normal 8 12 5 4" xfId="49477" xr:uid="{27A626C9-18CE-48C6-AC26-603B6E5790AF}"/>
    <cellStyle name="Normal 8 12 5 5" xfId="49716" xr:uid="{F6F18DBF-E4BC-4BC6-865C-6ADEDEBD8F69}"/>
    <cellStyle name="Normal 8 12 5 6" xfId="50062" xr:uid="{E6AF0FBD-3D73-4F9A-B237-A42EC92693E0}"/>
    <cellStyle name="Normal 8 12 6" xfId="8968" xr:uid="{00000000-0005-0000-0000-00005F250000}"/>
    <cellStyle name="Normal-- 8 12 6" xfId="46710" xr:uid="{F16D6F6E-8244-4CD5-A5C2-62E59870FEDC}"/>
    <cellStyle name="Normal 8 12 6 2" xfId="41602" xr:uid="{98AD639C-574F-4B05-B53D-5BB2C9D7B359}"/>
    <cellStyle name="Normal 8 12 6 3" xfId="41498" xr:uid="{7CB9E0B5-D955-43EE-8E64-F88530E509ED}"/>
    <cellStyle name="Normal 8 12 6 4" xfId="15411" xr:uid="{800EF880-7BCE-4EC6-8775-5A18E19F1722}"/>
    <cellStyle name="Normal 8 12 6 5" xfId="15034" xr:uid="{68831322-98E7-40E5-9E65-E5EDC1F46EF9}"/>
    <cellStyle name="Normal 8 12 7" xfId="12767" xr:uid="{00000000-0005-0000-0000-0000A8250000}"/>
    <cellStyle name="Normal-- 8 12 7" xfId="48935" xr:uid="{4D570BDA-31C1-4853-BB16-78AF75EE45F2}"/>
    <cellStyle name="Normal 8 12 7 2" xfId="45238" xr:uid="{A55B4306-0351-44FC-92DC-6AEB1FAE8169}"/>
    <cellStyle name="Normal 8 12 7 3" xfId="49728" xr:uid="{81813EF3-6599-42A3-8A6A-2CC3ED9D9373}"/>
    <cellStyle name="Normal 8 12 7 4" xfId="50078" xr:uid="{C14C7609-FA0C-4DAB-B62F-CE7DE998C1EF}"/>
    <cellStyle name="Normal 8 12 8" xfId="9048" xr:uid="{00000000-0005-0000-0000-0000F5250000}"/>
    <cellStyle name="Normal-- 8 12 8" xfId="14987" xr:uid="{B8C73785-2E26-4085-A2AD-034FE7102A4C}"/>
    <cellStyle name="Normal 8 12 8 2" xfId="41661" xr:uid="{C5008F18-7E25-4330-8EF7-BE1EDA0C14DD}"/>
    <cellStyle name="Normal 8 12 8 3" xfId="46086" xr:uid="{AA3F3A39-F4FD-4E94-9C7A-6EA1E0803584}"/>
    <cellStyle name="Normal 8 12 9" xfId="12809" xr:uid="{00000000-0005-0000-0000-000046260000}"/>
    <cellStyle name="Normal-- 8 12 9" xfId="47242" xr:uid="{931ED1CE-25DD-4B9D-BE07-8918F82ED2B2}"/>
    <cellStyle name="Normal 8 12 9 2" xfId="45280" xr:uid="{1D9E03BF-BB24-4720-8E56-FE18527135DE}"/>
    <cellStyle name="Normal 8 13" xfId="4758" xr:uid="{00000000-0005-0000-0000-0000B9120000}"/>
    <cellStyle name="Normal-- 8 13" xfId="12679" xr:uid="{00000000-0005-0000-0000-000099240000}"/>
    <cellStyle name="Normal 8 13 10" xfId="12855" xr:uid="{00000000-0005-0000-0000-0000F5260000}"/>
    <cellStyle name="Normal 8 13 10 2" xfId="45326" xr:uid="{9F43234F-AF15-4AFB-9376-186B9B092684}"/>
    <cellStyle name="Normal 8 13 11" xfId="9209" xr:uid="{00000000-0005-0000-0000-000052270000}"/>
    <cellStyle name="Normal 8 13 11 2" xfId="41774" xr:uid="{50B31AFD-CBBD-4B5E-AD84-D511C3EF5ECF}"/>
    <cellStyle name="Normal 8 13 12" xfId="12888" xr:uid="{00000000-0005-0000-0000-0000B3270000}"/>
    <cellStyle name="Normal 8 13 12 2" xfId="45359" xr:uid="{FA8D00A8-54A4-41BB-85B8-F45FF408C347}"/>
    <cellStyle name="Normal 8 13 13" xfId="8039" xr:uid="{00000000-0005-0000-0000-00002B0F0000}"/>
    <cellStyle name="Normal 8 13 14" xfId="13297" xr:uid="{00000000-0005-0000-0000-0000DA300000}"/>
    <cellStyle name="Normal 8 13 14 2" xfId="45761" xr:uid="{92BF940B-52FE-4256-8E9D-E0778C98FD5A}"/>
    <cellStyle name="Normal 8 13 15" xfId="11345" xr:uid="{00000000-0005-0000-0000-000047310000}"/>
    <cellStyle name="Normal 8 13 15 2" xfId="43834" xr:uid="{711BD609-8E0D-4377-9CC1-620673458D8B}"/>
    <cellStyle name="Normal 8 13 16" xfId="13363" xr:uid="{00000000-0005-0000-0000-0000B8310000}"/>
    <cellStyle name="Normal 8 13 16 2" xfId="45827" xr:uid="{A9431053-1290-4838-870E-4792480940A7}"/>
    <cellStyle name="Normal 8 13 17" xfId="11272" xr:uid="{00000000-0005-0000-0000-00002D320000}"/>
    <cellStyle name="Normal 8 13 17 2" xfId="43761" xr:uid="{C2F94C63-3889-4225-8786-D52F9C06D8E0}"/>
    <cellStyle name="Normal 8 13 18" xfId="13422" xr:uid="{00000000-0005-0000-0000-0000A6320000}"/>
    <cellStyle name="Normal 8 13 18 2" xfId="45886" xr:uid="{D944E20D-86C3-4023-895F-887E53B75276}"/>
    <cellStyle name="Normal 8 13 19" xfId="11209" xr:uid="{00000000-0005-0000-0000-000023330000}"/>
    <cellStyle name="Normal 8 13 19 2" xfId="43698" xr:uid="{75172CF5-1C1F-4CB0-9658-B287F40E48ED}"/>
    <cellStyle name="Normal 8 13 2" xfId="10283" xr:uid="{00000000-0005-0000-0000-000006200000}"/>
    <cellStyle name="Normal-- 8 13 2" xfId="45150" xr:uid="{B45689FC-F26A-434A-817F-80B37D24B440}"/>
    <cellStyle name="Normal 8 13 2 2" xfId="42772" xr:uid="{F3E5AB36-4C7A-4821-BE97-589637854687}"/>
    <cellStyle name="Normal 8 13 2 3" xfId="47562" xr:uid="{C549FFF4-5D41-4959-93C8-708DBE2E66C2}"/>
    <cellStyle name="Normal 8 13 2 4" xfId="37887" xr:uid="{3DC6800C-64AF-4C68-A57A-683C07841945}"/>
    <cellStyle name="Normal 8 13 2 5" xfId="15438" xr:uid="{1AAF596A-0772-4213-B3B2-7DCA498021DD}"/>
    <cellStyle name="Normal 8 13 2 6" xfId="46230" xr:uid="{527A50B9-84F7-40C3-8801-19FC2C34BFA1}"/>
    <cellStyle name="Normal 8 13 2 7" xfId="40598" xr:uid="{36DD1F87-75FD-4D50-A4BA-9E6660CC00CC}"/>
    <cellStyle name="Normal 8 13 2 8" xfId="40576" xr:uid="{62BA7A06-CF89-47B8-B620-733143A6D0B4}"/>
    <cellStyle name="Normal 8 13 2 9" xfId="47022" xr:uid="{D9C16FDE-0F8B-439C-A7DA-81A38680CBEA}"/>
    <cellStyle name="Normal 8 13 20" xfId="13486" xr:uid="{00000000-0005-0000-0000-0000A4330000}"/>
    <cellStyle name="Normal 8 13 20 2" xfId="45950" xr:uid="{CBC2F1E9-4A9C-4EB2-8022-8742248296A4}"/>
    <cellStyle name="Normal 8 13 21" xfId="11148" xr:uid="{00000000-0005-0000-0000-000029340000}"/>
    <cellStyle name="Normal 8 13 21 2" xfId="43637" xr:uid="{90BAC330-8A45-4DB7-AE33-34D7BBC68FE2}"/>
    <cellStyle name="Normal 8 13 22" xfId="13553" xr:uid="{00000000-0005-0000-0000-0000B2340000}"/>
    <cellStyle name="Normal 8 13 22 2" xfId="46017" xr:uid="{2CD780E5-56B7-4A4B-8468-A19E0A7851BE}"/>
    <cellStyle name="Normal 8 13 23" xfId="11079" xr:uid="{00000000-0005-0000-0000-00003F350000}"/>
    <cellStyle name="Normal 8 13 23 2" xfId="43568" xr:uid="{613B047F-43C6-4B12-99B0-689A26B0CD5F}"/>
    <cellStyle name="Normal 8 13 24" xfId="16144" xr:uid="{FADD41D0-88B2-4F2E-BB42-8685037876E4}"/>
    <cellStyle name="Normal 8 13 25" xfId="38796" xr:uid="{CDD9F0BF-E9D0-4426-BB69-24246FFAEB23}"/>
    <cellStyle name="Normal 8 13 26" xfId="40357" xr:uid="{5DE63B51-0A94-4134-BC7A-8EF3AE2C1FFA}"/>
    <cellStyle name="Normal 8 13 27" xfId="46111" xr:uid="{BA0767E3-A355-4651-ABA1-9B3D10690CC8}"/>
    <cellStyle name="Normal 8 13 28" xfId="48377" xr:uid="{D938B848-FF37-41B0-A2C4-BF492BBA5772}"/>
    <cellStyle name="Normal 8 13 29" xfId="47970" xr:uid="{067FFAFA-6E67-4B78-A3B4-475F8FBEAF81}"/>
    <cellStyle name="Normal 8 13 3" xfId="8894" xr:uid="{00000000-0005-0000-0000-0000DA240000}"/>
    <cellStyle name="Normal-- 8 13 3" xfId="48432" xr:uid="{A947EFB3-961F-43C7-9ACC-4183AD328EF7}"/>
    <cellStyle name="Normal 8 13 3 2" xfId="41542" xr:uid="{70FD2332-1C3B-4EBD-B331-C7B7ED0723CA}"/>
    <cellStyle name="Normal 8 13 3 3" xfId="37638" xr:uid="{3ACE0C3C-AF48-4F84-A704-B440A9470677}"/>
    <cellStyle name="Normal 8 13 3 4" xfId="14957" xr:uid="{18655F0D-02AE-470E-885A-7F02626A3D5C}"/>
    <cellStyle name="Normal 8 13 3 5" xfId="46708" xr:uid="{77F91A13-AF28-4E4A-AAEB-FB32027A16DA}"/>
    <cellStyle name="Normal 8 13 3 6" xfId="47343" xr:uid="{550E4082-8E93-4085-A81F-E70AB0EEF794}"/>
    <cellStyle name="Normal 8 13 3 7" xfId="17276" xr:uid="{7AE2EFD0-D2BE-4F04-A6C2-59ED2AF0979B}"/>
    <cellStyle name="Normal 8 13 3 8" xfId="16003" xr:uid="{86DE45E2-7E60-4453-AD38-B650938BE2EC}"/>
    <cellStyle name="Normal 8 13 30" xfId="46271" xr:uid="{FBC72BA9-D9C8-4034-A1A9-D77646036373}"/>
    <cellStyle name="Normal 8 13 31" xfId="16473" xr:uid="{607E3259-F944-404D-9406-4D494E85AC06}"/>
    <cellStyle name="Normal 8 13 32" xfId="37923" xr:uid="{AADB352B-DE04-4F50-9505-532FA143551D}"/>
    <cellStyle name="Normal 8 13 4" xfId="12719" xr:uid="{00000000-0005-0000-0000-00001B250000}"/>
    <cellStyle name="Normal-- 8 13 4" xfId="15916" xr:uid="{F2910487-D2AE-47AB-8B32-BD043497F2D0}"/>
    <cellStyle name="Normal 8 13 4 2" xfId="45190" xr:uid="{60B68B92-1357-4E74-84AF-F5BE3EDDEFA2}"/>
    <cellStyle name="Normal 8 13 4 3" xfId="47324" xr:uid="{46A651BA-51E3-4E46-ADD2-27CCC33404C9}"/>
    <cellStyle name="Normal 8 13 4 4" xfId="37983" xr:uid="{B9193A44-365D-4266-BCF6-0C59B569FF70}"/>
    <cellStyle name="Normal 8 13 4 5" xfId="49478" xr:uid="{1526E85C-943C-4A6B-A4E0-9635CCE046F1}"/>
    <cellStyle name="Normal 8 13 4 6" xfId="49717" xr:uid="{5649B8BD-643D-4581-847E-1362032FAFBC}"/>
    <cellStyle name="Normal 8 13 4 7" xfId="50063" xr:uid="{E1CD54A1-825F-45CA-92D5-4542905F6063}"/>
    <cellStyle name="Normal 8 13 5" xfId="8970" xr:uid="{00000000-0005-0000-0000-000060250000}"/>
    <cellStyle name="Normal-- 8 13 5" xfId="47821" xr:uid="{B5D7FACD-1A98-4D78-99AB-4F2B7511C67E}"/>
    <cellStyle name="Normal 8 13 5 2" xfId="41604" xr:uid="{D9B09C09-D464-4EA1-BC02-34EF2B2F144D}"/>
    <cellStyle name="Normal 8 13 5 3" xfId="37906" xr:uid="{3BA29207-609B-46E4-996D-D1B42B0FD787}"/>
    <cellStyle name="Normal 8 13 5 4" xfId="40606" xr:uid="{BDD16464-E06C-4BBF-BC8F-345B8C91B0CA}"/>
    <cellStyle name="Normal 8 13 5 5" xfId="15459" xr:uid="{B9098536-E175-49E2-BC99-B8B04B2474EF}"/>
    <cellStyle name="Normal 8 13 5 6" xfId="16485" xr:uid="{0A25957B-F2B2-40CC-A4BB-5CE79C882315}"/>
    <cellStyle name="Normal 8 13 6" xfId="12768" xr:uid="{00000000-0005-0000-0000-0000A9250000}"/>
    <cellStyle name="Normal-- 8 13 6" xfId="41751" xr:uid="{2D99938A-0492-4E02-A5B4-2543750121BD}"/>
    <cellStyle name="Normal 8 13 6 2" xfId="45239" xr:uid="{4B52716C-DB09-4A2C-B678-A0A28B0C4A2F}"/>
    <cellStyle name="Normal 8 13 6 3" xfId="49491" xr:uid="{CFBFC497-8C8D-4158-A568-3CB439D167DC}"/>
    <cellStyle name="Normal 8 13 6 4" xfId="49729" xr:uid="{2FF503F2-C742-4C92-A6FD-620411240CB0}"/>
    <cellStyle name="Normal 8 13 6 5" xfId="50079" xr:uid="{5524732F-2CAE-43C5-A2C0-1F6203B06432}"/>
    <cellStyle name="Normal 8 13 7" xfId="9049" xr:uid="{00000000-0005-0000-0000-0000F6250000}"/>
    <cellStyle name="Normal-- 8 13 7" xfId="49459" xr:uid="{97144E92-0E54-4C02-ACA7-93BA4A4F5EF4}"/>
    <cellStyle name="Normal 8 13 7 2" xfId="41662" xr:uid="{A8185DA2-B9E1-44D9-ACE1-A2C3B6FE6802}"/>
    <cellStyle name="Normal 8 13 7 3" xfId="15076" xr:uid="{7B6BFE80-168E-4F79-AD6F-9D88EAE82D50}"/>
    <cellStyle name="Normal 8 13 7 4" xfId="16596" xr:uid="{BD24261C-62FE-4AE1-82B4-989C8422FD2D}"/>
    <cellStyle name="Normal 8 13 8" xfId="12810" xr:uid="{00000000-0005-0000-0000-000047260000}"/>
    <cellStyle name="Normal-- 8 13 8" xfId="49699" xr:uid="{763F0818-96ED-48A9-8F76-EB705DE50A25}"/>
    <cellStyle name="Normal 8 13 8 2" xfId="45281" xr:uid="{025109C5-529B-4D1B-B69B-0BFBB19B7315}"/>
    <cellStyle name="Normal 8 13 8 3" xfId="50091" xr:uid="{3778213E-104F-4EAF-A966-0FA8EC580CEE}"/>
    <cellStyle name="Normal 8 13 9" xfId="9124" xr:uid="{00000000-0005-0000-0000-00009C260000}"/>
    <cellStyle name="Normal-- 8 13 9" xfId="50043" xr:uid="{E207D836-57CE-4E92-8141-DB3B530F349D}"/>
    <cellStyle name="Normal 8 13 9 2" xfId="41725" xr:uid="{FEABB78C-A425-4BD0-96EC-54D50CE4196F}"/>
    <cellStyle name="Normal 8 14" xfId="4759" xr:uid="{00000000-0005-0000-0000-0000BA120000}"/>
    <cellStyle name="Normal-- 8 14" xfId="8890" xr:uid="{00000000-0005-0000-0000-0000D6240000}"/>
    <cellStyle name="Normal 8 14 10" xfId="9210" xr:uid="{00000000-0005-0000-0000-000053270000}"/>
    <cellStyle name="Normal 8 14 10 2" xfId="41775" xr:uid="{5F323C1A-0CF0-4CF3-807B-03401694B469}"/>
    <cellStyle name="Normal 8 14 11" xfId="12889" xr:uid="{00000000-0005-0000-0000-0000B4270000}"/>
    <cellStyle name="Normal 8 14 11 2" xfId="45360" xr:uid="{53F465D9-F878-4C3C-90FE-73CC3BCE6876}"/>
    <cellStyle name="Normal 8 14 12" xfId="8040" xr:uid="{00000000-0005-0000-0000-00002C0F0000}"/>
    <cellStyle name="Normal 8 14 13" xfId="13298" xr:uid="{00000000-0005-0000-0000-0000DB300000}"/>
    <cellStyle name="Normal 8 14 13 2" xfId="45762" xr:uid="{2CCB9F92-E9F3-4EB0-A4F7-9D986E17126B}"/>
    <cellStyle name="Normal 8 14 14" xfId="11344" xr:uid="{00000000-0005-0000-0000-000048310000}"/>
    <cellStyle name="Normal 8 14 14 2" xfId="43833" xr:uid="{3F6A06A6-49AD-4CEB-A0D5-DE8CD8B59C5E}"/>
    <cellStyle name="Normal 8 14 15" xfId="13364" xr:uid="{00000000-0005-0000-0000-0000B9310000}"/>
    <cellStyle name="Normal 8 14 15 2" xfId="45828" xr:uid="{8A164B7E-EB17-4618-BF35-6BC2C5194090}"/>
    <cellStyle name="Normal 8 14 16" xfId="11271" xr:uid="{00000000-0005-0000-0000-00002E320000}"/>
    <cellStyle name="Normal 8 14 16 2" xfId="43760" xr:uid="{185FD96F-85B5-4596-9ABC-D7BE2156BFB5}"/>
    <cellStyle name="Normal 8 14 17" xfId="13424" xr:uid="{00000000-0005-0000-0000-0000A7320000}"/>
    <cellStyle name="Normal 8 14 17 2" xfId="45888" xr:uid="{D97D0CA8-B310-4880-B10A-336F477ABDE7}"/>
    <cellStyle name="Normal 8 14 18" xfId="12940" xr:uid="{00000000-0005-0000-0000-000024330000}"/>
    <cellStyle name="Normal 8 14 18 2" xfId="45411" xr:uid="{DF61B7D1-D093-499A-AB9A-35ED0627172D}"/>
    <cellStyle name="Normal 8 14 19" xfId="13487" xr:uid="{00000000-0005-0000-0000-0000A5330000}"/>
    <cellStyle name="Normal 8 14 19 2" xfId="45951" xr:uid="{57F9461B-23BC-465F-B017-B780A97D1A04}"/>
    <cellStyle name="Normal 8 14 2" xfId="10284" xr:uid="{00000000-0005-0000-0000-000007200000}"/>
    <cellStyle name="Normal-- 8 14 2" xfId="41538" xr:uid="{CCF66CF8-6088-4311-A26A-048E435EBD0E}"/>
    <cellStyle name="Normal 8 14 2 2" xfId="42773" xr:uid="{8A91584F-9814-4047-8051-F1D8EB320484}"/>
    <cellStyle name="Normal 8 14 2 3" xfId="47563" xr:uid="{45A61D1B-39D1-4887-BBFD-523E8BA2E641}"/>
    <cellStyle name="Normal 8 14 2 4" xfId="37888" xr:uid="{034E2368-B826-4DD6-AA24-790A594F9663}"/>
    <cellStyle name="Normal 8 14 2 5" xfId="40531" xr:uid="{F1E0962D-C226-421C-A750-069840D3B178}"/>
    <cellStyle name="Normal 8 14 2 6" xfId="37933" xr:uid="{02097B31-E429-45DC-BC23-9A9B86E15673}"/>
    <cellStyle name="Normal 8 14 2 7" xfId="14920" xr:uid="{37A4579E-035C-46ED-B395-B18797703CC6}"/>
    <cellStyle name="Normal 8 14 2 8" xfId="47647" xr:uid="{F6DF99E3-D1D9-4525-BD58-970F75FBEA8D}"/>
    <cellStyle name="Normal 8 14 2 9" xfId="15167" xr:uid="{C0D57834-91FD-4BA4-8D05-094F4ED81CBC}"/>
    <cellStyle name="Normal 8 14 20" xfId="11147" xr:uid="{00000000-0005-0000-0000-00002A340000}"/>
    <cellStyle name="Normal 8 14 20 2" xfId="43636" xr:uid="{239036AB-3C4A-424E-A62A-F04BE9F041B2}"/>
    <cellStyle name="Normal 8 14 21" xfId="13554" xr:uid="{00000000-0005-0000-0000-0000B3340000}"/>
    <cellStyle name="Normal 8 14 21 2" xfId="46018" xr:uid="{C3C3FA6B-3732-4FE0-BC2B-E57471130EED}"/>
    <cellStyle name="Normal 8 14 22" xfId="11078" xr:uid="{00000000-0005-0000-0000-000040350000}"/>
    <cellStyle name="Normal 8 14 22 2" xfId="43567" xr:uid="{C9B2866D-0A1E-4936-8459-B6560EE018DC}"/>
    <cellStyle name="Normal 8 14 23" xfId="16145" xr:uid="{906EC76F-0708-41F8-8BB9-03A0ED34C157}"/>
    <cellStyle name="Normal 8 14 24" xfId="38797" xr:uid="{C1DD14A9-1DBE-4783-AC08-7FA839D7058E}"/>
    <cellStyle name="Normal 8 14 25" xfId="40360" xr:uid="{CCD5DBA1-530E-41AC-B718-27E3B8F296D2}"/>
    <cellStyle name="Normal 8 14 26" xfId="47405" xr:uid="{BE9C59DE-5BA6-4202-8C6D-BD5A163308E9}"/>
    <cellStyle name="Normal 8 14 27" xfId="15146" xr:uid="{4D4B51DF-15D4-4493-A90B-2A7F29DCD2F3}"/>
    <cellStyle name="Normal 8 14 28" xfId="48045" xr:uid="{AB4AB392-F923-4FF3-98D2-90A7B0A793C7}"/>
    <cellStyle name="Normal 8 14 29" xfId="48743" xr:uid="{EE15095A-F8C6-4911-9476-429F76C18A54}"/>
    <cellStyle name="Normal 8 14 3" xfId="12721" xr:uid="{00000000-0005-0000-0000-00001C250000}"/>
    <cellStyle name="Normal-- 8 14 3" xfId="47023" xr:uid="{15D5E0DB-CB8B-4DD1-B7F4-4BDE9067614E}"/>
    <cellStyle name="Normal 8 14 3 2" xfId="45192" xr:uid="{9C928131-4E4E-4D9E-B419-B00D1E10D67E}"/>
    <cellStyle name="Normal 8 14 3 3" xfId="15810" xr:uid="{6A9048C3-A51D-4DD7-8F56-C7DA196E3F9D}"/>
    <cellStyle name="Normal 8 14 3 4" xfId="15522" xr:uid="{44145CA4-4DDF-4291-A8F0-F75E838F4A36}"/>
    <cellStyle name="Normal 8 14 3 5" xfId="48595" xr:uid="{D13A3B97-FE69-4D6F-A9E7-A11CD4743BD1}"/>
    <cellStyle name="Normal 8 14 3 6" xfId="49479" xr:uid="{58926C0B-D0AC-4D0E-A7CF-74CE7571AA64}"/>
    <cellStyle name="Normal 8 14 3 7" xfId="49718" xr:uid="{607A5052-A80A-4003-8FF4-0715B819C47A}"/>
    <cellStyle name="Normal 8 14 3 8" xfId="50064" xr:uid="{96363A1B-DAC3-4021-A0B4-111CF9648C40}"/>
    <cellStyle name="Normal 8 14 30" xfId="48834" xr:uid="{DC6BF432-9CD5-4278-8B44-66C9EC7B9F83}"/>
    <cellStyle name="Normal 8 14 31" xfId="16437" xr:uid="{AB3FF83E-9406-4E32-95EA-BC255DD5C69E}"/>
    <cellStyle name="Normal 8 14 4" xfId="8976" xr:uid="{00000000-0005-0000-0000-000061250000}"/>
    <cellStyle name="Normal-- 8 14 4" xfId="48091" xr:uid="{94C16B47-D1A8-4CB9-BC87-5487DAF2EC7E}"/>
    <cellStyle name="Normal 8 14 4 2" xfId="41610" xr:uid="{A808F286-E98F-49E9-BF77-D8E2A5BFA638}"/>
    <cellStyle name="Normal 8 14 4 3" xfId="40701" xr:uid="{D289DE08-400F-4BC8-B279-EB94C97CDF3D}"/>
    <cellStyle name="Normal 8 14 4 4" xfId="46087" xr:uid="{A7F5C1B2-353D-4B5C-991D-DF867D24C971}"/>
    <cellStyle name="Normal 8 14 4 5" xfId="41407" xr:uid="{5084A8D3-A2C5-41EE-B4B7-0BEDD71592CB}"/>
    <cellStyle name="Normal 8 14 4 6" xfId="40257" xr:uid="{862DB2AC-D680-4CFC-8CA3-E29E0C663DDC}"/>
    <cellStyle name="Normal 8 14 4 7" xfId="15619" xr:uid="{5FCA5112-FCCA-4DDF-A602-11209FE3325F}"/>
    <cellStyle name="Normal 8 14 5" xfId="12769" xr:uid="{00000000-0005-0000-0000-0000AA250000}"/>
    <cellStyle name="Normal-- 8 14 5" xfId="15408" xr:uid="{6ED479F7-DE12-4166-9D3C-CBCD29741A83}"/>
    <cellStyle name="Normal 8 14 5 2" xfId="45240" xr:uid="{917ED3DE-A5F5-4E73-AE75-58A85CB4D2B5}"/>
    <cellStyle name="Normal 8 14 5 3" xfId="48113" xr:uid="{C166868D-C1B6-4A3E-AE35-FB5CF98C409C}"/>
    <cellStyle name="Normal 8 14 5 4" xfId="49492" xr:uid="{BA87B420-B36D-4ACC-8697-6D339F102FE7}"/>
    <cellStyle name="Normal 8 14 5 5" xfId="49730" xr:uid="{A10E2082-2706-48B1-891F-C267ACBFF3C4}"/>
    <cellStyle name="Normal 8 14 5 6" xfId="50080" xr:uid="{875878D3-073C-4DF1-9229-0A095A88FA15}"/>
    <cellStyle name="Normal 8 14 6" xfId="9050" xr:uid="{00000000-0005-0000-0000-0000F7250000}"/>
    <cellStyle name="Normal-- 8 14 6" xfId="15366" xr:uid="{F1EB2F60-56EC-4B49-AAFC-2C278F06C2EB}"/>
    <cellStyle name="Normal 8 14 6 2" xfId="41663" xr:uid="{079CFBA2-65C7-4D54-BF49-D0817FAE915D}"/>
    <cellStyle name="Normal 8 14 6 3" xfId="48025" xr:uid="{028A57E4-9DFA-4370-A9A6-D271E1253599}"/>
    <cellStyle name="Normal 8 14 6 4" xfId="48787" xr:uid="{1C675022-F9F2-485B-A184-F92CB6DA2E81}"/>
    <cellStyle name="Normal 8 14 6 5" xfId="37978" xr:uid="{30FEAB3C-029A-441F-8026-C299F01B0BC4}"/>
    <cellStyle name="Normal 8 14 7" xfId="12811" xr:uid="{00000000-0005-0000-0000-000048260000}"/>
    <cellStyle name="Normal-- 8 14 7" xfId="37960" xr:uid="{AC524CF1-7678-40E1-B4F1-7039F45FEF6D}"/>
    <cellStyle name="Normal 8 14 7 2" xfId="45282" xr:uid="{FE29A91B-7EA0-4BE0-94D0-7BCCDD8A0B9A}"/>
    <cellStyle name="Normal 8 14 7 3" xfId="49740" xr:uid="{FF0FFD45-8E1E-4DD2-A9D5-596706163631}"/>
    <cellStyle name="Normal 8 14 7 4" xfId="50092" xr:uid="{C31770BD-1481-4FF6-B2A1-1DA3FF8F1565}"/>
    <cellStyle name="Normal 8 14 8" xfId="9125" xr:uid="{00000000-0005-0000-0000-00009D260000}"/>
    <cellStyle name="Normal-- 8 14 8" xfId="49185" xr:uid="{CCB81EF4-5D32-48F7-B886-E1D2AE2B7A1D}"/>
    <cellStyle name="Normal 8 14 8 2" xfId="41726" xr:uid="{C8CD6D33-BDA0-46A3-AF7D-9B9099403FEC}"/>
    <cellStyle name="Normal 8 14 8 3" xfId="48214" xr:uid="{8697F9C8-49EE-4F15-BC09-77FB292560AC}"/>
    <cellStyle name="Normal 8 14 9" xfId="12856" xr:uid="{00000000-0005-0000-0000-0000F6260000}"/>
    <cellStyle name="Normal-- 8 14 9" xfId="46888" xr:uid="{5AF4E586-5D1C-4DC1-9C91-6C82F1F51C19}"/>
    <cellStyle name="Normal 8 14 9 2" xfId="45327" xr:uid="{04EFAA42-DFB2-4A13-97ED-065159015ACE}"/>
    <cellStyle name="Normal 8 15" xfId="4760" xr:uid="{00000000-0005-0000-0000-0000BB120000}"/>
    <cellStyle name="Normal-- 8 15" xfId="12715" xr:uid="{00000000-0005-0000-0000-000017250000}"/>
    <cellStyle name="Normal 8 15 10" xfId="12890" xr:uid="{00000000-0005-0000-0000-0000B5270000}"/>
    <cellStyle name="Normal 8 15 10 2" xfId="45361" xr:uid="{84BBB263-DA8D-4EFD-84CB-45363D75E09A}"/>
    <cellStyle name="Normal 8 15 11" xfId="8041" xr:uid="{00000000-0005-0000-0000-00002D0F0000}"/>
    <cellStyle name="Normal 8 15 12" xfId="13299" xr:uid="{00000000-0005-0000-0000-0000DC300000}"/>
    <cellStyle name="Normal 8 15 12 2" xfId="45763" xr:uid="{37EC9EA9-9B01-4305-BFCB-B7C92DC91E6A}"/>
    <cellStyle name="Normal 8 15 13" xfId="11343" xr:uid="{00000000-0005-0000-0000-000049310000}"/>
    <cellStyle name="Normal 8 15 13 2" xfId="43832" xr:uid="{D38803A3-4589-4B9F-9BA9-ABACFA0EB797}"/>
    <cellStyle name="Normal 8 15 14" xfId="13365" xr:uid="{00000000-0005-0000-0000-0000BA310000}"/>
    <cellStyle name="Normal 8 15 14 2" xfId="45829" xr:uid="{89D30347-78DB-43C4-A5D0-B6D581E93B34}"/>
    <cellStyle name="Normal 8 15 15" xfId="11270" xr:uid="{00000000-0005-0000-0000-00002F320000}"/>
    <cellStyle name="Normal 8 15 15 2" xfId="43759" xr:uid="{8C07EAB1-397F-436B-9ED9-63C4D6D41035}"/>
    <cellStyle name="Normal 8 15 16" xfId="13425" xr:uid="{00000000-0005-0000-0000-0000A8320000}"/>
    <cellStyle name="Normal 8 15 16 2" xfId="45889" xr:uid="{268F53AB-5A76-4BC2-B9F7-93EC76089C2A}"/>
    <cellStyle name="Normal 8 15 17" xfId="11208" xr:uid="{00000000-0005-0000-0000-000025330000}"/>
    <cellStyle name="Normal 8 15 17 2" xfId="43697" xr:uid="{82BEBC87-7A7B-40D0-A798-D669B56B97FF}"/>
    <cellStyle name="Normal 8 15 18" xfId="13488" xr:uid="{00000000-0005-0000-0000-0000A6330000}"/>
    <cellStyle name="Normal 8 15 18 2" xfId="45952" xr:uid="{7B70CA52-B61D-4D0E-84A5-0413888E8A8F}"/>
    <cellStyle name="Normal 8 15 19" xfId="11146" xr:uid="{00000000-0005-0000-0000-00002B340000}"/>
    <cellStyle name="Normal 8 15 19 2" xfId="43635" xr:uid="{38D09C36-2A40-4C63-A39E-670497CCB892}"/>
    <cellStyle name="Normal 8 15 2" xfId="10285" xr:uid="{00000000-0005-0000-0000-000008200000}"/>
    <cellStyle name="Normal-- 8 15 2" xfId="45186" xr:uid="{2E99820E-6FF0-4895-BAA0-C3D6459DC34B}"/>
    <cellStyle name="Normal 8 15 2 2" xfId="42774" xr:uid="{7C7C6B49-D6C1-47B5-AC26-95316F60768E}"/>
    <cellStyle name="Normal 8 15 2 3" xfId="47564" xr:uid="{BDFC846E-CD66-456C-9F2D-58A216617982}"/>
    <cellStyle name="Normal 8 15 2 4" xfId="48203" xr:uid="{08CD8591-4C67-4D17-885B-E24CAA30194E}"/>
    <cellStyle name="Normal 8 15 2 5" xfId="15079" xr:uid="{CBB3DE52-BEEB-4483-A2A8-A1B840ED0A21}"/>
    <cellStyle name="Normal 8 15 2 6" xfId="48063" xr:uid="{D08AB472-919C-4798-8D65-F749BFEB9787}"/>
    <cellStyle name="Normal 8 15 2 7" xfId="47462" xr:uid="{B49402AB-2AFA-40DE-81B6-95437C46DB2E}"/>
    <cellStyle name="Normal 8 15 2 8" xfId="16382" xr:uid="{BE2E50F3-29CD-485D-BCD9-0FD03EBD0D8E}"/>
    <cellStyle name="Normal 8 15 2 9" xfId="37890" xr:uid="{41D91F49-1A5D-4F88-9D45-4602B27B3631}"/>
    <cellStyle name="Normal 8 15 20" xfId="13555" xr:uid="{00000000-0005-0000-0000-0000B4340000}"/>
    <cellStyle name="Normal 8 15 20 2" xfId="46019" xr:uid="{F50696D9-6512-4340-ADF8-A855E1977813}"/>
    <cellStyle name="Normal 8 15 21" xfId="11077" xr:uid="{00000000-0005-0000-0000-000041350000}"/>
    <cellStyle name="Normal 8 15 21 2" xfId="43566" xr:uid="{0988C019-E684-4584-B1BE-918F0855AA26}"/>
    <cellStyle name="Normal 8 15 22" xfId="16146" xr:uid="{C2D966B1-FA36-4966-B734-538D2A871595}"/>
    <cellStyle name="Normal 8 15 23" xfId="38798" xr:uid="{98C05D8C-8019-4771-91BE-F4C67861F933}"/>
    <cellStyle name="Normal 8 15 24" xfId="15374" xr:uid="{A97481C8-E133-49B6-9A68-770A172F0CB9}"/>
    <cellStyle name="Normal 8 15 25" xfId="40466" xr:uid="{02AA8787-0AF8-43A5-9323-6FC80B76E0E7}"/>
    <cellStyle name="Normal 8 15 26" xfId="46422" xr:uid="{25DBF121-FF1C-40FC-96B4-FCA68ED7D92F}"/>
    <cellStyle name="Normal 8 15 27" xfId="14019" xr:uid="{A4CFDC87-6014-4050-98A7-9D2091D517E2}"/>
    <cellStyle name="Normal 8 15 28" xfId="48055" xr:uid="{02D0B2BA-E3D2-4167-994B-B9B6FDB2426B}"/>
    <cellStyle name="Normal 8 15 29" xfId="48473" xr:uid="{1F0C3D22-25E9-4DA5-A0F0-1BA12523E46D}"/>
    <cellStyle name="Normal 8 15 3" xfId="8977" xr:uid="{00000000-0005-0000-0000-000062250000}"/>
    <cellStyle name="Normal-- 8 15 3" xfId="48444" xr:uid="{CCD5BE90-9E02-4145-971D-9E368C9D19DB}"/>
    <cellStyle name="Normal 8 15 3 2" xfId="41611" xr:uid="{358DB265-BB08-4F44-8C70-C3E07B60EBC1}"/>
    <cellStyle name="Normal 8 15 3 3" xfId="48097" xr:uid="{B8809F71-171A-405F-94BC-3A89CBDAE3BD}"/>
    <cellStyle name="Normal 8 15 3 4" xfId="46750" xr:uid="{9E29074C-E52B-4655-9587-DD1F6D103B96}"/>
    <cellStyle name="Normal 8 15 3 5" xfId="48213" xr:uid="{18FB674C-E690-4AA6-84C5-90E69FC6A759}"/>
    <cellStyle name="Normal 8 15 3 6" xfId="46596" xr:uid="{D4E61CA4-3707-42EA-BE78-D89F825D015F}"/>
    <cellStyle name="Normal 8 15 3 7" xfId="39552" xr:uid="{583235BB-438A-4F17-91AB-90DEEBBD94AD}"/>
    <cellStyle name="Normal 8 15 3 8" xfId="47288" xr:uid="{38852C69-5812-466F-AE24-57B5A27E0820}"/>
    <cellStyle name="Normal 8 15 30" xfId="40429" xr:uid="{ADA622D5-159F-43A3-8B8A-CC7CC4C116DF}"/>
    <cellStyle name="Normal 8 15 4" xfId="12770" xr:uid="{00000000-0005-0000-0000-0000AB250000}"/>
    <cellStyle name="Normal-- 8 15 4" xfId="15812" xr:uid="{A4DE0E44-CEE0-4F02-AD17-FF6F029EE8F5}"/>
    <cellStyle name="Normal 8 15 4 2" xfId="45241" xr:uid="{5C81368A-CBCD-43FE-9545-74313F563F6F}"/>
    <cellStyle name="Normal 8 15 4 3" xfId="47824" xr:uid="{650B68E3-99AA-4442-B5ED-AB04FBA14813}"/>
    <cellStyle name="Normal 8 15 4 4" xfId="37780" xr:uid="{373F75CF-5060-4440-ADBA-3E41516768FF}"/>
    <cellStyle name="Normal 8 15 4 5" xfId="49493" xr:uid="{09412699-6A50-4218-A91A-067482CB872B}"/>
    <cellStyle name="Normal 8 15 4 6" xfId="49731" xr:uid="{06810323-9415-414D-B217-FA05A420C627}"/>
    <cellStyle name="Normal 8 15 4 7" xfId="50081" xr:uid="{23DEF23A-89F8-4CE1-AE19-53C51B8822F7}"/>
    <cellStyle name="Normal 8 15 5" xfId="9051" xr:uid="{00000000-0005-0000-0000-0000F8250000}"/>
    <cellStyle name="Normal-- 8 15 5" xfId="47192" xr:uid="{2CA5EC5C-33C4-4DE2-9FDA-8E7E6BCD3771}"/>
    <cellStyle name="Normal 8 15 5 2" xfId="41664" xr:uid="{19C215F6-83CD-43EC-96E8-733ECE5A51D7}"/>
    <cellStyle name="Normal 8 15 5 3" xfId="15990" xr:uid="{D56D5E98-6815-41AE-8573-6806BE02CB38}"/>
    <cellStyle name="Normal 8 15 5 4" xfId="46565" xr:uid="{F775E30C-3783-4E54-B133-687B58C878A2}"/>
    <cellStyle name="Normal 8 15 5 5" xfId="15124" xr:uid="{01C7648F-B807-4EAB-83AD-69B16AB62965}"/>
    <cellStyle name="Normal 8 15 5 6" xfId="14924" xr:uid="{841BA6C6-BF21-4F62-89D3-21F8E635FC9E}"/>
    <cellStyle name="Normal 8 15 6" xfId="12812" xr:uid="{00000000-0005-0000-0000-000049260000}"/>
    <cellStyle name="Normal-- 8 15 6" xfId="48160" xr:uid="{C38D4A64-0EDC-4C70-8439-6AB44DE5DAB8}"/>
    <cellStyle name="Normal 8 15 6 2" xfId="45283" xr:uid="{7E97DA66-1609-4ED0-93F3-F063899C359F}"/>
    <cellStyle name="Normal 8 15 6 3" xfId="49501" xr:uid="{DA240821-FAB7-41D7-93A9-96FEF4704080}"/>
    <cellStyle name="Normal 8 15 6 4" xfId="49741" xr:uid="{AA7ADC3B-4475-4039-9738-62F962DD8F24}"/>
    <cellStyle name="Normal 8 15 6 5" xfId="50093" xr:uid="{1653F9A8-A038-4AE0-B2FE-568246144987}"/>
    <cellStyle name="Normal 8 15 7" xfId="9126" xr:uid="{00000000-0005-0000-0000-00009E260000}"/>
    <cellStyle name="Normal-- 8 15 7" xfId="49475" xr:uid="{15E0921F-FF1D-4031-92BA-507D565E62DD}"/>
    <cellStyle name="Normal 8 15 7 2" xfId="41727" xr:uid="{586878B6-6981-4757-A948-6357144290BA}"/>
    <cellStyle name="Normal 8 15 7 3" xfId="48049" xr:uid="{C794CA14-BD73-4D5E-AB3E-23346FA73C74}"/>
    <cellStyle name="Normal 8 15 7 4" xfId="47316" xr:uid="{C2C1E187-3C80-40F7-948B-9FE2ACF3397A}"/>
    <cellStyle name="Normal 8 15 8" xfId="12857" xr:uid="{00000000-0005-0000-0000-0000F7260000}"/>
    <cellStyle name="Normal-- 8 15 8" xfId="49713" xr:uid="{CEBCA0DD-3092-479F-84E7-344B1BD97D44}"/>
    <cellStyle name="Normal 8 15 8 2" xfId="45328" xr:uid="{FECF70E0-C731-4EDD-932F-100E0D270AED}"/>
    <cellStyle name="Normal 8 15 8 3" xfId="50105" xr:uid="{11CF3611-2710-4E0D-B49E-10EBBF1D8AC9}"/>
    <cellStyle name="Normal 8 15 9" xfId="9211" xr:uid="{00000000-0005-0000-0000-000054270000}"/>
    <cellStyle name="Normal-- 8 15 9" xfId="50059" xr:uid="{9DBA1B8E-7EA8-4562-A964-2670993EA704}"/>
    <cellStyle name="Normal 8 15 9 2" xfId="41776" xr:uid="{2E340C19-500D-4C9B-9C8F-F8CB183453AF}"/>
    <cellStyle name="Normal 8 16" xfId="4761" xr:uid="{00000000-0005-0000-0000-0000BC120000}"/>
    <cellStyle name="Normal-- 8 16" xfId="8964" xr:uid="{00000000-0005-0000-0000-00005C250000}"/>
    <cellStyle name="Normal 8 16 10" xfId="8042" xr:uid="{00000000-0005-0000-0000-00002E0F0000}"/>
    <cellStyle name="Normal 8 16 11" xfId="13300" xr:uid="{00000000-0005-0000-0000-0000DD300000}"/>
    <cellStyle name="Normal 8 16 11 2" xfId="45764" xr:uid="{FE3AC2D7-E5AA-4E91-AD8E-A6363AF82FAD}"/>
    <cellStyle name="Normal 8 16 12" xfId="11342" xr:uid="{00000000-0005-0000-0000-00004A310000}"/>
    <cellStyle name="Normal 8 16 12 2" xfId="43831" xr:uid="{0A05F5AE-F11E-413C-B61D-9055FB54BBF6}"/>
    <cellStyle name="Normal 8 16 13" xfId="13366" xr:uid="{00000000-0005-0000-0000-0000BB310000}"/>
    <cellStyle name="Normal 8 16 13 2" xfId="45830" xr:uid="{63CA72E6-8370-4890-BE05-C200E8E3D695}"/>
    <cellStyle name="Normal 8 16 14" xfId="11269" xr:uid="{00000000-0005-0000-0000-000030320000}"/>
    <cellStyle name="Normal 8 16 14 2" xfId="43758" xr:uid="{04DF76EF-A4A1-4C86-98A6-B4D8E7C04067}"/>
    <cellStyle name="Normal 8 16 15" xfId="13426" xr:uid="{00000000-0005-0000-0000-0000A9320000}"/>
    <cellStyle name="Normal 8 16 15 2" xfId="45890" xr:uid="{DDC09618-9E4E-401A-BE41-93D39A3B4A09}"/>
    <cellStyle name="Normal 8 16 16" xfId="11207" xr:uid="{00000000-0005-0000-0000-000026330000}"/>
    <cellStyle name="Normal 8 16 16 2" xfId="43696" xr:uid="{3A3FCC27-DF0E-4D79-9DAF-9D6B4FBC2B3A}"/>
    <cellStyle name="Normal 8 16 17" xfId="13489" xr:uid="{00000000-0005-0000-0000-0000A7330000}"/>
    <cellStyle name="Normal 8 16 17 2" xfId="45953" xr:uid="{A18BC092-F62F-410D-B0D7-86300B6EF612}"/>
    <cellStyle name="Normal 8 16 18" xfId="11145" xr:uid="{00000000-0005-0000-0000-00002C340000}"/>
    <cellStyle name="Normal 8 16 18 2" xfId="43634" xr:uid="{384F095F-7450-4528-A42D-F0ABB066577B}"/>
    <cellStyle name="Normal 8 16 19" xfId="13556" xr:uid="{00000000-0005-0000-0000-0000B5340000}"/>
    <cellStyle name="Normal 8 16 19 2" xfId="46020" xr:uid="{AAE0D9B1-7363-4438-AD84-88DD542AD1E4}"/>
    <cellStyle name="Normal 8 16 2" xfId="10286" xr:uid="{00000000-0005-0000-0000-000009200000}"/>
    <cellStyle name="Normal-- 8 16 2" xfId="41598" xr:uid="{03229001-78F0-44FF-A282-CC3DEC4C8BBA}"/>
    <cellStyle name="Normal 8 16 2 2" xfId="42775" xr:uid="{9270E7D1-CB89-42FD-9682-D76EE70EA093}"/>
    <cellStyle name="Normal 8 16 2 3" xfId="47565" xr:uid="{F2621197-72CA-4F4E-8EB2-610B7E9F96F4}"/>
    <cellStyle name="Normal 8 16 2 4" xfId="46340" xr:uid="{AA391BA9-84E1-4B42-9704-8D9A06C6542D}"/>
    <cellStyle name="Normal 8 16 2 5" xfId="15078" xr:uid="{4771DC05-07DD-46A3-9388-2BD44BAA2FFD}"/>
    <cellStyle name="Normal 8 16 2 6" xfId="15171" xr:uid="{5630E874-8E24-4CE1-8E10-9EC20AF1F58C}"/>
    <cellStyle name="Normal 8 16 2 7" xfId="16927" xr:uid="{AA2BBE18-8916-4658-9F13-A780E78525B0}"/>
    <cellStyle name="Normal 8 16 2 8" xfId="15125" xr:uid="{6AC92D48-C78B-448C-B692-8B99165AA123}"/>
    <cellStyle name="Normal 8 16 2 9" xfId="37851" xr:uid="{6153A49B-10EC-432D-9EFD-6E90FE6EE0FA}"/>
    <cellStyle name="Normal 8 16 20" xfId="11076" xr:uid="{00000000-0005-0000-0000-000042350000}"/>
    <cellStyle name="Normal 8 16 20 2" xfId="43565" xr:uid="{99AA90DD-5EFD-4C82-B171-B5A7E4EB7A62}"/>
    <cellStyle name="Normal 8 16 21" xfId="16147" xr:uid="{D0E9AAD2-1B82-4AEF-AE38-42D323D49CA5}"/>
    <cellStyle name="Normal 8 16 22" xfId="38799" xr:uid="{D06965D2-9D56-42C3-A873-99D53DA1AD2B}"/>
    <cellStyle name="Normal 8 16 23" xfId="40358" xr:uid="{E49DD590-6B92-4BC4-8EF0-DC7E6556ABBE}"/>
    <cellStyle name="Normal 8 16 24" xfId="46110" xr:uid="{096CC2B5-4550-4690-BA6F-9796E60619DD}"/>
    <cellStyle name="Normal 8 16 25" xfId="46945" xr:uid="{C8F8CEB7-8F66-43BB-8A88-6E83F00714F9}"/>
    <cellStyle name="Normal 8 16 26" xfId="48142" xr:uid="{3EBFC416-0CB9-40E8-A2FB-4D4D2CC13129}"/>
    <cellStyle name="Normal 8 16 27" xfId="40261" xr:uid="{3E6C47C4-B2A9-46B1-89FB-9D3E43482059}"/>
    <cellStyle name="Normal 8 16 28" xfId="15296" xr:uid="{89C29D1F-AC16-446C-B7AB-1E1944128ECD}"/>
    <cellStyle name="Normal 8 16 29" xfId="48868" xr:uid="{4909C70D-6BD8-4F11-9A11-7A5929BDC39C}"/>
    <cellStyle name="Normal 8 16 3" xfId="12771" xr:uid="{00000000-0005-0000-0000-0000AC250000}"/>
    <cellStyle name="Normal-- 8 16 3" xfId="47046" xr:uid="{103260A8-4D05-4AC3-8A1A-59E489F31E9F}"/>
    <cellStyle name="Normal 8 16 3 2" xfId="45242" xr:uid="{183FA06A-BF43-4E31-9015-30373A6A5FF6}"/>
    <cellStyle name="Normal 8 16 3 3" xfId="41496" xr:uid="{4D305918-D4FE-4D9F-91FC-FB2FC037A938}"/>
    <cellStyle name="Normal 8 16 3 4" xfId="47144" xr:uid="{E6955829-6A5A-42A0-8B84-37DC25651AB3}"/>
    <cellStyle name="Normal 8 16 3 5" xfId="41764" xr:uid="{1218FFBE-A55C-4321-85A9-157180FCD4AB}"/>
    <cellStyle name="Normal 8 16 3 6" xfId="49494" xr:uid="{27128187-120D-401F-A70A-14740C383D6E}"/>
    <cellStyle name="Normal 8 16 3 7" xfId="49732" xr:uid="{E86B762A-D8B4-41C1-869B-5B4AD3D3FDE6}"/>
    <cellStyle name="Normal 8 16 3 8" xfId="50082" xr:uid="{8847F3A9-8CEC-4933-AF28-2035EBB0BA28}"/>
    <cellStyle name="Normal 8 16 4" xfId="9052" xr:uid="{00000000-0005-0000-0000-0000F9250000}"/>
    <cellStyle name="Normal-- 8 16 4" xfId="37650" xr:uid="{982E59F0-295A-472B-8BAF-C115063E7FFD}"/>
    <cellStyle name="Normal 8 16 4 2" xfId="41665" xr:uid="{AA465032-B14E-454F-A1E5-98B4364F68EF}"/>
    <cellStyle name="Normal 8 16 4 3" xfId="46762" xr:uid="{46CDA888-3B0B-4322-BD98-2FB14D1A2064}"/>
    <cellStyle name="Normal 8 16 4 4" xfId="47543" xr:uid="{56A73863-D686-47FE-B7AA-0A7665E8D747}"/>
    <cellStyle name="Normal 8 16 4 5" xfId="15746" xr:uid="{4CF25230-9812-4407-957B-9CB3D5A48111}"/>
    <cellStyle name="Normal 8 16 4 6" xfId="46364" xr:uid="{9BEC9D8E-23DC-4B87-8F7B-F7A218A06028}"/>
    <cellStyle name="Normal 8 16 4 7" xfId="37855" xr:uid="{4DCA7ED5-6451-40EB-9841-88BC36703A7F}"/>
    <cellStyle name="Normal 8 16 5" xfId="12813" xr:uid="{00000000-0005-0000-0000-00004A260000}"/>
    <cellStyle name="Normal-- 8 16 5" xfId="40095" xr:uid="{D00BFE06-B1A0-453E-A4AD-3F0E650AA058}"/>
    <cellStyle name="Normal 8 16 5 2" xfId="45284" xr:uid="{41F89DB9-CB64-4159-87FC-62D509594DE5}"/>
    <cellStyle name="Normal 8 16 5 3" xfId="37735" xr:uid="{33CB5BDE-F8E0-445D-A623-FD02B52849B9}"/>
    <cellStyle name="Normal 8 16 5 4" xfId="49502" xr:uid="{B63E1E69-B0EB-44A9-BF42-603D4B1BAD27}"/>
    <cellStyle name="Normal 8 16 5 5" xfId="49742" xr:uid="{BC04E82A-2F74-4F72-86C3-E572166D930B}"/>
    <cellStyle name="Normal 8 16 5 6" xfId="50094" xr:uid="{F162EE8E-943B-417F-A8FF-E64CD5DF5AB5}"/>
    <cellStyle name="Normal 8 16 6" xfId="9127" xr:uid="{00000000-0005-0000-0000-00009F260000}"/>
    <cellStyle name="Normal-- 8 16 6" xfId="46705" xr:uid="{27D8276A-302D-431A-BF7A-69355EE21D88}"/>
    <cellStyle name="Normal 8 16 6 2" xfId="41728" xr:uid="{078B2070-CFA5-49CD-A743-F16B8B29592B}"/>
    <cellStyle name="Normal 8 16 6 3" xfId="37652" xr:uid="{A66EFB6F-3EBE-4426-89FD-36DD0159AF3F}"/>
    <cellStyle name="Normal 8 16 6 4" xfId="46423" xr:uid="{84D513A8-6E81-4093-98FB-17FA844EEE51}"/>
    <cellStyle name="Normal 8 16 6 5" xfId="47762" xr:uid="{87D5E7B0-0EF4-4D45-9324-CE3052BCD627}"/>
    <cellStyle name="Normal 8 16 7" xfId="12858" xr:uid="{00000000-0005-0000-0000-0000F8260000}"/>
    <cellStyle name="Normal-- 8 16 7" xfId="46566" xr:uid="{3291D709-83AC-450B-B2AE-34CBAE284589}"/>
    <cellStyle name="Normal 8 16 7 2" xfId="45329" xr:uid="{220B9361-32BF-4FF4-86C0-31AEFB01D3F5}"/>
    <cellStyle name="Normal 8 16 7 3" xfId="49752" xr:uid="{E4C06F0B-2DAB-4744-AB0E-07C46E7967B2}"/>
    <cellStyle name="Normal 8 16 7 4" xfId="50106" xr:uid="{08FF5617-E7EB-4315-8040-0A55E40831E8}"/>
    <cellStyle name="Normal 8 16 8" xfId="9212" xr:uid="{00000000-0005-0000-0000-000055270000}"/>
    <cellStyle name="Normal-- 8 16 8" xfId="14140" xr:uid="{24F17819-CBD3-4C2F-9840-F044D4066AA6}"/>
    <cellStyle name="Normal 8 16 8 2" xfId="41777" xr:uid="{DB6ABDCC-CA75-455A-8F8E-342115D78EBA}"/>
    <cellStyle name="Normal 8 16 8 3" xfId="14128" xr:uid="{75C1468D-BA87-4FE1-947B-C4530A1FBEA3}"/>
    <cellStyle name="Normal 8 16 9" xfId="12891" xr:uid="{00000000-0005-0000-0000-0000B6270000}"/>
    <cellStyle name="Normal-- 8 16 9" xfId="47837" xr:uid="{58DD0970-F131-4321-8ADD-2FD15C4766F1}"/>
    <cellStyle name="Normal 8 16 9 2" xfId="45362" xr:uid="{B309FAE7-6796-41FE-9D9A-0AFB8C2D3AF7}"/>
    <cellStyle name="Normal 8 17" xfId="4762" xr:uid="{00000000-0005-0000-0000-0000BD120000}"/>
    <cellStyle name="Normal-- 8 17" xfId="12757" xr:uid="{00000000-0005-0000-0000-0000A5250000}"/>
    <cellStyle name="Normal 8 17 10" xfId="13301" xr:uid="{00000000-0005-0000-0000-0000DE300000}"/>
    <cellStyle name="Normal 8 17 10 2" xfId="45765" xr:uid="{02371A5F-5F23-4C2E-B4AB-3F59A177DF83}"/>
    <cellStyle name="Normal 8 17 11" xfId="11340" xr:uid="{00000000-0005-0000-0000-00004B310000}"/>
    <cellStyle name="Normal 8 17 11 2" xfId="43829" xr:uid="{06F458AC-CC4E-4C5A-B99D-C08501D25278}"/>
    <cellStyle name="Normal 8 17 12" xfId="13367" xr:uid="{00000000-0005-0000-0000-0000BC310000}"/>
    <cellStyle name="Normal 8 17 12 2" xfId="45831" xr:uid="{908DCD1C-4FE7-40A3-8870-6981EF7568AD}"/>
    <cellStyle name="Normal 8 17 13" xfId="11268" xr:uid="{00000000-0005-0000-0000-000031320000}"/>
    <cellStyle name="Normal 8 17 13 2" xfId="43757" xr:uid="{0CFCFD92-BF6D-420A-B9B7-FB35F33F9440}"/>
    <cellStyle name="Normal 8 17 14" xfId="13427" xr:uid="{00000000-0005-0000-0000-0000AA320000}"/>
    <cellStyle name="Normal 8 17 14 2" xfId="45891" xr:uid="{61213554-A6A9-4DE3-83F4-A3D6AF4A38EA}"/>
    <cellStyle name="Normal 8 17 15" xfId="11206" xr:uid="{00000000-0005-0000-0000-000027330000}"/>
    <cellStyle name="Normal 8 17 15 2" xfId="43695" xr:uid="{A849B71D-564A-4226-A03E-F6E04611F2AB}"/>
    <cellStyle name="Normal 8 17 16" xfId="13490" xr:uid="{00000000-0005-0000-0000-0000A8330000}"/>
    <cellStyle name="Normal 8 17 16 2" xfId="45954" xr:uid="{D401A373-6315-4AF7-87BB-0B175ACB805F}"/>
    <cellStyle name="Normal 8 17 17" xfId="11144" xr:uid="{00000000-0005-0000-0000-00002D340000}"/>
    <cellStyle name="Normal 8 17 17 2" xfId="43633" xr:uid="{1BE2D0A3-6C1E-40A3-8411-71C1BCB99865}"/>
    <cellStyle name="Normal 8 17 18" xfId="13557" xr:uid="{00000000-0005-0000-0000-0000B6340000}"/>
    <cellStyle name="Normal 8 17 18 2" xfId="46021" xr:uid="{4F4A087B-64B6-4B34-97BA-1B5365E988E9}"/>
    <cellStyle name="Normal 8 17 19" xfId="11075" xr:uid="{00000000-0005-0000-0000-000043350000}"/>
    <cellStyle name="Normal 8 17 19 2" xfId="43564" xr:uid="{EEEE2642-1E68-468E-A978-4AE5A386085D}"/>
    <cellStyle name="Normal 8 17 2" xfId="10287" xr:uid="{00000000-0005-0000-0000-00000A200000}"/>
    <cellStyle name="Normal-- 8 17 2" xfId="45228" xr:uid="{9723773F-0962-40B9-BED5-85441C0A114F}"/>
    <cellStyle name="Normal 8 17 2 2" xfId="42776" xr:uid="{989146A2-74C5-4C84-9CDE-3A00C0A3A09F}"/>
    <cellStyle name="Normal 8 17 2 3" xfId="47566" xr:uid="{77DD3210-447F-4324-9358-5D7CF1EDE582}"/>
    <cellStyle name="Normal 8 17 2 4" xfId="46342" xr:uid="{096D15E2-E838-416F-A87B-49DAF2A9C726}"/>
    <cellStyle name="Normal 8 17 2 5" xfId="40297" xr:uid="{505C094F-5354-49A5-BAA1-B1546E72E463}"/>
    <cellStyle name="Normal 8 17 2 6" xfId="38018" xr:uid="{19C9DC15-CCA3-4ECC-B91E-EA9BB2078843}"/>
    <cellStyle name="Normal 8 17 2 7" xfId="47422" xr:uid="{A802AE00-C02E-4D87-AFEA-225CDDE6E37B}"/>
    <cellStyle name="Normal 8 17 2 8" xfId="49191" xr:uid="{DB3D4199-39A9-4814-BEC3-9C77D42797F9}"/>
    <cellStyle name="Normal 8 17 2 9" xfId="48320" xr:uid="{800D819D-EAF6-44DA-8A0E-1C778D1EEB16}"/>
    <cellStyle name="Normal 8 17 20" xfId="16148" xr:uid="{07B117ED-0D71-43EC-8F6A-06B52CBB80C9}"/>
    <cellStyle name="Normal 8 17 21" xfId="38800" xr:uid="{584B1460-7476-4ABD-869A-ADDDA72F0056}"/>
    <cellStyle name="Normal 8 17 22" xfId="40359" xr:uid="{E98CE29C-6B87-4373-9836-56A6D7A236E1}"/>
    <cellStyle name="Normal 8 17 23" xfId="47404" xr:uid="{C6924334-5E7C-4F9D-8240-9CD05D1ED06C}"/>
    <cellStyle name="Normal 8 17 24" xfId="15661" xr:uid="{13D30C00-61BC-4088-A6DD-0E66E1A0B565}"/>
    <cellStyle name="Normal 8 17 25" xfId="40141" xr:uid="{ED07F51C-A59B-40BC-BEF3-CC8220D753C3}"/>
    <cellStyle name="Normal 8 17 26" xfId="48156" xr:uid="{CDB7569A-90BE-40B9-A9C9-149FEA9C1039}"/>
    <cellStyle name="Normal 8 17 27" xfId="48679" xr:uid="{A30D94CC-53F6-4A37-B2FE-5838257B3049}"/>
    <cellStyle name="Normal 8 17 28" xfId="48939" xr:uid="{90C1F6CD-2DD7-4B67-A385-AC593C3D0733}"/>
    <cellStyle name="Normal 8 17 3" xfId="9053" xr:uid="{00000000-0005-0000-0000-0000FA250000}"/>
    <cellStyle name="Normal-- 8 17 3" xfId="48457" xr:uid="{9829A4E1-70A9-4E86-83B6-B971E6F39888}"/>
    <cellStyle name="Normal 8 17 3 2" xfId="41666" xr:uid="{57AF86D8-BB09-4DC2-8041-365DCC740740}"/>
    <cellStyle name="Normal 8 17 3 3" xfId="37668" xr:uid="{117824A8-DC31-438E-A412-9BFE1CD4DA33}"/>
    <cellStyle name="Normal 8 17 3 4" xfId="47244" xr:uid="{1678A25C-EA29-40D4-A7A7-34FF78F8C7A4}"/>
    <cellStyle name="Normal 8 17 3 5" xfId="46700" xr:uid="{DBD7BFCD-4F57-4264-967E-188216C2BAE7}"/>
    <cellStyle name="Normal 8 17 3 6" xfId="47141" xr:uid="{A6CBB874-FB7E-44E9-B546-ADC3CD3CC8EC}"/>
    <cellStyle name="Normal 8 17 3 7" xfId="39586" xr:uid="{5D14BDED-5409-42B2-A519-1C0460C1333B}"/>
    <cellStyle name="Normal 8 17 3 8" xfId="46272" xr:uid="{6C4244E4-75DB-408E-BCB1-EB89E6E07C03}"/>
    <cellStyle name="Normal 8 17 4" xfId="12814" xr:uid="{00000000-0005-0000-0000-00004B260000}"/>
    <cellStyle name="Normal-- 8 17 4" xfId="15803" xr:uid="{0D29080D-9C4B-4AC7-881F-9D84E4EED221}"/>
    <cellStyle name="Normal 8 17 4 2" xfId="45285" xr:uid="{899A0F49-C5E4-45CE-B4BE-55127BC127BC}"/>
    <cellStyle name="Normal 8 17 4 3" xfId="47828" xr:uid="{B6995379-CD84-4E72-84FE-7ECA197BD94E}"/>
    <cellStyle name="Normal 8 17 4 4" xfId="37691" xr:uid="{3D4ADD16-226C-4699-B9D1-9793238B3D07}"/>
    <cellStyle name="Normal 8 17 4 5" xfId="49503" xr:uid="{CA421BBB-21CA-4F8A-9AF9-F24D952531F7}"/>
    <cellStyle name="Normal 8 17 4 6" xfId="49743" xr:uid="{3BCE1829-90F5-4BD3-A6EB-5411FB62D478}"/>
    <cellStyle name="Normal 8 17 4 7" xfId="50095" xr:uid="{8F3C4808-ECBD-4742-BB2D-B74171D49848}"/>
    <cellStyle name="Normal 8 17 5" xfId="9128" xr:uid="{00000000-0005-0000-0000-0000A0260000}"/>
    <cellStyle name="Normal-- 8 17 5" xfId="47822" xr:uid="{4AAA6E01-F4DE-46F3-A78C-3A1A45E51784}"/>
    <cellStyle name="Normal 8 17 5 2" xfId="41729" xr:uid="{7E86C378-0DB8-4A3B-8E28-13A0AE04D377}"/>
    <cellStyle name="Normal 8 17 5 3" xfId="47764" xr:uid="{6A2B8EDF-C99B-475F-A195-36E25555A94B}"/>
    <cellStyle name="Normal 8 17 5 4" xfId="46217" xr:uid="{3AD4EBC1-825C-4864-9FB7-E2BED127C85D}"/>
    <cellStyle name="Normal 8 17 5 5" xfId="47360" xr:uid="{7B11E97D-F629-45BE-BB32-270CFFFDC93A}"/>
    <cellStyle name="Normal 8 17 5 6" xfId="16446" xr:uid="{652CD0B6-D612-4033-ACB4-C5B3DDD5EA76}"/>
    <cellStyle name="Normal 8 17 6" xfId="12860" xr:uid="{00000000-0005-0000-0000-0000F9260000}"/>
    <cellStyle name="Normal-- 8 17 6" xfId="39707" xr:uid="{37256382-CAA1-47F6-AB13-21C0768563D0}"/>
    <cellStyle name="Normal 8 17 6 2" xfId="45331" xr:uid="{27068F40-DB0F-4877-BA8C-AA46F7B962CC}"/>
    <cellStyle name="Normal 8 17 6 3" xfId="49512" xr:uid="{946A5D09-94B7-4851-BD34-3E16B2FDC9F8}"/>
    <cellStyle name="Normal 8 17 6 4" xfId="49753" xr:uid="{CD67D1D2-F2ED-46A6-9ACB-FCA5B930F18F}"/>
    <cellStyle name="Normal 8 17 6 5" xfId="50107" xr:uid="{F11614F7-C9EF-4A26-8EAC-0273321FFF72}"/>
    <cellStyle name="Normal 8 17 7" xfId="9214" xr:uid="{00000000-0005-0000-0000-000056270000}"/>
    <cellStyle name="Normal-- 8 17 7" xfId="49489" xr:uid="{BFBD4CCF-3033-491A-95D3-673813385BEE}"/>
    <cellStyle name="Normal 8 17 7 2" xfId="41779" xr:uid="{9529D495-1087-45E4-9A57-092D9E84244B}"/>
    <cellStyle name="Normal 8 17 7 3" xfId="48119" xr:uid="{3017046B-03F6-4422-ABC7-32D84624A993}"/>
    <cellStyle name="Normal 8 17 7 4" xfId="48618" xr:uid="{D5DBC757-78C2-4D67-9B61-2ACDD1B8EFBA}"/>
    <cellStyle name="Normal 8 17 8" xfId="12892" xr:uid="{00000000-0005-0000-0000-0000B7270000}"/>
    <cellStyle name="Normal-- 8 17 8" xfId="49727" xr:uid="{7EBC1265-632C-4A9D-BF38-503671C3D75D}"/>
    <cellStyle name="Normal 8 17 8 2" xfId="45363" xr:uid="{5DD95B6E-09D9-41F0-8DE2-8AB25BD2A8ED}"/>
    <cellStyle name="Normal 8 17 8 3" xfId="50112" xr:uid="{9F2BEFBB-AB09-4409-9F09-D079DD0266B6}"/>
    <cellStyle name="Normal 8 17 9" xfId="8043" xr:uid="{00000000-0005-0000-0000-00002F0F0000}"/>
    <cellStyle name="Normal-- 8 17 9" xfId="50075" xr:uid="{BAA62040-DFC4-4720-ABC0-8DFB8EDE41C1}"/>
    <cellStyle name="Normal 8 18" xfId="4763" xr:uid="{00000000-0005-0000-0000-0000BE120000}"/>
    <cellStyle name="Normal-- 8 18" xfId="9045" xr:uid="{00000000-0005-0000-0000-0000F2250000}"/>
    <cellStyle name="Normal 8 18 10" xfId="11339" xr:uid="{00000000-0005-0000-0000-00004C310000}"/>
    <cellStyle name="Normal 8 18 10 2" xfId="43828" xr:uid="{0BB2D9E5-BFD1-4F3D-8968-9E00513F4DDC}"/>
    <cellStyle name="Normal 8 18 11" xfId="13368" xr:uid="{00000000-0005-0000-0000-0000BD310000}"/>
    <cellStyle name="Normal 8 18 11 2" xfId="45832" xr:uid="{28F3FBA1-268F-477D-BB5F-C2B729E96B73}"/>
    <cellStyle name="Normal 8 18 12" xfId="11267" xr:uid="{00000000-0005-0000-0000-000032320000}"/>
    <cellStyle name="Normal 8 18 12 2" xfId="43756" xr:uid="{E02710AD-F37D-4D9F-AE10-6B71E0ECE59F}"/>
    <cellStyle name="Normal 8 18 13" xfId="13428" xr:uid="{00000000-0005-0000-0000-0000AB320000}"/>
    <cellStyle name="Normal 8 18 13 2" xfId="45892" xr:uid="{68776048-2D8C-47FE-AA20-235DC07BB398}"/>
    <cellStyle name="Normal 8 18 14" xfId="11205" xr:uid="{00000000-0005-0000-0000-000028330000}"/>
    <cellStyle name="Normal 8 18 14 2" xfId="43694" xr:uid="{9D46D5C8-A908-42CE-B27E-4C533E6A77FA}"/>
    <cellStyle name="Normal 8 18 15" xfId="13491" xr:uid="{00000000-0005-0000-0000-0000A9330000}"/>
    <cellStyle name="Normal 8 18 15 2" xfId="45955" xr:uid="{D5E7AAE0-DD21-4C5F-A233-13B8FBFA73E9}"/>
    <cellStyle name="Normal 8 18 16" xfId="11143" xr:uid="{00000000-0005-0000-0000-00002E340000}"/>
    <cellStyle name="Normal 8 18 16 2" xfId="43632" xr:uid="{B86C6F1B-0E44-446C-B4F3-CF59F598F0E2}"/>
    <cellStyle name="Normal 8 18 17" xfId="13558" xr:uid="{00000000-0005-0000-0000-0000B7340000}"/>
    <cellStyle name="Normal 8 18 17 2" xfId="46022" xr:uid="{D9794F24-81D9-4B7D-8AAB-FFAAB3210A1E}"/>
    <cellStyle name="Normal 8 18 18" xfId="11074" xr:uid="{00000000-0005-0000-0000-000044350000}"/>
    <cellStyle name="Normal 8 18 18 2" xfId="43563" xr:uid="{8A103510-6A82-4B77-A9DE-C323F79B890C}"/>
    <cellStyle name="Normal 8 18 19" xfId="16149" xr:uid="{4EEEAEFB-AA49-4477-9284-95E2EB586F8A}"/>
    <cellStyle name="Normal 8 18 2" xfId="10288" xr:uid="{00000000-0005-0000-0000-00000B200000}"/>
    <cellStyle name="Normal-- 8 18 2" xfId="41658" xr:uid="{8CD39114-0B2C-4055-9F5F-B1A58FE1E839}"/>
    <cellStyle name="Normal 8 18 2 2" xfId="42777" xr:uid="{C609E3E2-FCD7-42A9-9839-FF16CE5EC771}"/>
    <cellStyle name="Normal 8 18 2 3" xfId="47567" xr:uid="{91C5B892-9D3F-47AE-85B5-19627A5BB482}"/>
    <cellStyle name="Normal 8 18 2 4" xfId="37889" xr:uid="{0B8599F1-1CDA-4980-B1CB-A91C4A03C99C}"/>
    <cellStyle name="Normal 8 18 2 5" xfId="47673" xr:uid="{1C776438-5787-4C10-9AAC-B829E3AAB2B5}"/>
    <cellStyle name="Normal 8 18 2 6" xfId="46151" xr:uid="{7A57D8E4-7425-46C2-B36F-0100F5807A3B}"/>
    <cellStyle name="Normal 8 18 2 7" xfId="47275" xr:uid="{09D87050-5F70-4957-BC63-E25C51CEFF54}"/>
    <cellStyle name="Normal 8 18 2 8" xfId="47309" xr:uid="{031BC5EB-E25B-4B49-926F-8ED01A746A31}"/>
    <cellStyle name="Normal 8 18 2 9" xfId="15998" xr:uid="{404A2F1F-14AD-4EE6-9BA5-6AB974A42B40}"/>
    <cellStyle name="Normal 8 18 20" xfId="38801" xr:uid="{14BBB21B-6F8E-4627-89AF-C28EA219E8B5}"/>
    <cellStyle name="Normal 8 18 21" xfId="15375" xr:uid="{D5A9E4B3-0FC1-4CF4-B545-F88653A1CB18}"/>
    <cellStyle name="Normal 8 18 22" xfId="40465" xr:uid="{FCD2E3B8-B5E1-4E32-8902-9B70D808FAD3}"/>
    <cellStyle name="Normal 8 18 23" xfId="37808" xr:uid="{91877A32-4FFC-4DC8-AD83-D459F322795B}"/>
    <cellStyle name="Normal 8 18 24" xfId="41093" xr:uid="{45B4BBB1-E34C-4698-9E3A-E56D99C49C29}"/>
    <cellStyle name="Normal 8 18 25" xfId="40643" xr:uid="{98D25218-15E2-45DB-AC7B-628411E4217E}"/>
    <cellStyle name="Normal 8 18 26" xfId="47273" xr:uid="{CF3F03C3-FA25-467D-BC61-670027DC7A58}"/>
    <cellStyle name="Normal 8 18 27" xfId="47391" xr:uid="{7FCF5177-FD30-4BDA-98B7-797240C8F737}"/>
    <cellStyle name="Normal 8 18 3" xfId="12815" xr:uid="{00000000-0005-0000-0000-00004C260000}"/>
    <cellStyle name="Normal-- 8 18 3" xfId="47075" xr:uid="{62F267D8-ABE8-4927-B012-D44BB0679558}"/>
    <cellStyle name="Normal 8 18 3 2" xfId="45286" xr:uid="{A60D9C30-7441-4323-A18C-D97D48DB25E3}"/>
    <cellStyle name="Normal 8 18 3 3" xfId="41550" xr:uid="{BD51E3C2-1A80-46F5-A461-3E49185189A9}"/>
    <cellStyle name="Normal 8 18 3 4" xfId="47148" xr:uid="{7972DB88-93F5-4D3E-9E25-82E73E808B14}"/>
    <cellStyle name="Normal 8 18 3 5" xfId="16512" xr:uid="{D8ADB518-40B1-47AF-ADB2-1F802908E64E}"/>
    <cellStyle name="Normal 8 18 3 6" xfId="49504" xr:uid="{50ECE599-60A4-4053-A0BA-083A6755C831}"/>
    <cellStyle name="Normal 8 18 3 7" xfId="49744" xr:uid="{9D7710F8-D055-4497-A453-25068B5EACCE}"/>
    <cellStyle name="Normal 8 18 3 8" xfId="50096" xr:uid="{A9C8FCB2-B4A2-4BF9-B7C3-FA381BDE0894}"/>
    <cellStyle name="Normal 8 18 4" xfId="9129" xr:uid="{00000000-0005-0000-0000-0000A1260000}"/>
    <cellStyle name="Normal-- 8 18 4" xfId="46567" xr:uid="{3292B438-FD26-4ECB-A9B9-737705F6A544}"/>
    <cellStyle name="Normal 8 18 4 2" xfId="41730" xr:uid="{7AE749CD-A23D-452E-8C7C-67F7A70CBC39}"/>
    <cellStyle name="Normal 8 18 4 3" xfId="40692" xr:uid="{379464AF-118F-487E-AA18-A1F583DB0361}"/>
    <cellStyle name="Normal 8 18 4 4" xfId="47026" xr:uid="{1520D691-1F79-4A03-95F9-69FB842F5E4B}"/>
    <cellStyle name="Normal 8 18 4 5" xfId="48256" xr:uid="{A63BB7AB-FE32-475E-B63B-295CA369C9D2}"/>
    <cellStyle name="Normal 8 18 4 6" xfId="46227" xr:uid="{C5052CC3-9D87-412E-96DB-F572E0BEB1BA}"/>
    <cellStyle name="Normal 8 18 4 7" xfId="47355" xr:uid="{B169B21A-B0F2-4E1D-ACD6-CF8AECC9D77A}"/>
    <cellStyle name="Normal 8 18 5" xfId="12861" xr:uid="{00000000-0005-0000-0000-0000FA260000}"/>
    <cellStyle name="Normal-- 8 18 5" xfId="14980" xr:uid="{34D5E190-850D-4E97-B688-3B4030B272D1}"/>
    <cellStyle name="Normal 8 18 5 2" xfId="45332" xr:uid="{E0D835EC-93FC-4DAA-9B1D-47BE068BDF11}"/>
    <cellStyle name="Normal 8 18 5 3" xfId="46538" xr:uid="{B43A7969-A7F9-4C66-926D-0C27062D3983}"/>
    <cellStyle name="Normal 8 18 5 4" xfId="49513" xr:uid="{B2060899-F168-4681-87E8-EE7F7708B20D}"/>
    <cellStyle name="Normal 8 18 5 5" xfId="49754" xr:uid="{42511B48-CF6D-4B47-AFCD-E210CF060897}"/>
    <cellStyle name="Normal 8 18 5 6" xfId="50108" xr:uid="{3E14B2F1-3836-49F5-B88E-7D3D9338411D}"/>
    <cellStyle name="Normal 8 18 6" xfId="9215" xr:uid="{00000000-0005-0000-0000-000057270000}"/>
    <cellStyle name="Normal-- 8 18 6" xfId="14183" xr:uid="{60568F34-CCDE-4797-B15E-4233DF20A296}"/>
    <cellStyle name="Normal 8 18 6 2" xfId="41780" xr:uid="{85926769-3BF4-4BFA-AF26-C8D4C4723470}"/>
    <cellStyle name="Normal 8 18 6 3" xfId="47683" xr:uid="{92DD8498-5725-4640-BFFB-190080EF73D8}"/>
    <cellStyle name="Normal 8 18 6 4" xfId="47975" xr:uid="{B87ED0DC-3A96-4BD6-8E03-C6A1ECCD9EDF}"/>
    <cellStyle name="Normal 8 18 6 5" xfId="48573" xr:uid="{86006BE4-DD47-42A3-B4DD-2E1831F603F6}"/>
    <cellStyle name="Normal 8 18 7" xfId="12893" xr:uid="{00000000-0005-0000-0000-0000B8270000}"/>
    <cellStyle name="Normal-- 8 18 7" xfId="48614" xr:uid="{E8784F09-1BB2-42AA-B2E2-D62D807B0238}"/>
    <cellStyle name="Normal 8 18 7 2" xfId="45364" xr:uid="{CA10D809-AE64-448A-88AA-B7286143A088}"/>
    <cellStyle name="Normal 8 18 7 3" xfId="49760" xr:uid="{490284AB-5B04-406E-A448-A5ABB30B89D1}"/>
    <cellStyle name="Normal 8 18 7 4" xfId="50113" xr:uid="{38202725-4579-4EB0-B134-0216B5ABE065}"/>
    <cellStyle name="Normal 8 18 8" xfId="8044" xr:uid="{00000000-0005-0000-0000-0000300F0000}"/>
    <cellStyle name="Normal-- 8 18 8" xfId="47434" xr:uid="{1CF801A0-A575-4EFB-BFBD-632D6C72A120}"/>
    <cellStyle name="Normal 8 18 9" xfId="13302" xr:uid="{00000000-0005-0000-0000-0000DF300000}"/>
    <cellStyle name="Normal-- 8 18 9" xfId="49398" xr:uid="{F6B79E46-E101-4BCA-BD34-1210DC9559CD}"/>
    <cellStyle name="Normal 8 18 9 2" xfId="45766" xr:uid="{E1BFF525-E291-42E6-9320-621533ABC2C2}"/>
    <cellStyle name="Normal 8 19" xfId="4764" xr:uid="{00000000-0005-0000-0000-0000BF120000}"/>
    <cellStyle name="Normal-- 8 19" xfId="12806" xr:uid="{00000000-0005-0000-0000-000043260000}"/>
    <cellStyle name="Normal 8 19 10" xfId="13369" xr:uid="{00000000-0005-0000-0000-0000BE310000}"/>
    <cellStyle name="Normal 8 19 10 2" xfId="45833" xr:uid="{018C7FEC-7EC3-4FAB-BC75-D81E6F85D8C4}"/>
    <cellStyle name="Normal 8 19 11" xfId="11266" xr:uid="{00000000-0005-0000-0000-000033320000}"/>
    <cellStyle name="Normal 8 19 11 2" xfId="43755" xr:uid="{D1E823E9-1AA8-4250-8956-5CC7D99491C8}"/>
    <cellStyle name="Normal 8 19 12" xfId="13429" xr:uid="{00000000-0005-0000-0000-0000AC320000}"/>
    <cellStyle name="Normal 8 19 12 2" xfId="45893" xr:uid="{AFB50E69-579E-47E7-94A3-2729209EFAAE}"/>
    <cellStyle name="Normal 8 19 13" xfId="12934" xr:uid="{00000000-0005-0000-0000-000029330000}"/>
    <cellStyle name="Normal 8 19 13 2" xfId="45405" xr:uid="{71B4873B-F235-4770-9018-B81F81A0C6D6}"/>
    <cellStyle name="Normal 8 19 14" xfId="13492" xr:uid="{00000000-0005-0000-0000-0000AA330000}"/>
    <cellStyle name="Normal 8 19 14 2" xfId="45956" xr:uid="{C743989D-A8B6-4D3E-BF6A-BFC34248F17B}"/>
    <cellStyle name="Normal 8 19 15" xfId="11142" xr:uid="{00000000-0005-0000-0000-00002F340000}"/>
    <cellStyle name="Normal 8 19 15 2" xfId="43631" xr:uid="{37C8787F-CB74-486D-AAA0-3F8CD8725B71}"/>
    <cellStyle name="Normal 8 19 16" xfId="13559" xr:uid="{00000000-0005-0000-0000-0000B8340000}"/>
    <cellStyle name="Normal 8 19 16 2" xfId="46023" xr:uid="{E861A319-C875-4930-94E6-BB91FFFDF8AB}"/>
    <cellStyle name="Normal 8 19 17" xfId="11073" xr:uid="{00000000-0005-0000-0000-000045350000}"/>
    <cellStyle name="Normal 8 19 17 2" xfId="43562" xr:uid="{538903F1-201A-43A1-945E-D0601D3297E2}"/>
    <cellStyle name="Normal 8 19 18" xfId="16150" xr:uid="{AC794F10-80B1-4F18-94AB-62E9A029F0FE}"/>
    <cellStyle name="Normal 8 19 19" xfId="38802" xr:uid="{B42771A2-09FF-4845-9621-D31EC17E4D39}"/>
    <cellStyle name="Normal 8 19 2" xfId="10289" xr:uid="{00000000-0005-0000-0000-00000C200000}"/>
    <cellStyle name="Normal-- 8 19 2" xfId="45277" xr:uid="{376B2629-10A9-463F-AFD8-F7DD63A5B50E}"/>
    <cellStyle name="Normal 8 19 2 2" xfId="42778" xr:uid="{B06A47B6-7097-4AA7-8692-EADD72868FF2}"/>
    <cellStyle name="Normal 8 19 2 3" xfId="47568" xr:uid="{368F6304-FE26-4D17-955A-6E99C9AE817E}"/>
    <cellStyle name="Normal 8 19 2 4" xfId="48202" xr:uid="{A02E0A0F-9718-41CD-87F6-12BF62E56F51}"/>
    <cellStyle name="Normal 8 19 2 5" xfId="46841" xr:uid="{EF1A98EB-A7EB-4BDD-B5BA-F2A397A61F84}"/>
    <cellStyle name="Normal 8 19 2 6" xfId="46811" xr:uid="{2BD7078C-EFE2-4F95-AF69-5B06552AB9D8}"/>
    <cellStyle name="Normal 8 19 2 7" xfId="46563" xr:uid="{A346B380-7D55-4BCE-9882-944AA5FAF376}"/>
    <cellStyle name="Normal 8 19 2 8" xfId="47231" xr:uid="{089A86E1-0789-4C19-A809-2A04273FCC08}"/>
    <cellStyle name="Normal 8 19 2 9" xfId="40311" xr:uid="{A3481872-5F46-471F-9783-5941BE66E68A}"/>
    <cellStyle name="Normal 8 19 20" xfId="15376" xr:uid="{0FFD6730-CB26-4433-824F-B5E2BE4C8525}"/>
    <cellStyle name="Normal 8 19 21" xfId="46109" xr:uid="{FFCE20CE-F248-459C-93F9-B93AC52179F9}"/>
    <cellStyle name="Normal 8 19 22" xfId="47262" xr:uid="{CB7DD618-AE68-49CD-A10E-6933DC41A6F8}"/>
    <cellStyle name="Normal 8 19 23" xfId="47988" xr:uid="{302711FA-153E-438E-912B-C77544008925}"/>
    <cellStyle name="Normal 8 19 24" xfId="47922" xr:uid="{DD1F304D-C804-49DB-8319-32D62AA236CB}"/>
    <cellStyle name="Normal 8 19 25" xfId="47979" xr:uid="{7B25D164-EC2D-467B-8907-7CB36A49BCAB}"/>
    <cellStyle name="Normal 8 19 26" xfId="46182" xr:uid="{E7F6D71B-21DC-4265-8DC5-843BE465166C}"/>
    <cellStyle name="Normal 8 19 3" xfId="9130" xr:uid="{00000000-0005-0000-0000-0000A2260000}"/>
    <cellStyle name="Normal-- 8 19 3" xfId="48478" xr:uid="{2285A1E3-C34A-422A-BFD2-C45B8B303843}"/>
    <cellStyle name="Normal 8 19 3 2" xfId="41731" xr:uid="{79B04559-FA0B-4968-B865-E8F635082B63}"/>
    <cellStyle name="Normal 8 19 3 3" xfId="37679" xr:uid="{B6B38C58-5EB4-42B7-AEE2-EFAC4659FCF7}"/>
    <cellStyle name="Normal 8 19 3 4" xfId="40326" xr:uid="{7940B9DB-BFC5-4190-86C8-6E048823B63D}"/>
    <cellStyle name="Normal 8 19 3 5" xfId="47539" xr:uid="{0886BD6D-E009-4BCF-BB9B-B1C3B49F5872}"/>
    <cellStyle name="Normal 8 19 3 6" xfId="48596" xr:uid="{C8AA5CBE-0947-44DD-891E-C587D7F4B2D5}"/>
    <cellStyle name="Normal 8 19 3 7" xfId="46388" xr:uid="{64768FD7-915B-4607-9B4C-BF907C27EB35}"/>
    <cellStyle name="Normal 8 19 3 8" xfId="46205" xr:uid="{C2DF57CF-7C03-4397-91E5-810D56869F45}"/>
    <cellStyle name="Normal 8 19 4" xfId="12862" xr:uid="{00000000-0005-0000-0000-0000FB260000}"/>
    <cellStyle name="Normal-- 8 19 4" xfId="41520" xr:uid="{9213A03E-01C1-4C2C-8094-46FE2766E3F1}"/>
    <cellStyle name="Normal 8 19 4 2" xfId="45333" xr:uid="{267045B5-81F2-4691-BDCE-80830DADFE3C}"/>
    <cellStyle name="Normal 8 19 4 3" xfId="48988" xr:uid="{911BF425-258F-40E1-A1E5-C8E90AF8491B}"/>
    <cellStyle name="Normal 8 19 4 4" xfId="47329" xr:uid="{25D36299-0AC7-4537-A368-C5D0A960F5D7}"/>
    <cellStyle name="Normal 8 19 4 5" xfId="49514" xr:uid="{B263856F-B5F7-414E-8BA4-2186A3A4363F}"/>
    <cellStyle name="Normal 8 19 4 6" xfId="49755" xr:uid="{6B963B7F-BF96-4371-A358-B71C430B1FE2}"/>
    <cellStyle name="Normal 8 19 4 7" xfId="50109" xr:uid="{2EF761C9-225D-4C1A-8A54-38E2430E8136}"/>
    <cellStyle name="Normal 8 19 5" xfId="9216" xr:uid="{00000000-0005-0000-0000-000058270000}"/>
    <cellStyle name="Normal-- 8 19 5" xfId="47826" xr:uid="{44DCA12B-F801-4731-AD1B-13F0937EF5FA}"/>
    <cellStyle name="Normal 8 19 5 2" xfId="41781" xr:uid="{9151C30B-859B-432E-ADC0-83BE6760761F}"/>
    <cellStyle name="Normal 8 19 5 3" xfId="14161" xr:uid="{418A04F8-01F0-4615-8FF5-8962B09CB199}"/>
    <cellStyle name="Normal 8 19 5 4" xfId="48257" xr:uid="{80306C22-F2DA-4FDA-818F-644E4959EB35}"/>
    <cellStyle name="Normal 8 19 5 5" xfId="49388" xr:uid="{48BA115C-64D5-4C8F-9A20-8C342124A907}"/>
    <cellStyle name="Normal 8 19 5 6" xfId="14768" xr:uid="{57C8FE36-8653-4418-A569-721E3C35978D}"/>
    <cellStyle name="Normal 8 19 6" xfId="12894" xr:uid="{00000000-0005-0000-0000-0000B9270000}"/>
    <cellStyle name="Normal-- 8 19 6" xfId="48047" xr:uid="{ED2FD812-8A9E-40C3-AD65-62FC994E0F5B}"/>
    <cellStyle name="Normal 8 19 6 2" xfId="45365" xr:uid="{9AA5B579-9F62-40C0-9D42-D514F514EB0D}"/>
    <cellStyle name="Normal 8 19 6 3" xfId="49517" xr:uid="{94C8AC17-7D1B-4F99-9BE4-65FA939810DA}"/>
    <cellStyle name="Normal 8 19 6 4" xfId="49761" xr:uid="{FF70510B-7B62-47C5-AE4A-B0EA26BF0E9A}"/>
    <cellStyle name="Normal 8 19 6 5" xfId="50114" xr:uid="{89A59EDC-3AAB-4ED3-9320-684D2A075DF5}"/>
    <cellStyle name="Normal 8 19 7" xfId="8045" xr:uid="{00000000-0005-0000-0000-0000310F0000}"/>
    <cellStyle name="Normal-- 8 19 7" xfId="49500" xr:uid="{1A503D85-AD9F-4F2E-9971-379EF4635502}"/>
    <cellStyle name="Normal 8 19 8" xfId="13303" xr:uid="{00000000-0005-0000-0000-0000E0300000}"/>
    <cellStyle name="Normal-- 8 19 8" xfId="49739" xr:uid="{DF2E9271-8020-4330-9727-1602A86EA387}"/>
    <cellStyle name="Normal 8 19 8 2" xfId="45767" xr:uid="{8B91D757-60EC-4723-B9B0-AB5E52B2B3D5}"/>
    <cellStyle name="Normal 8 19 8 3" xfId="50209" xr:uid="{3AB2351A-C5B6-4AD7-9623-A2034CD5FE67}"/>
    <cellStyle name="Normal 8 19 9" xfId="11338" xr:uid="{00000000-0005-0000-0000-00004D310000}"/>
    <cellStyle name="Normal-- 8 19 9" xfId="50090" xr:uid="{E50FE203-94F6-4905-8F1F-69664EDCB3F2}"/>
    <cellStyle name="Normal 8 19 9 2" xfId="43827" xr:uid="{D98E06B2-B39E-4C01-A017-9DDAD92E3246}"/>
    <cellStyle name="Normal 8 2" xfId="4765" xr:uid="{00000000-0005-0000-0000-0000C0120000}"/>
    <cellStyle name="Normal-- 8 2" xfId="10279" xr:uid="{00000000-0005-0000-0000-000002200000}"/>
    <cellStyle name="Normal 8 2 10" xfId="8757" xr:uid="{00000000-0005-0000-0000-0000A5230000}"/>
    <cellStyle name="Normal 8 2 10 2" xfId="41438" xr:uid="{27892E2B-6D18-443E-B0B5-22B701B1E92B}"/>
    <cellStyle name="Normal 8 2 11" xfId="12636" xr:uid="{00000000-0005-0000-0000-0000CE230000}"/>
    <cellStyle name="Normal 8 2 11 2" xfId="45107" xr:uid="{DCC9A954-C53F-4C42-9F84-773DBCC031BC}"/>
    <cellStyle name="Normal 8 2 12" xfId="8791" xr:uid="{00000000-0005-0000-0000-0000FB230000}"/>
    <cellStyle name="Normal 8 2 12 2" xfId="41464" xr:uid="{2CDFF9AB-191E-41C7-9501-11A061E20E53}"/>
    <cellStyle name="Normal 8 2 13" xfId="12662" xr:uid="{00000000-0005-0000-0000-00002D240000}"/>
    <cellStyle name="Normal 8 2 13 2" xfId="45133" xr:uid="{9AE4E351-38C1-4290-BD86-4AEDD6B33243}"/>
    <cellStyle name="Normal 8 2 14" xfId="8834" xr:uid="{00000000-0005-0000-0000-000063240000}"/>
    <cellStyle name="Normal 8 2 14 2" xfId="41495" xr:uid="{71FBF45A-EC9C-4BC6-9400-D403E7DDE2A6}"/>
    <cellStyle name="Normal 8 2 15" xfId="12690" xr:uid="{00000000-0005-0000-0000-00009D240000}"/>
    <cellStyle name="Normal 8 2 15 2" xfId="45161" xr:uid="{F0864CA3-EE7D-4DD2-9F20-6F83F9E68429}"/>
    <cellStyle name="Normal 8 2 16" xfId="8903" xr:uid="{00000000-0005-0000-0000-0000DB240000}"/>
    <cellStyle name="Normal 8 2 16 2" xfId="41549" xr:uid="{94279E4A-3636-4E18-81DF-F801D41B35D1}"/>
    <cellStyle name="Normal 8 2 17" xfId="12733" xr:uid="{00000000-0005-0000-0000-00001D250000}"/>
    <cellStyle name="Normal 8 2 17 2" xfId="45204" xr:uid="{4CAF3E08-6B76-43B1-95D9-45CDC8CE2A33}"/>
    <cellStyle name="Normal 8 2 18" xfId="8983" xr:uid="{00000000-0005-0000-0000-000063250000}"/>
    <cellStyle name="Normal 8 2 18 2" xfId="41617" xr:uid="{79F98C45-3BFB-4B48-B809-43CB2394898A}"/>
    <cellStyle name="Normal 8 2 19" xfId="12773" xr:uid="{00000000-0005-0000-0000-0000AD250000}"/>
    <cellStyle name="Normal 8 2 19 2" xfId="45244" xr:uid="{EE2A1384-0393-4F7E-80A6-DDD10E046FF3}"/>
    <cellStyle name="Normal 8 2 2" xfId="4766" xr:uid="{00000000-0005-0000-0000-0000C1120000}"/>
    <cellStyle name="Normal-- 8 2 2" xfId="42768" xr:uid="{4B5A1CE5-D55C-43C0-B826-1FBCBD7FBDB2}"/>
    <cellStyle name="Normal 8 2 2 10" xfId="40354" xr:uid="{CD836DF8-05BD-43DF-87E6-5FCE73BA15BE}"/>
    <cellStyle name="Normal 8 2 2 11" xfId="15247" xr:uid="{8F064121-FBE7-4ADD-B4E0-A4840602F8F9}"/>
    <cellStyle name="Normal 8 2 2 12" xfId="48401" xr:uid="{363430F4-276C-491D-A561-15EEA2107A97}"/>
    <cellStyle name="Normal 8 2 2 13" xfId="48659" xr:uid="{0F5E1256-8484-4A8A-94C8-09FF7060DE7F}"/>
    <cellStyle name="Normal 8 2 2 14" xfId="37844" xr:uid="{D1402A35-888E-48BD-8FC3-07A704D541E4}"/>
    <cellStyle name="Normal 8 2 2 15" xfId="48513" xr:uid="{B280EB21-D159-448F-95F5-F625064AF872}"/>
    <cellStyle name="Normal 8 2 2 16" xfId="40519" xr:uid="{0B6C6FC2-11D9-4432-9D78-B8567FDF8798}"/>
    <cellStyle name="Normal 8 2 2 2" xfId="4767" xr:uid="{00000000-0005-0000-0000-0000C2120000}"/>
    <cellStyle name="Normal 8 2 2 2 2" xfId="10292" xr:uid="{00000000-0005-0000-0000-00000F200000}"/>
    <cellStyle name="Normal 8 2 2 2 2 2" xfId="17768" xr:uid="{B6E3424E-1EB6-456A-B1E9-79BDB77B35E6}"/>
    <cellStyle name="Normal 8 2 2 2 2 2 2" xfId="18477" xr:uid="{5F8DA364-01AE-4237-BC38-3F8956B33898}"/>
    <cellStyle name="Normal 8 2 2 2 2 3" xfId="18648" xr:uid="{20E57B54-BF18-47E6-9B3B-6A4C35103309}"/>
    <cellStyle name="Normal 8 2 2 2 2 4" xfId="17500" xr:uid="{E6ED9234-C522-4D73-944D-CED4C5D633D1}"/>
    <cellStyle name="Normal 8 2 2 2 2 5" xfId="42781" xr:uid="{358A41CB-9D0E-41CB-AA31-D6BFF05C991E}"/>
    <cellStyle name="Normal 8 2 2 2 3" xfId="17690" xr:uid="{1A3BA551-E715-45E3-AE98-776C29C19467}"/>
    <cellStyle name="Normal 8 2 2 2 3 2" xfId="18529" xr:uid="{57A7BA87-9BB4-4997-BD73-D9013C1A20C6}"/>
    <cellStyle name="Normal 8 2 2 2 4" xfId="18330" xr:uid="{8EF579BB-5F37-482C-BD4B-1649D005BF2C}"/>
    <cellStyle name="Normal 8 2 2 2 5" xfId="17310" xr:uid="{B7EF92CC-D95B-48D9-9243-B943A13A6565}"/>
    <cellStyle name="Normal 8 2 2 2 6" xfId="38805" xr:uid="{EB04F712-88D2-48DB-88DD-3ABE562F98F2}"/>
    <cellStyle name="Normal 8 2 2 3" xfId="10291" xr:uid="{00000000-0005-0000-0000-00000E200000}"/>
    <cellStyle name="Normal 8 2 2 3 2" xfId="17734" xr:uid="{34FA2FF0-B748-49FA-B750-A085BE558052}"/>
    <cellStyle name="Normal 8 2 2 3 2 2" xfId="18501" xr:uid="{D0F08A87-5E4C-44A6-BF43-6290770A3CD0}"/>
    <cellStyle name="Normal 8 2 2 3 3" xfId="18671" xr:uid="{095D7B2E-801E-4821-8ED6-01BE2414DCB2}"/>
    <cellStyle name="Normal 8 2 2 3 4" xfId="17471" xr:uid="{BC1F8154-90C3-424D-A3F1-E65598AEFB16}"/>
    <cellStyle name="Normal 8 2 2 3 5" xfId="42780" xr:uid="{5DB7E7F3-DECA-4F46-8209-C11F4E3FE00E}"/>
    <cellStyle name="Normal 8 2 2 4" xfId="8047" xr:uid="{00000000-0005-0000-0000-0000330F0000}"/>
    <cellStyle name="Normal 8 2 2 4 2" xfId="17871" xr:uid="{40A99ADE-2979-4A53-B773-A91BCADE86E7}"/>
    <cellStyle name="Normal 8 2 2 4 2 2" xfId="18407" xr:uid="{1E1C9BCE-E61C-4AD4-88CA-EE383017F63F}"/>
    <cellStyle name="Normal 8 2 2 4 3" xfId="18582" xr:uid="{062B6EE7-5B3B-441C-B65E-AEE24FC86CE2}"/>
    <cellStyle name="Normal 8 2 2 4 4" xfId="17606" xr:uid="{ABCDE689-0893-4811-97D8-EB51347916B6}"/>
    <cellStyle name="Normal 8 2 2 5" xfId="17646" xr:uid="{BB2CDCE4-7906-45BA-9719-D3B47399DA34}"/>
    <cellStyle name="Normal 8 2 2 5 2" xfId="18559" xr:uid="{4A94AFE9-00C6-4EC8-8613-418F733607BC}"/>
    <cellStyle name="Normal 8 2 2 6" xfId="18183" xr:uid="{F60D71ED-56CD-4772-92FD-2C4CAA9D2DA4}"/>
    <cellStyle name="Normal 8 2 2 6 2" xfId="23705" xr:uid="{B2DB7B52-4399-4BF0-B271-8D3C61A537CC}"/>
    <cellStyle name="Normal 8 2 2 7" xfId="24498" xr:uid="{02F248DE-F7B3-4A8A-ACE3-72328C7BE1D8}"/>
    <cellStyle name="Normal 8 2 2 8" xfId="16152" xr:uid="{4EAB41BB-B55B-4EE7-8D07-FF8CEE6149DC}"/>
    <cellStyle name="Normal 8 2 2 9" xfId="38804" xr:uid="{FEC8465A-694F-4C75-9E1A-37BFE52C99DC}"/>
    <cellStyle name="Normal 8 2 20" xfId="9056" xr:uid="{00000000-0005-0000-0000-0000FB250000}"/>
    <cellStyle name="Normal 8 2 20 2" xfId="41668" xr:uid="{CE420AFA-0D1B-44BC-B642-D0ECADCAAE5A}"/>
    <cellStyle name="Normal 8 2 21" xfId="12816" xr:uid="{00000000-0005-0000-0000-00004D260000}"/>
    <cellStyle name="Normal 8 2 21 2" xfId="45287" xr:uid="{80B00BE6-AEDC-4393-93D3-57E6A6935FA7}"/>
    <cellStyle name="Normal 8 2 22" xfId="9131" xr:uid="{00000000-0005-0000-0000-0000A3260000}"/>
    <cellStyle name="Normal 8 2 22 2" xfId="41732" xr:uid="{99C96D45-FEE6-49F0-8457-C04A069C9674}"/>
    <cellStyle name="Normal 8 2 23" xfId="12863" xr:uid="{00000000-0005-0000-0000-0000FC260000}"/>
    <cellStyle name="Normal 8 2 23 2" xfId="45334" xr:uid="{D8065C78-F33C-41B8-A26B-6C2C9B577851}"/>
    <cellStyle name="Normal 8 2 24" xfId="9217" xr:uid="{00000000-0005-0000-0000-000059270000}"/>
    <cellStyle name="Normal 8 2 24 2" xfId="41782" xr:uid="{C4855C41-A4C3-494A-B21A-D1437CB7819D}"/>
    <cellStyle name="Normal 8 2 25" xfId="12895" xr:uid="{00000000-0005-0000-0000-0000BA270000}"/>
    <cellStyle name="Normal 8 2 25 2" xfId="45366" xr:uid="{AE2161FE-6999-4229-A60D-E7C567FEB4C1}"/>
    <cellStyle name="Normal 8 2 26" xfId="8046" xr:uid="{00000000-0005-0000-0000-0000320F0000}"/>
    <cellStyle name="Normal 8 2 27" xfId="13304" xr:uid="{00000000-0005-0000-0000-0000E1300000}"/>
    <cellStyle name="Normal 8 2 27 2" xfId="45768" xr:uid="{DCC2722E-FA55-4AE5-8DE1-5CD8E0D2E898}"/>
    <cellStyle name="Normal 8 2 28" xfId="11337" xr:uid="{00000000-0005-0000-0000-00004E310000}"/>
    <cellStyle name="Normal 8 2 28 2" xfId="43826" xr:uid="{23677343-7BBD-476F-9216-278B37515055}"/>
    <cellStyle name="Normal 8 2 29" xfId="13370" xr:uid="{00000000-0005-0000-0000-0000BF310000}"/>
    <cellStyle name="Normal 8 2 29 2" xfId="45834" xr:uid="{3F6D2491-C0D1-4777-9D4E-2936D9090E0A}"/>
    <cellStyle name="Normal 8 2 3" xfId="4768" xr:uid="{00000000-0005-0000-0000-0000C3120000}"/>
    <cellStyle name="Normal-- 8 2 3" xfId="47558" xr:uid="{8467C697-A99A-47C5-8997-CA9730897000}"/>
    <cellStyle name="Normal 8 2 3 10" xfId="48922" xr:uid="{D2CA0223-F5AB-4EE5-80C3-C088DEF9DD00}"/>
    <cellStyle name="Normal 8 2 3 2" xfId="10293" xr:uid="{00000000-0005-0000-0000-000010200000}"/>
    <cellStyle name="Normal 8 2 3 2 2" xfId="42782" xr:uid="{9209403A-A0C9-4120-B11A-32E9F72AC9EC}"/>
    <cellStyle name="Normal 8 2 3 3" xfId="8048" xr:uid="{00000000-0005-0000-0000-0000340F0000}"/>
    <cellStyle name="Normal 8 2 3 4" xfId="38806" xr:uid="{904CB6A8-F1B4-4163-83B4-6397451FD8E9}"/>
    <cellStyle name="Normal 8 2 3 5" xfId="47402" xr:uid="{94C72E02-3E69-4FF8-BED1-1A73C1CF9A17}"/>
    <cellStyle name="Normal 8 2 3 6" xfId="40547" xr:uid="{0549078A-8F45-4255-8789-11A47FA5830D}"/>
    <cellStyle name="Normal 8 2 3 7" xfId="46655" xr:uid="{A6A34C02-A536-4ED8-99BD-283FD88A8536}"/>
    <cellStyle name="Normal 8 2 3 8" xfId="46118" xr:uid="{F995B98A-61AD-41A7-8482-A32AAC48684C}"/>
    <cellStyle name="Normal 8 2 3 9" xfId="47978" xr:uid="{7FD341E0-D5B2-40BF-A2E0-D028980F0965}"/>
    <cellStyle name="Normal 8 2 30" xfId="11265" xr:uid="{00000000-0005-0000-0000-000034320000}"/>
    <cellStyle name="Normal 8 2 30 2" xfId="43754" xr:uid="{D3FC4833-3E00-4505-815A-3EE37024C673}"/>
    <cellStyle name="Normal 8 2 31" xfId="13430" xr:uid="{00000000-0005-0000-0000-0000AD320000}"/>
    <cellStyle name="Normal 8 2 31 2" xfId="45894" xr:uid="{2C62577D-4C6B-4433-9DF0-6306DC034B5D}"/>
    <cellStyle name="Normal 8 2 32" xfId="11204" xr:uid="{00000000-0005-0000-0000-00002A330000}"/>
    <cellStyle name="Normal 8 2 32 2" xfId="43693" xr:uid="{815C3A77-8E72-47D5-BF31-84E20DE10F5B}"/>
    <cellStyle name="Normal 8 2 33" xfId="13493" xr:uid="{00000000-0005-0000-0000-0000AB330000}"/>
    <cellStyle name="Normal 8 2 33 2" xfId="45957" xr:uid="{B947B5C3-0F39-45C4-BECB-A9B71966283D}"/>
    <cellStyle name="Normal 8 2 34" xfId="11141" xr:uid="{00000000-0005-0000-0000-000030340000}"/>
    <cellStyle name="Normal 8 2 34 2" xfId="43630" xr:uid="{8352B9DE-85DF-481E-B36C-C8E2EF0A139C}"/>
    <cellStyle name="Normal 8 2 35" xfId="13560" xr:uid="{00000000-0005-0000-0000-0000B9340000}"/>
    <cellStyle name="Normal 8 2 35 2" xfId="46024" xr:uid="{24EC0D94-6295-44B4-88FC-116FC555E327}"/>
    <cellStyle name="Normal 8 2 36" xfId="11072" xr:uid="{00000000-0005-0000-0000-000046350000}"/>
    <cellStyle name="Normal 8 2 36 2" xfId="43561" xr:uid="{72182CB5-B877-4AD8-9E88-BC6F7D8F9B46}"/>
    <cellStyle name="Normal 8 2 37" xfId="16151" xr:uid="{6E44D8D9-A446-4029-BEFE-F08F0E1886E7}"/>
    <cellStyle name="Normal 8 2 38" xfId="38803" xr:uid="{1AA75310-41A9-4D52-ACD7-C62B2F359EFE}"/>
    <cellStyle name="Normal 8 2 39" xfId="15377" xr:uid="{6CBD07F9-7802-4165-B225-7F2EA48670D4}"/>
    <cellStyle name="Normal 8 2 4" xfId="10290" xr:uid="{00000000-0005-0000-0000-00000D200000}"/>
    <cellStyle name="Normal-- 8 2 4" xfId="37886" xr:uid="{67174396-55AD-44F7-A54F-6B2E6EC13CB6}"/>
    <cellStyle name="Normal 8 2 4 2" xfId="18182" xr:uid="{0FF8C666-8A7A-441B-9E5F-80833EF615E5}"/>
    <cellStyle name="Normal 8 2 4 3" xfId="42779" xr:uid="{DA38A069-504D-4F07-B368-95A985585AF6}"/>
    <cellStyle name="Normal 8 2 4 4" xfId="47672" xr:uid="{8D05B0D8-E05A-4CED-9C47-AB91AF561462}"/>
    <cellStyle name="Normal 8 2 4 5" xfId="47784" xr:uid="{D1ABCEC0-CB3B-4FF3-B521-B8851FBE259A}"/>
    <cellStyle name="Normal 8 2 4 6" xfId="37862" xr:uid="{5518A22E-989D-411B-BC1C-3F7DE4FF9D2C}"/>
    <cellStyle name="Normal 8 2 4 7" xfId="18306" xr:uid="{E66ECDCF-C028-4CF2-ACA3-56EC76359ED5}"/>
    <cellStyle name="Normal 8 2 4 8" xfId="46653" xr:uid="{0438A007-D84D-4198-B76B-AE2F230818B3}"/>
    <cellStyle name="Normal 8 2 40" xfId="47403" xr:uid="{D6A6691D-E1D4-4CA7-A6C6-067DE1F12146}"/>
    <cellStyle name="Normal 8 2 41" xfId="48171" xr:uid="{0FC65B34-CBC3-4333-A6DD-30FC90096E4B}"/>
    <cellStyle name="Normal 8 2 42" xfId="47649" xr:uid="{BBA86E2B-CCE1-445A-8237-7AD28C9C86F5}"/>
    <cellStyle name="Normal 8 2 43" xfId="48044" xr:uid="{946A593F-2326-45FD-95FE-3A39305509A7}"/>
    <cellStyle name="Normal 8 2 44" xfId="46822" xr:uid="{AF9F87FE-46BE-4AB7-BAD3-D5466EC635AC}"/>
    <cellStyle name="Normal 8 2 45" xfId="16541" xr:uid="{92C894FF-1328-40CF-A67E-394DD6F3A269}"/>
    <cellStyle name="Normal 8 2 5" xfId="12590" xr:uid="{00000000-0005-0000-0000-000014230000}"/>
    <cellStyle name="Normal-- 8 2 5" xfId="40298" xr:uid="{F185A1AB-E024-47EA-B979-E6AF44B5053D}"/>
    <cellStyle name="Normal 8 2 5 2" xfId="45061" xr:uid="{866F1E25-A53E-40DC-A7DF-4886BB5EE3D0}"/>
    <cellStyle name="Normal 8 2 5 3" xfId="46268" xr:uid="{BAE393D6-A224-4F70-AD54-B806FFC19D80}"/>
    <cellStyle name="Normal 8 2 5 4" xfId="46905" xr:uid="{CBB33E31-7FF7-467F-B0B0-2807ED82E33A}"/>
    <cellStyle name="Normal 8 2 5 5" xfId="49058" xr:uid="{55FCAABB-F5E5-478A-BD59-47A86B46CD39}"/>
    <cellStyle name="Normal 8 2 5 6" xfId="49999" xr:uid="{6D02A06C-111E-4FFA-9E4D-2DE59D3B65E4}"/>
    <cellStyle name="Normal 8 2 6" xfId="8712" xr:uid="{00000000-0005-0000-0000-000029230000}"/>
    <cellStyle name="Normal-- 8 2 6" xfId="46152" xr:uid="{74F28BAF-32DA-4DF8-AA9C-1DAFDD46F980}"/>
    <cellStyle name="Normal 8 2 6 2" xfId="41408" xr:uid="{44519B6A-0FA4-4480-8157-B17C6A3E1A65}"/>
    <cellStyle name="Normal 8 2 6 3" xfId="40611" xr:uid="{70278D98-60A2-4B86-A1FD-A5378AC071B8}"/>
    <cellStyle name="Normal 8 2 6 4" xfId="48695" xr:uid="{8E39AC0C-9FC4-444C-B6E1-BB1289743E63}"/>
    <cellStyle name="Normal 8 2 6 5" xfId="48909" xr:uid="{630B87E8-9191-4B8E-92C6-5AE1B4F977FC}"/>
    <cellStyle name="Normal 8 2 7" xfId="12601" xr:uid="{00000000-0005-0000-0000-000042230000}"/>
    <cellStyle name="Normal-- 8 2 7" xfId="16517" xr:uid="{1A7245E7-39F9-460E-96F1-A00C5922F23A}"/>
    <cellStyle name="Normal 8 2 7 2" xfId="45072" xr:uid="{A31B1969-6758-48B4-B3D7-72E75F1A6FA9}"/>
    <cellStyle name="Normal 8 2 7 3" xfId="47342" xr:uid="{DA874959-344B-4F88-9FFB-249A6555EC90}"/>
    <cellStyle name="Normal 8 2 7 4" xfId="50003" xr:uid="{98FEA3B6-92B4-4E64-A128-7622F78BA593}"/>
    <cellStyle name="Normal 8 2 8" xfId="8731" xr:uid="{00000000-0005-0000-0000-00005F230000}"/>
    <cellStyle name="Normal-- 8 2 8" xfId="41425" xr:uid="{D231FFF8-DE5A-4A3E-B18D-C5E911B2FFE2}"/>
    <cellStyle name="Normal 8 2 8 2" xfId="41422" xr:uid="{FCA227F2-E6F2-4C6A-A167-3CE11771109B}"/>
    <cellStyle name="Normal 8 2 8 3" xfId="40291" xr:uid="{C87B5FB6-225B-473E-8483-B6E7750A0AD4}"/>
    <cellStyle name="Normal 8 2 9" xfId="12620" xr:uid="{00000000-0005-0000-0000-000080230000}"/>
    <cellStyle name="Normal-- 8 2 9" xfId="46493" xr:uid="{FD424663-5AE2-4436-8E47-68DD6FBA3146}"/>
    <cellStyle name="Normal 8 2 9 2" xfId="45091" xr:uid="{D6E97214-E6BE-4763-8631-535D6294FE3C}"/>
    <cellStyle name="Normal 8 20" xfId="4769" xr:uid="{00000000-0005-0000-0000-0000C4120000}"/>
    <cellStyle name="Normal-- 8 20" xfId="9120" xr:uid="{00000000-0005-0000-0000-000098260000}"/>
    <cellStyle name="Normal 8 20 10" xfId="11261" xr:uid="{00000000-0005-0000-0000-000035320000}"/>
    <cellStyle name="Normal 8 20 10 2" xfId="43750" xr:uid="{570421AE-C44C-4F4B-80FA-E1A3E6E4D9E3}"/>
    <cellStyle name="Normal 8 20 11" xfId="13432" xr:uid="{00000000-0005-0000-0000-0000AE320000}"/>
    <cellStyle name="Normal 8 20 11 2" xfId="45896" xr:uid="{3D6F5684-95BD-4034-8134-BDE65D2913E0}"/>
    <cellStyle name="Normal 8 20 12" xfId="12930" xr:uid="{00000000-0005-0000-0000-00002B330000}"/>
    <cellStyle name="Normal 8 20 12 2" xfId="45401" xr:uid="{844D6C36-AF46-44BA-80C7-B94F76B8A508}"/>
    <cellStyle name="Normal 8 20 13" xfId="13494" xr:uid="{00000000-0005-0000-0000-0000AC330000}"/>
    <cellStyle name="Normal 8 20 13 2" xfId="45958" xr:uid="{AF7308F6-D641-4417-B659-F437B20FAB01}"/>
    <cellStyle name="Normal 8 20 14" xfId="11140" xr:uid="{00000000-0005-0000-0000-000031340000}"/>
    <cellStyle name="Normal 8 20 14 2" xfId="43629" xr:uid="{9465AC19-C723-4FE4-A998-F5E500FC7647}"/>
    <cellStyle name="Normal 8 20 15" xfId="13561" xr:uid="{00000000-0005-0000-0000-0000BA340000}"/>
    <cellStyle name="Normal 8 20 15 2" xfId="46025" xr:uid="{AED54FAC-ABF7-4520-90F8-18B66FD3E654}"/>
    <cellStyle name="Normal 8 20 16" xfId="11071" xr:uid="{00000000-0005-0000-0000-000047350000}"/>
    <cellStyle name="Normal 8 20 16 2" xfId="43560" xr:uid="{341D570E-895F-4EF1-ACC6-A97A237277C9}"/>
    <cellStyle name="Normal 8 20 17" xfId="16153" xr:uid="{54AF7179-D358-4E8B-9A54-DC28E56F8A0B}"/>
    <cellStyle name="Normal 8 20 18" xfId="38807" xr:uid="{1A1799EB-A361-4D0B-B079-3A5513DE69FD}"/>
    <cellStyle name="Normal 8 20 19" xfId="40355" xr:uid="{715BD094-53A6-4457-9E2A-8B530D00F01B}"/>
    <cellStyle name="Normal 8 20 2" xfId="10294" xr:uid="{00000000-0005-0000-0000-000011200000}"/>
    <cellStyle name="Normal-- 8 20 2" xfId="41721" xr:uid="{B6EF72DA-5205-41F4-838F-EA63A40F128C}"/>
    <cellStyle name="Normal 8 20 2 2" xfId="42783" xr:uid="{D5289ED5-F4FD-4278-A835-66426E1142DA}"/>
    <cellStyle name="Normal 8 20 2 3" xfId="47569" xr:uid="{06EDE453-74BE-4E00-971D-C06734D2FD23}"/>
    <cellStyle name="Normal 8 20 2 4" xfId="37891" xr:uid="{F0225ADE-3851-443B-91AB-F653CACA1A25}"/>
    <cellStyle name="Normal 8 20 2 5" xfId="15081" xr:uid="{294E1277-FD6A-4D2B-8984-4B7E3E05AD0D}"/>
    <cellStyle name="Normal 8 20 2 6" xfId="46668" xr:uid="{A5AA87BA-11D9-49E7-8BF9-54660B2B5CDF}"/>
    <cellStyle name="Normal 8 20 2 7" xfId="16518" xr:uid="{05944CE8-FC28-472A-A97F-F89A60A27518}"/>
    <cellStyle name="Normal 8 20 2 8" xfId="46260" xr:uid="{585B7FA9-AD28-4148-B080-F7CE9947E49F}"/>
    <cellStyle name="Normal 8 20 2 9" xfId="46108" xr:uid="{64854B17-EC3A-4D31-A721-006017F599D3}"/>
    <cellStyle name="Normal 8 20 20" xfId="40467" xr:uid="{9925464D-A618-42FF-B81B-4F2B310AEBB8}"/>
    <cellStyle name="Normal 8 20 21" xfId="48170" xr:uid="{175679BF-0A93-4A6B-8885-259F8CC42AA5}"/>
    <cellStyle name="Normal 8 20 22" xfId="16269" xr:uid="{05915813-0EA9-458D-9129-16FEFE0931D9}"/>
    <cellStyle name="Normal 8 20 23" xfId="48292" xr:uid="{38D3F666-EFB1-4193-922D-345062E98526}"/>
    <cellStyle name="Normal 8 20 24" xfId="40084" xr:uid="{D962A48E-AA94-44F6-8B70-A717C859132C}"/>
    <cellStyle name="Normal 8 20 25" xfId="40351" xr:uid="{7E34087F-F498-4276-BD87-493FC53A1ACB}"/>
    <cellStyle name="Normal 8 20 3" xfId="12865" xr:uid="{00000000-0005-0000-0000-0000FD260000}"/>
    <cellStyle name="Normal-- 8 20 3" xfId="47102" xr:uid="{EE548817-9DD8-4882-9FE1-F5CE5E7BBE7B}"/>
    <cellStyle name="Normal 8 20 3 2" xfId="45336" xr:uid="{279377AC-2A8E-4565-B366-D237BA257352}"/>
    <cellStyle name="Normal 8 20 3 3" xfId="41639" xr:uid="{1EB2DBA6-8207-4586-A876-0C31C836F04F}"/>
    <cellStyle name="Normal 8 20 3 4" xfId="48989" xr:uid="{2D0AAD2E-369A-4D38-B164-F34F50A47A6B}"/>
    <cellStyle name="Normal 8 20 3 5" xfId="14180" xr:uid="{6DFC45F4-8D60-43B7-ABD2-834E0952A167}"/>
    <cellStyle name="Normal 8 20 3 6" xfId="49515" xr:uid="{6C12D56D-F622-4748-AF09-C59F75FE1007}"/>
    <cellStyle name="Normal 8 20 3 7" xfId="49756" xr:uid="{920255DE-1B34-4576-ABD3-AE64969AE893}"/>
    <cellStyle name="Normal 8 20 3 8" xfId="50110" xr:uid="{0776581D-9FE8-4F78-A740-3B367D6EBE86}"/>
    <cellStyle name="Normal 8 20 4" xfId="9222" xr:uid="{00000000-0005-0000-0000-00005A270000}"/>
    <cellStyle name="Normal-- 8 20 4" xfId="37677" xr:uid="{6D9EED94-00E5-4756-B0C1-2E841BCDAF2F}"/>
    <cellStyle name="Normal 8 20 4 2" xfId="41786" xr:uid="{48213A4D-2AD4-4C08-9788-A7D92C505C0C}"/>
    <cellStyle name="Normal 8 20 4 3" xfId="47629" xr:uid="{17E2B600-D7EC-4F12-9709-5825BE63D501}"/>
    <cellStyle name="Normal 8 20 4 4" xfId="48758" xr:uid="{D72E78BB-251C-4D5A-A086-69A890AC96B6}"/>
    <cellStyle name="Normal 8 20 4 5" xfId="14417" xr:uid="{D9ACB352-3FA2-433E-B769-003FD8DA8B22}"/>
    <cellStyle name="Normal 8 20 4 6" xfId="38028" xr:uid="{08551D2A-5A08-4498-99D7-003D0F4E6504}"/>
    <cellStyle name="Normal 8 20 4 7" xfId="47803" xr:uid="{AE8DDAB4-1523-46F0-AC9E-123A6D6B1739}"/>
    <cellStyle name="Normal 8 20 5" xfId="12896" xr:uid="{00000000-0005-0000-0000-0000BB270000}"/>
    <cellStyle name="Normal-- 8 20 5" xfId="40689" xr:uid="{9EB061AB-8C0B-4FDB-9884-90B1F39DD215}"/>
    <cellStyle name="Normal 8 20 5 2" xfId="45367" xr:uid="{594B48F2-955E-441C-9A0A-89E1CAB0C4DD}"/>
    <cellStyle name="Normal 8 20 5 3" xfId="37987" xr:uid="{2FCAB2EC-F9FF-47A6-B693-D2259F969076}"/>
    <cellStyle name="Normal 8 20 5 4" xfId="49518" xr:uid="{28C62BA9-CE37-4522-881E-07CABE460D31}"/>
    <cellStyle name="Normal 8 20 5 5" xfId="49762" xr:uid="{53C0020A-10CB-4918-AC1C-75DF46512652}"/>
    <cellStyle name="Normal 8 20 5 6" xfId="50115" xr:uid="{E4C03D08-5FCC-476E-B4B9-4FA76CC97B5A}"/>
    <cellStyle name="Normal 8 20 6" xfId="8049" xr:uid="{00000000-0005-0000-0000-0000350F0000}"/>
    <cellStyle name="Normal-- 8 20 6" xfId="48431" xr:uid="{D1EA8BF8-D5D0-482B-86A2-1A52AF7B2E66}"/>
    <cellStyle name="Normal 8 20 7" xfId="13308" xr:uid="{00000000-0005-0000-0000-0000E2300000}"/>
    <cellStyle name="Normal-- 8 20 7" xfId="15993" xr:uid="{A041929D-213C-4796-867D-996135220226}"/>
    <cellStyle name="Normal 8 20 7 2" xfId="45772" xr:uid="{7BDBBF27-3A91-4C2F-ABBC-EC0FFBD6FEA3}"/>
    <cellStyle name="Normal 8 20 7 3" xfId="49867" xr:uid="{F3A04E40-E5BE-40E9-872B-FBFC679EDAD3}"/>
    <cellStyle name="Normal 8 20 7 4" xfId="50210" xr:uid="{F5BA24C5-94A9-4D6E-9912-2ACA93EEC064}"/>
    <cellStyle name="Normal 8 20 8" xfId="11333" xr:uid="{00000000-0005-0000-0000-00004F310000}"/>
    <cellStyle name="Normal-- 8 20 8" xfId="47359" xr:uid="{FBBF6222-102C-4E05-9196-669AAF16ECAD}"/>
    <cellStyle name="Normal 8 20 8 2" xfId="43822" xr:uid="{07B8FEC0-7EAE-459C-A49A-C875AA150B41}"/>
    <cellStyle name="Normal 8 20 8 3" xfId="41833" xr:uid="{E0BEBE98-9A37-4CB5-BB69-908E8B12784A}"/>
    <cellStyle name="Normal 8 20 9" xfId="13374" xr:uid="{00000000-0005-0000-0000-0000C0310000}"/>
    <cellStyle name="Normal-- 8 20 9" xfId="49072" xr:uid="{BA2E799C-ED0E-4CCD-8AC6-2A79D34CA9B9}"/>
    <cellStyle name="Normal 8 20 9 2" xfId="45838" xr:uid="{F6692D08-0DAE-459A-854D-2B0A7BC81984}"/>
    <cellStyle name="Normal 8 21" xfId="4770" xr:uid="{00000000-0005-0000-0000-0000C5120000}"/>
    <cellStyle name="Normal-- 8 21" xfId="12850" xr:uid="{00000000-0005-0000-0000-0000F1260000}"/>
    <cellStyle name="Normal 8 21 10" xfId="11332" xr:uid="{00000000-0005-0000-0000-000050310000}"/>
    <cellStyle name="Normal 8 21 10 2" xfId="43821" xr:uid="{BC57C063-977E-438C-8FC8-F36FE17C4198}"/>
    <cellStyle name="Normal 8 21 11" xfId="13375" xr:uid="{00000000-0005-0000-0000-0000C1310000}"/>
    <cellStyle name="Normal 8 21 11 2" xfId="45839" xr:uid="{F8E16A33-666F-4E6E-A700-5C59E788C89A}"/>
    <cellStyle name="Normal 8 21 12" xfId="11260" xr:uid="{00000000-0005-0000-0000-000036320000}"/>
    <cellStyle name="Normal 8 21 12 2" xfId="43749" xr:uid="{44FC3186-52FE-459A-91CF-3EAFE5AAA7B0}"/>
    <cellStyle name="Normal 8 21 13" xfId="13433" xr:uid="{00000000-0005-0000-0000-0000AF320000}"/>
    <cellStyle name="Normal 8 21 13 2" xfId="45897" xr:uid="{BDD9E5F9-BFED-4883-B826-A3AC1047B34F}"/>
    <cellStyle name="Normal 8 21 14" xfId="11202" xr:uid="{00000000-0005-0000-0000-00002C330000}"/>
    <cellStyle name="Normal 8 21 14 2" xfId="43691" xr:uid="{3D405EB6-E8A8-4EB6-91A5-B6DD3A4ECFAD}"/>
    <cellStyle name="Normal 8 21 15" xfId="13495" xr:uid="{00000000-0005-0000-0000-0000AD330000}"/>
    <cellStyle name="Normal 8 21 15 2" xfId="45959" xr:uid="{7281B91C-EA77-459B-896B-24A18C34B079}"/>
    <cellStyle name="Normal 8 21 16" xfId="11139" xr:uid="{00000000-0005-0000-0000-000032340000}"/>
    <cellStyle name="Normal 8 21 16 2" xfId="43628" xr:uid="{CFC26448-F991-4923-9BDB-34082FFF711D}"/>
    <cellStyle name="Normal 8 21 17" xfId="13562" xr:uid="{00000000-0005-0000-0000-0000BB340000}"/>
    <cellStyle name="Normal 8 21 17 2" xfId="46026" xr:uid="{9EDDA71F-4F5C-43E8-A52C-CD5EA5733211}"/>
    <cellStyle name="Normal 8 21 18" xfId="11070" xr:uid="{00000000-0005-0000-0000-000048350000}"/>
    <cellStyle name="Normal 8 21 18 2" xfId="43559" xr:uid="{7D2B6D75-AD04-4901-BF52-9C5D39C61F44}"/>
    <cellStyle name="Normal 8 21 19" xfId="16154" xr:uid="{5E4FD357-90DB-426C-8048-6004C17ABF89}"/>
    <cellStyle name="Normal 8 21 2" xfId="4771" xr:uid="{00000000-0005-0000-0000-0000C6120000}"/>
    <cellStyle name="Normal-- 8 21 2" xfId="45321" xr:uid="{BE0C2469-6367-4B87-B8E3-34E26EC425A0}"/>
    <cellStyle name="Normal 8 21 2 10" xfId="37807" xr:uid="{75953D52-6AD4-400C-A10D-6221EAAB0BB9}"/>
    <cellStyle name="Normal 8 21 2 11" xfId="40313" xr:uid="{3A76EA7D-E6A7-4C61-BE28-E4D614AF43B3}"/>
    <cellStyle name="Normal 8 21 2 12" xfId="46775" xr:uid="{8E7CFC1D-63D0-47BB-BF25-51BDCAEE671F}"/>
    <cellStyle name="Normal 8 21 2 13" xfId="46687" xr:uid="{B6314A66-B484-453C-B7F8-AEE6A3631F62}"/>
    <cellStyle name="Normal 8 21 2 14" xfId="48677" xr:uid="{D3C44337-5FAE-4446-AE23-3B9D5BE0752C}"/>
    <cellStyle name="Normal 8 21 2 2" xfId="4772" xr:uid="{00000000-0005-0000-0000-0000C7120000}"/>
    <cellStyle name="Normal 8 21 2 2 2" xfId="4773" xr:uid="{00000000-0005-0000-0000-0000C8120000}"/>
    <cellStyle name="Normal 8 21 2 2 2 2" xfId="10298" xr:uid="{00000000-0005-0000-0000-000015200000}"/>
    <cellStyle name="Normal 8 21 2 2 2 2 2" xfId="42787" xr:uid="{15F473EA-8A9D-45C2-A34F-863C5008834F}"/>
    <cellStyle name="Normal 8 21 2 2 2 3" xfId="8053" xr:uid="{00000000-0005-0000-0000-0000390F0000}"/>
    <cellStyle name="Normal 8 21 2 2 2 3 2" xfId="40878" xr:uid="{BD39EEA9-79CC-4614-951C-CCD8E076DD7B}"/>
    <cellStyle name="Normal 8 21 2 2 2 4" xfId="16157" xr:uid="{38E74C90-0ECF-4C0D-B15E-3D2B5BAF53B3}"/>
    <cellStyle name="Normal 8 21 2 2 2 5" xfId="38811" xr:uid="{A5D70824-34CF-45F4-8691-E175553349E2}"/>
    <cellStyle name="Normal 8 21 2 2 3" xfId="10297" xr:uid="{00000000-0005-0000-0000-000014200000}"/>
    <cellStyle name="Normal 8 21 2 2 3 2" xfId="42786" xr:uid="{79F2BDC4-1087-46FB-BA6C-6846F6C09AAC}"/>
    <cellStyle name="Normal 8 21 2 2 4" xfId="8052" xr:uid="{00000000-0005-0000-0000-0000380F0000}"/>
    <cellStyle name="Normal 8 21 2 2 4 2" xfId="40877" xr:uid="{5542954C-2C97-4E4B-AB03-C953C61D169E}"/>
    <cellStyle name="Normal 8 21 2 2 5" xfId="16156" xr:uid="{4527C8AD-D813-49EF-9C57-68305697819D}"/>
    <cellStyle name="Normal 8 21 2 2 6" xfId="38810" xr:uid="{182B0570-53B4-4535-B891-2B846BF71D01}"/>
    <cellStyle name="Normal 8 21 2 3" xfId="4774" xr:uid="{00000000-0005-0000-0000-0000C9120000}"/>
    <cellStyle name="Normal 8 21 2 3 2" xfId="10299" xr:uid="{00000000-0005-0000-0000-000016200000}"/>
    <cellStyle name="Normal 8 21 2 3 2 2" xfId="42788" xr:uid="{D48FD04C-F9F7-40EC-9B0B-3F4A861ACCB0}"/>
    <cellStyle name="Normal 8 21 2 3 3" xfId="8054" xr:uid="{00000000-0005-0000-0000-00003A0F0000}"/>
    <cellStyle name="Normal 8 21 2 3 3 2" xfId="40879" xr:uid="{4F228B0A-A7C3-41F9-AB1E-194C80848FAA}"/>
    <cellStyle name="Normal 8 21 2 3 4" xfId="16158" xr:uid="{B1B63E16-4B95-47BE-A9A7-F810360A4877}"/>
    <cellStyle name="Normal 8 21 2 3 5" xfId="38812" xr:uid="{9DF892E8-8FC7-4B70-A94C-0BABECC17245}"/>
    <cellStyle name="Normal 8 21 2 4" xfId="10296" xr:uid="{00000000-0005-0000-0000-000013200000}"/>
    <cellStyle name="Normal 8 21 2 4 2" xfId="42785" xr:uid="{2A28BEF2-0B26-44DA-B446-3093FC727E4B}"/>
    <cellStyle name="Normal 8 21 2 5" xfId="8051" xr:uid="{00000000-0005-0000-0000-0000370F0000}"/>
    <cellStyle name="Normal 8 21 2 5 2" xfId="40876" xr:uid="{ADAFFE80-F958-474C-AF6B-908AFF8FC2EA}"/>
    <cellStyle name="Normal 8 21 2 6" xfId="16155" xr:uid="{7C71C032-5EB0-4BDE-A9FA-21FB799EA668}"/>
    <cellStyle name="Normal 8 21 2 7" xfId="38809" xr:uid="{02A77A19-745E-476A-B3F3-4FE3DA6964BF}"/>
    <cellStyle name="Normal 8 21 2 8" xfId="15378" xr:uid="{BB0FE4F8-AD27-47F3-84EA-9C372BCE8DB2}"/>
    <cellStyle name="Normal 8 21 2 9" xfId="47401" xr:uid="{F8457238-B1A6-4B62-B60B-C6FEF63A0B5E}"/>
    <cellStyle name="Normal 8 21 20" xfId="38808" xr:uid="{BA9EEA63-DDBE-4122-A7C0-D5768273CE34}"/>
    <cellStyle name="Normal 8 21 21" xfId="40356" xr:uid="{443B84A4-79D6-40E4-B30C-734CCF8E7F45}"/>
    <cellStyle name="Normal 8 21 22" xfId="46107" xr:uid="{AB4E35F6-2D75-44AE-9EA1-82A0EDC80FA0}"/>
    <cellStyle name="Normal 8 21 23" xfId="15147" xr:uid="{5174AE52-9170-4999-9CC0-3C5CE385B31D}"/>
    <cellStyle name="Normal 8 21 24" xfId="48143" xr:uid="{ACBF7457-C815-4A3C-8EF9-E6A327993FD5}"/>
    <cellStyle name="Normal 8 21 25" xfId="47776" xr:uid="{EAD65BB1-5A08-447C-B020-7A5697DE6581}"/>
    <cellStyle name="Normal 8 21 26" xfId="48649" xr:uid="{1DB24CC0-59E9-4D44-8AA6-2228EB8F4A11}"/>
    <cellStyle name="Normal 8 21 27" xfId="40602" xr:uid="{039049FD-3A17-4284-B277-02CA2E875A36}"/>
    <cellStyle name="Normal 8 21 3" xfId="4775" xr:uid="{00000000-0005-0000-0000-0000CA120000}"/>
    <cellStyle name="Normal-- 8 21 3" xfId="48496" xr:uid="{3E33B810-2CA1-46D9-8085-A4B786F3A47B}"/>
    <cellStyle name="Normal 8 21 3 10" xfId="15049" xr:uid="{B25EF0B9-49B3-4905-B5A8-AECA5B390645}"/>
    <cellStyle name="Normal 8 21 3 11" xfId="37654" xr:uid="{86C2EDFC-6402-4E56-AAA6-5A0E4F871BD8}"/>
    <cellStyle name="Normal 8 21 3 12" xfId="14056" xr:uid="{65E54149-09B1-4B43-9346-2E7DDB5D01A1}"/>
    <cellStyle name="Normal 8 21 3 2" xfId="4776" xr:uid="{00000000-0005-0000-0000-0000CB120000}"/>
    <cellStyle name="Normal 8 21 3 2 2" xfId="10301" xr:uid="{00000000-0005-0000-0000-000018200000}"/>
    <cellStyle name="Normal 8 21 3 2 2 2" xfId="42790" xr:uid="{7D2760D5-2F0D-4C51-AEC6-82DDA11DF8DD}"/>
    <cellStyle name="Normal 8 21 3 2 3" xfId="8056" xr:uid="{00000000-0005-0000-0000-00003C0F0000}"/>
    <cellStyle name="Normal 8 21 3 2 3 2" xfId="40881" xr:uid="{DC13DAF0-7E2B-4163-A367-4780FEF4A8B3}"/>
    <cellStyle name="Normal 8 21 3 2 4" xfId="16160" xr:uid="{D76A8232-9128-4B97-B738-EC3A1D44BABB}"/>
    <cellStyle name="Normal 8 21 3 2 5" xfId="38814" xr:uid="{67C196B2-8CA2-40DD-915A-B53C7D8A32E9}"/>
    <cellStyle name="Normal 8 21 3 3" xfId="10300" xr:uid="{00000000-0005-0000-0000-000017200000}"/>
    <cellStyle name="Normal 8 21 3 3 2" xfId="42789" xr:uid="{0B54B1EF-9A9D-42A4-9A4A-B698792ED9B9}"/>
    <cellStyle name="Normal 8 21 3 4" xfId="8055" xr:uid="{00000000-0005-0000-0000-00003B0F0000}"/>
    <cellStyle name="Normal 8 21 3 4 2" xfId="40880" xr:uid="{642B1B66-4A3E-4122-A174-B677C18FA59E}"/>
    <cellStyle name="Normal 8 21 3 5" xfId="16159" xr:uid="{F64FB8FB-3DA5-4D1D-88FA-1E9D7E56C038}"/>
    <cellStyle name="Normal 8 21 3 6" xfId="38813" xr:uid="{5A849FD0-BDEA-4E85-9EB1-1A168DC3FF84}"/>
    <cellStyle name="Normal 8 21 3 7" xfId="15246" xr:uid="{BB247600-8899-494A-8E39-2610BB334554}"/>
    <cellStyle name="Normal 8 21 3 8" xfId="47263" xr:uid="{9D68BC6D-D2EF-4F02-8359-C2ACBB033067}"/>
    <cellStyle name="Normal 8 21 3 9" xfId="48441" xr:uid="{8ABE7BBF-D888-426C-B1E0-D0B78D8F2F50}"/>
    <cellStyle name="Normal 8 21 4" xfId="4777" xr:uid="{00000000-0005-0000-0000-0000CC120000}"/>
    <cellStyle name="Normal-- 8 21 4" xfId="15762" xr:uid="{4E1410CF-CFBB-4802-BDCB-344D576CB83F}"/>
    <cellStyle name="Normal 8 21 4 10" xfId="47094" xr:uid="{6E97C307-2EE9-4B06-A83E-8EC62DC7A911}"/>
    <cellStyle name="Normal 8 21 4 2" xfId="10302" xr:uid="{00000000-0005-0000-0000-000019200000}"/>
    <cellStyle name="Normal 8 21 4 2 2" xfId="42791" xr:uid="{780609F9-D513-4296-AABB-1D20DD72FC0E}"/>
    <cellStyle name="Normal 8 21 4 3" xfId="8057" xr:uid="{00000000-0005-0000-0000-00003D0F0000}"/>
    <cellStyle name="Normal 8 21 4 3 2" xfId="40882" xr:uid="{05E7BAE4-9B36-44A2-95AD-894CF8177289}"/>
    <cellStyle name="Normal 8 21 4 4" xfId="16161" xr:uid="{F5825E5E-8882-476C-B1A5-EA86F723D8FF}"/>
    <cellStyle name="Normal 8 21 4 5" xfId="38815" xr:uid="{FE0F4B78-7136-4BFF-9C69-FA2761867502}"/>
    <cellStyle name="Normal 8 21 4 6" xfId="46847" xr:uid="{4D259C95-D382-4110-9D34-C29F00AC02C1}"/>
    <cellStyle name="Normal 8 21 4 7" xfId="46365" xr:uid="{103C5D87-16EF-498E-B0FE-57BC709D7D72}"/>
    <cellStyle name="Normal 8 21 4 8" xfId="48601" xr:uid="{5F52D842-1C28-40E3-8776-6519637AC231}"/>
    <cellStyle name="Normal 8 21 4 9" xfId="37818" xr:uid="{42F91651-A1CE-45FB-8229-82EA65F3ACF7}"/>
    <cellStyle name="Normal 8 21 5" xfId="10295" xr:uid="{00000000-0005-0000-0000-000012200000}"/>
    <cellStyle name="Normal-- 8 21 5" xfId="48983" xr:uid="{0C64D556-1F9B-4085-8976-4E4D99A5B7D1}"/>
    <cellStyle name="Normal 8 21 5 2" xfId="42784" xr:uid="{F8C567E0-F81F-4A30-81D0-E2D8DC02AD98}"/>
    <cellStyle name="Normal 8 21 5 3" xfId="37932" xr:uid="{32515365-AE26-4F4A-B7AF-9481B35EE56A}"/>
    <cellStyle name="Normal 8 21 5 4" xfId="40455" xr:uid="{2CB51D3F-DDC9-486B-BCF2-1D794E78CD16}"/>
    <cellStyle name="Normal 8 21 5 5" xfId="49161" xr:uid="{46C0D828-AF3C-4055-9447-1BAD009DC60F}"/>
    <cellStyle name="Normal 8 21 5 6" xfId="14138" xr:uid="{9E181F1A-CDA8-4833-A5BD-2AD9B3626E80}"/>
    <cellStyle name="Normal 8 21 6" xfId="9223" xr:uid="{00000000-0005-0000-0000-00005B270000}"/>
    <cellStyle name="Normal-- 8 21 6" xfId="37986" xr:uid="{2625A7B5-927B-45B1-ABE5-AAC2B9852C17}"/>
    <cellStyle name="Normal 8 21 6 2" xfId="41787" xr:uid="{0D424B36-B27F-4D2C-B7E8-1448077CE9CC}"/>
    <cellStyle name="Normal 8 21 6 3" xfId="14909" xr:uid="{99E44206-B5DD-4916-9ACF-65927C48451B}"/>
    <cellStyle name="Normal 8 21 6 4" xfId="46836" xr:uid="{FC717554-2E20-459E-825B-29D7F81332C1}"/>
    <cellStyle name="Normal 8 21 6 5" xfId="49397" xr:uid="{46919C1E-0904-481D-BF3A-F04A9E941A19}"/>
    <cellStyle name="Normal 8 21 7" xfId="12897" xr:uid="{00000000-0005-0000-0000-0000BC270000}"/>
    <cellStyle name="Normal-- 8 21 7" xfId="49511" xr:uid="{9C82270B-D173-4944-BCB8-FE94252E6276}"/>
    <cellStyle name="Normal 8 21 7 2" xfId="45368" xr:uid="{CC2A1AB1-2FFF-414A-B9A1-002C366F5B19}"/>
    <cellStyle name="Normal 8 21 7 3" xfId="49763" xr:uid="{B3988645-28B1-43E9-9D78-739F6C2F8F2A}"/>
    <cellStyle name="Normal 8 21 7 4" xfId="50116" xr:uid="{835D91B7-9D4F-4FF9-9E66-C36081AC1125}"/>
    <cellStyle name="Normal 8 21 8" xfId="8050" xr:uid="{00000000-0005-0000-0000-0000360F0000}"/>
    <cellStyle name="Normal-- 8 21 8" xfId="49751" xr:uid="{F14D9987-896A-4B40-9551-1F6362F55316}"/>
    <cellStyle name="Normal 8 21 8 2" xfId="40875" xr:uid="{57F34059-8034-4E35-ABC7-7E42D76970BB}"/>
    <cellStyle name="Normal 8 21 8 3" xfId="48998" xr:uid="{26A38F2C-CCD8-4F97-B436-B39D5FE329BE}"/>
    <cellStyle name="Normal 8 21 9" xfId="13309" xr:uid="{00000000-0005-0000-0000-0000E3300000}"/>
    <cellStyle name="Normal-- 8 21 9" xfId="50104" xr:uid="{8C39266E-4FAA-4C50-864B-FE8A439F479F}"/>
    <cellStyle name="Normal 8 21 9 2" xfId="45773" xr:uid="{BEA6B715-A681-4338-9F49-1B9AA09658CB}"/>
    <cellStyle name="Normal 8 22" xfId="4778" xr:uid="{00000000-0005-0000-0000-0000CD120000}"/>
    <cellStyle name="Normal-- 8 22" xfId="9205" xr:uid="{00000000-0005-0000-0000-00004E270000}"/>
    <cellStyle name="Normal 8 22 10" xfId="13382" xr:uid="{00000000-0005-0000-0000-0000C2310000}"/>
    <cellStyle name="Normal 8 22 10 2" xfId="45846" xr:uid="{A30AFB24-96DA-4A2C-805E-E4EBEC3C6E70}"/>
    <cellStyle name="Normal 8 22 11" xfId="11252" xr:uid="{00000000-0005-0000-0000-000037320000}"/>
    <cellStyle name="Normal 8 22 11 2" xfId="43741" xr:uid="{B3920B5B-FCC4-48EB-881A-5D7FDD7559F3}"/>
    <cellStyle name="Normal 8 22 12" xfId="13441" xr:uid="{00000000-0005-0000-0000-0000B0320000}"/>
    <cellStyle name="Normal 8 22 12 2" xfId="45905" xr:uid="{8AF96576-B694-4BC9-82D1-12D1A7BAD5B4}"/>
    <cellStyle name="Normal 8 22 13" xfId="11197" xr:uid="{00000000-0005-0000-0000-00002D330000}"/>
    <cellStyle name="Normal 8 22 13 2" xfId="43686" xr:uid="{E4F01557-E39E-48E4-911F-E35F18FE736B}"/>
    <cellStyle name="Normal 8 22 14" xfId="13498" xr:uid="{00000000-0005-0000-0000-0000AE330000}"/>
    <cellStyle name="Normal 8 22 14 2" xfId="45962" xr:uid="{FEB141FD-5564-4D70-9F1D-AE7B2BE98E66}"/>
    <cellStyle name="Normal 8 22 15" xfId="11138" xr:uid="{00000000-0005-0000-0000-000033340000}"/>
    <cellStyle name="Normal 8 22 15 2" xfId="43627" xr:uid="{35FC8932-0E4E-42FA-9084-05952DA9C62F}"/>
    <cellStyle name="Normal 8 22 16" xfId="13563" xr:uid="{00000000-0005-0000-0000-0000BC340000}"/>
    <cellStyle name="Normal 8 22 16 2" xfId="46027" xr:uid="{5942E9F8-70F3-4EFA-8DE3-2732B63EDE3A}"/>
    <cellStyle name="Normal 8 22 17" xfId="11069" xr:uid="{00000000-0005-0000-0000-000049350000}"/>
    <cellStyle name="Normal 8 22 17 2" xfId="43558" xr:uid="{C14D4412-7547-4B8F-93D9-AA134FE2EFFC}"/>
    <cellStyle name="Normal 8 22 18" xfId="16162" xr:uid="{164BF12D-5FB6-4D43-8A8B-501AF5F3F8F3}"/>
    <cellStyle name="Normal 8 22 19" xfId="38816" xr:uid="{0D1E29D0-9FF7-4A5D-AC15-9BBAD430B606}"/>
    <cellStyle name="Normal 8 22 2" xfId="4779" xr:uid="{00000000-0005-0000-0000-0000CE120000}"/>
    <cellStyle name="Normal-- 8 22 2" xfId="41770" xr:uid="{45096C53-D6B3-4F10-9A08-1D532EB090D2}"/>
    <cellStyle name="Normal 8 22 2 10" xfId="46852" xr:uid="{81CE5496-47F5-4C09-AB8B-78FEE3213462}"/>
    <cellStyle name="Normal 8 22 2 11" xfId="16621" xr:uid="{0271AEB7-5EB8-4A62-8F29-A56817FFFE16}"/>
    <cellStyle name="Normal 8 22 2 12" xfId="47852" xr:uid="{3608DC80-3A61-47D9-BCCA-11B8138EF42B}"/>
    <cellStyle name="Normal 8 22 2 13" xfId="47368" xr:uid="{B12F0193-12BF-4B12-AAD6-970418A80694}"/>
    <cellStyle name="Normal 8 22 2 14" xfId="47053" xr:uid="{213C1CB6-33E2-4DBC-AA6B-CC64B36C81A9}"/>
    <cellStyle name="Normal 8 22 2 2" xfId="4780" xr:uid="{00000000-0005-0000-0000-0000CF120000}"/>
    <cellStyle name="Normal 8 22 2 2 2" xfId="4781" xr:uid="{00000000-0005-0000-0000-0000D0120000}"/>
    <cellStyle name="Normal 8 22 2 2 2 2" xfId="10306" xr:uid="{00000000-0005-0000-0000-00001D200000}"/>
    <cellStyle name="Normal 8 22 2 2 2 2 2" xfId="42795" xr:uid="{7E099B51-027E-4E9B-A5F3-3F7DC63B1985}"/>
    <cellStyle name="Normal 8 22 2 2 2 3" xfId="8061" xr:uid="{00000000-0005-0000-0000-0000410F0000}"/>
    <cellStyle name="Normal 8 22 2 2 2 3 2" xfId="40886" xr:uid="{700A832B-2154-4D3F-A9BE-027EA164B764}"/>
    <cellStyle name="Normal 8 22 2 2 2 4" xfId="16165" xr:uid="{22322B71-109E-440E-BFF3-02D2EA515C19}"/>
    <cellStyle name="Normal 8 22 2 2 2 5" xfId="38819" xr:uid="{4ECDF348-A605-4F99-8CAB-7C6BAA326838}"/>
    <cellStyle name="Normal 8 22 2 2 3" xfId="10305" xr:uid="{00000000-0005-0000-0000-00001C200000}"/>
    <cellStyle name="Normal 8 22 2 2 3 2" xfId="42794" xr:uid="{F6B5966E-96D6-4B07-B8F9-F05A9F55ACB6}"/>
    <cellStyle name="Normal 8 22 2 2 4" xfId="8060" xr:uid="{00000000-0005-0000-0000-0000400F0000}"/>
    <cellStyle name="Normal 8 22 2 2 4 2" xfId="40885" xr:uid="{63C63A08-3489-4CBE-BF45-E3AA7709793E}"/>
    <cellStyle name="Normal 8 22 2 2 5" xfId="16164" xr:uid="{8B765A10-DF52-42AE-A7A5-24E0A0639A4F}"/>
    <cellStyle name="Normal 8 22 2 2 6" xfId="38818" xr:uid="{5334A6F5-EE46-4A33-8B6E-3FAFAC5B82AB}"/>
    <cellStyle name="Normal 8 22 2 3" xfId="4782" xr:uid="{00000000-0005-0000-0000-0000D1120000}"/>
    <cellStyle name="Normal 8 22 2 3 2" xfId="10307" xr:uid="{00000000-0005-0000-0000-00001E200000}"/>
    <cellStyle name="Normal 8 22 2 3 2 2" xfId="42796" xr:uid="{B8600718-DF03-4277-A932-A7FAF623ECE7}"/>
    <cellStyle name="Normal 8 22 2 3 3" xfId="8062" xr:uid="{00000000-0005-0000-0000-0000420F0000}"/>
    <cellStyle name="Normal 8 22 2 3 3 2" xfId="40887" xr:uid="{F678A21B-E55D-487A-870C-BBAD1083A0B1}"/>
    <cellStyle name="Normal 8 22 2 3 4" xfId="16166" xr:uid="{F521EDF7-5D56-494A-B7C2-4CF698C2E821}"/>
    <cellStyle name="Normal 8 22 2 3 5" xfId="38820" xr:uid="{AEB3B0EC-062D-4338-AE01-020E23758BF7}"/>
    <cellStyle name="Normal 8 22 2 4" xfId="10304" xr:uid="{00000000-0005-0000-0000-00001B200000}"/>
    <cellStyle name="Normal 8 22 2 4 2" xfId="42793" xr:uid="{3834B68D-9E63-4692-94A7-888F72580EFE}"/>
    <cellStyle name="Normal 8 22 2 5" xfId="8059" xr:uid="{00000000-0005-0000-0000-00003F0F0000}"/>
    <cellStyle name="Normal 8 22 2 5 2" xfId="40884" xr:uid="{F5CF74F5-F7DA-4C2F-8AE2-3E9645D9D9EC}"/>
    <cellStyle name="Normal 8 22 2 6" xfId="16163" xr:uid="{19F9AD3E-233E-4432-BC8D-7C145E832AF7}"/>
    <cellStyle name="Normal 8 22 2 7" xfId="38817" xr:uid="{D1F22744-D8D3-471B-9819-7C827A8DC163}"/>
    <cellStyle name="Normal 8 22 2 8" xfId="15381" xr:uid="{28D02921-FDE8-4D73-AD3A-6F59DDC3ACC7}"/>
    <cellStyle name="Normal 8 22 2 9" xfId="46103" xr:uid="{C2510E72-4C15-4A70-A223-D60F2074904E}"/>
    <cellStyle name="Normal 8 22 20" xfId="15380" xr:uid="{2FDB75AB-4BC1-4B4A-BE2E-364492987B43}"/>
    <cellStyle name="Normal 8 22 21" xfId="15245" xr:uid="{C3485C38-B36E-4DEA-B74C-1F40AB4AC857}"/>
    <cellStyle name="Normal 8 22 22" xfId="48295" xr:uid="{10EFE250-DFAA-44CE-A7A3-674C09CD1EC2}"/>
    <cellStyle name="Normal 8 22 23" xfId="47832" xr:uid="{4014BFE3-0D6E-411D-B0FF-7B6FF8BF9CD8}"/>
    <cellStyle name="Normal 8 22 24" xfId="46384" xr:uid="{AC7C6FC3-AA18-4340-BBFC-17F4DB858BD4}"/>
    <cellStyle name="Normal 8 22 25" xfId="40601" xr:uid="{41CC79F9-ADFC-49F7-A760-67B15525DEAE}"/>
    <cellStyle name="Normal 8 22 26" xfId="39858" xr:uid="{1E4EB1BF-E608-4739-9D9B-6B0BBE412B4D}"/>
    <cellStyle name="Normal 8 22 3" xfId="4783" xr:uid="{00000000-0005-0000-0000-0000D2120000}"/>
    <cellStyle name="Normal-- 8 22 3" xfId="47133" xr:uid="{E9C6DBC4-41CD-43E9-B444-194BAE729594}"/>
    <cellStyle name="Normal 8 22 3 10" xfId="49033" xr:uid="{69B91AD8-EFD4-4210-A976-5961F973D8F3}"/>
    <cellStyle name="Normal 8 22 3 11" xfId="15057" xr:uid="{7A969415-8A5F-436D-A78A-34B4C79C55C8}"/>
    <cellStyle name="Normal 8 22 3 12" xfId="40625" xr:uid="{63E7D5B6-4376-4008-B82B-342AD0788DF9}"/>
    <cellStyle name="Normal 8 22 3 2" xfId="4784" xr:uid="{00000000-0005-0000-0000-0000D3120000}"/>
    <cellStyle name="Normal 8 22 3 2 2" xfId="10309" xr:uid="{00000000-0005-0000-0000-000020200000}"/>
    <cellStyle name="Normal 8 22 3 2 2 2" xfId="42798" xr:uid="{2A696895-F2F1-4D40-9683-111AE2A373FF}"/>
    <cellStyle name="Normal 8 22 3 2 3" xfId="8064" xr:uid="{00000000-0005-0000-0000-0000440F0000}"/>
    <cellStyle name="Normal 8 22 3 2 3 2" xfId="40889" xr:uid="{CF3B93C6-97BE-4121-ABE9-12F8E45159D2}"/>
    <cellStyle name="Normal 8 22 3 2 4" xfId="16168" xr:uid="{82E314BB-0737-417C-9BAE-06B81FC1B892}"/>
    <cellStyle name="Normal 8 22 3 2 5" xfId="38822" xr:uid="{215D0A52-B735-4621-9C9A-8888621B884D}"/>
    <cellStyle name="Normal 8 22 3 3" xfId="10308" xr:uid="{00000000-0005-0000-0000-00001F200000}"/>
    <cellStyle name="Normal 8 22 3 3 2" xfId="42797" xr:uid="{1FF5B1A4-8907-4DF3-9A55-9954C554AF6A}"/>
    <cellStyle name="Normal 8 22 3 4" xfId="8063" xr:uid="{00000000-0005-0000-0000-0000430F0000}"/>
    <cellStyle name="Normal 8 22 3 4 2" xfId="40888" xr:uid="{A867D8A9-3FB8-460F-909E-D72DA29F4447}"/>
    <cellStyle name="Normal 8 22 3 5" xfId="16167" xr:uid="{45609EBC-B274-4310-8F28-8053003B25E2}"/>
    <cellStyle name="Normal 8 22 3 6" xfId="38821" xr:uid="{0F7CA6DA-F1DD-489F-89FB-AEA6BED38B03}"/>
    <cellStyle name="Normal 8 22 3 7" xfId="47399" xr:uid="{C7A8B7EA-5A5C-4755-9D59-37A4C4B36A3A}"/>
    <cellStyle name="Normal 8 22 3 8" xfId="37806" xr:uid="{68E7953B-3149-4B7A-9E90-4BC64658F615}"/>
    <cellStyle name="Normal 8 22 3 9" xfId="48462" xr:uid="{C3AB9115-A9B7-4AB8-91B3-ACBF92C69213}"/>
    <cellStyle name="Normal 8 22 4" xfId="4785" xr:uid="{00000000-0005-0000-0000-0000D4120000}"/>
    <cellStyle name="Normal-- 8 22 4" xfId="46542" xr:uid="{BD0847B2-836E-4DDC-BFDE-701FC3446AED}"/>
    <cellStyle name="Normal 8 22 4 10" xfId="40473" xr:uid="{BFF0E0E3-2D39-4E5A-9838-9D43834FDEE1}"/>
    <cellStyle name="Normal 8 22 4 2" xfId="10310" xr:uid="{00000000-0005-0000-0000-000021200000}"/>
    <cellStyle name="Normal 8 22 4 2 2" xfId="42799" xr:uid="{2EF15C5D-35DA-4FA5-8A5B-D47FD4FA8AB3}"/>
    <cellStyle name="Normal 8 22 4 3" xfId="8065" xr:uid="{00000000-0005-0000-0000-0000450F0000}"/>
    <cellStyle name="Normal 8 22 4 3 2" xfId="40890" xr:uid="{025EA77A-6305-4923-A0B1-A069B2BB9B29}"/>
    <cellStyle name="Normal 8 22 4 4" xfId="16169" xr:uid="{5BC61D0B-8198-4CDF-90B2-F134E30FBDB9}"/>
    <cellStyle name="Normal 8 22 4 5" xfId="38823" xr:uid="{1A5CE639-8CEF-4691-A828-D4FB2286B0C8}"/>
    <cellStyle name="Normal 8 22 4 6" xfId="40548" xr:uid="{533D34FE-D46A-433A-ADDE-BAD04147B2EE}"/>
    <cellStyle name="Normal 8 22 4 7" xfId="47833" xr:uid="{D5881D1D-1EE3-434E-AE0D-9804F9002307}"/>
    <cellStyle name="Normal 8 22 4 8" xfId="16572" xr:uid="{8DD4A2FC-C20D-40A1-AF1B-F159AF0379CB}"/>
    <cellStyle name="Normal 8 22 4 9" xfId="15003" xr:uid="{963E31F9-70EF-44E8-900F-AEF725BD6C89}"/>
    <cellStyle name="Normal 8 22 5" xfId="10303" xr:uid="{00000000-0005-0000-0000-00001A200000}"/>
    <cellStyle name="Normal-- 8 22 5" xfId="14993" xr:uid="{98D0F036-1838-4250-99A1-3EB07EE8928B}"/>
    <cellStyle name="Normal 8 22 5 2" xfId="42792" xr:uid="{BD9FC3D7-32F4-45BC-AEE7-FCC4AE7EF9E4}"/>
    <cellStyle name="Normal 8 22 5 3" xfId="16537" xr:uid="{B84C6DCE-1744-40D2-8A5B-35B8BA2781B8}"/>
    <cellStyle name="Normal 8 22 5 4" xfId="46865" xr:uid="{BFB4DF3A-64A6-4FF2-AF36-96249750EDED}"/>
    <cellStyle name="Normal 8 22 5 5" xfId="48086" xr:uid="{ABE0B939-0D85-401D-A208-F762104E9476}"/>
    <cellStyle name="Normal 8 22 5 6" xfId="47471" xr:uid="{69B20069-EA2F-48F3-89BB-C15FDEC7D567}"/>
    <cellStyle name="Normal 8 22 6" xfId="12898" xr:uid="{00000000-0005-0000-0000-0000BD270000}"/>
    <cellStyle name="Normal-- 8 22 6" xfId="15235" xr:uid="{4282D088-C891-4CA2-93E8-42B43F5C781A}"/>
    <cellStyle name="Normal 8 22 6 2" xfId="45369" xr:uid="{D1D4355D-067F-4256-A283-9C7296FAEED6}"/>
    <cellStyle name="Normal 8 22 6 3" xfId="49520" xr:uid="{81AF740D-A569-4BD7-9793-4440775042D5}"/>
    <cellStyle name="Normal 8 22 6 4" xfId="49764" xr:uid="{5CEA759A-B689-4380-940C-B885CA3395C7}"/>
    <cellStyle name="Normal 8 22 6 5" xfId="50117" xr:uid="{790CC803-2179-4733-B03C-1155DF314546}"/>
    <cellStyle name="Normal 8 22 7" xfId="8058" xr:uid="{00000000-0005-0000-0000-00003E0F0000}"/>
    <cellStyle name="Normal-- 8 22 7" xfId="40106" xr:uid="{921B1FF0-06D3-41E4-AEA4-C80D5DE4B070}"/>
    <cellStyle name="Normal 8 22 8" xfId="13315" xr:uid="{00000000-0005-0000-0000-0000E4300000}"/>
    <cellStyle name="Normal-- 8 22 8" xfId="48118" xr:uid="{34211751-2D6A-4549-87EE-6C4BF66BC640}"/>
    <cellStyle name="Normal 8 22 8 2" xfId="45779" xr:uid="{A700C548-8E5A-4FB5-922C-46055FEA36CA}"/>
    <cellStyle name="Normal 8 22 8 3" xfId="50214" xr:uid="{4903257A-E2EE-41DF-853B-C1F7A9828B7E}"/>
    <cellStyle name="Normal 8 22 9" xfId="11326" xr:uid="{00000000-0005-0000-0000-000051310000}"/>
    <cellStyle name="Normal-- 8 22 9" xfId="46093" xr:uid="{7881574D-9E6E-4E1E-A0A4-87F4E069C60C}"/>
    <cellStyle name="Normal 8 22 9 2" xfId="43815" xr:uid="{AA4DB07F-0D93-4779-8227-308208656C23}"/>
    <cellStyle name="Normal 8 23" xfId="4786" xr:uid="{00000000-0005-0000-0000-0000D5120000}"/>
    <cellStyle name="Normal-- 8 23" xfId="12883" xr:uid="{00000000-0005-0000-0000-0000AF270000}"/>
    <cellStyle name="Normal 8 23 10" xfId="13447" xr:uid="{00000000-0005-0000-0000-0000B1320000}"/>
    <cellStyle name="Normal 8 23 10 2" xfId="45911" xr:uid="{265C0732-A906-4DCD-B13D-A1345AEE9A9D}"/>
    <cellStyle name="Normal 8 23 11" xfId="11190" xr:uid="{00000000-0005-0000-0000-00002E330000}"/>
    <cellStyle name="Normal 8 23 11 2" xfId="43679" xr:uid="{32522A66-5A31-450A-A169-3CADC75F434A}"/>
    <cellStyle name="Normal 8 23 12" xfId="13506" xr:uid="{00000000-0005-0000-0000-0000AF330000}"/>
    <cellStyle name="Normal 8 23 12 2" xfId="45970" xr:uid="{9AB72C18-E21E-415D-8EB0-C5CC64B8105C}"/>
    <cellStyle name="Normal 8 23 13" xfId="11131" xr:uid="{00000000-0005-0000-0000-000034340000}"/>
    <cellStyle name="Normal 8 23 13 2" xfId="43620" xr:uid="{5A0C11B8-5204-47A8-9837-F5E6F8E90BB7}"/>
    <cellStyle name="Normal 8 23 14" xfId="13564" xr:uid="{00000000-0005-0000-0000-0000BD340000}"/>
    <cellStyle name="Normal 8 23 14 2" xfId="46028" xr:uid="{B1E8CAFA-6113-4FC1-A2CB-512B1B43AFC5}"/>
    <cellStyle name="Normal 8 23 15" xfId="11067" xr:uid="{00000000-0005-0000-0000-00004A350000}"/>
    <cellStyle name="Normal 8 23 15 2" xfId="43556" xr:uid="{D87A299D-BEFC-4B5A-8744-395C396F3E29}"/>
    <cellStyle name="Normal 8 23 16" xfId="16170" xr:uid="{BAB5DD26-DC18-47AD-8A20-865CF5727AA4}"/>
    <cellStyle name="Normal 8 23 17" xfId="38824" xr:uid="{48E03C59-8A3D-472F-AE2D-96C4751E786C}"/>
    <cellStyle name="Normal 8 23 18" xfId="44777" xr:uid="{8C636780-A6AC-495C-9552-B5A9DBF7BF5B}"/>
    <cellStyle name="Normal 8 23 19" xfId="47398" xr:uid="{E6B3D4F9-5825-479F-B091-4C3BE15D615C}"/>
    <cellStyle name="Normal 8 23 2" xfId="4787" xr:uid="{00000000-0005-0000-0000-0000D6120000}"/>
    <cellStyle name="Normal-- 8 23 2" xfId="45354" xr:uid="{6DE27A14-1F96-42CE-8619-BC0288355021}"/>
    <cellStyle name="Normal 8 23 2 10" xfId="48426" xr:uid="{7C44B0AD-F890-49D4-AFC6-89485271C5EF}"/>
    <cellStyle name="Normal 8 23 2 11" xfId="46383" xr:uid="{7A6C624A-4F1F-4C2A-B692-A6E458072E9B}"/>
    <cellStyle name="Normal 8 23 2 12" xfId="16524" xr:uid="{E7D7A42C-DDB5-4FD9-A415-E6682D67C605}"/>
    <cellStyle name="Normal 8 23 2 13" xfId="49836" xr:uid="{ACEFE451-87EF-428B-90D2-BD8706655E19}"/>
    <cellStyle name="Normal 8 23 2 2" xfId="4788" xr:uid="{00000000-0005-0000-0000-0000D7120000}"/>
    <cellStyle name="Normal 8 23 2 2 2" xfId="10313" xr:uid="{00000000-0005-0000-0000-000024200000}"/>
    <cellStyle name="Normal 8 23 2 2 2 2" xfId="42802" xr:uid="{3403435E-335D-4289-A073-9C8217524EE1}"/>
    <cellStyle name="Normal 8 23 2 2 3" xfId="8068" xr:uid="{00000000-0005-0000-0000-0000480F0000}"/>
    <cellStyle name="Normal 8 23 2 2 3 2" xfId="40892" xr:uid="{857B4316-E536-435A-B39C-68A97AD430C8}"/>
    <cellStyle name="Normal 8 23 2 2 4" xfId="16172" xr:uid="{72BE81D0-4758-4709-9B2A-6F2C7062465B}"/>
    <cellStyle name="Normal 8 23 2 2 5" xfId="38826" xr:uid="{23C7F3FF-2877-4AB1-A7B1-952B9782E6F7}"/>
    <cellStyle name="Normal 8 23 2 3" xfId="10312" xr:uid="{00000000-0005-0000-0000-000023200000}"/>
    <cellStyle name="Normal 8 23 2 3 2" xfId="42801" xr:uid="{FFA2CE2E-4E4B-4DA0-AE10-01DCA5E6C1D8}"/>
    <cellStyle name="Normal 8 23 2 4" xfId="8067" xr:uid="{00000000-0005-0000-0000-0000470F0000}"/>
    <cellStyle name="Normal 8 23 2 4 2" xfId="40891" xr:uid="{85067158-ADD5-4810-84FB-DF8CCBFCFC55}"/>
    <cellStyle name="Normal 8 23 2 5" xfId="16171" xr:uid="{6DDD0B5D-7C43-4D58-AC54-0F21E890553C}"/>
    <cellStyle name="Normal 8 23 2 6" xfId="38825" xr:uid="{841CE4B9-E0F6-4E41-8993-868A1E55AFA6}"/>
    <cellStyle name="Normal 8 23 2 7" xfId="41824" xr:uid="{BC206497-1E88-4F06-8113-3D775E35FACD}"/>
    <cellStyle name="Normal 8 23 2 8" xfId="15244" xr:uid="{99D51C2D-BA72-408E-9C60-2916B9994333}"/>
    <cellStyle name="Normal 8 23 2 9" xfId="15148" xr:uid="{B9C97C4B-59A4-4AB7-BF83-673F49673CCF}"/>
    <cellStyle name="Normal 8 23 20" xfId="46421" xr:uid="{DF207620-E2D0-4948-8B69-A6D6B52FD844}"/>
    <cellStyle name="Normal 8 23 21" xfId="48077" xr:uid="{AC31A8F3-AFB8-49EC-AA50-BA8D2ABB6BC7}"/>
    <cellStyle name="Normal 8 23 22" xfId="48247" xr:uid="{AC481E80-92FE-4773-9BA2-75F4EBE418D3}"/>
    <cellStyle name="Normal 8 23 23" xfId="47249" xr:uid="{762E6DAB-31B5-48BA-ADDC-07B52FDF6796}"/>
    <cellStyle name="Normal 8 23 24" xfId="37753" xr:uid="{EFD589FE-42B3-4870-A1BC-3D65276718A1}"/>
    <cellStyle name="Normal 8 23 3" xfId="4789" xr:uid="{00000000-0005-0000-0000-0000D8120000}"/>
    <cellStyle name="Normal-- 8 23 3" xfId="48507" xr:uid="{1FC94896-71BB-40D5-9783-3BA76176F1EB}"/>
    <cellStyle name="Normal 8 23 3 10" xfId="47096" xr:uid="{12840759-5908-4C7C-B0A2-724F2DB820DA}"/>
    <cellStyle name="Normal 8 23 3 11" xfId="49830" xr:uid="{C74ACB90-57D1-40AB-ACC5-9BA0E9769E8C}"/>
    <cellStyle name="Normal 8 23 3 2" xfId="10314" xr:uid="{00000000-0005-0000-0000-000025200000}"/>
    <cellStyle name="Normal 8 23 3 2 2" xfId="42803" xr:uid="{C3140BEA-94C3-4ACE-84EF-2CDE843C0C98}"/>
    <cellStyle name="Normal 8 23 3 3" xfId="8069" xr:uid="{00000000-0005-0000-0000-0000490F0000}"/>
    <cellStyle name="Normal 8 23 3 3 2" xfId="40893" xr:uid="{F25C622F-1FF5-4166-8E90-46FE3EDEE723}"/>
    <cellStyle name="Normal 8 23 3 4" xfId="16173" xr:uid="{6CC53BD6-B1AC-4950-9A9F-FB8CA6097364}"/>
    <cellStyle name="Normal 8 23 3 5" xfId="38827" xr:uid="{E06D86D5-AF81-4E04-8AF6-A5A8956BDF6F}"/>
    <cellStyle name="Normal 8 23 3 6" xfId="47397" xr:uid="{386F8498-478F-43D1-B418-CAB5B6391BB4}"/>
    <cellStyle name="Normal 8 23 3 7" xfId="46854" xr:uid="{3A95785A-D833-434B-983F-572D50B22B72}"/>
    <cellStyle name="Normal 8 23 3 8" xfId="37742" xr:uid="{AD27ABC9-1BE6-4F68-B7BB-9A41158905FF}"/>
    <cellStyle name="Normal 8 23 3 9" xfId="48720" xr:uid="{4F5727DF-40AC-474A-9B9F-D7C515CB4621}"/>
    <cellStyle name="Normal 8 23 4" xfId="10311" xr:uid="{00000000-0005-0000-0000-000022200000}"/>
    <cellStyle name="Normal-- 8 23 4" xfId="15741" xr:uid="{E94439D7-2848-4045-8CDF-00975AF27770}"/>
    <cellStyle name="Normal 8 23 4 2" xfId="42800" xr:uid="{3F3C62E4-9E15-4C33-AE75-399FC8419695}"/>
    <cellStyle name="Normal 8 23 4 3" xfId="16470" xr:uid="{5DF31830-2164-432E-9C3F-64E14A99E7B1}"/>
    <cellStyle name="Normal 8 23 4 4" xfId="41741" xr:uid="{4BD0B8C9-6884-4669-B152-6E4410410264}"/>
    <cellStyle name="Normal 8 23 4 5" xfId="37861" xr:uid="{095096E8-F43D-48F4-B4A6-856F3241F847}"/>
    <cellStyle name="Normal 8 23 4 6" xfId="48979" xr:uid="{81ABA3CE-A73A-4BAA-BE9B-3E4FDCD147AE}"/>
    <cellStyle name="Normal 8 23 4 7" xfId="47098" xr:uid="{E273F595-0539-471F-8DA2-18F0091017B0}"/>
    <cellStyle name="Normal 8 23 5" xfId="8066" xr:uid="{00000000-0005-0000-0000-0000460F0000}"/>
    <cellStyle name="Normal-- 8 23 5" xfId="48994" xr:uid="{19D7882B-962F-43A8-86C8-740651E504D5}"/>
    <cellStyle name="Normal 8 23 6" xfId="13320" xr:uid="{00000000-0005-0000-0000-0000E5300000}"/>
    <cellStyle name="Normal-- 8 23 6" xfId="37694" xr:uid="{B0B30234-1B98-47D7-BA35-B018D678B41C}"/>
    <cellStyle name="Normal 8 23 6 2" xfId="45784" xr:uid="{4D9C8F9E-5299-4DBA-AE3D-E6389814DC11}"/>
    <cellStyle name="Normal 8 23 6 3" xfId="49633" xr:uid="{609BF0B9-2B0C-40AB-B836-53D75B8B813B}"/>
    <cellStyle name="Normal 8 23 6 4" xfId="49872" xr:uid="{21A84C0D-8D46-48F6-978D-725FE9CBFF49}"/>
    <cellStyle name="Normal 8 23 6 5" xfId="50217" xr:uid="{FE8033B0-1B71-4D86-AE3E-6533CF6BFB56}"/>
    <cellStyle name="Normal 8 23 7" xfId="11318" xr:uid="{00000000-0005-0000-0000-000052310000}"/>
    <cellStyle name="Normal-- 8 23 7" xfId="49516" xr:uid="{8567D5B5-30FE-440A-8D22-82FCD5CDA78A}"/>
    <cellStyle name="Normal 8 23 7 2" xfId="43807" xr:uid="{DE21C436-15C3-4B7C-A833-71F94273899E}"/>
    <cellStyle name="Normal 8 23 7 3" xfId="48760" xr:uid="{6023F083-CDEC-48D0-9123-F31B1969782F}"/>
    <cellStyle name="Normal 8 23 7 4" xfId="16458" xr:uid="{14848C9D-B649-4A52-8A20-FAA5BE4B0B74}"/>
    <cellStyle name="Normal 8 23 8" xfId="13388" xr:uid="{00000000-0005-0000-0000-0000C3310000}"/>
    <cellStyle name="Normal-- 8 23 8" xfId="49757" xr:uid="{B1D9365D-452E-44B9-803F-CE6385D72456}"/>
    <cellStyle name="Normal 8 23 8 2" xfId="45852" xr:uid="{6DB34B71-A2FF-4907-83E1-0ED680AA26E2}"/>
    <cellStyle name="Normal 8 23 8 3" xfId="50225" xr:uid="{98882171-DD7E-47C0-BC65-6780C42654E2}"/>
    <cellStyle name="Normal 8 23 9" xfId="11247" xr:uid="{00000000-0005-0000-0000-000038320000}"/>
    <cellStyle name="Normal-- 8 23 9" xfId="50111" xr:uid="{E8AB0A9D-2BAF-4A25-A5D2-316AFC95D00B}"/>
    <cellStyle name="Normal 8 23 9 2" xfId="43736" xr:uid="{47AE763C-0685-4660-8365-E02E4AC87B67}"/>
    <cellStyle name="Normal 8 24" xfId="4790" xr:uid="{00000000-0005-0000-0000-0000D9120000}"/>
    <cellStyle name="Normal-- 8 24" xfId="8035" xr:uid="{00000000-0005-0000-0000-0000270F0000}"/>
    <cellStyle name="Normal 8 24 10" xfId="11188" xr:uid="{00000000-0005-0000-0000-00002F330000}"/>
    <cellStyle name="Normal 8 24 10 2" xfId="43677" xr:uid="{FCE714C7-F9CE-4E3B-AB2D-E657496DF1FE}"/>
    <cellStyle name="Normal 8 24 11" xfId="13510" xr:uid="{00000000-0005-0000-0000-0000B0330000}"/>
    <cellStyle name="Normal 8 24 11 2" xfId="45974" xr:uid="{A41CA664-5997-4D70-B365-1E2F1BADFDBC}"/>
    <cellStyle name="Normal 8 24 12" xfId="11127" xr:uid="{00000000-0005-0000-0000-000035340000}"/>
    <cellStyle name="Normal 8 24 12 2" xfId="43616" xr:uid="{1C9DFE9D-BE44-449B-B64A-E5BF4C328B33}"/>
    <cellStyle name="Normal 8 24 13" xfId="13566" xr:uid="{00000000-0005-0000-0000-0000BE340000}"/>
    <cellStyle name="Normal 8 24 13 2" xfId="46030" xr:uid="{AB84E5D6-A995-4ADD-A460-E3A3A0F4DD6E}"/>
    <cellStyle name="Normal 8 24 14" xfId="11065" xr:uid="{00000000-0005-0000-0000-00004B350000}"/>
    <cellStyle name="Normal 8 24 14 2" xfId="43554" xr:uid="{00DFFFF1-972E-4B85-BA88-C43A9C5CE177}"/>
    <cellStyle name="Normal 8 24 15" xfId="16174" xr:uid="{39F4D3B0-B0DD-49D2-B2C9-6C9F2CE283F9}"/>
    <cellStyle name="Normal 8 24 16" xfId="38828" xr:uid="{77091F5C-FBC4-45AA-9DF0-F6D19014B095}"/>
    <cellStyle name="Normal 8 24 17" xfId="40350" xr:uid="{EA793B4E-8D77-43AA-936D-67739A553075}"/>
    <cellStyle name="Normal 8 24 18" xfId="40469" xr:uid="{B339E726-34FC-42EA-B9E8-B6EDE0DCEAA2}"/>
    <cellStyle name="Normal 8 24 19" xfId="48301" xr:uid="{3E8B7FFF-920E-49BE-BCFF-6987DC6ADCDB}"/>
    <cellStyle name="Normal 8 24 2" xfId="4791" xr:uid="{00000000-0005-0000-0000-0000DA120000}"/>
    <cellStyle name="Normal 8 24 2 2" xfId="10316" xr:uid="{00000000-0005-0000-0000-000027200000}"/>
    <cellStyle name="Normal 8 24 2 2 2" xfId="42805" xr:uid="{E7151AF2-8CE4-4ADF-9794-280131313E7B}"/>
    <cellStyle name="Normal 8 24 2 3" xfId="8071" xr:uid="{00000000-0005-0000-0000-00004B0F0000}"/>
    <cellStyle name="Normal 8 24 2 3 2" xfId="40894" xr:uid="{9CA0BCE9-4CF8-48FD-95E1-C1A8CB554A9B}"/>
    <cellStyle name="Normal 8 24 2 4" xfId="16175" xr:uid="{931770A5-C141-429C-A74F-FB199EEC588B}"/>
    <cellStyle name="Normal 8 24 2 5" xfId="38829" xr:uid="{66328D49-FB58-49BB-8070-440D1D3ED86D}"/>
    <cellStyle name="Normal 8 24 20" xfId="48523" xr:uid="{77C877ED-B4F0-486D-B421-1945776F081C}"/>
    <cellStyle name="Normal 8 24 21" xfId="15051" xr:uid="{1DC3E115-74D8-4889-952E-89651CD26204}"/>
    <cellStyle name="Normal 8 24 22" xfId="46737" xr:uid="{8F598B4B-B734-4C18-B7FD-F615C365AB92}"/>
    <cellStyle name="Normal 8 24 23" xfId="15141" xr:uid="{84A7B283-CB2C-4C48-92AC-57A38B3C2E13}"/>
    <cellStyle name="Normal 8 24 3" xfId="10315" xr:uid="{00000000-0005-0000-0000-000026200000}"/>
    <cellStyle name="Normal 8 24 3 2" xfId="42804" xr:uid="{E163A88F-660B-41CF-AB39-3FC6F4FA1E4C}"/>
    <cellStyle name="Normal 8 24 4" xfId="8070" xr:uid="{00000000-0005-0000-0000-00004A0F0000}"/>
    <cellStyle name="Normal 8 24 5" xfId="13321" xr:uid="{00000000-0005-0000-0000-0000E6300000}"/>
    <cellStyle name="Normal 8 24 5 2" xfId="45785" xr:uid="{D84E007C-166D-4AE7-8FA2-63C50A84D104}"/>
    <cellStyle name="Normal 8 24 6" xfId="11314" xr:uid="{00000000-0005-0000-0000-000053310000}"/>
    <cellStyle name="Normal 8 24 6 2" xfId="43803" xr:uid="{B7D2097A-CF49-4ADC-B65C-873814EF3F90}"/>
    <cellStyle name="Normal 8 24 7" xfId="13392" xr:uid="{00000000-0005-0000-0000-0000C4310000}"/>
    <cellStyle name="Normal 8 24 7 2" xfId="45856" xr:uid="{8B47E1FB-147B-4320-8356-CA85E5CAD3BE}"/>
    <cellStyle name="Normal 8 24 8" xfId="11243" xr:uid="{00000000-0005-0000-0000-000039320000}"/>
    <cellStyle name="Normal 8 24 8 2" xfId="43732" xr:uid="{38FA4474-0846-4118-B9A0-43DBC8AEA8FE}"/>
    <cellStyle name="Normal 8 24 9" xfId="13450" xr:uid="{00000000-0005-0000-0000-0000B2320000}"/>
    <cellStyle name="Normal 8 24 9 2" xfId="45914" xr:uid="{EAD6DF03-8663-4825-AC1D-9C20E090681A}"/>
    <cellStyle name="Normal 8 25" xfId="4792" xr:uid="{00000000-0005-0000-0000-0000DB120000}"/>
    <cellStyle name="Normal-- 8 25" xfId="13293" xr:uid="{00000000-0005-0000-0000-0000D6300000}"/>
    <cellStyle name="Normal 8 25 10" xfId="11125" xr:uid="{00000000-0005-0000-0000-000036340000}"/>
    <cellStyle name="Normal 8 25 10 2" xfId="43614" xr:uid="{13E916F8-1EE8-4131-93DF-F253BCBC1E93}"/>
    <cellStyle name="Normal 8 25 11" xfId="13567" xr:uid="{00000000-0005-0000-0000-0000BF340000}"/>
    <cellStyle name="Normal 8 25 11 2" xfId="46031" xr:uid="{942AF0D2-DE5B-47A1-B77C-86A0CE91C296}"/>
    <cellStyle name="Normal 8 25 12" xfId="11063" xr:uid="{00000000-0005-0000-0000-00004C350000}"/>
    <cellStyle name="Normal 8 25 12 2" xfId="43552" xr:uid="{889E75C6-80CA-4A6A-8034-7D3906C3C05E}"/>
    <cellStyle name="Normal 8 25 13" xfId="16176" xr:uid="{0ABCD6E6-BA86-4ACB-BAE6-E78D2DD4093F}"/>
    <cellStyle name="Normal 8 25 14" xfId="38830" xr:uid="{4DC26E42-581C-46F0-BDF7-FBC0FA00B7FF}"/>
    <cellStyle name="Normal 8 25 15" xfId="15385" xr:uid="{2C8AFC52-04B7-4C80-8E92-9057785EBAB5}"/>
    <cellStyle name="Normal 8 25 16" xfId="47396" xr:uid="{7BCFF953-D7BD-4FC5-B559-6E168C984A92}"/>
    <cellStyle name="Normal 8 25 17" xfId="37803" xr:uid="{4E46F95B-356B-40F5-9DC3-5EED76A311A1}"/>
    <cellStyle name="Normal 8 25 18" xfId="13732" xr:uid="{0230C9F1-17CE-472A-A709-F1915B37AE8F}"/>
    <cellStyle name="Normal 8 25 19" xfId="49087" xr:uid="{7EC4EFAE-3F02-416A-8749-AED1B3917AD4}"/>
    <cellStyle name="Normal 8 25 2" xfId="10317" xr:uid="{00000000-0005-0000-0000-000028200000}"/>
    <cellStyle name="Normal-- 8 25 2" xfId="45757" xr:uid="{35064146-6B4A-40E7-9871-E27E7A100E3D}"/>
    <cellStyle name="Normal 8 25 2 2" xfId="42806" xr:uid="{B992D847-DCA3-4524-9385-6BE754C65F25}"/>
    <cellStyle name="Normal 8 25 2 3" xfId="47580" xr:uid="{6D060DB9-D77E-4DE1-8669-C2278C63B9C7}"/>
    <cellStyle name="Normal 8 25 2 4" xfId="46332" xr:uid="{13037827-F014-48A5-86A8-D45F9B06CA90}"/>
    <cellStyle name="Normal 8 25 2 5" xfId="40618" xr:uid="{86740026-CA8A-4886-87EA-261B871F95EB}"/>
    <cellStyle name="Normal 8 25 2 6" xfId="15173" xr:uid="{C08BC6C5-FA82-4661-8B1F-833BE4D34DBA}"/>
    <cellStyle name="Normal 8 25 2 7" xfId="46142" xr:uid="{1AFE8967-F02D-4AD8-969D-9AECF47F7D4C}"/>
    <cellStyle name="Normal 8 25 2 8" xfId="46659" xr:uid="{D424593E-FF8D-4AFA-8503-C364DE418C91}"/>
    <cellStyle name="Normal 8 25 2 9" xfId="46758" xr:uid="{70C12F3C-BF7D-48BC-9CD2-B56A09E30F04}"/>
    <cellStyle name="Normal 8 25 20" xfId="48855" xr:uid="{B84D458B-37E8-43F1-B9A4-4A831354D33F}"/>
    <cellStyle name="Normal 8 25 21" xfId="40244" xr:uid="{EB605CD3-FC62-41A5-8BD0-C3B962539699}"/>
    <cellStyle name="Normal 8 25 3" xfId="8072" xr:uid="{00000000-0005-0000-0000-00004C0F0000}"/>
    <cellStyle name="Normal-- 8 25 3" xfId="48696" xr:uid="{A0688782-3FA2-4B4E-9415-668F4B02CEC4}"/>
    <cellStyle name="Normal 8 25 4" xfId="11313" xr:uid="{00000000-0005-0000-0000-000054310000}"/>
    <cellStyle name="Normal-- 8 25 4" xfId="48887" xr:uid="{4CA1FE62-CE7C-4983-92CF-D2999A7C5517}"/>
    <cellStyle name="Normal 8 25 4 2" xfId="43802" xr:uid="{54A70078-0883-433C-98D7-7AA26C15BB35}"/>
    <cellStyle name="Normal 8 25 4 3" xfId="47232" xr:uid="{225089BD-1C58-4D31-81E4-3B9C6C99CFEB}"/>
    <cellStyle name="Normal 8 25 4 4" xfId="47477" xr:uid="{B8DB365D-4F43-41E3-9D1A-CC2B2E9E4128}"/>
    <cellStyle name="Normal 8 25 4 5" xfId="14950" xr:uid="{D814217F-245D-4FC4-85D6-A793569F2EDD}"/>
    <cellStyle name="Normal 8 25 4 6" xfId="49567" xr:uid="{5AD064CC-6190-4525-BE73-939F45969A6D}"/>
    <cellStyle name="Normal 8 25 4 7" xfId="13682" xr:uid="{6D4EB7CA-76A7-4AB7-B5DE-5F1D72F99B94}"/>
    <cellStyle name="Normal 8 25 5" xfId="13394" xr:uid="{00000000-0005-0000-0000-0000C5310000}"/>
    <cellStyle name="Normal-- 8 25 5" xfId="49144" xr:uid="{89A5C044-37ED-49E3-BC18-FBE8F575739F}"/>
    <cellStyle name="Normal 8 25 5 2" xfId="45858" xr:uid="{C8B4FF26-8B0F-47E9-9C3A-7DB0B36614E7}"/>
    <cellStyle name="Normal 8 25 5 3" xfId="49362" xr:uid="{B35915A1-6115-40BF-BE66-E9468D91A17F}"/>
    <cellStyle name="Normal 8 25 5 4" xfId="49644" xr:uid="{900DC0B5-743D-4284-B294-8E54A2DD1017}"/>
    <cellStyle name="Normal 8 25 5 5" xfId="49883" xr:uid="{32FA2B57-83DD-4E1E-B7CF-D84D70F4FFA6}"/>
    <cellStyle name="Normal 8 25 5 6" xfId="50230" xr:uid="{B59EB986-DACC-4AA1-A58A-EB9D2705D8AC}"/>
    <cellStyle name="Normal 8 25 6" xfId="11241" xr:uid="{00000000-0005-0000-0000-00003A320000}"/>
    <cellStyle name="Normal-- 8 25 6" xfId="49347" xr:uid="{72AEB0B1-50DD-4D29-9BFC-7914FC700F7D}"/>
    <cellStyle name="Normal 8 25 6 2" xfId="43730" xr:uid="{37744BB3-7C77-4982-9647-7C166E3B5987}"/>
    <cellStyle name="Normal 8 25 6 3" xfId="48820" xr:uid="{033BEFBC-C04F-4532-8EFE-ECCF78E4481B}"/>
    <cellStyle name="Normal 8 25 6 4" xfId="47733" xr:uid="{9B90E0F1-A15D-405B-A7E4-39B67686724D}"/>
    <cellStyle name="Normal 8 25 6 5" xfId="47696" xr:uid="{B78E671B-7CC6-45EC-BA6D-701E4C135F70}"/>
    <cellStyle name="Normal 8 25 7" xfId="13452" xr:uid="{00000000-0005-0000-0000-0000B3320000}"/>
    <cellStyle name="Normal-- 8 25 7" xfId="49629" xr:uid="{C4CBDE4A-4D55-4454-BFBE-F7FA68634E3B}"/>
    <cellStyle name="Normal 8 25 7 2" xfId="45916" xr:uid="{63D55A60-370F-403B-A310-CE2262D38858}"/>
    <cellStyle name="Normal 8 25 7 3" xfId="49889" xr:uid="{1313530A-9F31-408B-93A8-74C1A525CC7A}"/>
    <cellStyle name="Normal 8 25 7 4" xfId="50234" xr:uid="{447FCC16-D292-41D1-AC2C-00F8618F79B0}"/>
    <cellStyle name="Normal 8 25 8" xfId="11187" xr:uid="{00000000-0005-0000-0000-000030330000}"/>
    <cellStyle name="Normal-- 8 25 8" xfId="49864" xr:uid="{764C5828-9F33-404B-BE23-DD48446FCD4C}"/>
    <cellStyle name="Normal 8 25 8 2" xfId="43676" xr:uid="{A2DAF461-31CC-43A3-87A4-37772EDE360A}"/>
    <cellStyle name="Normal 8 25 8 3" xfId="49294" xr:uid="{5ABAC226-96A5-4CE3-802F-36B71CEF6979}"/>
    <cellStyle name="Normal 8 25 9" xfId="13512" xr:uid="{00000000-0005-0000-0000-0000B1330000}"/>
    <cellStyle name="Normal-- 8 25 9" xfId="50208" xr:uid="{3A20B080-7591-4A16-B188-05A79FF24182}"/>
    <cellStyle name="Normal 8 25 9 2" xfId="45976" xr:uid="{5E4596D9-E953-4207-87EC-F362F1530FC9}"/>
    <cellStyle name="Normal 8 26" xfId="4793" xr:uid="{00000000-0005-0000-0000-0000DC120000}"/>
    <cellStyle name="Normal-- 8 26" xfId="11349" xr:uid="{00000000-0005-0000-0000-000043310000}"/>
    <cellStyle name="Normal 8 26 10" xfId="13568" xr:uid="{00000000-0005-0000-0000-0000C0340000}"/>
    <cellStyle name="Normal 8 26 10 2" xfId="46032" xr:uid="{03C9DBE7-C468-481E-888C-5A2C3BAA96AA}"/>
    <cellStyle name="Normal 8 26 11" xfId="11062" xr:uid="{00000000-0005-0000-0000-00004D350000}"/>
    <cellStyle name="Normal 8 26 11 2" xfId="43551" xr:uid="{89A3F6AA-2EAA-4A15-B049-B84E203EE34B}"/>
    <cellStyle name="Normal 8 26 12" xfId="16177" xr:uid="{B0AD3277-E724-4F0E-A1A0-564E3A187F16}"/>
    <cellStyle name="Normal 8 26 13" xfId="38831" xr:uid="{D3DEA13A-2EBF-4EA5-8BDB-849DC5C89B53}"/>
    <cellStyle name="Normal 8 26 14" xfId="15386" xr:uid="{036B607E-A91C-4609-902D-DE4CF8CCBA88}"/>
    <cellStyle name="Normal 8 26 15" xfId="40464" xr:uid="{9AE65BDB-6842-4959-B855-BC51C975DF12}"/>
    <cellStyle name="Normal 8 26 16" xfId="15663" xr:uid="{E08D7A65-7726-4811-AB46-449D98901AD5}"/>
    <cellStyle name="Normal 8 26 17" xfId="48378" xr:uid="{C457745E-A22A-4690-9910-38630C458684}"/>
    <cellStyle name="Normal 8 26 18" xfId="48105" xr:uid="{A648943B-DEC1-4A62-A4C2-67D28252FD41}"/>
    <cellStyle name="Normal 8 26 19" xfId="46576" xr:uid="{AC929E5B-9CCE-43AE-9E87-DD70CF4BE5DF}"/>
    <cellStyle name="Normal 8 26 2" xfId="10318" xr:uid="{00000000-0005-0000-0000-000029200000}"/>
    <cellStyle name="Normal-- 8 26 2" xfId="43838" xr:uid="{75142849-4F1B-4CB3-8C95-7AEE5EE6FACC}"/>
    <cellStyle name="Normal 8 26 2 2" xfId="42807" xr:uid="{A100CA6E-4FDC-44C1-9957-EAD4E182CB1D}"/>
    <cellStyle name="Normal 8 26 2 3" xfId="47581" xr:uid="{EA895E6D-684B-494A-AA44-F6D8668A73AE}"/>
    <cellStyle name="Normal 8 26 2 4" xfId="46337" xr:uid="{9C629F75-B729-43D9-9058-58363DAEDF8E}"/>
    <cellStyle name="Normal 8 26 2 5" xfId="46842" xr:uid="{457E5683-DC89-4551-B647-9A2543FBCC2C}"/>
    <cellStyle name="Normal 8 26 2 6" xfId="48768" xr:uid="{52D0F1D9-B312-4860-972A-EFC8DE5DEA91}"/>
    <cellStyle name="Normal 8 26 2 7" xfId="15447" xr:uid="{45FF4F5B-1BBA-4E6D-8381-07F5F82BF7CC}"/>
    <cellStyle name="Normal 8 26 2 8" xfId="15476" xr:uid="{85D162A7-8718-4E97-A32F-C20E106BE740}"/>
    <cellStyle name="Normal 8 26 2 9" xfId="46320" xr:uid="{216288C5-CF61-4C9B-8E06-121414EDAA3F}"/>
    <cellStyle name="Normal 8 26 20" xfId="49820" xr:uid="{421B7D5D-3926-412F-BA51-75EB4BE32D45}"/>
    <cellStyle name="Normal 8 26 3" xfId="8073" xr:uid="{00000000-0005-0000-0000-00004D0F0000}"/>
    <cellStyle name="Normal-- 8 26 3" xfId="47932" xr:uid="{F2597BBD-3D53-49BD-8A45-9F0074EBB9BF}"/>
    <cellStyle name="Normal 8 26 4" xfId="13395" xr:uid="{00000000-0005-0000-0000-0000C6310000}"/>
    <cellStyle name="Normal-- 8 26 4" xfId="48311" xr:uid="{B377D8EA-F540-42B5-B63E-4B6E6C8B3308}"/>
    <cellStyle name="Normal 8 26 4 2" xfId="45859" xr:uid="{50D84310-A793-48A8-A37C-68EF0D30791B}"/>
    <cellStyle name="Normal 8 26 4 3" xfId="49165" xr:uid="{EB60DD27-4286-4A38-9BBB-C8FB9B3FD3A6}"/>
    <cellStyle name="Normal 8 26 4 4" xfId="49363" xr:uid="{587CCDBD-9F98-44B5-9A36-1F1D8E568EF6}"/>
    <cellStyle name="Normal 8 26 4 5" xfId="49645" xr:uid="{A8D50105-100A-458A-87EA-6AE1C08858EE}"/>
    <cellStyle name="Normal 8 26 4 6" xfId="49884" xr:uid="{01C96380-DC8B-48B4-BD29-0B6FAE05FA26}"/>
    <cellStyle name="Normal 8 26 4 7" xfId="50231" xr:uid="{82B931D9-1AC9-402E-9D1F-EA5CB7A042D7}"/>
    <cellStyle name="Normal 8 26 5" xfId="11240" xr:uid="{00000000-0005-0000-0000-00003B320000}"/>
    <cellStyle name="Normal-- 8 26 5" xfId="40279" xr:uid="{63FB25EF-C3CC-4B6D-B16B-20361B4275F6}"/>
    <cellStyle name="Normal 8 26 5 2" xfId="43729" xr:uid="{7792E6B5-F169-4BAF-A3D2-E0E9E8EB15E2}"/>
    <cellStyle name="Normal 8 26 5 3" xfId="46282" xr:uid="{223CDD0B-785F-4757-8894-EEC9781FDE83}"/>
    <cellStyle name="Normal 8 26 5 4" xfId="15401" xr:uid="{948140E1-B595-443D-BE81-98B783882744}"/>
    <cellStyle name="Normal 8 26 5 5" xfId="15478" xr:uid="{30523F1A-4944-40C0-B137-BA75041400CC}"/>
    <cellStyle name="Normal 8 26 5 6" xfId="46624" xr:uid="{0C660BBF-BCAC-4B04-9F78-48F35A39325A}"/>
    <cellStyle name="Normal 8 26 6" xfId="13453" xr:uid="{00000000-0005-0000-0000-0000B4320000}"/>
    <cellStyle name="Normal-- 8 26 6" xfId="46281" xr:uid="{17B951C0-DFED-43C9-A136-D29E6BBFFE39}"/>
    <cellStyle name="Normal 8 26 6 2" xfId="45917" xr:uid="{9725A97C-70C1-44FF-B412-A6519F39DC5F}"/>
    <cellStyle name="Normal 8 26 6 3" xfId="49651" xr:uid="{09C206C1-E35A-4B8B-B501-6CF813C9AAC3}"/>
    <cellStyle name="Normal 8 26 6 4" xfId="49890" xr:uid="{1718C437-EFDE-418A-A4AC-E0213A60EB87}"/>
    <cellStyle name="Normal 8 26 6 5" xfId="50235" xr:uid="{99E6085D-F559-4032-8C77-CCA694D7E5F8}"/>
    <cellStyle name="Normal 8 26 7" xfId="11186" xr:uid="{00000000-0005-0000-0000-000031330000}"/>
    <cellStyle name="Normal-- 8 26 7" xfId="47699" xr:uid="{E2DD77BA-534E-4329-97B1-678EA9AC6E74}"/>
    <cellStyle name="Normal 8 26 7 2" xfId="43675" xr:uid="{28B53D32-E7DA-46D8-9691-56968145C738}"/>
    <cellStyle name="Normal 8 26 7 3" xfId="15702" xr:uid="{01A3BBC5-40C9-45F5-8335-93B15D53B661}"/>
    <cellStyle name="Normal 8 26 7 4" xfId="41557" xr:uid="{49971224-7C4D-4782-A19C-43FEA3C2665F}"/>
    <cellStyle name="Normal 8 26 8" xfId="13513" xr:uid="{00000000-0005-0000-0000-0000B2330000}"/>
    <cellStyle name="Normal-- 8 26 8" xfId="15328" xr:uid="{1C53A062-4C0E-4BAC-A2D2-627B8841BDB2}"/>
    <cellStyle name="Normal 8 26 8 2" xfId="45977" xr:uid="{85FE1D1E-C026-4D02-8B82-FE9FA268A87E}"/>
    <cellStyle name="Normal 8 26 8 3" xfId="50245" xr:uid="{7B595C85-A0A8-404A-AF6C-0CB5217D5446}"/>
    <cellStyle name="Normal 8 26 9" xfId="11124" xr:uid="{00000000-0005-0000-0000-000037340000}"/>
    <cellStyle name="Normal-- 8 26 9" xfId="48249" xr:uid="{2D90A2B8-40C6-47FE-B969-742A4FFB819E}"/>
    <cellStyle name="Normal 8 26 9 2" xfId="43613" xr:uid="{A19D429E-F30D-4EA4-9DE0-AC63382670B2}"/>
    <cellStyle name="Normal 8 27" xfId="4794" xr:uid="{00000000-0005-0000-0000-0000DD120000}"/>
    <cellStyle name="Normal-- 8 27" xfId="13359" xr:uid="{00000000-0005-0000-0000-0000B4310000}"/>
    <cellStyle name="Normal 8 27 10" xfId="11061" xr:uid="{00000000-0005-0000-0000-00004E350000}"/>
    <cellStyle name="Normal 8 27 10 2" xfId="43550" xr:uid="{3A61E2D3-BD06-4177-BD06-5A479B1DEA92}"/>
    <cellStyle name="Normal 8 27 11" xfId="16178" xr:uid="{BE3D3125-053C-43B0-B45E-E1AA59A4B98B}"/>
    <cellStyle name="Normal 8 27 12" xfId="38832" xr:uid="{DDD3EAB4-2B08-4659-A180-EE15DC702AED}"/>
    <cellStyle name="Normal 8 27 13" xfId="40348" xr:uid="{D752E532-D9EF-4844-824B-774660106FEA}"/>
    <cellStyle name="Normal 8 27 14" xfId="46101" xr:uid="{11699D2C-21FD-4FF1-B7B1-A87053CA8BF3}"/>
    <cellStyle name="Normal 8 27 15" xfId="48172" xr:uid="{0C04472A-82EF-468F-9A46-EF90685E9C18}"/>
    <cellStyle name="Normal 8 27 16" xfId="40315" xr:uid="{F35CC5A5-A6D3-45E7-A133-7982597B6DBB}"/>
    <cellStyle name="Normal 8 27 17" xfId="48928" xr:uid="{B1E1D016-6460-4C71-AF4F-8D89A7129032}"/>
    <cellStyle name="Normal 8 27 18" xfId="47640" xr:uid="{AE0C1559-529E-4EB5-9899-A61908277197}"/>
    <cellStyle name="Normal 8 27 19" xfId="40252" xr:uid="{6A42EA36-0BD8-453C-A77F-79DE99559362}"/>
    <cellStyle name="Normal 8 27 2" xfId="10319" xr:uid="{00000000-0005-0000-0000-00002A200000}"/>
    <cellStyle name="Normal-- 8 27 2" xfId="45823" xr:uid="{F3D2B452-A819-4FFE-92CE-11915DCE1CE0}"/>
    <cellStyle name="Normal 8 27 2 2" xfId="42808" xr:uid="{4B820F22-D4CE-4F85-B603-BE28EC41C52A}"/>
    <cellStyle name="Normal 8 27 2 3" xfId="47582" xr:uid="{12B7E716-E131-459F-83D4-A65F3D9628B7}"/>
    <cellStyle name="Normal 8 27 2 4" xfId="37894" xr:uid="{44946943-4329-4DD4-961A-31712CA11E9D}"/>
    <cellStyle name="Normal 8 27 2 5" xfId="47674" xr:uid="{B9D625A0-A5FA-4F8B-BD86-A150E6E178EF}"/>
    <cellStyle name="Normal 8 27 2 6" xfId="15678" xr:uid="{03E3D88E-9C97-4752-A4E2-4BB6F7A6BF36}"/>
    <cellStyle name="Normal 8 27 2 7" xfId="46295" xr:uid="{F4251A58-6859-48A3-A2D5-B727B43AA127}"/>
    <cellStyle name="Normal 8 27 2 8" xfId="46398" xr:uid="{AA4BC56D-E5D5-4038-AAE2-C2C8166305D7}"/>
    <cellStyle name="Normal 8 27 2 9" xfId="38003" xr:uid="{0BC735AB-E4B8-4A50-9052-494D43D18628}"/>
    <cellStyle name="Normal 8 27 3" xfId="8074" xr:uid="{00000000-0005-0000-0000-00004E0F0000}"/>
    <cellStyle name="Normal-- 8 27 3" xfId="48723" xr:uid="{FE01D764-0737-4E52-8ED0-A5B59989D931}"/>
    <cellStyle name="Normal 8 27 4" xfId="11239" xr:uid="{00000000-0005-0000-0000-00003C320000}"/>
    <cellStyle name="Normal-- 8 27 4" xfId="48902" xr:uid="{2D699156-6478-4A21-9C6C-B4D24276CF24}"/>
    <cellStyle name="Normal 8 27 4 2" xfId="43728" xr:uid="{098BBA6D-C17F-444E-BB38-2CB5D6C2C0DC}"/>
    <cellStyle name="Normal 8 27 4 3" xfId="41215" xr:uid="{078A6A84-4FFE-4211-A709-0A07EDF2BCC5}"/>
    <cellStyle name="Normal 8 27 4 4" xfId="16531" xr:uid="{CC24DC09-EA11-44C3-BE11-5E5F1A84DF39}"/>
    <cellStyle name="Normal 8 27 4 5" xfId="40592" xr:uid="{F8BE081C-B1C9-4B15-8FF3-074F46F53C34}"/>
    <cellStyle name="Normal 8 27 4 6" xfId="47500" xr:uid="{5D444065-4DDA-479B-BDAF-0F85C024BFA6}"/>
    <cellStyle name="Normal 8 27 4 7" xfId="48419" xr:uid="{6719A241-48F5-40DC-9F71-3B1E7FE79FA5}"/>
    <cellStyle name="Normal 8 27 5" xfId="13454" xr:uid="{00000000-0005-0000-0000-0000B5320000}"/>
    <cellStyle name="Normal-- 8 27 5" xfId="49159" xr:uid="{55EB5C96-E7C0-4DF5-A330-43C4A116335F}"/>
    <cellStyle name="Normal 8 27 5 2" xfId="45918" xr:uid="{B0B7A08B-2E78-436B-9115-9A6D6BEC146C}"/>
    <cellStyle name="Normal 8 27 5 3" xfId="49375" xr:uid="{80B22BDB-A6B9-4B7E-8CB0-75232E7570BB}"/>
    <cellStyle name="Normal 8 27 5 4" xfId="49652" xr:uid="{F1A5D7BF-5C6B-4A88-B981-83BA8223A4D6}"/>
    <cellStyle name="Normal 8 27 5 5" xfId="49891" xr:uid="{C4F13D62-6C16-4459-B788-3A1F3AF0D391}"/>
    <cellStyle name="Normal 8 27 5 6" xfId="50236" xr:uid="{EEB01642-CD14-45AB-A534-EEA61DFF3165}"/>
    <cellStyle name="Normal 8 27 6" xfId="11185" xr:uid="{00000000-0005-0000-0000-000032330000}"/>
    <cellStyle name="Normal-- 8 27 6" xfId="49359" xr:uid="{CE5B6B94-0DF6-4887-ABBF-C25CE4C7A8ED}"/>
    <cellStyle name="Normal 8 27 6 2" xfId="43674" xr:uid="{7198C0ED-9649-46D1-B055-13D6F806B599}"/>
    <cellStyle name="Normal 8 27 6 3" xfId="39579" xr:uid="{CA370803-D587-4266-8926-2DCC75CCEE7B}"/>
    <cellStyle name="Normal 8 27 6 4" xfId="46657" xr:uid="{550DE47A-2B0A-4121-8308-FD55A8761F56}"/>
    <cellStyle name="Normal 8 27 6 5" xfId="46554" xr:uid="{7FCBACB1-7851-40C9-A440-0D76517F7823}"/>
    <cellStyle name="Normal 8 27 7" xfId="13514" xr:uid="{00000000-0005-0000-0000-0000B3330000}"/>
    <cellStyle name="Normal-- 8 27 7" xfId="49638" xr:uid="{1FC4409E-1771-4ED2-87AF-619022DA9983}"/>
    <cellStyle name="Normal 8 27 7 2" xfId="45978" xr:uid="{DC7929F9-A152-47DB-9E23-09C2E2220D8D}"/>
    <cellStyle name="Normal 8 27 7 3" xfId="49901" xr:uid="{8231EA52-086A-4116-BDB0-81BA2A6DCF3F}"/>
    <cellStyle name="Normal 8 27 7 4" xfId="50246" xr:uid="{AE5659EF-107B-41FD-AB2F-EF6C4B23794D}"/>
    <cellStyle name="Normal 8 27 8" xfId="11122" xr:uid="{00000000-0005-0000-0000-000038340000}"/>
    <cellStyle name="Normal-- 8 27 8" xfId="49877" xr:uid="{9953F5FC-F0B2-4D05-9EE5-EBF898065CBB}"/>
    <cellStyle name="Normal 8 27 8 2" xfId="43611" xr:uid="{9D8D83F9-3500-45B0-BF63-98C85AA64A65}"/>
    <cellStyle name="Normal 8 27 8 3" xfId="48303" xr:uid="{6C505D9D-6914-4E3C-8950-82E647C304FF}"/>
    <cellStyle name="Normal 8 27 9" xfId="13569" xr:uid="{00000000-0005-0000-0000-0000C1340000}"/>
    <cellStyle name="Normal-- 8 27 9" xfId="50223" xr:uid="{54BDB6B1-834C-40C2-B974-0F6387199432}"/>
    <cellStyle name="Normal 8 27 9 2" xfId="46033" xr:uid="{DDED2F50-2947-46A0-AEED-63F3D33A1B57}"/>
    <cellStyle name="Normal 8 28" xfId="4795" xr:uid="{00000000-0005-0000-0000-0000DE120000}"/>
    <cellStyle name="Normal-- 8 28" xfId="11276" xr:uid="{00000000-0005-0000-0000-000029320000}"/>
    <cellStyle name="Normal 8 28 10" xfId="16179" xr:uid="{C6B5779A-AF01-4E8B-B9CE-1F058CAD57F1}"/>
    <cellStyle name="Normal 8 28 11" xfId="38833" xr:uid="{B2A4E2AB-5FA2-4A10-B076-46CEE9DAD5AF}"/>
    <cellStyle name="Normal 8 28 12" xfId="40349" xr:uid="{4359E5B9-9E56-4089-9F07-B8863C02CF93}"/>
    <cellStyle name="Normal 8 28 13" xfId="47395" xr:uid="{3E46AEB2-583D-45A2-909D-961E23BBD420}"/>
    <cellStyle name="Normal 8 28 14" xfId="46861" xr:uid="{8A3E2ECB-5D11-4AD7-84B5-91E459AF131F}"/>
    <cellStyle name="Normal 8 28 15" xfId="46973" xr:uid="{2BC5D89B-42D5-4D83-9AAF-0F0C589FB816}"/>
    <cellStyle name="Normal 8 28 16" xfId="47312" xr:uid="{3BA273FC-51EF-4BD0-AA40-F8C17A897040}"/>
    <cellStyle name="Normal 8 28 17" xfId="47277" xr:uid="{AE15DB6E-E1AF-4C6B-A46B-95CEECC49313}"/>
    <cellStyle name="Normal 8 28 18" xfId="49816" xr:uid="{5F293631-576F-4BD6-A873-EA8C393C6628}"/>
    <cellStyle name="Normal 8 28 2" xfId="10320" xr:uid="{00000000-0005-0000-0000-00002B200000}"/>
    <cellStyle name="Normal-- 8 28 2" xfId="43765" xr:uid="{E88770A7-AECD-4C60-B625-57485AAAE909}"/>
    <cellStyle name="Normal 8 28 2 2" xfId="42809" xr:uid="{DF2EA94D-83F5-4D6F-8137-5F03565B82FE}"/>
    <cellStyle name="Normal 8 28 2 3" xfId="47583" xr:uid="{7B7D5014-7B9E-4435-99C5-4D8B76715C27}"/>
    <cellStyle name="Normal 8 28 2 4" xfId="48206" xr:uid="{7D59F465-4334-4962-BC54-4C87346899FD}"/>
    <cellStyle name="Normal 8 28 2 5" xfId="40534" xr:uid="{2BFC47C5-786C-4837-8243-A121780A7800}"/>
    <cellStyle name="Normal 8 28 2 6" xfId="14094" xr:uid="{66F56A94-F5F1-43D1-89ED-4856EA65008C}"/>
    <cellStyle name="Normal 8 28 2 7" xfId="14545" xr:uid="{1D0EEA76-285B-449B-88AB-E96AB60B7A41}"/>
    <cellStyle name="Normal 8 28 2 8" xfId="15499" xr:uid="{68D0EDA2-4931-42D1-8F77-48E503D84780}"/>
    <cellStyle name="Normal 8 28 2 9" xfId="46730" xr:uid="{D8DB159F-02C2-48A6-AF4F-30981D346D7C}"/>
    <cellStyle name="Normal 8 28 3" xfId="8075" xr:uid="{00000000-0005-0000-0000-00004F0F0000}"/>
    <cellStyle name="Normal-- 8 28 3" xfId="47907" xr:uid="{19F9079D-2091-452E-AC4F-5F668E0BB0E3}"/>
    <cellStyle name="Normal 8 28 4" xfId="13455" xr:uid="{00000000-0005-0000-0000-0000B6320000}"/>
    <cellStyle name="Normal-- 8 28 4" xfId="46199" xr:uid="{59AF3994-524C-456D-94B6-AB5726649A6A}"/>
    <cellStyle name="Normal 8 28 4 2" xfId="45919" xr:uid="{29401691-954D-4AA0-A8C8-F94B2A785BBC}"/>
    <cellStyle name="Normal 8 28 4 3" xfId="49172" xr:uid="{01B19B12-4A6C-49A4-9993-BC6E03358C26}"/>
    <cellStyle name="Normal 8 28 4 4" xfId="49376" xr:uid="{152D23EF-036F-42E0-8C04-4F9EF7067D93}"/>
    <cellStyle name="Normal 8 28 4 5" xfId="49653" xr:uid="{30AC4AB4-3525-4640-8184-1D0E32D61ED9}"/>
    <cellStyle name="Normal 8 28 4 6" xfId="49892" xr:uid="{4D514E70-4D68-4A98-917A-93DE400E8144}"/>
    <cellStyle name="Normal 8 28 4 7" xfId="50237" xr:uid="{18852116-F870-43DF-9223-FC7DC5F18658}"/>
    <cellStyle name="Normal 8 28 5" xfId="11184" xr:uid="{00000000-0005-0000-0000-000033330000}"/>
    <cellStyle name="Normal-- 8 28 5" xfId="46933" xr:uid="{D72AE8A5-9BF0-4B6D-A146-BF648C500D3E}"/>
    <cellStyle name="Normal 8 28 5 2" xfId="43673" xr:uid="{85E2E005-BADF-4167-AADD-B25BD56C5A6C}"/>
    <cellStyle name="Normal 8 28 5 3" xfId="48380" xr:uid="{A51AC827-F9DE-4BF9-B949-44064EB1A33C}"/>
    <cellStyle name="Normal 8 28 5 4" xfId="14946" xr:uid="{FE18C0B7-0647-4B80-A0CD-D486C82994DA}"/>
    <cellStyle name="Normal 8 28 5 5" xfId="37752" xr:uid="{D20BAFE1-9AE1-4E59-BE10-3066F7B25819}"/>
    <cellStyle name="Normal 8 28 5 6" xfId="47065" xr:uid="{0D7E1774-53F1-4C87-B41B-B14A88E862F0}"/>
    <cellStyle name="Normal 8 28 6" xfId="13515" xr:uid="{00000000-0005-0000-0000-0000B4330000}"/>
    <cellStyle name="Normal-- 8 28 6" xfId="48258" xr:uid="{A49F248E-DD2B-43C2-B530-5DCF31609B9F}"/>
    <cellStyle name="Normal 8 28 6 2" xfId="45979" xr:uid="{690F9902-BC29-4B94-8051-4C0CE89FD96B}"/>
    <cellStyle name="Normal 8 28 6 3" xfId="49660" xr:uid="{A3514AF2-28ED-4CF0-9A06-84CE87B5AC52}"/>
    <cellStyle name="Normal 8 28 6 4" xfId="49902" xr:uid="{C92E04AB-FBDB-41B8-BDF4-09DCF9AD3ED4}"/>
    <cellStyle name="Normal 8 28 6 5" xfId="50247" xr:uid="{4D157293-385C-4C60-B2D4-08782826AFC9}"/>
    <cellStyle name="Normal 8 28 7" xfId="11121" xr:uid="{00000000-0005-0000-0000-000039340000}"/>
    <cellStyle name="Normal-- 8 28 7" xfId="15402" xr:uid="{06CDFE69-1718-47CB-BAE2-230AF93C46A7}"/>
    <cellStyle name="Normal 8 28 7 2" xfId="43610" xr:uid="{7A07027C-4523-4755-931E-4E3CFB7D5960}"/>
    <cellStyle name="Normal 8 28 7 3" xfId="46140" xr:uid="{5B8143E3-5296-468C-85B3-2707E89269F1}"/>
    <cellStyle name="Normal 8 28 7 4" xfId="47602" xr:uid="{F027C657-D280-47EE-A472-20E551087336}"/>
    <cellStyle name="Normal 8 28 8" xfId="13570" xr:uid="{00000000-0005-0000-0000-0000C2340000}"/>
    <cellStyle name="Normal-- 8 28 8" xfId="41596" xr:uid="{C5E86C00-AB41-4E28-891C-EDE8AFF22B3E}"/>
    <cellStyle name="Normal 8 28 8 2" xfId="46034" xr:uid="{D39E3926-4025-40DB-9A0F-EC5D351AA02C}"/>
    <cellStyle name="Normal 8 28 8 3" xfId="50256" xr:uid="{CCACF4B1-A1BF-4AE5-AAD3-3D7580AD8E6F}"/>
    <cellStyle name="Normal 8 28 9" xfId="11060" xr:uid="{00000000-0005-0000-0000-00004F350000}"/>
    <cellStyle name="Normal-- 8 28 9" xfId="46430" xr:uid="{1D101E71-A585-4174-87AB-301C5FD315B8}"/>
    <cellStyle name="Normal 8 28 9 2" xfId="43549" xr:uid="{C1B56775-7E1F-49D9-9824-1F3580C277C4}"/>
    <cellStyle name="Normal 8 29" xfId="4796" xr:uid="{00000000-0005-0000-0000-0000DF120000}"/>
    <cellStyle name="Normal-- 8 29" xfId="13418" xr:uid="{00000000-0005-0000-0000-0000A2320000}"/>
    <cellStyle name="Normal 8 29 10" xfId="38834" xr:uid="{76BD7E74-7D29-4B09-A459-22C9541002DC}"/>
    <cellStyle name="Normal 8 29 11" xfId="15387" xr:uid="{AAB9AAF1-53BF-400A-8D4E-3430FA90C7ED}"/>
    <cellStyle name="Normal 8 29 12" xfId="15243" xr:uid="{5F231AA3-298B-45EA-81BD-E8E9BB88F273}"/>
    <cellStyle name="Normal 8 29 13" xfId="47265" xr:uid="{03419F6E-DDD8-4E61-9CE1-7F03F6D71CC9}"/>
    <cellStyle name="Normal 8 29 14" xfId="46804" xr:uid="{63497269-14C3-4B13-A264-2A8831E8D369}"/>
    <cellStyle name="Normal 8 29 15" xfId="46530" xr:uid="{A39ECB17-1FE3-4FFA-825B-5830419A31F1}"/>
    <cellStyle name="Normal 8 29 16" xfId="49595" xr:uid="{8636FA5F-734B-451C-85E0-ECD23DFAF624}"/>
    <cellStyle name="Normal 8 29 17" xfId="49050" xr:uid="{54621007-7D71-415C-81DF-9AB0EDFF9E75}"/>
    <cellStyle name="Normal 8 29 2" xfId="10321" xr:uid="{00000000-0005-0000-0000-00002C200000}"/>
    <cellStyle name="Normal-- 8 29 2" xfId="45882" xr:uid="{B15152C1-5977-41D5-A04C-1B0D7D3EFC06}"/>
    <cellStyle name="Normal 8 29 2 2" xfId="42810" xr:uid="{06E53997-4B77-4017-AAA8-C1A365341B26}"/>
    <cellStyle name="Normal 8 29 2 3" xfId="47584" xr:uid="{C21203BF-0C1E-4220-A0EC-6ECDD4CE403C}"/>
    <cellStyle name="Normal 8 29 2 4" xfId="46335" xr:uid="{9E88C6F3-23DB-4BF4-AA84-6AF31E71381F}"/>
    <cellStyle name="Normal 8 29 2 5" xfId="40613" xr:uid="{1E8B900F-6735-49E8-A7A9-8F96677722E2}"/>
    <cellStyle name="Normal 8 29 2 6" xfId="47785" xr:uid="{8E0F326A-3DFA-4F13-8A83-EFBCA0DBD16D}"/>
    <cellStyle name="Normal 8 29 2 7" xfId="37860" xr:uid="{BA41E1DE-06C4-4B23-B37E-50E8F8F677F2}"/>
    <cellStyle name="Normal 8 29 2 8" xfId="15029" xr:uid="{D0BC20F8-65D2-42E5-A88F-4CC790EF380C}"/>
    <cellStyle name="Normal 8 29 2 9" xfId="48778" xr:uid="{3DF12117-50B1-407F-98F3-5D6B42CA3C99}"/>
    <cellStyle name="Normal 8 29 3" xfId="8076" xr:uid="{00000000-0005-0000-0000-0000500F0000}"/>
    <cellStyle name="Normal-- 8 29 3" xfId="48740" xr:uid="{880C911F-824C-42BD-91EE-5D149EB4CDA3}"/>
    <cellStyle name="Normal 8 29 4" xfId="11183" xr:uid="{00000000-0005-0000-0000-000034330000}"/>
    <cellStyle name="Normal-- 8 29 4" xfId="48915" xr:uid="{D6591042-7974-4CD6-B966-5C10DC714701}"/>
    <cellStyle name="Normal 8 29 4 2" xfId="43672" xr:uid="{58619E34-70E9-44AA-A426-34234B994481}"/>
    <cellStyle name="Normal 8 29 4 3" xfId="40573" xr:uid="{C972C085-E55C-45AA-8AFD-099D34273A15}"/>
    <cellStyle name="Normal 8 29 4 4" xfId="46934" xr:uid="{0AE904C2-597F-4E01-818E-3509D0F28771}"/>
    <cellStyle name="Normal 8 29 4 5" xfId="46874" xr:uid="{0883075C-9044-4DAF-8A28-10A7672EC86A}"/>
    <cellStyle name="Normal 8 29 4 6" xfId="37696" xr:uid="{54FEFA51-08FF-440E-A9FD-07A8BE530B4D}"/>
    <cellStyle name="Normal 8 29 4 7" xfId="48270" xr:uid="{4AF7BD3C-561C-434D-BE61-5B475ABC3CCD}"/>
    <cellStyle name="Normal 8 29 5" xfId="13516" xr:uid="{00000000-0005-0000-0000-0000B5330000}"/>
    <cellStyle name="Normal-- 8 29 5" xfId="49167" xr:uid="{A34F399E-6749-4123-A3E0-FC17037D7E7E}"/>
    <cellStyle name="Normal 8 29 5 2" xfId="45980" xr:uid="{EBD227E3-B751-4067-AE0E-E98CBBCDE276}"/>
    <cellStyle name="Normal 8 29 5 3" xfId="49387" xr:uid="{44B3756C-CE59-42B2-AA95-DABD8C1E55B3}"/>
    <cellStyle name="Normal 8 29 5 4" xfId="49661" xr:uid="{A19A429D-E49A-4EC2-AF7A-8DAB1A151E90}"/>
    <cellStyle name="Normal 8 29 5 5" xfId="49903" xr:uid="{3335D94B-8FBF-46D4-9FCA-1134352113E7}"/>
    <cellStyle name="Normal 8 29 5 6" xfId="50248" xr:uid="{E4318011-3E04-46EF-8F05-7315EA1AB114}"/>
    <cellStyle name="Normal 8 29 6" xfId="11120" xr:uid="{00000000-0005-0000-0000-00003A340000}"/>
    <cellStyle name="Normal-- 8 29 6" xfId="49369" xr:uid="{5C4D13D0-6A1C-4869-8CD2-9513FA4DE9ED}"/>
    <cellStyle name="Normal 8 29 6 2" xfId="43609" xr:uid="{19EACA29-439E-4070-A563-2C9DB64B6E71}"/>
    <cellStyle name="Normal 8 29 6 3" xfId="40727" xr:uid="{5B4B3FD0-48DB-4F94-8228-E57A825CDBB3}"/>
    <cellStyle name="Normal 8 29 6 4" xfId="40254" xr:uid="{3F653059-BB52-4714-844C-3E39E1DD8649}"/>
    <cellStyle name="Normal 8 29 6 5" xfId="46277" xr:uid="{7B36C6D8-9D14-4F70-B16D-A897CC0E523D}"/>
    <cellStyle name="Normal 8 29 7" xfId="13572" xr:uid="{00000000-0005-0000-0000-0000C3340000}"/>
    <cellStyle name="Normal-- 8 29 7" xfId="49647" xr:uid="{3709FB94-F28F-4E55-82DB-34AC5723A9BA}"/>
    <cellStyle name="Normal 8 29 7 2" xfId="46036" xr:uid="{05AD87ED-67A8-4369-BC46-54B99E5B821F}"/>
    <cellStyle name="Normal 8 29 7 3" xfId="49913" xr:uid="{4880F480-9766-43F0-BB0A-20B29AE80A8C}"/>
    <cellStyle name="Normal 8 29 7 4" xfId="50257" xr:uid="{6E0A4C36-56A8-4BAA-8783-F69713E74E45}"/>
    <cellStyle name="Normal 8 29 8" xfId="11059" xr:uid="{00000000-0005-0000-0000-000050350000}"/>
    <cellStyle name="Normal-- 8 29 8" xfId="49885" xr:uid="{F0756E76-1A72-4B0C-80C8-A88DBC6B4BE6}"/>
    <cellStyle name="Normal 8 29 8 2" xfId="43548" xr:uid="{2B992320-8616-4F23-AB10-5685A36927D4}"/>
    <cellStyle name="Normal 8 29 8 3" xfId="49805" xr:uid="{71A678FB-FAED-46B8-AC72-902288806A57}"/>
    <cellStyle name="Normal 8 29 9" xfId="16180" xr:uid="{7438E8D1-E5F0-479F-9571-2B768FB188AE}"/>
    <cellStyle name="Normal-- 8 29 9" xfId="50232" xr:uid="{AD16D8BD-55E4-4634-A4B4-9C6E2C146923}"/>
    <cellStyle name="Normal 8 3" xfId="4797" xr:uid="{00000000-0005-0000-0000-0000E0120000}"/>
    <cellStyle name="Normal-- 8 3" xfId="12583" xr:uid="{00000000-0005-0000-0000-000013230000}"/>
    <cellStyle name="Normal 8 3 10" xfId="8828" xr:uid="{00000000-0005-0000-0000-0000FC230000}"/>
    <cellStyle name="Normal 8 3 10 2" xfId="41492" xr:uid="{57E5F280-F65A-4C97-A80C-A20C00FB96E9}"/>
    <cellStyle name="Normal 8 3 11" xfId="12681" xr:uid="{00000000-0005-0000-0000-00002E240000}"/>
    <cellStyle name="Normal 8 3 11 2" xfId="45152" xr:uid="{D7E6BA74-8FE2-48D0-9457-70DC44D8428F}"/>
    <cellStyle name="Normal 8 3 12" xfId="8877" xr:uid="{00000000-0005-0000-0000-000064240000}"/>
    <cellStyle name="Normal 8 3 12 2" xfId="41525" xr:uid="{C0A8F70D-0232-49ED-BED5-0539635F61BE}"/>
    <cellStyle name="Normal 8 3 13" xfId="12710" xr:uid="{00000000-0005-0000-0000-00009E240000}"/>
    <cellStyle name="Normal 8 3 13 2" xfId="45181" xr:uid="{570F1B44-AB56-4190-88C7-71B8030F93D8}"/>
    <cellStyle name="Normal 8 3 14" xfId="8953" xr:uid="{00000000-0005-0000-0000-0000DC240000}"/>
    <cellStyle name="Normal 8 3 14 2" xfId="41594" xr:uid="{4B33C5B1-F8E5-425D-8172-AD6A87A6D070}"/>
    <cellStyle name="Normal 8 3 15" xfId="12752" xr:uid="{00000000-0005-0000-0000-00001E250000}"/>
    <cellStyle name="Normal 8 3 15 2" xfId="45223" xr:uid="{28C34C0C-132E-4222-B3A5-1430C0681F06}"/>
    <cellStyle name="Normal 8 3 16" xfId="9017" xr:uid="{00000000-0005-0000-0000-000064250000}"/>
    <cellStyle name="Normal 8 3 16 2" xfId="41640" xr:uid="{6695F727-66CA-4554-95A9-AF1534BE69C9}"/>
    <cellStyle name="Normal 8 3 17" xfId="12783" xr:uid="{00000000-0005-0000-0000-0000AE250000}"/>
    <cellStyle name="Normal 8 3 17 2" xfId="45254" xr:uid="{2A21C990-EF5B-4C58-8E13-E8E272B3DB16}"/>
    <cellStyle name="Normal 8 3 18" xfId="9091" xr:uid="{00000000-0005-0000-0000-0000FC250000}"/>
    <cellStyle name="Normal 8 3 18 2" xfId="41694" xr:uid="{D67F0BE7-10A0-4EC2-A310-9196A705E4DF}"/>
    <cellStyle name="Normal 8 3 19" xfId="12826" xr:uid="{00000000-0005-0000-0000-00004E260000}"/>
    <cellStyle name="Normal 8 3 19 2" xfId="45297" xr:uid="{198F9467-ABDC-4677-A0B1-53567397F213}"/>
    <cellStyle name="Normal 8 3 2" xfId="4798" xr:uid="{00000000-0005-0000-0000-0000E1120000}"/>
    <cellStyle name="Normal-- 8 3 2" xfId="45054" xr:uid="{E6F389A7-5F9E-41CB-ABDD-0F774940E721}"/>
    <cellStyle name="Normal 8 3 2 10" xfId="49593" xr:uid="{84DE24B4-5215-40C3-B5F4-E7A149C40236}"/>
    <cellStyle name="Normal 8 3 2 11" xfId="49367" xr:uid="{2FCD7DB0-004D-4FB9-8F05-866888F213D9}"/>
    <cellStyle name="Normal 8 3 2 2" xfId="10323" xr:uid="{00000000-0005-0000-0000-00002E200000}"/>
    <cellStyle name="Normal 8 3 2 2 2" xfId="42812" xr:uid="{B99E50A1-D04A-4E7F-AF7F-F0F003F8964F}"/>
    <cellStyle name="Normal 8 3 2 3" xfId="8078" xr:uid="{00000000-0005-0000-0000-0000520F0000}"/>
    <cellStyle name="Normal 8 3 2 4" xfId="38836" xr:uid="{F1C304AE-97CA-4CF9-AA1D-0E2938416BEE}"/>
    <cellStyle name="Normal 8 3 2 5" xfId="40346" xr:uid="{06BE40BE-2D78-452F-BCE5-72AF7987FE8F}"/>
    <cellStyle name="Normal 8 3 2 6" xfId="47394" xr:uid="{AA471FD3-DF8E-4C6B-A56B-BE2E7A102E7F}"/>
    <cellStyle name="Normal 8 3 2 7" xfId="40549" xr:uid="{43AC37F7-AC99-4AB6-9BCB-9FB14B6D1D12}"/>
    <cellStyle name="Normal 8 3 2 8" xfId="46946" xr:uid="{1964640D-E29D-4250-9EDE-3CFBD9F62531}"/>
    <cellStyle name="Normal 8 3 2 9" xfId="49310" xr:uid="{6CF80EA6-BAB1-4BC9-9D77-9C6EE211F9D5}"/>
    <cellStyle name="Normal 8 3 20" xfId="9164" xr:uid="{00000000-0005-0000-0000-0000A4260000}"/>
    <cellStyle name="Normal 8 3 20 2" xfId="41752" xr:uid="{3E6F8AFA-A4AC-4C66-AC07-9F6ACDF82B79}"/>
    <cellStyle name="Normal 8 3 21" xfId="12873" xr:uid="{00000000-0005-0000-0000-0000FE260000}"/>
    <cellStyle name="Normal 8 3 21 2" xfId="45344" xr:uid="{7C5AA0C5-3868-4B6B-9A72-945EE47D5C10}"/>
    <cellStyle name="Normal 8 3 22" xfId="9245" xr:uid="{00000000-0005-0000-0000-00005C270000}"/>
    <cellStyle name="Normal 8 3 22 2" xfId="41790" xr:uid="{A322C893-92DE-40F6-A26A-8107BE6BEBC6}"/>
    <cellStyle name="Normal 8 3 23" xfId="12899" xr:uid="{00000000-0005-0000-0000-0000BE270000}"/>
    <cellStyle name="Normal 8 3 23 2" xfId="45370" xr:uid="{6171D826-DD88-476D-B240-9310AF4B010F}"/>
    <cellStyle name="Normal 8 3 24" xfId="8077" xr:uid="{00000000-0005-0000-0000-0000510F0000}"/>
    <cellStyle name="Normal 8 3 25" xfId="13325" xr:uid="{00000000-0005-0000-0000-0000E7300000}"/>
    <cellStyle name="Normal 8 3 25 2" xfId="45789" xr:uid="{58B0A31B-03FA-4E7C-96BF-B722744F5B93}"/>
    <cellStyle name="Normal 8 3 26" xfId="11311" xr:uid="{00000000-0005-0000-0000-000055310000}"/>
    <cellStyle name="Normal 8 3 26 2" xfId="43800" xr:uid="{5F95EEB8-FF9C-462F-861E-959A4D5C255A}"/>
    <cellStyle name="Normal 8 3 27" xfId="13397" xr:uid="{00000000-0005-0000-0000-0000C7310000}"/>
    <cellStyle name="Normal 8 3 27 2" xfId="45861" xr:uid="{79B3531E-5F2D-4D64-9E98-533EA51333ED}"/>
    <cellStyle name="Normal 8 3 28" xfId="11236" xr:uid="{00000000-0005-0000-0000-00003D320000}"/>
    <cellStyle name="Normal 8 3 28 2" xfId="43725" xr:uid="{53A15A95-3214-43E2-BA98-E6166E2BD8AE}"/>
    <cellStyle name="Normal 8 3 29" xfId="13457" xr:uid="{00000000-0005-0000-0000-0000B7320000}"/>
    <cellStyle name="Normal 8 3 29 2" xfId="45921" xr:uid="{6E728B15-37EF-4D40-8304-1CE1041DEEFD}"/>
    <cellStyle name="Normal 8 3 3" xfId="10322" xr:uid="{00000000-0005-0000-0000-00002D200000}"/>
    <cellStyle name="Normal-- 8 3 3" xfId="48385" xr:uid="{5C1C1470-2D8C-41E7-96F6-8D6FC43DAE1F}"/>
    <cellStyle name="Normal 8 3 3 2" xfId="42811" xr:uid="{74863ABE-1030-483A-BD01-19556E040037}"/>
    <cellStyle name="Normal 8 3 3 3" xfId="46336" xr:uid="{1454B0B0-0F01-4A02-ADB2-EB898940B80D}"/>
    <cellStyle name="Normal 8 3 3 4" xfId="15083" xr:uid="{620555AE-752B-43A2-B487-EC75AFE8D420}"/>
    <cellStyle name="Normal 8 3 3 5" xfId="48727" xr:uid="{7E140091-ED60-4326-B8DD-EFE64DFFE9B6}"/>
    <cellStyle name="Normal 8 3 3 6" xfId="14921" xr:uid="{7A57B58C-C9C5-4E12-A365-D64395D6A001}"/>
    <cellStyle name="Normal 8 3 3 7" xfId="46090" xr:uid="{C10DB7BC-A9DC-4F61-AF89-1C28C38DFBC8}"/>
    <cellStyle name="Normal 8 3 3 8" xfId="49155" xr:uid="{C188EF36-B232-44B1-B569-5E5363AADE05}"/>
    <cellStyle name="Normal 8 3 30" xfId="11182" xr:uid="{00000000-0005-0000-0000-000035330000}"/>
    <cellStyle name="Normal 8 3 30 2" xfId="43671" xr:uid="{834306CD-8143-481C-BD71-10107E992398}"/>
    <cellStyle name="Normal 8 3 31" xfId="13517" xr:uid="{00000000-0005-0000-0000-0000B6330000}"/>
    <cellStyle name="Normal 8 3 31 2" xfId="45981" xr:uid="{66B4CCB7-09BA-4549-979C-88C80BC5196B}"/>
    <cellStyle name="Normal 8 3 32" xfId="11119" xr:uid="{00000000-0005-0000-0000-00003B340000}"/>
    <cellStyle name="Normal 8 3 32 2" xfId="43608" xr:uid="{7961E2ED-CDBB-4BD1-9FA6-ACCD32BD2208}"/>
    <cellStyle name="Normal 8 3 33" xfId="13573" xr:uid="{00000000-0005-0000-0000-0000C4340000}"/>
    <cellStyle name="Normal 8 3 33 2" xfId="46037" xr:uid="{9D240804-27EB-4C9C-A9D8-51A949C23D16}"/>
    <cellStyle name="Normal 8 3 34" xfId="11058" xr:uid="{00000000-0005-0000-0000-000051350000}"/>
    <cellStyle name="Normal 8 3 34 2" xfId="43547" xr:uid="{74349595-D2E4-4833-9B51-513909BAB7CB}"/>
    <cellStyle name="Normal 8 3 35" xfId="16181" xr:uid="{C47F9B06-7165-4F5E-9CBE-B0B3C4571EDE}"/>
    <cellStyle name="Normal 8 3 36" xfId="38835" xr:uid="{3187F87F-8951-402D-BAF0-57486BAF058C}"/>
    <cellStyle name="Normal 8 3 37" xfId="15388" xr:uid="{50C7CFFD-A406-488B-94B2-C99965BA7E4A}"/>
    <cellStyle name="Normal 8 3 38" xfId="46100" xr:uid="{D12F4269-97E5-4ACA-976A-D6ECE06DDFDC}"/>
    <cellStyle name="Normal 8 3 39" xfId="37804" xr:uid="{FB1FD3DB-D51D-4FC7-9BF5-E065A1070090}"/>
    <cellStyle name="Normal 8 3 4" xfId="8744" xr:uid="{00000000-0005-0000-0000-00002A230000}"/>
    <cellStyle name="Normal-- 8 3 4" xfId="15983" xr:uid="{56E48DD6-C02D-445C-ADFF-81DFEA9552BF}"/>
    <cellStyle name="Normal 8 3 4 2" xfId="41428" xr:uid="{770DFD22-CB5E-4E70-8F67-88657C21244B}"/>
    <cellStyle name="Normal 8 3 4 3" xfId="47179" xr:uid="{D96210CF-E997-4EE6-B468-3C87469C1464}"/>
    <cellStyle name="Normal 8 3 4 4" xfId="47103" xr:uid="{B1DF8F59-1EC8-4D14-A195-81DF15CD711B}"/>
    <cellStyle name="Normal 8 3 4 5" xfId="46848" xr:uid="{551B8A4F-0B90-4675-A936-3E100DF0ADD6}"/>
    <cellStyle name="Normal 8 3 4 6" xfId="46162" xr:uid="{94AC35D2-1841-495D-B5AF-577A86E887CE}"/>
    <cellStyle name="Normal 8 3 4 7" xfId="40546" xr:uid="{57278781-D93F-4535-9BF7-8B8EAA90D8E8}"/>
    <cellStyle name="Normal 8 3 40" xfId="15980" xr:uid="{77B63331-C085-49A4-A9B5-7A47FA3382FF}"/>
    <cellStyle name="Normal 8 3 41" xfId="16589" xr:uid="{43836FD1-4776-4410-860F-B2B87C38BC80}"/>
    <cellStyle name="Normal 8 3 42" xfId="48339" xr:uid="{EB8D13AC-5160-4A4C-8CF5-D964661B7021}"/>
    <cellStyle name="Normal 8 3 43" xfId="46464" xr:uid="{34C77F4D-C0B0-402B-A3AC-C92B7C649BAC}"/>
    <cellStyle name="Normal 8 3 5" xfId="12625" xr:uid="{00000000-0005-0000-0000-000043230000}"/>
    <cellStyle name="Normal-- 8 3 5" xfId="47322" xr:uid="{6A100284-EAC7-40E2-84A8-7C4615F97DB8}"/>
    <cellStyle name="Normal 8 3 5 2" xfId="45096" xr:uid="{AFBA0A47-87A5-4318-B3C8-5492F8D7C3C8}"/>
    <cellStyle name="Normal 8 3 5 3" xfId="47941" xr:uid="{EE066FF0-B27F-43AE-85D7-46C0FA6E2A67}"/>
    <cellStyle name="Normal 8 3 5 4" xfId="49439" xr:uid="{B47094C2-5199-4F45-992B-7092C65EEAC5}"/>
    <cellStyle name="Normal 8 3 5 5" xfId="48577" xr:uid="{8A8E4B2B-2382-43DF-8205-C6D379A0D8FF}"/>
    <cellStyle name="Normal 8 3 5 6" xfId="50016" xr:uid="{966AFB5C-ADA6-4278-A43D-DC80A467D5B2}"/>
    <cellStyle name="Normal 8 3 6" xfId="8764" xr:uid="{00000000-0005-0000-0000-000060230000}"/>
    <cellStyle name="Normal-- 8 3 6" xfId="46242" xr:uid="{E806CCDB-DBE2-4166-9C61-FCDF8AB0878E}"/>
    <cellStyle name="Normal 8 3 6 2" xfId="41445" xr:uid="{314D913B-8F75-43FA-9DCB-37E80699BE2F}"/>
    <cellStyle name="Normal 8 3 6 3" xfId="37801" xr:uid="{3F069501-9D0A-4FBE-9DAB-BFA9E82A4C2F}"/>
    <cellStyle name="Normal 8 3 6 4" xfId="47000" xr:uid="{9C8B58B9-77E3-4159-83E8-AA8D9C5A83F4}"/>
    <cellStyle name="Normal 8 3 6 5" xfId="47494" xr:uid="{7094D92E-00F9-4278-8DCF-9C3E0631FED7}"/>
    <cellStyle name="Normal 8 3 7" xfId="12638" xr:uid="{00000000-0005-0000-0000-000081230000}"/>
    <cellStyle name="Normal-- 8 3 7" xfId="47080" xr:uid="{4F702F4D-375B-4691-BF22-BDAC5B7F14CF}"/>
    <cellStyle name="Normal 8 3 7 2" xfId="45109" xr:uid="{DEA70BE4-6ACC-436D-8875-188691BA8486}"/>
    <cellStyle name="Normal 8 3 7 3" xfId="40661" xr:uid="{B2059F67-9EAE-4125-8F9E-E26F5288F6AD}"/>
    <cellStyle name="Normal 8 3 7 4" xfId="50022" xr:uid="{DB198DDF-6B65-4542-BA72-56395E3A0746}"/>
    <cellStyle name="Normal 8 3 8" xfId="8792" xr:uid="{00000000-0005-0000-0000-0000A6230000}"/>
    <cellStyle name="Normal-- 8 3 8" xfId="47943" xr:uid="{C2299225-B9DB-40E7-8289-D1F09399DC28}"/>
    <cellStyle name="Normal 8 3 8 2" xfId="41465" xr:uid="{6CCD3119-0ECC-4917-80B8-0F5AE5D33162}"/>
    <cellStyle name="Normal 8 3 8 3" xfId="49556" xr:uid="{15141A13-93D9-45AE-B641-A64141FEE452}"/>
    <cellStyle name="Normal 8 3 9" xfId="12660" xr:uid="{00000000-0005-0000-0000-0000CF230000}"/>
    <cellStyle name="Normal-- 8 3 9" xfId="49995" xr:uid="{EE661B31-82A8-41B4-939A-08636AE26273}"/>
    <cellStyle name="Normal 8 3 9 2" xfId="45131" xr:uid="{ADDB419E-6222-4586-A051-271F4145329F}"/>
    <cellStyle name="Normal 8 30" xfId="4799" xr:uid="{00000000-0005-0000-0000-0000E2120000}"/>
    <cellStyle name="Normal-- 8 30" xfId="12946" xr:uid="{00000000-0005-0000-0000-00001F330000}"/>
    <cellStyle name="Normal 8 30 10" xfId="40347" xr:uid="{F2ED0748-802B-4D76-B603-0A3101AC4A4E}"/>
    <cellStyle name="Normal 8 30 11" xfId="15242" xr:uid="{1609616C-0516-46FE-8D85-43131E0BC1B9}"/>
    <cellStyle name="Normal 8 30 12" xfId="37805" xr:uid="{855845C5-B62C-46D1-A675-B714F165E98F}"/>
    <cellStyle name="Normal 8 30 13" xfId="15425" xr:uid="{6885F74A-3BDA-4DCC-A7D4-ABE87782BD11}"/>
    <cellStyle name="Normal 8 30 14" xfId="37948" xr:uid="{8C195F82-857C-40F1-9BE8-1EA5FFE3CFB3}"/>
    <cellStyle name="Normal 8 30 15" xfId="39594" xr:uid="{BBCC6150-6844-4877-93F0-65E6ED61F95D}"/>
    <cellStyle name="Normal 8 30 16" xfId="49118" xr:uid="{3A379487-235D-4C0F-A6BC-3DD1DC5275CF}"/>
    <cellStyle name="Normal 8 30 2" xfId="10324" xr:uid="{00000000-0005-0000-0000-00002F200000}"/>
    <cellStyle name="Normal-- 8 30 2" xfId="45417" xr:uid="{298B3E9E-66A9-461E-843F-993911D94563}"/>
    <cellStyle name="Normal 8 30 2 2" xfId="42813" xr:uid="{1F32FA8D-7446-463B-9F47-792E9D3E096E}"/>
    <cellStyle name="Normal 8 30 2 3" xfId="47586" xr:uid="{48C280D8-22CB-454B-9D3C-2602337FB169}"/>
    <cellStyle name="Normal 8 30 2 4" xfId="37896" xr:uid="{07F671F5-C4BD-4B5E-B9A7-AC69641D6A67}"/>
    <cellStyle name="Normal 8 30 2 5" xfId="39558" xr:uid="{B0CE4149-BA7D-4E08-89B2-9652283A6A2C}"/>
    <cellStyle name="Normal 8 30 2 6" xfId="46296" xr:uid="{30669720-0709-4A37-B268-7B1B7F65EC9F}"/>
    <cellStyle name="Normal 8 30 2 7" xfId="14926" xr:uid="{BDFDF08D-0B1A-4032-9DE2-14B61DCB7B56}"/>
    <cellStyle name="Normal 8 30 2 8" xfId="47904" xr:uid="{12F553F2-A75C-46EA-A409-458BE616E7D7}"/>
    <cellStyle name="Normal 8 30 2 9" xfId="15091" xr:uid="{E56FC387-5958-433E-8857-65913AEFCEAE}"/>
    <cellStyle name="Normal 8 30 3" xfId="8079" xr:uid="{00000000-0005-0000-0000-0000530F0000}"/>
    <cellStyle name="Normal-- 8 30 3" xfId="48543" xr:uid="{DF53D52D-ACF5-439D-A5CC-5EA1259E29DD}"/>
    <cellStyle name="Normal 8 30 4" xfId="13519" xr:uid="{00000000-0005-0000-0000-0000B7330000}"/>
    <cellStyle name="Normal-- 8 30 4" xfId="39553" xr:uid="{2E18BE46-27B0-4503-8515-6E731FC48EB2}"/>
    <cellStyle name="Normal 8 30 4 2" xfId="45983" xr:uid="{C4422AF4-BF8B-45B1-BBCC-AF327E3A78CD}"/>
    <cellStyle name="Normal 8 30 4 3" xfId="49193" xr:uid="{404705D0-E1BF-4BF5-A992-4EDD2CFA06A3}"/>
    <cellStyle name="Normal 8 30 4 4" xfId="49389" xr:uid="{B1ABFA92-3DD2-4E89-B7A6-C3CF5E1D12AC}"/>
    <cellStyle name="Normal 8 30 4 5" xfId="49663" xr:uid="{224E7FA7-F2D6-4543-A456-E5156557D02A}"/>
    <cellStyle name="Normal 8 30 4 6" xfId="49904" xr:uid="{3656BF80-3787-4163-BEE1-1F3BBBC85E9F}"/>
    <cellStyle name="Normal 8 30 4 7" xfId="50249" xr:uid="{715536D8-6268-4C26-AE8D-E1641006B780}"/>
    <cellStyle name="Normal 8 30 5" xfId="11117" xr:uid="{00000000-0005-0000-0000-00003C340000}"/>
    <cellStyle name="Normal-- 8 30 5" xfId="49026" xr:uid="{F4E3334D-4238-469E-81CF-EF7D9D679693}"/>
    <cellStyle name="Normal 8 30 5 2" xfId="43606" xr:uid="{55EAB7FB-5C91-44C7-98E6-12F36D7FC860}"/>
    <cellStyle name="Normal 8 30 5 3" xfId="13875" xr:uid="{F5B611D8-E42A-426C-9853-3C5C759CCD93}"/>
    <cellStyle name="Normal 8 30 5 4" xfId="40536" xr:uid="{EA7AC87C-BE81-41C5-B36E-1AE085EFEAB0}"/>
    <cellStyle name="Normal 8 30 5 5" xfId="47212" xr:uid="{9615F0BC-F754-47B6-BEA4-8C23E9B10AED}"/>
    <cellStyle name="Normal 8 30 5 6" xfId="49287" xr:uid="{E7840CDF-7F03-45D8-BAF8-8BDAD4F14381}"/>
    <cellStyle name="Normal 8 30 6" xfId="13574" xr:uid="{00000000-0005-0000-0000-0000C5340000}"/>
    <cellStyle name="Normal-- 8 30 6" xfId="49255" xr:uid="{BBDB24EB-8FF9-4845-ADE6-E83AFF25CC9D}"/>
    <cellStyle name="Normal 8 30 6 2" xfId="46038" xr:uid="{EF99024B-0EEB-4AC8-9420-38FC1B93578F}"/>
    <cellStyle name="Normal 8 30 6 3" xfId="49673" xr:uid="{8DB08B10-DB1D-452F-B57F-F8DAF809014B}"/>
    <cellStyle name="Normal 8 30 6 4" xfId="49914" xr:uid="{4DB8EF55-5CC2-4A11-B54E-4EC1CC554B12}"/>
    <cellStyle name="Normal 8 30 6 5" xfId="50258" xr:uid="{7F2F6998-535E-40E3-ABE7-3574981FF160}"/>
    <cellStyle name="Normal 8 30 7" xfId="11057" xr:uid="{00000000-0005-0000-0000-000052350000}"/>
    <cellStyle name="Normal-- 8 30 7" xfId="49545" xr:uid="{F7B9654E-B175-4901-8579-84013410B89C}"/>
    <cellStyle name="Normal 8 30 7 2" xfId="43546" xr:uid="{DE9D6884-3A46-4566-9813-E78ABEF03767}"/>
    <cellStyle name="Normal 8 30 7 3" xfId="40662" xr:uid="{D053F43D-6165-40FA-9A51-03E63770A3C9}"/>
    <cellStyle name="Normal 8 30 7 4" xfId="40477" xr:uid="{88015BC6-501C-4FC5-8CF4-6B85EFFCBDE7}"/>
    <cellStyle name="Normal 8 30 8" xfId="16183" xr:uid="{ADC85121-2462-496D-B96D-03336587FA73}"/>
    <cellStyle name="Normal-- 8 30 8" xfId="49786" xr:uid="{7AC5B059-E6FA-40F0-98CF-1BEEECF5391F}"/>
    <cellStyle name="Normal 8 30 9" xfId="38837" xr:uid="{D0CABEE8-58F2-4D29-800B-9C98C42E88FA}"/>
    <cellStyle name="Normal-- 8 30 9" xfId="50139" xr:uid="{4C7138B4-FD1F-4590-9494-9D7EA659376C}"/>
    <cellStyle name="Normal 8 31" xfId="4800" xr:uid="{00000000-0005-0000-0000-0000E3120000}"/>
    <cellStyle name="Normal-- 8 31" xfId="13482" xr:uid="{00000000-0005-0000-0000-0000A0330000}"/>
    <cellStyle name="Normal 8 31 10" xfId="46099" xr:uid="{4A2EABD6-D3B1-489E-90D6-C13A8ACF5261}"/>
    <cellStyle name="Normal 8 31 11" xfId="48308" xr:uid="{9DF5B0F4-C6A3-4399-BF8D-E984D3292083}"/>
    <cellStyle name="Normal 8 31 12" xfId="48394" xr:uid="{FBD7967A-B1C2-44A7-BE50-4B67C79ECD8C}"/>
    <cellStyle name="Normal 8 31 13" xfId="49308" xr:uid="{78970C10-8290-4F2E-B40C-9A9F73B3C642}"/>
    <cellStyle name="Normal 8 31 14" xfId="49589" xr:uid="{D8AC7891-B66D-4CFA-99D6-16DED72ED0D0}"/>
    <cellStyle name="Normal 8 31 15" xfId="48937" xr:uid="{728F3452-38F2-435A-A0EF-A44DF3A9AE3F}"/>
    <cellStyle name="Normal 8 31 2" xfId="10325" xr:uid="{00000000-0005-0000-0000-000030200000}"/>
    <cellStyle name="Normal-- 8 31 2" xfId="45946" xr:uid="{C0D0358E-F747-47C3-94D1-30FC4B43EAE7}"/>
    <cellStyle name="Normal 8 31 2 2" xfId="42814" xr:uid="{2644EDFE-33C1-4051-8905-215E0C4D9DCA}"/>
    <cellStyle name="Normal 8 31 2 3" xfId="47587" xr:uid="{A701DA5D-A921-4177-88A6-05A37F9056A5}"/>
    <cellStyle name="Normal 8 31 2 4" xfId="48207" xr:uid="{EB5DF8FD-C607-45AF-A87A-339DE46EB2AE}"/>
    <cellStyle name="Normal 8 31 2 5" xfId="15085" xr:uid="{0F26ED35-9293-463F-AB65-88BE4F9221E8}"/>
    <cellStyle name="Normal 8 31 2 6" xfId="16605" xr:uid="{25B4F650-46EE-4E6D-887E-87A88332C12C}"/>
    <cellStyle name="Normal 8 31 2 7" xfId="47908" xr:uid="{62F30531-A1B1-4D91-BD91-D017FF59DBFF}"/>
    <cellStyle name="Normal 8 31 2 8" xfId="48574" xr:uid="{399C9042-957B-406F-986E-04D241124E3E}"/>
    <cellStyle name="Normal 8 31 2 9" xfId="46339" xr:uid="{825A7425-66F0-4176-B3BB-8E679116884D}"/>
    <cellStyle name="Normal 8 31 3" xfId="8083" xr:uid="{00000000-0005-0000-0000-0000540F0000}"/>
    <cellStyle name="Normal-- 8 31 3" xfId="48759" xr:uid="{4177DCFB-7E1E-4662-AEC8-3811159D9756}"/>
    <cellStyle name="Normal 8 31 3 2" xfId="40899" xr:uid="{D4082A8F-0B4C-4C11-B64A-0E77FE2BF068}"/>
    <cellStyle name="Normal 8 31 3 3" xfId="16634" xr:uid="{2FE92BB1-5C1A-4369-A1E6-58F770791175}"/>
    <cellStyle name="Normal 8 31 3 4" xfId="46731" xr:uid="{114803BC-A0C3-4C17-A036-73F929633CA4}"/>
    <cellStyle name="Normal 8 31 3 5" xfId="37893" xr:uid="{1B598910-2894-4832-BA54-C6601C28A5FC}"/>
    <cellStyle name="Normal 8 31 3 6" xfId="37997" xr:uid="{821AD04E-7430-4171-8B52-3725456B6842}"/>
    <cellStyle name="Normal 8 31 3 7" xfId="49061" xr:uid="{AEDDC441-22D4-40AA-9849-CD312D8359D0}"/>
    <cellStyle name="Normal 8 31 3 8" xfId="39563" xr:uid="{15F678D1-8684-4F41-B6D5-87D7D173230B}"/>
    <cellStyle name="Normal 8 31 4" xfId="11115" xr:uid="{00000000-0005-0000-0000-00003D340000}"/>
    <cellStyle name="Normal-- 8 31 4" xfId="48933" xr:uid="{C89C92BA-A4D2-46E9-82FC-D43C3EE3D72B}"/>
    <cellStyle name="Normal 8 31 4 2" xfId="43604" xr:uid="{ADACCC4E-1FB2-4941-B5B0-674E8C04C963}"/>
    <cellStyle name="Normal 8 31 4 3" xfId="44897" xr:uid="{19DCC111-7A15-454A-945D-9DB263CE2D79}"/>
    <cellStyle name="Normal 8 31 4 4" xfId="46286" xr:uid="{CEDC11C2-77F9-4EDA-A012-6BA9D65B570C}"/>
    <cellStyle name="Normal 8 31 4 5" xfId="16597" xr:uid="{0F9CA953-81B8-4D42-B3A9-33B66D001BA5}"/>
    <cellStyle name="Normal 8 31 4 6" xfId="40653" xr:uid="{8B7B7C26-AA9F-4CDB-85D7-FD250776C65C}"/>
    <cellStyle name="Normal 8 31 4 7" xfId="46438" xr:uid="{5932BAA0-95C6-440A-862B-EE2391866CFD}"/>
    <cellStyle name="Normal 8 31 5" xfId="13575" xr:uid="{00000000-0005-0000-0000-0000C6340000}"/>
    <cellStyle name="Normal-- 8 31 5" xfId="49183" xr:uid="{20071D5B-0B5E-404E-A99C-63365962259D}"/>
    <cellStyle name="Normal 8 31 5 2" xfId="46039" xr:uid="{584524C3-93C2-40CC-9749-157D52B30BD1}"/>
    <cellStyle name="Normal 8 31 5 3" xfId="49405" xr:uid="{10568FC9-5894-422E-A5DB-565E8090B1F9}"/>
    <cellStyle name="Normal 8 31 5 4" xfId="49674" xr:uid="{82F886AB-F35D-4A64-8F94-7F5F1115873A}"/>
    <cellStyle name="Normal 8 31 5 5" xfId="49915" xr:uid="{EB8C6B51-372B-4DB4-AFE8-D1DAE6637934}"/>
    <cellStyle name="Normal 8 31 5 6" xfId="50259" xr:uid="{4B7B8C4B-85F7-499E-99F8-9FA6B18AF410}"/>
    <cellStyle name="Normal 8 31 6" xfId="11056" xr:uid="{00000000-0005-0000-0000-000053350000}"/>
    <cellStyle name="Normal-- 8 31 6" xfId="49381" xr:uid="{B73FACA4-867E-4193-8D6D-D5BFE1117859}"/>
    <cellStyle name="Normal 8 31 6 2" xfId="43545" xr:uid="{136614CD-CEBE-4CF1-B50D-453CC7B23B5E}"/>
    <cellStyle name="Normal 8 31 6 3" xfId="48191" xr:uid="{63A4AA31-B793-4D96-94D6-6CCAD942D484}"/>
    <cellStyle name="Normal 8 31 6 4" xfId="40399" xr:uid="{70FA268E-9EC2-44B6-AD2A-5B4A84E73F82}"/>
    <cellStyle name="Normal 8 31 6 5" xfId="16137" xr:uid="{3393D613-EEF6-4C2F-839C-7229EF1E5938}"/>
    <cellStyle name="Normal 8 31 7" xfId="16184" xr:uid="{A156B7E0-52F4-4084-91D5-5B31F351D533}"/>
    <cellStyle name="Normal-- 8 31 7" xfId="49658" xr:uid="{9896D06D-5222-4FDA-814F-A1D36C59E437}"/>
    <cellStyle name="Normal 8 31 8" xfId="38838" xr:uid="{F7CA52AD-18F0-4274-AE2A-C358355F9B4E}"/>
    <cellStyle name="Normal-- 8 31 8" xfId="49897" xr:uid="{2AC07F18-C18D-4C9F-9DAD-D9A6DB6287C0}"/>
    <cellStyle name="Normal 8 31 9" xfId="15389" xr:uid="{36095D83-BD07-459C-95C8-D46916C567E2}"/>
    <cellStyle name="Normal-- 8 31 9" xfId="50243" xr:uid="{EDF12B23-1971-4BFF-B914-066288718717}"/>
    <cellStyle name="Normal 8 32" xfId="4801" xr:uid="{00000000-0005-0000-0000-0000E4120000}"/>
    <cellStyle name="Normal-- 8 32" xfId="11152" xr:uid="{00000000-0005-0000-0000-000025340000}"/>
    <cellStyle name="Normal 8 32 10" xfId="46872" xr:uid="{CC949E4F-D744-44B8-BC51-70815BDA1053}"/>
    <cellStyle name="Normal 8 32 11" xfId="47648" xr:uid="{BA966A83-62F6-4E0A-BF57-B5CF2264AD6F}"/>
    <cellStyle name="Normal 8 32 12" xfId="47348" xr:uid="{6ADB600C-4660-4E2C-8551-83502D359D85}"/>
    <cellStyle name="Normal 8 32 13" xfId="15794" xr:uid="{A1A936B1-6DC4-49FB-938B-1F6F5BD42CD1}"/>
    <cellStyle name="Normal 8 32 14" xfId="48360" xr:uid="{B32F85AE-682D-4844-8B51-F484FA8247B4}"/>
    <cellStyle name="Normal 8 32 2" xfId="10326" xr:uid="{00000000-0005-0000-0000-000031200000}"/>
    <cellStyle name="Normal-- 8 32 2" xfId="43641" xr:uid="{980B4D78-36E6-423B-B83E-A114CAB8F8BD}"/>
    <cellStyle name="Normal 8 32 2 2" xfId="42815" xr:uid="{6DA4711E-1957-4D3E-A250-E2F7636E8283}"/>
    <cellStyle name="Normal 8 32 2 3" xfId="47588" xr:uid="{2B6D261F-E8F4-4E9E-A093-3545F16A3756}"/>
    <cellStyle name="Normal 8 32 2 4" xfId="46333" xr:uid="{B24ECF77-9571-4B07-ACD3-E0CDF3E27EB2}"/>
    <cellStyle name="Normal 8 32 2 5" xfId="15084" xr:uid="{B90C671C-8FDA-4175-A052-E23424454C64}"/>
    <cellStyle name="Normal 8 32 2 6" xfId="15172" xr:uid="{4D3B4267-1B68-4153-93A7-4DE025B7F64F}"/>
    <cellStyle name="Normal 8 32 2 7" xfId="40783" xr:uid="{03D6613C-D3ED-40E7-B417-F581F14A32EA}"/>
    <cellStyle name="Normal 8 32 2 8" xfId="48414" xr:uid="{D73A62EE-C453-4BAE-8C5C-6A10CFF7BFAC}"/>
    <cellStyle name="Normal 8 32 2 9" xfId="49295" xr:uid="{23F45EE1-E873-4A00-8B31-7190AB2A653B}"/>
    <cellStyle name="Normal 8 32 3" xfId="8085" xr:uid="{00000000-0005-0000-0000-0000550F0000}"/>
    <cellStyle name="Normal-- 8 32 3" xfId="47873" xr:uid="{8909CDFD-DAB1-4251-8FCD-67D4F52AE108}"/>
    <cellStyle name="Normal 8 32 3 2" xfId="40900" xr:uid="{1BAAF6FD-28DA-442C-9C47-5507B8365861}"/>
    <cellStyle name="Normal 8 32 3 3" xfId="16632" xr:uid="{3103A36B-F60B-48D3-B347-DCC3B07C1FC3}"/>
    <cellStyle name="Normal 8 32 3 4" xfId="47591" xr:uid="{02368A89-4862-4784-A9FA-74AAB8F93692}"/>
    <cellStyle name="Normal 8 32 3 5" xfId="48894" xr:uid="{BEFC1295-C298-48E8-BC60-6877445527D7}"/>
    <cellStyle name="Normal 8 32 3 6" xfId="40097" xr:uid="{5F569CCD-53D5-4C01-9E99-F9A94F5F8585}"/>
    <cellStyle name="Normal 8 32 3 7" xfId="46636" xr:uid="{EAEDF7E0-6C09-4239-B942-28BC74CD1988}"/>
    <cellStyle name="Normal 8 32 3 8" xfId="46200" xr:uid="{17D1905E-3AF1-4931-9A91-64A09D38A48C}"/>
    <cellStyle name="Normal 8 32 4" xfId="13576" xr:uid="{00000000-0005-0000-0000-0000C7340000}"/>
    <cellStyle name="Normal-- 8 32 4" xfId="46220" xr:uid="{18731BC0-45CF-43BF-BC36-6A5E38DAD4E0}"/>
    <cellStyle name="Normal 8 32 4 2" xfId="46040" xr:uid="{61FCE137-6B79-4DEC-8BEA-B75879ACAC12}"/>
    <cellStyle name="Normal 8 32 4 3" xfId="49210" xr:uid="{3CBAE70B-B991-45E2-B1DD-92CDDE7C0427}"/>
    <cellStyle name="Normal 8 32 4 4" xfId="49406" xr:uid="{9978D4BE-6A6F-4916-8F48-756321A69EF3}"/>
    <cellStyle name="Normal 8 32 4 5" xfId="49675" xr:uid="{25DD5A94-380C-434A-9373-CB1619EEAF4F}"/>
    <cellStyle name="Normal 8 32 4 6" xfId="49916" xr:uid="{4C91BFE9-56DC-4AA9-AE75-F0A3308F83CF}"/>
    <cellStyle name="Normal 8 32 4 7" xfId="50260" xr:uid="{CCAED6B2-3E54-477F-898F-20D3DF0C9A2F}"/>
    <cellStyle name="Normal 8 32 5" xfId="11055" xr:uid="{00000000-0005-0000-0000-000054350000}"/>
    <cellStyle name="Normal-- 8 32 5" xfId="47713" xr:uid="{80C57628-9E45-4E1A-B6A2-55DF83C93553}"/>
    <cellStyle name="Normal 8 32 5 2" xfId="43544" xr:uid="{A0E82ED6-EEAC-46A3-9D93-40B2ADA85CB0}"/>
    <cellStyle name="Normal 8 32 5 3" xfId="46673" xr:uid="{58C0951F-E1F5-4511-B84C-67AB64CF09B0}"/>
    <cellStyle name="Normal 8 32 5 4" xfId="46455" xr:uid="{F0D2056A-C708-4A21-9BCB-907BBB975C42}"/>
    <cellStyle name="Normal 8 32 5 5" xfId="15177" xr:uid="{77367AE1-C0A4-4234-8F6F-FBA6C43801DA}"/>
    <cellStyle name="Normal 8 32 5 6" xfId="48103" xr:uid="{6DE0D130-BD93-4CE0-AB95-A7F29AA76861}"/>
    <cellStyle name="Normal 8 32 6" xfId="16185" xr:uid="{F7525EF0-94CC-4E78-8DF0-082CE5524B92}"/>
    <cellStyle name="Normal-- 8 32 6" xfId="47353" xr:uid="{869344E5-1EB4-4808-83AD-6213CF69263E}"/>
    <cellStyle name="Normal 8 32 7" xfId="38839" xr:uid="{8FBCD87C-1612-4349-A495-BE89C46A5753}"/>
    <cellStyle name="Normal-- 8 32 7" xfId="15104" xr:uid="{24E8D980-D581-46F5-A7F1-2AE554C266F6}"/>
    <cellStyle name="Normal 8 32 8" xfId="15390" xr:uid="{234AC00A-274C-4B94-A1B0-BC2200CAD49E}"/>
    <cellStyle name="Normal-- 8 32 8" xfId="46471" xr:uid="{0F9E3AF5-104A-4351-ADAE-1B69E32B971C}"/>
    <cellStyle name="Normal 8 32 9" xfId="47393" xr:uid="{F56AD9AA-EA26-45BA-8357-5D587DB39610}"/>
    <cellStyle name="Normal-- 8 32 9" xfId="41501" xr:uid="{679ED59A-3E3C-406B-825A-920005550580}"/>
    <cellStyle name="Normal 8 33" xfId="4802" xr:uid="{00000000-0005-0000-0000-0000E5120000}"/>
    <cellStyle name="Normal-- 8 33" xfId="13549" xr:uid="{00000000-0005-0000-0000-0000AE340000}"/>
    <cellStyle name="Normal 8 33 10" xfId="47225" xr:uid="{4CA7EC1D-3DF2-47B0-A722-6F487A34BFF1}"/>
    <cellStyle name="Normal 8 33 11" xfId="49304" xr:uid="{A7439A4A-943E-4442-8968-2C65711E9A01}"/>
    <cellStyle name="Normal 8 33 12" xfId="49584" xr:uid="{D26B4975-9C89-4472-8CF0-E156993379D4}"/>
    <cellStyle name="Normal 8 33 13" xfId="49147" xr:uid="{07A425D9-ADE1-47BE-AEC9-30EC94404736}"/>
    <cellStyle name="Normal 8 33 2" xfId="10327" xr:uid="{00000000-0005-0000-0000-000032200000}"/>
    <cellStyle name="Normal-- 8 33 2" xfId="46013" xr:uid="{7942DA36-D912-4A98-A82F-AC0AF51929ED}"/>
    <cellStyle name="Normal 8 33 2 2" xfId="42816" xr:uid="{E0B0751A-F736-40EF-BCDA-E702FFC038E6}"/>
    <cellStyle name="Normal 8 33 2 3" xfId="47589" xr:uid="{68E0368A-94D8-4CAD-9C14-E145985A9017}"/>
    <cellStyle name="Normal 8 33 2 4" xfId="46334" xr:uid="{D70633FA-C581-4B79-BC60-523853B9C60D}"/>
    <cellStyle name="Normal 8 33 2 5" xfId="40296" xr:uid="{8B747741-F70A-4BDF-838D-441B1F92A8E6}"/>
    <cellStyle name="Normal 8 33 2 6" xfId="48676" xr:uid="{DFC374D1-7965-4449-8359-28437CBDF488}"/>
    <cellStyle name="Normal 8 33 2 7" xfId="40456" xr:uid="{D3DC58A0-7465-4865-8C45-A7EB763E5E55}"/>
    <cellStyle name="Normal 8 33 2 8" xfId="47037" xr:uid="{3C5C1EAC-822C-41B0-A66F-998A055D58F3}"/>
    <cellStyle name="Normal 8 33 2 9" xfId="40566" xr:uid="{6E9B55BF-445D-4FAD-B159-3650FF834670}"/>
    <cellStyle name="Normal 8 33 3" xfId="8086" xr:uid="{00000000-0005-0000-0000-0000560F0000}"/>
    <cellStyle name="Normal-- 8 33 3" xfId="48780" xr:uid="{2A835290-ADEE-4C9C-B499-B9B1F06AA414}"/>
    <cellStyle name="Normal 8 33 3 2" xfId="40901" xr:uid="{55E4EA8E-5E5A-4786-988A-73BC153271CC}"/>
    <cellStyle name="Normal 8 33 3 3" xfId="14228" xr:uid="{D24F3A8A-3FCB-4D28-BB01-0D6BF509F08F}"/>
    <cellStyle name="Normal 8 33 3 4" xfId="46732" xr:uid="{40D42AF7-7FD8-4945-A1AD-DAA561752DE8}"/>
    <cellStyle name="Normal 8 33 3 5" xfId="48307" xr:uid="{66C1103C-0AD6-4F06-B7B4-DC202C1AEE4D}"/>
    <cellStyle name="Normal 8 33 3 6" xfId="48757" xr:uid="{0181E864-AF05-4FD8-8B6F-554EE1D18F0C}"/>
    <cellStyle name="Normal 8 33 3 7" xfId="49391" xr:uid="{E836CC87-63EB-43C2-961D-4848CB443830}"/>
    <cellStyle name="Normal 8 33 3 8" xfId="15325" xr:uid="{9DD0199E-B7E1-4F33-B8C7-BD1642C13AFE}"/>
    <cellStyle name="Normal 8 33 4" xfId="11054" xr:uid="{00000000-0005-0000-0000-000055350000}"/>
    <cellStyle name="Normal-- 8 33 4" xfId="48949" xr:uid="{EBD1D5F1-8698-4ED9-BBA7-5CE221DB6320}"/>
    <cellStyle name="Normal 8 33 4 2" xfId="43543" xr:uid="{A5264265-408B-4823-A25B-01D968250501}"/>
    <cellStyle name="Normal 8 33 4 3" xfId="15119" xr:uid="{1C5C5505-75CB-40FC-BEEC-B7A3F2AD884C}"/>
    <cellStyle name="Normal 8 33 4 4" xfId="47484" xr:uid="{B3A7406C-6ECA-44E2-BD65-233A043F6F14}"/>
    <cellStyle name="Normal 8 33 4 5" xfId="39971" xr:uid="{F02718DA-1FB2-4BE2-AB0E-0406647E9107}"/>
    <cellStyle name="Normal 8 33 4 6" xfId="46828" xr:uid="{FA769B61-34F3-486D-B39C-4DC0DF26CE35}"/>
    <cellStyle name="Normal 8 33 4 7" xfId="15771" xr:uid="{36630BE4-F7FC-4B7B-A578-9F68DBB8F393}"/>
    <cellStyle name="Normal 8 33 5" xfId="16186" xr:uid="{54C52F71-5AC5-4618-8240-7C6BA9E687E1}"/>
    <cellStyle name="Normal-- 8 33 5" xfId="49200" xr:uid="{001B9128-0191-4FC6-8F44-ED150D282148}"/>
    <cellStyle name="Normal 8 33 6" xfId="38840" xr:uid="{7A3F1E58-4EAC-4A7B-A7C9-0D0FD52E2013}"/>
    <cellStyle name="Normal-- 8 33 6" xfId="49400" xr:uid="{479D28AA-887B-4CD1-9FA7-1481D2DC4C04}"/>
    <cellStyle name="Normal 8 33 7" xfId="40344" xr:uid="{1A6FDC82-2AFC-4D51-A85E-DA2A5A9FEDA4}"/>
    <cellStyle name="Normal-- 8 33 7" xfId="49668" xr:uid="{9D7E753C-C77F-441E-8EE5-9A64B28913DC}"/>
    <cellStyle name="Normal 8 33 8" xfId="15241" xr:uid="{661AEFFD-5E66-474C-896F-1F8FD14F38AC}"/>
    <cellStyle name="Normal-- 8 33 8" xfId="49909" xr:uid="{2C477CF8-1809-4327-9291-A6C0CB40E912}"/>
    <cellStyle name="Normal 8 33 9" xfId="48312" xr:uid="{840C1A7A-F3BD-46EB-8002-D643D5526AC1}"/>
    <cellStyle name="Normal-- 8 33 9" xfId="50255" xr:uid="{2EBF1A30-2E3E-4CE9-9937-BC694C257F4A}"/>
    <cellStyle name="Normal 8 34" xfId="4803" xr:uid="{00000000-0005-0000-0000-0000E6120000}"/>
    <cellStyle name="Normal-- 8 34" xfId="11083" xr:uid="{00000000-0005-0000-0000-00003B350000}"/>
    <cellStyle name="Normal 8 34 10" xfId="47474" xr:uid="{8568A687-5052-4E11-9CBB-1C2040A4E58D}"/>
    <cellStyle name="Normal 8 34 11" xfId="40682" xr:uid="{2E06AC16-A51A-406C-ADE9-3EF191985ED6}"/>
    <cellStyle name="Normal 8 34 12" xfId="47097" xr:uid="{BB09893C-7C9D-435E-B335-5465B31E985F}"/>
    <cellStyle name="Normal 8 34 2" xfId="10328" xr:uid="{00000000-0005-0000-0000-000033200000}"/>
    <cellStyle name="Normal-- 8 34 2" xfId="43572" xr:uid="{32BB239E-1DCF-42D9-A643-C6F4D93377BF}"/>
    <cellStyle name="Normal 8 34 2 2" xfId="42817" xr:uid="{22934B54-1C0F-4CE7-82F2-BC0A7AAD0CDC}"/>
    <cellStyle name="Normal 8 34 2 3" xfId="47590" xr:uid="{96671D6C-01B9-40F9-ABD2-79D21808FA1B}"/>
    <cellStyle name="Normal 8 34 2 4" xfId="37897" xr:uid="{38AA79BF-90C3-4A2A-A0EC-48E33BD7B4E6}"/>
    <cellStyle name="Normal 8 34 2 5" xfId="47676" xr:uid="{9F21CF48-EEC6-4AC8-9D49-FB4A9116B5F8}"/>
    <cellStyle name="Normal 8 34 2 6" xfId="47928" xr:uid="{C1CBB3E6-BEC4-4E21-9880-EA096606B701}"/>
    <cellStyle name="Normal 8 34 2 7" xfId="40545" xr:uid="{E642B084-8020-43C4-BBCF-0DD6AF536AB8}"/>
    <cellStyle name="Normal 8 34 2 8" xfId="48148" xr:uid="{D168C3F0-FD43-4EB8-8D34-9F6E408E7CAC}"/>
    <cellStyle name="Normal 8 34 2 9" xfId="48098" xr:uid="{98FF0458-07C4-4764-8F63-510FCDED4364}"/>
    <cellStyle name="Normal 8 34 3" xfId="8087" xr:uid="{00000000-0005-0000-0000-0000570F0000}"/>
    <cellStyle name="Normal-- 8 34 3" xfId="47846" xr:uid="{74BD0001-C364-4DB1-91CE-45FF3EB3FD96}"/>
    <cellStyle name="Normal 8 34 3 2" xfId="40902" xr:uid="{58CF2DC0-12EB-4CAB-958B-455491183159}"/>
    <cellStyle name="Normal 8 34 3 3" xfId="16631" xr:uid="{05DBDE99-C5DD-4869-9CFA-47D2E2E6B96D}"/>
    <cellStyle name="Normal 8 34 3 4" xfId="40343" xr:uid="{7D574F9B-0DAE-4248-997A-D8C5DE2B3490}"/>
    <cellStyle name="Normal 8 34 3 5" xfId="48911" xr:uid="{595D97C2-A1F0-4073-A5D0-275AB778417A}"/>
    <cellStyle name="Normal 8 34 3 6" xfId="48950" xr:uid="{196DA5D5-6325-4D33-A921-0F55EC9BD8EE}"/>
    <cellStyle name="Normal 8 34 3 7" xfId="15319" xr:uid="{ED9558BB-632D-40D7-B159-FCBD8F5BF3EA}"/>
    <cellStyle name="Normal 8 34 3 8" xfId="49384" xr:uid="{D5907234-DA6F-4CDF-9B40-12327D2CE8C1}"/>
    <cellStyle name="Normal 8 34 4" xfId="16187" xr:uid="{59A3AC5E-902C-4A7F-81C6-C21CAF370F91}"/>
    <cellStyle name="Normal-- 8 34 4" xfId="46226" xr:uid="{EE236AD1-75EA-4F2A-8D86-E132F47E28AA}"/>
    <cellStyle name="Normal 8 34 5" xfId="38841" xr:uid="{A6748AA3-CAC5-4EE9-94A3-3635219F14C5}"/>
    <cellStyle name="Normal-- 8 34 5" xfId="40578" xr:uid="{2D371000-85A4-442B-B1E4-004D5257B32D}"/>
    <cellStyle name="Normal 8 34 6" xfId="40345" xr:uid="{266A07BC-4A8B-4988-A743-2A862F62662F}"/>
    <cellStyle name="Normal-- 8 34 6" xfId="46820" xr:uid="{189FD433-6CE6-4634-BA23-56737C7880E2}"/>
    <cellStyle name="Normal 8 34 7" xfId="46098" xr:uid="{3444EB4E-09F4-4F47-A4FD-C236A4935BDE}"/>
    <cellStyle name="Normal-- 8 34 7" xfId="47698" xr:uid="{747F0804-1917-44BC-A25D-6DDAEC4338F5}"/>
    <cellStyle name="Normal 8 34 8" xfId="15275" xr:uid="{88EAF92F-F09D-40E4-9D0B-688F75ADFC12}"/>
    <cellStyle name="Normal-- 8 34 8" xfId="15640" xr:uid="{94D0B8CC-7F0E-426D-967E-EB0133D53281}"/>
    <cellStyle name="Normal 8 34 9" xfId="48828" xr:uid="{6C8BC1E4-D7BD-440B-9E24-A5F13FCF2953}"/>
    <cellStyle name="Normal-- 8 34 9" xfId="47007" xr:uid="{A8215664-6A4C-4D08-A31C-7C6107163520}"/>
    <cellStyle name="Normal 8 35" xfId="4804" xr:uid="{00000000-0005-0000-0000-0000E7120000}"/>
    <cellStyle name="Normal-- 8 35" xfId="16140" xr:uid="{95DD4A9A-C3D9-46FB-8EB2-35E492F24B79}"/>
    <cellStyle name="Normal 8 35 10" xfId="49299" xr:uid="{2E069AF2-3F9D-4971-B803-14C9927D26EC}"/>
    <cellStyle name="Normal 8 35 11" xfId="49581" xr:uid="{0C58FDBB-E685-4E96-8C79-3C32F0104F3E}"/>
    <cellStyle name="Normal 8 35 12" xfId="40617" xr:uid="{5BA00A7F-F567-4785-B2F9-980A0364D27A}"/>
    <cellStyle name="Normal 8 35 2" xfId="10329" xr:uid="{00000000-0005-0000-0000-000034200000}"/>
    <cellStyle name="Normal 8 35 2 2" xfId="42818" xr:uid="{C0A4E5CF-77E8-4740-8EB8-51FBE363E0E7}"/>
    <cellStyle name="Normal 8 35 3" xfId="8088" xr:uid="{00000000-0005-0000-0000-0000580F0000}"/>
    <cellStyle name="Normal 8 35 3 2" xfId="40903" xr:uid="{360262C9-401A-4B71-9C9A-66E2B7AD927A}"/>
    <cellStyle name="Normal 8 35 4" xfId="16188" xr:uid="{B9B65503-3A2F-4EDF-8461-0FE9C3454F04}"/>
    <cellStyle name="Normal 8 35 5" xfId="38842" xr:uid="{A65B9163-35BF-402F-8445-5414EAE3AD26}"/>
    <cellStyle name="Normal 8 35 6" xfId="15391" xr:uid="{0F4516FD-4444-47AB-A0B5-77A831820102}"/>
    <cellStyle name="Normal 8 35 7" xfId="40471" xr:uid="{4243EFCF-113A-43EB-B1FF-335090E887CF}"/>
    <cellStyle name="Normal 8 35 8" xfId="47266" xr:uid="{21AC1CDB-0157-49C4-BA1E-1375567CE249}"/>
    <cellStyle name="Normal 8 35 9" xfId="46164" xr:uid="{9D87AECC-519A-45DB-9BC7-33805BB9AE72}"/>
    <cellStyle name="Normal 8 36" xfId="4805" xr:uid="{00000000-0005-0000-0000-0000E8120000}"/>
    <cellStyle name="Normal-- 8 36" xfId="38792" xr:uid="{E685542B-9AAE-4555-BF58-E9CC29FEA79E}"/>
    <cellStyle name="Normal 8 36 10" xfId="40416" xr:uid="{7D19C2AB-E135-4EEA-911B-ABC14D16B2FF}"/>
    <cellStyle name="Normal 8 36 11" xfId="48653" xr:uid="{635AB807-6D97-47A6-BD64-BFF4A1E2CC27}"/>
    <cellStyle name="Normal 8 36 12" xfId="46961" xr:uid="{B44A8E1C-52E2-48EB-B049-853EF7BBECF1}"/>
    <cellStyle name="Normal 8 36 2" xfId="10330" xr:uid="{00000000-0005-0000-0000-000035200000}"/>
    <cellStyle name="Normal 8 36 2 2" xfId="42819" xr:uid="{51741DCC-1FB8-438D-9F0B-D19695A9D03E}"/>
    <cellStyle name="Normal 8 36 3" xfId="8089" xr:uid="{00000000-0005-0000-0000-0000590F0000}"/>
    <cellStyle name="Normal 8 36 3 2" xfId="40904" xr:uid="{67F997F5-4CB3-4A23-9797-F466245500BD}"/>
    <cellStyle name="Normal 8 36 4" xfId="16189" xr:uid="{79163E63-B4B5-4742-979C-8E8222004372}"/>
    <cellStyle name="Normal 8 36 5" xfId="38843" xr:uid="{287059E5-1590-4332-9139-67A46C5526C6}"/>
    <cellStyle name="Normal 8 36 6" xfId="15392" xr:uid="{BF873C74-DD3A-48B0-A097-E611B66919C7}"/>
    <cellStyle name="Normal 8 36 7" xfId="47388" xr:uid="{6A3627B8-E2B8-4D59-84C9-082EAD841098}"/>
    <cellStyle name="Normal 8 36 8" xfId="47436" xr:uid="{B6944765-6919-4B3F-8910-59EC4848D736}"/>
    <cellStyle name="Normal 8 36 9" xfId="48838" xr:uid="{52FA8525-1D5C-4679-9B67-FE12705B39DA}"/>
    <cellStyle name="Normal 8 37" xfId="4806" xr:uid="{00000000-0005-0000-0000-0000E9120000}"/>
    <cellStyle name="Normal-- 8 37" xfId="40361" xr:uid="{F44625BF-2417-4F68-8AFB-78EC26E26132}"/>
    <cellStyle name="Normal 8 37 10" xfId="15058" xr:uid="{CAEC8E95-89B1-4244-892A-D3E0D2AA00E2}"/>
    <cellStyle name="Normal 8 37 11" xfId="46989" xr:uid="{99B19A23-E450-4B76-ABED-2C07D7DE0914}"/>
    <cellStyle name="Normal 8 37 2" xfId="10331" xr:uid="{00000000-0005-0000-0000-000036200000}"/>
    <cellStyle name="Normal 8 37 2 2" xfId="42820" xr:uid="{438ADEA8-C7DC-4380-B284-397C9C5E413F}"/>
    <cellStyle name="Normal 8 37 3" xfId="8090" xr:uid="{00000000-0005-0000-0000-00005A0F0000}"/>
    <cellStyle name="Normal 8 37 3 2" xfId="40905" xr:uid="{07BF759B-8571-46DD-8567-A05A4D8DC2E7}"/>
    <cellStyle name="Normal 8 37 4" xfId="16190" xr:uid="{C40EDEEE-F472-4F2A-95A4-8DD8227030A2}"/>
    <cellStyle name="Normal 8 37 5" xfId="38844" xr:uid="{9831A663-E241-4E66-8943-8D5839D96576}"/>
    <cellStyle name="Normal 8 37 6" xfId="46097" xr:uid="{FD4C5599-55CC-42F6-AC33-D707686FA372}"/>
    <cellStyle name="Normal 8 37 7" xfId="46428" xr:uid="{961A0C11-3449-4008-8E59-3F5247E70119}"/>
    <cellStyle name="Normal 8 37 8" xfId="37743" xr:uid="{B11EF1D9-57E1-4D76-868F-D41D2BB12566}"/>
    <cellStyle name="Normal 8 37 9" xfId="49292" xr:uid="{249E1A6F-2694-4A47-AE63-001C4185AB44}"/>
    <cellStyle name="Normal 8 38" xfId="4807" xr:uid="{00000000-0005-0000-0000-0000EA120000}"/>
    <cellStyle name="Normal-- 8 38" xfId="15249" xr:uid="{0238605E-6FD4-41D0-BED5-3149FA61CBBB}"/>
    <cellStyle name="Normal 8 38 10" xfId="14142" xr:uid="{4BE77438-EB97-4F83-B1C6-68613B67D4D1}"/>
    <cellStyle name="Normal 8 38 2" xfId="10332" xr:uid="{00000000-0005-0000-0000-000037200000}"/>
    <cellStyle name="Normal 8 38 2 2" xfId="42821" xr:uid="{D1C1721A-FF7E-452A-8AFD-433F034ECD53}"/>
    <cellStyle name="Normal 8 38 3" xfId="8091" xr:uid="{00000000-0005-0000-0000-00005B0F0000}"/>
    <cellStyle name="Normal 8 38 3 2" xfId="40906" xr:uid="{196C91A0-BA2A-4780-BE8E-61E6314D2A41}"/>
    <cellStyle name="Normal 8 38 4" xfId="16191" xr:uid="{11B64CFF-2B8A-4C55-A33B-A59181D19F25}"/>
    <cellStyle name="Normal 8 38 5" xfId="38845" xr:uid="{2C89112E-A735-4F2A-834F-715340EEFD16}"/>
    <cellStyle name="Normal 8 38 6" xfId="15664" xr:uid="{F2A726A9-115F-4200-BA18-874100FB1910}"/>
    <cellStyle name="Normal 8 38 7" xfId="48325" xr:uid="{F2784C2F-0534-4C6C-907B-E8CD076CA16A}"/>
    <cellStyle name="Normal 8 38 8" xfId="15061" xr:uid="{05F5321F-D1EE-4B8C-B431-E39EE72874D8}"/>
    <cellStyle name="Normal 8 38 9" xfId="40604" xr:uid="{1EB51395-FD32-4603-A497-D2D1543C283A}"/>
    <cellStyle name="Normal 8 39" xfId="4808" xr:uid="{00000000-0005-0000-0000-0000EB120000}"/>
    <cellStyle name="Normal-- 8 39" xfId="37809" xr:uid="{A943D086-DFC9-4059-B887-055A87473ECE}"/>
    <cellStyle name="Normal 8 39 2" xfId="10333" xr:uid="{00000000-0005-0000-0000-000038200000}"/>
    <cellStyle name="Normal 8 39 2 2" xfId="42822" xr:uid="{621FAF7E-0C58-4D83-9EBA-20A7AC9697DA}"/>
    <cellStyle name="Normal 8 39 3" xfId="8092" xr:uid="{00000000-0005-0000-0000-00005C0F0000}"/>
    <cellStyle name="Normal 8 39 3 2" xfId="40907" xr:uid="{B42FB49E-DE0B-4439-B4B7-3FECBEA2433E}"/>
    <cellStyle name="Normal 8 39 4" xfId="16192" xr:uid="{47767EAB-3518-4DB7-B822-D5B7FAF85516}"/>
    <cellStyle name="Normal 8 39 5" xfId="38846" xr:uid="{F778955B-5B55-481B-A473-C00A4F49B97C}"/>
    <cellStyle name="Normal 8 39 6" xfId="47049" xr:uid="{020641DB-A304-46E8-9B67-D4B452C952FD}"/>
    <cellStyle name="Normal 8 39 7" xfId="48187" xr:uid="{A6ABD76F-267F-49BE-9BCB-9A0DD287613A}"/>
    <cellStyle name="Normal 8 39 8" xfId="40236" xr:uid="{78CE17E6-3974-4F8C-A0FD-E297C7BD8023}"/>
    <cellStyle name="Normal 8 39 9" xfId="46638" xr:uid="{1038CDEC-CFBE-4514-BEB6-D2F20D906E60}"/>
    <cellStyle name="Normal 8 4" xfId="4809" xr:uid="{00000000-0005-0000-0000-0000EC120000}"/>
    <cellStyle name="Normal-- 8 4" xfId="8701" xr:uid="{00000000-0005-0000-0000-000028230000}"/>
    <cellStyle name="Normal 8 4 10" xfId="8899" xr:uid="{00000000-0005-0000-0000-000065240000}"/>
    <cellStyle name="Normal 8 4 10 2" xfId="41546" xr:uid="{9842FB0B-612D-4CE9-9BE1-8A3EB1710D1A}"/>
    <cellStyle name="Normal 8 4 11" xfId="12720" xr:uid="{00000000-0005-0000-0000-00009F240000}"/>
    <cellStyle name="Normal 8 4 11 2" xfId="45191" xr:uid="{8D465ED0-0777-4EBA-9C2A-A130162845EB}"/>
    <cellStyle name="Normal 8 4 12" xfId="8965" xr:uid="{00000000-0005-0000-0000-0000DD240000}"/>
    <cellStyle name="Normal 8 4 12 2" xfId="41599" xr:uid="{8499BA2A-A558-4F48-929F-AB65A96AB107}"/>
    <cellStyle name="Normal 8 4 13" xfId="12754" xr:uid="{00000000-0005-0000-0000-00001F250000}"/>
    <cellStyle name="Normal 8 4 13 2" xfId="45225" xr:uid="{42B26FC9-2DF7-407B-8D3E-588D3FB66A38}"/>
    <cellStyle name="Normal 8 4 14" xfId="9030" xr:uid="{00000000-0005-0000-0000-000065250000}"/>
    <cellStyle name="Normal 8 4 14 2" xfId="41646" xr:uid="{95A02D25-D18E-48CE-9173-09C863BFAC63}"/>
    <cellStyle name="Normal 8 4 15" xfId="12797" xr:uid="{00000000-0005-0000-0000-0000AF250000}"/>
    <cellStyle name="Normal 8 4 15 2" xfId="45268" xr:uid="{C076403B-36F8-4A51-8DE0-8D0504A4ADB4}"/>
    <cellStyle name="Normal 8 4 16" xfId="9103" xr:uid="{00000000-0005-0000-0000-0000FD250000}"/>
    <cellStyle name="Normal 8 4 16 2" xfId="41706" xr:uid="{7F9B6EFB-7688-4E00-8F09-B3D125C209B4}"/>
    <cellStyle name="Normal 8 4 17" xfId="12830" xr:uid="{00000000-0005-0000-0000-00004F260000}"/>
    <cellStyle name="Normal 8 4 17 2" xfId="45301" xr:uid="{76D59FB5-DA83-4A3A-A3F3-373D4F79113E}"/>
    <cellStyle name="Normal 8 4 18" xfId="9176" xr:uid="{00000000-0005-0000-0000-0000A5260000}"/>
    <cellStyle name="Normal 8 4 18 2" xfId="41755" xr:uid="{BB371B8D-4EE2-49BB-829B-1E1F083EFCD9}"/>
    <cellStyle name="Normal 8 4 19" xfId="12874" xr:uid="{00000000-0005-0000-0000-0000FF260000}"/>
    <cellStyle name="Normal 8 4 19 2" xfId="45345" xr:uid="{57302D85-27C8-44F6-8095-AF8762BC3F93}"/>
    <cellStyle name="Normal 8 4 2" xfId="10334" xr:uid="{00000000-0005-0000-0000-000039200000}"/>
    <cellStyle name="Normal-- 8 4 2" xfId="41398" xr:uid="{457C17C5-542E-4D96-9A12-7B3C08ED1EE6}"/>
    <cellStyle name="Normal 8 4 2 2" xfId="42823" xr:uid="{1768FBD0-1CD8-463B-A1EE-EFC4E628676A}"/>
    <cellStyle name="Normal 8 4 2 3" xfId="47592" xr:uid="{ECC9FC27-D62A-4A2D-9084-5916DF342113}"/>
    <cellStyle name="Normal 8 4 2 4" xfId="37898" xr:uid="{FBB5617F-170D-493C-BD62-D06A0A50FBE5}"/>
    <cellStyle name="Normal 8 4 2 5" xfId="15441" xr:uid="{5713C24F-30F3-48BE-85A3-0FCA1D54FF07}"/>
    <cellStyle name="Normal 8 4 2 6" xfId="40478" xr:uid="{D4459D64-874B-4ACD-BE7A-CA147BF154BE}"/>
    <cellStyle name="Normal 8 4 2 7" xfId="46460" xr:uid="{79BC7F6F-838C-4741-B3B1-0F33A898027B}"/>
    <cellStyle name="Normal 8 4 2 8" xfId="46184" xr:uid="{C43F6306-2190-438A-8646-1F6CCF04DEEA}"/>
    <cellStyle name="Normal 8 4 2 9" xfId="37706" xr:uid="{9ED1945D-BA95-4EC2-AB12-E55A4C2E3F6B}"/>
    <cellStyle name="Normal 8 4 20" xfId="9256" xr:uid="{00000000-0005-0000-0000-00005D270000}"/>
    <cellStyle name="Normal 8 4 20 2" xfId="41792" xr:uid="{C7741DD9-2BE7-4F1D-956A-CAEC772A5B1F}"/>
    <cellStyle name="Normal 8 4 21" xfId="12901" xr:uid="{00000000-0005-0000-0000-0000BF270000}"/>
    <cellStyle name="Normal 8 4 21 2" xfId="45372" xr:uid="{1FB7EC98-E4F9-4DC7-ADE3-392222E1A150}"/>
    <cellStyle name="Normal 8 4 22" xfId="8093" xr:uid="{00000000-0005-0000-0000-00005D0F0000}"/>
    <cellStyle name="Normal 8 4 23" xfId="13333" xr:uid="{00000000-0005-0000-0000-0000E8300000}"/>
    <cellStyle name="Normal 8 4 23 2" xfId="45797" xr:uid="{A798130D-05FB-43AC-A2B3-47B561F2E12D}"/>
    <cellStyle name="Normal 8 4 24" xfId="11304" xr:uid="{00000000-0005-0000-0000-000056310000}"/>
    <cellStyle name="Normal 8 4 24 2" xfId="43793" xr:uid="{141DA1BE-8699-4024-84B9-8A2EDAFFC2E6}"/>
    <cellStyle name="Normal 8 4 25" xfId="13400" xr:uid="{00000000-0005-0000-0000-0000C8310000}"/>
    <cellStyle name="Normal 8 4 25 2" xfId="45864" xr:uid="{23FF966B-3F26-428C-83C2-7784FCDD985C}"/>
    <cellStyle name="Normal 8 4 26" xfId="11232" xr:uid="{00000000-0005-0000-0000-00003E320000}"/>
    <cellStyle name="Normal 8 4 26 2" xfId="43721" xr:uid="{C1B0F0F0-608A-45E9-9F13-6E71AE8E2C11}"/>
    <cellStyle name="Normal 8 4 27" xfId="13467" xr:uid="{00000000-0005-0000-0000-0000B8320000}"/>
    <cellStyle name="Normal 8 4 27 2" xfId="45931" xr:uid="{1F7BC771-2C9D-4BE0-87F7-9182A7B32E6F}"/>
    <cellStyle name="Normal 8 4 28" xfId="11168" xr:uid="{00000000-0005-0000-0000-000036330000}"/>
    <cellStyle name="Normal 8 4 28 2" xfId="43657" xr:uid="{65591D47-218A-4FCA-B8C4-9B028A5C4239}"/>
    <cellStyle name="Normal 8 4 29" xfId="13528" xr:uid="{00000000-0005-0000-0000-0000B8330000}"/>
    <cellStyle name="Normal 8 4 29 2" xfId="45992" xr:uid="{76C13DD3-E3DE-4665-A818-782C2EAA260F}"/>
    <cellStyle name="Normal 8 4 3" xfId="12632" xr:uid="{00000000-0005-0000-0000-000044230000}"/>
    <cellStyle name="Normal-- 8 4 3" xfId="46953" xr:uid="{565AAD9E-E308-421D-A6C1-0EE0AAB75F00}"/>
    <cellStyle name="Normal 8 4 3 2" xfId="45103" xr:uid="{AC2014E0-F5F6-487D-9C70-2B539A165721}"/>
    <cellStyle name="Normal 8 4 3 3" xfId="15947" xr:uid="{E43CB578-5723-45D6-B0EA-069D486465D0}"/>
    <cellStyle name="Normal 8 4 3 4" xfId="15515" xr:uid="{0961805A-399C-42CB-A4F0-3A54C6CF141F}"/>
    <cellStyle name="Normal 8 4 3 5" xfId="47283" xr:uid="{4A3F60C4-2B2E-40DF-ACE4-440198DB680A}"/>
    <cellStyle name="Normal 8 4 3 6" xfId="49442" xr:uid="{3D822DAE-AB48-44BF-8F4F-4E92C577DEC7}"/>
    <cellStyle name="Normal 8 4 3 7" xfId="16625" xr:uid="{2ECA7B9A-387B-4FB3-A773-BBE1FF5600CB}"/>
    <cellStyle name="Normal 8 4 3 8" xfId="50020" xr:uid="{3B95BE71-903E-4347-B116-CEBC60C1B50E}"/>
    <cellStyle name="Normal 8 4 30" xfId="11109" xr:uid="{00000000-0005-0000-0000-00003E340000}"/>
    <cellStyle name="Normal 8 4 30 2" xfId="43598" xr:uid="{6A58392C-F46B-4D83-B836-FE7D0E9E6B9E}"/>
    <cellStyle name="Normal 8 4 31" xfId="13577" xr:uid="{00000000-0005-0000-0000-0000C8340000}"/>
    <cellStyle name="Normal 8 4 31 2" xfId="46041" xr:uid="{D1F51E0E-B1B5-4C61-8121-8E1E6CDA4CC0}"/>
    <cellStyle name="Normal 8 4 32" xfId="11053" xr:uid="{00000000-0005-0000-0000-000056350000}"/>
    <cellStyle name="Normal 8 4 32 2" xfId="43542" xr:uid="{DC18E7CD-EEE5-4E12-BF65-068483BD736C}"/>
    <cellStyle name="Normal 8 4 33" xfId="16193" xr:uid="{1BC3E6C3-C39B-4906-AA6A-469DA133C46B}"/>
    <cellStyle name="Normal 8 4 34" xfId="38847" xr:uid="{6F2F0F4C-C9C1-4C1F-90AC-B1476E46FD88}"/>
    <cellStyle name="Normal 8 4 35" xfId="40342" xr:uid="{428ADABE-42A3-46A3-B4D2-697CAB506747}"/>
    <cellStyle name="Normal 8 4 36" xfId="46096" xr:uid="{02A36972-D931-47CD-B22A-FA14236E1A3A}"/>
    <cellStyle name="Normal 8 4 37" xfId="47435" xr:uid="{AD25A3E8-CF1D-4D24-A039-C8DC6502BA9B}"/>
    <cellStyle name="Normal 8 4 38" xfId="46931" xr:uid="{4371E566-13AE-4110-9443-02B16F3EDDD7}"/>
    <cellStyle name="Normal 8 4 39" xfId="47896" xr:uid="{BAC4ED48-E912-4872-949C-51F2B37BA95E}"/>
    <cellStyle name="Normal 8 4 4" xfId="8776" xr:uid="{00000000-0005-0000-0000-000061230000}"/>
    <cellStyle name="Normal-- 8 4 4" xfId="46621" xr:uid="{02A7C0A6-DDC6-4E7C-BBC0-0CA0C7863244}"/>
    <cellStyle name="Normal 8 4 4 2" xfId="41453" xr:uid="{E9D3CCC6-459F-455A-A886-60EB7662CA41}"/>
    <cellStyle name="Normal 8 4 4 3" xfId="40078" xr:uid="{74579D25-6FFD-49FA-908F-E9F9495B5C6D}"/>
    <cellStyle name="Normal 8 4 4 4" xfId="15239" xr:uid="{A2A2BBE2-E1DA-41AC-BECC-B62D7B4CC4F9}"/>
    <cellStyle name="Normal 8 4 4 5" xfId="48948" xr:uid="{9684740B-9FCE-4C32-A7A9-93E7252B03A5}"/>
    <cellStyle name="Normal 8 4 4 6" xfId="46195" xr:uid="{0C765149-1873-4A3C-80C2-44B18A24780B}"/>
    <cellStyle name="Normal 8 4 4 7" xfId="48269" xr:uid="{D4D03239-819C-4F5C-84CF-66CCB3780FF8}"/>
    <cellStyle name="Normal 8 4 40" xfId="40117" xr:uid="{D7513325-55CD-4EA7-A491-E35726AA2FE3}"/>
    <cellStyle name="Normal 8 4 41" xfId="48506" xr:uid="{0A7EB916-1D52-42D9-BDBB-2564FF0830B3}"/>
    <cellStyle name="Normal 8 4 5" xfId="12647" xr:uid="{00000000-0005-0000-0000-000082230000}"/>
    <cellStyle name="Normal-- 8 4 5" xfId="40719" xr:uid="{EA3D954B-8B51-4464-A337-80DBEA425180}"/>
    <cellStyle name="Normal 8 4 5 2" xfId="45118" xr:uid="{BA66C58B-2A3F-40DB-8388-E258E4051E34}"/>
    <cellStyle name="Normal 8 4 5 3" xfId="46543" xr:uid="{E3C07DEB-F726-4835-80EF-1A96351DB81C}"/>
    <cellStyle name="Normal 8 4 5 4" xfId="49446" xr:uid="{E0BCD638-D313-4D5F-B702-4F86FDB0D1DF}"/>
    <cellStyle name="Normal 8 4 5 5" xfId="46572" xr:uid="{A578DC19-EC5F-49D8-BAE1-0AF484C0530B}"/>
    <cellStyle name="Normal 8 4 5 6" xfId="50027" xr:uid="{FC1D9A58-D872-4E90-A6D6-70E845A4BDD7}"/>
    <cellStyle name="Normal 8 4 6" xfId="8804" xr:uid="{00000000-0005-0000-0000-0000A7230000}"/>
    <cellStyle name="Normal-- 8 4 6" xfId="47004" xr:uid="{E1A68B2A-ECAE-46B0-8E28-BAD01ADCC399}"/>
    <cellStyle name="Normal 8 4 6 2" xfId="41471" xr:uid="{53564CCD-2269-4DBE-A3C0-B6B508735B52}"/>
    <cellStyle name="Normal 8 4 6 3" xfId="47682" xr:uid="{34FFFAEB-192E-40B9-A10A-EDF29F71AC58}"/>
    <cellStyle name="Normal 8 4 6 4" xfId="37774" xr:uid="{98031346-583A-49A3-9BEB-CDBBEEF55146}"/>
    <cellStyle name="Normal 8 4 6 5" xfId="48323" xr:uid="{BD7E65B1-4C8B-41E1-808C-25E1D6FF1C41}"/>
    <cellStyle name="Normal 8 4 7" xfId="12664" xr:uid="{00000000-0005-0000-0000-0000D0230000}"/>
    <cellStyle name="Normal-- 8 4 7" xfId="48931" xr:uid="{A165DF91-BA1C-4319-8677-FE61E6035B09}"/>
    <cellStyle name="Normal 8 4 7 2" xfId="45135" xr:uid="{2C7CF015-69FB-41A9-92A5-36FAB4B70B61}"/>
    <cellStyle name="Normal 8 4 7 3" xfId="48033" xr:uid="{95C3AD0C-C774-4EBF-8147-469043045999}"/>
    <cellStyle name="Normal 8 4 7 4" xfId="50037" xr:uid="{EB61C93D-6F8C-48AD-8D1E-DF9CB322263C}"/>
    <cellStyle name="Normal 8 4 8" xfId="8840" xr:uid="{00000000-0005-0000-0000-0000FD230000}"/>
    <cellStyle name="Normal-- 8 4 8" xfId="47230" xr:uid="{51D66380-58FE-4964-B0F9-78B4EAEF7891}"/>
    <cellStyle name="Normal 8 4 8 2" xfId="41499" xr:uid="{710C4304-1506-463C-ADEF-A2B3AB280B7D}"/>
    <cellStyle name="Normal 8 4 8 3" xfId="37892" xr:uid="{035192DD-A463-4F52-B9FE-FB514BF982E1}"/>
    <cellStyle name="Normal 8 4 9" xfId="12692" xr:uid="{00000000-0005-0000-0000-00002F240000}"/>
    <cellStyle name="Normal-- 8 4 9" xfId="48878" xr:uid="{CE1EBA40-F983-4697-8975-6EF2724D7120}"/>
    <cellStyle name="Normal 8 4 9 2" xfId="45163" xr:uid="{405F3AD5-DDFD-413A-A0DC-76347951B4DE}"/>
    <cellStyle name="Normal 8 40" xfId="4810" xr:uid="{00000000-0005-0000-0000-0000ED120000}"/>
    <cellStyle name="Normal-- 8 40" xfId="41256" xr:uid="{F6453E1C-1D2F-486F-95C1-984BB264AC4E}"/>
    <cellStyle name="Normal 8 40 2" xfId="10335" xr:uid="{00000000-0005-0000-0000-00003A200000}"/>
    <cellStyle name="Normal 8 40 2 2" xfId="42824" xr:uid="{D5FE393C-AD18-4A6F-B016-FFBBDD8EF36F}"/>
    <cellStyle name="Normal 8 40 3" xfId="8094" xr:uid="{00000000-0005-0000-0000-00005E0F0000}"/>
    <cellStyle name="Normal 8 40 3 2" xfId="40908" xr:uid="{617FFC98-3E34-451F-BF56-A16ECB493F55}"/>
    <cellStyle name="Normal 8 40 4" xfId="16194" xr:uid="{D2018C29-FCC6-43DF-B37A-289BB9143C23}"/>
    <cellStyle name="Normal 8 40 5" xfId="38848" xr:uid="{1220F587-3FF0-4768-8CC6-50F0AC49D431}"/>
    <cellStyle name="Normal 8 40 6" xfId="46245" xr:uid="{7564C595-028A-42C9-A9F2-3E16B4D5B9E3}"/>
    <cellStyle name="Normal 8 40 7" xfId="15413" xr:uid="{76CF8D36-9DEE-471D-9C55-5DF56A9F3794}"/>
    <cellStyle name="Normal 8 40 8" xfId="40587" xr:uid="{FC82E548-359A-4535-9113-887661EE9FF3}"/>
    <cellStyle name="Normal 8 41" xfId="4811" xr:uid="{00000000-0005-0000-0000-0000EE120000}"/>
    <cellStyle name="Normal-- 8 41" xfId="46555" xr:uid="{2228705F-0205-4353-BCBC-F07A1669B839}"/>
    <cellStyle name="Normal 8 41 2" xfId="10336" xr:uid="{00000000-0005-0000-0000-00003B200000}"/>
    <cellStyle name="Normal 8 41 2 2" xfId="42825" xr:uid="{3BD4A5DD-F951-4719-9F4C-C086089760BC}"/>
    <cellStyle name="Normal 8 41 3" xfId="8095" xr:uid="{00000000-0005-0000-0000-00005F0F0000}"/>
    <cellStyle name="Normal 8 41 3 2" xfId="40909" xr:uid="{55A4BC93-4C6E-4AA4-909F-3415AA247F20}"/>
    <cellStyle name="Normal 8 41 4" xfId="16195" xr:uid="{F1BCFBFA-4E68-4EFE-9A6F-4C24A19AF765}"/>
    <cellStyle name="Normal 8 41 5" xfId="38849" xr:uid="{48250C2B-7938-4C0E-9EBF-3477D56793BD}"/>
    <cellStyle name="Normal 8 41 6" xfId="46274" xr:uid="{66E9C461-EE71-4A1B-A9E9-03D6AFCF7DA8}"/>
    <cellStyle name="Normal 8 41 7" xfId="47792" xr:uid="{C19239B1-82B9-425B-8A28-EBF89DF8A3C8}"/>
    <cellStyle name="Normal 8 42" xfId="4812" xr:uid="{00000000-0005-0000-0000-0000EF120000}"/>
    <cellStyle name="Normal-- 8 42" xfId="48756" xr:uid="{1E29E236-9E53-436A-88AE-F583F09D7F03}"/>
    <cellStyle name="Normal 8 42 2" xfId="10337" xr:uid="{00000000-0005-0000-0000-00003C200000}"/>
    <cellStyle name="Normal 8 42 2 2" xfId="42826" xr:uid="{6D8595E7-C2FF-46DE-AA7C-EDABBB90DFEF}"/>
    <cellStyle name="Normal 8 42 3" xfId="8096" xr:uid="{00000000-0005-0000-0000-0000600F0000}"/>
    <cellStyle name="Normal 8 42 3 2" xfId="40910" xr:uid="{85E70CA1-ADE3-4DD1-931D-E35E8A0E6967}"/>
    <cellStyle name="Normal 8 42 4" xfId="16196" xr:uid="{8B89FD1E-68D7-4CE2-BA1E-2F2997459774}"/>
    <cellStyle name="Normal 8 42 5" xfId="38850" xr:uid="{8F093AE9-9E6D-4444-8A6D-29D6A83AD5E6}"/>
    <cellStyle name="Normal 8 42 6" xfId="49006" xr:uid="{C54126B2-2BF7-4FB7-B247-B363AE6FA12F}"/>
    <cellStyle name="Normal 8 43" xfId="4813" xr:uid="{00000000-0005-0000-0000-0000F0120000}"/>
    <cellStyle name="Normal-- 8 43" xfId="49135" xr:uid="{97DA453E-7A13-4178-BF09-31FE693A5E50}"/>
    <cellStyle name="Normal 8 43 2" xfId="10338" xr:uid="{00000000-0005-0000-0000-00003D200000}"/>
    <cellStyle name="Normal 8 43 2 2" xfId="42827" xr:uid="{55A38F7E-9156-42B1-B168-1928F03C8144}"/>
    <cellStyle name="Normal 8 43 3" xfId="17309" xr:uid="{A0DECA87-3AC5-42F0-97B9-788C75B6522B}"/>
    <cellStyle name="Normal 8 43 4" xfId="38851" xr:uid="{531D91A3-B347-4224-B4CC-95D74871D6DC}"/>
    <cellStyle name="Normal 8 44" xfId="10278" xr:uid="{00000000-0005-0000-0000-000001200000}"/>
    <cellStyle name="Normal 8 44 2" xfId="42767" xr:uid="{E41B94B0-8F51-4676-B994-BB7E3D5DC7B4}"/>
    <cellStyle name="Normal 8 45" xfId="12582" xr:uid="{00000000-0005-0000-0000-000012230000}"/>
    <cellStyle name="Normal 8 45 2" xfId="45053" xr:uid="{C94C1453-3AB6-4FA8-860F-196953A54D02}"/>
    <cellStyle name="Normal 8 46" xfId="8700" xr:uid="{00000000-0005-0000-0000-000027230000}"/>
    <cellStyle name="Normal 8 46 2" xfId="41397" xr:uid="{AEE6C8B9-3B48-4DC4-9390-EFC85506A5E6}"/>
    <cellStyle name="Normal 8 47" xfId="12593" xr:uid="{00000000-0005-0000-0000-000040230000}"/>
    <cellStyle name="Normal 8 47 2" xfId="45064" xr:uid="{8DB547C8-9088-4936-9F19-1A479D72A992}"/>
    <cellStyle name="Normal 8 48" xfId="8719" xr:uid="{00000000-0005-0000-0000-00005D230000}"/>
    <cellStyle name="Normal 8 48 2" xfId="41411" xr:uid="{973462C5-7F26-42A9-8D8E-A0FB36279E97}"/>
    <cellStyle name="Normal 8 49" xfId="12609" xr:uid="{00000000-0005-0000-0000-00007E230000}"/>
    <cellStyle name="Normal 8 49 2" xfId="45080" xr:uid="{3C83D669-F9B4-4AC3-A37D-C5CD066BED01}"/>
    <cellStyle name="Normal 8 5" xfId="4814" xr:uid="{00000000-0005-0000-0000-0000F1120000}"/>
    <cellStyle name="Normal-- 8 5" xfId="12594" xr:uid="{00000000-0005-0000-0000-000041230000}"/>
    <cellStyle name="Normal 8 5 10" xfId="12726" xr:uid="{00000000-0005-0000-0000-0000A0240000}"/>
    <cellStyle name="Normal 8 5 10 2" xfId="45197" xr:uid="{88CD062D-18BE-4611-8284-ED1D0818D75A}"/>
    <cellStyle name="Normal 8 5 11" xfId="8971" xr:uid="{00000000-0005-0000-0000-0000DE240000}"/>
    <cellStyle name="Normal 8 5 11 2" xfId="41605" xr:uid="{BDEB89E7-619A-4B2E-9409-8C50D740F886}"/>
    <cellStyle name="Normal 8 5 12" xfId="12759" xr:uid="{00000000-0005-0000-0000-000020250000}"/>
    <cellStyle name="Normal 8 5 12 2" xfId="45230" xr:uid="{FB605086-1044-476D-87CE-25183B95C594}"/>
    <cellStyle name="Normal 8 5 13" xfId="9036" xr:uid="{00000000-0005-0000-0000-000066250000}"/>
    <cellStyle name="Normal 8 5 13 2" xfId="41650" xr:uid="{07FB9554-DCA2-4D12-8EBE-E111FA4C7154}"/>
    <cellStyle name="Normal 8 5 14" xfId="12799" xr:uid="{00000000-0005-0000-0000-0000B0250000}"/>
    <cellStyle name="Normal 8 5 14 2" xfId="45270" xr:uid="{211C3110-C3DC-41B1-BC4A-D0F1B3ED9966}"/>
    <cellStyle name="Normal 8 5 15" xfId="9108" xr:uid="{00000000-0005-0000-0000-0000FE250000}"/>
    <cellStyle name="Normal 8 5 15 2" xfId="41711" xr:uid="{5D0234C1-BF23-4229-8CBB-AE762F4C6C8B}"/>
    <cellStyle name="Normal 8 5 16" xfId="12835" xr:uid="{00000000-0005-0000-0000-000050260000}"/>
    <cellStyle name="Normal 8 5 16 2" xfId="45306" xr:uid="{941BC02F-0DA8-43C5-866F-87118E971441}"/>
    <cellStyle name="Normal 8 5 17" xfId="9181" xr:uid="{00000000-0005-0000-0000-0000A6260000}"/>
    <cellStyle name="Normal 8 5 17 2" xfId="41756" xr:uid="{A3B5F9AF-4DA7-4BB7-9FE7-567942426875}"/>
    <cellStyle name="Normal 8 5 18" xfId="12875" xr:uid="{00000000-0005-0000-0000-000000270000}"/>
    <cellStyle name="Normal 8 5 18 2" xfId="45346" xr:uid="{6CB1B8E1-D140-45E1-8CFE-3D86FDD4787D}"/>
    <cellStyle name="Normal 8 5 19" xfId="9258" xr:uid="{00000000-0005-0000-0000-00005E270000}"/>
    <cellStyle name="Normal 8 5 19 2" xfId="41794" xr:uid="{73EAE0A2-8959-480E-BFDD-29A09DBE6E56}"/>
    <cellStyle name="Normal 8 5 2" xfId="10339" xr:uid="{00000000-0005-0000-0000-00003E200000}"/>
    <cellStyle name="Normal-- 8 5 2" xfId="45065" xr:uid="{AAD3BE2E-6D88-48B1-BAB9-C2142AD4ACAB}"/>
    <cellStyle name="Normal 8 5 2 2" xfId="42828" xr:uid="{BB1C7AA0-AC75-4616-9BEA-FA323755D224}"/>
    <cellStyle name="Normal 8 5 2 3" xfId="47596" xr:uid="{CC961C0E-6635-41D4-9FEF-DC7368EC3515}"/>
    <cellStyle name="Normal 8 5 2 4" xfId="48210" xr:uid="{2B329079-851B-434E-B9B5-5250E3028860}"/>
    <cellStyle name="Normal 8 5 2 5" xfId="15092" xr:uid="{9E63116E-326F-4FBD-880E-D36085E58872}"/>
    <cellStyle name="Normal 8 5 2 6" xfId="46660" xr:uid="{8440B45F-038B-4DC8-9AAC-2C2C2CE6909B}"/>
    <cellStyle name="Normal 8 5 2 7" xfId="48193" xr:uid="{8906AA1F-D723-453A-85A6-3129BA13F9DE}"/>
    <cellStyle name="Normal 8 5 2 8" xfId="48417" xr:uid="{92EAA971-E235-4A52-921A-9A33B67EE4A5}"/>
    <cellStyle name="Normal 8 5 2 9" xfId="14941" xr:uid="{972CE04C-8AED-4094-A9FB-EA3EE81431BD}"/>
    <cellStyle name="Normal 8 5 20" xfId="12902" xr:uid="{00000000-0005-0000-0000-0000C0270000}"/>
    <cellStyle name="Normal 8 5 20 2" xfId="45373" xr:uid="{E98A5DAF-A4EF-485C-ADB0-77ECC8433AA4}"/>
    <cellStyle name="Normal 8 5 21" xfId="8097" xr:uid="{00000000-0005-0000-0000-0000610F0000}"/>
    <cellStyle name="Normal 8 5 22" xfId="13336" xr:uid="{00000000-0005-0000-0000-0000E9300000}"/>
    <cellStyle name="Normal 8 5 22 2" xfId="45800" xr:uid="{D3F3B85B-FD12-4E33-86BD-2746CAAC78A8}"/>
    <cellStyle name="Normal 8 5 23" xfId="11300" xr:uid="{00000000-0005-0000-0000-000057310000}"/>
    <cellStyle name="Normal 8 5 23 2" xfId="43789" xr:uid="{F91FFB2F-9E01-4A94-A9F8-3798D5C822B2}"/>
    <cellStyle name="Normal 8 5 24" xfId="13405" xr:uid="{00000000-0005-0000-0000-0000C9310000}"/>
    <cellStyle name="Normal 8 5 24 2" xfId="45869" xr:uid="{22C4F084-8743-4AD9-9A2D-EA1A7AFD70AF}"/>
    <cellStyle name="Normal 8 5 25" xfId="11228" xr:uid="{00000000-0005-0000-0000-00003F320000}"/>
    <cellStyle name="Normal 8 5 25 2" xfId="43717" xr:uid="{7003259D-3DE6-49CD-B2A1-51A2A564CACF}"/>
    <cellStyle name="Normal 8 5 26" xfId="13469" xr:uid="{00000000-0005-0000-0000-0000B9320000}"/>
    <cellStyle name="Normal 8 5 26 2" xfId="45933" xr:uid="{28D1515F-5F48-41B5-817A-8004E1CB582E}"/>
    <cellStyle name="Normal 8 5 27" xfId="11165" xr:uid="{00000000-0005-0000-0000-000037330000}"/>
    <cellStyle name="Normal 8 5 27 2" xfId="43654" xr:uid="{C6E3F199-3C08-4FC5-AB96-CAC00A15DCA8}"/>
    <cellStyle name="Normal 8 5 28" xfId="13533" xr:uid="{00000000-0005-0000-0000-0000B9330000}"/>
    <cellStyle name="Normal 8 5 28 2" xfId="45997" xr:uid="{00841B0B-A827-46DB-B2A5-9257D26B3195}"/>
    <cellStyle name="Normal 8 5 29" xfId="11104" xr:uid="{00000000-0005-0000-0000-00003F340000}"/>
    <cellStyle name="Normal 8 5 29 2" xfId="43593" xr:uid="{AAD1BBFC-4165-47D0-8FD1-12BA24C5B722}"/>
    <cellStyle name="Normal 8 5 3" xfId="8781" xr:uid="{00000000-0005-0000-0000-000062230000}"/>
    <cellStyle name="Normal-- 8 5 3" xfId="48388" xr:uid="{3FBE6627-B6F4-42E8-984A-6BC9DA02264F}"/>
    <cellStyle name="Normal 8 5 3 2" xfId="41457" xr:uid="{EDDD7226-B774-4C0E-9339-60F4E733597E}"/>
    <cellStyle name="Normal 8 5 3 3" xfId="13678" xr:uid="{BAD1BDA2-FEAB-4382-BF54-012A89A31147}"/>
    <cellStyle name="Normal 8 5 3 4" xfId="47609" xr:uid="{71F4DD02-110C-4435-8F10-EB830CB881EE}"/>
    <cellStyle name="Normal 8 5 3 5" xfId="46328" xr:uid="{61332DC1-A4D3-4E63-94EE-996AD13E604F}"/>
    <cellStyle name="Normal 8 5 3 6" xfId="15743" xr:uid="{1D3E8A56-F77A-4369-9C7B-85DC10D7A6B7}"/>
    <cellStyle name="Normal 8 5 3 7" xfId="49202" xr:uid="{344115DF-D34B-4D46-B632-89F6AA644B12}"/>
    <cellStyle name="Normal 8 5 3 8" xfId="15053" xr:uid="{52BD4878-C7B0-40FE-92F2-1DDA78CD21CD}"/>
    <cellStyle name="Normal 8 5 30" xfId="13578" xr:uid="{00000000-0005-0000-0000-0000C9340000}"/>
    <cellStyle name="Normal 8 5 30 2" xfId="46042" xr:uid="{37D13BBF-4D15-44D1-8055-B6F51649B43D}"/>
    <cellStyle name="Normal 8 5 31" xfId="11052" xr:uid="{00000000-0005-0000-0000-000057350000}"/>
    <cellStyle name="Normal 8 5 31 2" xfId="43541" xr:uid="{775487BE-FACA-4809-B4A9-6B0AE14DCCB9}"/>
    <cellStyle name="Normal 8 5 32" xfId="16197" xr:uid="{319AC274-5F3A-4737-852C-DEA45AF7A00B}"/>
    <cellStyle name="Normal 8 5 33" xfId="38852" xr:uid="{2028E296-D2D4-4A60-AFBF-A24001390252}"/>
    <cellStyle name="Normal 8 5 34" xfId="40341" xr:uid="{4011A7B2-79D4-45C8-9503-DC63B38040AB}"/>
    <cellStyle name="Normal 8 5 35" xfId="40472" xr:uid="{A867B2DD-7B17-456B-8C14-1C7759C99AD0}"/>
    <cellStyle name="Normal 8 5 36" xfId="46427" xr:uid="{287D2BBF-A4CB-463C-868A-56FF131B1FC1}"/>
    <cellStyle name="Normal 8 5 37" xfId="38032" xr:uid="{9C41175B-8168-4C21-AEEF-64EF89F36030}"/>
    <cellStyle name="Normal 8 5 38" xfId="47939" xr:uid="{C0E3DA65-BB5F-400F-B71F-AE7E4617DA1B}"/>
    <cellStyle name="Normal 8 5 39" xfId="46167" xr:uid="{B24DAC5D-1435-4673-985B-906EFDEB0583}"/>
    <cellStyle name="Normal 8 5 4" xfId="12652" xr:uid="{00000000-0005-0000-0000-000083230000}"/>
    <cellStyle name="Normal-- 8 5 4" xfId="15982" xr:uid="{D5B2BF64-9097-4214-89FC-56AA75D2C81E}"/>
    <cellStyle name="Normal 8 5 4 2" xfId="45123" xr:uid="{1DACDA03-FE5C-4B0F-8AAD-70D46954DFC2}"/>
    <cellStyle name="Normal 8 5 4 3" xfId="15517" xr:uid="{AE5B2ACB-D0D3-4B30-86B2-D16B8280C83E}"/>
    <cellStyle name="Normal 8 5 4 4" xfId="37776" xr:uid="{1358CBEE-A824-4FB9-82C0-029AE12BBA6D}"/>
    <cellStyle name="Normal 8 5 4 5" xfId="49450" xr:uid="{FCDDBB1A-E8E5-4F01-85F1-EEFACB5ACDD1}"/>
    <cellStyle name="Normal 8 5 4 6" xfId="37734" xr:uid="{28842834-1C8B-454E-9639-59F94B3BEFE5}"/>
    <cellStyle name="Normal 8 5 4 7" xfId="50032" xr:uid="{23BFFFEC-A84A-44E9-B299-4FFFA4D2FED3}"/>
    <cellStyle name="Normal 8 5 40" xfId="46575" xr:uid="{E50EB70A-A52F-46C4-8322-53B888424D88}"/>
    <cellStyle name="Normal 8 5 5" xfId="8809" xr:uid="{00000000-0005-0000-0000-0000A8230000}"/>
    <cellStyle name="Normal-- 8 5 5" xfId="47246" xr:uid="{351873C6-BC9F-4EA5-81C2-4EEFC59C7CF4}"/>
    <cellStyle name="Normal 8 5 5 2" xfId="41473" xr:uid="{276FCB16-0493-4D9B-ABC8-633D3B0C1674}"/>
    <cellStyle name="Normal 8 5 5 3" xfId="40253" xr:uid="{2D55A8DB-FC34-47A8-AC38-3D0E22EF96F9}"/>
    <cellStyle name="Normal 8 5 5 4" xfId="15443" xr:uid="{CCA00C4E-526F-4F24-9735-3A5CB2FC8A55}"/>
    <cellStyle name="Normal 8 5 5 5" xfId="47721" xr:uid="{09129D20-767C-4D47-83E1-663837E3AA6D}"/>
    <cellStyle name="Normal 8 5 5 6" xfId="49670" xr:uid="{16BBF6BE-8FFC-4FC5-8D27-4689C9389A35}"/>
    <cellStyle name="Normal 8 5 6" xfId="12666" xr:uid="{00000000-0005-0000-0000-0000D1230000}"/>
    <cellStyle name="Normal-- 8 5 6" xfId="37977" xr:uid="{DF2FA626-87D6-4549-9731-8E67EF4BA937}"/>
    <cellStyle name="Normal 8 5 6 2" xfId="45137" xr:uid="{7E7B0812-A701-43B9-B952-5505BEFB4E53}"/>
    <cellStyle name="Normal 8 5 6 3" xfId="49455" xr:uid="{BF039E5C-3204-4708-9D7C-D52294396D19}"/>
    <cellStyle name="Normal 8 5 6 4" xfId="47082" xr:uid="{8FB3F7AF-738D-4FDF-9623-37EEADAB6D9A}"/>
    <cellStyle name="Normal 8 5 6 5" xfId="50038" xr:uid="{F9938381-734E-45DB-9216-B643003ABAAB}"/>
    <cellStyle name="Normal 8 5 7" xfId="8845" xr:uid="{00000000-0005-0000-0000-0000FE230000}"/>
    <cellStyle name="Normal-- 8 5 7" xfId="41074" xr:uid="{65AEF6FB-D5C7-4685-9046-BCF25622982B}"/>
    <cellStyle name="Normal 8 5 7 2" xfId="41503" xr:uid="{A4CD6922-2311-474F-993B-816A77052A5E}"/>
    <cellStyle name="Normal 8 5 7 3" xfId="40571" xr:uid="{C6AB696B-DB5E-4900-9ACA-25FA92CB3990}"/>
    <cellStyle name="Normal 8 5 7 4" xfId="48354" xr:uid="{B3248676-E633-4DE9-ABE9-14301E367FEE}"/>
    <cellStyle name="Normal 8 5 8" xfId="12698" xr:uid="{00000000-0005-0000-0000-000030240000}"/>
    <cellStyle name="Normal-- 8 5 8" xfId="46361" xr:uid="{F37A65B7-C7F8-4D10-9588-4AD61FE95165}"/>
    <cellStyle name="Normal 8 5 8 2" xfId="45169" xr:uid="{574117AE-F794-4DC9-8A5D-95FCE07A748F}"/>
    <cellStyle name="Normal 8 5 8 3" xfId="50054" xr:uid="{AE151476-7043-4017-8468-D12A0285E46E}"/>
    <cellStyle name="Normal 8 5 9" xfId="8905" xr:uid="{00000000-0005-0000-0000-000066240000}"/>
    <cellStyle name="Normal-- 8 5 9" xfId="50002" xr:uid="{0B3328F9-78A7-4720-B67D-306FED7998D7}"/>
    <cellStyle name="Normal 8 5 9 2" xfId="41551" xr:uid="{955EC993-AE3F-49DF-B066-B7AF2EEEAF56}"/>
    <cellStyle name="Normal 8 50" xfId="8745" xr:uid="{00000000-0005-0000-0000-0000A3230000}"/>
    <cellStyle name="Normal 8 50 2" xfId="41429" xr:uid="{18C06CB7-15AB-48A6-99F1-AF263ED52657}"/>
    <cellStyle name="Normal 8 51" xfId="12628" xr:uid="{00000000-0005-0000-0000-0000CC230000}"/>
    <cellStyle name="Normal 8 51 2" xfId="45099" xr:uid="{5928D6C9-B8A8-49B3-9ECE-FE11F3C83B87}"/>
    <cellStyle name="Normal 8 52" xfId="8778" xr:uid="{00000000-0005-0000-0000-0000F9230000}"/>
    <cellStyle name="Normal 8 52 2" xfId="41455" xr:uid="{829DC175-B38C-4B89-8CB9-8A65F0A0AF75}"/>
    <cellStyle name="Normal 8 53" xfId="12655" xr:uid="{00000000-0005-0000-0000-00002A240000}"/>
    <cellStyle name="Normal 8 53 2" xfId="45126" xr:uid="{8F0ACECA-C7A3-4D37-A50F-EC0A4D56B8F9}"/>
    <cellStyle name="Normal 8 54" xfId="8821" xr:uid="{00000000-0005-0000-0000-00005F240000}"/>
    <cellStyle name="Normal 8 54 2" xfId="41485" xr:uid="{915E0552-BFF8-47F7-8CF1-C3AB6BA89326}"/>
    <cellStyle name="Normal 8 55" xfId="12678" xr:uid="{00000000-0005-0000-0000-000098240000}"/>
    <cellStyle name="Normal 8 55 2" xfId="45149" xr:uid="{06CE0A5F-8176-4A4B-8B9F-97FC9140564A}"/>
    <cellStyle name="Normal 8 56" xfId="8886" xr:uid="{00000000-0005-0000-0000-0000D5240000}"/>
    <cellStyle name="Normal 8 56 2" xfId="41534" xr:uid="{0083B3B5-C6B8-4D58-A410-1DAEB325D7CF}"/>
    <cellStyle name="Normal 8 57" xfId="12713" xr:uid="{00000000-0005-0000-0000-000016250000}"/>
    <cellStyle name="Normal 8 57 2" xfId="45184" xr:uid="{FDB04517-934D-43ED-8B44-2E9D9860CE3B}"/>
    <cellStyle name="Normal 8 58" xfId="8963" xr:uid="{00000000-0005-0000-0000-00005B250000}"/>
    <cellStyle name="Normal 8 58 2" xfId="41597" xr:uid="{44057F92-6454-4EB9-93BD-30D1A4CE2467}"/>
    <cellStyle name="Normal 8 59" xfId="12756" xr:uid="{00000000-0005-0000-0000-0000A4250000}"/>
    <cellStyle name="Normal 8 59 2" xfId="45227" xr:uid="{C4AFA416-45C0-49E7-8D74-556149698E75}"/>
    <cellStyle name="Normal 8 6" xfId="4815" xr:uid="{00000000-0005-0000-0000-0000F2120000}"/>
    <cellStyle name="Normal-- 8 6" xfId="8720" xr:uid="{00000000-0005-0000-0000-00005E230000}"/>
    <cellStyle name="Normal 8 6 10" xfId="8972" xr:uid="{00000000-0005-0000-0000-0000DF240000}"/>
    <cellStyle name="Normal 8 6 10 2" xfId="41606" xr:uid="{DDBB1B56-5E18-40FB-A82A-89DC9ED0C036}"/>
    <cellStyle name="Normal 8 6 11" xfId="12760" xr:uid="{00000000-0005-0000-0000-000021250000}"/>
    <cellStyle name="Normal 8 6 11 2" xfId="45231" xr:uid="{F064AC62-868F-4409-8A78-20A67DA2C345}"/>
    <cellStyle name="Normal 8 6 12" xfId="9037" xr:uid="{00000000-0005-0000-0000-000067250000}"/>
    <cellStyle name="Normal 8 6 12 2" xfId="41651" xr:uid="{786804AF-F074-4640-8980-7AAA9D259688}"/>
    <cellStyle name="Normal 8 6 13" xfId="12800" xr:uid="{00000000-0005-0000-0000-0000B1250000}"/>
    <cellStyle name="Normal 8 6 13 2" xfId="45271" xr:uid="{537FAB30-D8BA-4899-868E-5724FFBB1B37}"/>
    <cellStyle name="Normal 8 6 14" xfId="9109" xr:uid="{00000000-0005-0000-0000-0000FF250000}"/>
    <cellStyle name="Normal 8 6 14 2" xfId="41712" xr:uid="{D1049CA7-5889-4D5E-A83E-D522C09FBDCE}"/>
    <cellStyle name="Normal 8 6 15" xfId="12836" xr:uid="{00000000-0005-0000-0000-000051260000}"/>
    <cellStyle name="Normal 8 6 15 2" xfId="45307" xr:uid="{2333B6C6-75E5-4CE5-8966-F306A5F313C7}"/>
    <cellStyle name="Normal 8 6 16" xfId="9182" xr:uid="{00000000-0005-0000-0000-0000A7260000}"/>
    <cellStyle name="Normal 8 6 16 2" xfId="41757" xr:uid="{D404DBF5-0C9A-4EDE-9B53-67AD2CD6CAAA}"/>
    <cellStyle name="Normal 8 6 17" xfId="12876" xr:uid="{00000000-0005-0000-0000-000001270000}"/>
    <cellStyle name="Normal 8 6 17 2" xfId="45347" xr:uid="{C708BA9F-46AD-4BE5-92FA-7B10C276E7F1}"/>
    <cellStyle name="Normal 8 6 18" xfId="9259" xr:uid="{00000000-0005-0000-0000-00005F270000}"/>
    <cellStyle name="Normal 8 6 18 2" xfId="41795" xr:uid="{2192B9D5-AC02-4CA9-B2A0-7BCE1FCC66A1}"/>
    <cellStyle name="Normal 8 6 19" xfId="12903" xr:uid="{00000000-0005-0000-0000-0000C1270000}"/>
    <cellStyle name="Normal 8 6 19 2" xfId="45374" xr:uid="{5E411DAA-EA20-44CF-9A38-246338C32014}"/>
    <cellStyle name="Normal 8 6 2" xfId="10340" xr:uid="{00000000-0005-0000-0000-00003F200000}"/>
    <cellStyle name="Normal-- 8 6 2" xfId="41412" xr:uid="{D7F22BB7-9F8E-48D5-8B71-6E6DBDB1CD7E}"/>
    <cellStyle name="Normal 8 6 2 2" xfId="42829" xr:uid="{DA747B91-4AB9-4C1E-9E2C-342085646B5D}"/>
    <cellStyle name="Normal 8 6 2 3" xfId="47597" xr:uid="{805344D5-BE43-4820-8B60-9D1976BA8C17}"/>
    <cellStyle name="Normal 8 6 2 4" xfId="46329" xr:uid="{B420A4FD-B9BA-4F6B-8320-52B101561289}"/>
    <cellStyle name="Normal 8 6 2 5" xfId="40615" xr:uid="{A2D0308E-EAEB-4F4E-9BEF-817CDAD4A4E3}"/>
    <cellStyle name="Normal 8 6 2 6" xfId="15492" xr:uid="{87FBE9D7-3D22-4AC0-8A35-D60286A371A1}"/>
    <cellStyle name="Normal 8 6 2 7" xfId="40782" xr:uid="{DE1A2853-6B0A-4229-8482-772197EF9382}"/>
    <cellStyle name="Normal 8 6 2 8" xfId="40686" xr:uid="{3F7A5D47-1DE3-4B47-84DD-35291D15B78D}"/>
    <cellStyle name="Normal 8 6 2 9" xfId="15025" xr:uid="{237007B1-0D3B-4370-B2F9-B1522E33A1D7}"/>
    <cellStyle name="Normal 8 6 20" xfId="8098" xr:uid="{00000000-0005-0000-0000-0000620F0000}"/>
    <cellStyle name="Normal 8 6 21" xfId="13337" xr:uid="{00000000-0005-0000-0000-0000EA300000}"/>
    <cellStyle name="Normal 8 6 21 2" xfId="45801" xr:uid="{DBED3046-95F3-4131-A3E9-EF353F6B4F0C}"/>
    <cellStyle name="Normal 8 6 22" xfId="11299" xr:uid="{00000000-0005-0000-0000-000058310000}"/>
    <cellStyle name="Normal 8 6 22 2" xfId="43788" xr:uid="{436E879C-CC53-4581-9E52-F3B2E51C9321}"/>
    <cellStyle name="Normal 8 6 23" xfId="13406" xr:uid="{00000000-0005-0000-0000-0000CA310000}"/>
    <cellStyle name="Normal 8 6 23 2" xfId="45870" xr:uid="{3B3766DF-EA45-424E-9EA1-1839FC719D9E}"/>
    <cellStyle name="Normal 8 6 24" xfId="11227" xr:uid="{00000000-0005-0000-0000-000040320000}"/>
    <cellStyle name="Normal 8 6 24 2" xfId="43716" xr:uid="{C81D56E6-B8F1-4597-8104-C528B5D63804}"/>
    <cellStyle name="Normal 8 6 25" xfId="13470" xr:uid="{00000000-0005-0000-0000-0000BA320000}"/>
    <cellStyle name="Normal 8 6 25 2" xfId="45934" xr:uid="{CED542CB-3D5E-4A45-94F3-BCD0BC8C6CE4}"/>
    <cellStyle name="Normal 8 6 26" xfId="11164" xr:uid="{00000000-0005-0000-0000-000038330000}"/>
    <cellStyle name="Normal 8 6 26 2" xfId="43653" xr:uid="{AE6C941C-0786-4C3E-8283-236F102CBD19}"/>
    <cellStyle name="Normal 8 6 27" xfId="13534" xr:uid="{00000000-0005-0000-0000-0000BA330000}"/>
    <cellStyle name="Normal 8 6 27 2" xfId="45998" xr:uid="{F449BB8B-55F7-4ED3-866A-94B4D185C360}"/>
    <cellStyle name="Normal 8 6 28" xfId="11103" xr:uid="{00000000-0005-0000-0000-000040340000}"/>
    <cellStyle name="Normal 8 6 28 2" xfId="43592" xr:uid="{170CF5FB-4906-439A-84C2-47537D8C1021}"/>
    <cellStyle name="Normal 8 6 29" xfId="13579" xr:uid="{00000000-0005-0000-0000-0000CA340000}"/>
    <cellStyle name="Normal 8 6 29 2" xfId="46043" xr:uid="{464B6136-C16E-43CF-A6E9-BAE084DB8E16}"/>
    <cellStyle name="Normal 8 6 3" xfId="12653" xr:uid="{00000000-0005-0000-0000-000084230000}"/>
    <cellStyle name="Normal-- 8 6 3" xfId="46964" xr:uid="{76C66213-63DA-457C-B297-E5CC65D0466C}"/>
    <cellStyle name="Normal 8 6 3 2" xfId="45124" xr:uid="{B0A68D60-F735-4C5A-81EF-DB17BCE072A8}"/>
    <cellStyle name="Normal 8 6 3 3" xfId="15817" xr:uid="{10215B78-D964-4973-B075-7F59404415A7}"/>
    <cellStyle name="Normal 8 6 3 4" xfId="15518" xr:uid="{FBCA8B57-CA43-4305-945A-A061AD8509D5}"/>
    <cellStyle name="Normal 8 6 3 5" xfId="47278" xr:uid="{560C4428-923F-4419-8254-1F487E31E6C0}"/>
    <cellStyle name="Normal 8 6 3 6" xfId="49451" xr:uid="{1780466B-4B7D-492E-BE47-A3F140C26D3C}"/>
    <cellStyle name="Normal 8 6 3 7" xfId="40405" xr:uid="{5A558BC2-EADA-4581-9907-158CE4164629}"/>
    <cellStyle name="Normal 8 6 3 8" xfId="50033" xr:uid="{1BCE8C87-D7B3-4669-911F-A5055B08D23F}"/>
    <cellStyle name="Normal 8 6 30" xfId="11051" xr:uid="{00000000-0005-0000-0000-000058350000}"/>
    <cellStyle name="Normal 8 6 30 2" xfId="43540" xr:uid="{36BCAD07-F686-458A-A3D5-BF8960295572}"/>
    <cellStyle name="Normal 8 6 31" xfId="16198" xr:uid="{FC1CD18B-BACC-4E30-87AF-538CE79B960C}"/>
    <cellStyle name="Normal 8 6 32" xfId="38853" xr:uid="{A988A586-E21D-44DB-AD45-E6D256B43C4F}"/>
    <cellStyle name="Normal 8 6 33" xfId="15396" xr:uid="{BEB25853-7A84-454C-B325-8935DEC68808}"/>
    <cellStyle name="Normal 8 6 34" xfId="46095" xr:uid="{B18177A3-5FEE-462D-967C-D447FA73B880}"/>
    <cellStyle name="Normal 8 6 35" xfId="46882" xr:uid="{CB840F49-7356-4F6A-B5FE-97DFCBD08F55}"/>
    <cellStyle name="Normal 8 6 36" xfId="48364" xr:uid="{B7C9A936-7E7A-4562-8569-E1BD6F98F211}"/>
    <cellStyle name="Normal 8 6 37" xfId="48725" xr:uid="{437FD64B-CCEF-4496-BF43-5C43BE87B7B9}"/>
    <cellStyle name="Normal 8 6 38" xfId="48903" xr:uid="{B40A2A25-2107-4131-A693-3D04F6508D1E}"/>
    <cellStyle name="Normal 8 6 39" xfId="15382" xr:uid="{0ED06987-5243-4FB6-8E22-F538425E53F0}"/>
    <cellStyle name="Normal 8 6 4" xfId="8810" xr:uid="{00000000-0005-0000-0000-0000A9230000}"/>
    <cellStyle name="Normal-- 8 6 4" xfId="46620" xr:uid="{E8143D48-BDDF-413A-BDC5-D4CD6E6F5875}"/>
    <cellStyle name="Normal 8 6 4 2" xfId="41474" xr:uid="{8F56B056-0340-4CE9-86FB-D278ED48ED3A}"/>
    <cellStyle name="Normal 8 6 4 3" xfId="46105" xr:uid="{E5E3BDA0-123C-4666-9982-C7FB68B7EA00}"/>
    <cellStyle name="Normal 8 6 4 4" xfId="40364" xr:uid="{FF624B60-5473-4719-A590-8353A136AD07}"/>
    <cellStyle name="Normal 8 6 4 5" xfId="15218" xr:uid="{8D8039D6-525C-4E22-B4B5-48829DEE5B57}"/>
    <cellStyle name="Normal 8 6 4 6" xfId="49160" xr:uid="{66297C0E-2AD1-408C-B53D-469253723D07}"/>
    <cellStyle name="Normal 8 6 4 7" xfId="40593" xr:uid="{C3C46072-B71C-44A3-8410-14FF5354DA4A}"/>
    <cellStyle name="Normal 8 6 5" xfId="12667" xr:uid="{00000000-0005-0000-0000-0000D2230000}"/>
    <cellStyle name="Normal-- 8 6 5" xfId="40724" xr:uid="{7BCC6584-CEAC-4164-A517-1C09EF29AB3B}"/>
    <cellStyle name="Normal 8 6 5 2" xfId="45138" xr:uid="{E7EEFBFB-8DBA-4B6F-AADF-32AFCE0C6638}"/>
    <cellStyle name="Normal 8 6 5 3" xfId="48040" xr:uid="{875CDC7B-8149-4D31-9EC3-602688BD58FA}"/>
    <cellStyle name="Normal 8 6 5 4" xfId="49456" xr:uid="{B6359B52-22A4-48E2-834D-31F44E71BD6C}"/>
    <cellStyle name="Normal 8 6 5 5" xfId="47307" xr:uid="{5B42EA88-368F-49FB-9E73-539FAA55A0E5}"/>
    <cellStyle name="Normal 8 6 5 6" xfId="50039" xr:uid="{E1D7B9FE-4586-4D0B-AF90-DA38D705FA9F}"/>
    <cellStyle name="Normal 8 6 6" xfId="8846" xr:uid="{00000000-0005-0000-0000-0000FF230000}"/>
    <cellStyle name="Normal-- 8 6 6" xfId="47759" xr:uid="{FE575426-EE7B-46FD-8FA9-0E3EDDDDAC1D}"/>
    <cellStyle name="Normal 8 6 6 2" xfId="41504" xr:uid="{63FED0C8-4941-4340-B542-4C41B1B01B76}"/>
    <cellStyle name="Normal 8 6 6 3" xfId="37958" xr:uid="{BFF62729-C0EB-440E-93DE-6113F52B3745}"/>
    <cellStyle name="Normal 8 6 6 4" xfId="40572" xr:uid="{AEDF9EFC-A99C-45FD-91C9-2EC116C4D490}"/>
    <cellStyle name="Normal 8 6 6 5" xfId="46891" xr:uid="{5B83203B-77D3-402F-B133-4264F562C086}"/>
    <cellStyle name="Normal 8 6 7" xfId="12699" xr:uid="{00000000-0005-0000-0000-000031240000}"/>
    <cellStyle name="Normal-- 8 6 7" xfId="48640" xr:uid="{88416973-4DA1-4B86-8DBB-F7C91BAF2EB5}"/>
    <cellStyle name="Normal 8 6 7 2" xfId="45170" xr:uid="{C55100A2-521F-489B-ABC8-C77EFA6BEBAF}"/>
    <cellStyle name="Normal 8 6 7 3" xfId="49709" xr:uid="{553F7649-F645-470B-9BD7-1537936F42F3}"/>
    <cellStyle name="Normal 8 6 7 4" xfId="50055" xr:uid="{F6C7EF9D-E23A-4531-8252-4DC4F97EC90C}"/>
    <cellStyle name="Normal 8 6 8" xfId="8906" xr:uid="{00000000-0005-0000-0000-000067240000}"/>
    <cellStyle name="Normal-- 8 6 8" xfId="40325" xr:uid="{BCFF0E2D-1887-4D32-A68C-9C58E1445200}"/>
    <cellStyle name="Normal 8 6 8 2" xfId="41552" xr:uid="{9A43C5AF-79B5-432B-9277-596E51527187}"/>
    <cellStyle name="Normal 8 6 8 3" xfId="48837" xr:uid="{B88940E2-A00A-4B47-B0F7-F53397035D37}"/>
    <cellStyle name="Normal 8 6 9" xfId="12727" xr:uid="{00000000-0005-0000-0000-0000A1240000}"/>
    <cellStyle name="Normal-- 8 6 9" xfId="14246" xr:uid="{F2C3EDFE-2B11-4FC4-BEAB-B8A160213BB2}"/>
    <cellStyle name="Normal 8 6 9 2" xfId="45198" xr:uid="{A18F844F-97D3-4D83-B3EE-5DDCAC88227C}"/>
    <cellStyle name="Normal 8 60" xfId="9044" xr:uid="{00000000-0005-0000-0000-0000F1250000}"/>
    <cellStyle name="Normal 8 60 2" xfId="41657" xr:uid="{2B995F70-242F-4028-ABA7-70266299E187}"/>
    <cellStyle name="Normal 8 61" xfId="12805" xr:uid="{00000000-0005-0000-0000-000042260000}"/>
    <cellStyle name="Normal 8 61 2" xfId="45276" xr:uid="{8B4F78A5-6B1D-48D3-A1B9-9C7FEA85BB9B}"/>
    <cellStyle name="Normal 8 62" xfId="9119" xr:uid="{00000000-0005-0000-0000-000097260000}"/>
    <cellStyle name="Normal 8 62 2" xfId="41720" xr:uid="{D6068996-5A06-43A2-B01A-001AB534FF17}"/>
    <cellStyle name="Normal 8 63" xfId="12849" xr:uid="{00000000-0005-0000-0000-0000F0260000}"/>
    <cellStyle name="Normal 8 63 2" xfId="45320" xr:uid="{4F7C1077-0E4D-481A-BE78-30DBF7EBCB22}"/>
    <cellStyle name="Normal 8 64" xfId="9204" xr:uid="{00000000-0005-0000-0000-00004D270000}"/>
    <cellStyle name="Normal 8 64 2" xfId="41769" xr:uid="{0A742528-52E2-4E19-A19D-F96581D6A59F}"/>
    <cellStyle name="Normal 8 65" xfId="12882" xr:uid="{00000000-0005-0000-0000-0000AE270000}"/>
    <cellStyle name="Normal 8 65 2" xfId="45353" xr:uid="{3AE55D77-C0D1-4288-8206-EA8ECC2B263C}"/>
    <cellStyle name="Normal 8 66" xfId="8034" xr:uid="{00000000-0005-0000-0000-0000260F0000}"/>
    <cellStyle name="Normal 8 66 2" xfId="40874" xr:uid="{F9080C58-775B-40E4-B0E1-8CEEC571DF20}"/>
    <cellStyle name="Normal 8 67" xfId="13292" xr:uid="{00000000-0005-0000-0000-0000D5300000}"/>
    <cellStyle name="Normal 8 67 2" xfId="45756" xr:uid="{F183ABFE-DDA3-4CB8-81F1-539A2D039BE9}"/>
    <cellStyle name="Normal 8 68" xfId="11350" xr:uid="{00000000-0005-0000-0000-000042310000}"/>
    <cellStyle name="Normal 8 68 2" xfId="43839" xr:uid="{34BD8735-80C0-47B4-9EF0-B31F89444238}"/>
    <cellStyle name="Normal 8 69" xfId="13358" xr:uid="{00000000-0005-0000-0000-0000B3310000}"/>
    <cellStyle name="Normal 8 69 2" xfId="45822" xr:uid="{C6A4F49D-7567-4D60-8DE8-EF929693615E}"/>
    <cellStyle name="Normal 8 7" xfId="4816" xr:uid="{00000000-0005-0000-0000-0000F3120000}"/>
    <cellStyle name="Normal-- 8 7" xfId="12610" xr:uid="{00000000-0005-0000-0000-00007F230000}"/>
    <cellStyle name="Normal 8 7 10" xfId="12761" xr:uid="{00000000-0005-0000-0000-000022250000}"/>
    <cellStyle name="Normal 8 7 10 2" xfId="45232" xr:uid="{8A932FC9-401A-42F4-B9DA-F0E3090B4F6B}"/>
    <cellStyle name="Normal 8 7 11" xfId="9038" xr:uid="{00000000-0005-0000-0000-000068250000}"/>
    <cellStyle name="Normal 8 7 11 2" xfId="41652" xr:uid="{C194F2BE-CD4C-4A1E-8B4C-FE99E355357A}"/>
    <cellStyle name="Normal 8 7 12" xfId="12801" xr:uid="{00000000-0005-0000-0000-0000B2250000}"/>
    <cellStyle name="Normal 8 7 12 2" xfId="45272" xr:uid="{D059658C-ACB3-4BA1-BE95-63AC86191B88}"/>
    <cellStyle name="Normal 8 7 13" xfId="9110" xr:uid="{00000000-0005-0000-0000-000000260000}"/>
    <cellStyle name="Normal 8 7 13 2" xfId="41713" xr:uid="{A9FB849A-2123-4820-9448-7B85BB74CAC0}"/>
    <cellStyle name="Normal 8 7 14" xfId="12837" xr:uid="{00000000-0005-0000-0000-000052260000}"/>
    <cellStyle name="Normal 8 7 14 2" xfId="45308" xr:uid="{29200BB1-B338-4C6C-A0E9-EB9602554B63}"/>
    <cellStyle name="Normal 8 7 15" xfId="9183" xr:uid="{00000000-0005-0000-0000-0000A8260000}"/>
    <cellStyle name="Normal 8 7 15 2" xfId="41758" xr:uid="{A9BDDA6E-6529-4E42-9AFC-7D041DD3C48B}"/>
    <cellStyle name="Normal 8 7 16" xfId="12877" xr:uid="{00000000-0005-0000-0000-000002270000}"/>
    <cellStyle name="Normal 8 7 16 2" xfId="45348" xr:uid="{FC529FDE-C509-41AF-8BA0-6D61494A3A48}"/>
    <cellStyle name="Normal 8 7 17" xfId="9260" xr:uid="{00000000-0005-0000-0000-000060270000}"/>
    <cellStyle name="Normal 8 7 17 2" xfId="41796" xr:uid="{A0199B7E-53C1-411E-9E91-37AD1CDD866B}"/>
    <cellStyle name="Normal 8 7 18" xfId="12904" xr:uid="{00000000-0005-0000-0000-0000C2270000}"/>
    <cellStyle name="Normal 8 7 18 2" xfId="45375" xr:uid="{1512607F-8C04-4421-9DC8-0955A1AA7110}"/>
    <cellStyle name="Normal 8 7 19" xfId="8099" xr:uid="{00000000-0005-0000-0000-0000630F0000}"/>
    <cellStyle name="Normal 8 7 2" xfId="10341" xr:uid="{00000000-0005-0000-0000-000040200000}"/>
    <cellStyle name="Normal-- 8 7 2" xfId="45081" xr:uid="{AAECB1F5-9488-4288-B880-59D2C71C4848}"/>
    <cellStyle name="Normal 8 7 2 2" xfId="42830" xr:uid="{0F331DC3-76CA-4D5E-A332-8DC410499148}"/>
    <cellStyle name="Normal 8 7 2 3" xfId="47598" xr:uid="{E2B496D8-57AE-4580-A61A-0BE4C121486F}"/>
    <cellStyle name="Normal 8 7 2 4" xfId="46330" xr:uid="{390D9BB0-3156-4A35-8A46-E346DDADD22E}"/>
    <cellStyle name="Normal 8 7 2 5" xfId="46846" xr:uid="{9BFC71AF-370B-4C93-B23A-74DCAE742210}"/>
    <cellStyle name="Normal 8 7 2 6" xfId="48471" xr:uid="{D6A96374-8854-4358-8930-8953C481BD07}"/>
    <cellStyle name="Normal 8 7 2 7" xfId="40873" xr:uid="{F669CA3C-0E24-49C8-BA4E-DB6CF914C0C3}"/>
    <cellStyle name="Normal 8 7 2 8" xfId="15367" xr:uid="{BBE14EF9-24B7-4DF3-A9EF-7A9060B3F1CF}"/>
    <cellStyle name="Normal 8 7 2 9" xfId="46914" xr:uid="{C687FA66-702F-4B46-A290-6B657A3D2FE0}"/>
    <cellStyle name="Normal 8 7 20" xfId="13338" xr:uid="{00000000-0005-0000-0000-0000EB300000}"/>
    <cellStyle name="Normal 8 7 20 2" xfId="45802" xr:uid="{6956E82C-1EE7-46B8-967B-25DB4458875F}"/>
    <cellStyle name="Normal 8 7 21" xfId="11298" xr:uid="{00000000-0005-0000-0000-000059310000}"/>
    <cellStyle name="Normal 8 7 21 2" xfId="43787" xr:uid="{B2A33CA9-286B-4394-B748-55B79F32958C}"/>
    <cellStyle name="Normal 8 7 22" xfId="13407" xr:uid="{00000000-0005-0000-0000-0000CB310000}"/>
    <cellStyle name="Normal 8 7 22 2" xfId="45871" xr:uid="{4E072BDC-E00B-4B5C-ABF9-A6F5E98301D1}"/>
    <cellStyle name="Normal 8 7 23" xfId="11225" xr:uid="{00000000-0005-0000-0000-000041320000}"/>
    <cellStyle name="Normal 8 7 23 2" xfId="43714" xr:uid="{5F88A9A1-53BD-45E7-87D0-8145463EAA30}"/>
    <cellStyle name="Normal 8 7 24" xfId="13471" xr:uid="{00000000-0005-0000-0000-0000BB320000}"/>
    <cellStyle name="Normal 8 7 24 2" xfId="45935" xr:uid="{A25673A6-5647-4BCB-AD1D-4858ED2E58DC}"/>
    <cellStyle name="Normal 8 7 25" xfId="11163" xr:uid="{00000000-0005-0000-0000-000039330000}"/>
    <cellStyle name="Normal 8 7 25 2" xfId="43652" xr:uid="{74C8E4F7-468D-4EF3-A30A-687E82BDC6B9}"/>
    <cellStyle name="Normal 8 7 26" xfId="13535" xr:uid="{00000000-0005-0000-0000-0000BB330000}"/>
    <cellStyle name="Normal 8 7 26 2" xfId="45999" xr:uid="{2B391447-DD17-412B-88C9-FB72BF5255A0}"/>
    <cellStyle name="Normal 8 7 27" xfId="11102" xr:uid="{00000000-0005-0000-0000-000041340000}"/>
    <cellStyle name="Normal 8 7 27 2" xfId="43591" xr:uid="{EFCAB47C-242D-4D87-82B3-7B40EAABA499}"/>
    <cellStyle name="Normal 8 7 28" xfId="13580" xr:uid="{00000000-0005-0000-0000-0000CB340000}"/>
    <cellStyle name="Normal 8 7 28 2" xfId="46044" xr:uid="{38231CDB-56C9-41ED-974F-2A0167438AED}"/>
    <cellStyle name="Normal 8 7 29" xfId="11050" xr:uid="{00000000-0005-0000-0000-000059350000}"/>
    <cellStyle name="Normal 8 7 29 2" xfId="43539" xr:uid="{C5F77E50-C24F-48DF-B961-43F3240E7D3E}"/>
    <cellStyle name="Normal 8 7 3" xfId="8811" xr:uid="{00000000-0005-0000-0000-0000AA230000}"/>
    <cellStyle name="Normal-- 8 7 3" xfId="48398" xr:uid="{3BAF714C-A449-42EC-8D4B-08C13C1D1995}"/>
    <cellStyle name="Normal 8 7 3 2" xfId="41475" xr:uid="{3C9B4A4B-1B5D-46F1-9453-B11C2C8A06CC}"/>
    <cellStyle name="Normal 8 7 3 3" xfId="13677" xr:uid="{765388E2-9DAB-4434-8E93-E7544867B284}"/>
    <cellStyle name="Normal 8 7 3 4" xfId="47612" xr:uid="{BD730E1A-31CB-402D-A240-E0050325D22B}"/>
    <cellStyle name="Normal 8 7 3 5" xfId="14207" xr:uid="{5BEFD8E6-64D7-4C91-8983-2E80D6068A84}"/>
    <cellStyle name="Normal 8 7 3 6" xfId="46222" xr:uid="{0C8750C3-B13B-4546-8318-E515FB89BF82}"/>
    <cellStyle name="Normal 8 7 3 7" xfId="48767" xr:uid="{D16C9041-D011-447D-85FC-C832832B658B}"/>
    <cellStyle name="Normal 8 7 3 8" xfId="40248" xr:uid="{640A28F1-B684-433B-AE3F-5E4D58999433}"/>
    <cellStyle name="Normal 8 7 30" xfId="16199" xr:uid="{6585CF1F-7255-4CC6-9288-37B75CA5939A}"/>
    <cellStyle name="Normal 8 7 31" xfId="38854" xr:uid="{EA53D1F1-96D0-4390-B818-7AB503A5B83D}"/>
    <cellStyle name="Normal 8 7 32" xfId="15397" xr:uid="{8CD32EE0-E235-4837-9B53-486BC5FEE747}"/>
    <cellStyle name="Normal 8 7 33" xfId="47390" xr:uid="{E7527AD3-43A2-4BCA-A4AF-77AC295CB0AA}"/>
    <cellStyle name="Normal 8 7 34" xfId="15665" xr:uid="{71EAD903-2602-4F6B-A176-A9E962DF3C5F}"/>
    <cellStyle name="Normal 8 7 35" xfId="47061" xr:uid="{5B24D9B8-B1FB-47DC-A212-C1539911280F}"/>
    <cellStyle name="Normal 8 7 36" xfId="46248" xr:uid="{35092153-75DA-46A9-8ADD-0D9779362E54}"/>
    <cellStyle name="Normal 8 7 37" xfId="15452" xr:uid="{EE29BC00-D05F-4B63-A2FF-6E6664898857}"/>
    <cellStyle name="Normal 8 7 38" xfId="49051" xr:uid="{A011BE0F-4DF0-4BBE-8266-9A7D563BD8BA}"/>
    <cellStyle name="Normal 8 7 4" xfId="12668" xr:uid="{00000000-0005-0000-0000-0000D3230000}"/>
    <cellStyle name="Normal-- 8 7 4" xfId="15977" xr:uid="{2EA092CF-EECA-4BAC-83DE-A34919A41C08}"/>
    <cellStyle name="Normal 8 7 4 2" xfId="45139" xr:uid="{FDA1019D-3986-437D-AE23-189E2554E92C}"/>
    <cellStyle name="Normal 8 7 4 3" xfId="15519" xr:uid="{5DF681EC-1B75-4390-BAE6-443AD2C184E1}"/>
    <cellStyle name="Normal 8 7 4 4" xfId="48357" xr:uid="{30221FC2-0591-48CD-B3B5-EE6DACCC494B}"/>
    <cellStyle name="Normal 8 7 4 5" xfId="49457" xr:uid="{65426F82-32E8-4080-B41A-8AF4E76306CD}"/>
    <cellStyle name="Normal 8 7 4 6" xfId="37941" xr:uid="{DE626E0E-6F7A-46D2-BE58-D9F809F511F9}"/>
    <cellStyle name="Normal 8 7 4 7" xfId="50040" xr:uid="{3C9A535C-ADF1-40C4-85F9-D26148893AE4}"/>
    <cellStyle name="Normal 8 7 5" xfId="8847" xr:uid="{00000000-0005-0000-0000-000000240000}"/>
    <cellStyle name="Normal-- 8 7 5" xfId="48266" xr:uid="{EBED64B5-0BBF-4427-BFB6-027294E50D2D}"/>
    <cellStyle name="Normal 8 7 5 2" xfId="41505" xr:uid="{3D5D6233-A4DE-489A-956B-C81AE03196B9}"/>
    <cellStyle name="Normal 8 7 5 3" xfId="46092" xr:uid="{699854E2-AE9B-44EB-94B6-B69EE757E31A}"/>
    <cellStyle name="Normal 8 7 5 4" xfId="46207" xr:uid="{8A258BE2-2930-4F51-9EFD-DBED04D50ECE}"/>
    <cellStyle name="Normal 8 7 5 5" xfId="47468" xr:uid="{E2BAD98B-2720-4B7A-AE30-56C0B20EFA41}"/>
    <cellStyle name="Normal 8 7 5 6" xfId="15805" xr:uid="{57669E15-374F-4066-B12D-95051C8D7C71}"/>
    <cellStyle name="Normal 8 7 6" xfId="12700" xr:uid="{00000000-0005-0000-0000-000032240000}"/>
    <cellStyle name="Normal-- 8 7 6" xfId="47454" xr:uid="{89067429-18AF-483C-86C3-D80C08DCDAF6}"/>
    <cellStyle name="Normal 8 7 6 2" xfId="45171" xr:uid="{C53B1906-3FDC-4D7B-AF1A-0C77C9E359C6}"/>
    <cellStyle name="Normal 8 7 6 3" xfId="49469" xr:uid="{02ACBD07-E880-47BF-8010-171DC390B675}"/>
    <cellStyle name="Normal 8 7 6 4" xfId="49710" xr:uid="{2A1F2E9A-C5A9-4872-91D2-EEA376099D7A}"/>
    <cellStyle name="Normal 8 7 6 5" xfId="50056" xr:uid="{B6CA939F-EF98-45C0-B479-3D8D8FB69E66}"/>
    <cellStyle name="Normal 8 7 7" xfId="8908" xr:uid="{00000000-0005-0000-0000-000068240000}"/>
    <cellStyle name="Normal-- 8 7 7" xfId="49432" xr:uid="{EF1D413E-E930-4BBD-B873-10DC8EB4444D}"/>
    <cellStyle name="Normal 8 7 7 2" xfId="41554" xr:uid="{B1AE08AC-EE1C-4BC0-87FD-6651F6E0B672}"/>
    <cellStyle name="Normal 8 7 7 3" xfId="15301" xr:uid="{7B0C5C1F-3BC0-4679-9FD8-51C3FE5411CF}"/>
    <cellStyle name="Normal 8 7 7 4" xfId="48645" xr:uid="{E846E15D-BD07-40F1-9FCE-1354FF5A08AC}"/>
    <cellStyle name="Normal 8 7 8" xfId="12728" xr:uid="{00000000-0005-0000-0000-0000A2240000}"/>
    <cellStyle name="Normal-- 8 7 8" xfId="46676" xr:uid="{6EDE6956-BC7F-4850-B98A-32DC46B34568}"/>
    <cellStyle name="Normal 8 7 8 2" xfId="45199" xr:uid="{3FC6C5B8-04F9-44F5-9FE3-AB1EC4295B83}"/>
    <cellStyle name="Normal 8 7 8 3" xfId="50065" xr:uid="{E7331618-046D-41B8-AEE6-5B7B56BBCC42}"/>
    <cellStyle name="Normal 8 7 9" xfId="8973" xr:uid="{00000000-0005-0000-0000-0000E0240000}"/>
    <cellStyle name="Normal-- 8 7 9" xfId="50005" xr:uid="{F1518778-E4B9-4684-9963-4948DE1B08B8}"/>
    <cellStyle name="Normal 8 7 9 2" xfId="41607" xr:uid="{C237C30B-2529-4D70-B523-402D9DB22D8F}"/>
    <cellStyle name="Normal 8 70" xfId="11277" xr:uid="{00000000-0005-0000-0000-000028320000}"/>
    <cellStyle name="Normal 8 70 2" xfId="43766" xr:uid="{5BF1A101-79A4-4A1F-97D8-36DF706360BC}"/>
    <cellStyle name="Normal 8 71" xfId="13417" xr:uid="{00000000-0005-0000-0000-0000A1320000}"/>
    <cellStyle name="Normal 8 71 2" xfId="45881" xr:uid="{C4BEC58A-A8C5-4E1A-A61C-8AC53FBCB95E}"/>
    <cellStyle name="Normal 8 72" xfId="11213" xr:uid="{00000000-0005-0000-0000-00001E330000}"/>
    <cellStyle name="Normal 8 72 2" xfId="43702" xr:uid="{29B64801-C1FA-4F8A-B71F-C589D26A496C}"/>
    <cellStyle name="Normal 8 73" xfId="13481" xr:uid="{00000000-0005-0000-0000-00009F330000}"/>
    <cellStyle name="Normal 8 73 2" xfId="45945" xr:uid="{C354AAC5-B6B5-4786-8E01-691740C12CBD}"/>
    <cellStyle name="Normal 8 74" xfId="11153" xr:uid="{00000000-0005-0000-0000-000024340000}"/>
    <cellStyle name="Normal 8 74 2" xfId="43642" xr:uid="{C9DA6595-C86D-4438-A77E-07F68ECC8CF8}"/>
    <cellStyle name="Normal 8 75" xfId="13548" xr:uid="{00000000-0005-0000-0000-0000AD340000}"/>
    <cellStyle name="Normal 8 75 2" xfId="46012" xr:uid="{A848B0AF-E30A-4D16-AC5F-6ADE612AAF1B}"/>
    <cellStyle name="Normal 8 76" xfId="11084" xr:uid="{00000000-0005-0000-0000-00003A350000}"/>
    <cellStyle name="Normal 8 76 2" xfId="43573" xr:uid="{B85176EC-060F-4570-9EAE-B5028ACA6F15}"/>
    <cellStyle name="Normal 8 77" xfId="16139" xr:uid="{173C4BE1-1988-4B6D-BA49-EDFAB114AE1E}"/>
    <cellStyle name="Normal 8 78" xfId="38791" xr:uid="{12A7379C-2A35-40B8-ABC9-46F022059311}"/>
    <cellStyle name="Normal 8 79" xfId="15371" xr:uid="{705B5CCE-7BE4-4EA0-82FD-DB23FFDE9914}"/>
    <cellStyle name="Normal 8 8" xfId="4817" xr:uid="{00000000-0005-0000-0000-0000F4120000}"/>
    <cellStyle name="Normal-- 8 8" xfId="8746" xr:uid="{00000000-0005-0000-0000-0000A4230000}"/>
    <cellStyle name="Normal 8 8 10" xfId="9040" xr:uid="{00000000-0005-0000-0000-000069250000}"/>
    <cellStyle name="Normal 8 8 10 2" xfId="41654" xr:uid="{B2EEBE2B-DB0B-4B11-94B4-886806AC0A22}"/>
    <cellStyle name="Normal 8 8 11" xfId="12802" xr:uid="{00000000-0005-0000-0000-0000B3250000}"/>
    <cellStyle name="Normal 8 8 11 2" xfId="45273" xr:uid="{16567C57-7936-491F-A2F0-A217599CC215}"/>
    <cellStyle name="Normal 8 8 12" xfId="9111" xr:uid="{00000000-0005-0000-0000-000001260000}"/>
    <cellStyle name="Normal 8 8 12 2" xfId="41714" xr:uid="{02B6CDC0-E14D-4EF1-B657-60B87E76EBD7}"/>
    <cellStyle name="Normal 8 8 13" xfId="12838" xr:uid="{00000000-0005-0000-0000-000053260000}"/>
    <cellStyle name="Normal 8 8 13 2" xfId="45309" xr:uid="{7C18DA9F-CD60-46D2-86A5-D50D524D11C7}"/>
    <cellStyle name="Normal 8 8 14" xfId="9184" xr:uid="{00000000-0005-0000-0000-0000A9260000}"/>
    <cellStyle name="Normal 8 8 14 2" xfId="41759" xr:uid="{1882812A-3EA3-453A-A322-6CF1DC6A8694}"/>
    <cellStyle name="Normal 8 8 15" xfId="12878" xr:uid="{00000000-0005-0000-0000-000003270000}"/>
    <cellStyle name="Normal 8 8 15 2" xfId="45349" xr:uid="{07F22967-1F96-430A-A42C-2E0FB96A8C46}"/>
    <cellStyle name="Normal 8 8 16" xfId="9261" xr:uid="{00000000-0005-0000-0000-000061270000}"/>
    <cellStyle name="Normal 8 8 16 2" xfId="41797" xr:uid="{9F94228F-6ADB-4404-9C44-9E4D3C7084A5}"/>
    <cellStyle name="Normal 8 8 17" xfId="12905" xr:uid="{00000000-0005-0000-0000-0000C3270000}"/>
    <cellStyle name="Normal 8 8 17 2" xfId="45376" xr:uid="{7FAD54A7-1C7F-48B3-A721-810FBC0981EC}"/>
    <cellStyle name="Normal 8 8 18" xfId="8100" xr:uid="{00000000-0005-0000-0000-0000640F0000}"/>
    <cellStyle name="Normal 8 8 19" xfId="13339" xr:uid="{00000000-0005-0000-0000-0000EC300000}"/>
    <cellStyle name="Normal 8 8 19 2" xfId="45803" xr:uid="{EDCA1E9D-801C-4C4D-B419-6D173CA257C2}"/>
    <cellStyle name="Normal 8 8 2" xfId="10342" xr:uid="{00000000-0005-0000-0000-000041200000}"/>
    <cellStyle name="Normal-- 8 8 2" xfId="41430" xr:uid="{FE11686B-D06A-495C-9786-1437793FCF1E}"/>
    <cellStyle name="Normal 8 8 2 2" xfId="42831" xr:uid="{767F22E0-1129-4770-B82C-F56195800ECD}"/>
    <cellStyle name="Normal 8 8 2 3" xfId="47599" xr:uid="{2CCC1F12-1391-495C-9794-65D81FA1E44D}"/>
    <cellStyle name="Normal 8 8 2 4" xfId="37900" xr:uid="{20A9569C-960E-45A5-9EB7-3972C2DC331A}"/>
    <cellStyle name="Normal 8 8 2 5" xfId="40677" xr:uid="{2FC3B8A0-3F13-477B-94E3-2DE6D67F489A}"/>
    <cellStyle name="Normal 8 8 2 6" xfId="47093" xr:uid="{C1837288-B23A-4CAA-81C0-02260727937C}"/>
    <cellStyle name="Normal 8 8 2 7" xfId="39900" xr:uid="{0E46DA0F-AEBB-4655-8DED-2D7806CE4CE8}"/>
    <cellStyle name="Normal 8 8 2 8" xfId="15462" xr:uid="{38B2BCFB-A9D3-469B-82D0-A2271E850364}"/>
    <cellStyle name="Normal 8 8 2 9" xfId="48145" xr:uid="{3FEA2FAD-3465-4F52-84A1-D2482100B349}"/>
    <cellStyle name="Normal 8 8 20" xfId="11297" xr:uid="{00000000-0005-0000-0000-00005A310000}"/>
    <cellStyle name="Normal 8 8 20 2" xfId="43786" xr:uid="{AABC2E4E-F8E7-469A-9033-553E83DCE926}"/>
    <cellStyle name="Normal 8 8 21" xfId="13408" xr:uid="{00000000-0005-0000-0000-0000CC310000}"/>
    <cellStyle name="Normal 8 8 21 2" xfId="45872" xr:uid="{8A24FB19-2E55-4741-A662-9494E278032B}"/>
    <cellStyle name="Normal 8 8 22" xfId="11224" xr:uid="{00000000-0005-0000-0000-000042320000}"/>
    <cellStyle name="Normal 8 8 22 2" xfId="43713" xr:uid="{7E8A8745-1F3D-4597-A0EC-743FAF2F9C75}"/>
    <cellStyle name="Normal 8 8 23" xfId="13472" xr:uid="{00000000-0005-0000-0000-0000BC320000}"/>
    <cellStyle name="Normal 8 8 23 2" xfId="45936" xr:uid="{4A62378B-04FF-4CE4-A30B-CB865DEB49DA}"/>
    <cellStyle name="Normal 8 8 24" xfId="11162" xr:uid="{00000000-0005-0000-0000-00003A330000}"/>
    <cellStyle name="Normal 8 8 24 2" xfId="43651" xr:uid="{751BDEBC-F09D-48A5-BEBE-919DABB1B515}"/>
    <cellStyle name="Normal 8 8 25" xfId="13536" xr:uid="{00000000-0005-0000-0000-0000BC330000}"/>
    <cellStyle name="Normal 8 8 25 2" xfId="46000" xr:uid="{3F520A9F-7862-484E-9617-0B94E907F6AE}"/>
    <cellStyle name="Normal 8 8 26" xfId="11101" xr:uid="{00000000-0005-0000-0000-000042340000}"/>
    <cellStyle name="Normal 8 8 26 2" xfId="43590" xr:uid="{DFA8361F-0A7F-46FB-8A9D-EC2C2DFFCF14}"/>
    <cellStyle name="Normal 8 8 27" xfId="13581" xr:uid="{00000000-0005-0000-0000-0000CC340000}"/>
    <cellStyle name="Normal 8 8 27 2" xfId="46045" xr:uid="{6112E3A7-5D1A-4A2E-8C6F-1DFB58E6F5B8}"/>
    <cellStyle name="Normal 8 8 28" xfId="11049" xr:uid="{00000000-0005-0000-0000-00005A350000}"/>
    <cellStyle name="Normal 8 8 28 2" xfId="43538" xr:uid="{47E4ACED-E0F6-4AF1-B671-3931BE84E869}"/>
    <cellStyle name="Normal 8 8 29" xfId="16200" xr:uid="{F959DA52-92BF-47E6-AF7F-C57E64DAC99F}"/>
    <cellStyle name="Normal 8 8 3" xfId="12669" xr:uid="{00000000-0005-0000-0000-0000D4230000}"/>
    <cellStyle name="Normal-- 8 8 3" xfId="46972" xr:uid="{68986DF9-EA07-425E-B508-339BCFBEDEF5}"/>
    <cellStyle name="Normal 8 8 3 2" xfId="45140" xr:uid="{CE8BFCEC-5737-4B2B-9293-B11A9F21D705}"/>
    <cellStyle name="Normal 8 8 3 3" xfId="15918" xr:uid="{2323A3E7-FA5A-41DB-BCDE-747E1F6EBD67}"/>
    <cellStyle name="Normal 8 8 3 4" xfId="47820" xr:uid="{95649FCD-B368-44C3-BA70-D73633A37C15}"/>
    <cellStyle name="Normal 8 8 3 5" xfId="48597" xr:uid="{16D68084-9E05-43B3-89A2-9BDAB2E50CE3}"/>
    <cellStyle name="Normal 8 8 3 6" xfId="49458" xr:uid="{3CA37DAB-AF52-472D-83C2-879EA54D2CE0}"/>
    <cellStyle name="Normal 8 8 3 7" xfId="46317" xr:uid="{E3AF2F8B-EB5C-46C0-94D9-E6587ED239C9}"/>
    <cellStyle name="Normal 8 8 3 8" xfId="50041" xr:uid="{DC9E4A9D-BD31-40D9-9C78-2300BA01AA1F}"/>
    <cellStyle name="Normal 8 8 30" xfId="38855" xr:uid="{5A1BEFE7-9087-450B-B8BF-86D0F013139C}"/>
    <cellStyle name="Normal 8 8 31" xfId="40338" xr:uid="{FEAF7A88-FE8C-4C60-9F7D-B29FA2BF7351}"/>
    <cellStyle name="Normal 8 8 32" xfId="40470" xr:uid="{81F4F9CE-F60C-4F07-BC04-98DFD36C03DD}"/>
    <cellStyle name="Normal 8 8 33" xfId="46426" xr:uid="{F7713CA8-6953-4C0C-ADF1-09FA96C6DE64}"/>
    <cellStyle name="Normal 8 8 34" xfId="37831" xr:uid="{7C2F67EB-FFB8-45D4-AC7E-4217840B27CC}"/>
    <cellStyle name="Normal 8 8 35" xfId="40259" xr:uid="{E62FD3F2-2B98-453C-81A2-47427481A779}"/>
    <cellStyle name="Normal 8 8 36" xfId="40678" xr:uid="{9D6D5DFD-8D73-4D25-BBC7-1676B9734023}"/>
    <cellStyle name="Normal 8 8 37" xfId="41367" xr:uid="{8DF45D3C-A2FB-4153-9D53-E2F682E2D666}"/>
    <cellStyle name="Normal 8 8 4" xfId="8848" xr:uid="{00000000-0005-0000-0000-000001240000}"/>
    <cellStyle name="Normal-- 8 8 4" xfId="13681" xr:uid="{F9BF3FA8-3387-4260-9211-C527B962D926}"/>
    <cellStyle name="Normal 8 8 4 2" xfId="41506" xr:uid="{F07568DC-CA8A-47EB-B87D-663F313A4400}"/>
    <cellStyle name="Normal 8 8 4 3" xfId="40082" xr:uid="{06F9B161-96E6-467D-BA66-1C18173D4DFC}"/>
    <cellStyle name="Normal 8 8 4 4" xfId="47386" xr:uid="{92CA440D-DA22-4C71-A3AB-4C01DCEF3DC4}"/>
    <cellStyle name="Normal 8 8 4 5" xfId="48930" xr:uid="{253CDD2E-C6CF-4CD8-B1BC-1A5BF82F0CA7}"/>
    <cellStyle name="Normal 8 8 4 6" xfId="47638" xr:uid="{2409172A-8A03-4F60-8F2B-5D4DF72CFE7E}"/>
    <cellStyle name="Normal 8 8 4 7" xfId="49490" xr:uid="{60331CAC-A326-4B65-82F4-49DA23EE81EA}"/>
    <cellStyle name="Normal 8 8 5" xfId="12701" xr:uid="{00000000-0005-0000-0000-000033240000}"/>
    <cellStyle name="Normal-- 8 8 5" xfId="40717" xr:uid="{B0A0D5BD-EA88-4F61-9BC8-E811AF156B16}"/>
    <cellStyle name="Normal 8 8 5 2" xfId="45172" xr:uid="{E42EE9E3-B8AC-48D4-9B52-EA1B724CC6BC}"/>
    <cellStyle name="Normal 8 8 5 3" xfId="37980" xr:uid="{EC2C7E07-5BDD-45E0-A4C5-9308FF36B8A8}"/>
    <cellStyle name="Normal 8 8 5 4" xfId="49470" xr:uid="{86914BDA-CFB7-4802-BF93-B6C05909D06E}"/>
    <cellStyle name="Normal 8 8 5 5" xfId="49711" xr:uid="{CD1764DF-C5A8-4718-A5E0-8D3D600762EF}"/>
    <cellStyle name="Normal 8 8 5 6" xfId="50057" xr:uid="{B9966417-15D7-4C6A-9A13-E2C948293482}"/>
    <cellStyle name="Normal 8 8 6" xfId="8909" xr:uid="{00000000-0005-0000-0000-000069240000}"/>
    <cellStyle name="Normal-- 8 8 6" xfId="41459" xr:uid="{47B0D306-1861-4906-8D2D-BFCEAE5B1FB9}"/>
    <cellStyle name="Normal 8 8 6 2" xfId="41555" xr:uid="{98CEE38F-6A1D-47B8-9231-E2168B802095}"/>
    <cellStyle name="Normal 8 8 6 3" xfId="16525" xr:uid="{DDD0B814-70DD-4C25-A228-6FF0DE29572D}"/>
    <cellStyle name="Normal 8 8 6 4" xfId="48876" xr:uid="{D863B4FA-D1F8-4119-9349-B6876AB8F17D}"/>
    <cellStyle name="Normal 8 8 6 5" xfId="40401" xr:uid="{FAAEFB2A-C4A4-43C3-95ED-09B1478BB9E2}"/>
    <cellStyle name="Normal 8 8 7" xfId="12729" xr:uid="{00000000-0005-0000-0000-0000A3240000}"/>
    <cellStyle name="Normal-- 8 8 7" xfId="41502" xr:uid="{B82BAAB7-2EB2-4086-A8AD-C73D468F54E4}"/>
    <cellStyle name="Normal 8 8 7 2" xfId="45200" xr:uid="{2561C813-8F3F-46E8-A332-7A3F513CD5E0}"/>
    <cellStyle name="Normal 8 8 7 3" xfId="49719" xr:uid="{A845A83F-91C0-4523-B042-973B525F1BF0}"/>
    <cellStyle name="Normal 8 8 7 4" xfId="50066" xr:uid="{22D90205-5736-4177-BB42-0F5649A0BA77}"/>
    <cellStyle name="Normal 8 8 8" xfId="8974" xr:uid="{00000000-0005-0000-0000-0000E1240000}"/>
    <cellStyle name="Normal-- 8 8 8" xfId="46756" xr:uid="{BCE3AB87-5305-46F4-B7A2-2C563F08D6D9}"/>
    <cellStyle name="Normal 8 8 8 2" xfId="41608" xr:uid="{8E5C73E4-5195-4420-95EB-F974817D08AE}"/>
    <cellStyle name="Normal 8 8 8 3" xfId="48925" xr:uid="{5E251121-B2D0-4D9F-98F1-7BE2DCC60B02}"/>
    <cellStyle name="Normal 8 8 9" xfId="12762" xr:uid="{00000000-0005-0000-0000-000023250000}"/>
    <cellStyle name="Normal-- 8 8 9" xfId="37931" xr:uid="{E5A61BA9-DF13-480D-A0BE-93933E9A37F1}"/>
    <cellStyle name="Normal 8 8 9 2" xfId="45233" xr:uid="{5C90E68D-1891-4912-BFC5-BD920999D090}"/>
    <cellStyle name="Normal 8 80" xfId="47406" xr:uid="{ADAEDE54-E39C-4899-BDEA-B85A7119841A}"/>
    <cellStyle name="Normal 8 81" xfId="47261" xr:uid="{5DF654E0-6474-479B-999D-91CF9A92F4A8}"/>
    <cellStyle name="Normal 8 82" xfId="48567" xr:uid="{111D835B-D2CE-4415-8E8C-C5A698538313}"/>
    <cellStyle name="Normal 8 83" xfId="40118" xr:uid="{10E9705B-88FC-4C9C-844B-0B85C619C9B4}"/>
    <cellStyle name="Normal 8 84" xfId="16460" xr:uid="{797A8A4A-B947-498A-8C34-BAFC47CE2BBE}"/>
    <cellStyle name="Normal 8 85" xfId="40096" xr:uid="{02635C41-D238-45B8-9C0B-3E38CB62E6EF}"/>
    <cellStyle name="Normal 8 9" xfId="4818" xr:uid="{00000000-0005-0000-0000-0000F5120000}"/>
    <cellStyle name="Normal-- 8 9" xfId="12629" xr:uid="{00000000-0005-0000-0000-0000CD230000}"/>
    <cellStyle name="Normal 8 9 10" xfId="12803" xr:uid="{00000000-0005-0000-0000-0000B4250000}"/>
    <cellStyle name="Normal 8 9 10 2" xfId="45274" xr:uid="{F2FD25D7-2776-4ED6-895F-424DFD92FB5B}"/>
    <cellStyle name="Normal 8 9 11" xfId="9112" xr:uid="{00000000-0005-0000-0000-000002260000}"/>
    <cellStyle name="Normal 8 9 11 2" xfId="41715" xr:uid="{9D415078-F8A2-4722-9AA4-273890C921D8}"/>
    <cellStyle name="Normal 8 9 12" xfId="12839" xr:uid="{00000000-0005-0000-0000-000054260000}"/>
    <cellStyle name="Normal 8 9 12 2" xfId="45310" xr:uid="{42E847FA-40AF-4C15-A882-C1F51B12456C}"/>
    <cellStyle name="Normal 8 9 13" xfId="9185" xr:uid="{00000000-0005-0000-0000-0000AA260000}"/>
    <cellStyle name="Normal 8 9 13 2" xfId="41760" xr:uid="{8C6C31C2-60F8-4336-A4E4-95E203FAA454}"/>
    <cellStyle name="Normal 8 9 14" xfId="12879" xr:uid="{00000000-0005-0000-0000-000004270000}"/>
    <cellStyle name="Normal 8 9 14 2" xfId="45350" xr:uid="{26B657E2-3484-450C-9B4B-D951B71129BE}"/>
    <cellStyle name="Normal 8 9 15" xfId="9262" xr:uid="{00000000-0005-0000-0000-000062270000}"/>
    <cellStyle name="Normal 8 9 15 2" xfId="41798" xr:uid="{71A11FE9-BA9B-4A45-B821-EFDBAA594C5D}"/>
    <cellStyle name="Normal 8 9 16" xfId="12906" xr:uid="{00000000-0005-0000-0000-0000C4270000}"/>
    <cellStyle name="Normal 8 9 16 2" xfId="45377" xr:uid="{17DCA29C-D869-4BD0-BFD7-16D4199EC72D}"/>
    <cellStyle name="Normal 8 9 17" xfId="8101" xr:uid="{00000000-0005-0000-0000-0000650F0000}"/>
    <cellStyle name="Normal 8 9 18" xfId="13340" xr:uid="{00000000-0005-0000-0000-0000ED300000}"/>
    <cellStyle name="Normal 8 9 18 2" xfId="45804" xr:uid="{C8BAEE4B-164B-4F14-99F9-0D155EF7567C}"/>
    <cellStyle name="Normal 8 9 19" xfId="11296" xr:uid="{00000000-0005-0000-0000-00005B310000}"/>
    <cellStyle name="Normal 8 9 19 2" xfId="43785" xr:uid="{4E27D903-71B4-4E72-BE9E-49B6933D1247}"/>
    <cellStyle name="Normal 8 9 2" xfId="10343" xr:uid="{00000000-0005-0000-0000-000042200000}"/>
    <cellStyle name="Normal-- 8 9 2" xfId="45100" xr:uid="{04AB6DC0-9579-4731-BBA8-3A61215D6D5F}"/>
    <cellStyle name="Normal 8 9 2 2" xfId="42832" xr:uid="{AB6CB216-377D-4D7C-B264-C4D6BAB77B91}"/>
    <cellStyle name="Normal 8 9 2 3" xfId="47600" xr:uid="{37D769FD-7CE3-413E-AA2B-03C07D74C948}"/>
    <cellStyle name="Normal 8 9 2 4" xfId="37901" xr:uid="{FBCF36F9-DEF2-4B13-B8A8-8ED8FF44C69A}"/>
    <cellStyle name="Normal 8 9 2 5" xfId="40614" xr:uid="{6EA0CEF6-814C-4DC0-9E1C-A78AF8E083BA}"/>
    <cellStyle name="Normal 8 9 2 6" xfId="41753" xr:uid="{1408E15A-F9A3-41A7-B118-941919DF9EC4}"/>
    <cellStyle name="Normal 8 9 2 7" xfId="40596" xr:uid="{ED959674-A1B8-46C9-B88B-F4CBFEF252E0}"/>
    <cellStyle name="Normal 8 9 2 8" xfId="48088" xr:uid="{47D23208-6B1B-4B7D-BFF2-C80EBDC30F94}"/>
    <cellStyle name="Normal 8 9 2 9" xfId="40756" xr:uid="{BE4283C1-2306-4513-B9E7-C20C2AE295F9}"/>
    <cellStyle name="Normal 8 9 20" xfId="13409" xr:uid="{00000000-0005-0000-0000-0000CD310000}"/>
    <cellStyle name="Normal 8 9 20 2" xfId="45873" xr:uid="{B5BFB258-2443-4F7E-9225-78A87E28DD43}"/>
    <cellStyle name="Normal 8 9 21" xfId="11223" xr:uid="{00000000-0005-0000-0000-000043320000}"/>
    <cellStyle name="Normal 8 9 21 2" xfId="43712" xr:uid="{3167A4B9-958B-46BC-A156-4C4BD09F40B7}"/>
    <cellStyle name="Normal 8 9 22" xfId="13473" xr:uid="{00000000-0005-0000-0000-0000BD320000}"/>
    <cellStyle name="Normal 8 9 22 2" xfId="45937" xr:uid="{035B1ED5-5EBF-446F-841D-632A93CAF630}"/>
    <cellStyle name="Normal 8 9 23" xfId="11161" xr:uid="{00000000-0005-0000-0000-00003B330000}"/>
    <cellStyle name="Normal 8 9 23 2" xfId="43650" xr:uid="{262ACF83-03CE-4BF1-A2C8-4B1A4F8BAD7E}"/>
    <cellStyle name="Normal 8 9 24" xfId="13537" xr:uid="{00000000-0005-0000-0000-0000BD330000}"/>
    <cellStyle name="Normal 8 9 24 2" xfId="46001" xr:uid="{BAB50184-A6FB-43A3-9646-A82D591B77AE}"/>
    <cellStyle name="Normal 8 9 25" xfId="11100" xr:uid="{00000000-0005-0000-0000-000043340000}"/>
    <cellStyle name="Normal 8 9 25 2" xfId="43589" xr:uid="{AE84982D-293B-4359-9A5B-251AA45EB566}"/>
    <cellStyle name="Normal 8 9 26" xfId="13582" xr:uid="{00000000-0005-0000-0000-0000CD340000}"/>
    <cellStyle name="Normal 8 9 26 2" xfId="46046" xr:uid="{8142D995-FBB4-49B1-80D6-2D252D564076}"/>
    <cellStyle name="Normal 8 9 27" xfId="11048" xr:uid="{00000000-0005-0000-0000-00005B350000}"/>
    <cellStyle name="Normal 8 9 27 2" xfId="43537" xr:uid="{D8EFEDEA-26F9-4BFB-9C61-587FE6CB6315}"/>
    <cellStyle name="Normal 8 9 28" xfId="16201" xr:uid="{F57A3C4C-EFD3-4640-8FAF-0F3E92020904}"/>
    <cellStyle name="Normal 8 9 29" xfId="38856" xr:uid="{A32D2BC4-DAB2-4B28-8486-BE043D4E145A}"/>
    <cellStyle name="Normal 8 9 3" xfId="8849" xr:uid="{00000000-0005-0000-0000-000002240000}"/>
    <cellStyle name="Normal-- 8 9 3" xfId="48405" xr:uid="{A8C2F5BA-EB7F-42ED-A312-0C4546570594}"/>
    <cellStyle name="Normal 8 9 3 2" xfId="41507" xr:uid="{46E668D0-CE8C-4864-B079-1D1F2E072405}"/>
    <cellStyle name="Normal 8 9 3 3" xfId="46602" xr:uid="{E9164892-853C-49AF-99E2-28E2E8C51E02}"/>
    <cellStyle name="Normal 8 9 3 4" xfId="40712" xr:uid="{E45F303A-A43B-4492-83D6-2C395981200D}"/>
    <cellStyle name="Normal 8 9 3 5" xfId="47182" xr:uid="{4A3FF208-BCFE-4C1A-9AAC-FDDA0EA7E590}"/>
    <cellStyle name="Normal 8 9 3 6" xfId="15089" xr:uid="{5A553D53-5A27-484F-94AD-8DB40162F4D1}"/>
    <cellStyle name="Normal 8 9 3 7" xfId="37914" xr:uid="{D35C6EA2-7BCC-4202-B2F7-EC139B1779D9}"/>
    <cellStyle name="Normal 8 9 3 8" xfId="46261" xr:uid="{3A9A357F-331E-4E41-B84A-F6B55E782834}"/>
    <cellStyle name="Normal 8 9 30" xfId="40339" xr:uid="{53F1070A-6704-48C9-960D-D8847C80A4CE}"/>
    <cellStyle name="Normal 8 9 31" xfId="46094" xr:uid="{CF0F14E8-05A3-42C7-8B33-C61212AF7426}"/>
    <cellStyle name="Normal 8 9 32" xfId="48322" xr:uid="{2A68C7A5-694A-42D8-A830-019531565ECC}"/>
    <cellStyle name="Normal 8 9 33" xfId="46916" xr:uid="{5B9BAD54-F0E5-49A9-A680-43C402D7C254}"/>
    <cellStyle name="Normal 8 9 34" xfId="46561" xr:uid="{73020CF0-7B99-4F75-933B-B65716E2809B}"/>
    <cellStyle name="Normal 8 9 35" xfId="47214" xr:uid="{6933FCE0-E9B9-40E6-8EF1-AEBC6C8D5762}"/>
    <cellStyle name="Normal 8 9 36" xfId="38014" xr:uid="{E3A76BF1-1E3A-4042-AD66-42668DE819D6}"/>
    <cellStyle name="Normal 8 9 4" xfId="12702" xr:uid="{00000000-0005-0000-0000-000034240000}"/>
    <cellStyle name="Normal-- 8 9 4" xfId="15954" xr:uid="{D28D3FDB-F48D-45CC-9975-423A64CFA224}"/>
    <cellStyle name="Normal 8 9 4 2" xfId="45173" xr:uid="{BE1EC917-A970-480F-B60E-0676D6C4C836}"/>
    <cellStyle name="Normal 8 9 4 3" xfId="48581" xr:uid="{2EB1481E-8AC0-484C-9295-006B37E52771}"/>
    <cellStyle name="Normal 8 9 4 4" xfId="47282" xr:uid="{5B2E2539-37EF-46EF-80B0-29D2420E96CD}"/>
    <cellStyle name="Normal 8 9 4 5" xfId="49471" xr:uid="{381FED9A-F461-4C9B-9C83-825EE3D05881}"/>
    <cellStyle name="Normal 8 9 4 6" xfId="49712" xr:uid="{7FD4839F-3B1A-45A9-A044-5EFCB415B998}"/>
    <cellStyle name="Normal 8 9 4 7" xfId="50058" xr:uid="{B365A02F-46A3-43B5-829D-FEC04AA5A88F}"/>
    <cellStyle name="Normal 8 9 5" xfId="8910" xr:uid="{00000000-0005-0000-0000-00006A240000}"/>
    <cellStyle name="Normal-- 8 9 5" xfId="15514" xr:uid="{78D824CA-820C-40F5-AF26-188A332AF822}"/>
    <cellStyle name="Normal 8 9 5 2" xfId="41556" xr:uid="{2E4685D2-6E3F-4669-A6BF-2E7A77A0ED8D}"/>
    <cellStyle name="Normal 8 9 5 3" xfId="47549" xr:uid="{70D2392B-F122-436A-9331-4DAB334B7AF0}"/>
    <cellStyle name="Normal 8 9 5 4" xfId="15937" xr:uid="{D8DD42EB-4705-493E-9CD5-4F85CD4180E7}"/>
    <cellStyle name="Normal 8 9 5 5" xfId="48442" xr:uid="{6F36554B-4DD3-4C13-8BBA-09735B5DB758}"/>
    <cellStyle name="Normal 8 9 5 6" xfId="46665" xr:uid="{510BE839-3AC2-49E5-A400-5A5377E08764}"/>
    <cellStyle name="Normal 8 9 6" xfId="12730" xr:uid="{00000000-0005-0000-0000-0000A4240000}"/>
    <cellStyle name="Normal-- 8 9 6" xfId="13629" xr:uid="{02943D71-D3A2-4A1F-9C67-237E716E6F76}"/>
    <cellStyle name="Normal 8 9 6 2" xfId="45201" xr:uid="{93691675-7C8F-48E2-B3BD-03279AA99A2E}"/>
    <cellStyle name="Normal 8 9 6 3" xfId="49481" xr:uid="{03915BC1-5FC7-498F-97AD-0FF2CA1494D9}"/>
    <cellStyle name="Normal 8 9 6 4" xfId="49720" xr:uid="{9CAABD42-5B52-42D2-93CC-60537751F3EE}"/>
    <cellStyle name="Normal 8 9 6 5" xfId="50067" xr:uid="{83503E50-77A7-4AA5-9F6B-FE0A9B61BA22}"/>
    <cellStyle name="Normal 8 9 7" xfId="8975" xr:uid="{00000000-0005-0000-0000-0000E2240000}"/>
    <cellStyle name="Normal-- 8 9 7" xfId="49440" xr:uid="{E673222A-62E8-44D4-AB1C-AFE9A891E012}"/>
    <cellStyle name="Normal 8 9 7 2" xfId="41609" xr:uid="{75504B34-2411-4C36-9B01-C96963F3EB14}"/>
    <cellStyle name="Normal 8 9 7 3" xfId="48492" xr:uid="{C5070B49-8EBA-4445-BC0F-5AFD08D6996D}"/>
    <cellStyle name="Normal 8 9 7 4" xfId="41364" xr:uid="{83C1B10C-0FB7-4A6E-85E8-6102C4352380}"/>
    <cellStyle name="Normal 8 9 8" xfId="12763" xr:uid="{00000000-0005-0000-0000-000024250000}"/>
    <cellStyle name="Normal-- 8 9 8" xfId="47773" xr:uid="{0CBA8C46-4AD1-46CE-9057-884BD48CCEF0}"/>
    <cellStyle name="Normal 8 9 8 2" xfId="45234" xr:uid="{8B5246D0-21BC-45A4-AE6F-57C5987C4CB3}"/>
    <cellStyle name="Normal 8 9 8 3" xfId="50076" xr:uid="{72DCFC01-223D-4757-849C-3BC9CD58CB5B}"/>
    <cellStyle name="Normal 8 9 9" xfId="9041" xr:uid="{00000000-0005-0000-0000-00006A250000}"/>
    <cellStyle name="Normal-- 8 9 9" xfId="50017" xr:uid="{1DA8E756-E42B-4D8B-BD37-B2099BE64DB5}"/>
    <cellStyle name="Normal 8 9 9 2" xfId="41655" xr:uid="{0D990558-D2BA-4031-915A-335BFFD3B753}"/>
    <cellStyle name="Normal 80" xfId="21795" xr:uid="{9CBE328A-420B-4355-A8BE-B3B8016CBA17}"/>
    <cellStyle name="Normal 81" xfId="19247" xr:uid="{8E46676D-5AC2-45BA-9CF7-CAB0BD231060}"/>
    <cellStyle name="Normal 82" xfId="19642" xr:uid="{C1ECDF1A-901E-4C77-9EDC-DA66E0C686D7}"/>
    <cellStyle name="Normal 83" xfId="20477" xr:uid="{FCDF6255-D517-48F4-A912-2B67B953DEE9}"/>
    <cellStyle name="Normal 84" xfId="19012" xr:uid="{7753995B-588C-4A06-B99A-2C34C9210FDA}"/>
    <cellStyle name="Normal 85" xfId="21560" xr:uid="{7FA3F0A2-AF43-435A-A483-388DE95D0641}"/>
    <cellStyle name="Normal 86" xfId="22039" xr:uid="{31043B60-0C9D-43CA-9794-3BC78B7E18DF}"/>
    <cellStyle name="Normal 87" xfId="22432" xr:uid="{3E006AD2-CB6E-47CB-A969-B0062397C9AB}"/>
    <cellStyle name="Normal 88" xfId="22165" xr:uid="{5BA81054-73E6-4CC3-B84D-5733457CDB26}"/>
    <cellStyle name="Normal 89" xfId="20980" xr:uid="{1201A2E3-4B5D-4352-BC11-599B084D45AC}"/>
    <cellStyle name="Normal 9" xfId="4819" xr:uid="{00000000-0005-0000-0000-0000F6120000}"/>
    <cellStyle name="Normal 9 10" xfId="38857" xr:uid="{6DA460BB-A2F5-4D25-A1EF-1B6559BE1DBE}"/>
    <cellStyle name="Normal 9 2" xfId="4820" xr:uid="{00000000-0005-0000-0000-0000F7120000}"/>
    <cellStyle name="Normal 9 2 2" xfId="4821" xr:uid="{00000000-0005-0000-0000-0000F8120000}"/>
    <cellStyle name="Normal 9 2 2 2" xfId="10346" xr:uid="{00000000-0005-0000-0000-000045200000}"/>
    <cellStyle name="Normal 9 2 2 2 2" xfId="42835" xr:uid="{DF61C960-B5E2-4B7F-B707-E50996A1F06A}"/>
    <cellStyle name="Normal 9 2 2 3" xfId="8104" xr:uid="{00000000-0005-0000-0000-0000680F0000}"/>
    <cellStyle name="Normal 9 2 2 4" xfId="38859" xr:uid="{B7D6F6EE-44A0-449F-8B6A-47A3F31362E3}"/>
    <cellStyle name="Normal 9 2 3" xfId="4822" xr:uid="{00000000-0005-0000-0000-0000F9120000}"/>
    <cellStyle name="Normal 9 2 3 2" xfId="10347" xr:uid="{00000000-0005-0000-0000-000046200000}"/>
    <cellStyle name="Normal 9 2 3 2 2" xfId="42836" xr:uid="{60E78598-77B9-441A-BA53-CE7F3943A5B4}"/>
    <cellStyle name="Normal 9 2 3 3" xfId="17312" xr:uid="{81775B2B-8314-4C13-997D-B7FEC0402D35}"/>
    <cellStyle name="Normal 9 2 3 4" xfId="38860" xr:uid="{758061C2-D7EA-4193-BBF6-02E724548907}"/>
    <cellStyle name="Normal 9 2 4" xfId="10345" xr:uid="{00000000-0005-0000-0000-000044200000}"/>
    <cellStyle name="Normal 9 2 4 2" xfId="18184" xr:uid="{9B549361-AF34-4941-98FC-05F54889CA8A}"/>
    <cellStyle name="Normal 9 2 4 3" xfId="42834" xr:uid="{772150AF-8FBA-4F17-A7A9-14BB4EB7B44B}"/>
    <cellStyle name="Normal 9 2 5" xfId="8103" xr:uid="{00000000-0005-0000-0000-0000670F0000}"/>
    <cellStyle name="Normal 9 2 6" xfId="16203" xr:uid="{919086C0-E2A4-48E2-A9C3-08F5A2DB1AF0}"/>
    <cellStyle name="Normal 9 2 7" xfId="38858" xr:uid="{03999973-A681-43D3-82F5-6582326727F4}"/>
    <cellStyle name="Normal 9 3" xfId="4823" xr:uid="{00000000-0005-0000-0000-0000FA120000}"/>
    <cellStyle name="Normal 9 3 2" xfId="4824" xr:uid="{00000000-0005-0000-0000-0000FB120000}"/>
    <cellStyle name="Normal 9 3 2 2" xfId="10349" xr:uid="{00000000-0005-0000-0000-000048200000}"/>
    <cellStyle name="Normal 9 3 2 2 2" xfId="42838" xr:uid="{A8BA3CC8-502D-406F-BD4C-AEB57CC1E179}"/>
    <cellStyle name="Normal 9 3 2 3" xfId="17313" xr:uid="{582CF824-8F32-4553-8524-81DCA8406434}"/>
    <cellStyle name="Normal 9 3 2 4" xfId="38862" xr:uid="{6C52EF0B-1912-45AF-9D5C-0FD20A91FB6F}"/>
    <cellStyle name="Normal 9 3 3" xfId="10348" xr:uid="{00000000-0005-0000-0000-000047200000}"/>
    <cellStyle name="Normal 9 3 3 2" xfId="18185" xr:uid="{ED2A9A9E-1320-462D-B6C3-99F8AE200029}"/>
    <cellStyle name="Normal 9 3 3 3" xfId="42837" xr:uid="{8F295811-EE1B-4BAA-B4AA-1279C99DBADA}"/>
    <cellStyle name="Normal 9 3 4" xfId="8106" xr:uid="{00000000-0005-0000-0000-0000690F0000}"/>
    <cellStyle name="Normal 9 3 5" xfId="16205" xr:uid="{D2098357-7069-4E12-AC89-38AE5D0245FB}"/>
    <cellStyle name="Normal 9 3 6" xfId="38861" xr:uid="{0CD98296-A61E-4C23-ACDB-AAA0FD3590CE}"/>
    <cellStyle name="Normal 9 4" xfId="4825" xr:uid="{00000000-0005-0000-0000-0000FC120000}"/>
    <cellStyle name="Normal 9 4 2" xfId="4826" xr:uid="{00000000-0005-0000-0000-0000FD120000}"/>
    <cellStyle name="Normal 9 4 2 2" xfId="10351" xr:uid="{00000000-0005-0000-0000-00004A200000}"/>
    <cellStyle name="Normal 9 4 2 2 2" xfId="42840" xr:uid="{2736DDFB-031F-4C4C-98AE-201CB7AF0B45}"/>
    <cellStyle name="Normal 9 4 2 3" xfId="17314" xr:uid="{137DE61E-177F-499C-8054-C264F268138C}"/>
    <cellStyle name="Normal 9 4 2 4" xfId="38864" xr:uid="{8C6DF5A9-1B72-4BBD-87D6-0EDFE42D7FD6}"/>
    <cellStyle name="Normal 9 4 3" xfId="10350" xr:uid="{00000000-0005-0000-0000-000049200000}"/>
    <cellStyle name="Normal 9 4 3 2" xfId="18186" xr:uid="{E19409E1-048B-422C-B7BA-21A7DBB6E1EC}"/>
    <cellStyle name="Normal 9 4 3 3" xfId="42839" xr:uid="{4B89E7AA-5D2C-4115-8651-413BC5CD5B26}"/>
    <cellStyle name="Normal 9 4 4" xfId="8107" xr:uid="{00000000-0005-0000-0000-00006A0F0000}"/>
    <cellStyle name="Normal 9 4 5" xfId="16206" xr:uid="{4905953D-2238-4A7C-887D-716442395D92}"/>
    <cellStyle name="Normal 9 4 6" xfId="38863" xr:uid="{64CD38DA-B2F2-4768-8BBD-FB5F8807C871}"/>
    <cellStyle name="Normal 9 5" xfId="4827" xr:uid="{00000000-0005-0000-0000-0000FE120000}"/>
    <cellStyle name="Normal 9 5 2" xfId="10352" xr:uid="{00000000-0005-0000-0000-00004B200000}"/>
    <cellStyle name="Normal 9 5 2 2" xfId="42841" xr:uid="{A81034A4-D40A-4A42-9FC1-CCAEF0721BC5}"/>
    <cellStyle name="Normal 9 5 3" xfId="8108" xr:uid="{00000000-0005-0000-0000-00006B0F0000}"/>
    <cellStyle name="Normal 9 5 3 2" xfId="40915" xr:uid="{6740EDEB-1618-4647-88D9-997C5A590DA2}"/>
    <cellStyle name="Normal 9 5 4" xfId="16207" xr:uid="{B8F73EC6-DA8B-4D71-B7BD-744DEE09E8CF}"/>
    <cellStyle name="Normal 9 5 5" xfId="38865" xr:uid="{471698B6-B9CD-4724-82CC-88BB4AFADA74}"/>
    <cellStyle name="Normal 9 6" xfId="4828" xr:uid="{00000000-0005-0000-0000-0000FF120000}"/>
    <cellStyle name="Normal 9 6 2" xfId="10353" xr:uid="{00000000-0005-0000-0000-00004C200000}"/>
    <cellStyle name="Normal 9 6 2 2" xfId="42842" xr:uid="{84F41AEE-EB7E-4157-9B0C-3058E3869131}"/>
    <cellStyle name="Normal 9 6 3" xfId="8109" xr:uid="{00000000-0005-0000-0000-00006C0F0000}"/>
    <cellStyle name="Normal 9 6 4" xfId="38866" xr:uid="{27E26D09-0E31-4DBF-9CCC-A497EB068744}"/>
    <cellStyle name="Normal 9 7" xfId="4829" xr:uid="{00000000-0005-0000-0000-000000130000}"/>
    <cellStyle name="Normal 9 7 2" xfId="10354" xr:uid="{00000000-0005-0000-0000-00004D200000}"/>
    <cellStyle name="Normal 9 7 2 2" xfId="42843" xr:uid="{2BB040F0-01F8-43A6-B060-7962436A9096}"/>
    <cellStyle name="Normal 9 7 3" xfId="17311" xr:uid="{FCAFB87E-A136-477D-9479-763855981ADC}"/>
    <cellStyle name="Normal 9 7 4" xfId="38867" xr:uid="{BC79E834-55B3-40C8-B09D-CF5D26F6B14C}"/>
    <cellStyle name="Normal 9 8" xfId="10344" xr:uid="{00000000-0005-0000-0000-000043200000}"/>
    <cellStyle name="Normal 9 8 2" xfId="42833" xr:uid="{38A1271F-970B-4E86-98F7-F8E84DBE1514}"/>
    <cellStyle name="Normal 9 9" xfId="8102" xr:uid="{00000000-0005-0000-0000-0000660F0000}"/>
    <cellStyle name="Normal 9 9 2" xfId="40912" xr:uid="{09CE0EEC-B514-48FF-9E8A-583E8BF65689}"/>
    <cellStyle name="Normal 90" xfId="19273" xr:uid="{5B08C8C6-2494-421C-85DA-214DE21FA511}"/>
    <cellStyle name="Normal 91" xfId="19388" xr:uid="{4688886F-F032-48F2-B1EE-4893176F827A}"/>
    <cellStyle name="Normal 92" xfId="20428" xr:uid="{DC004FCB-652D-4AE3-AC65-E7FC58C7DC2C}"/>
    <cellStyle name="Normal 93" xfId="22645" xr:uid="{3936DDB0-0105-4726-A742-37348C3EB20C}"/>
    <cellStyle name="Normal 94" xfId="20994" xr:uid="{B3DA23D8-D8EC-461F-BB80-E3A38CEE4DA1}"/>
    <cellStyle name="Normal 95" xfId="22462" xr:uid="{AD3635AB-361C-4AD1-B814-483CF2EE9480}"/>
    <cellStyle name="Normal 96" xfId="22406" xr:uid="{3F7CD37F-C42A-439E-90B4-598B3DAB27C5}"/>
    <cellStyle name="Normal 97" xfId="19768" xr:uid="{BFE327A7-C356-4978-890A-37AF497487E9}"/>
    <cellStyle name="Normal 98" xfId="22351" xr:uid="{E7920629-46D4-453D-9E1C-837B7C3EF1F5}"/>
    <cellStyle name="Normal 99" xfId="21991" xr:uid="{F257356B-69AC-44F7-94A0-85CEEED8D9E2}"/>
    <cellStyle name="Normal2" xfId="4830" xr:uid="{00000000-0005-0000-0000-000001130000}"/>
    <cellStyle name="Normal2 2" xfId="10355" xr:uid="{00000000-0005-0000-0000-00004E200000}"/>
    <cellStyle name="Normal2 2 2" xfId="42844" xr:uid="{B00FAC37-0874-45EA-9C8E-A96093E78CB1}"/>
    <cellStyle name="Normal2 3" xfId="8110" xr:uid="{00000000-0005-0000-0000-00006D0F0000}"/>
    <cellStyle name="Normal2 4" xfId="38868" xr:uid="{BF9A7A89-A533-43DD-9456-55DDFF149994}"/>
    <cellStyle name="Normale_97.98.us" xfId="4831" xr:uid="{00000000-0005-0000-0000-000002130000}"/>
    <cellStyle name="NormalGB" xfId="4832" xr:uid="{00000000-0005-0000-0000-000003130000}"/>
    <cellStyle name="NormalGB 2" xfId="10356" xr:uid="{00000000-0005-0000-0000-000050200000}"/>
    <cellStyle name="NormalGB 2 2" xfId="42845" xr:uid="{989CC84D-0742-4F95-BEE0-ABFF204DC289}"/>
    <cellStyle name="NormalGB 3" xfId="8114" xr:uid="{00000000-0005-0000-0000-00006F0F0000}"/>
    <cellStyle name="NormalGB 4" xfId="38869" xr:uid="{BE748BD3-CDB7-4909-8EFF-0C04A21DB077}"/>
    <cellStyle name="Normalx" xfId="4833" xr:uid="{00000000-0005-0000-0000-000004130000}"/>
    <cellStyle name="Normalx 2" xfId="10357" xr:uid="{00000000-0005-0000-0000-000051200000}"/>
    <cellStyle name="Normalx 2 2" xfId="42846" xr:uid="{DB0E8E39-0329-4841-8971-97EC0D9EB2FA}"/>
    <cellStyle name="Normalx 3" xfId="8115" xr:uid="{00000000-0005-0000-0000-0000700F0000}"/>
    <cellStyle name="Normalx 4" xfId="38870" xr:uid="{D639776D-87A1-4874-B506-1F5A7D6570FB}"/>
    <cellStyle name="Note 2" xfId="4834" xr:uid="{00000000-0005-0000-0000-000005130000}"/>
    <cellStyle name="Note 2 10" xfId="4835" xr:uid="{00000000-0005-0000-0000-000006130000}"/>
    <cellStyle name="Note 2 10 2" xfId="10359" xr:uid="{00000000-0005-0000-0000-000053200000}"/>
    <cellStyle name="Note 2 10 2 2" xfId="42848" xr:uid="{C8D82845-9200-41AD-8808-ABF1CB4B0F4F}"/>
    <cellStyle name="Note 2 10 3" xfId="8117" xr:uid="{00000000-0005-0000-0000-0000720F0000}"/>
    <cellStyle name="Note 2 10 4" xfId="38872" xr:uid="{14614BCF-C760-40D4-B1C3-6C9C7C1BC9B1}"/>
    <cellStyle name="Note 2 11" xfId="4836" xr:uid="{00000000-0005-0000-0000-000007130000}"/>
    <cellStyle name="Note 2 11 10" xfId="19325" xr:uid="{649D2B66-08C2-4059-A0D7-904F8EA53F10}"/>
    <cellStyle name="Note 2 11 11" xfId="21200" xr:uid="{E4300435-AEBD-4472-B93D-ACFE425E6611}"/>
    <cellStyle name="Note 2 11 12" xfId="19205" xr:uid="{F954C02D-D84D-4D64-AC89-4FED9C4A07DC}"/>
    <cellStyle name="Note 2 11 13" xfId="22636" xr:uid="{71814AAB-0859-4647-A99D-5C7B1FDB1E56}"/>
    <cellStyle name="Note 2 11 14" xfId="20931" xr:uid="{4EF5D9AF-D18B-4990-B246-FE8A82B18C5C}"/>
    <cellStyle name="Note 2 11 15" xfId="20719" xr:uid="{281046AE-1CA3-46E0-9CF6-39B71B0FC452}"/>
    <cellStyle name="Note 2 11 16" xfId="21688" xr:uid="{3CA2117C-BF6B-4574-ABEB-8A557CF0D457}"/>
    <cellStyle name="Note 2 11 17" xfId="20205" xr:uid="{9972517B-4B73-4C67-AC99-60E78F1675E6}"/>
    <cellStyle name="Note 2 11 18" xfId="18188" xr:uid="{2596741B-20E1-4569-80E9-80D459A1263C}"/>
    <cellStyle name="Note 2 11 19" xfId="16209" xr:uid="{BC8A724C-C159-4B00-9D34-71ABCDD98F06}"/>
    <cellStyle name="Note 2 11 2" xfId="4837" xr:uid="{00000000-0005-0000-0000-000008130000}"/>
    <cellStyle name="Note 2 11 2 2" xfId="10361" xr:uid="{00000000-0005-0000-0000-000055200000}"/>
    <cellStyle name="Note 2 11 2 2 2" xfId="42850" xr:uid="{F0F0E5BF-3603-41E5-AAE5-2F5D22C81724}"/>
    <cellStyle name="Note 2 11 2 3" xfId="16210" xr:uid="{B094B140-EC00-4BEC-8E1A-D6A57EFBAEAC}"/>
    <cellStyle name="Note 2 11 2 4" xfId="38874" xr:uid="{A491EE77-F2D1-4679-92A4-6AC7855A0522}"/>
    <cellStyle name="Note 2 11 20" xfId="38873" xr:uid="{97E89746-BBAE-49AD-8DF9-4C6A5458D60A}"/>
    <cellStyle name="Note 2 11 3" xfId="10360" xr:uid="{00000000-0005-0000-0000-000054200000}"/>
    <cellStyle name="Note 2 11 3 10" xfId="20131" xr:uid="{6F4F6B30-8581-4552-9790-95EEC169854A}"/>
    <cellStyle name="Note 2 11 3 11" xfId="21962" xr:uid="{C93F6443-3C56-4B14-BC3F-792FCECAC948}"/>
    <cellStyle name="Note 2 11 3 12" xfId="22785" xr:uid="{72D63010-7C7B-483F-9CD0-43E398443325}"/>
    <cellStyle name="Note 2 11 3 13" xfId="22059" xr:uid="{A34B227E-EEE4-4B0F-B5E1-EDF985CE347B}"/>
    <cellStyle name="Note 2 11 3 14" xfId="22920" xr:uid="{071297D1-E55F-4D93-A897-FF2344491454}"/>
    <cellStyle name="Note 2 11 3 15" xfId="22427" xr:uid="{98FA2198-596F-4CD3-A11D-E89566CA45B7}"/>
    <cellStyle name="Note 2 11 3 16" xfId="18742" xr:uid="{34D260BB-94A1-464A-93D5-5B32711327F5}"/>
    <cellStyle name="Note 2 11 3 17" xfId="42849" xr:uid="{2033C956-795E-4DD9-9972-081E9E738B85}"/>
    <cellStyle name="Note 2 11 3 2" xfId="19797" xr:uid="{7F3FFDB6-79FA-4B17-95EF-46A49B264729}"/>
    <cellStyle name="Note 2 11 3 3" xfId="20522" xr:uid="{5AD1AEB9-D1AC-4FCE-8076-C2FB13186E10}"/>
    <cellStyle name="Note 2 11 3 4" xfId="19288" xr:uid="{58F09A94-7C52-4336-9A56-C42E51F19D23}"/>
    <cellStyle name="Note 2 11 3 5" xfId="18982" xr:uid="{F5F106A5-ECB2-43E8-A85E-0BA0338ED146}"/>
    <cellStyle name="Note 2 11 3 6" xfId="20558" xr:uid="{2509D83D-936A-41DC-B556-F8460FC66079}"/>
    <cellStyle name="Note 2 11 3 7" xfId="20380" xr:uid="{1C8E7DC5-013D-4A8B-B637-26022DF268E0}"/>
    <cellStyle name="Note 2 11 3 8" xfId="20701" xr:uid="{C77405C1-D643-4109-947E-1749687D4907}"/>
    <cellStyle name="Note 2 11 3 9" xfId="22539" xr:uid="{894F5059-09D7-48E1-907E-BA0EA650146B}"/>
    <cellStyle name="Note 2 11 4" xfId="8120" xr:uid="{00000000-0005-0000-0000-0000730F0000}"/>
    <cellStyle name="Note 2 11 4 2" xfId="20357" xr:uid="{B4395AF8-CF7E-4FE4-A827-90A2C2565ACC}"/>
    <cellStyle name="Note 2 11 4 3" xfId="40922" xr:uid="{D9357DFC-F5AB-4CA1-AC56-FBF674072DF7}"/>
    <cellStyle name="Note 2 11 5" xfId="21828" xr:uid="{C561969C-BEDA-475C-BC66-B37F1CA66CAE}"/>
    <cellStyle name="Note 2 11 6" xfId="18923" xr:uid="{8C91182A-505A-47F9-8E5A-C06D1543409C}"/>
    <cellStyle name="Note 2 11 7" xfId="21506" xr:uid="{C1C85D7E-2B78-4C8E-841E-3F848B33054B}"/>
    <cellStyle name="Note 2 11 8" xfId="19587" xr:uid="{85518723-81F1-43B8-89B3-C060605270F7}"/>
    <cellStyle name="Note 2 11 9" xfId="22207" xr:uid="{D6DDDDBC-63CB-4662-AB88-1254B9982139}"/>
    <cellStyle name="Note 2 12" xfId="4838" xr:uid="{00000000-0005-0000-0000-000009130000}"/>
    <cellStyle name="Note 2 12 10" xfId="21718" xr:uid="{014DF47D-0B50-4B20-94D6-EAA41E3ECD27}"/>
    <cellStyle name="Note 2 12 11" xfId="22011" xr:uid="{A46AE6C5-538D-4ADC-AD5A-11C1E4F4FBCB}"/>
    <cellStyle name="Note 2 12 12" xfId="19097" xr:uid="{51CAB714-3C00-4EF6-9F91-7B90EB7CB5B3}"/>
    <cellStyle name="Note 2 12 13" xfId="20410" xr:uid="{578F3BB5-6AF3-4124-B497-5D2F21BAB832}"/>
    <cellStyle name="Note 2 12 14" xfId="22242" xr:uid="{F5A2E6E9-77BC-424D-8A24-4558387B2498}"/>
    <cellStyle name="Note 2 12 15" xfId="22326" xr:uid="{CDF5F8D7-F010-4338-A6BF-BBEBC5818D8A}"/>
    <cellStyle name="Note 2 12 16" xfId="21207" xr:uid="{42E5DC2B-F0C0-4799-9B6A-7D05750DA997}"/>
    <cellStyle name="Note 2 12 17" xfId="18189" xr:uid="{E9F3E342-6B8C-4560-9339-418685C4DC97}"/>
    <cellStyle name="Note 2 12 18" xfId="23707" xr:uid="{30EB5B68-3101-4D2E-933D-F1EE0E2AF89D}"/>
    <cellStyle name="Note 2 12 19" xfId="16211" xr:uid="{1D3A46AA-DFA5-4DB7-9286-76E7C8AB8FF0}"/>
    <cellStyle name="Note 2 12 2" xfId="10362" xr:uid="{00000000-0005-0000-0000-000056200000}"/>
    <cellStyle name="Note 2 12 2 10" xfId="22537" xr:uid="{504D13C1-73C4-482E-B19F-31470858EE8E}"/>
    <cellStyle name="Note 2 12 2 11" xfId="22247" xr:uid="{7D1189C9-A43B-4B71-A287-8F1648F0C599}"/>
    <cellStyle name="Note 2 12 2 12" xfId="22786" xr:uid="{204FE724-E5BC-4AFE-8D85-6449CAB7F3B3}"/>
    <cellStyle name="Note 2 12 2 13" xfId="22783" xr:uid="{C47CF6A6-8CAA-4617-B418-20CA16DDCA6D}"/>
    <cellStyle name="Note 2 12 2 14" xfId="22921" xr:uid="{BAE9B1A5-5914-4409-8784-06DC2C737A3A}"/>
    <cellStyle name="Note 2 12 2 15" xfId="19244" xr:uid="{9F03324D-31E1-4F59-BF08-440027D117E2}"/>
    <cellStyle name="Note 2 12 2 16" xfId="18743" xr:uid="{B7A76BBD-7992-45BB-AA25-A4B778BC196F}"/>
    <cellStyle name="Note 2 12 2 17" xfId="42851" xr:uid="{294A3BB0-B745-4259-8F6A-0D9D9D04C40E}"/>
    <cellStyle name="Note 2 12 2 2" xfId="19796" xr:uid="{90705FCC-366E-4692-BD42-CB75CDD649E2}"/>
    <cellStyle name="Note 2 12 2 3" xfId="21288" xr:uid="{4D4F86CD-5D96-4222-90C8-884F6AEE9066}"/>
    <cellStyle name="Note 2 12 2 4" xfId="21785" xr:uid="{C5A1BE0A-C0C4-42C7-A352-9884C9719892}"/>
    <cellStyle name="Note 2 12 2 5" xfId="20082" xr:uid="{C926ED61-D5F6-4117-9C3E-00D2769D778C}"/>
    <cellStyle name="Note 2 12 2 6" xfId="18871" xr:uid="{38E33C8A-C2C2-4A7C-AE4B-7D53FF21AF72}"/>
    <cellStyle name="Note 2 12 2 7" xfId="21587" xr:uid="{AADC52D2-5D99-41C8-94B9-48338AEFB936}"/>
    <cellStyle name="Note 2 12 2 8" xfId="20198" xr:uid="{404C8440-9353-4594-A3A2-801AE821ECA5}"/>
    <cellStyle name="Note 2 12 2 9" xfId="22540" xr:uid="{68834133-C99D-48BD-8B25-B05B59E9706B}"/>
    <cellStyle name="Note 2 12 20" xfId="38875" xr:uid="{4F7547A4-58DE-44FC-B2C6-68A46688A60C}"/>
    <cellStyle name="Note 2 12 3" xfId="9488" xr:uid="{00000000-0005-0000-0000-0000CC230000}"/>
    <cellStyle name="Note 2 12 3 2" xfId="21466" xr:uid="{F334FFC9-DCC9-4189-8190-DAC4F4121AA0}"/>
    <cellStyle name="Note 2 12 3 3" xfId="41977" xr:uid="{3F551F40-1BEA-4EBC-8ABE-0B7F41B3B6FD}"/>
    <cellStyle name="Note 2 12 3 4" xfId="46485" xr:uid="{F5622D54-A1B6-4D55-9720-C7A712D50BA8}"/>
    <cellStyle name="Note 2 12 3 5" xfId="16042" xr:uid="{63B5B6E0-4097-4E52-8B19-63ECB6B6F748}"/>
    <cellStyle name="Note 2 12 3 6" xfId="47063" xr:uid="{6280F4D3-F819-4F45-B4E2-74AE9D16ECAF}"/>
    <cellStyle name="Note 2 12 3 7" xfId="49097" xr:uid="{43FB8DAE-F9C9-4127-A1C9-2D24CDFF79BB}"/>
    <cellStyle name="Note 2 12 4" xfId="19167" xr:uid="{4AAE29E6-FD13-41C7-9EC6-A45B3B094897}"/>
    <cellStyle name="Note 2 12 5" xfId="20864" xr:uid="{62E8EC99-E5B8-4A89-8BF2-AD8EA6BDF563}"/>
    <cellStyle name="Note 2 12 6" xfId="19381" xr:uid="{BBB6C892-EB82-4415-91C6-9CEF013C67FD}"/>
    <cellStyle name="Note 2 12 7" xfId="20663" xr:uid="{35303527-1BAA-4B7A-BB24-1F73ED0515C5}"/>
    <cellStyle name="Note 2 12 8" xfId="20968" xr:uid="{F2394196-DF96-4D6D-8C71-D0273FA2EA92}"/>
    <cellStyle name="Note 2 12 9" xfId="21994" xr:uid="{549998C0-6F02-4E83-8DBA-E4D600576C98}"/>
    <cellStyle name="Note 2 13" xfId="4839" xr:uid="{00000000-0005-0000-0000-00000A130000}"/>
    <cellStyle name="Note 2 13 10" xfId="21676" xr:uid="{03489858-08FA-436C-8DDB-1287115B9C05}"/>
    <cellStyle name="Note 2 13 11" xfId="21390" xr:uid="{D7BB8063-1890-413A-B25F-46D05B9B349C}"/>
    <cellStyle name="Note 2 13 12" xfId="22784" xr:uid="{6D6B9D9A-0385-4588-B129-6B2D7B2F5BC6}"/>
    <cellStyle name="Note 2 13 13" xfId="22674" xr:uid="{4F7944C9-DAB7-4BA0-AC23-C2B569AF7777}"/>
    <cellStyle name="Note 2 13 14" xfId="22919" xr:uid="{E8DC90BB-8B9A-4688-98E3-188AD5CCCA6E}"/>
    <cellStyle name="Note 2 13 15" xfId="22856" xr:uid="{25B1665F-8CCC-4913-AAEA-F82F85B304E0}"/>
    <cellStyle name="Note 2 13 16" xfId="18741" xr:uid="{C2637CA2-05B2-49CB-8C5B-914D953E4959}"/>
    <cellStyle name="Note 2 13 17" xfId="31835" xr:uid="{EB474F70-83BD-4377-B98C-7D091DDFBF27}"/>
    <cellStyle name="Note 2 13 18" xfId="16208" xr:uid="{8995CEE5-CAD8-4482-BBC3-4EBC134B0880}"/>
    <cellStyle name="Note 2 13 19" xfId="38876" xr:uid="{CF7CC6CD-4407-42C5-971A-27787C31518F}"/>
    <cellStyle name="Note 2 13 2" xfId="10363" xr:uid="{00000000-0005-0000-0000-000057200000}"/>
    <cellStyle name="Note 2 13 2 2" xfId="27672" xr:uid="{0FC6CC3D-D873-47CC-87C6-B6EB0ACD36D4}"/>
    <cellStyle name="Note 2 13 2 3" xfId="34517" xr:uid="{8CDAE5E0-1AA9-4E68-9B51-14277CC1235E}"/>
    <cellStyle name="Note 2 13 2 4" xfId="19798" xr:uid="{A2DBE673-E7EC-4E1A-9F35-E79929C3F010}"/>
    <cellStyle name="Note 2 13 2 5" xfId="42852" xr:uid="{37DC9425-2D86-4018-BA51-7199E4E5861C}"/>
    <cellStyle name="Note 2 13 3" xfId="9349" xr:uid="{00000000-0005-0000-0000-0000C9230000}"/>
    <cellStyle name="Note 2 13 3 2" xfId="29753" xr:uid="{9E149331-3747-4389-A4EB-1D0327A96AF5}"/>
    <cellStyle name="Note 2 13 3 3" xfId="36598" xr:uid="{3A853E5C-FF3C-4C16-BAFD-34A995E6B7D2}"/>
    <cellStyle name="Note 2 13 3 4" xfId="21806" xr:uid="{A83C7F28-ABE5-44D8-B017-9353495F8F68}"/>
    <cellStyle name="Note 2 13 3 5" xfId="41866" xr:uid="{32DFC194-2037-44CF-A847-23653D7871AB}"/>
    <cellStyle name="Note 2 13 3 6" xfId="46515" xr:uid="{32B63B12-F0CE-43E9-AF1D-AD612B2F6C9F}"/>
    <cellStyle name="Note 2 13 3 7" xfId="47054" xr:uid="{ADF51549-FE41-48DE-AF4E-98F3D021B765}"/>
    <cellStyle name="Note 2 13 3 8" xfId="49082" xr:uid="{D583936C-43A2-45F6-AE5D-D48297A22603}"/>
    <cellStyle name="Note 2 13 3 9" xfId="49482" xr:uid="{3EB21A80-1DC3-4AC3-8E43-BD919062A6DA}"/>
    <cellStyle name="Note 2 13 4" xfId="21870" xr:uid="{EC22A52C-6E10-4D0A-903D-DF1BF632650E}"/>
    <cellStyle name="Note 2 13 5" xfId="21765" xr:uid="{050C0BB8-C8EC-4363-A268-CFBEEE90DAF3}"/>
    <cellStyle name="Note 2 13 6" xfId="22098" xr:uid="{8FA021DD-4A8B-4199-AC10-CD5581C0854F}"/>
    <cellStyle name="Note 2 13 7" xfId="20901" xr:uid="{773BA6E9-B05B-42F9-BCEF-0E0602CC2836}"/>
    <cellStyle name="Note 2 13 8" xfId="21883" xr:uid="{A224D370-78C7-415A-948E-BE8E8A5C28CC}"/>
    <cellStyle name="Note 2 13 9" xfId="22538" xr:uid="{20289349-1A93-4EEF-9661-F0659DD492B3}"/>
    <cellStyle name="Note 2 14" xfId="4840" xr:uid="{00000000-0005-0000-0000-00000B130000}"/>
    <cellStyle name="Note 2 14 10" xfId="21706" xr:uid="{20D2EA10-4200-4D7C-99F2-340617248247}"/>
    <cellStyle name="Note 2 14 11" xfId="20307" xr:uid="{46DB4CD8-7968-4042-97D5-4EB09BE4A8C2}"/>
    <cellStyle name="Note 2 14 12" xfId="20473" xr:uid="{D2AC8E9D-DC35-4CED-8733-ED84110A5F5E}"/>
    <cellStyle name="Note 2 14 13" xfId="22228" xr:uid="{FD9179DA-007A-4AD0-A933-444F064BED60}"/>
    <cellStyle name="Note 2 14 14" xfId="21338" xr:uid="{730C1A35-8B7B-4279-9E80-7CD0EF7EFD32}"/>
    <cellStyle name="Note 2 14 15" xfId="21417" xr:uid="{C0129618-EA5E-49E8-A091-9FD6BC46C447}"/>
    <cellStyle name="Note 2 14 16" xfId="18187" xr:uid="{FB2C6EEC-1595-49FF-8950-66EAEC0D64F1}"/>
    <cellStyle name="Note 2 14 17" xfId="31163" xr:uid="{59EAE873-9BDA-4950-80E8-16C5B61A4014}"/>
    <cellStyle name="Note 2 14 18" xfId="17353" xr:uid="{58E52466-0002-4CEC-872B-E3CE0270DD81}"/>
    <cellStyle name="Note 2 14 19" xfId="38877" xr:uid="{AA034EEF-0FBF-4BCE-AE2D-B049B716BD4D}"/>
    <cellStyle name="Note 2 14 2" xfId="10364" xr:uid="{00000000-0005-0000-0000-000058200000}"/>
    <cellStyle name="Note 2 14 2 2" xfId="27005" xr:uid="{9A04DC0C-9682-4166-81BC-E02C638FA924}"/>
    <cellStyle name="Note 2 14 2 3" xfId="33845" xr:uid="{CA555495-1D3B-476D-BE06-BBC5FC644F82}"/>
    <cellStyle name="Note 2 14 2 4" xfId="21467" xr:uid="{27956A2E-3948-4643-A9DD-573F0DFBB8BA}"/>
    <cellStyle name="Note 2 14 2 5" xfId="42853" xr:uid="{9D2769E7-64C4-4205-9A08-2C6AD84BFBF1}"/>
    <cellStyle name="Note 2 14 3" xfId="20210" xr:uid="{BBD3EAD3-794A-43E3-8527-3423B63BCA2C}"/>
    <cellStyle name="Note 2 14 3 2" xfId="29081" xr:uid="{C163B4BA-2D90-472F-8501-09856DE752DA}"/>
    <cellStyle name="Note 2 14 3 3" xfId="35926" xr:uid="{A54CE088-60AC-469D-B513-17D9A25065A5}"/>
    <cellStyle name="Note 2 14 4" xfId="19275" xr:uid="{58F09A47-BF0E-48E0-B5A7-5016B0F7EEEB}"/>
    <cellStyle name="Note 2 14 5" xfId="19604" xr:uid="{473B270D-046B-4F84-BDF8-9955CCE827F4}"/>
    <cellStyle name="Note 2 14 6" xfId="19161" xr:uid="{78B0B312-BBD6-4414-AE71-BD362AF51AC5}"/>
    <cellStyle name="Note 2 14 7" xfId="21203" xr:uid="{A67F3ACA-40F6-4994-9F8E-1BF5C440AA47}"/>
    <cellStyle name="Note 2 14 8" xfId="22167" xr:uid="{EEDFB4E0-4E82-405E-9F8D-D395CF2CA6C2}"/>
    <cellStyle name="Note 2 14 9" xfId="22413" xr:uid="{31DBC45B-A57F-48F8-82FF-758374472723}"/>
    <cellStyle name="Note 2 15" xfId="10358" xr:uid="{00000000-0005-0000-0000-000052200000}"/>
    <cellStyle name="Note 2 15 2" xfId="27901" xr:uid="{D09C0CBB-66C2-4552-B8DB-A6AD28D4C412}"/>
    <cellStyle name="Note 2 15 2 2" xfId="34746" xr:uid="{8F2EC18B-1983-43DB-A2DD-A64C34670052}"/>
    <cellStyle name="Note 2 15 3" xfId="29982" xr:uid="{1E2F90A7-0D1B-4EB0-BCEE-F53BC9D995C1}"/>
    <cellStyle name="Note 2 15 3 2" xfId="36827" xr:uid="{3A6E0F8A-6124-4325-B5AA-5379024E37ED}"/>
    <cellStyle name="Note 2 15 4" xfId="25230" xr:uid="{3A20E1EC-7905-4F97-96AD-53FF5A5AA872}"/>
    <cellStyle name="Note 2 15 5" xfId="32064" xr:uid="{AD644F93-6F25-4024-A52D-5D76EE424001}"/>
    <cellStyle name="Note 2 15 6" xfId="17398" xr:uid="{9FFA056E-E01B-4564-ACB0-DAF7117830C8}"/>
    <cellStyle name="Note 2 15 7" xfId="42847" xr:uid="{E8868720-7906-43DF-A1A7-59369E241D7B}"/>
    <cellStyle name="Note 2 16" xfId="8116" xr:uid="{00000000-0005-0000-0000-0000710F0000}"/>
    <cellStyle name="Note 2 16 2" xfId="26532" xr:uid="{5B8AF7F9-BBD0-409C-AF1A-8E2D3E641F93}"/>
    <cellStyle name="Note 2 16 2 2" xfId="33372" xr:uid="{5CB94782-0EC2-4AF4-BA2F-B2C50F4F9AF9}"/>
    <cellStyle name="Note 2 16 3" xfId="26153" xr:uid="{8C0ADA93-2C29-4636-967C-F4A93F764F9D}"/>
    <cellStyle name="Note 2 16 3 2" xfId="32981" xr:uid="{D7EAE5C6-2932-4E77-AA56-2A4164510642}"/>
    <cellStyle name="Note 2 16 4" xfId="23275" xr:uid="{4FDAF71C-26F3-419B-94CE-F7EA53710BD2}"/>
    <cellStyle name="Note 2 16 5" xfId="23914" xr:uid="{ACBA96D8-19F0-4C4F-AB37-649BF6B8BF71}"/>
    <cellStyle name="Note 2 16 6" xfId="40919" xr:uid="{8FB5F9E5-723C-432E-B9F1-142251EF991B}"/>
    <cellStyle name="Note 2 17" xfId="25398" xr:uid="{51CA4F43-2232-4AA6-B8B7-187D4D312A37}"/>
    <cellStyle name="Note 2 17 2" xfId="28065" xr:uid="{8C16E3DB-AB91-417C-A793-900E45BFB11C}"/>
    <cellStyle name="Note 2 17 2 2" xfId="34910" xr:uid="{65538892-3295-4CC5-AD3E-E17E3AC5B3A2}"/>
    <cellStyle name="Note 2 17 3" xfId="30146" xr:uid="{D1017FA4-4D00-4E76-ABD9-B3E9B1CBE110}"/>
    <cellStyle name="Note 2 17 3 2" xfId="36991" xr:uid="{A692E398-E8AA-4D9F-9D1B-CB19E3B4F09C}"/>
    <cellStyle name="Note 2 17 4" xfId="32228" xr:uid="{23BE649F-C6BD-4949-912D-DA7A77B5AE4F}"/>
    <cellStyle name="Note 2 18" xfId="25354" xr:uid="{E519BE41-BD56-4EEF-B93E-DB24CEF159BF}"/>
    <cellStyle name="Note 2 18 2" xfId="28021" xr:uid="{23F88B90-F9D1-4860-82AB-55F750B82A7E}"/>
    <cellStyle name="Note 2 18 2 2" xfId="34866" xr:uid="{8C803245-125E-4B7F-BEB3-711B958D8FFB}"/>
    <cellStyle name="Note 2 18 3" xfId="30102" xr:uid="{B8E5264E-C54A-46C6-9835-A5A89697F9FC}"/>
    <cellStyle name="Note 2 18 3 2" xfId="36947" xr:uid="{CAFA0B3D-2819-4EA4-B6EC-497D7DF4D240}"/>
    <cellStyle name="Note 2 18 4" xfId="32184" xr:uid="{F28B95AB-0B74-43B4-969A-0BA5D532C551}"/>
    <cellStyle name="Note 2 19" xfId="24000" xr:uid="{4E3DA11E-047C-428C-A83A-82B5ACF1DF7A}"/>
    <cellStyle name="Note 2 19 2" xfId="26617" xr:uid="{1CA08E1E-A080-4118-924E-77E3D83412C2}"/>
    <cellStyle name="Note 2 19 2 2" xfId="33457" xr:uid="{BE7EE6B4-0D9D-4E86-B355-CB37113F22A0}"/>
    <cellStyle name="Note 2 19 3" xfId="26076" xr:uid="{309DF6DF-7EA7-4568-867E-23811CAAD37F}"/>
    <cellStyle name="Note 2 19 3 2" xfId="32904" xr:uid="{AD528E80-0573-4F2C-830C-49BF0C63E66B}"/>
    <cellStyle name="Note 2 19 4" xfId="23198" xr:uid="{C41B4AE8-A2D9-45D0-897C-5E82D9899E23}"/>
    <cellStyle name="Note 2 2" xfId="4841" xr:uid="{00000000-0005-0000-0000-00000C130000}"/>
    <cellStyle name="Note 2 2 10" xfId="25381" xr:uid="{DEC9FE12-0AF8-4F51-801E-2E32207DA6CB}"/>
    <cellStyle name="Note 2 2 10 2" xfId="28048" xr:uid="{060E5E40-AF7E-43E1-9B34-80170FF1EAF2}"/>
    <cellStyle name="Note 2 2 10 2 2" xfId="34893" xr:uid="{D57A13EC-2CF8-4659-B3BB-B731096BD560}"/>
    <cellStyle name="Note 2 2 10 3" xfId="30129" xr:uid="{82F3AD3A-D8F7-49C1-BE86-F48DE37D936C}"/>
    <cellStyle name="Note 2 2 10 3 2" xfId="36974" xr:uid="{7ECBC003-E267-454F-B706-F6F1221DE5C1}"/>
    <cellStyle name="Note 2 2 10 4" xfId="32211" xr:uid="{E2CE971A-4BC9-49DF-ADB3-333BE6D20844}"/>
    <cellStyle name="Note 2 2 11" xfId="24116" xr:uid="{3D1782D0-3702-4170-A1B3-633CAEBD7E14}"/>
    <cellStyle name="Note 2 2 11 2" xfId="26728" xr:uid="{88C81223-22E1-49C6-AE7E-BB6D514DA9E7}"/>
    <cellStyle name="Note 2 2 11 2 2" xfId="33568" xr:uid="{C8CDD010-A4B8-4F8D-9355-00DB15336948}"/>
    <cellStyle name="Note 2 2 11 3" xfId="28804" xr:uid="{5D239DC9-3D09-4CEF-A694-83D1135C5D53}"/>
    <cellStyle name="Note 2 2 11 3 2" xfId="35649" xr:uid="{DB3FB8A2-949E-4C3C-A9E9-357B48B253E6}"/>
    <cellStyle name="Note 2 2 11 4" xfId="30886" xr:uid="{74375A98-66C5-4BF8-A9D7-E8BE1779E9EF}"/>
    <cellStyle name="Note 2 2 12" xfId="23766" xr:uid="{4FDC3008-204A-4A97-AB5C-55AF6BF8AAE1}"/>
    <cellStyle name="Note 2 2 12 2" xfId="26377" xr:uid="{485BE7F8-F94D-4CB3-99C7-B38A43501C50}"/>
    <cellStyle name="Note 2 2 12 2 2" xfId="33216" xr:uid="{78D2BD16-63C7-4018-9657-03141ABF390C}"/>
    <cellStyle name="Note 2 2 12 3" xfId="26305" xr:uid="{5CC396A2-999E-4B02-BC6B-6F9A7DDE50B1}"/>
    <cellStyle name="Note 2 2 12 3 2" xfId="33133" xr:uid="{F653AB3E-DCCF-4AE1-9AE4-502037461FB3}"/>
    <cellStyle name="Note 2 2 12 4" xfId="23427" xr:uid="{304CBDF0-ED8F-41D2-A038-0661F21C5BBE}"/>
    <cellStyle name="Note 2 2 13" xfId="25407" xr:uid="{4C0F6C40-14A0-44AB-949B-E7C4E845F9CD}"/>
    <cellStyle name="Note 2 2 13 2" xfId="28074" xr:uid="{FF090FBF-3D81-4287-AE66-342F0EB333A6}"/>
    <cellStyle name="Note 2 2 13 2 2" xfId="34919" xr:uid="{1E3BE5B2-7DE2-4295-8472-AEEFE7E39AA0}"/>
    <cellStyle name="Note 2 2 13 3" xfId="30155" xr:uid="{28CA7331-49B2-47AA-9937-A0D061717FE0}"/>
    <cellStyle name="Note 2 2 13 3 2" xfId="37000" xr:uid="{AC8B03D5-FF66-4FBE-B98B-95B4DA59D1A0}"/>
    <cellStyle name="Note 2 2 13 4" xfId="32237" xr:uid="{5AB4A474-8D72-445D-9109-1C5E13FA15EB}"/>
    <cellStyle name="Note 2 2 14" xfId="23754" xr:uid="{BF56FE20-6A10-4766-96B3-6A2D6CC6A360}"/>
    <cellStyle name="Note 2 2 14 2" xfId="26365" xr:uid="{13BB1DF4-768F-4C21-B656-906FA52A877B}"/>
    <cellStyle name="Note 2 2 14 2 2" xfId="33204" xr:uid="{DBCBA073-DCCD-465F-9BFF-CAE61774AFF8}"/>
    <cellStyle name="Note 2 2 14 3" xfId="26317" xr:uid="{27163811-6C63-40FD-89D5-6BFB0E2024B8}"/>
    <cellStyle name="Note 2 2 14 3 2" xfId="33145" xr:uid="{3E0E0AFF-20E2-4ACE-8B82-A80FF9DA5B4A}"/>
    <cellStyle name="Note 2 2 14 4" xfId="23439" xr:uid="{1D7FB666-B341-4C5F-B796-2CCD44BF0FE3}"/>
    <cellStyle name="Note 2 2 15" xfId="25564" xr:uid="{23719239-4883-4A8A-8F7F-1DBBBA46556A}"/>
    <cellStyle name="Note 2 2 15 2" xfId="28231" xr:uid="{F1BCD3D2-A258-4F39-9F97-9C540FA75256}"/>
    <cellStyle name="Note 2 2 15 2 2" xfId="35076" xr:uid="{E82FFAFB-9D14-4BD2-BB19-F9A1FACBA83C}"/>
    <cellStyle name="Note 2 2 15 3" xfId="30312" xr:uid="{6A06D096-577D-43FE-B552-EF7CBCA8D744}"/>
    <cellStyle name="Note 2 2 15 3 2" xfId="37157" xr:uid="{C5145A2E-13D5-451C-9F30-F5603CF3F245}"/>
    <cellStyle name="Note 2 2 15 4" xfId="32394" xr:uid="{9D1BF7C7-D0D9-4958-B71D-47CA95582049}"/>
    <cellStyle name="Note 2 2 16" xfId="25917" xr:uid="{9112DCC3-0768-45BA-8981-3BA5749D3046}"/>
    <cellStyle name="Note 2 2 16 2" xfId="28583" xr:uid="{E56636A7-1623-475C-9F54-21D0F02B8157}"/>
    <cellStyle name="Note 2 2 16 2 2" xfId="35428" xr:uid="{8062EF6D-1B5F-48F5-845F-359ACE9F01E1}"/>
    <cellStyle name="Note 2 2 16 3" xfId="30664" xr:uid="{9AF76BC3-E395-4394-B50B-C013F8BA979D}"/>
    <cellStyle name="Note 2 2 16 3 2" xfId="37509" xr:uid="{DF378191-097B-4120-A64C-75790B1E527E}"/>
    <cellStyle name="Note 2 2 16 4" xfId="32746" xr:uid="{5A5DEAB7-EBBB-4850-A5A7-17D06C7FE7A2}"/>
    <cellStyle name="Note 2 2 17" xfId="24675" xr:uid="{882794B8-FEF6-42F8-9741-FE4ADA891600}"/>
    <cellStyle name="Note 2 2 17 2" xfId="27289" xr:uid="{564C5118-F7E8-4083-A391-30BC5B0E9DBA}"/>
    <cellStyle name="Note 2 2 17 2 2" xfId="34133" xr:uid="{5E10AAB2-A2D3-4F47-A675-DD58485B1C42}"/>
    <cellStyle name="Note 2 2 17 3" xfId="29369" xr:uid="{9DF9C5DE-DFCF-474E-A2CB-30DD7E9DD3FA}"/>
    <cellStyle name="Note 2 2 17 3 2" xfId="36214" xr:uid="{E4850361-49D7-46B0-B809-4766880B63D2}"/>
    <cellStyle name="Note 2 2 17 4" xfId="31451" xr:uid="{728D0375-593B-4498-B42C-59121E21CEEF}"/>
    <cellStyle name="Note 2 2 18" xfId="23693" xr:uid="{DCE706B8-AD91-4B09-827A-B7AAE4369123}"/>
    <cellStyle name="Note 2 2 19" xfId="13646" xr:uid="{666FEF86-C1CA-4577-B223-5FDE5FD07C53}"/>
    <cellStyle name="Note 2 2 2" xfId="4842" xr:uid="{00000000-0005-0000-0000-00000D130000}"/>
    <cellStyle name="Note 2 2 2 10" xfId="23800" xr:uid="{65F92608-5409-491C-9D43-47F2E5EB3EEC}"/>
    <cellStyle name="Note 2 2 2 10 2" xfId="26414" xr:uid="{AD6CFBD4-AC1E-4F2B-8E0B-FBB363B3BC1A}"/>
    <cellStyle name="Note 2 2 2 10 2 2" xfId="33254" xr:uid="{C8AE8713-D395-44E4-A796-23E018EC4124}"/>
    <cellStyle name="Note 2 2 2 10 3" xfId="26268" xr:uid="{6F5A2C9B-A2FC-4E95-8E6F-881E2109BA79}"/>
    <cellStyle name="Note 2 2 2 10 3 2" xfId="33096" xr:uid="{CEA0B75A-48CF-48A8-A72D-F346F42129E8}"/>
    <cellStyle name="Note 2 2 2 10 4" xfId="23390" xr:uid="{54151588-F565-463B-800F-A2BD6FFA87B6}"/>
    <cellStyle name="Note 2 2 2 11" xfId="24926" xr:uid="{CFB4195A-608E-4DC5-B753-06B1C6CCDF8F}"/>
    <cellStyle name="Note 2 2 2 11 2" xfId="27595" xr:uid="{8F832328-4742-4D23-A055-2F6E1551F4FF}"/>
    <cellStyle name="Note 2 2 2 11 2 2" xfId="34439" xr:uid="{952AE85D-E512-42B8-9C34-60CE4122D932}"/>
    <cellStyle name="Note 2 2 2 11 3" xfId="29675" xr:uid="{83C4AFCE-B10D-4D9D-839D-E18032D8EB8B}"/>
    <cellStyle name="Note 2 2 2 11 3 2" xfId="36520" xr:uid="{AA6DE7F9-EED1-4CE0-B231-50C978DC12B2}"/>
    <cellStyle name="Note 2 2 2 11 4" xfId="31757" xr:uid="{91377162-45FE-45C1-9458-6CAE5ED27549}"/>
    <cellStyle name="Note 2 2 2 12" xfId="23876" xr:uid="{33789ADF-83CF-4DC4-8CA8-67FABEB5865F}"/>
    <cellStyle name="Note 2 2 2 12 2" xfId="26494" xr:uid="{CB8CAB69-B78D-42C1-B649-640CB1BFDEFE}"/>
    <cellStyle name="Note 2 2 2 12 2 2" xfId="33334" xr:uid="{39578E1B-104B-4276-BB50-453916DE685D}"/>
    <cellStyle name="Note 2 2 2 12 3" xfId="26190" xr:uid="{B761F86A-B794-4B9C-AFC4-47C26BBAF079}"/>
    <cellStyle name="Note 2 2 2 12 3 2" xfId="33018" xr:uid="{1206EFEA-0261-400E-BCA2-49CA7EC59F4C}"/>
    <cellStyle name="Note 2 2 2 12 4" xfId="23312" xr:uid="{DDAF2BA8-03F3-4EE3-96CB-196977784FEF}"/>
    <cellStyle name="Note 2 2 2 13" xfId="23917" xr:uid="{7FF6472E-1886-4A14-BE6B-6094F3FA3354}"/>
    <cellStyle name="Note 2 2 2 13 2" xfId="26535" xr:uid="{07EC29BB-5F67-47C3-80DE-3F4B013CD25B}"/>
    <cellStyle name="Note 2 2 2 13 2 2" xfId="33375" xr:uid="{01640310-D889-47E6-A53B-BA668F0B20DB}"/>
    <cellStyle name="Note 2 2 2 13 3" xfId="26150" xr:uid="{8F3F6310-5065-4C3A-8CAA-BC4BFF55158C}"/>
    <cellStyle name="Note 2 2 2 13 3 2" xfId="32978" xr:uid="{16826C46-B37E-49FC-99BF-7E244E416926}"/>
    <cellStyle name="Note 2 2 2 13 4" xfId="23272" xr:uid="{77B9F7A5-99B7-47E5-9E99-24098DEA2E44}"/>
    <cellStyle name="Note 2 2 2 14" xfId="24150" xr:uid="{DADE3990-B67F-4A22-8FA6-3753B6316547}"/>
    <cellStyle name="Note 2 2 2 14 2" xfId="26762" xr:uid="{FCE1853C-C67E-41A5-85CA-4FD0AB2DBD94}"/>
    <cellStyle name="Note 2 2 2 14 2 2" xfId="33602" xr:uid="{3BE95C97-3488-42D9-8E67-954076A70D85}"/>
    <cellStyle name="Note 2 2 2 14 3" xfId="28838" xr:uid="{F2EF2C0B-7620-43E6-BD16-D2572464AABF}"/>
    <cellStyle name="Note 2 2 2 14 3 2" xfId="35683" xr:uid="{8A60C315-39C0-4F10-A40A-A8E4572C1B73}"/>
    <cellStyle name="Note 2 2 2 14 4" xfId="30920" xr:uid="{08BBF344-A034-4BEC-B0BD-6D592741BDD1}"/>
    <cellStyle name="Note 2 2 2 15" xfId="24335" xr:uid="{BA559D86-45C3-4AF0-8DE2-1A583B99D69C}"/>
    <cellStyle name="Note 2 2 2 15 2" xfId="26941" xr:uid="{A28470C1-A6D7-4B57-8FEE-F1F1B68EF6D3}"/>
    <cellStyle name="Note 2 2 2 15 2 2" xfId="33781" xr:uid="{177A9C2F-C17D-49B0-BCBE-ECA486703FD7}"/>
    <cellStyle name="Note 2 2 2 15 3" xfId="29017" xr:uid="{185C1B8B-01A3-4B59-A7EB-70894C99390C}"/>
    <cellStyle name="Note 2 2 2 15 3 2" xfId="35862" xr:uid="{A9740945-4EA8-4DD0-A3CA-9347B6C3086D}"/>
    <cellStyle name="Note 2 2 2 15 4" xfId="31099" xr:uid="{21C1BA81-E8ED-4B28-AB34-4AF388F6D692}"/>
    <cellStyle name="Note 2 2 2 16" xfId="25073" xr:uid="{99DA624E-E15A-4522-9AA4-267A557B8686}"/>
    <cellStyle name="Note 2 2 2 16 2" xfId="27745" xr:uid="{6D0DBB22-44B4-48CE-BBD0-0B65B5AB0A27}"/>
    <cellStyle name="Note 2 2 2 16 2 2" xfId="34590" xr:uid="{98BF4439-E981-4D5F-8ADB-C7CEC2D67E4B}"/>
    <cellStyle name="Note 2 2 2 16 3" xfId="29826" xr:uid="{B656BB38-828E-4212-95B2-019DC8AD662F}"/>
    <cellStyle name="Note 2 2 2 16 3 2" xfId="36671" xr:uid="{52273308-D735-4585-A019-9A8C5F6C4500}"/>
    <cellStyle name="Note 2 2 2 16 4" xfId="31908" xr:uid="{D6B01242-F183-4121-AEB3-93624AD3DCF2}"/>
    <cellStyle name="Note 2 2 2 17" xfId="24028" xr:uid="{14FB70AC-4B9E-4B20-A869-A1C87F3A00ED}"/>
    <cellStyle name="Note 2 2 2 17 2" xfId="26642" xr:uid="{470E4CAF-6270-4D6A-9587-330A30F543C8}"/>
    <cellStyle name="Note 2 2 2 17 2 2" xfId="33482" xr:uid="{42B4850B-7EB0-4E90-BDB1-AC669D4075D2}"/>
    <cellStyle name="Note 2 2 2 17 3" xfId="28718" xr:uid="{B894EF58-571C-4DCC-927D-E2AFEE0D6E66}"/>
    <cellStyle name="Note 2 2 2 17 3 2" xfId="35563" xr:uid="{51BB138C-FA12-4638-B3BE-DBDAD6598A77}"/>
    <cellStyle name="Note 2 2 2 17 4" xfId="30800" xr:uid="{04829C9B-5A08-4EAC-A0D6-A2D2A5A47D19}"/>
    <cellStyle name="Note 2 2 2 18" xfId="24294" xr:uid="{F5EC257A-2093-4F2F-B1B5-DD5F30F30359}"/>
    <cellStyle name="Note 2 2 2 18 2" xfId="26901" xr:uid="{AC5DAAE9-AA28-4DDA-89CB-73847E230C91}"/>
    <cellStyle name="Note 2 2 2 18 2 2" xfId="33741" xr:uid="{3D7F7867-702F-48FE-BD8F-CC2E9387B06C}"/>
    <cellStyle name="Note 2 2 2 18 3" xfId="28977" xr:uid="{02A54A39-B35B-4BF2-B142-459CBE6D08DB}"/>
    <cellStyle name="Note 2 2 2 18 3 2" xfId="35822" xr:uid="{9E8D777B-1C00-4BF4-BF38-57D601B56F06}"/>
    <cellStyle name="Note 2 2 2 18 4" xfId="31059" xr:uid="{6E44E695-0909-43C7-827C-9719A06EF65A}"/>
    <cellStyle name="Note 2 2 2 19" xfId="23132" xr:uid="{9919D3A9-99C3-4654-B3CD-D30AF0714558}"/>
    <cellStyle name="Note 2 2 2 2" xfId="4843" xr:uid="{00000000-0005-0000-0000-00000E130000}"/>
    <cellStyle name="Note 2 2 2 2 10" xfId="24198" xr:uid="{BE33D45A-EA71-4563-9D18-B29F98FB3B6F}"/>
    <cellStyle name="Note 2 2 2 2 10 2" xfId="26808" xr:uid="{98E49DA2-5DF9-4E2B-8558-035505F59C6D}"/>
    <cellStyle name="Note 2 2 2 2 10 2 2" xfId="33648" xr:uid="{1C2D9015-BF9A-4123-BDCE-4DC18FD7844C}"/>
    <cellStyle name="Note 2 2 2 2 10 3" xfId="28884" xr:uid="{CA449EBE-CFEB-4E58-967F-0B19C6FC36BC}"/>
    <cellStyle name="Note 2 2 2 2 10 3 2" xfId="35729" xr:uid="{3A6C9529-63C5-4E76-B9F6-F5E3180A8CEC}"/>
    <cellStyle name="Note 2 2 2 2 10 4" xfId="30966" xr:uid="{7800A9F8-1F52-4364-9DF9-B773001E2A64}"/>
    <cellStyle name="Note 2 2 2 2 11" xfId="25410" xr:uid="{23987181-7FCF-4A73-BC38-58F060EF556F}"/>
    <cellStyle name="Note 2 2 2 2 11 2" xfId="28077" xr:uid="{30625F95-E376-4142-A522-1347FC35F2BB}"/>
    <cellStyle name="Note 2 2 2 2 11 2 2" xfId="34922" xr:uid="{3517529F-D484-404B-AF98-AEC86BE7D48C}"/>
    <cellStyle name="Note 2 2 2 2 11 3" xfId="30158" xr:uid="{F91E7482-5BDF-435D-91E2-38590815F414}"/>
    <cellStyle name="Note 2 2 2 2 11 3 2" xfId="37003" xr:uid="{4B121735-59B6-4385-AAA6-56FD075D2943}"/>
    <cellStyle name="Note 2 2 2 2 11 4" xfId="32240" xr:uid="{57D29D56-DA22-43BB-97BD-278857114102}"/>
    <cellStyle name="Note 2 2 2 2 12" xfId="24068" xr:uid="{A1BD7611-BA2F-4246-B20C-8224EA843129}"/>
    <cellStyle name="Note 2 2 2 2 12 2" xfId="26681" xr:uid="{9140BABF-FC79-45A4-A7BB-34A7BEDE782B}"/>
    <cellStyle name="Note 2 2 2 2 12 2 2" xfId="33521" xr:uid="{57CF03CC-88EB-4305-B6AB-7B77195B4B13}"/>
    <cellStyle name="Note 2 2 2 2 12 3" xfId="28757" xr:uid="{0E27C802-9B4A-4763-AFE2-27136F4F375F}"/>
    <cellStyle name="Note 2 2 2 2 12 3 2" xfId="35602" xr:uid="{448F5BA2-5E6B-48FC-BFD1-34E00D61907C}"/>
    <cellStyle name="Note 2 2 2 2 12 4" xfId="30839" xr:uid="{9411D0A2-00EA-4815-9A4B-5DD81F5EE309}"/>
    <cellStyle name="Note 2 2 2 2 13" xfId="25674" xr:uid="{82A437D8-B129-48BC-99AA-36D34F5BBA8B}"/>
    <cellStyle name="Note 2 2 2 2 13 2" xfId="28341" xr:uid="{C7E76341-FD22-40AC-BC0F-321541DD5E5E}"/>
    <cellStyle name="Note 2 2 2 2 13 2 2" xfId="35186" xr:uid="{B84F3074-7C85-4570-8BA3-9AAEC49FAA4A}"/>
    <cellStyle name="Note 2 2 2 2 13 3" xfId="30422" xr:uid="{C7BE5D93-2A6E-44EA-8324-1CDD822530C0}"/>
    <cellStyle name="Note 2 2 2 2 13 3 2" xfId="37267" xr:uid="{0A62EFED-14ED-4678-9370-E50BFA98769F}"/>
    <cellStyle name="Note 2 2 2 2 13 4" xfId="32504" xr:uid="{EFE44627-4B00-4F9A-98C1-4BBF20241C11}"/>
    <cellStyle name="Note 2 2 2 2 14" xfId="25618" xr:uid="{14ADDD2A-9ACB-4E88-BC15-D05FD1386659}"/>
    <cellStyle name="Note 2 2 2 2 14 2" xfId="28285" xr:uid="{F7A960E1-1174-480C-B553-CB50F5483B99}"/>
    <cellStyle name="Note 2 2 2 2 14 2 2" xfId="35130" xr:uid="{83B1315F-07F8-417E-99B1-8A99145FF717}"/>
    <cellStyle name="Note 2 2 2 2 14 3" xfId="30366" xr:uid="{9DEF80C8-3C6C-4B15-BF46-4DEC738C6D30}"/>
    <cellStyle name="Note 2 2 2 2 14 3 2" xfId="37211" xr:uid="{44A64E20-0A42-4742-AAE3-D2BA6C34E940}"/>
    <cellStyle name="Note 2 2 2 2 14 4" xfId="32448" xr:uid="{F001312D-76B0-4FFE-BFEB-10ECE9626329}"/>
    <cellStyle name="Note 2 2 2 2 15" xfId="25898" xr:uid="{FD400595-E959-4210-BC9E-2209313DE99A}"/>
    <cellStyle name="Note 2 2 2 2 15 2" xfId="28564" xr:uid="{8F5E0605-4567-4AD5-A372-9797227253DE}"/>
    <cellStyle name="Note 2 2 2 2 15 2 2" xfId="35409" xr:uid="{8245728D-65C5-4518-B67E-FD2ABB20355D}"/>
    <cellStyle name="Note 2 2 2 2 15 3" xfId="30645" xr:uid="{A52805C1-A0F9-43D4-8141-9E9BB13E6A4A}"/>
    <cellStyle name="Note 2 2 2 2 15 3 2" xfId="37490" xr:uid="{CC8F5B01-E2C5-49F3-9D79-8AC91D80C08E}"/>
    <cellStyle name="Note 2 2 2 2 15 4" xfId="32727" xr:uid="{189F25FF-86D1-4DFB-98D2-0A43704AE03F}"/>
    <cellStyle name="Note 2 2 2 2 16" xfId="25186" xr:uid="{5A97E415-6BEA-4356-9ABA-5960C4FB0D45}"/>
    <cellStyle name="Note 2 2 2 2 16 2" xfId="27858" xr:uid="{92D3FC35-4DAA-4DEF-B71C-B38821CD8E43}"/>
    <cellStyle name="Note 2 2 2 2 16 2 2" xfId="34703" xr:uid="{67BA366B-69A2-40F3-8B4B-05ADD54BF468}"/>
    <cellStyle name="Note 2 2 2 2 16 3" xfId="29939" xr:uid="{63652D68-AB09-4F90-BA9F-C5D8838FB332}"/>
    <cellStyle name="Note 2 2 2 2 16 3 2" xfId="36784" xr:uid="{8F6CED39-12BD-4CA2-A0D8-D5DCE9FFD2CE}"/>
    <cellStyle name="Note 2 2 2 2 16 4" xfId="32021" xr:uid="{122A0288-88A6-434F-A644-28E5114D88D1}"/>
    <cellStyle name="Note 2 2 2 2 17" xfId="25457" xr:uid="{2E3A9776-BF1B-42FF-BA44-E1494622A630}"/>
    <cellStyle name="Note 2 2 2 2 17 2" xfId="28124" xr:uid="{E47D3009-06CC-47FD-AF20-054EE972B9D9}"/>
    <cellStyle name="Note 2 2 2 2 17 2 2" xfId="34969" xr:uid="{4ED27191-B93A-495A-AC92-540610DB4A7C}"/>
    <cellStyle name="Note 2 2 2 2 17 3" xfId="30205" xr:uid="{BF70CBA1-ACF5-4B20-A7EC-B3887CEFB7F3}"/>
    <cellStyle name="Note 2 2 2 2 17 3 2" xfId="37050" xr:uid="{C6F766E4-6950-49AA-A290-58DED5270031}"/>
    <cellStyle name="Note 2 2 2 2 17 4" xfId="32287" xr:uid="{5D31AAC9-8FEA-44BA-8799-696FCEF02C42}"/>
    <cellStyle name="Note 2 2 2 2 18" xfId="23670" xr:uid="{C97EDA93-9C63-4D81-AF0D-51BB77E85A5E}"/>
    <cellStyle name="Note 2 2 2 2 19" xfId="38880" xr:uid="{5FA3F427-80ED-4B2C-AA30-0A42D2E7EABC}"/>
    <cellStyle name="Note 2 2 2 2 2" xfId="10367" xr:uid="{00000000-0005-0000-0000-00005B200000}"/>
    <cellStyle name="Note 2 2 2 2 2 10" xfId="25384" xr:uid="{005FAB4A-27A0-4E70-B770-AF6C470337A0}"/>
    <cellStyle name="Note 2 2 2 2 2 10 2" xfId="28051" xr:uid="{C77367F8-2D8F-4FA4-8A18-FD39069A868C}"/>
    <cellStyle name="Note 2 2 2 2 2 10 2 2" xfId="34896" xr:uid="{BCD6186C-FC83-40B9-AC54-3DFA7262ABC1}"/>
    <cellStyle name="Note 2 2 2 2 2 10 3" xfId="30132" xr:uid="{F8B10C05-F70D-48C5-9584-FE1E495E54F0}"/>
    <cellStyle name="Note 2 2 2 2 2 10 3 2" xfId="36977" xr:uid="{7B31BDAE-29CA-4B69-93AC-953E1F11AA71}"/>
    <cellStyle name="Note 2 2 2 2 2 10 4" xfId="32214" xr:uid="{F7FF73F6-EBD9-4E23-8885-F226309BAF3E}"/>
    <cellStyle name="Note 2 2 2 2 2 11" xfId="25071" xr:uid="{E4E6FC77-CB1E-40C3-8767-708925E1A2EF}"/>
    <cellStyle name="Note 2 2 2 2 2 11 2" xfId="27743" xr:uid="{379DA63B-8F5B-480C-96F3-4730C100ADA9}"/>
    <cellStyle name="Note 2 2 2 2 2 11 2 2" xfId="34588" xr:uid="{237C04DF-969A-401D-B3CB-A1AA35FCDDB7}"/>
    <cellStyle name="Note 2 2 2 2 2 11 3" xfId="29824" xr:uid="{41940B4A-A199-468C-82A1-7DC0E56DDDB2}"/>
    <cellStyle name="Note 2 2 2 2 2 11 3 2" xfId="36669" xr:uid="{A9929423-C3DE-49C5-9A69-3845191D6DE0}"/>
    <cellStyle name="Note 2 2 2 2 2 11 4" xfId="31906" xr:uid="{CAD081BE-1A04-4FE3-9F82-0354C2B98BF8}"/>
    <cellStyle name="Note 2 2 2 2 2 12" xfId="25451" xr:uid="{957211A6-C812-438E-9E83-9A97C49A2D02}"/>
    <cellStyle name="Note 2 2 2 2 2 12 2" xfId="28118" xr:uid="{7476027C-2071-41A0-8809-8B6372BB4D68}"/>
    <cellStyle name="Note 2 2 2 2 2 12 2 2" xfId="34963" xr:uid="{AE31CD07-0874-4568-B967-049A31A5ECA9}"/>
    <cellStyle name="Note 2 2 2 2 2 12 3" xfId="30199" xr:uid="{93C78C8F-084F-4034-9488-50429F57CDC4}"/>
    <cellStyle name="Note 2 2 2 2 2 12 3 2" xfId="37044" xr:uid="{C3C5C751-D234-4741-8427-13755247D993}"/>
    <cellStyle name="Note 2 2 2 2 2 12 4" xfId="32281" xr:uid="{AC439601-0B32-46E8-92B4-AB85AE266123}"/>
    <cellStyle name="Note 2 2 2 2 2 13" xfId="24012" xr:uid="{3BCA778E-8EBF-4660-ACD7-619A2D1415F6}"/>
    <cellStyle name="Note 2 2 2 2 2 13 2" xfId="26629" xr:uid="{3025CB28-ED37-4CEB-A588-B2CCCA82089C}"/>
    <cellStyle name="Note 2 2 2 2 2 13 2 2" xfId="33469" xr:uid="{F0209675-4219-43C7-9581-7C13DA8F79D7}"/>
    <cellStyle name="Note 2 2 2 2 2 13 3" xfId="28705" xr:uid="{DA436F1F-DC23-4D5B-9B3B-40F71CEB4B3E}"/>
    <cellStyle name="Note 2 2 2 2 2 13 3 2" xfId="35550" xr:uid="{EF387005-9A85-4828-A22D-122BCB685096}"/>
    <cellStyle name="Note 2 2 2 2 2 13 4" xfId="30787" xr:uid="{D0176660-70DD-4E16-A014-1E362162603F}"/>
    <cellStyle name="Note 2 2 2 2 2 14" xfId="25920" xr:uid="{966856EE-A769-4317-A4F4-EDFD8D37A2FB}"/>
    <cellStyle name="Note 2 2 2 2 2 14 2" xfId="28586" xr:uid="{EBCD428F-DB8E-4A19-A137-797D65A254A0}"/>
    <cellStyle name="Note 2 2 2 2 2 14 2 2" xfId="35431" xr:uid="{B5F4E6B6-6DB6-4F70-BAF4-00DCF164D6B8}"/>
    <cellStyle name="Note 2 2 2 2 2 14 3" xfId="30667" xr:uid="{FEDA6386-238A-47AD-A508-9029CE44A221}"/>
    <cellStyle name="Note 2 2 2 2 2 14 3 2" xfId="37512" xr:uid="{3E6C758A-A762-49B8-A2E6-ADA9BE15A579}"/>
    <cellStyle name="Note 2 2 2 2 2 14 4" xfId="32749" xr:uid="{1E80DEE7-F28E-4CF5-B521-4C8C9F6C6AFB}"/>
    <cellStyle name="Note 2 2 2 2 2 15" xfId="25874" xr:uid="{2F0F8311-CBEE-4F19-BAF9-6042DC5C3AAC}"/>
    <cellStyle name="Note 2 2 2 2 2 15 2" xfId="28540" xr:uid="{F3764DBB-086D-4BFF-9EAA-8612CCF252B3}"/>
    <cellStyle name="Note 2 2 2 2 2 15 2 2" xfId="35385" xr:uid="{5005EEFE-46CD-4F6D-94FE-B215E53D0DDE}"/>
    <cellStyle name="Note 2 2 2 2 2 15 3" xfId="30621" xr:uid="{4A975FCF-D3E8-4628-81F6-82C44464ECFB}"/>
    <cellStyle name="Note 2 2 2 2 2 15 3 2" xfId="37466" xr:uid="{697EAAAE-428F-4C56-900D-DB31132D9A76}"/>
    <cellStyle name="Note 2 2 2 2 2 15 4" xfId="32703" xr:uid="{1863777A-AD14-4D43-AD25-149632F9386C}"/>
    <cellStyle name="Note 2 2 2 2 2 16" xfId="23644" xr:uid="{50EC7C04-71B5-4521-8F92-24D1091E7012}"/>
    <cellStyle name="Note 2 2 2 2 2 17" xfId="17558" xr:uid="{A5B43EDA-C243-489D-9281-3D6F8DFF4585}"/>
    <cellStyle name="Note 2 2 2 2 2 18" xfId="42856" xr:uid="{2D5FBA2D-4C56-4D46-AF4F-9CCB845BFB59}"/>
    <cellStyle name="Note 2 2 2 2 2 2" xfId="17829" xr:uid="{9188DAF1-9B11-4665-A1E3-664497417332}"/>
    <cellStyle name="Note 2 2 2 2 2 2 10" xfId="23996" xr:uid="{3C7DEB06-A694-4C5E-B249-6542044242C3}"/>
    <cellStyle name="Note 2 2 2 2 2 2 10 2" xfId="26613" xr:uid="{A41E7301-FCF0-40DC-AEC4-FC840105E08D}"/>
    <cellStyle name="Note 2 2 2 2 2 2 10 2 2" xfId="33453" xr:uid="{CCF2BBC8-4A1C-42A1-8917-AE3EDDC8E41E}"/>
    <cellStyle name="Note 2 2 2 2 2 2 10 3" xfId="26080" xr:uid="{07B4B6A2-FECB-4699-AC17-ACB9B0C9977C}"/>
    <cellStyle name="Note 2 2 2 2 2 2 10 3 2" xfId="32908" xr:uid="{247451EE-5A4D-44EF-B380-73B0D6A8D502}"/>
    <cellStyle name="Note 2 2 2 2 2 2 10 4" xfId="23202" xr:uid="{7CCD935F-6361-439F-9339-8322C06743B9}"/>
    <cellStyle name="Note 2 2 2 2 2 2 11" xfId="25653" xr:uid="{297DBB5A-338E-4935-800E-8562EE0CD5D0}"/>
    <cellStyle name="Note 2 2 2 2 2 2 11 2" xfId="28320" xr:uid="{B85E1DE6-7AE7-438A-89E6-017D8A5BE81D}"/>
    <cellStyle name="Note 2 2 2 2 2 2 11 2 2" xfId="35165" xr:uid="{1C4545A7-B37E-4114-BD27-95882619D132}"/>
    <cellStyle name="Note 2 2 2 2 2 2 11 3" xfId="30401" xr:uid="{90987928-0BB9-4B13-AF23-1F21FF661904}"/>
    <cellStyle name="Note 2 2 2 2 2 2 11 3 2" xfId="37246" xr:uid="{FFFD8B56-0608-4126-B147-E859A497FBE5}"/>
    <cellStyle name="Note 2 2 2 2 2 2 11 4" xfId="32483" xr:uid="{0BF67CF6-73F4-44F4-8E5E-64BE60C35A69}"/>
    <cellStyle name="Note 2 2 2 2 2 2 12" xfId="25758" xr:uid="{B44F793E-6E0E-4429-83F4-EB208F0CF2B9}"/>
    <cellStyle name="Note 2 2 2 2 2 2 12 2" xfId="28424" xr:uid="{B682257F-5A01-4026-8E74-D6D85EB9E17C}"/>
    <cellStyle name="Note 2 2 2 2 2 2 12 2 2" xfId="35269" xr:uid="{CB59828B-9861-4EFC-887D-240AE2008733}"/>
    <cellStyle name="Note 2 2 2 2 2 2 12 3" xfId="30505" xr:uid="{A019C981-15DA-457D-8F3E-B543E979313C}"/>
    <cellStyle name="Note 2 2 2 2 2 2 12 3 2" xfId="37350" xr:uid="{D07D0087-28B8-40A3-A6CC-2EF1F75F9E5D}"/>
    <cellStyle name="Note 2 2 2 2 2 2 12 4" xfId="32587" xr:uid="{A253E58B-BC7F-4827-BA19-197575C06C2C}"/>
    <cellStyle name="Note 2 2 2 2 2 2 13" xfId="25835" xr:uid="{A47BC8C6-5291-46C3-9F47-C85C9063CC8D}"/>
    <cellStyle name="Note 2 2 2 2 2 2 13 2" xfId="28501" xr:uid="{DAB4CA59-99E6-4085-A827-C710E43B5A0D}"/>
    <cellStyle name="Note 2 2 2 2 2 2 13 2 2" xfId="35346" xr:uid="{10426781-2B60-4E43-9CDF-1D017159ABC5}"/>
    <cellStyle name="Note 2 2 2 2 2 2 13 3" xfId="30582" xr:uid="{240E126C-2535-4C64-9FF0-3BF0A73BC437}"/>
    <cellStyle name="Note 2 2 2 2 2 2 13 3 2" xfId="37427" xr:uid="{C7CDC40F-02B3-4564-9843-81D19C483299}"/>
    <cellStyle name="Note 2 2 2 2 2 2 13 4" xfId="32664" xr:uid="{9DC2458A-C3A5-424B-9ABC-47C68DAAF9A4}"/>
    <cellStyle name="Note 2 2 2 2 2 2 14" xfId="25064" xr:uid="{066375C9-9F0A-40BF-8A7F-8DD981469A68}"/>
    <cellStyle name="Note 2 2 2 2 2 2 14 2" xfId="27736" xr:uid="{7BAA906A-9038-4A34-AC02-7B4604107747}"/>
    <cellStyle name="Note 2 2 2 2 2 2 14 2 2" xfId="34581" xr:uid="{BC0441BB-D033-4C1C-9A16-30BD1F5598E0}"/>
    <cellStyle name="Note 2 2 2 2 2 2 14 3" xfId="29817" xr:uid="{6E007F6D-E9DE-42E1-92D1-A85662BBB951}"/>
    <cellStyle name="Note 2 2 2 2 2 2 14 3 2" xfId="36662" xr:uid="{D0D09C1A-E4C3-44EA-8727-F358207029FA}"/>
    <cellStyle name="Note 2 2 2 2 2 2 14 4" xfId="31899" xr:uid="{38BFE3E8-E9E4-4460-9782-C210A4EFA3E5}"/>
    <cellStyle name="Note 2 2 2 2 2 2 15" xfId="25963" xr:uid="{22ABD902-3066-4A01-AA49-9E576C22005F}"/>
    <cellStyle name="Note 2 2 2 2 2 2 15 2" xfId="28629" xr:uid="{B6F5927D-64A7-443E-8BC5-9896EA8FDFFC}"/>
    <cellStyle name="Note 2 2 2 2 2 2 15 2 2" xfId="35474" xr:uid="{CE01A642-DB15-4961-ACB6-6DAF283BE0D3}"/>
    <cellStyle name="Note 2 2 2 2 2 2 15 3" xfId="30710" xr:uid="{B12AEC14-90A5-48CB-BACA-D9CD6BECFF86}"/>
    <cellStyle name="Note 2 2 2 2 2 2 15 3 2" xfId="37555" xr:uid="{8A153345-A5DB-42C4-BB49-AA1093245A5F}"/>
    <cellStyle name="Note 2 2 2 2 2 2 15 4" xfId="32792" xr:uid="{21A3126B-441F-4562-B678-D5EA9928E643}"/>
    <cellStyle name="Note 2 2 2 2 2 2 16" xfId="26017" xr:uid="{6255917C-A619-4223-B269-A600D00D1338}"/>
    <cellStyle name="Note 2 2 2 2 2 2 16 2" xfId="28683" xr:uid="{8409D26B-521B-4E84-83FA-5A4ABE3CC7CB}"/>
    <cellStyle name="Note 2 2 2 2 2 2 16 2 2" xfId="35528" xr:uid="{5D101C7B-F9C9-45E2-82BB-376970F804A9}"/>
    <cellStyle name="Note 2 2 2 2 2 2 16 3" xfId="30764" xr:uid="{6A74BB19-1D4E-46E5-9294-602F596F5C6B}"/>
    <cellStyle name="Note 2 2 2 2 2 2 16 3 2" xfId="37609" xr:uid="{AC0D3CF5-ED8D-4CE4-82DB-7666023F31C2}"/>
    <cellStyle name="Note 2 2 2 2 2 2 16 4" xfId="32846" xr:uid="{D0D1A157-9C0A-4483-8FDC-62685AEFBFA1}"/>
    <cellStyle name="Note 2 2 2 2 2 2 17" xfId="23048" xr:uid="{05B27015-2354-4025-B8C9-D7EB37061C31}"/>
    <cellStyle name="Note 2 2 2 2 2 2 2" xfId="18444" xr:uid="{F66A922F-55ED-42A6-AE56-C4C2A3FEFD6D}"/>
    <cellStyle name="Note 2 2 2 2 2 2 2 10" xfId="18844" xr:uid="{A077549A-1F9B-466D-8D9E-D35B0CA5E582}"/>
    <cellStyle name="Note 2 2 2 2 2 2 2 11" xfId="20149" xr:uid="{40AC8FB3-9058-43D8-AE35-785107248002}"/>
    <cellStyle name="Note 2 2 2 2 2 2 2 12" xfId="22216" xr:uid="{66A5CEE2-FB22-4102-9D0D-9FF7D63F2248}"/>
    <cellStyle name="Note 2 2 2 2 2 2 2 13" xfId="21987" xr:uid="{5E646AE7-48A1-43B9-B029-F85249F63BEE}"/>
    <cellStyle name="Note 2 2 2 2 2 2 2 14" xfId="20114" xr:uid="{124414B9-527E-496D-B2FD-BFACEE64D1CD}"/>
    <cellStyle name="Note 2 2 2 2 2 2 2 15" xfId="22989" xr:uid="{B282FE68-C3E2-4FC3-BE27-B30CA3B776F5}"/>
    <cellStyle name="Note 2 2 2 2 2 2 2 16" xfId="31499" xr:uid="{1F8071D8-47B0-4978-9691-A28BA9AD5783}"/>
    <cellStyle name="Note 2 2 2 2 2 2 2 2" xfId="19929" xr:uid="{81BFBCF8-6FE2-4CD7-A8C8-A047D4033622}"/>
    <cellStyle name="Note 2 2 2 2 2 2 2 2 2" xfId="27337" xr:uid="{14335856-2CE4-4B93-9D4C-39F6AF3238FA}"/>
    <cellStyle name="Note 2 2 2 2 2 2 2 2 3" xfId="34181" xr:uid="{0470F7E8-7810-4A3E-A762-172E7A303422}"/>
    <cellStyle name="Note 2 2 2 2 2 2 2 3" xfId="20960" xr:uid="{425CBA97-42C5-43A7-B056-A4932B79B0EC}"/>
    <cellStyle name="Note 2 2 2 2 2 2 2 3 2" xfId="29417" xr:uid="{EBDB7353-091A-4398-97DC-2952939F14B5}"/>
    <cellStyle name="Note 2 2 2 2 2 2 2 3 3" xfId="36262" xr:uid="{5B702F9C-0FDF-4B3F-AC30-B18E6324D9C0}"/>
    <cellStyle name="Note 2 2 2 2 2 2 2 4" xfId="21617" xr:uid="{BA04D487-84CE-46CC-A09B-5E3D557EF297}"/>
    <cellStyle name="Note 2 2 2 2 2 2 2 5" xfId="22047" xr:uid="{EAC42E37-36E9-46E6-9A6A-AFB2157801B7}"/>
    <cellStyle name="Note 2 2 2 2 2 2 2 6" xfId="21565" xr:uid="{35D12C0C-C495-49B4-91C8-962D0F3A7A01}"/>
    <cellStyle name="Note 2 2 2 2 2 2 2 7" xfId="19453" xr:uid="{CC9B1B17-E720-4808-B3C0-C0CEFCB8AC6F}"/>
    <cellStyle name="Note 2 2 2 2 2 2 2 8" xfId="22157" xr:uid="{A4F31C38-4E14-478C-BC83-3FC52C962294}"/>
    <cellStyle name="Note 2 2 2 2 2 2 2 9" xfId="19193" xr:uid="{3DD840EA-7151-4878-A653-160B2C12FDDC}"/>
    <cellStyle name="Note 2 2 2 2 2 2 3" xfId="24805" xr:uid="{A0C5093C-541B-4BC3-8C28-26AD831360F8}"/>
    <cellStyle name="Note 2 2 2 2 2 2 3 2" xfId="27459" xr:uid="{B572E663-ABC6-45A6-8D4E-30AA0C44D2D1}"/>
    <cellStyle name="Note 2 2 2 2 2 2 3 2 2" xfId="34303" xr:uid="{E07ED7E6-61E9-49C1-A4C3-A8DD3EA4C57D}"/>
    <cellStyle name="Note 2 2 2 2 2 2 3 3" xfId="29539" xr:uid="{9AFE2E2B-0B85-44CA-BE4A-7A6B1B735A03}"/>
    <cellStyle name="Note 2 2 2 2 2 2 3 3 2" xfId="36384" xr:uid="{4E4767F2-C8BF-474C-9C06-722D938997D2}"/>
    <cellStyle name="Note 2 2 2 2 2 2 3 4" xfId="31621" xr:uid="{1D8C8604-ECAC-4BDF-BEF5-6C6F0A9B84CC}"/>
    <cellStyle name="Note 2 2 2 2 2 2 4" xfId="24358" xr:uid="{3868E9A3-0152-496D-AE11-F022A9F8A522}"/>
    <cellStyle name="Note 2 2 2 2 2 2 4 2" xfId="26965" xr:uid="{C90B1941-77BE-4D0F-8B96-7ECBCE336380}"/>
    <cellStyle name="Note 2 2 2 2 2 2 4 2 2" xfId="33805" xr:uid="{03C54E1B-A16C-4473-9FD5-3EDAC2EED065}"/>
    <cellStyle name="Note 2 2 2 2 2 2 4 3" xfId="29041" xr:uid="{D8B9F492-E99F-43CB-BCCE-355260875CD5}"/>
    <cellStyle name="Note 2 2 2 2 2 2 4 3 2" xfId="35886" xr:uid="{754A3C54-A438-41AD-BB79-15681D994CC2}"/>
    <cellStyle name="Note 2 2 2 2 2 2 4 4" xfId="31123" xr:uid="{E014C434-C5F9-424C-9EF0-C7463A7E0A4B}"/>
    <cellStyle name="Note 2 2 2 2 2 2 5" xfId="25109" xr:uid="{C019C2C2-E5C2-4F43-BB84-4D42F20F6189}"/>
    <cellStyle name="Note 2 2 2 2 2 2 5 2" xfId="27781" xr:uid="{E56C752E-4A12-400F-B792-C797C5382B36}"/>
    <cellStyle name="Note 2 2 2 2 2 2 5 2 2" xfId="34626" xr:uid="{FDD205A9-0A06-49D2-8E77-E29F12BEA876}"/>
    <cellStyle name="Note 2 2 2 2 2 2 5 3" xfId="29862" xr:uid="{B0A7C861-CC63-4392-BDC5-7C27C087A79A}"/>
    <cellStyle name="Note 2 2 2 2 2 2 5 3 2" xfId="36707" xr:uid="{87936096-EB97-4EE7-AD2E-B8C4C2F0D72D}"/>
    <cellStyle name="Note 2 2 2 2 2 2 5 4" xfId="31944" xr:uid="{FABB8CCF-2BA4-4756-9700-8934A2911BDD}"/>
    <cellStyle name="Note 2 2 2 2 2 2 6" xfId="24725" xr:uid="{3D786ADE-4A49-4720-9B49-BE790EA60BAD}"/>
    <cellStyle name="Note 2 2 2 2 2 2 6 2" xfId="27372" xr:uid="{78387739-57B0-463E-B9AE-E9FF38CF90D2}"/>
    <cellStyle name="Note 2 2 2 2 2 2 6 2 2" xfId="34216" xr:uid="{6A3F4FA9-C515-482C-B230-E9F0A8E1E61A}"/>
    <cellStyle name="Note 2 2 2 2 2 2 6 3" xfId="29452" xr:uid="{F8E5A755-C6D0-4545-AFBC-C104FE439831}"/>
    <cellStyle name="Note 2 2 2 2 2 2 6 3 2" xfId="36297" xr:uid="{4A0D4C9D-D9AD-46E9-93EC-C975D65E79AD}"/>
    <cellStyle name="Note 2 2 2 2 2 2 6 4" xfId="31534" xr:uid="{5EDF55FA-AF92-48AE-94AE-01BDBD8F2DBF}"/>
    <cellStyle name="Note 2 2 2 2 2 2 7" xfId="25130" xr:uid="{F1EC0B9F-5DDB-416B-B8FB-2EF6F7788F7F}"/>
    <cellStyle name="Note 2 2 2 2 2 2 7 2" xfId="27802" xr:uid="{6B087D9B-8875-4868-811C-46DEE8284ABB}"/>
    <cellStyle name="Note 2 2 2 2 2 2 7 2 2" xfId="34647" xr:uid="{94E77B82-C3D8-43C7-9AB6-F58689D5B4A7}"/>
    <cellStyle name="Note 2 2 2 2 2 2 7 3" xfId="29883" xr:uid="{FEDEF223-F89A-417E-AFCD-F86EB712B5C1}"/>
    <cellStyle name="Note 2 2 2 2 2 2 7 3 2" xfId="36728" xr:uid="{690D4714-20AF-4722-B4A8-1CD29207F56E}"/>
    <cellStyle name="Note 2 2 2 2 2 2 7 4" xfId="31965" xr:uid="{A1F6C77B-024C-4EB2-AE3A-6DECB9828DC1}"/>
    <cellStyle name="Note 2 2 2 2 2 2 8" xfId="23822" xr:uid="{C7E6F93B-7AE6-4584-975F-F4E6E4936BB6}"/>
    <cellStyle name="Note 2 2 2 2 2 2 8 2" xfId="26441" xr:uid="{64789898-34FA-4508-9702-6648E34061A2}"/>
    <cellStyle name="Note 2 2 2 2 2 2 8 2 2" xfId="33281" xr:uid="{432F79BB-3A8F-4AD5-9DA6-FCD146A14BAD}"/>
    <cellStyle name="Note 2 2 2 2 2 2 8 3" xfId="26241" xr:uid="{ECB0FAC1-34CE-4CD5-81D2-27877284BB55}"/>
    <cellStyle name="Note 2 2 2 2 2 2 8 3 2" xfId="33069" xr:uid="{AF4D280A-ED90-4561-9396-5720B8D6A4CC}"/>
    <cellStyle name="Note 2 2 2 2 2 2 8 4" xfId="23363" xr:uid="{180CE1B5-87C3-4885-8467-1D16ACB9326A}"/>
    <cellStyle name="Note 2 2 2 2 2 2 9" xfId="24781" xr:uid="{3D40C4CF-1841-4E3C-A7BB-1E32A7009112}"/>
    <cellStyle name="Note 2 2 2 2 2 2 9 2" xfId="27434" xr:uid="{DB77F690-F0F0-408D-8211-4B8423159D32}"/>
    <cellStyle name="Note 2 2 2 2 2 2 9 2 2" xfId="34278" xr:uid="{1F29402A-9A54-44B6-9F1D-1E03E264BD2E}"/>
    <cellStyle name="Note 2 2 2 2 2 2 9 3" xfId="29514" xr:uid="{3598FF7D-4DA3-4ABA-958F-F47A6D379723}"/>
    <cellStyle name="Note 2 2 2 2 2 2 9 3 2" xfId="36359" xr:uid="{2CB3EA73-C3EC-4059-9523-7C72B07CD341}"/>
    <cellStyle name="Note 2 2 2 2 2 2 9 4" xfId="31596" xr:uid="{1EA81626-FE6C-4D0E-9811-0E55612E0FC6}"/>
    <cellStyle name="Note 2 2 2 2 2 3" xfId="18619" xr:uid="{AA659AC5-FD6F-472E-936D-BAEA591F21DD}"/>
    <cellStyle name="Note 2 2 2 2 2 3 10" xfId="21270" xr:uid="{50D30DB0-3B0A-4222-BF6F-1850FC071B79}"/>
    <cellStyle name="Note 2 2 2 2 2 3 11" xfId="22368" xr:uid="{C198B49E-3043-4D0A-BD9A-91FAD52F109B}"/>
    <cellStyle name="Note 2 2 2 2 2 3 12" xfId="22755" xr:uid="{5CF85FF3-7DF9-43FA-8EBF-7D4D0CF7AE27}"/>
    <cellStyle name="Note 2 2 2 2 2 3 13" xfId="21385" xr:uid="{9143A892-B0D8-42CE-B0EF-A17076D1951E}"/>
    <cellStyle name="Note 2 2 2 2 2 3 14" xfId="22891" xr:uid="{AD74E07A-61ED-493D-9BB2-2DD88CB6A67B}"/>
    <cellStyle name="Note 2 2 2 2 2 3 15" xfId="22612" xr:uid="{C7FE1AEA-57B8-4B18-B079-63A4F70B1D0A}"/>
    <cellStyle name="Note 2 2 2 2 2 3 16" xfId="31372" xr:uid="{237C89BC-887D-46DA-849B-2C729C6EAE81}"/>
    <cellStyle name="Note 2 2 2 2 2 3 2" xfId="19848" xr:uid="{CA30F94B-256F-4DFE-BAA2-120021A6F998}"/>
    <cellStyle name="Note 2 2 2 2 2 3 2 2" xfId="27213" xr:uid="{CAD7E271-96BD-425B-9ABF-A997DCB67C0D}"/>
    <cellStyle name="Note 2 2 2 2 2 3 2 3" xfId="34054" xr:uid="{D21CDFD3-D274-489B-86A0-3B58678AEF58}"/>
    <cellStyle name="Note 2 2 2 2 2 3 3" xfId="21814" xr:uid="{64311FB7-829A-4686-9E28-E45CD10978B1}"/>
    <cellStyle name="Note 2 2 2 2 2 3 3 2" xfId="29290" xr:uid="{3AEE7A03-3A6C-4FF1-B1D0-03136D7C6EED}"/>
    <cellStyle name="Note 2 2 2 2 2 3 3 3" xfId="36135" xr:uid="{1E9EA793-120C-43F7-9CCF-CDE5B1B8C84A}"/>
    <cellStyle name="Note 2 2 2 2 2 3 4" xfId="18980" xr:uid="{69F1AC98-4988-4296-B855-6AD247E46201}"/>
    <cellStyle name="Note 2 2 2 2 2 3 5" xfId="20646" xr:uid="{5E30AF72-871D-48EE-A775-50A18F2F3A33}"/>
    <cellStyle name="Note 2 2 2 2 2 3 6" xfId="21418" xr:uid="{E66B32C3-D122-49B4-83F2-ADAD0D02E620}"/>
    <cellStyle name="Note 2 2 2 2 2 3 7" xfId="19440" xr:uid="{217AE577-7F34-4A14-AD60-94C37C985246}"/>
    <cellStyle name="Note 2 2 2 2 2 3 8" xfId="22398" xr:uid="{EE5B227A-D352-4A43-840C-C05377EBAD9F}"/>
    <cellStyle name="Note 2 2 2 2 2 3 9" xfId="22492" xr:uid="{118AD52C-6CE9-4B9D-BC7D-360D64B77637}"/>
    <cellStyle name="Note 2 2 2 2 2 4" xfId="24705" xr:uid="{E682B0D6-F642-421B-94C1-043950098547}"/>
    <cellStyle name="Note 2 2 2 2 2 4 2" xfId="27356" xr:uid="{42AF06A8-13A8-4F1D-9DBA-186E85E56EB0}"/>
    <cellStyle name="Note 2 2 2 2 2 4 2 2" xfId="34200" xr:uid="{3C365DFE-B60C-449B-9BE9-D929E37B328B}"/>
    <cellStyle name="Note 2 2 2 2 2 4 3" xfId="29436" xr:uid="{60624117-C79A-4F5C-B9D2-DFDACA03C48C}"/>
    <cellStyle name="Note 2 2 2 2 2 4 3 2" xfId="36281" xr:uid="{F209A997-C112-4428-8344-40FFC9417649}"/>
    <cellStyle name="Note 2 2 2 2 2 4 4" xfId="31518" xr:uid="{BB91DCFC-258B-4185-B35E-EEA81DAAAFCC}"/>
    <cellStyle name="Note 2 2 2 2 2 5" xfId="24721" xr:uid="{2235F4AF-7063-4E39-BA6F-89669776F0B4}"/>
    <cellStyle name="Note 2 2 2 2 2 5 2" xfId="27368" xr:uid="{9702B4D1-93EA-48FB-9BB2-5D1C82AD3BBF}"/>
    <cellStyle name="Note 2 2 2 2 2 5 2 2" xfId="34212" xr:uid="{97B93549-B5A4-462E-81B2-774E859927A6}"/>
    <cellStyle name="Note 2 2 2 2 2 5 3" xfId="29448" xr:uid="{EB14A5C4-F0F5-4031-AF1E-9FCDD67EDE2E}"/>
    <cellStyle name="Note 2 2 2 2 2 5 3 2" xfId="36293" xr:uid="{C57F314A-1457-48C1-8D2D-EE04A9D94464}"/>
    <cellStyle name="Note 2 2 2 2 2 5 4" xfId="31530" xr:uid="{AF203929-03D3-4CA9-81E9-0F27585C71FE}"/>
    <cellStyle name="Note 2 2 2 2 2 6" xfId="24443" xr:uid="{7AAC54B9-FFA9-4A2C-9512-98C7D06BC79C}"/>
    <cellStyle name="Note 2 2 2 2 2 6 2" xfId="27059" xr:uid="{F4281D0D-DCDD-4EE1-92B9-44DBC4CFCDE7}"/>
    <cellStyle name="Note 2 2 2 2 2 6 2 2" xfId="33899" xr:uid="{4542ADD2-266F-4347-B693-99BB4CAB5970}"/>
    <cellStyle name="Note 2 2 2 2 2 6 3" xfId="29135" xr:uid="{E7BB0500-EC8D-41F7-96D7-38385E736A72}"/>
    <cellStyle name="Note 2 2 2 2 2 6 3 2" xfId="35980" xr:uid="{3C404BB0-1ACD-4F98-9605-17E8B581AD3F}"/>
    <cellStyle name="Note 2 2 2 2 2 6 4" xfId="31217" xr:uid="{45A724F3-730F-4AFA-A511-F990A387F4C0}"/>
    <cellStyle name="Note 2 2 2 2 2 7" xfId="24518" xr:uid="{D5F939A8-1BB9-4D71-88A0-2D9740A841A9}"/>
    <cellStyle name="Note 2 2 2 2 2 7 2" xfId="27123" xr:uid="{295ABEF5-132F-4006-B2B2-2EF08E720496}"/>
    <cellStyle name="Note 2 2 2 2 2 7 2 2" xfId="33963" xr:uid="{70514EC4-8BE9-4E28-92B4-E49A37D29527}"/>
    <cellStyle name="Note 2 2 2 2 2 7 3" xfId="29199" xr:uid="{1DEE4AFD-1D0C-4E89-A5E3-2A5F20CB1636}"/>
    <cellStyle name="Note 2 2 2 2 2 7 3 2" xfId="36044" xr:uid="{FF34738C-1459-498B-BB52-46CD46665D50}"/>
    <cellStyle name="Note 2 2 2 2 2 7 4" xfId="31281" xr:uid="{5ADA336C-0AE3-4C3B-8BF7-385E6E7F13FB}"/>
    <cellStyle name="Note 2 2 2 2 2 8" xfId="25278" xr:uid="{CF8A9283-43B1-4E5C-BA26-6CAB5AF992D4}"/>
    <cellStyle name="Note 2 2 2 2 2 8 2" xfId="27949" xr:uid="{812A95CF-98BD-4F60-BF1D-460A8BFAFD21}"/>
    <cellStyle name="Note 2 2 2 2 2 8 2 2" xfId="34794" xr:uid="{D51CF43C-5F39-42B7-BD11-8D34664C5266}"/>
    <cellStyle name="Note 2 2 2 2 2 8 3" xfId="30030" xr:uid="{AD128CAC-8D9C-429F-A01F-E909213AC818}"/>
    <cellStyle name="Note 2 2 2 2 2 8 3 2" xfId="36875" xr:uid="{0C4D9546-7650-430C-8F2C-92EB8246DA9A}"/>
    <cellStyle name="Note 2 2 2 2 2 8 4" xfId="32112" xr:uid="{CB8EB3B1-2277-4A87-A481-0DB1EA957909}"/>
    <cellStyle name="Note 2 2 2 2 2 9" xfId="25333" xr:uid="{A48DA51D-F269-423D-A6B3-EB938D40520A}"/>
    <cellStyle name="Note 2 2 2 2 2 9 2" xfId="28002" xr:uid="{602779E2-0947-4AEC-87F8-C7E1619C66A7}"/>
    <cellStyle name="Note 2 2 2 2 2 9 2 2" xfId="34847" xr:uid="{985A7332-157A-4429-A1B3-B8DCFA209CCB}"/>
    <cellStyle name="Note 2 2 2 2 2 9 3" xfId="30083" xr:uid="{680653B0-0584-416B-932D-545F96B6782E}"/>
    <cellStyle name="Note 2 2 2 2 2 9 3 2" xfId="36928" xr:uid="{55E69A4B-F065-48B8-98C6-8427673751A0}"/>
    <cellStyle name="Note 2 2 2 2 2 9 4" xfId="32165" xr:uid="{A90D4514-5DE0-44F2-83A3-FDC2DE86665D}"/>
    <cellStyle name="Note 2 2 2 2 3" xfId="8123" xr:uid="{00000000-0005-0000-0000-0000760F0000}"/>
    <cellStyle name="Note 2 2 2 2 3 10" xfId="25510" xr:uid="{6B5C51AA-393C-4317-8E11-4DDB78E2FDDF}"/>
    <cellStyle name="Note 2 2 2 2 3 10 2" xfId="28177" xr:uid="{C334A34E-FE1E-4F12-A346-F642236CC338}"/>
    <cellStyle name="Note 2 2 2 2 3 10 2 2" xfId="35022" xr:uid="{2AC7B09A-3E3B-4CA1-801B-0BFA461BA28B}"/>
    <cellStyle name="Note 2 2 2 2 3 10 3" xfId="30258" xr:uid="{5A4FACA0-0E47-4399-8046-D41325DE5690}"/>
    <cellStyle name="Note 2 2 2 2 3 10 3 2" xfId="37103" xr:uid="{7933BBC9-3DFE-4A67-91C8-C2E5520CCDFE}"/>
    <cellStyle name="Note 2 2 2 2 3 10 4" xfId="32340" xr:uid="{711301F9-38C9-479A-8CAD-A2C953D54A64}"/>
    <cellStyle name="Note 2 2 2 2 3 11" xfId="25624" xr:uid="{3F36AE53-D1F2-4355-BACA-EE9F6BC70238}"/>
    <cellStyle name="Note 2 2 2 2 3 11 2" xfId="28291" xr:uid="{B9028E48-9F56-4D7B-9154-2BCED312951B}"/>
    <cellStyle name="Note 2 2 2 2 3 11 2 2" xfId="35136" xr:uid="{1622EBB2-77B4-4878-AE63-532FE904A985}"/>
    <cellStyle name="Note 2 2 2 2 3 11 3" xfId="30372" xr:uid="{E31EB3EF-966B-40A9-967B-9346D65B4BD9}"/>
    <cellStyle name="Note 2 2 2 2 3 11 3 2" xfId="37217" xr:uid="{528DBCB6-4F89-44E7-872D-2117C5E3F466}"/>
    <cellStyle name="Note 2 2 2 2 3 11 4" xfId="32454" xr:uid="{AEAC81E4-56EF-4CE2-BAD8-5C1D95BD490E}"/>
    <cellStyle name="Note 2 2 2 2 3 12" xfId="25728" xr:uid="{638F727E-5EDD-433D-BA80-10D6EA97B104}"/>
    <cellStyle name="Note 2 2 2 2 3 12 2" xfId="28395" xr:uid="{6EF05245-C8CA-4E74-92B1-3AB098CDA89B}"/>
    <cellStyle name="Note 2 2 2 2 3 12 2 2" xfId="35240" xr:uid="{F9253BDF-F354-43B7-BACB-FD9761D51855}"/>
    <cellStyle name="Note 2 2 2 2 3 12 3" xfId="30476" xr:uid="{F2BE65EC-64DF-4373-ABFC-77F3F3259AE5}"/>
    <cellStyle name="Note 2 2 2 2 3 12 3 2" xfId="37321" xr:uid="{5EE1B0C2-9D09-4F18-BBC9-98202EB219F3}"/>
    <cellStyle name="Note 2 2 2 2 3 12 4" xfId="32558" xr:uid="{344C26BE-0D5B-44AC-B94D-A60EB25FE190}"/>
    <cellStyle name="Note 2 2 2 2 3 13" xfId="25805" xr:uid="{D2423103-E886-497B-A49E-45E92DBE65D2}"/>
    <cellStyle name="Note 2 2 2 2 3 13 2" xfId="28471" xr:uid="{8ED11A9C-4CF1-4B35-BA9F-B82D643287F0}"/>
    <cellStyle name="Note 2 2 2 2 3 13 2 2" xfId="35316" xr:uid="{E3AFA7E0-B0C5-4409-A9E4-6C4EFC5EE0A5}"/>
    <cellStyle name="Note 2 2 2 2 3 13 3" xfId="30552" xr:uid="{3068108D-69D2-48F4-B43B-4FE4C84B77F5}"/>
    <cellStyle name="Note 2 2 2 2 3 13 3 2" xfId="37397" xr:uid="{BC321FF7-014F-4DB5-9301-E5008B8B8F09}"/>
    <cellStyle name="Note 2 2 2 2 3 13 4" xfId="32634" xr:uid="{53C66B42-1AA0-4E34-8344-6436244271F3}"/>
    <cellStyle name="Note 2 2 2 2 3 14" xfId="25527" xr:uid="{C36F59BF-B26D-491F-A240-170A1001D7C0}"/>
    <cellStyle name="Note 2 2 2 2 3 14 2" xfId="28194" xr:uid="{13EE01AF-19F8-4090-90BD-93873C73FB64}"/>
    <cellStyle name="Note 2 2 2 2 3 14 2 2" xfId="35039" xr:uid="{4772DF31-FC60-4D5A-A982-29D11E6B4C43}"/>
    <cellStyle name="Note 2 2 2 2 3 14 3" xfId="30275" xr:uid="{3EE7AA3F-E5D4-47D6-ACFC-0C2A8F80877D}"/>
    <cellStyle name="Note 2 2 2 2 3 14 3 2" xfId="37120" xr:uid="{6C6C0FDE-E0CF-43B2-98DD-A420BF67FA28}"/>
    <cellStyle name="Note 2 2 2 2 3 14 4" xfId="32357" xr:uid="{2C2C1E4E-3316-4051-B410-AF399B657A7F}"/>
    <cellStyle name="Note 2 2 2 2 3 15" xfId="25937" xr:uid="{B6706246-D01F-436F-A857-D38496D0C4A3}"/>
    <cellStyle name="Note 2 2 2 2 3 15 2" xfId="28603" xr:uid="{AB1B5DEB-ED6D-4C1E-B42B-2995FFAD2B43}"/>
    <cellStyle name="Note 2 2 2 2 3 15 2 2" xfId="35448" xr:uid="{FA7C6EA1-0D3D-4CB8-B92C-5D6F55460E6B}"/>
    <cellStyle name="Note 2 2 2 2 3 15 3" xfId="30684" xr:uid="{A7705366-4E75-4815-8E44-96A00457DDC6}"/>
    <cellStyle name="Note 2 2 2 2 3 15 3 2" xfId="37529" xr:uid="{95EC57B3-8B55-48CA-9F55-F9B761AE2DAF}"/>
    <cellStyle name="Note 2 2 2 2 3 15 4" xfId="32766" xr:uid="{8181813D-65A5-4DEF-929E-BDFB413AA34C}"/>
    <cellStyle name="Note 2 2 2 2 3 16" xfId="25991" xr:uid="{52B87903-34F8-456C-B41A-74A4DD4092FF}"/>
    <cellStyle name="Note 2 2 2 2 3 16 2" xfId="28657" xr:uid="{9FB4F1E0-4FDA-4B0B-8C05-12F9835476E9}"/>
    <cellStyle name="Note 2 2 2 2 3 16 2 2" xfId="35502" xr:uid="{44AB11B9-31FA-43E8-86DD-B8B75A2ADC9F}"/>
    <cellStyle name="Note 2 2 2 2 3 16 3" xfId="30738" xr:uid="{5D38748B-82E3-4DCE-830B-0EB35CF8453D}"/>
    <cellStyle name="Note 2 2 2 2 3 16 3 2" xfId="37583" xr:uid="{49FADA71-FD22-4E56-BF6A-EB1AB2A6F94A}"/>
    <cellStyle name="Note 2 2 2 2 3 16 4" xfId="32820" xr:uid="{F87CA2EF-157A-4038-ABD9-C9DEA7F0EE71}"/>
    <cellStyle name="Note 2 2 2 2 3 17" xfId="23054" xr:uid="{953D7C1D-C476-42C0-A159-5AAC9D48443E}"/>
    <cellStyle name="Note 2 2 2 2 3 18" xfId="17791" xr:uid="{A3366AEC-A194-494E-B3E0-D12EAFEAC947}"/>
    <cellStyle name="Note 2 2 2 2 3 2" xfId="18464" xr:uid="{C5C3AC1F-BA2F-49C9-9C72-775068D86F0F}"/>
    <cellStyle name="Note 2 2 2 2 3 2 10" xfId="20758" xr:uid="{ACC693B5-526F-416F-BFDD-479737EB10DF}"/>
    <cellStyle name="Note 2 2 2 2 3 2 11" xfId="22041" xr:uid="{4513F949-2CA9-420A-BB80-E5732C5B6DF1}"/>
    <cellStyle name="Note 2 2 2 2 3 2 12" xfId="19949" xr:uid="{79125456-A733-46D2-A5CD-D94F8D7A8104}"/>
    <cellStyle name="Note 2 2 2 2 3 2 13" xfId="21842" xr:uid="{D65254BD-A4D7-41CE-AD60-197AB6C82BFB}"/>
    <cellStyle name="Note 2 2 2 2 3 2 14" xfId="22264" xr:uid="{BDE63D94-D2BE-4A77-BB98-1FFC192758F5}"/>
    <cellStyle name="Note 2 2 2 2 3 2 15" xfId="22999" xr:uid="{DD5B85C8-EBCD-45F2-A79B-70068E5C3551}"/>
    <cellStyle name="Note 2 2 2 2 3 2 16" xfId="31469" xr:uid="{7E8D7117-46D2-4116-BD75-22332A8C5D07}"/>
    <cellStyle name="Note 2 2 2 2 3 2 2" xfId="19912" xr:uid="{7B9402D3-F6ED-4577-B670-0CABC97A8162}"/>
    <cellStyle name="Note 2 2 2 2 3 2 2 2" xfId="27307" xr:uid="{2647E073-2044-4D8C-BC62-A407237830B6}"/>
    <cellStyle name="Note 2 2 2 2 3 2 2 3" xfId="34151" xr:uid="{C29BAEA9-F506-4681-9B3C-B0B069CC50DF}"/>
    <cellStyle name="Note 2 2 2 2 3 2 3" xfId="21067" xr:uid="{6D6E0B75-5D80-4E19-A9C9-C3B135F3BAEF}"/>
    <cellStyle name="Note 2 2 2 2 3 2 3 2" xfId="29387" xr:uid="{2D5021F7-F173-413C-B55A-B5721C535E04}"/>
    <cellStyle name="Note 2 2 2 2 3 2 3 3" xfId="36232" xr:uid="{C03BDC90-4908-4761-A044-0AF9CF92BCFD}"/>
    <cellStyle name="Note 2 2 2 2 3 2 4" xfId="18872" xr:uid="{2517C296-4ADA-4203-804E-18085D615AC3}"/>
    <cellStyle name="Note 2 2 2 2 3 2 5" xfId="20770" xr:uid="{DD826A26-0F14-4909-B7B4-8330177BBDA1}"/>
    <cellStyle name="Note 2 2 2 2 3 2 6" xfId="20571" xr:uid="{22DA6828-7E12-4C3F-9A18-072EF3353B30}"/>
    <cellStyle name="Note 2 2 2 2 3 2 7" xfId="20372" xr:uid="{ACEAD300-1777-4C6C-BDE3-0818DBE88C7F}"/>
    <cellStyle name="Note 2 2 2 2 3 2 8" xfId="22296" xr:uid="{14EF7263-8027-4503-83FF-B0D8297B86B4}"/>
    <cellStyle name="Note 2 2 2 2 3 2 9" xfId="21518" xr:uid="{DB710CF4-A7D2-48FC-9542-809E12D97DDC}"/>
    <cellStyle name="Note 2 2 2 2 3 3" xfId="24453" xr:uid="{85192030-9502-4C82-93E9-2FC286A48BE3}"/>
    <cellStyle name="Note 2 2 2 2 3 3 2" xfId="27069" xr:uid="{63C6ADD2-7EAC-4C83-B507-91FC0763C725}"/>
    <cellStyle name="Note 2 2 2 2 3 3 2 2" xfId="33909" xr:uid="{A16A7C64-6607-40CB-A5EF-302563CBFE70}"/>
    <cellStyle name="Note 2 2 2 2 3 3 3" xfId="29145" xr:uid="{95AEF186-B813-4473-9F6C-7AEC06A09DF5}"/>
    <cellStyle name="Note 2 2 2 2 3 3 3 2" xfId="35990" xr:uid="{8E1BCABF-D0FA-48F0-B851-66D9688FAAA4}"/>
    <cellStyle name="Note 2 2 2 2 3 3 4" xfId="31227" xr:uid="{2F7789C8-7F6D-4D34-A0E7-59DCD9DAF17B}"/>
    <cellStyle name="Note 2 2 2 2 3 4" xfId="23835" xr:uid="{2D1FAC05-6E15-4241-8A4B-7E4E0AC70E51}"/>
    <cellStyle name="Note 2 2 2 2 3 4 2" xfId="26454" xr:uid="{FF970312-9CBA-4D48-A07F-11C6B2E749F5}"/>
    <cellStyle name="Note 2 2 2 2 3 4 2 2" xfId="33294" xr:uid="{7EE221DB-2C3A-48FC-BBCE-0DF7E92899B7}"/>
    <cellStyle name="Note 2 2 2 2 3 4 3" xfId="26229" xr:uid="{A371F9A1-7FA4-40EF-9D94-75A4B9B10DBE}"/>
    <cellStyle name="Note 2 2 2 2 3 4 3 2" xfId="33057" xr:uid="{A19354EE-A4E8-4347-A6B7-CE80B6FDDEC3}"/>
    <cellStyle name="Note 2 2 2 2 3 4 4" xfId="23351" xr:uid="{310CCFA3-60C3-4142-AFB0-0A6D4AB8A703}"/>
    <cellStyle name="Note 2 2 2 2 3 5" xfId="25076" xr:uid="{5C5D1CAD-17EE-4F4D-9221-8ABAE055F36C}"/>
    <cellStyle name="Note 2 2 2 2 3 5 2" xfId="27748" xr:uid="{8E4E3999-3DD7-443F-943F-447BEF168C48}"/>
    <cellStyle name="Note 2 2 2 2 3 5 2 2" xfId="34593" xr:uid="{60037985-8AE7-4BE1-B000-CFDC6BFD46E4}"/>
    <cellStyle name="Note 2 2 2 2 3 5 3" xfId="29829" xr:uid="{6446C807-1591-4538-8BAE-D52682B52725}"/>
    <cellStyle name="Note 2 2 2 2 3 5 3 2" xfId="36674" xr:uid="{33AFE71A-37C4-44CD-B626-27F11A738838}"/>
    <cellStyle name="Note 2 2 2 2 3 5 4" xfId="31911" xr:uid="{04491EC6-FE79-4E46-B6C5-B6FC8297B5DD}"/>
    <cellStyle name="Note 2 2 2 2 3 6" xfId="24613" xr:uid="{73527B74-44D0-473F-A8CD-F38DD6ED2438}"/>
    <cellStyle name="Note 2 2 2 2 3 6 2" xfId="27221" xr:uid="{2E31594B-633E-40D4-890F-9620CAFFC7ED}"/>
    <cellStyle name="Note 2 2 2 2 3 6 2 2" xfId="34062" xr:uid="{C45E8A9A-F70C-44D5-84E6-8970934B9F1D}"/>
    <cellStyle name="Note 2 2 2 2 3 6 3" xfId="29298" xr:uid="{6EF7CF22-E904-404C-9725-C207AB015B15}"/>
    <cellStyle name="Note 2 2 2 2 3 6 3 2" xfId="36143" xr:uid="{F8C30396-CD07-4DF2-AC8F-6594FC1CB5B3}"/>
    <cellStyle name="Note 2 2 2 2 3 6 4" xfId="31380" xr:uid="{07843E3D-32D9-49A8-B62F-314A598AF97F}"/>
    <cellStyle name="Note 2 2 2 2 3 7" xfId="24698" xr:uid="{53170692-D750-42B9-AC03-16CBBE4D3995}"/>
    <cellStyle name="Note 2 2 2 2 3 7 2" xfId="27326" xr:uid="{E5A58C88-B3F5-4534-A9C5-F5C7A97DC37C}"/>
    <cellStyle name="Note 2 2 2 2 3 7 2 2" xfId="34170" xr:uid="{5C6D4478-B2D3-49C6-AD3A-2288CD5CFD47}"/>
    <cellStyle name="Note 2 2 2 2 3 7 3" xfId="29406" xr:uid="{0B8D31E7-C6D2-47D2-8F3F-8A747958EA12}"/>
    <cellStyle name="Note 2 2 2 2 3 7 3 2" xfId="36251" xr:uid="{2BD83CB0-8D7F-44B7-A24D-9D19E98E564B}"/>
    <cellStyle name="Note 2 2 2 2 3 7 4" xfId="31488" xr:uid="{2AC00740-2B43-4A99-92DC-06C544BDC2CE}"/>
    <cellStyle name="Note 2 2 2 2 3 8" xfId="24414" xr:uid="{A1278659-500A-4413-9712-47327CA78BA9}"/>
    <cellStyle name="Note 2 2 2 2 3 8 2" xfId="27033" xr:uid="{D8F2B3F9-476A-4263-9A80-5168F4B15969}"/>
    <cellStyle name="Note 2 2 2 2 3 8 2 2" xfId="33873" xr:uid="{4DAAF53E-548E-40DE-95AB-E83BFE05EB82}"/>
    <cellStyle name="Note 2 2 2 2 3 8 3" xfId="29109" xr:uid="{C62302CB-CEAF-4E1D-B4A6-91B62685AA2F}"/>
    <cellStyle name="Note 2 2 2 2 3 8 3 2" xfId="35954" xr:uid="{6ED52F0A-642C-41B0-8F24-E0016B8D8282}"/>
    <cellStyle name="Note 2 2 2 2 3 8 4" xfId="31191" xr:uid="{1ED5DF01-FDD8-4DAD-8201-D50F2D5863CB}"/>
    <cellStyle name="Note 2 2 2 2 3 9" xfId="24676" xr:uid="{661C8DB9-88BF-4402-844E-FC6ADD1A732B}"/>
    <cellStyle name="Note 2 2 2 2 3 9 2" xfId="27290" xr:uid="{13F8C793-A48A-4DAE-AB68-90903DE87A65}"/>
    <cellStyle name="Note 2 2 2 2 3 9 2 2" xfId="34134" xr:uid="{C0BEFEAF-67B3-4345-A70A-0DC0D8BA80FE}"/>
    <cellStyle name="Note 2 2 2 2 3 9 3" xfId="29370" xr:uid="{E3FDFCE6-A147-4998-9358-888F3B44CB6D}"/>
    <cellStyle name="Note 2 2 2 2 3 9 3 2" xfId="36215" xr:uid="{E9DCA612-B272-4FE9-89A9-E8575EB0A1AB}"/>
    <cellStyle name="Note 2 2 2 2 3 9 4" xfId="31452" xr:uid="{CEAE71AE-4C70-447A-A695-89B96CCFF100}"/>
    <cellStyle name="Note 2 2 2 2 4" xfId="18636" xr:uid="{8FDCBE80-D550-4F78-97B9-635056D5D04A}"/>
    <cellStyle name="Note 2 2 2 2 4 10" xfId="20095" xr:uid="{6BE6FA29-61DD-4FFB-8A63-11CFC92AB687}"/>
    <cellStyle name="Note 2 2 2 2 4 11" xfId="20642" xr:uid="{5E629F22-4E01-450C-8486-FCB97A5A92B6}"/>
    <cellStyle name="Note 2 2 2 2 4 12" xfId="22770" xr:uid="{60DCFBF9-25E1-481A-81CD-2507961A8C67}"/>
    <cellStyle name="Note 2 2 2 2 4 13" xfId="21677" xr:uid="{6ADF17AB-7E95-470C-A352-7CE95468FD1E}"/>
    <cellStyle name="Note 2 2 2 2 4 14" xfId="22906" xr:uid="{2D3DD3BA-988A-41B8-AAC5-E5E8D883DC45}"/>
    <cellStyle name="Note 2 2 2 2 4 15" xfId="21922" xr:uid="{6CF14974-1C70-45EA-BCED-0128B3B94069}"/>
    <cellStyle name="Note 2 2 2 2 4 16" xfId="23709" xr:uid="{3004727C-27BD-4898-B4B5-35596C6D0073}"/>
    <cellStyle name="Note 2 2 2 2 4 2" xfId="19834" xr:uid="{6FC541E8-86B7-4FC6-9C13-F92335F5050E}"/>
    <cellStyle name="Note 2 2 2 2 4 3" xfId="21029" xr:uid="{1C9861B7-1B46-4302-84B2-0C408CF63FFA}"/>
    <cellStyle name="Note 2 2 2 2 4 4" xfId="20806" xr:uid="{553709CF-C245-4314-9D53-3507AB4ACC00}"/>
    <cellStyle name="Note 2 2 2 2 4 5" xfId="19822" xr:uid="{10F0C1A2-83BD-4AE5-8E6A-70ECEFDF1FCC}"/>
    <cellStyle name="Note 2 2 2 2 4 6" xfId="21394" xr:uid="{05C10145-7322-4FA0-9DF2-0A200B84D190}"/>
    <cellStyle name="Note 2 2 2 2 4 7" xfId="20552" xr:uid="{8ED8DC9F-53C5-4EE0-98B9-00456071A05D}"/>
    <cellStyle name="Note 2 2 2 2 4 8" xfId="20450" xr:uid="{1234A96C-4F3D-401D-91BC-50E161B3F922}"/>
    <cellStyle name="Note 2 2 2 2 4 9" xfId="22507" xr:uid="{83C26962-32C6-4FFB-9976-1E5F772F756A}"/>
    <cellStyle name="Note 2 2 2 2 5" xfId="18192" xr:uid="{6EE7BBD5-0943-4891-BE24-F6E8CFD11211}"/>
    <cellStyle name="Note 2 2 2 2 5 2" xfId="27184" xr:uid="{CE283C85-0F51-46E3-B3CC-16EAD8E43FB4}"/>
    <cellStyle name="Note 2 2 2 2 5 2 2" xfId="34025" xr:uid="{2E4BF685-B3B1-4A94-9EBF-6F6C813DEA22}"/>
    <cellStyle name="Note 2 2 2 2 5 3" xfId="29261" xr:uid="{F39334E2-DA0E-4496-9E52-8B848165D93C}"/>
    <cellStyle name="Note 2 2 2 2 5 3 2" xfId="36106" xr:uid="{7BE6F9DC-C74E-424E-B590-8A73D368E100}"/>
    <cellStyle name="Note 2 2 2 2 5 4" xfId="24598" xr:uid="{B4614F85-1CD3-42C5-924E-56EC117217FE}"/>
    <cellStyle name="Note 2 2 2 2 5 5" xfId="31343" xr:uid="{77BF6FB9-D3A9-41BB-95E6-FFCBB5562BBA}"/>
    <cellStyle name="Note 2 2 2 2 6" xfId="17520" xr:uid="{FC855C94-28D0-44D8-9886-D6D3A7FDC01A}"/>
    <cellStyle name="Note 2 2 2 2 6 2" xfId="27416" xr:uid="{91236F11-95D1-450B-B965-AC5F0EBC4811}"/>
    <cellStyle name="Note 2 2 2 2 6 2 2" xfId="34260" xr:uid="{CEAD37F8-5962-4BDD-8DEB-09D258AC0B9A}"/>
    <cellStyle name="Note 2 2 2 2 6 3" xfId="29496" xr:uid="{10EFDA87-1A9F-44AF-89C8-16E8C43525CC}"/>
    <cellStyle name="Note 2 2 2 2 6 3 2" xfId="36341" xr:uid="{938B0047-207B-4DC2-8E47-F4CA98A20A1F}"/>
    <cellStyle name="Note 2 2 2 2 6 4" xfId="24764" xr:uid="{593BEFD6-F003-4078-BB96-F9D595684895}"/>
    <cellStyle name="Note 2 2 2 2 6 5" xfId="31578" xr:uid="{3A2BCF6D-2EC2-404A-91B9-C65C16AEBAE6}"/>
    <cellStyle name="Note 2 2 2 2 7" xfId="24287" xr:uid="{96BDED5B-8556-47D9-A9DD-4E57CFDC4421}"/>
    <cellStyle name="Note 2 2 2 2 7 2" xfId="26894" xr:uid="{41C433FC-1316-44E8-886B-E49089D30427}"/>
    <cellStyle name="Note 2 2 2 2 7 2 2" xfId="33734" xr:uid="{CB9445C1-031E-406A-A302-03CE6E58C167}"/>
    <cellStyle name="Note 2 2 2 2 7 3" xfId="28970" xr:uid="{8214B780-B130-45E7-98D0-EE23AB33B265}"/>
    <cellStyle name="Note 2 2 2 2 7 3 2" xfId="35815" xr:uid="{90C20D67-8E6D-4466-ADD7-D8A8805A164A}"/>
    <cellStyle name="Note 2 2 2 2 7 4" xfId="31052" xr:uid="{DE621E79-3F33-4752-8673-601D23FEDC36}"/>
    <cellStyle name="Note 2 2 2 2 8" xfId="24318" xr:uid="{4CCDBFB0-9A1C-496C-AD62-CE6B6EF392C8}"/>
    <cellStyle name="Note 2 2 2 2 8 2" xfId="26924" xr:uid="{91BEF512-6136-4406-AC9C-C4CAB2FBF802}"/>
    <cellStyle name="Note 2 2 2 2 8 2 2" xfId="33764" xr:uid="{952FF281-AF17-402B-9791-9FBB7BF66525}"/>
    <cellStyle name="Note 2 2 2 2 8 3" xfId="29000" xr:uid="{6472159F-B737-4A9D-9BDD-1029FF9DFE25}"/>
    <cellStyle name="Note 2 2 2 2 8 3 2" xfId="35845" xr:uid="{CE344CB5-36CC-4691-9D5D-DB749C742BEB}"/>
    <cellStyle name="Note 2 2 2 2 8 4" xfId="31082" xr:uid="{8290A023-6DF4-42E1-926C-6D681FBD3DB6}"/>
    <cellStyle name="Note 2 2 2 2 9" xfId="23901" xr:uid="{D09A1831-AA2C-4D4D-A739-0DA39B30EBA8}"/>
    <cellStyle name="Note 2 2 2 2 9 2" xfId="26519" xr:uid="{053DE8E2-55B5-4293-A4D0-0E569DBE1B76}"/>
    <cellStyle name="Note 2 2 2 2 9 2 2" xfId="33359" xr:uid="{CC4E7B06-A94A-40E7-924E-28E946692963}"/>
    <cellStyle name="Note 2 2 2 2 9 3" xfId="26165" xr:uid="{F408403D-CBB7-44CD-8830-9BA9CE8831E2}"/>
    <cellStyle name="Note 2 2 2 2 9 3 2" xfId="32993" xr:uid="{C218CA5F-6E4B-4E59-B085-D0D813A1CD84}"/>
    <cellStyle name="Note 2 2 2 2 9 4" xfId="23287" xr:uid="{C5EA3A2D-CECF-4A33-A03A-3C91371F0420}"/>
    <cellStyle name="Note 2 2 2 20" xfId="13647" xr:uid="{635234B7-C1DA-43C4-AB2A-3745786A73C5}"/>
    <cellStyle name="Note 2 2 2 21" xfId="38879" xr:uid="{184CDE26-CC08-4418-AB87-FC77F295B2EE}"/>
    <cellStyle name="Note 2 2 2 3" xfId="4844" xr:uid="{00000000-0005-0000-0000-00000F130000}"/>
    <cellStyle name="Note 2 2 2 3 10" xfId="25046" xr:uid="{0F6D3AE6-1037-467A-9057-D5B30299C29E}"/>
    <cellStyle name="Note 2 2 2 3 10 2" xfId="27718" xr:uid="{035BFB6F-D52E-4995-A635-DFFF31E995AE}"/>
    <cellStyle name="Note 2 2 2 3 10 2 2" xfId="34563" xr:uid="{597469B8-54DF-4734-9411-1F943254CA8F}"/>
    <cellStyle name="Note 2 2 2 3 10 3" xfId="29799" xr:uid="{40CC3F4B-EB34-4147-A3EE-FB9F135CDB35}"/>
    <cellStyle name="Note 2 2 2 3 10 3 2" xfId="36644" xr:uid="{1FAE6CE2-96CC-44CE-8703-909FE2264202}"/>
    <cellStyle name="Note 2 2 2 3 10 4" xfId="31881" xr:uid="{6405356E-F30D-4988-9D89-955E40F7E723}"/>
    <cellStyle name="Note 2 2 2 3 11" xfId="25150" xr:uid="{B116D47D-5A9F-44EF-916A-A36BD0535227}"/>
    <cellStyle name="Note 2 2 2 3 11 2" xfId="27822" xr:uid="{C934501C-7A1C-4298-8B5B-30E7708A0246}"/>
    <cellStyle name="Note 2 2 2 3 11 2 2" xfId="34667" xr:uid="{664D2B5F-3A44-46AB-AC89-9881F23B8E07}"/>
    <cellStyle name="Note 2 2 2 3 11 3" xfId="29903" xr:uid="{4634B002-92D9-4837-9757-6F1554CEC399}"/>
    <cellStyle name="Note 2 2 2 3 11 3 2" xfId="36748" xr:uid="{9CBCB530-5214-4FD3-8C9C-F2ED91AEBC56}"/>
    <cellStyle name="Note 2 2 2 3 11 4" xfId="31985" xr:uid="{65BD54F1-D6BE-46F3-AA12-41FA4CFB62C4}"/>
    <cellStyle name="Note 2 2 2 3 12" xfId="23746" xr:uid="{1ADF45F5-2237-4694-8A59-BEADE16DC7F7}"/>
    <cellStyle name="Note 2 2 2 3 12 2" xfId="26357" xr:uid="{C55554D5-3785-4561-AB41-62A0713364DF}"/>
    <cellStyle name="Note 2 2 2 3 12 2 2" xfId="33196" xr:uid="{9EAB7E20-7CBA-4E6B-8DED-8D434C3708AA}"/>
    <cellStyle name="Note 2 2 2 3 12 3" xfId="26324" xr:uid="{CC3E8420-2DBF-4755-BD20-294371B28771}"/>
    <cellStyle name="Note 2 2 2 3 12 3 2" xfId="33152" xr:uid="{281A87A6-DC0C-4AC2-9E08-5C8256F0068F}"/>
    <cellStyle name="Note 2 2 2 3 12 4" xfId="23446" xr:uid="{5CDF3614-7539-46DD-983C-6131C9437656}"/>
    <cellStyle name="Note 2 2 2 3 13" xfId="25471" xr:uid="{7382A81A-528A-437D-996A-BCA0FD582B43}"/>
    <cellStyle name="Note 2 2 2 3 13 2" xfId="28138" xr:uid="{ACD3FCEA-AA92-4440-8E7B-C57F9B620FC1}"/>
    <cellStyle name="Note 2 2 2 3 13 2 2" xfId="34983" xr:uid="{61842BD3-243B-4430-A423-EE8E0C30F0CA}"/>
    <cellStyle name="Note 2 2 2 3 13 3" xfId="30219" xr:uid="{E10EAB26-6060-4E3F-A970-4CB7A56E106B}"/>
    <cellStyle name="Note 2 2 2 3 13 3 2" xfId="37064" xr:uid="{8FD08F73-5E92-409D-A321-97677DF63391}"/>
    <cellStyle name="Note 2 2 2 3 13 4" xfId="32301" xr:uid="{2C3AA487-592A-4A8F-85A6-CBBA77C10FFC}"/>
    <cellStyle name="Note 2 2 2 3 14" xfId="24259" xr:uid="{C125FBBE-8777-4DB3-9BE5-30E2A9C1812A}"/>
    <cellStyle name="Note 2 2 2 3 14 2" xfId="26866" xr:uid="{4A2B533B-6D3F-4DAA-91C0-7C8EFBF1BD47}"/>
    <cellStyle name="Note 2 2 2 3 14 2 2" xfId="33706" xr:uid="{01DC6974-7819-49F8-AB3F-BBB4D6288252}"/>
    <cellStyle name="Note 2 2 2 3 14 3" xfId="28942" xr:uid="{4D8A88A7-B531-46BB-A91C-29F8024FBBB1}"/>
    <cellStyle name="Note 2 2 2 3 14 3 2" xfId="35787" xr:uid="{CE979939-6791-479B-96F8-DAF188FCE1ED}"/>
    <cellStyle name="Note 2 2 2 3 14 4" xfId="31024" xr:uid="{E470340B-EAEA-426A-8695-D767977D13E5}"/>
    <cellStyle name="Note 2 2 2 3 15" xfId="23997" xr:uid="{950668EE-643D-4A8A-90DE-B1727D88EFE5}"/>
    <cellStyle name="Note 2 2 2 3 15 2" xfId="26614" xr:uid="{C5B5770D-A257-497E-B1CC-3A3884064185}"/>
    <cellStyle name="Note 2 2 2 3 15 2 2" xfId="33454" xr:uid="{A7A58F5C-3515-4C11-A555-FDF0BE12BDE2}"/>
    <cellStyle name="Note 2 2 2 3 15 3" xfId="26079" xr:uid="{E12D2C25-05C7-4D18-90D1-0919476F22DC}"/>
    <cellStyle name="Note 2 2 2 3 15 3 2" xfId="32907" xr:uid="{679EF826-DB9D-4503-AA72-A289EEF4C9DE}"/>
    <cellStyle name="Note 2 2 2 3 15 4" xfId="23201" xr:uid="{6B678202-F2F0-4FEC-8BF5-2D0FA2672B50}"/>
    <cellStyle name="Note 2 2 2 3 16" xfId="25561" xr:uid="{FEF168F9-2B20-4C3E-ADFD-E3E38FE5402A}"/>
    <cellStyle name="Note 2 2 2 3 16 2" xfId="28228" xr:uid="{E6548397-3B7C-4294-B5AF-3C0E266C34B7}"/>
    <cellStyle name="Note 2 2 2 3 16 2 2" xfId="35073" xr:uid="{093DDC62-C3D8-43E8-8A72-10084A27B06F}"/>
    <cellStyle name="Note 2 2 2 3 16 3" xfId="30309" xr:uid="{5ABCADB3-F076-46FB-845E-753C08EF05B2}"/>
    <cellStyle name="Note 2 2 2 3 16 3 2" xfId="37154" xr:uid="{FA5A27B0-9CC8-4E41-8CEE-85F83B2FE690}"/>
    <cellStyle name="Note 2 2 2 3 16 4" xfId="32391" xr:uid="{A68EFBE5-56FB-4D3A-89CB-A0D9E46CD9E8}"/>
    <cellStyle name="Note 2 2 2 3 17" xfId="23648" xr:uid="{AD401CA4-BDC7-45AC-8779-4D1CDEEE29EB}"/>
    <cellStyle name="Note 2 2 2 3 18" xfId="16214" xr:uid="{E5410AE8-796E-48F4-92EB-2ED15CCF3C9F}"/>
    <cellStyle name="Note 2 2 2 3 19" xfId="38881" xr:uid="{93200981-9BBF-402E-97BD-E2CCED01C36D}"/>
    <cellStyle name="Note 2 2 2 3 2" xfId="4845" xr:uid="{00000000-0005-0000-0000-000010130000}"/>
    <cellStyle name="Note 2 2 2 3 2 10" xfId="25321" xr:uid="{34F452B9-671A-4F63-B0D5-C6F54216141F}"/>
    <cellStyle name="Note 2 2 2 3 2 10 2" xfId="27990" xr:uid="{9A5A979A-9616-4528-B0CE-B557691A1AAD}"/>
    <cellStyle name="Note 2 2 2 3 2 10 2 2" xfId="34835" xr:uid="{D6588E83-48CF-4CBC-92FA-6D6A2EB6C130}"/>
    <cellStyle name="Note 2 2 2 3 2 10 3" xfId="30071" xr:uid="{4605EB9B-10F4-4E41-9BF1-6AD7B7210672}"/>
    <cellStyle name="Note 2 2 2 3 2 10 3 2" xfId="36916" xr:uid="{6560A0CE-AE6B-4F91-B871-B754A987FD95}"/>
    <cellStyle name="Note 2 2 2 3 2 10 4" xfId="32153" xr:uid="{6BA591BE-BD80-4D42-95CE-03933B60E9FA}"/>
    <cellStyle name="Note 2 2 2 3 2 11" xfId="25649" xr:uid="{192B6767-7E61-4C91-AFB8-0608AA90A32F}"/>
    <cellStyle name="Note 2 2 2 3 2 11 2" xfId="28316" xr:uid="{6B1EBA21-32F2-4A86-BF42-6E3A95690CC9}"/>
    <cellStyle name="Note 2 2 2 3 2 11 2 2" xfId="35161" xr:uid="{D7132391-3A9C-488D-AB8F-72A08894EA7A}"/>
    <cellStyle name="Note 2 2 2 3 2 11 3" xfId="30397" xr:uid="{990F133F-39BA-4911-92C9-3B54ADE1CCD6}"/>
    <cellStyle name="Note 2 2 2 3 2 11 3 2" xfId="37242" xr:uid="{A6BC36AF-ECD7-4084-8D10-FE43A373DD84}"/>
    <cellStyle name="Note 2 2 2 3 2 11 4" xfId="32479" xr:uid="{11592F37-7658-48DE-8B60-4385EE951715}"/>
    <cellStyle name="Note 2 2 2 3 2 12" xfId="25754" xr:uid="{21972921-F3CD-45D1-8F25-BC3D213DD14D}"/>
    <cellStyle name="Note 2 2 2 3 2 12 2" xfId="28420" xr:uid="{F908005C-ACA5-4D28-93CD-ABE4E46BEAE6}"/>
    <cellStyle name="Note 2 2 2 3 2 12 2 2" xfId="35265" xr:uid="{7C26552D-EF71-4F92-9BD2-C7D3753BBDC9}"/>
    <cellStyle name="Note 2 2 2 3 2 12 3" xfId="30501" xr:uid="{BFD8EDEF-CFCC-4483-9ADC-071FCA795537}"/>
    <cellStyle name="Note 2 2 2 3 2 12 3 2" xfId="37346" xr:uid="{6F64CB5D-5BF7-4002-9DD7-8C17445E1810}"/>
    <cellStyle name="Note 2 2 2 3 2 12 4" xfId="32583" xr:uid="{BB66A162-76CF-4A69-98D6-E9DDC6AB8A3D}"/>
    <cellStyle name="Note 2 2 2 3 2 13" xfId="25831" xr:uid="{2D268074-3510-4DA0-AA9B-54279C906868}"/>
    <cellStyle name="Note 2 2 2 3 2 13 2" xfId="28497" xr:uid="{39F71FD2-8575-43E7-B2FF-FA1E329437ED}"/>
    <cellStyle name="Note 2 2 2 3 2 13 2 2" xfId="35342" xr:uid="{AD4B62A2-4DDE-421E-B338-E3047FB43073}"/>
    <cellStyle name="Note 2 2 2 3 2 13 3" xfId="30578" xr:uid="{C4860C4A-6786-4903-8625-248ED4307243}"/>
    <cellStyle name="Note 2 2 2 3 2 13 3 2" xfId="37423" xr:uid="{62CBE52C-7B3C-483C-A6C2-45AF85AEB54E}"/>
    <cellStyle name="Note 2 2 2 3 2 13 4" xfId="32660" xr:uid="{55FADBFD-9CA6-4C2A-B862-F46F4FF97B7C}"/>
    <cellStyle name="Note 2 2 2 3 2 14" xfId="25693" xr:uid="{6BC10389-ECE7-4EA4-87CD-1573562FCD39}"/>
    <cellStyle name="Note 2 2 2 3 2 14 2" xfId="28360" xr:uid="{E411D416-0F63-4D3B-800A-CA9CA1D6C265}"/>
    <cellStyle name="Note 2 2 2 3 2 14 2 2" xfId="35205" xr:uid="{7CA271F8-C389-4F50-96BA-8074D15BE569}"/>
    <cellStyle name="Note 2 2 2 3 2 14 3" xfId="30441" xr:uid="{0D12359D-1413-4036-BC05-64C44AE9DB79}"/>
    <cellStyle name="Note 2 2 2 3 2 14 3 2" xfId="37286" xr:uid="{C1C1F5B9-0730-4A02-9E67-043F326ABD51}"/>
    <cellStyle name="Note 2 2 2 3 2 14 4" xfId="32523" xr:uid="{AC386269-38AB-4CE7-8170-9533C9E90A68}"/>
    <cellStyle name="Note 2 2 2 3 2 15" xfId="25959" xr:uid="{A1610697-6DB8-4790-AF45-0D55A5BE688D}"/>
    <cellStyle name="Note 2 2 2 3 2 15 2" xfId="28625" xr:uid="{6481DAA4-C77D-456B-9718-D6D2E098EFE3}"/>
    <cellStyle name="Note 2 2 2 3 2 15 2 2" xfId="35470" xr:uid="{78C23A6C-CEA2-4BE0-8D48-F6BBAD367AB0}"/>
    <cellStyle name="Note 2 2 2 3 2 15 3" xfId="30706" xr:uid="{EAD4F8AC-AB67-4E57-9679-9F707B1D3441}"/>
    <cellStyle name="Note 2 2 2 3 2 15 3 2" xfId="37551" xr:uid="{4E3AB330-370D-4F70-850B-D49EAE4912BC}"/>
    <cellStyle name="Note 2 2 2 3 2 15 4" xfId="32788" xr:uid="{CF4808E7-80C5-488C-97FB-564E04D0EC13}"/>
    <cellStyle name="Note 2 2 2 3 2 16" xfId="26013" xr:uid="{80D97763-7C5B-44CE-BB80-E249FBF869EA}"/>
    <cellStyle name="Note 2 2 2 3 2 16 2" xfId="28679" xr:uid="{E47D06A5-926D-4D18-B20D-6C611B26F9EF}"/>
    <cellStyle name="Note 2 2 2 3 2 16 2 2" xfId="35524" xr:uid="{5B24A082-B0EC-401B-A2B9-BEDAED2E324C}"/>
    <cellStyle name="Note 2 2 2 3 2 16 3" xfId="30760" xr:uid="{685542D5-9163-418F-8699-83EAA917F992}"/>
    <cellStyle name="Note 2 2 2 3 2 16 3 2" xfId="37605" xr:uid="{7039F889-9EC0-4C0B-BDCE-BF4DA0545144}"/>
    <cellStyle name="Note 2 2 2 3 2 16 4" xfId="32842" xr:uid="{311A21AC-C9A2-47D0-8F7A-63E978A8C43D}"/>
    <cellStyle name="Note 2 2 2 3 2 17" xfId="23050" xr:uid="{B31D3060-6229-4D96-A938-BDBAAF354AD2}"/>
    <cellStyle name="Note 2 2 2 3 2 18" xfId="16215" xr:uid="{3F118875-33DE-4BEA-A007-495936154669}"/>
    <cellStyle name="Note 2 2 2 3 2 19" xfId="38882" xr:uid="{C034122D-BA6F-4541-9575-1575D92E081F}"/>
    <cellStyle name="Note 2 2 2 3 2 2" xfId="10369" xr:uid="{00000000-0005-0000-0000-00005D200000}"/>
    <cellStyle name="Note 2 2 2 3 2 2 10" xfId="18896" xr:uid="{9B84E6F2-B3B7-466F-8EEA-3F39F5EFD1C4}"/>
    <cellStyle name="Note 2 2 2 3 2 2 11" xfId="22721" xr:uid="{C428D84C-AF68-4F52-811C-B0F1EE9EC5CE}"/>
    <cellStyle name="Note 2 2 2 3 2 2 12" xfId="19876" xr:uid="{D32A3081-6511-4E08-A879-1ACB070BDA4B}"/>
    <cellStyle name="Note 2 2 2 3 2 2 13" xfId="19000" xr:uid="{74BBC227-783A-495B-8339-B85E68EB4C23}"/>
    <cellStyle name="Note 2 2 2 3 2 2 14" xfId="21768" xr:uid="{9687EDE2-53CF-4960-801D-4C1AC92D2109}"/>
    <cellStyle name="Note 2 2 2 3 2 2 15" xfId="22986" xr:uid="{8C2E9839-73CE-4B59-B544-23C65C23FA8D}"/>
    <cellStyle name="Note 2 2 2 3 2 2 16" xfId="31495" xr:uid="{BC150F00-8382-4770-9678-CCDC0C9BB770}"/>
    <cellStyle name="Note 2 2 2 3 2 2 17" xfId="18447" xr:uid="{270E1912-1248-4724-B1FF-6E9EC9570FC1}"/>
    <cellStyle name="Note 2 2 2 3 2 2 18" xfId="42858" xr:uid="{CE45E34A-71DD-4B16-9088-F59E898E7EF1}"/>
    <cellStyle name="Note 2 2 2 3 2 2 2" xfId="19418" xr:uid="{1B2D536F-F2C1-41EC-AC27-81067F9A2C67}"/>
    <cellStyle name="Note 2 2 2 3 2 2 2 2" xfId="27333" xr:uid="{8F9B5669-C0ED-464F-BA05-6857D777B7D5}"/>
    <cellStyle name="Note 2 2 2 3 2 2 2 3" xfId="34177" xr:uid="{ABE2CAF6-4376-4143-8E35-A9730A3E6B3E}"/>
    <cellStyle name="Note 2 2 2 3 2 2 3" xfId="20530" xr:uid="{8EFBA0F1-78DD-4FC8-A859-9A6AE575C906}"/>
    <cellStyle name="Note 2 2 2 3 2 2 3 2" xfId="29413" xr:uid="{DA4365A2-A747-481C-A9C7-A6647C57726C}"/>
    <cellStyle name="Note 2 2 2 3 2 2 3 3" xfId="36258" xr:uid="{87A242A2-2EE4-449C-876B-C1B398A6F2DF}"/>
    <cellStyle name="Note 2 2 2 3 2 2 4" xfId="21715" xr:uid="{F636F40C-7514-48C5-99DD-B542683EE9F9}"/>
    <cellStyle name="Note 2 2 2 3 2 2 5" xfId="21222" xr:uid="{59C1C6E6-188F-4D50-9A21-DEBD73C0CB1B}"/>
    <cellStyle name="Note 2 2 2 3 2 2 6" xfId="19684" xr:uid="{5E9E15FF-86EB-4028-A3C0-C021DF616867}"/>
    <cellStyle name="Note 2 2 2 3 2 2 7" xfId="22362" xr:uid="{11C8814D-6E07-4197-831B-650A6217EFEA}"/>
    <cellStyle name="Note 2 2 2 3 2 2 8" xfId="21450" xr:uid="{4642F134-8B71-4B8B-BCE0-9A701B990969}"/>
    <cellStyle name="Note 2 2 2 3 2 2 9" xfId="22124" xr:uid="{0FC58749-401E-4AB4-A9D3-5462912D7FFD}"/>
    <cellStyle name="Note 2 2 2 3 2 3" xfId="18194" xr:uid="{DAEB4BB1-1A47-4E6B-8E08-5EC7CF2B3C37}"/>
    <cellStyle name="Note 2 2 2 3 2 3 2" xfId="27554" xr:uid="{F9F61D89-EDD2-4956-AB74-0F31DFAE8A3D}"/>
    <cellStyle name="Note 2 2 2 3 2 3 2 2" xfId="34398" xr:uid="{B325A2CE-41C6-4751-8E0F-D474C55EBEBE}"/>
    <cellStyle name="Note 2 2 2 3 2 3 3" xfId="29634" xr:uid="{3DB31686-C43C-47B6-8E19-C7215B1CEFC1}"/>
    <cellStyle name="Note 2 2 2 3 2 3 3 2" xfId="36479" xr:uid="{CD3851B5-853C-4810-8F12-6E67527A7BB9}"/>
    <cellStyle name="Note 2 2 2 3 2 3 4" xfId="24886" xr:uid="{29208329-BA58-42AE-BBBB-4902578FC4E2}"/>
    <cellStyle name="Note 2 2 2 3 2 3 5" xfId="31716" xr:uid="{B7BEF40F-62DC-47CD-81DE-6BDC82E9BD88}"/>
    <cellStyle name="Note 2 2 2 3 2 4" xfId="17825" xr:uid="{DE1EA555-D7ED-4560-8885-83EEF89BCE26}"/>
    <cellStyle name="Note 2 2 2 3 2 4 2" xfId="26464" xr:uid="{AE78DB1A-0940-4576-8F1B-1E8099359ADF}"/>
    <cellStyle name="Note 2 2 2 3 2 4 2 2" xfId="33304" xr:uid="{032A5164-CE28-4150-A1DD-5EEA31A7C906}"/>
    <cellStyle name="Note 2 2 2 3 2 4 3" xfId="26219" xr:uid="{16F6423A-A0D8-4136-B992-644D101A91F0}"/>
    <cellStyle name="Note 2 2 2 3 2 4 3 2" xfId="33047" xr:uid="{7D01E7E3-99BD-4C09-8F72-C3BAE2545E16}"/>
    <cellStyle name="Note 2 2 2 3 2 4 4" xfId="23844" xr:uid="{263D6921-90AF-4430-92B0-E9529F0F8606}"/>
    <cellStyle name="Note 2 2 2 3 2 4 5" xfId="23341" xr:uid="{EF2A3640-EB8D-44EC-A78C-78D52EFC77A3}"/>
    <cellStyle name="Note 2 2 2 3 2 5" xfId="25105" xr:uid="{6B69DC79-45F3-4692-8D0F-DD1A4868B79E}"/>
    <cellStyle name="Note 2 2 2 3 2 5 2" xfId="27777" xr:uid="{97E0EAC3-7F53-4C7C-BB74-EBE3C40AA48A}"/>
    <cellStyle name="Note 2 2 2 3 2 5 2 2" xfId="34622" xr:uid="{17D5CB07-1E54-4C81-83C4-B58D03AC673B}"/>
    <cellStyle name="Note 2 2 2 3 2 5 3" xfId="29858" xr:uid="{4DBE2F6E-D486-4810-99B0-10458CA2D848}"/>
    <cellStyle name="Note 2 2 2 3 2 5 3 2" xfId="36703" xr:uid="{F3CB4020-AC86-498C-9D60-D24F1071E4D0}"/>
    <cellStyle name="Note 2 2 2 3 2 5 4" xfId="31940" xr:uid="{6C849B39-B585-43C7-A9F4-A244B41A8113}"/>
    <cellStyle name="Note 2 2 2 3 2 6" xfId="24526" xr:uid="{2AA77341-23D8-4E53-94D4-89E0986B25DE}"/>
    <cellStyle name="Note 2 2 2 3 2 6 2" xfId="27135" xr:uid="{6038506A-0B48-4A65-B27A-945271F74C7E}"/>
    <cellStyle name="Note 2 2 2 3 2 6 2 2" xfId="33976" xr:uid="{69B1D502-5097-45A9-83A4-05F64E9C4464}"/>
    <cellStyle name="Note 2 2 2 3 2 6 3" xfId="29212" xr:uid="{110994CF-9BFD-41D1-8E9D-957B6C1AC5FB}"/>
    <cellStyle name="Note 2 2 2 3 2 6 3 2" xfId="36057" xr:uid="{80FB0385-5352-40C5-8220-1FE7419C72CC}"/>
    <cellStyle name="Note 2 2 2 3 2 6 4" xfId="31294" xr:uid="{2CB2C20A-3A9E-4379-85A5-79011659C567}"/>
    <cellStyle name="Note 2 2 2 3 2 7" xfId="24768" xr:uid="{FE1A9C23-7E87-4B8B-840A-D5B0A0032C9A}"/>
    <cellStyle name="Note 2 2 2 3 2 7 2" xfId="27420" xr:uid="{B0F73847-A457-491F-ADC7-5E57A1C7CBBF}"/>
    <cellStyle name="Note 2 2 2 3 2 7 2 2" xfId="34264" xr:uid="{BD0C85FA-8C74-463D-8B7C-C0F039BB01F5}"/>
    <cellStyle name="Note 2 2 2 3 2 7 3" xfId="29500" xr:uid="{0987461E-4E5A-4B21-9E1E-143E4DDC9618}"/>
    <cellStyle name="Note 2 2 2 3 2 7 3 2" xfId="36345" xr:uid="{3C487AD3-2C9F-443F-ACAD-DF301FB635E5}"/>
    <cellStyle name="Note 2 2 2 3 2 7 4" xfId="31582" xr:uid="{2E8A5BE9-BA5D-4230-8090-C87BCBDB0104}"/>
    <cellStyle name="Note 2 2 2 3 2 8" xfId="24947" xr:uid="{0B9D8D0E-87B6-4100-AD5C-41ACEF221D5C}"/>
    <cellStyle name="Note 2 2 2 3 2 8 2" xfId="27617" xr:uid="{69ADC4C9-E5BE-431E-8C58-CDEEED759751}"/>
    <cellStyle name="Note 2 2 2 3 2 8 2 2" xfId="34462" xr:uid="{1CB1968E-12B7-4098-B270-56C39B20AB57}"/>
    <cellStyle name="Note 2 2 2 3 2 8 3" xfId="29698" xr:uid="{89C22CE0-B0A0-4688-AED4-A1F5DA7F8CC5}"/>
    <cellStyle name="Note 2 2 2 3 2 8 3 2" xfId="36543" xr:uid="{FAD41A5F-F744-478C-807A-4425DDE5306B}"/>
    <cellStyle name="Note 2 2 2 3 2 8 4" xfId="31780" xr:uid="{0AA2AB2D-B14E-4FE6-8ECD-B7E6D1B6F709}"/>
    <cellStyle name="Note 2 2 2 3 2 9" xfId="25468" xr:uid="{81F79830-2BE5-496C-9C05-F127ADC7685A}"/>
    <cellStyle name="Note 2 2 2 3 2 9 2" xfId="28135" xr:uid="{FCB4E8DE-6508-496D-8F3C-A04E46CE0958}"/>
    <cellStyle name="Note 2 2 2 3 2 9 2 2" xfId="34980" xr:uid="{7F997EFA-1739-4FE1-939C-6AC678DA3A5E}"/>
    <cellStyle name="Note 2 2 2 3 2 9 3" xfId="30216" xr:uid="{0F8D052E-F809-41A0-889C-1B4119C27C0B}"/>
    <cellStyle name="Note 2 2 2 3 2 9 3 2" xfId="37061" xr:uid="{F57691DB-64C9-45CE-94B8-1A451FCBFD63}"/>
    <cellStyle name="Note 2 2 2 3 2 9 4" xfId="32298" xr:uid="{4FEE671E-4EC0-47BF-B6CD-2451515382E5}"/>
    <cellStyle name="Note 2 2 2 3 3" xfId="10368" xr:uid="{00000000-0005-0000-0000-00005C200000}"/>
    <cellStyle name="Note 2 2 2 3 3 10" xfId="22209" xr:uid="{C3DC363F-78A4-44E6-8480-38FA2B811029}"/>
    <cellStyle name="Note 2 2 2 3 3 11" xfId="21681" xr:uid="{7742E2F4-CAF2-4441-AFFF-1E8FFD5A2721}"/>
    <cellStyle name="Note 2 2 2 3 3 12" xfId="22759" xr:uid="{3DA2B987-919C-4CCC-9BD7-860BF1F436B7}"/>
    <cellStyle name="Note 2 2 2 3 3 13" xfId="18983" xr:uid="{E3BB82C2-E5EC-4258-9729-DE8AF7ADA4D9}"/>
    <cellStyle name="Note 2 2 2 3 3 14" xfId="22895" xr:uid="{001F3D98-C8CD-49C0-8C31-A0B8B28700F8}"/>
    <cellStyle name="Note 2 2 2 3 3 15" xfId="22660" xr:uid="{8825902A-0AD3-49A8-BD4E-58AA521478DE}"/>
    <cellStyle name="Note 2 2 2 3 3 16" xfId="23710" xr:uid="{A40BF230-8A92-44A0-AC60-EA5E936AE95E}"/>
    <cellStyle name="Note 2 2 2 3 3 17" xfId="18623" xr:uid="{75D5E745-2796-4511-98F7-56982AC8BEFD}"/>
    <cellStyle name="Note 2 2 2 3 3 18" xfId="42857" xr:uid="{3F10AD05-26F7-4BE5-BD29-E3D0E6B90092}"/>
    <cellStyle name="Note 2 2 2 3 3 2" xfId="19844" xr:uid="{95BC8F25-23FD-4C40-83EB-0D471EB4B5E4}"/>
    <cellStyle name="Note 2 2 2 3 3 3" xfId="20652" xr:uid="{763CDC38-6010-4B37-B7D2-E3679502EBD5}"/>
    <cellStyle name="Note 2 2 2 3 3 4" xfId="20698" xr:uid="{BCF5C5BD-4157-4A59-9EEE-8681094ABAB0}"/>
    <cellStyle name="Note 2 2 2 3 3 5" xfId="21885" xr:uid="{92E05E08-9727-440A-A983-47ABEF61A546}"/>
    <cellStyle name="Note 2 2 2 3 3 6" xfId="21664" xr:uid="{F8EA2599-F2CA-4EAC-BE06-FD730A5BAC6E}"/>
    <cellStyle name="Note 2 2 2 3 3 7" xfId="22092" xr:uid="{665171B6-ED6F-4938-A0DE-A77A4F30604A}"/>
    <cellStyle name="Note 2 2 2 3 3 8" xfId="22349" xr:uid="{C5600E66-DF5E-418D-8602-C37532900F79}"/>
    <cellStyle name="Note 2 2 2 3 3 9" xfId="22496" xr:uid="{9357808B-0A21-46CE-8506-40A9831C14CE}"/>
    <cellStyle name="Note 2 2 2 3 4" xfId="8126" xr:uid="{00000000-0005-0000-0000-0000770F0000}"/>
    <cellStyle name="Note 2 2 2 3 4 2" xfId="27209" xr:uid="{5A6AA891-A46A-4921-B666-3C4C2853BBAB}"/>
    <cellStyle name="Note 2 2 2 3 4 2 2" xfId="34050" xr:uid="{4FFDADF1-9799-489E-9FBC-12E251F7B6B4}"/>
    <cellStyle name="Note 2 2 2 3 4 3" xfId="29286" xr:uid="{16670309-D38B-4906-972D-E4CF71ABFB65}"/>
    <cellStyle name="Note 2 2 2 3 4 3 2" xfId="36131" xr:uid="{45869F8E-8140-4AE1-8174-479A97478588}"/>
    <cellStyle name="Note 2 2 2 3 4 4" xfId="24610" xr:uid="{62532988-F6C0-4A6A-AE1B-E57B3D74F495}"/>
    <cellStyle name="Note 2 2 2 3 4 5" xfId="31368" xr:uid="{4206D23F-2764-41D3-8187-7CF58274F539}"/>
    <cellStyle name="Note 2 2 2 3 4 6" xfId="18193" xr:uid="{04AE73B8-CA68-46E6-9E55-6698332425DF}"/>
    <cellStyle name="Note 2 2 2 3 4 7" xfId="40928" xr:uid="{AE4CB14C-B21E-4C5E-B89B-502A3D46FCA7}"/>
    <cellStyle name="Note 2 2 2 3 5" xfId="17554" xr:uid="{4779D420-5A83-4BA4-BC09-0FC15A034661}"/>
    <cellStyle name="Note 2 2 2 3 5 2" xfId="27613" xr:uid="{AC2547A7-332D-428F-A296-872E74C40D75}"/>
    <cellStyle name="Note 2 2 2 3 5 2 2" xfId="34457" xr:uid="{31FE6EF9-B1B4-4C9A-9211-3AC1919B7105}"/>
    <cellStyle name="Note 2 2 2 3 5 3" xfId="29693" xr:uid="{3EE31FB1-80DC-4307-A4DE-A4C8B36B6C6C}"/>
    <cellStyle name="Note 2 2 2 3 5 3 2" xfId="36538" xr:uid="{33090A1B-BDAD-4ABC-880D-AFD800F9D688}"/>
    <cellStyle name="Note 2 2 2 3 5 4" xfId="24943" xr:uid="{BBCB1DBD-CC83-4380-BA02-0C1FADDEB1FC}"/>
    <cellStyle name="Note 2 2 2 3 5 5" xfId="31775" xr:uid="{3A88600A-6A86-4CBE-AE84-C2B2C758DC0E}"/>
    <cellStyle name="Note 2 2 2 3 6" xfId="24712" xr:uid="{64AAAAE5-057C-4038-A523-E9F2CD334070}"/>
    <cellStyle name="Note 2 2 2 3 6 2" xfId="27361" xr:uid="{B6EEEC8A-9B80-4EF4-9D13-8ED89A83B205}"/>
    <cellStyle name="Note 2 2 2 3 6 2 2" xfId="34205" xr:uid="{70777CAC-DF76-4A0F-8EE2-61210B8AFF53}"/>
    <cellStyle name="Note 2 2 2 3 6 3" xfId="29441" xr:uid="{EDD82FCA-F0BE-4410-B20B-6B06AC1DF3F8}"/>
    <cellStyle name="Note 2 2 2 3 6 3 2" xfId="36286" xr:uid="{5C5824F0-3776-4C77-A6C7-0985FF89FDB9}"/>
    <cellStyle name="Note 2 2 2 3 6 4" xfId="31523" xr:uid="{1E1B529F-FB52-4057-ABFF-F6B8082F7CD9}"/>
    <cellStyle name="Note 2 2 2 3 7" xfId="24473" xr:uid="{36C1EE4E-1560-46F3-9722-95BD9BAE6F62}"/>
    <cellStyle name="Note 2 2 2 3 7 2" xfId="27089" xr:uid="{E34964A4-F6B6-4953-8308-E905D86D04DA}"/>
    <cellStyle name="Note 2 2 2 3 7 2 2" xfId="33929" xr:uid="{FA1C7A9B-9195-442B-8D2B-F0DEEA155695}"/>
    <cellStyle name="Note 2 2 2 3 7 3" xfId="29165" xr:uid="{0195D1D1-8E18-4101-AA73-FDF8F52667CD}"/>
    <cellStyle name="Note 2 2 2 3 7 3 2" xfId="36010" xr:uid="{A0CF0BA4-9AC6-4B03-B864-107A8B4F679B}"/>
    <cellStyle name="Note 2 2 2 3 7 4" xfId="31247" xr:uid="{88D2CBCA-A555-46C0-A987-CB861BD28ECB}"/>
    <cellStyle name="Note 2 2 2 3 8" xfId="23887" xr:uid="{39773652-07DE-4BC9-B746-DFF6BA0EA4E6}"/>
    <cellStyle name="Note 2 2 2 3 8 2" xfId="26505" xr:uid="{BB1D6F3F-FDEE-4A5B-8682-23336F78689A}"/>
    <cellStyle name="Note 2 2 2 3 8 2 2" xfId="33345" xr:uid="{3D4613E0-D857-46A0-A2C8-5F0A2D1B29C3}"/>
    <cellStyle name="Note 2 2 2 3 8 3" xfId="26179" xr:uid="{8270553C-38F8-4B8A-B306-A18BF03C0064}"/>
    <cellStyle name="Note 2 2 2 3 8 3 2" xfId="33007" xr:uid="{4C7340B9-07D4-4DB6-90D3-D10460AAD7BB}"/>
    <cellStyle name="Note 2 2 2 3 8 4" xfId="23301" xr:uid="{778CE0B2-E4C9-4417-85BA-05D17D9FDC2E}"/>
    <cellStyle name="Note 2 2 2 3 9" xfId="25176" xr:uid="{47700B86-923C-4432-8A3A-7C65492126B8}"/>
    <cellStyle name="Note 2 2 2 3 9 2" xfId="27848" xr:uid="{9ECFA579-AD8F-482B-AE4E-703B8453DCD0}"/>
    <cellStyle name="Note 2 2 2 3 9 2 2" xfId="34693" xr:uid="{AA8A31BF-5A81-4866-B6AD-D023DDB28CA9}"/>
    <cellStyle name="Note 2 2 2 3 9 3" xfId="29929" xr:uid="{8986EBA1-DB76-4B42-9BF1-B807BDAB5BDF}"/>
    <cellStyle name="Note 2 2 2 3 9 3 2" xfId="36774" xr:uid="{57B7B434-0BAC-4925-8E39-1075C2DD06B8}"/>
    <cellStyle name="Note 2 2 2 3 9 4" xfId="32011" xr:uid="{E87024B7-D5E8-49F7-80DF-B6BA99DB739D}"/>
    <cellStyle name="Note 2 2 2 4" xfId="4846" xr:uid="{00000000-0005-0000-0000-000011130000}"/>
    <cellStyle name="Note 2 2 2 4 10" xfId="25396" xr:uid="{3F536C02-11B7-4E66-97C1-A770E3CF2DA4}"/>
    <cellStyle name="Note 2 2 2 4 10 2" xfId="28063" xr:uid="{77507BC8-8517-4EBD-A8AA-411BB613138E}"/>
    <cellStyle name="Note 2 2 2 4 10 2 2" xfId="34908" xr:uid="{A364AF85-16B4-4248-96CC-67A6B0F3B15D}"/>
    <cellStyle name="Note 2 2 2 4 10 3" xfId="30144" xr:uid="{763DA760-E450-4C57-95CB-95536D5A9ED4}"/>
    <cellStyle name="Note 2 2 2 4 10 3 2" xfId="36989" xr:uid="{61DB0FB8-A263-4AB3-8A10-87566BD97AAA}"/>
    <cellStyle name="Note 2 2 2 4 10 4" xfId="32226" xr:uid="{89883091-EE5A-4991-9E8D-6332D237C347}"/>
    <cellStyle name="Note 2 2 2 4 11" xfId="25008" xr:uid="{40BFD0BB-DC6E-4633-80C5-94BE3DA9AA0C}"/>
    <cellStyle name="Note 2 2 2 4 11 2" xfId="27680" xr:uid="{DFD108CC-EDBB-4A15-ADD6-1550E843D72C}"/>
    <cellStyle name="Note 2 2 2 4 11 2 2" xfId="34525" xr:uid="{9578E7A4-D05C-4012-A9A9-53CCCE2FE84A}"/>
    <cellStyle name="Note 2 2 2 4 11 3" xfId="29761" xr:uid="{CBA8C893-C42A-46B2-8522-CB701AA96EB0}"/>
    <cellStyle name="Note 2 2 2 4 11 3 2" xfId="36606" xr:uid="{3D602D40-549A-4E94-B25B-50824693206A}"/>
    <cellStyle name="Note 2 2 2 4 11 4" xfId="31843" xr:uid="{73E51150-F294-41E5-B835-86373586D13B}"/>
    <cellStyle name="Note 2 2 2 4 12" xfId="23928" xr:uid="{A5DDF086-A384-4212-9CF8-A8DD1E67E546}"/>
    <cellStyle name="Note 2 2 2 4 12 2" xfId="26546" xr:uid="{572EE763-B77D-4062-BF4B-38848298E82E}"/>
    <cellStyle name="Note 2 2 2 4 12 2 2" xfId="33386" xr:uid="{5FDE587F-F46A-4720-B8DB-FF3F62DD1223}"/>
    <cellStyle name="Note 2 2 2 4 12 3" xfId="26139" xr:uid="{19BB22E4-0D73-4F30-BD05-D1EE3CEEC874}"/>
    <cellStyle name="Note 2 2 2 4 12 3 2" xfId="32967" xr:uid="{E3DFAF66-2CE8-40F1-90C3-7C502B57F081}"/>
    <cellStyle name="Note 2 2 2 4 12 4" xfId="23261" xr:uid="{CE3275B6-2F66-4CAA-AA66-517772D5A904}"/>
    <cellStyle name="Note 2 2 2 4 13" xfId="24088" xr:uid="{6E7F5B22-3CB2-43D4-8E9D-1D2A64631502}"/>
    <cellStyle name="Note 2 2 2 4 13 2" xfId="26701" xr:uid="{F2F9DF35-DA4F-4E00-AD31-9D91E03C9257}"/>
    <cellStyle name="Note 2 2 2 4 13 2 2" xfId="33541" xr:uid="{E423A7AC-B831-4666-A535-530DC7527DD6}"/>
    <cellStyle name="Note 2 2 2 4 13 3" xfId="28777" xr:uid="{4EBB2FC2-AE85-44DA-800C-C567F67889C5}"/>
    <cellStyle name="Note 2 2 2 4 13 3 2" xfId="35622" xr:uid="{19369BE5-8E0C-4F7D-B482-8E0CE806F3CE}"/>
    <cellStyle name="Note 2 2 2 4 13 4" xfId="30859" xr:uid="{249474F2-C62A-40C0-B1E2-C0B928C15250}"/>
    <cellStyle name="Note 2 2 2 4 14" xfId="24158" xr:uid="{8AA211D7-7243-468B-AA5C-4AC6550A93C2}"/>
    <cellStyle name="Note 2 2 2 4 14 2" xfId="26770" xr:uid="{DBEC794E-8A65-429B-923E-530417C36EDE}"/>
    <cellStyle name="Note 2 2 2 4 14 2 2" xfId="33610" xr:uid="{AAB13A1E-5FD9-4316-B97B-5E15EE5A87CA}"/>
    <cellStyle name="Note 2 2 2 4 14 3" xfId="28846" xr:uid="{63DB535C-5BFA-4051-AAEA-8BB15B68C777}"/>
    <cellStyle name="Note 2 2 2 4 14 3 2" xfId="35691" xr:uid="{B444B308-BF91-4B0E-A849-8E39AD02A9D9}"/>
    <cellStyle name="Note 2 2 2 4 14 4" xfId="30928" xr:uid="{E80A05EB-CE00-4FD0-B7F0-A27EB8F9AE85}"/>
    <cellStyle name="Note 2 2 2 4 15" xfId="25783" xr:uid="{988C70A9-8368-4EC0-89C0-F75254639EFB}"/>
    <cellStyle name="Note 2 2 2 4 15 2" xfId="28449" xr:uid="{18A35DA6-C0F0-4B9A-9CC9-665A1BECAD56}"/>
    <cellStyle name="Note 2 2 2 4 15 2 2" xfId="35294" xr:uid="{084FB841-B88A-4F92-ACE7-8F8FC3C9E688}"/>
    <cellStyle name="Note 2 2 2 4 15 3" xfId="30530" xr:uid="{A44ED2B3-C093-40F9-A5BC-6F71EAC3C449}"/>
    <cellStyle name="Note 2 2 2 4 15 3 2" xfId="37375" xr:uid="{0635C64B-DB70-4785-8216-4B7E383BA292}"/>
    <cellStyle name="Note 2 2 2 4 15 4" xfId="32612" xr:uid="{6DD62AA2-8481-4AE3-8E7E-D13880DBAEB4}"/>
    <cellStyle name="Note 2 2 2 4 16" xfId="25434" xr:uid="{41AB1C36-951F-49E8-8196-43F26A7D6D7C}"/>
    <cellStyle name="Note 2 2 2 4 16 2" xfId="28101" xr:uid="{82654F63-C8C8-459E-B0DF-1D0B75C983D0}"/>
    <cellStyle name="Note 2 2 2 4 16 2 2" xfId="34946" xr:uid="{B31B27A4-739A-456D-8848-C4E9124EFB81}"/>
    <cellStyle name="Note 2 2 2 4 16 3" xfId="30182" xr:uid="{054644AC-4621-4CB0-B7C1-0EE48A16187A}"/>
    <cellStyle name="Note 2 2 2 4 16 3 2" xfId="37027" xr:uid="{D10AA4FC-E820-4318-A42D-3BE6840D7C3C}"/>
    <cellStyle name="Note 2 2 2 4 16 4" xfId="32264" xr:uid="{49ED7147-87A1-4972-9D3E-DCD86B9DB4AC}"/>
    <cellStyle name="Note 2 2 2 4 17" xfId="23067" xr:uid="{910D93DB-CF60-4DA8-AE57-77D157258F16}"/>
    <cellStyle name="Note 2 2 2 4 18" xfId="16216" xr:uid="{3F016DA7-CE8F-41EB-88EC-3C217025CB8D}"/>
    <cellStyle name="Note 2 2 2 4 19" xfId="38883" xr:uid="{470B2FA8-99FA-456F-A615-FB37B69AB2FA}"/>
    <cellStyle name="Note 2 2 2 4 2" xfId="10370" xr:uid="{00000000-0005-0000-0000-00005E200000}"/>
    <cellStyle name="Note 2 2 2 4 2 10" xfId="20239" xr:uid="{306B2FE6-1BB8-4EC5-8541-CC1A49EE3996}"/>
    <cellStyle name="Note 2 2 2 4 2 11" xfId="18900" xr:uid="{CE74A4E3-C094-466A-9F1F-D300B9AC42F2}"/>
    <cellStyle name="Note 2 2 2 4 2 12" xfId="22789" xr:uid="{E91C21A2-FC58-4D1E-8F28-871EEE7395CF}"/>
    <cellStyle name="Note 2 2 2 4 2 13" xfId="22440" xr:uid="{863F5AE2-BBDE-4E8D-9143-CB71DB1EAB75}"/>
    <cellStyle name="Note 2 2 2 4 2 14" xfId="22924" xr:uid="{F313710E-4B75-4D7E-AE10-D06E2B55881F}"/>
    <cellStyle name="Note 2 2 2 4 2 15" xfId="22120" xr:uid="{25E36E2E-F285-449E-89FD-9670F4B0C67A}"/>
    <cellStyle name="Note 2 2 2 4 2 16" xfId="31432" xr:uid="{E8945BEB-7D05-46C6-8355-A4446E6BB3FB}"/>
    <cellStyle name="Note 2 2 2 4 2 17" xfId="18746" xr:uid="{639A13CA-CC07-4C22-B8C1-2966F246AF6F}"/>
    <cellStyle name="Note 2 2 2 4 2 18" xfId="42859" xr:uid="{AC693F94-BCEC-4A9E-BDF4-85324F8C9B02}"/>
    <cellStyle name="Note 2 2 2 4 2 2" xfId="19793" xr:uid="{81C240F1-2629-4EF3-8A3B-95C9F446FD04}"/>
    <cellStyle name="Note 2 2 2 4 2 2 2" xfId="27270" xr:uid="{4AC72C52-D553-4B6A-A634-4CA512D58715}"/>
    <cellStyle name="Note 2 2 2 4 2 2 3" xfId="34114" xr:uid="{D2371BDA-C654-4A70-83F3-CA5D45D9D789}"/>
    <cellStyle name="Note 2 2 2 4 2 3" xfId="19445" xr:uid="{6741D594-C4C3-465F-A656-91CE5EABCC81}"/>
    <cellStyle name="Note 2 2 2 4 2 3 2" xfId="29350" xr:uid="{CFD0C1D5-2A54-4E81-B2B3-D46AD4A3249E}"/>
    <cellStyle name="Note 2 2 2 4 2 3 3" xfId="36195" xr:uid="{6242ABAE-79D7-4DA4-B01F-3651EC7BB04F}"/>
    <cellStyle name="Note 2 2 2 4 2 4" xfId="21362" xr:uid="{FAE64E26-9FB1-4EAC-A38F-AB37F5C83551}"/>
    <cellStyle name="Note 2 2 2 4 2 5" xfId="20458" xr:uid="{92B68F72-41CD-4D5B-99C4-0C7E8CD5CDE7}"/>
    <cellStyle name="Note 2 2 2 4 2 6" xfId="22163" xr:uid="{E7A44B61-4BCE-4495-ABDB-74F61984DEA9}"/>
    <cellStyle name="Note 2 2 2 4 2 7" xfId="20227" xr:uid="{0F182153-03C4-4758-B31E-48F2885EE87B}"/>
    <cellStyle name="Note 2 2 2 4 2 8" xfId="22338" xr:uid="{6E09EA31-D18F-401B-92BF-16311430284E}"/>
    <cellStyle name="Note 2 2 2 4 2 9" xfId="22543" xr:uid="{559399FF-B8DE-4443-862A-0B47AD85D854}"/>
    <cellStyle name="Note 2 2 2 4 3" xfId="9514" xr:uid="{00000000-0005-0000-0000-0000D1230000}"/>
    <cellStyle name="Note 2 2 2 4 3 10" xfId="20166" xr:uid="{45BBB064-7CCA-4EE3-B25C-A4760ED07058}"/>
    <cellStyle name="Note 2 2 2 4 3 11" xfId="18870" xr:uid="{22398719-4E00-482E-BCAD-F36CAB262B5A}"/>
    <cellStyle name="Note 2 2 2 4 3 12" xfId="19569" xr:uid="{BD208574-663B-4A4D-9C7D-9349446125BA}"/>
    <cellStyle name="Note 2 2 2 4 3 13" xfId="20696" xr:uid="{18369CED-07E8-4512-A36B-2F4BE67244D5}"/>
    <cellStyle name="Note 2 2 2 4 3 14" xfId="19888" xr:uid="{FED67A0B-BD83-4B56-ABE3-AF3920849D99}"/>
    <cellStyle name="Note 2 2 2 4 3 15" xfId="20079" xr:uid="{0A72F46E-E95C-4D5E-80CB-A411DD233EED}"/>
    <cellStyle name="Note 2 2 2 4 3 16" xfId="31543" xr:uid="{B947F46A-890A-4A02-8654-2C6255E566F7}"/>
    <cellStyle name="Note 2 2 2 4 3 17" xfId="18195" xr:uid="{DB8EB9E4-27EA-407A-8865-1EB2CD1216DC}"/>
    <cellStyle name="Note 2 2 2 4 3 18" xfId="42003" xr:uid="{36F42BDC-DC47-48B2-85F4-C3C21D7510A7}"/>
    <cellStyle name="Note 2 2 2 4 3 19" xfId="46475" xr:uid="{D6171BCD-E97D-46FC-B414-96A11C021B1C}"/>
    <cellStyle name="Note 2 2 2 4 3 2" xfId="20354" xr:uid="{0F2038A5-68E4-4725-8E0E-90A382DC7254}"/>
    <cellStyle name="Note 2 2 2 4 3 2 2" xfId="27381" xr:uid="{4A481B09-A0F7-4997-9051-2DB91C38F199}"/>
    <cellStyle name="Note 2 2 2 4 3 2 3" xfId="34225" xr:uid="{EA2905F3-E33A-480C-8A51-9BC7304826EC}"/>
    <cellStyle name="Note 2 2 2 4 3 20" xfId="47019" xr:uid="{2E21A270-7327-4DEF-ACAC-48365B913EA7}"/>
    <cellStyle name="Note 2 2 2 4 3 21" xfId="47639" xr:uid="{14B7FB49-DA05-42C5-B6D9-6334369EE7F4}"/>
    <cellStyle name="Note 2 2 2 4 3 22" xfId="46651" xr:uid="{A329569B-60EE-48DC-BBDB-27560C763CFC}"/>
    <cellStyle name="Note 2 2 2 4 3 3" xfId="20209" xr:uid="{61D003D2-F75E-4EDA-BFD4-1CA1C49FDEFA}"/>
    <cellStyle name="Note 2 2 2 4 3 3 2" xfId="29461" xr:uid="{47841AA9-4A36-42D6-AE03-808A1FC753AA}"/>
    <cellStyle name="Note 2 2 2 4 3 3 3" xfId="36306" xr:uid="{781E332B-BE65-4F41-95A6-E4432CCFE648}"/>
    <cellStyle name="Note 2 2 2 4 3 4" xfId="20111" xr:uid="{1418EA5D-CE7E-4D9E-9B57-7E85D93A0718}"/>
    <cellStyle name="Note 2 2 2 4 3 5" xfId="20894" xr:uid="{40BEA4F0-ED53-4123-B768-8B21CA64BF82}"/>
    <cellStyle name="Note 2 2 2 4 3 6" xfId="19211" xr:uid="{235F111F-4123-4744-A40F-224FF53C08AB}"/>
    <cellStyle name="Note 2 2 2 4 3 7" xfId="19056" xr:uid="{DCBDAA4B-0F59-422C-AABE-7295C3716F7D}"/>
    <cellStyle name="Note 2 2 2 4 3 8" xfId="18882" xr:uid="{02758BE6-3B00-44A3-88B5-24181A9ADD77}"/>
    <cellStyle name="Note 2 2 2 4 3 9" xfId="18942" xr:uid="{BFF6AD9A-0E36-4D28-84B0-22DC39777189}"/>
    <cellStyle name="Note 2 2 2 4 4" xfId="17692" xr:uid="{110BE5D7-D0E6-453C-A94C-39A44C3D229C}"/>
    <cellStyle name="Note 2 2 2 4 4 2" xfId="27075" xr:uid="{55C3D412-3503-4A97-A523-FEC65CCAD5D0}"/>
    <cellStyle name="Note 2 2 2 4 4 2 2" xfId="33915" xr:uid="{F9749A8A-CFEF-4428-A8D7-87540E60596C}"/>
    <cellStyle name="Note 2 2 2 4 4 3" xfId="29151" xr:uid="{E106C7D2-BD4D-4AE5-A492-8C018973A505}"/>
    <cellStyle name="Note 2 2 2 4 4 3 2" xfId="35996" xr:uid="{2208F402-2D2C-421A-9DDD-3DC845C60D18}"/>
    <cellStyle name="Note 2 2 2 4 4 4" xfId="24459" xr:uid="{02CDCBB1-195F-4095-911E-00F01D9CC9BA}"/>
    <cellStyle name="Note 2 2 2 4 4 5" xfId="31233" xr:uid="{8FA3F5ED-09AF-490A-A681-C36C3CCB5ABA}"/>
    <cellStyle name="Note 2 2 2 4 5" xfId="23764" xr:uid="{96F0EA0B-D4F4-4DAD-9904-4DE246FA0D76}"/>
    <cellStyle name="Note 2 2 2 4 5 2" xfId="26375" xr:uid="{7D3FDEBD-FA76-41CC-B98E-120832658A81}"/>
    <cellStyle name="Note 2 2 2 4 5 2 2" xfId="33214" xr:uid="{01BABCBA-E33F-430E-93B8-61FA8B892465}"/>
    <cellStyle name="Note 2 2 2 4 5 3" xfId="26307" xr:uid="{6175061C-431B-4603-B5B0-82741E95E721}"/>
    <cellStyle name="Note 2 2 2 4 5 3 2" xfId="33135" xr:uid="{3789F505-64EB-4953-BF1B-A16DF6CD886F}"/>
    <cellStyle name="Note 2 2 2 4 5 4" xfId="23429" xr:uid="{22398514-6304-49CC-ADB2-261625367E8F}"/>
    <cellStyle name="Note 2 2 2 4 6" xfId="25157" xr:uid="{2F2F645E-3511-41E3-8990-C83EF4A87B4C}"/>
    <cellStyle name="Note 2 2 2 4 6 2" xfId="27829" xr:uid="{7C4C3B98-4E21-4EE5-9A9E-CAD4E2ECA48F}"/>
    <cellStyle name="Note 2 2 2 4 6 2 2" xfId="34674" xr:uid="{3B4ACCD0-FC0A-4F31-9B24-BD62ACC95A91}"/>
    <cellStyle name="Note 2 2 2 4 6 3" xfId="29910" xr:uid="{4EB02D24-C0CD-4FAC-813E-BB00F2C43FB3}"/>
    <cellStyle name="Note 2 2 2 4 6 3 2" xfId="36755" xr:uid="{6231D480-98CA-4D87-A7B8-7FD78649C8FA}"/>
    <cellStyle name="Note 2 2 2 4 6 4" xfId="31992" xr:uid="{787F8844-CB1C-42C1-A4C4-66EE920A1A20}"/>
    <cellStyle name="Note 2 2 2 4 7" xfId="24143" xr:uid="{0D3F2745-C3A2-45BF-9BEA-3C362A3A0166}"/>
    <cellStyle name="Note 2 2 2 4 7 2" xfId="26755" xr:uid="{F49C7CF2-76D0-4FEB-8805-E06C04868C53}"/>
    <cellStyle name="Note 2 2 2 4 7 2 2" xfId="33595" xr:uid="{8FE0F044-B183-4B46-A27B-D72285AF7D0A}"/>
    <cellStyle name="Note 2 2 2 4 7 3" xfId="28831" xr:uid="{B2224180-8621-4D65-A4AC-F732F2880B67}"/>
    <cellStyle name="Note 2 2 2 4 7 3 2" xfId="35676" xr:uid="{55EFA32D-EB95-4E65-8CD3-1F1AD98592CB}"/>
    <cellStyle name="Note 2 2 2 4 7 4" xfId="30913" xr:uid="{81A4642D-38A9-4F0D-AC8A-AD46F9EFB63E}"/>
    <cellStyle name="Note 2 2 2 4 8" xfId="25330" xr:uid="{51DEAB1B-FF95-4B2A-866C-D11C9D5197F3}"/>
    <cellStyle name="Note 2 2 2 4 8 2" xfId="27999" xr:uid="{C45FF0DE-BB7B-45B9-9203-BA82327E2D2E}"/>
    <cellStyle name="Note 2 2 2 4 8 2 2" xfId="34844" xr:uid="{ED0AE889-BA64-4E90-A980-6B0D2614736F}"/>
    <cellStyle name="Note 2 2 2 4 8 3" xfId="30080" xr:uid="{DE1E7889-3938-4677-A0D6-CA491057FCCA}"/>
    <cellStyle name="Note 2 2 2 4 8 3 2" xfId="36925" xr:uid="{4EA27EDB-1A8C-4007-8D1B-84632202DC31}"/>
    <cellStyle name="Note 2 2 2 4 8 4" xfId="32162" xr:uid="{B8EEC055-D759-4996-A722-4ED35D47B00F}"/>
    <cellStyle name="Note 2 2 2 4 9" xfId="23803" xr:uid="{8A270CF5-F8B5-4CF7-A4D1-325CE7910174}"/>
    <cellStyle name="Note 2 2 2 4 9 2" xfId="26417" xr:uid="{6AC8B267-8C8D-400D-AA9E-83ACC4CB7BA6}"/>
    <cellStyle name="Note 2 2 2 4 9 2 2" xfId="33257" xr:uid="{4596CE00-C648-41A7-AC20-B470D071A5E8}"/>
    <cellStyle name="Note 2 2 2 4 9 3" xfId="26265" xr:uid="{C693C0B7-8C79-4448-9841-65E994D5EA7A}"/>
    <cellStyle name="Note 2 2 2 4 9 3 2" xfId="33093" xr:uid="{8DEAB7CF-3B4F-49CE-B944-0A19FE059D38}"/>
    <cellStyle name="Note 2 2 2 4 9 4" xfId="23387" xr:uid="{B23460F2-41F1-4341-AD39-C3EBCB4B1DA4}"/>
    <cellStyle name="Note 2 2 2 5" xfId="4847" xr:uid="{00000000-0005-0000-0000-000012130000}"/>
    <cellStyle name="Note 2 2 2 5 10" xfId="20645" xr:uid="{B2DDCFE0-3794-4907-A126-3724AC098455}"/>
    <cellStyle name="Note 2 2 2 5 11" xfId="19799" xr:uid="{5C8A9C83-715D-47F2-9CBA-B19364EE91F6}"/>
    <cellStyle name="Note 2 2 2 5 12" xfId="22788" xr:uid="{8A21A11E-E354-48DC-B353-C27B42974D0C}"/>
    <cellStyle name="Note 2 2 2 5 13" xfId="20415" xr:uid="{44C17103-BFBA-4B65-9E59-239D8DB84F01}"/>
    <cellStyle name="Note 2 2 2 5 14" xfId="22923" xr:uid="{CE148259-E7C3-4378-AD73-92C208B3858E}"/>
    <cellStyle name="Note 2 2 2 5 15" xfId="22873" xr:uid="{370E721E-0E30-4F4A-8438-0885975D0ECF}"/>
    <cellStyle name="Note 2 2 2 5 16" xfId="18745" xr:uid="{3E2E921B-2B32-4B6D-9594-A8C7BA4E02E5}"/>
    <cellStyle name="Note 2 2 2 5 17" xfId="23708" xr:uid="{B3A2C6E5-B74A-4EA4-946B-592DC1482C63}"/>
    <cellStyle name="Note 2 2 2 5 18" xfId="16213" xr:uid="{707D697E-20F6-4627-B598-46C800EFE7E1}"/>
    <cellStyle name="Note 2 2 2 5 19" xfId="38884" xr:uid="{A29D4F12-74E0-45D4-B01E-D16F6E16878F}"/>
    <cellStyle name="Note 2 2 2 5 2" xfId="10371" xr:uid="{00000000-0005-0000-0000-00005F200000}"/>
    <cellStyle name="Note 2 2 2 5 2 2" xfId="19794" xr:uid="{78DB7F47-6688-493A-8BD1-6D43D4AA5D88}"/>
    <cellStyle name="Note 2 2 2 5 2 3" xfId="42860" xr:uid="{E372D35E-713F-4910-A2BA-79B28BEDF3CA}"/>
    <cellStyle name="Note 2 2 2 5 3" xfId="9331" xr:uid="{00000000-0005-0000-0000-0000CE230000}"/>
    <cellStyle name="Note 2 2 2 5 3 2" xfId="20521" xr:uid="{63F2D1A7-18C8-4CD9-8626-AD918F81CFA7}"/>
    <cellStyle name="Note 2 2 2 5 3 3" xfId="41852" xr:uid="{66ED26C1-8715-41B6-8A6D-418AB3E85623}"/>
    <cellStyle name="Note 2 2 2 5 3 4" xfId="37718" xr:uid="{878A2C37-E16D-4BDF-A12B-487053080DDC}"/>
    <cellStyle name="Note 2 2 2 5 3 5" xfId="47769" xr:uid="{35070F13-3EC5-4B0B-8E9B-4728EF118FCE}"/>
    <cellStyle name="Note 2 2 2 5 3 6" xfId="48174" xr:uid="{28718DDA-C8CC-4BDA-93BD-1861A1735FEB}"/>
    <cellStyle name="Note 2 2 2 5 3 7" xfId="15922" xr:uid="{84D94DE2-1EA8-42CA-B945-575CD3ED25D1}"/>
    <cellStyle name="Note 2 2 2 5 4" xfId="21965" xr:uid="{35DDF3BC-2A59-468A-A882-D51EB7FC360F}"/>
    <cellStyle name="Note 2 2 2 5 5" xfId="20812" xr:uid="{E5A96A8E-8340-40A3-A88B-40339267BEF8}"/>
    <cellStyle name="Note 2 2 2 5 6" xfId="20243" xr:uid="{AEDA26C2-0D69-4975-AFED-9854DB69FB34}"/>
    <cellStyle name="Note 2 2 2 5 7" xfId="21758" xr:uid="{4FA9A98C-21FF-482C-B40E-95A208CF48BB}"/>
    <cellStyle name="Note 2 2 2 5 8" xfId="20873" xr:uid="{82903DF1-14A3-4FED-BF9E-40FDEACA6664}"/>
    <cellStyle name="Note 2 2 2 5 9" xfId="22542" xr:uid="{C071C7DE-2963-4AC9-A6A7-0A035ABFE21B}"/>
    <cellStyle name="Note 2 2 2 6" xfId="4848" xr:uid="{00000000-0005-0000-0000-000013130000}"/>
    <cellStyle name="Note 2 2 2 6 10" xfId="20071" xr:uid="{B8E55F20-04E0-48F7-8E95-387BFB291D61}"/>
    <cellStyle name="Note 2 2 2 6 11" xfId="20314" xr:uid="{0A2073A9-A3E4-4703-B7A6-F8B52913E779}"/>
    <cellStyle name="Note 2 2 2 6 12" xfId="22419" xr:uid="{90380427-9F5D-4387-83EE-74A51726A62E}"/>
    <cellStyle name="Note 2 2 2 6 13" xfId="21381" xr:uid="{EE7B4715-01E8-4F1E-885B-FB14B996CAD9}"/>
    <cellStyle name="Note 2 2 2 6 14" xfId="20839" xr:uid="{6D68AD44-AF05-4A12-A726-350CD04E0853}"/>
    <cellStyle name="Note 2 2 2 6 15" xfId="22085" xr:uid="{26CE05B5-EC58-4EC9-9460-B485E2B41BD5}"/>
    <cellStyle name="Note 2 2 2 6 16" xfId="18191" xr:uid="{935A60DC-62B8-42FD-AD2E-81C710B4D6B7}"/>
    <cellStyle name="Note 2 2 2 6 17" xfId="31307" xr:uid="{6040BDEA-7AB0-40FB-9EF8-F6DD0F9E1558}"/>
    <cellStyle name="Note 2 2 2 6 18" xfId="17355" xr:uid="{E579F909-96A5-46DA-8D9D-5AA1E152A764}"/>
    <cellStyle name="Note 2 2 2 6 19" xfId="38885" xr:uid="{14FA1B23-0356-4CF0-B1E8-415E23F1CA76}"/>
    <cellStyle name="Note 2 2 2 6 2" xfId="10372" xr:uid="{00000000-0005-0000-0000-000060200000}"/>
    <cellStyle name="Note 2 2 2 6 2 2" xfId="27148" xr:uid="{25AB45E3-E287-4092-82F0-889CB849F9EB}"/>
    <cellStyle name="Note 2 2 2 6 2 3" xfId="33989" xr:uid="{7414FBFC-3988-4A4F-921B-166E7FBF33E9}"/>
    <cellStyle name="Note 2 2 2 6 2 4" xfId="21465" xr:uid="{ADF2C576-FE0D-4BD2-A4C8-6E0E7A315652}"/>
    <cellStyle name="Note 2 2 2 6 2 5" xfId="42861" xr:uid="{7D9CD83E-1A7D-435E-913F-3C609121EE35}"/>
    <cellStyle name="Note 2 2 2 6 3" xfId="21256" xr:uid="{6A8CF733-FBC3-4410-AFF4-BCCCE0B642F3}"/>
    <cellStyle name="Note 2 2 2 6 3 2" xfId="29225" xr:uid="{B3E43805-72B1-4D1F-BFF9-733A20AC085B}"/>
    <cellStyle name="Note 2 2 2 6 3 3" xfId="36070" xr:uid="{6BB3FF88-09F7-4093-BB40-ADBA859C9A32}"/>
    <cellStyle name="Note 2 2 2 6 4" xfId="21619" xr:uid="{B966D869-5BE8-4F04-AA63-2A68506C131C}"/>
    <cellStyle name="Note 2 2 2 6 5" xfId="20836" xr:uid="{FBC4E8E7-EA4A-4DA8-9E21-B088E1716120}"/>
    <cellStyle name="Note 2 2 2 6 6" xfId="22070" xr:uid="{566E62C3-ACB7-4EC6-B0F3-4D197985BDB0}"/>
    <cellStyle name="Note 2 2 2 6 7" xfId="20935" xr:uid="{B6062AF1-AA1C-4BC6-A578-58FDEA6A0202}"/>
    <cellStyle name="Note 2 2 2 6 8" xfId="20560" xr:uid="{B627A6AF-128B-45CA-97EF-80F4208183D8}"/>
    <cellStyle name="Note 2 2 2 6 9" xfId="22226" xr:uid="{FCA4DF8A-F2E9-4B97-9186-2F0EABA5C4E3}"/>
    <cellStyle name="Note 2 2 2 7" xfId="10366" xr:uid="{00000000-0005-0000-0000-00005A200000}"/>
    <cellStyle name="Note 2 2 2 7 2" xfId="27479" xr:uid="{25864104-E90D-49DF-908F-5A581944CCA0}"/>
    <cellStyle name="Note 2 2 2 7 2 2" xfId="34323" xr:uid="{0E63B2E5-75AC-44B9-9DAC-ECBFD73E2FC5}"/>
    <cellStyle name="Note 2 2 2 7 3" xfId="29559" xr:uid="{E9F92090-FE36-44D7-8317-B8E46F0C6F67}"/>
    <cellStyle name="Note 2 2 2 7 3 2" xfId="36404" xr:uid="{F4750961-0FC1-4DD8-8FCB-ABEF99B6C57D}"/>
    <cellStyle name="Note 2 2 2 7 4" xfId="24820" xr:uid="{3EC62EEF-B97B-411E-95F0-6F3A21EBEB58}"/>
    <cellStyle name="Note 2 2 2 7 5" xfId="31641" xr:uid="{2053D5C0-A169-41EF-8A4A-6055F438EE16}"/>
    <cellStyle name="Note 2 2 2 7 6" xfId="17434" xr:uid="{FC37C749-3D6C-4BF6-A06D-024595EFDA1F}"/>
    <cellStyle name="Note 2 2 2 7 7" xfId="42855" xr:uid="{50B5899B-946B-4DF6-A91C-87AB670156D6}"/>
    <cellStyle name="Note 2 2 2 8" xfId="8122" xr:uid="{00000000-0005-0000-0000-0000750F0000}"/>
    <cellStyle name="Note 2 2 2 8 2" xfId="27484" xr:uid="{98C08EAA-67E8-4757-927A-DDF72EF073FD}"/>
    <cellStyle name="Note 2 2 2 8 2 2" xfId="34328" xr:uid="{A6410183-A4F2-4E9B-90F6-2EEB738DA455}"/>
    <cellStyle name="Note 2 2 2 8 3" xfId="29564" xr:uid="{B6739131-5EB1-4A8F-A83C-7C65C5F756D6}"/>
    <cellStyle name="Note 2 2 2 8 3 2" xfId="36409" xr:uid="{A062787A-8131-4150-992D-433502D5FC26}"/>
    <cellStyle name="Note 2 2 2 8 4" xfId="31646" xr:uid="{EEF9F0B7-7EED-4A71-88B5-23B6D316133F}"/>
    <cellStyle name="Note 2 2 2 8 5" xfId="24825" xr:uid="{397649C0-8E70-476D-81F6-08C812AA7F73}"/>
    <cellStyle name="Note 2 2 2 9" xfId="24391" xr:uid="{842475A4-12DB-4C7F-BED6-2E146E326443}"/>
    <cellStyle name="Note 2 2 2 9 2" xfId="27009" xr:uid="{279787A6-7F98-4F4E-B0B2-F88195CBAAC8}"/>
    <cellStyle name="Note 2 2 2 9 2 2" xfId="33849" xr:uid="{83D5C089-CC8D-4C3B-8575-E53CF4016707}"/>
    <cellStyle name="Note 2 2 2 9 3" xfId="29085" xr:uid="{05378A7D-0CB1-447E-ABC8-60F82794A92E}"/>
    <cellStyle name="Note 2 2 2 9 3 2" xfId="35930" xr:uid="{3BF0AF81-4508-49A0-BAC3-3276F9F657D7}"/>
    <cellStyle name="Note 2 2 2 9 4" xfId="31167" xr:uid="{5D47B5CF-EC62-45C5-B1FD-FD22A309D126}"/>
    <cellStyle name="Note 2 2 20" xfId="38878" xr:uid="{10694A93-CDAF-43B0-8A24-15F7D21108E4}"/>
    <cellStyle name="Note 2 2 3" xfId="4849" xr:uid="{00000000-0005-0000-0000-000014130000}"/>
    <cellStyle name="Note 2 2 3 10" xfId="24987" xr:uid="{829760D2-E91E-4B09-AC15-BC72AA279B83}"/>
    <cellStyle name="Note 2 2 3 10 2" xfId="27657" xr:uid="{6EA95E9E-D583-4819-9031-E35D0CFBC696}"/>
    <cellStyle name="Note 2 2 3 10 2 2" xfId="34502" xr:uid="{075A3F03-48CF-465D-BF73-BB6EB95FFB9B}"/>
    <cellStyle name="Note 2 2 3 10 3" xfId="29738" xr:uid="{EBF6E717-6312-4B93-8883-4AC32E58D83A}"/>
    <cellStyle name="Note 2 2 3 10 3 2" xfId="36583" xr:uid="{2FF503A5-5F2A-4628-B3A9-FC988CCD53CE}"/>
    <cellStyle name="Note 2 2 3 10 4" xfId="31820" xr:uid="{BFDF328E-9984-47B8-A3BA-92C1A3B6EA93}"/>
    <cellStyle name="Note 2 2 3 11" xfId="24813" xr:uid="{B7E110A1-1043-4B1B-B339-D6C3C147EA91}"/>
    <cellStyle name="Note 2 2 3 11 2" xfId="27471" xr:uid="{B0936616-35B6-4909-813B-4276CCBFACD2}"/>
    <cellStyle name="Note 2 2 3 11 2 2" xfId="34315" xr:uid="{F3980D2A-B6F9-4233-B8DE-024981CB284D}"/>
    <cellStyle name="Note 2 2 3 11 3" xfId="29551" xr:uid="{318A4F2C-3347-49AE-BBEA-59CE4B5ECE06}"/>
    <cellStyle name="Note 2 2 3 11 3 2" xfId="36396" xr:uid="{1B51C674-8E70-4657-9E91-A9605E8FC1FB}"/>
    <cellStyle name="Note 2 2 3 11 4" xfId="31633" xr:uid="{D34670ED-764C-43F9-B133-2AC756D659C0}"/>
    <cellStyle name="Note 2 2 3 12" xfId="25476" xr:uid="{83DED102-AF3F-4455-B20F-959195976078}"/>
    <cellStyle name="Note 2 2 3 12 2" xfId="28143" xr:uid="{69F869D8-1ABA-43C2-8E0A-DFAA15CEA8C7}"/>
    <cellStyle name="Note 2 2 3 12 2 2" xfId="34988" xr:uid="{12E06717-2991-4356-B3EC-73CBEC5DD618}"/>
    <cellStyle name="Note 2 2 3 12 3" xfId="30224" xr:uid="{D4B3B808-1E37-4AA7-BC53-1AB96B69A657}"/>
    <cellStyle name="Note 2 2 3 12 3 2" xfId="37069" xr:uid="{E218F54E-1BCF-4201-ABF1-049AC66CB8E4}"/>
    <cellStyle name="Note 2 2 3 12 4" xfId="32306" xr:uid="{81594DB1-089D-4B8D-A3D5-60606176299A}"/>
    <cellStyle name="Note 2 2 3 13" xfId="25608" xr:uid="{0DEB8723-2E63-42DB-A59B-2E509D6537B4}"/>
    <cellStyle name="Note 2 2 3 13 2" xfId="28275" xr:uid="{E3664D83-3016-404E-A6DF-B1EE9C7B117B}"/>
    <cellStyle name="Note 2 2 3 13 2 2" xfId="35120" xr:uid="{7DB10A24-0613-4561-93A7-9DE41047DC59}"/>
    <cellStyle name="Note 2 2 3 13 3" xfId="30356" xr:uid="{7B34FAA8-543D-47BE-8F90-E6954C693CBC}"/>
    <cellStyle name="Note 2 2 3 13 3 2" xfId="37201" xr:uid="{6F18CAFA-5014-4DEC-8624-3BE03DDD0269}"/>
    <cellStyle name="Note 2 2 3 13 4" xfId="32438" xr:uid="{75A11487-A495-4169-85FA-6A4D46DFFA68}"/>
    <cellStyle name="Note 2 2 3 14" xfId="25478" xr:uid="{83B1700B-B413-4AB3-B422-7DEEDBC5E58A}"/>
    <cellStyle name="Note 2 2 3 14 2" xfId="28145" xr:uid="{F5DF6435-EC6A-4EF6-809E-5BEF625A79E7}"/>
    <cellStyle name="Note 2 2 3 14 2 2" xfId="34990" xr:uid="{8A6A09C0-4886-4430-A2F8-CEAF97564705}"/>
    <cellStyle name="Note 2 2 3 14 3" xfId="30226" xr:uid="{79784E3C-8BCB-4A20-B8D5-9F6E99933EB3}"/>
    <cellStyle name="Note 2 2 3 14 3 2" xfId="37071" xr:uid="{520C44FD-7188-4E3E-9BE2-97DC46CF9106}"/>
    <cellStyle name="Note 2 2 3 14 4" xfId="32308" xr:uid="{9836CC90-E3F6-4C96-AD21-7C3C5B3A7961}"/>
    <cellStyle name="Note 2 2 3 15" xfId="24836" xr:uid="{0D53863B-F482-48B4-B2B7-74E603931517}"/>
    <cellStyle name="Note 2 2 3 15 2" xfId="27496" xr:uid="{D10F8300-98BA-46CE-B44E-2A17222DA1F1}"/>
    <cellStyle name="Note 2 2 3 15 2 2" xfId="34340" xr:uid="{EEBBB5AF-7722-4F4D-94C3-74E62519D881}"/>
    <cellStyle name="Note 2 2 3 15 3" xfId="29576" xr:uid="{8FB5D07C-14BC-4C5F-BDFA-5942CC7C7948}"/>
    <cellStyle name="Note 2 2 3 15 3 2" xfId="36421" xr:uid="{1853CE68-7769-41D3-A9C2-D99B5B002D38}"/>
    <cellStyle name="Note 2 2 3 15 4" xfId="31658" xr:uid="{47F484B9-633D-4380-9F63-E527C4FA02BB}"/>
    <cellStyle name="Note 2 2 3 16" xfId="25579" xr:uid="{4D507AB5-AE17-489E-B007-6547C25E94E8}"/>
    <cellStyle name="Note 2 2 3 16 2" xfId="28246" xr:uid="{5C741AEF-2888-43F3-82A4-9733CCA9B68F}"/>
    <cellStyle name="Note 2 2 3 16 2 2" xfId="35091" xr:uid="{5DB60806-1A67-41E7-9934-A98DC2B34316}"/>
    <cellStyle name="Note 2 2 3 16 3" xfId="30327" xr:uid="{6E8D744A-27A1-4CC6-B837-17B6DC917AEA}"/>
    <cellStyle name="Note 2 2 3 16 3 2" xfId="37172" xr:uid="{97B07C4B-884E-417D-ADF5-4E1B87DF6FB6}"/>
    <cellStyle name="Note 2 2 3 16 4" xfId="32409" xr:uid="{CAE755F6-CB61-4581-BD3D-6E4CC4E30709}"/>
    <cellStyle name="Note 2 2 3 17" xfId="25857" xr:uid="{718BA6A8-F609-4F27-BB8B-E073A7BC6C25}"/>
    <cellStyle name="Note 2 2 3 17 2" xfId="28523" xr:uid="{AE5877C0-F608-4129-949E-441678C4B61B}"/>
    <cellStyle name="Note 2 2 3 17 2 2" xfId="35368" xr:uid="{ADAC3795-3276-4E0A-B429-2D3E091117EA}"/>
    <cellStyle name="Note 2 2 3 17 3" xfId="30604" xr:uid="{56BE927E-11A3-4A93-A9E9-549719B3DD7A}"/>
    <cellStyle name="Note 2 2 3 17 3 2" xfId="37449" xr:uid="{A4CC7EFB-32CF-4B09-9140-CF7357D8FF4C}"/>
    <cellStyle name="Note 2 2 3 17 4" xfId="32686" xr:uid="{F0FF0E09-66F5-413B-A39F-6B73D2630212}"/>
    <cellStyle name="Note 2 2 3 18" xfId="23666" xr:uid="{DC234138-5DAA-4E42-9519-A8F5FF8BABCA}"/>
    <cellStyle name="Note 2 2 3 19" xfId="38886" xr:uid="{D621E0AE-D3DF-4930-884E-9760D80DDD1D}"/>
    <cellStyle name="Note 2 2 3 2" xfId="10373" xr:uid="{00000000-0005-0000-0000-000061200000}"/>
    <cellStyle name="Note 2 2 3 2 10" xfId="25558" xr:uid="{C3626DDD-28D6-45D9-9190-E70BE8A9D98A}"/>
    <cellStyle name="Note 2 2 3 2 10 2" xfId="28225" xr:uid="{0CE8776F-74C2-4B3E-BE44-DF0558C26D4C}"/>
    <cellStyle name="Note 2 2 3 2 10 2 2" xfId="35070" xr:uid="{A314186E-16B8-4C0E-8D55-46772B961645}"/>
    <cellStyle name="Note 2 2 3 2 10 3" xfId="30306" xr:uid="{5689710A-3ACB-419B-AAA2-637DD79E6F15}"/>
    <cellStyle name="Note 2 2 3 2 10 3 2" xfId="37151" xr:uid="{0BBC5F55-478B-40E1-A788-0B08A05AB5C0}"/>
    <cellStyle name="Note 2 2 3 2 10 4" xfId="32388" xr:uid="{98DB71DE-AF23-47B1-A302-523079AA46C5}"/>
    <cellStyle name="Note 2 2 3 2 11" xfId="25442" xr:uid="{312A32A5-458C-4F73-8E89-48F295A4FAE4}"/>
    <cellStyle name="Note 2 2 3 2 11 2" xfId="28109" xr:uid="{835CD8F5-EB38-4131-9C8E-3DAA743FD88B}"/>
    <cellStyle name="Note 2 2 3 2 11 2 2" xfId="34954" xr:uid="{9752F3FE-547B-4762-96D8-B45045CE2801}"/>
    <cellStyle name="Note 2 2 3 2 11 3" xfId="30190" xr:uid="{5C3A4198-DD46-4C30-8977-8B5EE4998ECA}"/>
    <cellStyle name="Note 2 2 3 2 11 3 2" xfId="37035" xr:uid="{3E5D60C2-48FA-44B4-99EC-C21C03D118D6}"/>
    <cellStyle name="Note 2 2 3 2 11 4" xfId="32272" xr:uid="{11F5351D-537E-457D-90A9-AD7FA6E112BD}"/>
    <cellStyle name="Note 2 2 3 2 12" xfId="25601" xr:uid="{4AB29E66-C89B-4B7E-82C2-8F80A3E6DAE1}"/>
    <cellStyle name="Note 2 2 3 2 12 2" xfId="28268" xr:uid="{14128590-0461-4E0F-A385-826CF1A4973C}"/>
    <cellStyle name="Note 2 2 3 2 12 2 2" xfId="35113" xr:uid="{CDB4F422-03E4-45BE-A19B-D953E9920237}"/>
    <cellStyle name="Note 2 2 3 2 12 3" xfId="30349" xr:uid="{21DA1AA5-2D57-4AA5-B667-1E90578F5E87}"/>
    <cellStyle name="Note 2 2 3 2 12 3 2" xfId="37194" xr:uid="{6A3F757B-0471-405D-A5E8-53C23F7F09B1}"/>
    <cellStyle name="Note 2 2 3 2 12 4" xfId="32431" xr:uid="{5CC67D11-6E0A-40A8-B90B-4AA2865F315F}"/>
    <cellStyle name="Note 2 2 3 2 13" xfId="25559" xr:uid="{73852175-B440-4946-8CB9-2AEA92497B66}"/>
    <cellStyle name="Note 2 2 3 2 13 2" xfId="28226" xr:uid="{B6E281FF-8485-49DD-97C4-E551A287BF79}"/>
    <cellStyle name="Note 2 2 3 2 13 2 2" xfId="35071" xr:uid="{537788DC-3547-41ED-952A-066EEFF390EB}"/>
    <cellStyle name="Note 2 2 3 2 13 3" xfId="30307" xr:uid="{D806499C-E751-4908-82D2-8F6CB7E76866}"/>
    <cellStyle name="Note 2 2 3 2 13 3 2" xfId="37152" xr:uid="{FC7BF55E-501D-4AA2-B781-61AA4929F0A5}"/>
    <cellStyle name="Note 2 2 3 2 13 4" xfId="32389" xr:uid="{19541BD8-01F8-4EB9-A34C-641ABFB75D6E}"/>
    <cellStyle name="Note 2 2 3 2 14" xfId="24432" xr:uid="{DEB458D2-9DFE-46F4-A6A8-30D22B5B86BB}"/>
    <cellStyle name="Note 2 2 3 2 14 2" xfId="27052" xr:uid="{5DAFAA11-838C-462A-B2A0-137FE6DDE5C6}"/>
    <cellStyle name="Note 2 2 3 2 14 2 2" xfId="33892" xr:uid="{E211A226-450A-4150-904A-EDDC7FCE18D0}"/>
    <cellStyle name="Note 2 2 3 2 14 3" xfId="29128" xr:uid="{F4C3B46A-A810-45A7-AF7E-47CE07C4A09C}"/>
    <cellStyle name="Note 2 2 3 2 14 3 2" xfId="35973" xr:uid="{05D133B6-C421-440E-8FBA-950ED6D266FF}"/>
    <cellStyle name="Note 2 2 3 2 14 4" xfId="31210" xr:uid="{875AC95F-C8DA-4E22-B9E3-9A6999274909}"/>
    <cellStyle name="Note 2 2 3 2 15" xfId="25986" xr:uid="{D4641440-542B-4604-9660-8C7E89CED3E8}"/>
    <cellStyle name="Note 2 2 3 2 15 2" xfId="28652" xr:uid="{AF72465D-4E1B-4709-AA18-CE77AB86F6AD}"/>
    <cellStyle name="Note 2 2 3 2 15 2 2" xfId="35497" xr:uid="{7503C79E-ADB5-4DA5-8DA7-3E95D9360C8E}"/>
    <cellStyle name="Note 2 2 3 2 15 3" xfId="30733" xr:uid="{34BB0EF0-2411-498B-BB88-14E468B6E06B}"/>
    <cellStyle name="Note 2 2 3 2 15 3 2" xfId="37578" xr:uid="{781A6B0F-CF3F-4397-8C6E-C86364C19BC6}"/>
    <cellStyle name="Note 2 2 3 2 15 4" xfId="32815" xr:uid="{3486ABAB-EB50-42B9-8EF4-8FA91C138DAB}"/>
    <cellStyle name="Note 2 2 3 2 16" xfId="23640" xr:uid="{84F6D222-1BBC-47F2-8FA1-107EF84A3839}"/>
    <cellStyle name="Note 2 2 3 2 17" xfId="17562" xr:uid="{E23E6777-A172-427F-9FD4-3A67B000D958}"/>
    <cellStyle name="Note 2 2 3 2 18" xfId="42862" xr:uid="{19F9BFD6-7FD9-408A-8867-81105CDCEA2E}"/>
    <cellStyle name="Note 2 2 3 2 2" xfId="17833" xr:uid="{DFE0F732-4817-4F9E-B3BF-42376C9E4768}"/>
    <cellStyle name="Note 2 2 3 2 2 10" xfId="25441" xr:uid="{5410437A-B60C-4D85-B7B9-09D5CCB56B95}"/>
    <cellStyle name="Note 2 2 3 2 2 10 2" xfId="28108" xr:uid="{360268D4-800B-413E-80E2-5DD1D21D955B}"/>
    <cellStyle name="Note 2 2 3 2 2 10 2 2" xfId="34953" xr:uid="{75EE0654-52DD-44CD-AC10-5A32843CBB51}"/>
    <cellStyle name="Note 2 2 3 2 2 10 3" xfId="30189" xr:uid="{47C265AB-4094-4745-8477-503EFF4D249A}"/>
    <cellStyle name="Note 2 2 3 2 2 10 3 2" xfId="37034" xr:uid="{E1432DAA-08E1-4E41-8673-9A29E8A63837}"/>
    <cellStyle name="Note 2 2 3 2 2 10 4" xfId="32271" xr:uid="{CD99E403-774C-4EC8-ABEE-A92BE45F66EB}"/>
    <cellStyle name="Note 2 2 3 2 2 11" xfId="25657" xr:uid="{2973DECB-A54A-469F-B149-66C7482349F8}"/>
    <cellStyle name="Note 2 2 3 2 2 11 2" xfId="28324" xr:uid="{338BCB7A-97E6-4F6F-BECA-F77A2593F41F}"/>
    <cellStyle name="Note 2 2 3 2 2 11 2 2" xfId="35169" xr:uid="{5A97FD05-48E2-46DF-B4F3-9378BF7383A6}"/>
    <cellStyle name="Note 2 2 3 2 2 11 3" xfId="30405" xr:uid="{D5E7B8AA-7CB6-4BCD-8817-78EE798F63DD}"/>
    <cellStyle name="Note 2 2 3 2 2 11 3 2" xfId="37250" xr:uid="{B4B00913-F403-4A77-B3EA-929AE747F9EA}"/>
    <cellStyle name="Note 2 2 3 2 2 11 4" xfId="32487" xr:uid="{B60B75B6-927D-4D2D-9B7D-3B10AEB8A0B9}"/>
    <cellStyle name="Note 2 2 3 2 2 12" xfId="25762" xr:uid="{D3D7C5E3-D31B-4B7C-944E-F53343315ECF}"/>
    <cellStyle name="Note 2 2 3 2 2 12 2" xfId="28428" xr:uid="{217BA8D1-93FC-4BD5-A381-2DA529098491}"/>
    <cellStyle name="Note 2 2 3 2 2 12 2 2" xfId="35273" xr:uid="{2A7303AF-7E18-473D-AC85-2C3DD2BB9665}"/>
    <cellStyle name="Note 2 2 3 2 2 12 3" xfId="30509" xr:uid="{C0C76E78-3949-4FB2-9416-17855FDC33AA}"/>
    <cellStyle name="Note 2 2 3 2 2 12 3 2" xfId="37354" xr:uid="{6BF56417-547C-4F61-8F61-EAA40698C53E}"/>
    <cellStyle name="Note 2 2 3 2 2 12 4" xfId="32591" xr:uid="{D4FD588C-5C56-4884-BF01-7EBF42344FE3}"/>
    <cellStyle name="Note 2 2 3 2 2 13" xfId="25839" xr:uid="{11EA7766-517D-4A33-9FB8-9CC64A6F5C62}"/>
    <cellStyle name="Note 2 2 3 2 2 13 2" xfId="28505" xr:uid="{A178EE4A-4772-42CF-B8B4-48A6E1C9992D}"/>
    <cellStyle name="Note 2 2 3 2 2 13 2 2" xfId="35350" xr:uid="{5E64CC09-CD06-4FFF-84FD-599D2E70F2EF}"/>
    <cellStyle name="Note 2 2 3 2 2 13 3" xfId="30586" xr:uid="{6DD18CEA-3BF8-4654-A203-AEB245DB993B}"/>
    <cellStyle name="Note 2 2 3 2 2 13 3 2" xfId="37431" xr:uid="{ED230C31-C496-4934-9D05-D458A7508AFB}"/>
    <cellStyle name="Note 2 2 3 2 2 13 4" xfId="32668" xr:uid="{FC09BF9D-5152-4DDE-85AB-FC6FA8166A3E}"/>
    <cellStyle name="Note 2 2 3 2 2 14" xfId="25796" xr:uid="{FBFA4CD7-F899-4A05-851B-BB136EA7944B}"/>
    <cellStyle name="Note 2 2 3 2 2 14 2" xfId="28462" xr:uid="{D8B4DE5D-1721-4074-8FB4-32A6D82F7DE1}"/>
    <cellStyle name="Note 2 2 3 2 2 14 2 2" xfId="35307" xr:uid="{1A984723-1F9F-4DC3-B4EE-C7A5392BAD8F}"/>
    <cellStyle name="Note 2 2 3 2 2 14 3" xfId="30543" xr:uid="{15192A09-97D7-4A3A-9FF2-D7579E968C53}"/>
    <cellStyle name="Note 2 2 3 2 2 14 3 2" xfId="37388" xr:uid="{3223AEE4-23A9-44B5-89AA-3BBA7E6D6AD9}"/>
    <cellStyle name="Note 2 2 3 2 2 14 4" xfId="32625" xr:uid="{EA32DA87-2AB7-4493-B63E-DBBF4519B569}"/>
    <cellStyle name="Note 2 2 3 2 2 15" xfId="25967" xr:uid="{3BBB3763-E64E-4D56-A9C6-1E7BFC5F89D3}"/>
    <cellStyle name="Note 2 2 3 2 2 15 2" xfId="28633" xr:uid="{1F9520A5-3982-4386-BD24-6F6EB85C9BCB}"/>
    <cellStyle name="Note 2 2 3 2 2 15 2 2" xfId="35478" xr:uid="{41E8BF54-3FB6-45E2-A053-484E52BC66ED}"/>
    <cellStyle name="Note 2 2 3 2 2 15 3" xfId="30714" xr:uid="{84C2AE46-3770-48CB-8F91-DDEF4EF85962}"/>
    <cellStyle name="Note 2 2 3 2 2 15 3 2" xfId="37559" xr:uid="{71210EF2-C0BB-452B-808A-1B56998A3292}"/>
    <cellStyle name="Note 2 2 3 2 2 15 4" xfId="32796" xr:uid="{E51696A2-81DB-4137-B751-CE2B74315135}"/>
    <cellStyle name="Note 2 2 3 2 2 16" xfId="26021" xr:uid="{1F9CA282-06B9-4B2F-941C-149C5430381B}"/>
    <cellStyle name="Note 2 2 3 2 2 16 2" xfId="28687" xr:uid="{A653E34F-E69D-4657-8E40-884CDEA284E9}"/>
    <cellStyle name="Note 2 2 3 2 2 16 2 2" xfId="35532" xr:uid="{CA38097D-AB55-4AE4-84D8-F7D585C76655}"/>
    <cellStyle name="Note 2 2 3 2 2 16 3" xfId="30768" xr:uid="{808A4598-2ADE-4432-9A7E-E02DADB6C57D}"/>
    <cellStyle name="Note 2 2 3 2 2 16 3 2" xfId="37613" xr:uid="{A19918F0-60B7-4C4C-B06B-B084D0897822}"/>
    <cellStyle name="Note 2 2 3 2 2 16 4" xfId="32850" xr:uid="{8A5FF7DA-8B91-488A-A7D0-E97455857CF7}"/>
    <cellStyle name="Note 2 2 3 2 2 17" xfId="23046" xr:uid="{F1E07EDA-68EA-4B82-AA48-3C4C5BB0C6F0}"/>
    <cellStyle name="Note 2 2 3 2 2 2" xfId="18440" xr:uid="{3253FEB0-C946-408C-BED6-6688098A5271}"/>
    <cellStyle name="Note 2 2 3 2 2 2 10" xfId="19603" xr:uid="{526821B3-F022-4038-B92F-1A5F68975480}"/>
    <cellStyle name="Note 2 2 3 2 2 2 11" xfId="21533" xr:uid="{7C7DEA60-8CB8-4B67-A062-F862D65A8957}"/>
    <cellStyle name="Note 2 2 3 2 2 2 12" xfId="22467" xr:uid="{B9F46AD6-90E6-4CBF-8B95-1B0A991C51CB}"/>
    <cellStyle name="Note 2 2 3 2 2 2 13" xfId="21666" xr:uid="{2DA95853-4C59-4DA3-B952-7DB6DA645185}"/>
    <cellStyle name="Note 2 2 3 2 2 2 14" xfId="22382" xr:uid="{9A5A1FB7-8695-49DC-B1E3-C5F5CD9FC2A3}"/>
    <cellStyle name="Note 2 2 3 2 2 2 15" xfId="22703" xr:uid="{99AD9164-EA84-4F75-867C-276A4F2B5018}"/>
    <cellStyle name="Note 2 2 3 2 2 2 16" xfId="31503" xr:uid="{3157D8C1-B15D-40C4-BF6C-ED84E3A42FCE}"/>
    <cellStyle name="Note 2 2 3 2 2 2 2" xfId="19933" xr:uid="{178E2972-2D9A-4D45-9A9D-7D74CA557602}"/>
    <cellStyle name="Note 2 2 3 2 2 2 2 2" xfId="27341" xr:uid="{1EF537CB-1B20-4A4D-89C1-610A705C3C4A}"/>
    <cellStyle name="Note 2 2 3 2 2 2 2 3" xfId="34185" xr:uid="{8EA7D60E-7C64-4E31-A187-C693AC65A9BA}"/>
    <cellStyle name="Note 2 2 3 2 2 2 3" xfId="21081" xr:uid="{EF3FB6FB-CE3A-490F-A8A3-32569E112A54}"/>
    <cellStyle name="Note 2 2 3 2 2 2 3 2" xfId="29421" xr:uid="{D33498D4-3F56-4EAF-8D72-8C239CDDAD8D}"/>
    <cellStyle name="Note 2 2 3 2 2 2 3 3" xfId="36266" xr:uid="{B9EB6B5B-2E4F-43EC-A4F2-465327867356}"/>
    <cellStyle name="Note 2 2 3 2 2 2 4" xfId="18909" xr:uid="{5D6581E8-D9F6-457D-A765-7D5D22603B6F}"/>
    <cellStyle name="Note 2 2 3 2 2 2 5" xfId="20038" xr:uid="{D90C56A9-E321-4C6E-BCC7-86FB06B90E2A}"/>
    <cellStyle name="Note 2 2 3 2 2 2 6" xfId="19826" xr:uid="{0891D214-1237-4218-9AD2-11C301961F0A}"/>
    <cellStyle name="Note 2 2 3 2 2 2 7" xfId="19508" xr:uid="{0D380CDF-971D-48C7-B212-8826A68996F6}"/>
    <cellStyle name="Note 2 2 3 2 2 2 8" xfId="19532" xr:uid="{B98AFA6E-4BFF-4EA4-BAE0-7AB012C99DD6}"/>
    <cellStyle name="Note 2 2 3 2 2 2 9" xfId="21489" xr:uid="{EF250951-4B59-467E-95ED-5FC20683492B}"/>
    <cellStyle name="Note 2 2 3 2 2 3" xfId="24885" xr:uid="{4BBD6E01-69BB-42FF-9961-921D4643CA20}"/>
    <cellStyle name="Note 2 2 3 2 2 3 2" xfId="27553" xr:uid="{C39E89F2-C887-40E6-89C8-2339831C27DC}"/>
    <cellStyle name="Note 2 2 3 2 2 3 2 2" xfId="34397" xr:uid="{FF6060A0-2996-48A8-B7E0-86CA8E786D59}"/>
    <cellStyle name="Note 2 2 3 2 2 3 3" xfId="29633" xr:uid="{D40EC753-1417-4C68-9809-17982B2BA6FE}"/>
    <cellStyle name="Note 2 2 3 2 2 3 3 2" xfId="36478" xr:uid="{03F0D9EC-8933-4C60-9030-FCC82AA305DF}"/>
    <cellStyle name="Note 2 2 3 2 2 3 4" xfId="31715" xr:uid="{F689248F-3124-45A2-88B6-03DB45BC60F5}"/>
    <cellStyle name="Note 2 2 3 2 2 4" xfId="23824" xr:uid="{4C083CF0-C7DA-41B1-8E13-4D7F734BA2AB}"/>
    <cellStyle name="Note 2 2 3 2 2 4 2" xfId="26443" xr:uid="{CDBE1833-B610-40D5-AD1A-31047092E33C}"/>
    <cellStyle name="Note 2 2 3 2 2 4 2 2" xfId="33283" xr:uid="{C1380EC6-1B72-4CC5-A991-B5E7C701851D}"/>
    <cellStyle name="Note 2 2 3 2 2 4 3" xfId="26239" xr:uid="{31D5EE5F-0ABA-45FE-8ED0-294FCA004EFF}"/>
    <cellStyle name="Note 2 2 3 2 2 4 3 2" xfId="33067" xr:uid="{6F23955C-964B-4020-978E-45C993DDC4B8}"/>
    <cellStyle name="Note 2 2 3 2 2 4 4" xfId="23160" xr:uid="{585D8FEF-0032-4009-8801-B532F2F91558}"/>
    <cellStyle name="Note 2 2 3 2 2 5" xfId="25113" xr:uid="{4C1BB79B-5C43-4391-9CBD-D469C82C489F}"/>
    <cellStyle name="Note 2 2 3 2 2 5 2" xfId="27785" xr:uid="{189BEDCE-1D56-433D-A2D9-D19426E653A5}"/>
    <cellStyle name="Note 2 2 3 2 2 5 2 2" xfId="34630" xr:uid="{9618E9B4-4D1E-4E16-8620-C7E14E51B050}"/>
    <cellStyle name="Note 2 2 3 2 2 5 3" xfId="29866" xr:uid="{7D0D9659-3655-47D3-A923-FC759E4FD942}"/>
    <cellStyle name="Note 2 2 3 2 2 5 3 2" xfId="36711" xr:uid="{07652A1F-538E-40AC-93E1-36D735A8531B}"/>
    <cellStyle name="Note 2 2 3 2 2 5 4" xfId="31948" xr:uid="{97874A7E-A6EB-4FAD-AB57-D6D8E2FFBA6D}"/>
    <cellStyle name="Note 2 2 3 2 2 6" xfId="23868" xr:uid="{598DA6A6-5397-4327-9386-68406977716C}"/>
    <cellStyle name="Note 2 2 3 2 2 6 2" xfId="26487" xr:uid="{9CD305D0-3995-4F23-AFDF-89AB42AEE97E}"/>
    <cellStyle name="Note 2 2 3 2 2 6 2 2" xfId="33327" xr:uid="{8C75A0D4-D520-4D08-9F9C-8A139B3E0A89}"/>
    <cellStyle name="Note 2 2 3 2 2 6 3" xfId="26196" xr:uid="{051C42E9-710E-4AEC-85F7-99D8F5B02496}"/>
    <cellStyle name="Note 2 2 3 2 2 6 3 2" xfId="33024" xr:uid="{49480C22-FB25-4015-97CC-DEF98DF3403A}"/>
    <cellStyle name="Note 2 2 3 2 2 6 4" xfId="23319" xr:uid="{356C55FE-8C1B-439D-A25A-9631244154E7}"/>
    <cellStyle name="Note 2 2 3 2 2 7" xfId="25258" xr:uid="{AC383027-90F9-4691-982C-96F4BB82C977}"/>
    <cellStyle name="Note 2 2 3 2 2 7 2" xfId="27929" xr:uid="{B5F83BE5-F5FD-4AAB-97C0-E07154B889C3}"/>
    <cellStyle name="Note 2 2 3 2 2 7 2 2" xfId="34774" xr:uid="{053F51F4-AF92-456C-B76F-8916296D3B90}"/>
    <cellStyle name="Note 2 2 3 2 2 7 3" xfId="30010" xr:uid="{A5BB695F-7467-4D5A-B30D-4779E52020B8}"/>
    <cellStyle name="Note 2 2 3 2 2 7 3 2" xfId="36855" xr:uid="{98718F57-0F65-4028-850B-3019CA535028}"/>
    <cellStyle name="Note 2 2 3 2 2 7 4" xfId="32092" xr:uid="{EA6F5C0F-562F-4758-BCA9-183C31C3637A}"/>
    <cellStyle name="Note 2 2 3 2 2 8" xfId="25037" xr:uid="{5B847E31-ECA3-4543-85AC-682C23F4DDC3}"/>
    <cellStyle name="Note 2 2 3 2 2 8 2" xfId="27710" xr:uid="{8E4F1892-9339-44B1-905C-A497C1DE0DB1}"/>
    <cellStyle name="Note 2 2 3 2 2 8 2 2" xfId="34555" xr:uid="{C7082D38-C0D5-4690-BDDC-F596EAEAEA65}"/>
    <cellStyle name="Note 2 2 3 2 2 8 3" xfId="29791" xr:uid="{00B1647E-44A0-4425-B468-D79A41632C3E}"/>
    <cellStyle name="Note 2 2 3 2 2 8 3 2" xfId="36636" xr:uid="{1257E620-240E-4181-B796-F27D03CEEC91}"/>
    <cellStyle name="Note 2 2 3 2 2 8 4" xfId="31873" xr:uid="{DAE1AD30-FD83-435C-AE8E-4B244DA43B08}"/>
    <cellStyle name="Note 2 2 3 2 2 9" xfId="25467" xr:uid="{261E28FC-074F-4372-99D7-7D9B5EC87FDA}"/>
    <cellStyle name="Note 2 2 3 2 2 9 2" xfId="28134" xr:uid="{97E52541-039E-4994-9D5E-1E2DC7B09EE9}"/>
    <cellStyle name="Note 2 2 3 2 2 9 2 2" xfId="34979" xr:uid="{D43247B3-6600-4787-9A7E-EDD700E09C3B}"/>
    <cellStyle name="Note 2 2 3 2 2 9 3" xfId="30215" xr:uid="{E809CB72-0142-4D30-A3B9-AA6B270BF01D}"/>
    <cellStyle name="Note 2 2 3 2 2 9 3 2" xfId="37060" xr:uid="{C6199682-A7DB-4DC2-AD6B-354293BCB70D}"/>
    <cellStyle name="Note 2 2 3 2 2 9 4" xfId="32297" xr:uid="{0B277FE0-7136-44F8-A8FE-2D8F2CAB8CA1}"/>
    <cellStyle name="Note 2 2 3 2 3" xfId="18615" xr:uid="{2250642E-2B84-4D4B-8475-118115A52680}"/>
    <cellStyle name="Note 2 2 3 2 3 10" xfId="21641" xr:uid="{C8B69B82-4F6D-4E2F-9577-CA6CD79B8F6A}"/>
    <cellStyle name="Note 2 2 3 2 3 11" xfId="21916" xr:uid="{E5DDD3C9-4724-416D-B6A4-F594A3161DC9}"/>
    <cellStyle name="Note 2 2 3 2 3 12" xfId="22751" xr:uid="{9C98E30C-3EA3-40C9-945C-269BD39BE535}"/>
    <cellStyle name="Note 2 2 3 2 3 13" xfId="20997" xr:uid="{6E869B44-2572-4453-B78A-E8A263608A5F}"/>
    <cellStyle name="Note 2 2 3 2 3 14" xfId="22887" xr:uid="{938A9F48-A772-4B42-8894-2E84DA6CB080}"/>
    <cellStyle name="Note 2 2 3 2 3 15" xfId="22262" xr:uid="{F6915D53-6D32-4958-A3FE-BD47A76DD3B9}"/>
    <cellStyle name="Note 2 2 3 2 3 16" xfId="31376" xr:uid="{FBA5B7CF-4371-4951-A22E-70875D42DEFF}"/>
    <cellStyle name="Note 2 2 3 2 3 2" xfId="19852" xr:uid="{5457A765-CEEB-49FB-A90A-3EC7E95FECF1}"/>
    <cellStyle name="Note 2 2 3 2 3 2 2" xfId="27217" xr:uid="{2E4C1864-BD66-44CC-B4AF-F4576A9E7817}"/>
    <cellStyle name="Note 2 2 3 2 3 2 3" xfId="34058" xr:uid="{4D72111D-28CD-4556-9AC2-00E3EE1E12BA}"/>
    <cellStyle name="Note 2 2 3 2 3 3" xfId="21038" xr:uid="{485005EA-E5E3-4E5E-9349-C78DD44D6938}"/>
    <cellStyle name="Note 2 2 3 2 3 3 2" xfId="29294" xr:uid="{564AACBA-45E4-4683-86ED-B9A275731465}"/>
    <cellStyle name="Note 2 2 3 2 3 3 3" xfId="36139" xr:uid="{47DBB983-5F78-4084-898E-A90FEA20C000}"/>
    <cellStyle name="Note 2 2 3 2 3 4" xfId="19270" xr:uid="{3E1A1D01-3190-409D-9390-264A0F3899A8}"/>
    <cellStyle name="Note 2 2 3 2 3 5" xfId="21843" xr:uid="{3FB3F855-19FD-4BCD-A793-1A460251CF57}"/>
    <cellStyle name="Note 2 2 3 2 3 6" xfId="20315" xr:uid="{FA3BB7A4-30EE-458E-92A8-89A26D9028BB}"/>
    <cellStyle name="Note 2 2 3 2 3 7" xfId="22302" xr:uid="{10BD03EF-CD0A-4C1C-B8B7-941C2E32FAF5}"/>
    <cellStyle name="Note 2 2 3 2 3 8" xfId="20737" xr:uid="{10E0337C-8505-41DA-ABC4-F8687203478F}"/>
    <cellStyle name="Note 2 2 3 2 3 9" xfId="22488" xr:uid="{1CC1456F-0345-430C-8435-DD282CA84ECC}"/>
    <cellStyle name="Note 2 2 3 2 4" xfId="24231" xr:uid="{79FB09AA-5E7B-46A9-BD70-DA88DD4DA8FF}"/>
    <cellStyle name="Note 2 2 3 2 4 2" xfId="26841" xr:uid="{CB085D7A-60B4-47A6-9313-DCDD4C63E18F}"/>
    <cellStyle name="Note 2 2 3 2 4 2 2" xfId="33681" xr:uid="{521E5D84-6EA7-43B2-BFA0-13B73457C0B7}"/>
    <cellStyle name="Note 2 2 3 2 4 3" xfId="28917" xr:uid="{DC620251-400B-4FE8-8042-13D0EC25A3BB}"/>
    <cellStyle name="Note 2 2 3 2 4 3 2" xfId="35762" xr:uid="{2D68DEE3-6DC7-4E67-ACB9-46DAAC302C74}"/>
    <cellStyle name="Note 2 2 3 2 4 4" xfId="30999" xr:uid="{1B8B92F1-02B4-4A5E-A6B0-FC2A175D057E}"/>
    <cellStyle name="Note 2 2 3 2 5" xfId="24178" xr:uid="{7A9EA7B6-BB92-49D4-A023-8E2077ACC0A7}"/>
    <cellStyle name="Note 2 2 3 2 5 2" xfId="26789" xr:uid="{4AF1CAC8-264A-4CFA-8DBE-978DBF8E3FB8}"/>
    <cellStyle name="Note 2 2 3 2 5 2 2" xfId="33629" xr:uid="{AB9F10A8-B079-4C2E-BD74-3D33200E5A63}"/>
    <cellStyle name="Note 2 2 3 2 5 3" xfId="28865" xr:uid="{FC6D1258-C7FB-47C4-9F25-F7C454890497}"/>
    <cellStyle name="Note 2 2 3 2 5 3 2" xfId="35710" xr:uid="{72633225-15B5-4504-90EC-BFD9F3D34CD6}"/>
    <cellStyle name="Note 2 2 3 2 5 4" xfId="30947" xr:uid="{D71FDBAA-3B26-409D-B934-07D440900F42}"/>
    <cellStyle name="Note 2 2 3 2 6" xfId="24995" xr:uid="{244C71D9-34D3-4F95-A376-2F086EBE4E62}"/>
    <cellStyle name="Note 2 2 3 2 6 2" xfId="27665" xr:uid="{254E92DA-966B-482E-BBED-5C2DFA112681}"/>
    <cellStyle name="Note 2 2 3 2 6 2 2" xfId="34510" xr:uid="{DBE9DAEC-B5A2-4788-BCD6-4E8CF24D7E38}"/>
    <cellStyle name="Note 2 2 3 2 6 3" xfId="29746" xr:uid="{888D06BA-09D9-40A8-91E7-9E3242EBB7EE}"/>
    <cellStyle name="Note 2 2 3 2 6 3 2" xfId="36591" xr:uid="{948014C0-14BC-436D-9FA5-79441D9AAECA}"/>
    <cellStyle name="Note 2 2 3 2 6 4" xfId="31828" xr:uid="{D09CB4E8-5CF6-4C55-B0A1-FAB69CBD5058}"/>
    <cellStyle name="Note 2 2 3 2 7" xfId="24286" xr:uid="{18CBA836-B723-4B7E-9DDF-B8D8C34D006F}"/>
    <cellStyle name="Note 2 2 3 2 7 2" xfId="26893" xr:uid="{F06F0157-EB86-4EF6-B3BF-B3E9241D1851}"/>
    <cellStyle name="Note 2 2 3 2 7 2 2" xfId="33733" xr:uid="{C02D6A8A-8DAF-46C8-9F4F-C07305E482FB}"/>
    <cellStyle name="Note 2 2 3 2 7 3" xfId="28969" xr:uid="{C545F33A-1031-42DA-BED7-4FEFF4B18C66}"/>
    <cellStyle name="Note 2 2 3 2 7 3 2" xfId="35814" xr:uid="{A98EABF1-A284-4CB8-BCD8-0A072DFB719B}"/>
    <cellStyle name="Note 2 2 3 2 7 4" xfId="31051" xr:uid="{E9901164-7A9B-404B-99A8-C06DC9507BFD}"/>
    <cellStyle name="Note 2 2 3 2 8" xfId="24724" xr:uid="{38D09F2C-A0EF-4E1E-933B-35785E248BC9}"/>
    <cellStyle name="Note 2 2 3 2 8 2" xfId="27371" xr:uid="{859C9234-C06B-4DE0-B719-769F8C8CF53F}"/>
    <cellStyle name="Note 2 2 3 2 8 2 2" xfId="34215" xr:uid="{43F7802A-161F-49A3-A1F8-DF27612C1369}"/>
    <cellStyle name="Note 2 2 3 2 8 3" xfId="29451" xr:uid="{20ACAA43-0AF5-4089-9A2F-07D6C4F57153}"/>
    <cellStyle name="Note 2 2 3 2 8 3 2" xfId="36296" xr:uid="{1344572E-D3CF-4A20-B168-3B256A8DEDA6}"/>
    <cellStyle name="Note 2 2 3 2 8 4" xfId="31533" xr:uid="{6EA23855-3C03-4445-AAC8-09E26A6DB9D9}"/>
    <cellStyle name="Note 2 2 3 2 9" xfId="23882" xr:uid="{38A04563-E989-43AF-B55D-6EE548742BC2}"/>
    <cellStyle name="Note 2 2 3 2 9 2" xfId="26500" xr:uid="{07810730-3D0A-472F-8CBF-DAA64FA95C01}"/>
    <cellStyle name="Note 2 2 3 2 9 2 2" xfId="33340" xr:uid="{9949045F-8F2B-4FAC-894C-10DD4B872A1A}"/>
    <cellStyle name="Note 2 2 3 2 9 3" xfId="26184" xr:uid="{8EE866CC-7132-4053-8A95-338E3018C8B7}"/>
    <cellStyle name="Note 2 2 3 2 9 3 2" xfId="33012" xr:uid="{F5B0AAC9-9377-4EE5-B425-4FBABAFD63FC}"/>
    <cellStyle name="Note 2 2 3 2 9 4" xfId="23306" xr:uid="{C1706A10-1B83-4E22-AA8E-850370A077D1}"/>
    <cellStyle name="Note 2 2 3 3" xfId="8127" xr:uid="{00000000-0005-0000-0000-0000780F0000}"/>
    <cellStyle name="Note 2 2 3 3 10" xfId="25526" xr:uid="{26A35DCA-874B-4CC4-984E-9297021FA0B1}"/>
    <cellStyle name="Note 2 2 3 3 10 2" xfId="28193" xr:uid="{06669D93-CB70-41B5-B96D-29BBF6B9E66A}"/>
    <cellStyle name="Note 2 2 3 3 10 2 2" xfId="35038" xr:uid="{BCD089AD-5FC3-4B6B-92AD-D88170BC3725}"/>
    <cellStyle name="Note 2 2 3 3 10 3" xfId="30274" xr:uid="{928E4829-41DE-463A-A51B-13AA2AE74E0B}"/>
    <cellStyle name="Note 2 2 3 3 10 3 2" xfId="37119" xr:uid="{AF253C71-5F7A-49BA-8922-2A960DC5C685}"/>
    <cellStyle name="Note 2 2 3 3 10 4" xfId="32356" xr:uid="{58BD5D90-A035-4421-9D06-A5EEEBAA770D}"/>
    <cellStyle name="Note 2 2 3 3 11" xfId="25638" xr:uid="{F7DF517F-25DA-44DA-AFB8-B3B7019FD07F}"/>
    <cellStyle name="Note 2 2 3 3 11 2" xfId="28305" xr:uid="{2A35C178-7673-4B40-A339-3021E6FF999E}"/>
    <cellStyle name="Note 2 2 3 3 11 2 2" xfId="35150" xr:uid="{6BC775C0-D887-4EB2-9308-9DCD28F07CC3}"/>
    <cellStyle name="Note 2 2 3 3 11 3" xfId="30386" xr:uid="{908A99B4-72D8-446F-858B-360AC120D987}"/>
    <cellStyle name="Note 2 2 3 3 11 3 2" xfId="37231" xr:uid="{F8C4E484-60D2-4A4B-8D9A-8249184AE890}"/>
    <cellStyle name="Note 2 2 3 3 11 4" xfId="32468" xr:uid="{7A51ADE9-37AE-4BE7-9A8A-048D0C3BC7D3}"/>
    <cellStyle name="Note 2 2 3 3 12" xfId="25743" xr:uid="{0F7A6B93-792C-4703-A8CA-17B7B18B8057}"/>
    <cellStyle name="Note 2 2 3 3 12 2" xfId="28410" xr:uid="{426261F1-7963-4349-90AE-275A42C8FEEA}"/>
    <cellStyle name="Note 2 2 3 3 12 2 2" xfId="35255" xr:uid="{4D9E39A2-9B55-481C-ADA3-9A23C80CE5A6}"/>
    <cellStyle name="Note 2 2 3 3 12 3" xfId="30491" xr:uid="{59510939-C884-45B0-9BD7-71BD1B43D8F1}"/>
    <cellStyle name="Note 2 2 3 3 12 3 2" xfId="37336" xr:uid="{6BD41AA8-4DF0-4072-99FF-95736B021AF3}"/>
    <cellStyle name="Note 2 2 3 3 12 4" xfId="32573" xr:uid="{6618A526-7063-4DC9-A59F-EAA04867B132}"/>
    <cellStyle name="Note 2 2 3 3 13" xfId="25817" xr:uid="{91BA35FC-E7BC-4641-AE04-BBE36B4D1E42}"/>
    <cellStyle name="Note 2 2 3 3 13 2" xfId="28483" xr:uid="{A2E9170B-5D6A-4A4F-A996-89CC91CAF9AB}"/>
    <cellStyle name="Note 2 2 3 3 13 2 2" xfId="35328" xr:uid="{7829BA8F-781F-4321-8444-27BFB0E04226}"/>
    <cellStyle name="Note 2 2 3 3 13 3" xfId="30564" xr:uid="{FBD408E4-D082-4AD4-9CB7-79E9EE5E05F0}"/>
    <cellStyle name="Note 2 2 3 3 13 3 2" xfId="37409" xr:uid="{8BEC2D47-ED12-4626-BC85-32AB3EAD1369}"/>
    <cellStyle name="Note 2 2 3 3 13 4" xfId="32646" xr:uid="{CA68979E-C270-4698-AEC0-626AAE4B6155}"/>
    <cellStyle name="Note 2 2 3 3 14" xfId="25355" xr:uid="{780805E5-8C44-4E59-AB06-07310C03748A}"/>
    <cellStyle name="Note 2 2 3 3 14 2" xfId="28022" xr:uid="{854FA8D7-5254-4CBB-8AF2-7650899CB571}"/>
    <cellStyle name="Note 2 2 3 3 14 2 2" xfId="34867" xr:uid="{940E0B5D-9C90-4980-875C-A21FE2CD3BED}"/>
    <cellStyle name="Note 2 2 3 3 14 3" xfId="30103" xr:uid="{0B5C19F5-0496-4401-A99D-5B5DF13E35D2}"/>
    <cellStyle name="Note 2 2 3 3 14 3 2" xfId="36948" xr:uid="{3C8D027C-ADC7-48EC-B5BA-8B6666AC9904}"/>
    <cellStyle name="Note 2 2 3 3 14 4" xfId="32185" xr:uid="{821E5C8D-C3D7-4309-A0CE-CFD79F0961BE}"/>
    <cellStyle name="Note 2 2 3 3 15" xfId="25949" xr:uid="{3AE915E5-026B-4448-B968-2EA3462F8555}"/>
    <cellStyle name="Note 2 2 3 3 15 2" xfId="28615" xr:uid="{197D492A-87B8-422E-8442-6A1B6FE666A5}"/>
    <cellStyle name="Note 2 2 3 3 15 2 2" xfId="35460" xr:uid="{45E6B8FD-BE92-470E-A26B-4960C84E4431}"/>
    <cellStyle name="Note 2 2 3 3 15 3" xfId="30696" xr:uid="{55156065-DA65-44DD-985E-8A62CC37CED1}"/>
    <cellStyle name="Note 2 2 3 3 15 3 2" xfId="37541" xr:uid="{8E0118E0-3082-4EBF-87EF-D36901619211}"/>
    <cellStyle name="Note 2 2 3 3 15 4" xfId="32778" xr:uid="{DBFA6F01-D4C0-4729-BC8D-A3C9F3AF5F8F}"/>
    <cellStyle name="Note 2 2 3 3 16" xfId="26003" xr:uid="{D9149DDB-20AC-43F2-94AC-8AD906E72217}"/>
    <cellStyle name="Note 2 2 3 3 16 2" xfId="28669" xr:uid="{5FCB099A-36E7-4794-AD74-1D96ADFA5DAD}"/>
    <cellStyle name="Note 2 2 3 3 16 2 2" xfId="35514" xr:uid="{8909EC7F-C324-4C3D-96E8-D4F787317751}"/>
    <cellStyle name="Note 2 2 3 3 16 3" xfId="30750" xr:uid="{384AA48F-7D64-45F2-9654-6567714EEEFC}"/>
    <cellStyle name="Note 2 2 3 3 16 3 2" xfId="37595" xr:uid="{6837F25B-387D-42DB-AC64-7668A8606256}"/>
    <cellStyle name="Note 2 2 3 3 16 4" xfId="32832" xr:uid="{62B88A4D-A8F5-4CC5-A2BD-F9934CD85034}"/>
    <cellStyle name="Note 2 2 3 3 17" xfId="23187" xr:uid="{247BBFCC-EF8C-4564-B5CD-3F3B2D7DC9D5}"/>
    <cellStyle name="Note 2 2 3 3 18" xfId="17807" xr:uid="{4966CEC1-62FA-4491-99E9-7CF90F834DCC}"/>
    <cellStyle name="Note 2 2 3 3 2" xfId="18455" xr:uid="{E1F389F6-1381-4B13-B640-E3E802A47E47}"/>
    <cellStyle name="Note 2 2 3 3 2 10" xfId="19562" xr:uid="{2E0D715F-1C34-4A4B-A343-64AAFFC8CDFD}"/>
    <cellStyle name="Note 2 2 3 3 2 11" xfId="20073" xr:uid="{8586E759-DE1E-41CA-B3C2-51385267C16B}"/>
    <cellStyle name="Note 2 2 3 3 2 12" xfId="22238" xr:uid="{81965012-1BCF-425B-B3BF-45A9433B7E82}"/>
    <cellStyle name="Note 2 2 3 3 2 13" xfId="21312" xr:uid="{8B4AC4C6-B191-448D-B116-AC01FEFA378B}"/>
    <cellStyle name="Note 2 2 3 3 2 14" xfId="20618" xr:uid="{C156170B-FD52-4E28-B09D-2263210BE9F7}"/>
    <cellStyle name="Note 2 2 3 3 2 15" xfId="22864" xr:uid="{274C2858-B39A-4418-900E-BEFEDBA806F0}"/>
    <cellStyle name="Note 2 2 3 3 2 16" xfId="31480" xr:uid="{8072D077-CD51-4A7B-9182-78AB66E8FDC6}"/>
    <cellStyle name="Note 2 2 3 3 2 2" xfId="19921" xr:uid="{8235D07F-31DD-498F-9A40-B4EEE6A7CC03}"/>
    <cellStyle name="Note 2 2 3 3 2 2 2" xfId="27318" xr:uid="{CA6BE5EA-DCB9-4955-B70C-C24827461AA2}"/>
    <cellStyle name="Note 2 2 3 3 2 2 3" xfId="34162" xr:uid="{708ABCC4-1A91-4D3E-9684-2FB15BB427F7}"/>
    <cellStyle name="Note 2 2 3 3 2 3" xfId="21071" xr:uid="{E1BAAD32-81FF-4489-ABFC-F1EF1051B6DB}"/>
    <cellStyle name="Note 2 2 3 3 2 3 2" xfId="29398" xr:uid="{5A1C80A6-43C5-4830-9184-A070C1EF03FA}"/>
    <cellStyle name="Note 2 2 3 3 2 3 3" xfId="36243" xr:uid="{92BFA28A-5531-40DD-8B3D-E08BE9B788EF}"/>
    <cellStyle name="Note 2 2 3 3 2 4" xfId="18966" xr:uid="{C97ADD43-231C-458C-A128-01B9E88D97AB}"/>
    <cellStyle name="Note 2 2 3 3 2 5" xfId="21678" xr:uid="{47D7CC73-102C-4E94-ACE8-5C12F4A776CF}"/>
    <cellStyle name="Note 2 2 3 3 2 6" xfId="20779" xr:uid="{14A8E4C5-1D5B-4090-A29C-0583C31AEA85}"/>
    <cellStyle name="Note 2 2 3 3 2 7" xfId="21254" xr:uid="{EEE5ED7F-F497-4CBF-97AE-B0C3733718EB}"/>
    <cellStyle name="Note 2 2 3 3 2 8" xfId="20941" xr:uid="{3310B767-B75E-46AB-8014-F402182D123C}"/>
    <cellStyle name="Note 2 2 3 3 2 9" xfId="21743" xr:uid="{69FF5C32-435F-47CB-A809-20DB596FB88F}"/>
    <cellStyle name="Note 2 2 3 3 3" xfId="23807" xr:uid="{57DE13D7-C5FB-4E51-B374-738C1EEE4728}"/>
    <cellStyle name="Note 2 2 3 3 3 2" xfId="26423" xr:uid="{995F9F91-13D5-4442-9D0E-F1FE84FFC4EA}"/>
    <cellStyle name="Note 2 2 3 3 3 2 2" xfId="33263" xr:uid="{78EFE369-2E3F-4A21-876C-F611BC5B70CA}"/>
    <cellStyle name="Note 2 2 3 3 3 3" xfId="26259" xr:uid="{B7F6C296-41AD-4913-A065-3AE3DE406EF9}"/>
    <cellStyle name="Note 2 2 3 3 3 3 2" xfId="33087" xr:uid="{6CC74074-7059-40DA-A7EF-6A8B46BF49D1}"/>
    <cellStyle name="Note 2 2 3 3 3 4" xfId="23381" xr:uid="{03845156-9BEF-45F5-9141-C0C7508A759B}"/>
    <cellStyle name="Note 2 2 3 3 4" xfId="24193" xr:uid="{A0416854-8EA2-4AF2-BF5F-71325F59BEA6}"/>
    <cellStyle name="Note 2 2 3 3 4 2" xfId="26803" xr:uid="{4B09715A-82C2-4C5C-84CD-B67154DD7503}"/>
    <cellStyle name="Note 2 2 3 3 4 2 2" xfId="33643" xr:uid="{16A8A886-675F-406E-90AE-404E9DD776FB}"/>
    <cellStyle name="Note 2 2 3 3 4 3" xfId="28879" xr:uid="{885FC06E-9027-4F72-9D4B-663C1AF60872}"/>
    <cellStyle name="Note 2 2 3 3 4 3 2" xfId="35724" xr:uid="{D7F3F8A9-8591-4404-969F-94B93912F66A}"/>
    <cellStyle name="Note 2 2 3 3 4 4" xfId="30961" xr:uid="{16987DFE-D3EA-4E9E-AEA8-918939A6CA7A}"/>
    <cellStyle name="Note 2 2 3 3 5" xfId="25091" xr:uid="{4A9CCA96-1692-4B42-B1DE-F9BC2FB662AE}"/>
    <cellStyle name="Note 2 2 3 3 5 2" xfId="27763" xr:uid="{1E4234D0-7227-4643-8A64-753738D275B5}"/>
    <cellStyle name="Note 2 2 3 3 5 2 2" xfId="34608" xr:uid="{9CCE035B-4F7B-4C38-BEE2-477D240D3F1E}"/>
    <cellStyle name="Note 2 2 3 3 5 3" xfId="29844" xr:uid="{FEDFB51F-25E9-431B-B663-7BDF1DD8EB78}"/>
    <cellStyle name="Note 2 2 3 3 5 3 2" xfId="36689" xr:uid="{2A88BB96-6F6C-435F-8B72-EE3F46EAD777}"/>
    <cellStyle name="Note 2 2 3 3 5 4" xfId="31926" xr:uid="{0E3698FF-739F-43F6-AF5F-EA4F3BA7F084}"/>
    <cellStyle name="Note 2 2 3 3 6" xfId="24133" xr:uid="{01FF6115-B7A1-4C17-92E5-C408F662E3C2}"/>
    <cellStyle name="Note 2 2 3 3 6 2" xfId="26745" xr:uid="{92C2AB44-318F-46E2-8A70-DEF3102D364D}"/>
    <cellStyle name="Note 2 2 3 3 6 2 2" xfId="33585" xr:uid="{55525182-042C-486B-84E4-5D1D8B645D76}"/>
    <cellStyle name="Note 2 2 3 3 6 3" xfId="28821" xr:uid="{41271610-8E82-4A66-8E82-BA5BD94A4D85}"/>
    <cellStyle name="Note 2 2 3 3 6 3 2" xfId="35666" xr:uid="{88B54DF2-72BE-4842-86C4-E073EF1BC4BE}"/>
    <cellStyle name="Note 2 2 3 3 6 4" xfId="30903" xr:uid="{F21FED13-777C-4CCD-BF54-592EE48D9E75}"/>
    <cellStyle name="Note 2 2 3 3 7" xfId="24827" xr:uid="{43F1BDD3-7440-4B1B-BF04-7536F8BF1127}"/>
    <cellStyle name="Note 2 2 3 3 7 2" xfId="27487" xr:uid="{3B9B5241-9C7C-49A5-80D4-70DDBDABD523}"/>
    <cellStyle name="Note 2 2 3 3 7 2 2" xfId="34331" xr:uid="{A501263F-7877-4225-853F-CCEFFB9C4C38}"/>
    <cellStyle name="Note 2 2 3 3 7 3" xfId="29567" xr:uid="{34AFD8F5-A3BE-47EF-AEF4-5CBF2FB44345}"/>
    <cellStyle name="Note 2 2 3 3 7 3 2" xfId="36412" xr:uid="{FD980EDB-599C-4D0E-B35B-D683FF8FD902}"/>
    <cellStyle name="Note 2 2 3 3 7 4" xfId="31649" xr:uid="{E22F247C-A2B4-4A03-B52D-A4A3AE428BB7}"/>
    <cellStyle name="Note 2 2 3 3 8" xfId="25002" xr:uid="{7C655C86-5531-469C-99AA-F0EE90A065B6}"/>
    <cellStyle name="Note 2 2 3 3 8 2" xfId="27674" xr:uid="{AE71612D-9955-46DF-9B91-83AEBAF5B429}"/>
    <cellStyle name="Note 2 2 3 3 8 2 2" xfId="34519" xr:uid="{586829CA-149C-4160-BFBE-A83B2F3C19A1}"/>
    <cellStyle name="Note 2 2 3 3 8 3" xfId="29755" xr:uid="{EEB63A1D-10FE-43C4-B81D-DC0E24C0597F}"/>
    <cellStyle name="Note 2 2 3 3 8 3 2" xfId="36600" xr:uid="{4AAB1713-65D0-424B-820A-EEB99F5F1A4C}"/>
    <cellStyle name="Note 2 2 3 3 8 4" xfId="31837" xr:uid="{77B80DEE-890A-4439-9853-9DD57F53578F}"/>
    <cellStyle name="Note 2 2 3 3 9" xfId="24334" xr:uid="{C2843E10-5F0D-4A8C-8BD9-C1A6950BD65C}"/>
    <cellStyle name="Note 2 2 3 3 9 2" xfId="26940" xr:uid="{420ADE75-EA5B-4DEA-AC7E-613FC14974CD}"/>
    <cellStyle name="Note 2 2 3 3 9 2 2" xfId="33780" xr:uid="{4F8D9F09-C913-4531-A628-D9C0C2E3F40E}"/>
    <cellStyle name="Note 2 2 3 3 9 3" xfId="29016" xr:uid="{14B96026-78D8-44C8-AABA-AC2EA1354F8E}"/>
    <cellStyle name="Note 2 2 3 3 9 3 2" xfId="35861" xr:uid="{4CB7E7D9-77C5-463B-9FE1-2C59BB8C5C59}"/>
    <cellStyle name="Note 2 2 3 3 9 4" xfId="31098" xr:uid="{6CABB12E-CE24-475A-BCFA-9C83F435D901}"/>
    <cellStyle name="Note 2 2 3 4" xfId="18629" xr:uid="{6A41D893-B8C3-4E1B-AD7A-93C97E2CFEE8}"/>
    <cellStyle name="Note 2 2 3 4 10" xfId="21359" xr:uid="{01332A3B-2AD3-4A7D-A036-27AF0730AC96}"/>
    <cellStyle name="Note 2 2 3 4 11" xfId="19101" xr:uid="{07DCF984-FB5D-4AD7-86CF-794E4386C1A4}"/>
    <cellStyle name="Note 2 2 3 4 12" xfId="22763" xr:uid="{9A640697-01ED-4923-91FE-66540CE3FA25}"/>
    <cellStyle name="Note 2 2 3 4 13" xfId="20501" xr:uid="{94383AD5-8D58-4EE3-B66D-8058FA403464}"/>
    <cellStyle name="Note 2 2 3 4 14" xfId="22899" xr:uid="{2966933B-2EF9-4508-BE65-A73F023702A2}"/>
    <cellStyle name="Note 2 2 3 4 15" xfId="20975" xr:uid="{B5FA89EE-F11B-4F5C-8409-1B636EA524AB}"/>
    <cellStyle name="Note 2 2 3 4 16" xfId="23711" xr:uid="{DBC02721-8E7C-4764-BCC3-11EEBE504BDB}"/>
    <cellStyle name="Note 2 2 3 4 2" xfId="19841" xr:uid="{5BDF95F5-28DA-4626-A9BF-507496ECCD86}"/>
    <cellStyle name="Note 2 2 3 4 3" xfId="21810" xr:uid="{ACF29525-02D6-4620-9E8C-91290994B7FA}"/>
    <cellStyle name="Note 2 2 3 4 4" xfId="20568" xr:uid="{CEE037F6-076C-4B34-8719-118AFCCCC63D}"/>
    <cellStyle name="Note 2 2 3 4 5" xfId="20438" xr:uid="{9B18431C-EC83-4451-B515-0FF520DE6FD0}"/>
    <cellStyle name="Note 2 2 3 4 6" xfId="20669" xr:uid="{5CC44572-28C6-4826-8B86-374118F02CE2}"/>
    <cellStyle name="Note 2 2 3 4 7" xfId="21065" xr:uid="{129F7EAF-2A8B-4AB1-A4CF-A594FC88054C}"/>
    <cellStyle name="Note 2 2 3 4 8" xfId="22256" xr:uid="{F8ADFDAF-E236-4327-8225-8A899ECD8E91}"/>
    <cellStyle name="Note 2 2 3 4 9" xfId="22500" xr:uid="{1A3C542F-95E8-457A-A146-13BFBFA62D9E}"/>
    <cellStyle name="Note 2 2 3 5" xfId="18196" xr:uid="{D77F29A6-104A-4BC7-9C08-5F30A3E07520}"/>
    <cellStyle name="Note 2 2 3 5 2" xfId="27195" xr:uid="{62BEBB89-AED7-4AD5-86AC-B1E04C53A76F}"/>
    <cellStyle name="Note 2 2 3 5 2 2" xfId="34036" xr:uid="{5C5917C7-BB9F-4A74-86B6-71EAB17108F9}"/>
    <cellStyle name="Note 2 2 3 5 3" xfId="29272" xr:uid="{73ACA6F0-9311-41B6-9994-72821234E1BE}"/>
    <cellStyle name="Note 2 2 3 5 3 2" xfId="36117" xr:uid="{59BEA82A-3189-44BE-9CE8-87EDC2F48B2F}"/>
    <cellStyle name="Note 2 2 3 5 4" xfId="24606" xr:uid="{F43A0C4D-19CA-4CB9-8774-DE90853618E6}"/>
    <cellStyle name="Note 2 2 3 5 5" xfId="31354" xr:uid="{CB3A7463-53C1-4E83-915B-6BDB038E1729}"/>
    <cellStyle name="Note 2 2 3 6" xfId="17536" xr:uid="{FE8F7431-4B2A-4BD8-B52C-72933DC9694A}"/>
    <cellStyle name="Note 2 2 3 6 2" xfId="27633" xr:uid="{1C6B1741-56EA-490B-856D-E20A13F76FA1}"/>
    <cellStyle name="Note 2 2 3 6 2 2" xfId="34478" xr:uid="{8BA47E70-0192-4F0B-AE7D-22AC2A835EB6}"/>
    <cellStyle name="Note 2 2 3 6 3" xfId="29714" xr:uid="{EC9BC427-A202-4BA8-BF74-FE305EC76069}"/>
    <cellStyle name="Note 2 2 3 6 3 2" xfId="36559" xr:uid="{981794AF-1530-4225-9215-E4D0166A4AE0}"/>
    <cellStyle name="Note 2 2 3 6 4" xfId="24963" xr:uid="{D6F4698D-E037-474B-A9D8-335259FEE2F5}"/>
    <cellStyle name="Note 2 2 3 6 5" xfId="31796" xr:uid="{D5B11554-90E3-4345-BA67-AE576DBC8B5A}"/>
    <cellStyle name="Note 2 2 3 7" xfId="25026" xr:uid="{0827BF31-8C1D-4A0E-8C05-F00A1B216BFB}"/>
    <cellStyle name="Note 2 2 3 7 2" xfId="27699" xr:uid="{2B957335-BA5A-4483-9AD0-A5858D139A04}"/>
    <cellStyle name="Note 2 2 3 7 2 2" xfId="34544" xr:uid="{F90567B2-02E1-49EF-BE57-09CF0FA67BC8}"/>
    <cellStyle name="Note 2 2 3 7 3" xfId="29780" xr:uid="{7D69AFAC-7B92-40F6-8124-45CA58B907FA}"/>
    <cellStyle name="Note 2 2 3 7 3 2" xfId="36625" xr:uid="{35561DE5-1D54-40D5-9836-9155F289CD74}"/>
    <cellStyle name="Note 2 2 3 7 4" xfId="31862" xr:uid="{74BDFCD5-3D5B-4822-BB7C-75B86588F9BC}"/>
    <cellStyle name="Note 2 2 3 8" xfId="25197" xr:uid="{C179FE72-FE1E-4040-BCB9-1BB4BEDDA517}"/>
    <cellStyle name="Note 2 2 3 8 2" xfId="27869" xr:uid="{D706DD07-E94E-4B1A-96E5-F4BEB9D7B048}"/>
    <cellStyle name="Note 2 2 3 8 2 2" xfId="34714" xr:uid="{DB8E1713-B144-49CF-8A20-C87C12C56DBA}"/>
    <cellStyle name="Note 2 2 3 8 3" xfId="29950" xr:uid="{32CD8DDA-E135-43FB-BF3D-C4C3EFACE5BE}"/>
    <cellStyle name="Note 2 2 3 8 3 2" xfId="36795" xr:uid="{0058363B-6EE3-472D-B1B1-7AEBACD613E3}"/>
    <cellStyle name="Note 2 2 3 8 4" xfId="32032" xr:uid="{11F6AF99-58C3-46E9-B978-402D478696F6}"/>
    <cellStyle name="Note 2 2 3 9" xfId="23987" xr:uid="{2B54FE14-FACE-4800-B1BB-B5D0239B5900}"/>
    <cellStyle name="Note 2 2 3 9 2" xfId="26604" xr:uid="{221675BB-E4B7-477C-81EE-3630F1AFB7EF}"/>
    <cellStyle name="Note 2 2 3 9 2 2" xfId="33444" xr:uid="{3BD3137B-43DF-4EF6-8BF6-FD5CF16075EB}"/>
    <cellStyle name="Note 2 2 3 9 3" xfId="26089" xr:uid="{18A57849-1AE3-4E92-9D83-B9D654A430C4}"/>
    <cellStyle name="Note 2 2 3 9 3 2" xfId="32917" xr:uid="{C788E782-AC8C-4EAA-BA2C-0A53F58E554C}"/>
    <cellStyle name="Note 2 2 3 9 4" xfId="23211" xr:uid="{236DA7B2-B41F-4F8D-A17E-677B142F4F39}"/>
    <cellStyle name="Note 2 2 4" xfId="4850" xr:uid="{00000000-0005-0000-0000-000015130000}"/>
    <cellStyle name="Note 2 2 4 10" xfId="25439" xr:uid="{1883585D-8F2D-4B68-8CF0-F3436791A808}"/>
    <cellStyle name="Note 2 2 4 10 2" xfId="28106" xr:uid="{3B2A9E52-FC3B-4251-81E4-FB6C35159E08}"/>
    <cellStyle name="Note 2 2 4 10 2 2" xfId="34951" xr:uid="{DDCE3962-60B7-4A88-904D-45464782FB77}"/>
    <cellStyle name="Note 2 2 4 10 3" xfId="30187" xr:uid="{F4BB5076-598C-48BF-9208-7A6B2B17D092}"/>
    <cellStyle name="Note 2 2 4 10 3 2" xfId="37032" xr:uid="{DECE4D3D-FC4B-4F49-A2C8-33E5F7F14957}"/>
    <cellStyle name="Note 2 2 4 10 4" xfId="32269" xr:uid="{4217FAD1-83B4-48B3-9852-A7226DE2DEAC}"/>
    <cellStyle name="Note 2 2 4 11" xfId="23916" xr:uid="{4BE76D49-DABF-482B-8D17-ADE3B43EA171}"/>
    <cellStyle name="Note 2 2 4 11 2" xfId="26534" xr:uid="{1DD961D8-13B1-4BBD-BEE7-EB80B1D691E2}"/>
    <cellStyle name="Note 2 2 4 11 2 2" xfId="33374" xr:uid="{56499A13-1257-4D01-814D-8E6B372B21D0}"/>
    <cellStyle name="Note 2 2 4 11 3" xfId="26151" xr:uid="{7B19A64D-B431-4B48-B31D-22335ED15A8C}"/>
    <cellStyle name="Note 2 2 4 11 3 2" xfId="32979" xr:uid="{CB800ACE-AE8F-4CF0-9CCE-89EA8D3BF907}"/>
    <cellStyle name="Note 2 2 4 11 4" xfId="23273" xr:uid="{10CBDEF6-46FB-4069-A96A-CAF9C924DFAD}"/>
    <cellStyle name="Note 2 2 4 12" xfId="25477" xr:uid="{9EE84FB2-E89F-4078-A2FB-1C72FA65F972}"/>
    <cellStyle name="Note 2 2 4 12 2" xfId="28144" xr:uid="{3EF98933-1998-4638-95F3-E07B8C2200D2}"/>
    <cellStyle name="Note 2 2 4 12 2 2" xfId="34989" xr:uid="{3A7FEAA4-CB12-400B-82C1-994CC6403FA5}"/>
    <cellStyle name="Note 2 2 4 12 3" xfId="30225" xr:uid="{9BCEFE26-7AE2-4051-B6BA-236F6CEBF096}"/>
    <cellStyle name="Note 2 2 4 12 3 2" xfId="37070" xr:uid="{1C60D5DB-4C9A-48D5-948A-4FBBFC0A254C}"/>
    <cellStyle name="Note 2 2 4 12 4" xfId="32307" xr:uid="{39A644D8-0FBB-454D-B01B-43576BEC3908}"/>
    <cellStyle name="Note 2 2 4 13" xfId="24047" xr:uid="{9D4B1766-B33A-4FA7-B585-83C188C6B251}"/>
    <cellStyle name="Note 2 2 4 13 2" xfId="26660" xr:uid="{54010C16-40A0-4B4C-B223-9A9E5C33B442}"/>
    <cellStyle name="Note 2 2 4 13 2 2" xfId="33500" xr:uid="{8A1FBA8B-3F9B-4242-9BAC-E926B155C3E3}"/>
    <cellStyle name="Note 2 2 4 13 3" xfId="28736" xr:uid="{DA8D17B6-C831-440D-AF11-736E9BAA2E28}"/>
    <cellStyle name="Note 2 2 4 13 3 2" xfId="35581" xr:uid="{1D6C0582-35C6-453D-B435-FB3AFE0ECA5C}"/>
    <cellStyle name="Note 2 2 4 13 4" xfId="30818" xr:uid="{C06F032A-6DA6-4298-B5E7-9C5ABAC70617}"/>
    <cellStyle name="Note 2 2 4 14" xfId="25621" xr:uid="{B4F9095F-6F94-43FE-B6DC-2A85A210EB58}"/>
    <cellStyle name="Note 2 2 4 14 2" xfId="28288" xr:uid="{6DF2A7DA-2AB8-4E45-B29D-ABECD1AF4E13}"/>
    <cellStyle name="Note 2 2 4 14 2 2" xfId="35133" xr:uid="{295130FE-3739-45C9-A5AE-81FA9A809AC2}"/>
    <cellStyle name="Note 2 2 4 14 3" xfId="30369" xr:uid="{C2ED81F9-DB6F-410B-832F-8749E125ACCD}"/>
    <cellStyle name="Note 2 2 4 14 3 2" xfId="37214" xr:uid="{FAD2BAC4-CB2A-40DD-84A9-1AF19383A2E6}"/>
    <cellStyle name="Note 2 2 4 14 4" xfId="32451" xr:uid="{91DC92BD-B5FD-4CCA-97A1-3B94F9541B44}"/>
    <cellStyle name="Note 2 2 4 15" xfId="24149" xr:uid="{6858D3F6-1622-428B-97CE-7DF48252B033}"/>
    <cellStyle name="Note 2 2 4 15 2" xfId="26761" xr:uid="{C493F70D-ADE7-4313-AD34-305D63DAC06E}"/>
    <cellStyle name="Note 2 2 4 15 2 2" xfId="33601" xr:uid="{55BB7247-9D3E-4E46-8E12-9B597E924EFD}"/>
    <cellStyle name="Note 2 2 4 15 3" xfId="28837" xr:uid="{779CA9EF-9A23-4060-8139-DEA958EF6CEA}"/>
    <cellStyle name="Note 2 2 4 15 3 2" xfId="35682" xr:uid="{A42C49F6-CF04-4E89-9746-E28B31BE41E7}"/>
    <cellStyle name="Note 2 2 4 15 4" xfId="30919" xr:uid="{AE87B5A2-6525-49DE-8360-59D6A4461FE0}"/>
    <cellStyle name="Note 2 2 4 16" xfId="25902" xr:uid="{E99D52B9-41CD-4512-891A-AD7693AD7263}"/>
    <cellStyle name="Note 2 2 4 16 2" xfId="28568" xr:uid="{E476969E-DC07-4CA0-ADF8-9D68540754D5}"/>
    <cellStyle name="Note 2 2 4 16 2 2" xfId="35413" xr:uid="{1B98685A-1CAF-4C71-B1FC-655EC7110A90}"/>
    <cellStyle name="Note 2 2 4 16 3" xfId="30649" xr:uid="{E9F5795C-1478-4CE9-AD8B-096B7256DCAC}"/>
    <cellStyle name="Note 2 2 4 16 3 2" xfId="37494" xr:uid="{1D48677F-F869-437D-8C89-8F1AC3F6B5BE}"/>
    <cellStyle name="Note 2 2 4 16 4" xfId="32731" xr:uid="{C278F104-DE89-4AF6-B87D-DEA8173E9492}"/>
    <cellStyle name="Note 2 2 4 17" xfId="24031" xr:uid="{42911251-1EFD-4FAD-A7E5-ABEDA62D734E}"/>
    <cellStyle name="Note 2 2 4 17 2" xfId="26645" xr:uid="{A4146583-7B90-4C22-80CC-53B6B0EA201D}"/>
    <cellStyle name="Note 2 2 4 17 2 2" xfId="33485" xr:uid="{41251944-DA8B-47D2-B836-6D1482DE30C5}"/>
    <cellStyle name="Note 2 2 4 17 3" xfId="28721" xr:uid="{9FDE78A9-974A-46D6-9184-0871DC852291}"/>
    <cellStyle name="Note 2 2 4 17 3 2" xfId="35566" xr:uid="{9E25BA08-86DE-4DA5-B082-AC4EF20E2770}"/>
    <cellStyle name="Note 2 2 4 17 4" xfId="30803" xr:uid="{CCDF444B-7B66-42F5-83DD-5AF1A60B444F}"/>
    <cellStyle name="Note 2 2 4 18" xfId="23612" xr:uid="{A81D1D3C-1F22-416B-B786-B8439A4B4DF0}"/>
    <cellStyle name="Note 2 2 4 19" xfId="16217" xr:uid="{D025205F-F7D8-4989-A3DB-CC84057BAAE6}"/>
    <cellStyle name="Note 2 2 4 2" xfId="4851" xr:uid="{00000000-0005-0000-0000-000016130000}"/>
    <cellStyle name="Note 2 2 4 2 2" xfId="10375" xr:uid="{00000000-0005-0000-0000-000063200000}"/>
    <cellStyle name="Note 2 2 4 2 2 2" xfId="42864" xr:uid="{1A8EEC3A-D297-44EC-9C0C-FBC2E534C25F}"/>
    <cellStyle name="Note 2 2 4 2 3" xfId="16218" xr:uid="{8B1F627A-B69B-4A9A-85F1-8424589382D9}"/>
    <cellStyle name="Note 2 2 4 2 4" xfId="38888" xr:uid="{539FB63F-A691-48EF-A713-3B44E0E41DFD}"/>
    <cellStyle name="Note 2 2 4 20" xfId="38887" xr:uid="{2817C103-ED54-48AC-8D33-DA80EFCD8093}"/>
    <cellStyle name="Note 2 2 4 3" xfId="10374" xr:uid="{00000000-0005-0000-0000-000062200000}"/>
    <cellStyle name="Note 2 2 4 3 10" xfId="20067" xr:uid="{7DC3A96F-8B32-4C20-B118-1F2C3A4F5FD7}"/>
    <cellStyle name="Note 2 2 4 3 11" xfId="21304" xr:uid="{A817C380-3ABE-471D-B904-866888B108F5}"/>
    <cellStyle name="Note 2 2 4 3 12" xfId="22790" xr:uid="{7042627B-773D-47DB-828F-A8054BD5BF94}"/>
    <cellStyle name="Note 2 2 4 3 13" xfId="19670" xr:uid="{858431FF-57D6-460B-99F6-0F2E78184A6A}"/>
    <cellStyle name="Note 2 2 4 3 14" xfId="22925" xr:uid="{4B8DEF78-0728-4DBB-B665-A51022C99441}"/>
    <cellStyle name="Note 2 2 4 3 15" xfId="22987" xr:uid="{DADCAD46-6FF2-41A8-A458-9BB672641282}"/>
    <cellStyle name="Note 2 2 4 3 16" xfId="31398" xr:uid="{233153EE-7DD3-4058-81E3-7092EB73E483}"/>
    <cellStyle name="Note 2 2 4 3 17" xfId="18747" xr:uid="{30312280-1157-46F3-8FF8-3A3B40C8CB3E}"/>
    <cellStyle name="Note 2 2 4 3 18" xfId="42863" xr:uid="{1376322E-F56D-402A-B927-562CD369DFFD}"/>
    <cellStyle name="Note 2 2 4 3 2" xfId="19792" xr:uid="{1CF41F38-4E0B-4C63-A864-20604AD2A324}"/>
    <cellStyle name="Note 2 2 4 3 2 2" xfId="27238" xr:uid="{59EC93E6-65B0-49A8-A0A4-FDED9C6F9355}"/>
    <cellStyle name="Note 2 2 4 3 2 3" xfId="34080" xr:uid="{F76AA8A5-BC8D-4602-AC0C-D21FBD62552E}"/>
    <cellStyle name="Note 2 2 4 3 3" xfId="21009" xr:uid="{E2C83E80-A044-4EE5-B11A-F2EAFE641600}"/>
    <cellStyle name="Note 2 2 4 3 3 2" xfId="29316" xr:uid="{06838E6C-9C71-4BC0-87C7-FF281FD669C0}"/>
    <cellStyle name="Note 2 2 4 3 3 3" xfId="36161" xr:uid="{84464FD2-DF3D-4CC8-B352-9029C11EE1EB}"/>
    <cellStyle name="Note 2 2 4 3 4" xfId="19178" xr:uid="{1B0D0FB3-CE67-4350-A66C-19CAB8FCB70E}"/>
    <cellStyle name="Note 2 2 4 3 5" xfId="22032" xr:uid="{F86974F9-B351-4FB0-9A22-2A8E6AD44E75}"/>
    <cellStyle name="Note 2 2 4 3 6" xfId="21239" xr:uid="{1C540E7D-5AA2-4A12-93E6-909D3B12C3C7}"/>
    <cellStyle name="Note 2 2 4 3 7" xfId="20288" xr:uid="{5BBB5635-83BE-4A67-9A69-C9E2D83B52C0}"/>
    <cellStyle name="Note 2 2 4 3 8" xfId="21953" xr:uid="{A9E7B369-3505-4575-9A24-AD37330A0151}"/>
    <cellStyle name="Note 2 2 4 3 9" xfId="22544" xr:uid="{A107C720-F80C-41D5-B36D-19CEEE13AC4A}"/>
    <cellStyle name="Note 2 2 4 4" xfId="8128" xr:uid="{00000000-0005-0000-0000-0000790F0000}"/>
    <cellStyle name="Note 2 2 4 4 10" xfId="21184" xr:uid="{4B0476A1-7D3C-4FF1-9458-0091C60387EA}"/>
    <cellStyle name="Note 2 2 4 4 11" xfId="22468" xr:uid="{CDE0FF08-EFAC-4F7C-95B7-5C49117BC212}"/>
    <cellStyle name="Note 2 2 4 4 12" xfId="18947" xr:uid="{CF14E7B5-93A0-4475-BD79-E2C8B367D147}"/>
    <cellStyle name="Note 2 2 4 4 13" xfId="22371" xr:uid="{CF7D4997-2D40-46EF-B161-FC2CA27B1524}"/>
    <cellStyle name="Note 2 2 4 4 14" xfId="22637" xr:uid="{A3DD78C1-4D08-4580-8AA4-11F957351CED}"/>
    <cellStyle name="Note 2 2 4 4 15" xfId="21913" xr:uid="{14B6BC1D-62F5-4434-A1AF-53106D4DD807}"/>
    <cellStyle name="Note 2 2 4 4 16" xfId="31681" xr:uid="{35E1B8A6-6C2F-4608-8B4B-76C7F0BECFC6}"/>
    <cellStyle name="Note 2 2 4 4 17" xfId="18197" xr:uid="{4FAA0D07-A76E-440E-8801-5F8EB294765E}"/>
    <cellStyle name="Note 2 2 4 4 18" xfId="40929" xr:uid="{9CB1BA40-E8FD-4598-B3C1-82E85B5A0485}"/>
    <cellStyle name="Note 2 2 4 4 2" xfId="20353" xr:uid="{9E0CBF2A-ADFC-440B-96A6-5B61CA4A8104}"/>
    <cellStyle name="Note 2 2 4 4 2 2" xfId="27519" xr:uid="{D627A351-E6E8-465D-B349-00FCD90C2D61}"/>
    <cellStyle name="Note 2 2 4 4 2 3" xfId="34363" xr:uid="{643F646F-4E42-4EBA-8323-2F81587A3712}"/>
    <cellStyle name="Note 2 2 4 4 3" xfId="21660" xr:uid="{BB78A93D-FE73-4EF5-A2B1-36BA8C47C4D5}"/>
    <cellStyle name="Note 2 2 4 4 3 2" xfId="29599" xr:uid="{79485852-A91F-4236-BD06-0E8DBFF6EB6C}"/>
    <cellStyle name="Note 2 2 4 4 3 3" xfId="36444" xr:uid="{6CFC41A6-F0C4-4F43-B001-9F9C731B26EC}"/>
    <cellStyle name="Note 2 2 4 4 4" xfId="19887" xr:uid="{2128C580-CF90-435B-A066-6B462CFC5F95}"/>
    <cellStyle name="Note 2 2 4 4 5" xfId="18922" xr:uid="{01869DA7-0968-4866-B50F-E4842984C207}"/>
    <cellStyle name="Note 2 2 4 4 6" xfId="20986" xr:uid="{443D3084-44D6-4417-804D-4A699F38A3AE}"/>
    <cellStyle name="Note 2 2 4 4 7" xfId="19212" xr:uid="{1B8138FA-523F-4707-82ED-A6B4D8BF0B5B}"/>
    <cellStyle name="Note 2 2 4 4 8" xfId="21197" xr:uid="{D4B0BFF5-4157-4F91-9726-187D3A6639C2}"/>
    <cellStyle name="Note 2 2 4 4 9" xfId="20655" xr:uid="{750A4739-0684-41C5-B88B-488F43E952D5}"/>
    <cellStyle name="Note 2 2 4 5" xfId="17608" xr:uid="{7F268DF1-4A56-4D06-BD23-4C24B048BC23}"/>
    <cellStyle name="Note 2 2 4 5 2" xfId="27516" xr:uid="{9E5B8BE0-DCCE-4395-A307-EBD988559E83}"/>
    <cellStyle name="Note 2 2 4 5 2 2" xfId="34360" xr:uid="{0EC5E729-26D8-4200-9983-3CDB2DC5B67A}"/>
    <cellStyle name="Note 2 2 4 5 3" xfId="29596" xr:uid="{81594C4F-7F36-4F99-914E-2D6E74334763}"/>
    <cellStyle name="Note 2 2 4 5 3 2" xfId="36441" xr:uid="{0EF82CDC-6885-4E3A-B954-0EF8AF2A92C0}"/>
    <cellStyle name="Note 2 2 4 5 4" xfId="24854" xr:uid="{E9275D7B-0D1A-44CF-9A77-DCB0C6F4EA92}"/>
    <cellStyle name="Note 2 2 4 5 5" xfId="31678" xr:uid="{C272C3B6-C64D-429D-A7C1-7B3A802D7D3B}"/>
    <cellStyle name="Note 2 2 4 6" xfId="25018" xr:uid="{DE8A94CC-A14F-4B72-9C2A-52E8ED82BE9D}"/>
    <cellStyle name="Note 2 2 4 6 2" xfId="27690" xr:uid="{9B5D6B98-04BB-4642-9AE1-3CF826D740FB}"/>
    <cellStyle name="Note 2 2 4 6 2 2" xfId="34535" xr:uid="{D2AC3E91-3600-4352-BBCB-B4FED60165C1}"/>
    <cellStyle name="Note 2 2 4 6 3" xfId="29771" xr:uid="{F6F6E9F1-1C87-4A3B-8DAC-884A43619990}"/>
    <cellStyle name="Note 2 2 4 6 3 2" xfId="36616" xr:uid="{5E4D709F-35ED-4EA6-ADCF-A5E98EED37E2}"/>
    <cellStyle name="Note 2 2 4 6 4" xfId="31853" xr:uid="{76C901A0-EE2B-4C8C-9805-2B9449FB7248}"/>
    <cellStyle name="Note 2 2 4 7" xfId="24355" xr:uid="{F990067D-73A9-4327-B55D-4D1A166352EC}"/>
    <cellStyle name="Note 2 2 4 7 2" xfId="26962" xr:uid="{6A8D9FFB-05AF-4717-846F-C17E6D0BC8D3}"/>
    <cellStyle name="Note 2 2 4 7 2 2" xfId="33802" xr:uid="{AC325CCD-5518-4608-A62E-BBCB57B80FA3}"/>
    <cellStyle name="Note 2 2 4 7 3" xfId="29038" xr:uid="{6AEE5A4F-0C04-44A3-8ACB-EBFF159DCE49}"/>
    <cellStyle name="Note 2 2 4 7 3 2" xfId="35883" xr:uid="{96DDF1E5-73AD-4AC8-9F94-9C7418F4203F}"/>
    <cellStyle name="Note 2 2 4 7 4" xfId="31120" xr:uid="{7893F284-484E-4B6F-B402-6B365C6E065C}"/>
    <cellStyle name="Note 2 2 4 8" xfId="25165" xr:uid="{997E8CD7-057A-400A-9A7E-7D5CE8D25470}"/>
    <cellStyle name="Note 2 2 4 8 2" xfId="27837" xr:uid="{678CBE4A-3FB1-425F-9770-B4CA8434E25D}"/>
    <cellStyle name="Note 2 2 4 8 2 2" xfId="34682" xr:uid="{9AFF20FF-A30F-4F65-8EB2-4477174C8AC1}"/>
    <cellStyle name="Note 2 2 4 8 3" xfId="29918" xr:uid="{AEFF1D9B-1380-4462-8D9C-BC181FACEFBC}"/>
    <cellStyle name="Note 2 2 4 8 3 2" xfId="36763" xr:uid="{C01D092E-E3FD-4ACB-8CA4-055898DC66E0}"/>
    <cellStyle name="Note 2 2 4 8 4" xfId="32000" xr:uid="{A9CA8974-F491-4289-BA91-C8B9C7DE6984}"/>
    <cellStyle name="Note 2 2 4 9" xfId="25178" xr:uid="{427FDF5F-5E0D-47CA-8C67-89E11053EB76}"/>
    <cellStyle name="Note 2 2 4 9 2" xfId="27850" xr:uid="{65D5441C-B24E-43EB-AA0B-24B23A86C669}"/>
    <cellStyle name="Note 2 2 4 9 2 2" xfId="34695" xr:uid="{EACBAC82-6167-4907-A571-0BBB7831ADE6}"/>
    <cellStyle name="Note 2 2 4 9 3" xfId="29931" xr:uid="{F366EC14-5875-411D-A27B-5205CF3D7C5C}"/>
    <cellStyle name="Note 2 2 4 9 3 2" xfId="36776" xr:uid="{E02C2495-1BC3-4E01-91CF-E6DA59C5A192}"/>
    <cellStyle name="Note 2 2 4 9 4" xfId="32013" xr:uid="{2CCBA45B-F76A-4B7D-B50B-A674FCE8FF81}"/>
    <cellStyle name="Note 2 2 5" xfId="4852" xr:uid="{00000000-0005-0000-0000-000017130000}"/>
    <cellStyle name="Note 2 2 5 10" xfId="22225" xr:uid="{2DB6571F-BDB3-49E7-973A-969D80A3D0F4}"/>
    <cellStyle name="Note 2 2 5 11" xfId="19467" xr:uid="{7060F27A-DC70-4C36-B221-F32D0E1F5C76}"/>
    <cellStyle name="Note 2 2 5 12" xfId="22605" xr:uid="{85FF3ECC-87B9-4D33-B752-526067B16FA6}"/>
    <cellStyle name="Note 2 2 5 13" xfId="21604" xr:uid="{7B9AC56D-9800-4F85-9BD6-81468D70E705}"/>
    <cellStyle name="Note 2 2 5 14" xfId="20128" xr:uid="{4A6D481A-C88E-43D9-A974-7E12CF88C39F}"/>
    <cellStyle name="Note 2 2 5 15" xfId="19402" xr:uid="{FC77FFE7-F1E5-4F72-8D1B-F20152C6F509}"/>
    <cellStyle name="Note 2 2 5 16" xfId="20176" xr:uid="{0035B69C-A300-4514-AB1C-7B00D600FBE9}"/>
    <cellStyle name="Note 2 2 5 17" xfId="18198" xr:uid="{E4107C4C-CB12-4B12-948D-B8CBE619DFBD}"/>
    <cellStyle name="Note 2 2 5 18" xfId="23467" xr:uid="{A5A9EC96-6241-4F68-A9A9-8329D28336A3}"/>
    <cellStyle name="Note 2 2 5 19" xfId="16219" xr:uid="{49A12699-ABB6-4275-961C-06F7A54D7736}"/>
    <cellStyle name="Note 2 2 5 2" xfId="10376" xr:uid="{00000000-0005-0000-0000-000064200000}"/>
    <cellStyle name="Note 2 2 5 2 10" xfId="19464" xr:uid="{93DBC131-0DAC-4A4E-84E9-BF5D3071D1E3}"/>
    <cellStyle name="Note 2 2 5 2 11" xfId="22184" xr:uid="{3707BCA6-6D7E-4646-9E06-2613324425AB}"/>
    <cellStyle name="Note 2 2 5 2 12" xfId="22791" xr:uid="{841375AE-7710-4C9B-A757-A64212E444EC}"/>
    <cellStyle name="Note 2 2 5 2 13" xfId="20971" xr:uid="{8E5198CD-94F7-46D3-861B-1957FB6C6889}"/>
    <cellStyle name="Note 2 2 5 2 14" xfId="22926" xr:uid="{97713CF5-E016-4490-81CF-B2157E268EB6}"/>
    <cellStyle name="Note 2 2 5 2 15" xfId="19191" xr:uid="{19027A41-A459-4539-AD34-5EE66776C9E9}"/>
    <cellStyle name="Note 2 2 5 2 16" xfId="33183" xr:uid="{D4C587F9-1E43-4D79-BC9A-A0B47E154675}"/>
    <cellStyle name="Note 2 2 5 2 17" xfId="18748" xr:uid="{E39C2B41-D41F-4B25-A549-90ACA15A2F1F}"/>
    <cellStyle name="Note 2 2 5 2 18" xfId="42865" xr:uid="{9B20D511-0B54-4FEA-A630-C4748CDA38E1}"/>
    <cellStyle name="Note 2 2 5 2 2" xfId="9500" xr:uid="{00000000-0005-0000-0000-0000D4230000}"/>
    <cellStyle name="Note 2 2 5 2 2 2" xfId="19791" xr:uid="{1BEC94E6-183F-418B-B805-F78995820F02}"/>
    <cellStyle name="Note 2 2 5 2 2 3" xfId="41989" xr:uid="{AD55C532-D574-49BF-9BC5-CEF0829EDE13}"/>
    <cellStyle name="Note 2 2 5 2 2 4" xfId="46483" xr:uid="{92728144-6EB1-4C78-A3AB-5BC57E5BE9B4}"/>
    <cellStyle name="Note 2 2 5 2 2 5" xfId="37915" xr:uid="{E9E7EFFB-9AAC-40A4-9E8A-3F1630C0F30D}"/>
    <cellStyle name="Note 2 2 5 2 2 6" xfId="15123" xr:uid="{7BBFF28A-8171-4099-928F-BB329C5EBC69}"/>
    <cellStyle name="Note 2 2 5 2 2 7" xfId="48204" xr:uid="{D2CED1A5-5598-45D5-A066-350D5401D00A}"/>
    <cellStyle name="Note 2 2 5 2 3" xfId="20519" xr:uid="{F519515E-00A8-4256-AA8C-C62082E91920}"/>
    <cellStyle name="Note 2 2 5 2 4" xfId="20048" xr:uid="{19D37081-272B-4FC4-AC45-CF1A2CC36A22}"/>
    <cellStyle name="Note 2 2 5 2 5" xfId="22082" xr:uid="{F2E91B85-143A-448C-A2E9-7CE7825B9073}"/>
    <cellStyle name="Note 2 2 5 2 6" xfId="21325" xr:uid="{719FD2EA-0495-45B3-9B7A-04262B650367}"/>
    <cellStyle name="Note 2 2 5 2 7" xfId="21632" xr:uid="{1DACCBAA-E4F0-4C78-B87F-10254E09D649}"/>
    <cellStyle name="Note 2 2 5 2 8" xfId="19570" xr:uid="{E7EB080E-F5D1-4CF7-B68C-A192889F1E0A}"/>
    <cellStyle name="Note 2 2 5 2 9" xfId="22545" xr:uid="{E68D4A47-1B6B-4D33-A238-1B8C5C0CC348}"/>
    <cellStyle name="Note 2 2 5 20" xfId="38889" xr:uid="{E6D7F4E4-215A-48C3-879E-E6B18CC9C135}"/>
    <cellStyle name="Note 2 2 5 3" xfId="9303" xr:uid="{00000000-0005-0000-0000-0000740F0000}"/>
    <cellStyle name="Note 2 2 5 3 2" xfId="26337" xr:uid="{FB2003BD-CF68-4C62-9482-4C96D5E3C02E}"/>
    <cellStyle name="Note 2 2 5 3 3" xfId="33168" xr:uid="{1D10BE67-7BBE-43B8-B8B6-0A743F1BA6FD}"/>
    <cellStyle name="Note 2 2 5 3 4" xfId="21461" xr:uid="{964497C8-D45A-42F4-BB2B-3641518EECE4}"/>
    <cellStyle name="Note 2 2 5 3 5" xfId="41826" xr:uid="{6B704B04-10E6-4181-B1CE-58ED016F332F}"/>
    <cellStyle name="Note 2 2 5 3 6" xfId="37709" xr:uid="{1CE5DF50-7CFB-4EE5-9687-1F9A08C0508A}"/>
    <cellStyle name="Note 2 2 5 3 7" xfId="15483" xr:uid="{79959156-6487-4E07-91C8-246613D75386}"/>
    <cellStyle name="Note 2 2 5 3 8" xfId="40524" xr:uid="{5BF351B1-6B42-422F-8BAF-C3960601EB96}"/>
    <cellStyle name="Note 2 2 5 3 9" xfId="49521" xr:uid="{4FBCCD40-84D9-4183-B7F6-00997690A849}"/>
    <cellStyle name="Note 2 2 5 4" xfId="20928" xr:uid="{EB740F70-659A-4300-967A-5BBE4F7ED399}"/>
    <cellStyle name="Note 2 2 5 5" xfId="21998" xr:uid="{AE360C22-6FFD-4BAE-8504-696CF8EE8162}"/>
    <cellStyle name="Note 2 2 5 6" xfId="19077" xr:uid="{30A2D90E-EDFC-4A81-B7AC-DEAAB9C9CBC7}"/>
    <cellStyle name="Note 2 2 5 7" xfId="20815" xr:uid="{E4927195-1A2E-4EDB-9DD0-466FFE76C89F}"/>
    <cellStyle name="Note 2 2 5 8" xfId="20089" xr:uid="{7D7308B0-33A6-4433-907B-EE366F757674}"/>
    <cellStyle name="Note 2 2 5 9" xfId="22190" xr:uid="{70F3CB53-D697-4E18-902B-B0792301977D}"/>
    <cellStyle name="Note 2 2 6" xfId="4853" xr:uid="{00000000-0005-0000-0000-000018130000}"/>
    <cellStyle name="Note 2 2 6 10" xfId="22574" xr:uid="{E9B20ACD-D53F-432F-8CBD-F13D122A3302}"/>
    <cellStyle name="Note 2 2 6 11" xfId="19322" xr:uid="{6A57D767-0585-4ECD-A2C3-121C8181E634}"/>
    <cellStyle name="Note 2 2 6 12" xfId="22787" xr:uid="{90AA6BDA-7FA8-4C29-AD90-898F85ADBDB1}"/>
    <cellStyle name="Note 2 2 6 13" xfId="22820" xr:uid="{D402ABA8-19E6-4B43-93A0-21B8DF80A0FD}"/>
    <cellStyle name="Note 2 2 6 14" xfId="22922" xr:uid="{569B88D7-513D-4497-9982-8D1C2C7F8DC0}"/>
    <cellStyle name="Note 2 2 6 15" xfId="19385" xr:uid="{7D982839-B716-4571-A580-1B551B841EA8}"/>
    <cellStyle name="Note 2 2 6 16" xfId="18744" xr:uid="{10BCC184-3279-43D8-9EAF-D0E568EA21BD}"/>
    <cellStyle name="Note 2 2 6 17" xfId="31815" xr:uid="{AFA4F7BF-8972-4C53-9C7A-1EDF1E36F38F}"/>
    <cellStyle name="Note 2 2 6 18" xfId="16212" xr:uid="{A32D9A6E-BB9B-4ABD-B6E9-50812B579C36}"/>
    <cellStyle name="Note 2 2 6 19" xfId="38890" xr:uid="{7B49987A-28E1-45D2-BDEF-6CFF07F95228}"/>
    <cellStyle name="Note 2 2 6 2" xfId="10377" xr:uid="{00000000-0005-0000-0000-000065200000}"/>
    <cellStyle name="Note 2 2 6 2 2" xfId="27652" xr:uid="{0EAD9610-87A4-4CD8-8E2F-600749FD9A66}"/>
    <cellStyle name="Note 2 2 6 2 3" xfId="34497" xr:uid="{AEDC9C98-B202-4269-A774-8AE4F2BC62D6}"/>
    <cellStyle name="Note 2 2 6 2 4" xfId="19795" xr:uid="{D8507647-A1A7-4591-99D0-2DCB9E437D4B}"/>
    <cellStyle name="Note 2 2 6 2 5" xfId="42866" xr:uid="{6C76C5FD-37FA-455C-8222-9CE07AE7039A}"/>
    <cellStyle name="Note 2 2 6 3" xfId="9340" xr:uid="{00000000-0005-0000-0000-0000CD230000}"/>
    <cellStyle name="Note 2 2 6 3 2" xfId="29733" xr:uid="{642A40C1-59CA-459C-9A04-17F70D078F77}"/>
    <cellStyle name="Note 2 2 6 3 3" xfId="36578" xr:uid="{DC0C4223-1B0F-48C7-82CD-634AF0B5A4AF}"/>
    <cellStyle name="Note 2 2 6 3 4" xfId="21807" xr:uid="{49F42E73-A6E8-4D03-A5C4-FC4FBD55E0E9}"/>
    <cellStyle name="Note 2 2 6 3 5" xfId="41861" xr:uid="{E4D5978A-D18B-44E3-AD7C-044225B715FD}"/>
    <cellStyle name="Note 2 2 6 3 6" xfId="46518" xr:uid="{373C1986-77CC-45CE-9F1C-DA948C26699A}"/>
    <cellStyle name="Note 2 2 6 3 7" xfId="15160" xr:uid="{AC8A9863-97EB-43C6-8EE2-F32B1436D543}"/>
    <cellStyle name="Note 2 2 6 3 8" xfId="47358" xr:uid="{BA35B4E3-B5A7-4306-BE03-C97EC46E5E65}"/>
    <cellStyle name="Note 2 2 6 3 9" xfId="49677" xr:uid="{F32FBF26-AB2D-4FB8-9F83-5ECAFC4271FC}"/>
    <cellStyle name="Note 2 2 6 4" xfId="19744" xr:uid="{290ABFED-4DCB-49B1-AF02-E26872D99B51}"/>
    <cellStyle name="Note 2 2 6 5" xfId="20775" xr:uid="{041FBAE5-4187-48AF-B740-159AD582F6CE}"/>
    <cellStyle name="Note 2 2 6 6" xfId="20265" xr:uid="{28CD697E-DD17-4A72-8C1E-EDA853AA7772}"/>
    <cellStyle name="Note 2 2 6 7" xfId="19084" xr:uid="{5F128C61-A420-473E-8777-09AE9BC5E555}"/>
    <cellStyle name="Note 2 2 6 8" xfId="19618" xr:uid="{23CCFE32-2F89-41EA-AADD-2231420EA528}"/>
    <cellStyle name="Note 2 2 6 9" xfId="22541" xr:uid="{5CCC184A-284F-4EEE-98C2-31F57718FC2E}"/>
    <cellStyle name="Note 2 2 7" xfId="4854" xr:uid="{00000000-0005-0000-0000-000019130000}"/>
    <cellStyle name="Note 2 2 7 10" xfId="21869" xr:uid="{C81BCA55-77D6-48C5-9B32-D13AA1AC64D7}"/>
    <cellStyle name="Note 2 2 7 11" xfId="21773" xr:uid="{C91841BA-0EEA-4ED7-8188-B9487C86AED9}"/>
    <cellStyle name="Note 2 2 7 12" xfId="21328" xr:uid="{5D1B9341-21CC-42F4-92F8-8762C07CDA20}"/>
    <cellStyle name="Note 2 2 7 13" xfId="21491" xr:uid="{C2CC1BA1-465D-42C6-ACAD-B8E1A39825EF}"/>
    <cellStyle name="Note 2 2 7 14" xfId="22436" xr:uid="{25F806C3-0AB8-4901-AA26-51544603CD5B}"/>
    <cellStyle name="Note 2 2 7 15" xfId="20818" xr:uid="{0A075130-0566-4A17-B378-11FB3848D0E0}"/>
    <cellStyle name="Note 2 2 7 16" xfId="18190" xr:uid="{9088848C-3735-4002-BF06-5A8982412310}"/>
    <cellStyle name="Note 2 2 7 17" xfId="23349" xr:uid="{21AF3201-CBB6-4D37-A16F-9A0E86F933AE}"/>
    <cellStyle name="Note 2 2 7 18" xfId="17354" xr:uid="{FEECF06B-47D8-4CA8-A756-1F38C487B785}"/>
    <cellStyle name="Note 2 2 7 19" xfId="38891" xr:uid="{C2FC90B1-64BC-40AD-96C1-95338C523F76}"/>
    <cellStyle name="Note 2 2 7 2" xfId="10378" xr:uid="{00000000-0005-0000-0000-000066200000}"/>
    <cellStyle name="Note 2 2 7 2 2" xfId="26456" xr:uid="{46BCDA11-8607-47F7-81CA-6C5377E9F609}"/>
    <cellStyle name="Note 2 2 7 2 3" xfId="33296" xr:uid="{5B1D6260-32E4-4AC3-80A1-02462F9B6F90}"/>
    <cellStyle name="Note 2 2 7 2 4" xfId="20356" xr:uid="{F9674463-4100-467A-9501-E8AA6D8299FE}"/>
    <cellStyle name="Note 2 2 7 2 5" xfId="42867" xr:uid="{78C96CF4-D8E0-42C6-B28B-D3D015296719}"/>
    <cellStyle name="Note 2 2 7 3" xfId="19621" xr:uid="{7228EA60-810D-4FB0-A173-5C3910E172F7}"/>
    <cellStyle name="Note 2 2 7 3 2" xfId="26227" xr:uid="{08760D0C-DF8A-424C-8FD1-9095970738F2}"/>
    <cellStyle name="Note 2 2 7 3 3" xfId="33055" xr:uid="{96502496-07A3-4C3B-99EC-A8DC17905890}"/>
    <cellStyle name="Note 2 2 7 4" xfId="21653" xr:uid="{5EE40E54-EC22-4E46-B6F2-80D77DCE6004}"/>
    <cellStyle name="Note 2 2 7 5" xfId="21693" xr:uid="{E3885598-AF5D-4ADB-B534-E4E5972EE127}"/>
    <cellStyle name="Note 2 2 7 6" xfId="21409" xr:uid="{DF86466C-8E63-46D7-98BE-FACB8DFBE37D}"/>
    <cellStyle name="Note 2 2 7 7" xfId="19830" xr:uid="{89AE8BEC-8826-4F8D-A52C-D51494FDFDFF}"/>
    <cellStyle name="Note 2 2 7 8" xfId="21015" xr:uid="{081A9E53-2C11-4C69-AB70-42247744192C}"/>
    <cellStyle name="Note 2 2 7 9" xfId="21917" xr:uid="{B732AB1C-B13C-49B8-9FE9-A5C7CD14009E}"/>
    <cellStyle name="Note 2 2 8" xfId="10365" xr:uid="{00000000-0005-0000-0000-000059200000}"/>
    <cellStyle name="Note 2 2 8 2" xfId="27884" xr:uid="{853D03AF-77F1-413B-BBEA-4D102554737F}"/>
    <cellStyle name="Note 2 2 8 2 2" xfId="34729" xr:uid="{C181076A-6A5A-4951-AFC0-A1DF535F3A83}"/>
    <cellStyle name="Note 2 2 8 3" xfId="29965" xr:uid="{C6B2069E-A040-4150-860C-FF20E86A0472}"/>
    <cellStyle name="Note 2 2 8 3 2" xfId="36810" xr:uid="{460C15E1-A949-454B-8412-1BF0203A7C59}"/>
    <cellStyle name="Note 2 2 8 4" xfId="25212" xr:uid="{71E94AAE-6152-4BF4-BA01-41EA262FF918}"/>
    <cellStyle name="Note 2 2 8 5" xfId="32047" xr:uid="{B84A8821-63FC-464B-838E-E6D0D41D466D}"/>
    <cellStyle name="Note 2 2 8 6" xfId="17399" xr:uid="{ABE07C3A-102B-4324-9ED8-F53A6571D71E}"/>
    <cellStyle name="Note 2 2 8 7" xfId="42854" xr:uid="{4D4CB858-4088-4DE5-89F2-767A070722A3}"/>
    <cellStyle name="Note 2 2 9" xfId="8121" xr:uid="{00000000-0005-0000-0000-0000740F0000}"/>
    <cellStyle name="Note 2 2 9 10" xfId="14146" xr:uid="{5D9C4ED4-4912-4DBC-B357-DA0E2011B070}"/>
    <cellStyle name="Note 2 2 9 2" xfId="26531" xr:uid="{F6E9DE13-A123-4E82-814F-E52001130F44}"/>
    <cellStyle name="Note 2 2 9 2 2" xfId="33371" xr:uid="{E5DA5053-2157-4E24-A8A7-FFB387F0F225}"/>
    <cellStyle name="Note 2 2 9 3" xfId="26154" xr:uid="{98A7764B-B948-45F7-B36E-BFA1609A210C}"/>
    <cellStyle name="Note 2 2 9 3 2" xfId="32982" xr:uid="{091BF9E2-C67A-4292-8B15-F9908BDC1D6D}"/>
    <cellStyle name="Note 2 2 9 4" xfId="23276" xr:uid="{0D0FCA40-F076-4460-B4EC-2A431FF373D5}"/>
    <cellStyle name="Note 2 2 9 5" xfId="23913" xr:uid="{C9446236-D188-49C7-B58E-A4B5D9FC7B2B}"/>
    <cellStyle name="Note 2 2 9 6" xfId="40923" xr:uid="{14B15EA0-CE5D-47F8-8DC0-3FB985EE4111}"/>
    <cellStyle name="Note 2 2 9 7" xfId="14195" xr:uid="{9EB8F681-7184-45C4-985E-506C86F03F5F}"/>
    <cellStyle name="Note 2 2 9 8" xfId="48941" xr:uid="{4E8C2D18-544E-41BD-9219-6DF7FEA0657C}"/>
    <cellStyle name="Note 2 2 9 9" xfId="49055" xr:uid="{5D988545-1C95-41AA-812D-88CFF499C5EB}"/>
    <cellStyle name="Note 2 20" xfId="25501" xr:uid="{7DC5AE4F-0714-41F5-A3A0-C71F3BA6B4DE}"/>
    <cellStyle name="Note 2 20 2" xfId="28168" xr:uid="{86C13300-A20B-4A45-8C1A-B23047CE20FA}"/>
    <cellStyle name="Note 2 20 2 2" xfId="35013" xr:uid="{8FC55F6A-4C91-46C8-ACE7-F39EF9E55D6F}"/>
    <cellStyle name="Note 2 20 3" xfId="30249" xr:uid="{6FC65CF4-4189-4877-AD69-63FBE4E1B8DB}"/>
    <cellStyle name="Note 2 20 3 2" xfId="37094" xr:uid="{264CCDB1-9F7B-4345-AAD0-FA8A5E656283}"/>
    <cellStyle name="Note 2 20 4" xfId="32331" xr:uid="{AB71AA59-DF18-4044-A558-DE15930FF503}"/>
    <cellStyle name="Note 2 21" xfId="25583" xr:uid="{D950CC9F-098E-439D-87C8-DBE580FF50AC}"/>
    <cellStyle name="Note 2 21 2" xfId="28250" xr:uid="{3094DD78-B1C5-4B34-8CA2-779B2A2BD997}"/>
    <cellStyle name="Note 2 21 2 2" xfId="35095" xr:uid="{68727A66-4B2A-4A8F-956F-591E8E4E1605}"/>
    <cellStyle name="Note 2 21 3" xfId="30331" xr:uid="{FE849381-F4B3-4395-9CF1-9905C0ADB995}"/>
    <cellStyle name="Note 2 21 3 2" xfId="37176" xr:uid="{0B99972E-8865-4F55-A39F-B5501125C02F}"/>
    <cellStyle name="Note 2 21 4" xfId="32413" xr:uid="{C4D40086-5944-4B6F-B52E-593126A34B8B}"/>
    <cellStyle name="Note 2 22" xfId="25912" xr:uid="{44BC97C9-5F48-41F3-B880-755A82BF9A2C}"/>
    <cellStyle name="Note 2 22 2" xfId="28578" xr:uid="{AE97A043-4087-401B-B626-BA44C8F58DB4}"/>
    <cellStyle name="Note 2 22 2 2" xfId="35423" xr:uid="{0C481813-CAB4-4740-8F50-D27A9C359A0C}"/>
    <cellStyle name="Note 2 22 3" xfId="30659" xr:uid="{77BD8FD2-6F97-4EE5-8C98-C977509DF9B0}"/>
    <cellStyle name="Note 2 22 3 2" xfId="37504" xr:uid="{6DE71BD1-C3F3-4C5B-A8CB-E22D4A4CF0BC}"/>
    <cellStyle name="Note 2 22 4" xfId="32741" xr:uid="{644CDF82-DCFD-47C4-A314-5439168F2FA3}"/>
    <cellStyle name="Note 2 23" xfId="25380" xr:uid="{8BBE7517-3286-43BF-AC81-87061FED694A}"/>
    <cellStyle name="Note 2 23 2" xfId="28047" xr:uid="{19A239DA-613B-430E-8977-39137E07F5A2}"/>
    <cellStyle name="Note 2 23 2 2" xfId="34892" xr:uid="{78FEC35C-5E32-4777-AD36-270008436C5A}"/>
    <cellStyle name="Note 2 23 3" xfId="30128" xr:uid="{0613D420-CFC1-4123-B957-B71E1D389567}"/>
    <cellStyle name="Note 2 23 3 2" xfId="36973" xr:uid="{5AC1F698-29BC-44B0-833D-D077B641707A}"/>
    <cellStyle name="Note 2 23 4" xfId="32210" xr:uid="{4FAC7C40-CB8D-4603-9191-D212B118A5FD}"/>
    <cellStyle name="Note 2 24" xfId="25878" xr:uid="{0B6410EF-EBDF-4B34-A3FB-CE65CA045BCA}"/>
    <cellStyle name="Note 2 24 2" xfId="28544" xr:uid="{AF04B49A-EFF4-4E06-B76D-9DF5F06844BD}"/>
    <cellStyle name="Note 2 24 2 2" xfId="35389" xr:uid="{BE08E687-864B-4C82-8F8F-6E5663DD3EBD}"/>
    <cellStyle name="Note 2 24 3" xfId="30625" xr:uid="{819E539B-43C8-44FD-935A-1933FC30D0E2}"/>
    <cellStyle name="Note 2 24 3 2" xfId="37470" xr:uid="{25F45AB1-FE8D-47C1-A775-BA8BCDCD14DC}"/>
    <cellStyle name="Note 2 24 4" xfId="32707" xr:uid="{DBE6D1A9-F600-476D-928D-BE2EE18D9CDD}"/>
    <cellStyle name="Note 2 25" xfId="23694" xr:uid="{BA98E7C3-3F63-4880-858F-F3311D263FC1}"/>
    <cellStyle name="Note 2 26" xfId="13645" xr:uid="{1FB1D3CB-AD5E-4E7D-A5F4-52B948D81F7E}"/>
    <cellStyle name="Note 2 27" xfId="38871" xr:uid="{E719412D-89CD-4F2E-B756-A3184C2D77C5}"/>
    <cellStyle name="Note 2 3" xfId="4855" xr:uid="{00000000-0005-0000-0000-00001A130000}"/>
    <cellStyle name="Note 2 3 10" xfId="24800" xr:uid="{C2A3C991-7459-4FF7-A679-41214316FEEE}"/>
    <cellStyle name="Note 2 3 10 2" xfId="27453" xr:uid="{E6796F1B-CE96-4393-B370-A64C06C4B982}"/>
    <cellStyle name="Note 2 3 10 2 2" xfId="34297" xr:uid="{46E42141-DECD-4198-B8C4-21B8A6E8284D}"/>
    <cellStyle name="Note 2 3 10 3" xfId="29533" xr:uid="{EE583F5F-2949-4EA1-88C1-AA69A174954F}"/>
    <cellStyle name="Note 2 3 10 3 2" xfId="36378" xr:uid="{90675369-B523-4913-9AAB-5AC954482DCD}"/>
    <cellStyle name="Note 2 3 10 4" xfId="31615" xr:uid="{FEE88E0D-44EE-41AC-AB25-29AEBA6AE152}"/>
    <cellStyle name="Note 2 3 11" xfId="24464" xr:uid="{F13D4A58-CFE8-4930-BE19-A44A296AA187}"/>
    <cellStyle name="Note 2 3 11 2" xfId="27080" xr:uid="{5EC5254D-1ACF-49ED-8469-AD84164501DF}"/>
    <cellStyle name="Note 2 3 11 2 2" xfId="33920" xr:uid="{D302D558-8012-49AF-A106-64F9CCA777B1}"/>
    <cellStyle name="Note 2 3 11 3" xfId="29156" xr:uid="{BA35FA20-9BAD-4565-9C23-3F1A75725C2B}"/>
    <cellStyle name="Note 2 3 11 3 2" xfId="36001" xr:uid="{C9416B94-27BC-411A-8F7C-180BF8FAC7E2}"/>
    <cellStyle name="Note 2 3 11 4" xfId="31238" xr:uid="{5D8F1E0C-2A31-4B42-81FB-783907609D6F}"/>
    <cellStyle name="Note 2 3 12" xfId="25460" xr:uid="{CF0164B8-C82C-401E-9E5B-16718848FA9D}"/>
    <cellStyle name="Note 2 3 12 2" xfId="28127" xr:uid="{D5C9D939-E11F-451E-8EF1-4BE5D8365BA8}"/>
    <cellStyle name="Note 2 3 12 2 2" xfId="34972" xr:uid="{0DAF145B-2D0B-4CE0-BF92-0F4092DB3538}"/>
    <cellStyle name="Note 2 3 12 3" xfId="30208" xr:uid="{94932C5A-680C-4561-9E83-A4F1054B524A}"/>
    <cellStyle name="Note 2 3 12 3 2" xfId="37053" xr:uid="{DFFB186C-009A-4315-BF71-53F4883BE002}"/>
    <cellStyle name="Note 2 3 12 4" xfId="32290" xr:uid="{6DADDE31-2EBA-44F6-85D2-250E8A9A0BB7}"/>
    <cellStyle name="Note 2 3 13" xfId="24577" xr:uid="{1A3557F6-21FA-4C46-AD18-A22D21CC3178}"/>
    <cellStyle name="Note 2 3 13 2" xfId="27168" xr:uid="{2CE8F71F-B0DD-4951-B289-C67A9F5781E3}"/>
    <cellStyle name="Note 2 3 13 2 2" xfId="34009" xr:uid="{AD04F8F5-F3E5-45D8-905C-A99D8064BEB4}"/>
    <cellStyle name="Note 2 3 13 3" xfId="29245" xr:uid="{6F065289-5BD8-4C6F-BB53-ADC7596947B2}"/>
    <cellStyle name="Note 2 3 13 3 2" xfId="36090" xr:uid="{9D3E7229-6E46-48B4-987C-1FABA8DE5DF5}"/>
    <cellStyle name="Note 2 3 13 4" xfId="31327" xr:uid="{3E471055-EFC4-4D45-81E3-7AF6A95C4D5A}"/>
    <cellStyle name="Note 2 3 14" xfId="24309" xr:uid="{79DA9086-5CE8-4972-AE17-42D67CDB8AB1}"/>
    <cellStyle name="Note 2 3 14 2" xfId="26915" xr:uid="{E8F115C1-1022-4D8C-BCB5-43C9BFB6935F}"/>
    <cellStyle name="Note 2 3 14 2 2" xfId="33755" xr:uid="{3C07BE7B-8F18-48EF-BD8A-591CF55B1958}"/>
    <cellStyle name="Note 2 3 14 3" xfId="28991" xr:uid="{36D2C5A6-E074-4B32-B511-CADF15F94681}"/>
    <cellStyle name="Note 2 3 14 3 2" xfId="35836" xr:uid="{3564AB01-171D-42DA-AE6B-FD411151E6FE}"/>
    <cellStyle name="Note 2 3 14 4" xfId="31073" xr:uid="{0F533BBB-268A-40EC-8C28-8AC4E80C93EE}"/>
    <cellStyle name="Note 2 3 15" xfId="25913" xr:uid="{96B9D746-F052-4FF7-B41B-92B164D9CF37}"/>
    <cellStyle name="Note 2 3 15 2" xfId="28579" xr:uid="{102D29A2-327B-4F52-B06E-ABB40620C721}"/>
    <cellStyle name="Note 2 3 15 2 2" xfId="35424" xr:uid="{0445158F-34C4-443E-BD1E-12BB78C953A0}"/>
    <cellStyle name="Note 2 3 15 3" xfId="30660" xr:uid="{ACA3B337-6024-49C1-945C-6763F140BA49}"/>
    <cellStyle name="Note 2 3 15 3 2" xfId="37505" xr:uid="{EACFEE88-2D70-4D92-B404-8B51C94E5072}"/>
    <cellStyle name="Note 2 3 15 4" xfId="32742" xr:uid="{CD7C62CF-2C7F-4B9B-BC6C-65242F36CA76}"/>
    <cellStyle name="Note 2 3 16" xfId="25690" xr:uid="{8DC65D13-2A41-4590-B656-93734E96284F}"/>
    <cellStyle name="Note 2 3 16 2" xfId="28357" xr:uid="{8EC1D474-97C2-49ED-8D9F-5F6FA06F4C79}"/>
    <cellStyle name="Note 2 3 16 2 2" xfId="35202" xr:uid="{D90C534C-3DE6-4EFC-9AD5-507DD622E395}"/>
    <cellStyle name="Note 2 3 16 3" xfId="30438" xr:uid="{FBC45F2E-5CAA-4617-8115-E2B4F78496C6}"/>
    <cellStyle name="Note 2 3 16 3 2" xfId="37283" xr:uid="{9BD00C3B-AD11-4A4D-9539-93985D52DC59}"/>
    <cellStyle name="Note 2 3 16 4" xfId="32520" xr:uid="{75D73E24-7448-4A10-ACA5-D887513CC270}"/>
    <cellStyle name="Note 2 3 17" xfId="25282" xr:uid="{1E280C87-0AA9-4CA6-A2E4-8EABC5B3C1CA}"/>
    <cellStyle name="Note 2 3 17 2" xfId="27953" xr:uid="{2F6C5661-2784-4FC8-A798-933B48256760}"/>
    <cellStyle name="Note 2 3 17 2 2" xfId="34798" xr:uid="{58CD7348-87F2-424F-9DA6-15E7983BD664}"/>
    <cellStyle name="Note 2 3 17 3" xfId="30034" xr:uid="{6B64551A-D5DE-40AF-959F-0F4C10A0CB18}"/>
    <cellStyle name="Note 2 3 17 3 2" xfId="36879" xr:uid="{070017A9-28B7-4C52-8644-5D572069AED9}"/>
    <cellStyle name="Note 2 3 17 4" xfId="32116" xr:uid="{52334EB4-DA0B-4DDF-96A9-38916CDBFDAB}"/>
    <cellStyle name="Note 2 3 18" xfId="23692" xr:uid="{46C31A69-C7F3-49D3-AED0-AC638A38F9EC}"/>
    <cellStyle name="Note 2 3 19" xfId="13648" xr:uid="{3BDEEC46-9ABC-4A04-A6FA-48E5D0EA5123}"/>
    <cellStyle name="Note 2 3 2" xfId="4856" xr:uid="{00000000-0005-0000-0000-00001B130000}"/>
    <cellStyle name="Note 2 3 2 10" xfId="24125" xr:uid="{8CCC7E99-7284-4EFC-ACB2-556FC83BBD92}"/>
    <cellStyle name="Note 2 3 2 10 2" xfId="26737" xr:uid="{3E15FDB6-DF8E-47B9-AC1D-CA3F89C51E78}"/>
    <cellStyle name="Note 2 3 2 10 2 2" xfId="33577" xr:uid="{C5B1576F-1850-40D9-9197-103270873EE0}"/>
    <cellStyle name="Note 2 3 2 10 3" xfId="28813" xr:uid="{8E4CE0AC-F31C-483B-A11E-D9D563F3BA14}"/>
    <cellStyle name="Note 2 3 2 10 3 2" xfId="35658" xr:uid="{477D76D4-763B-49D6-A581-E9229C645B13}"/>
    <cellStyle name="Note 2 3 2 10 4" xfId="30895" xr:uid="{D63BB365-2FAA-4D35-B5E0-79837EBF0F5C}"/>
    <cellStyle name="Note 2 3 2 11" xfId="24617" xr:uid="{66A4672E-2251-4380-B710-82E855981323}"/>
    <cellStyle name="Note 2 3 2 11 2" xfId="27230" xr:uid="{56DCD6AC-1DF8-48BF-9C8F-8F98D7D914F9}"/>
    <cellStyle name="Note 2 3 2 11 2 2" xfId="34071" xr:uid="{02CCFDD4-5ABC-475D-8F49-FA1CF27E37CC}"/>
    <cellStyle name="Note 2 3 2 11 3" xfId="29307" xr:uid="{9A279FDB-977F-4BF6-A5A6-56C82DB94EA7}"/>
    <cellStyle name="Note 2 3 2 11 3 2" xfId="36152" xr:uid="{5BDEDE5C-B8E2-48AF-899B-C2008BB3D757}"/>
    <cellStyle name="Note 2 3 2 11 4" xfId="31389" xr:uid="{E96FE687-8FC6-46AB-8ED2-5B1BF7C16283}"/>
    <cellStyle name="Note 2 3 2 12" xfId="24401" xr:uid="{56925BEE-9EEA-43C0-9279-E91AFBBA6B23}"/>
    <cellStyle name="Note 2 3 2 12 2" xfId="27017" xr:uid="{B1582391-8238-4E87-B2A7-93D8A8117D1B}"/>
    <cellStyle name="Note 2 3 2 12 2 2" xfId="33857" xr:uid="{0AAEA916-DC1A-4457-A992-143383D99965}"/>
    <cellStyle name="Note 2 3 2 12 3" xfId="29093" xr:uid="{A30CD196-03F5-473D-8571-384358BE1B79}"/>
    <cellStyle name="Note 2 3 2 12 3 2" xfId="35938" xr:uid="{81D4876F-9080-40C2-AED6-3D4BDCA7366D}"/>
    <cellStyle name="Note 2 3 2 12 4" xfId="31175" xr:uid="{9FFE453F-4289-44BB-9FAA-E0851297FE33}"/>
    <cellStyle name="Note 2 3 2 13" xfId="25509" xr:uid="{849E8E06-AE94-4D0C-8DA6-ADB86E5E7EEE}"/>
    <cellStyle name="Note 2 3 2 13 2" xfId="28176" xr:uid="{A0EDED37-75B2-4436-81FB-5B95F5936312}"/>
    <cellStyle name="Note 2 3 2 13 2 2" xfId="35021" xr:uid="{9F4AB4F0-EA92-4223-BB95-454696DFB685}"/>
    <cellStyle name="Note 2 3 2 13 3" xfId="30257" xr:uid="{1B8D6B8D-5339-45D0-93E8-A5EB2EAFBDAB}"/>
    <cellStyle name="Note 2 3 2 13 3 2" xfId="37102" xr:uid="{7895FB7E-D8C2-4189-9BB6-2D1598B995DC}"/>
    <cellStyle name="Note 2 3 2 13 4" xfId="32339" xr:uid="{CB5A35F9-3650-49B9-B8AD-17B91CB6DED2}"/>
    <cellStyle name="Note 2 3 2 14" xfId="25545" xr:uid="{47432787-88A4-490F-9FD8-B45F96107390}"/>
    <cellStyle name="Note 2 3 2 14 2" xfId="28212" xr:uid="{172DEE30-7B25-47D7-9FD9-34D3076731CC}"/>
    <cellStyle name="Note 2 3 2 14 2 2" xfId="35057" xr:uid="{038EB91F-749F-49D2-8A73-BC22915F7497}"/>
    <cellStyle name="Note 2 3 2 14 3" xfId="30293" xr:uid="{027565F7-0D42-419E-B341-67396E6BCE9F}"/>
    <cellStyle name="Note 2 3 2 14 3 2" xfId="37138" xr:uid="{91A5AF3B-10CE-4672-8D39-8CC8068C98E0}"/>
    <cellStyle name="Note 2 3 2 14 4" xfId="32375" xr:uid="{DB8F2FB3-94D9-4348-884A-A3C6C839FE0D}"/>
    <cellStyle name="Note 2 3 2 15" xfId="25685" xr:uid="{872CCD0C-2B3E-4A2B-AB9F-9149352FC5C5}"/>
    <cellStyle name="Note 2 3 2 15 2" xfId="28352" xr:uid="{9A3C42F8-5B19-4225-A474-EA372A82F159}"/>
    <cellStyle name="Note 2 3 2 15 2 2" xfId="35197" xr:uid="{8151CDCF-D941-4610-BBA9-D26F0FA0DA41}"/>
    <cellStyle name="Note 2 3 2 15 3" xfId="30433" xr:uid="{E515E425-6EA5-4CFA-9F8E-96DCD07BB87B}"/>
    <cellStyle name="Note 2 3 2 15 3 2" xfId="37278" xr:uid="{13E5B815-B438-4E51-89AF-B3E8E0A42EC3}"/>
    <cellStyle name="Note 2 3 2 15 4" xfId="32515" xr:uid="{5016D163-B40E-4748-A683-B5041794E70A}"/>
    <cellStyle name="Note 2 3 2 16" xfId="25870" xr:uid="{CFA0D756-A33E-417B-BC56-249758D31351}"/>
    <cellStyle name="Note 2 3 2 16 2" xfId="28536" xr:uid="{1593C55D-5521-45D4-B01B-4C086BE87BD2}"/>
    <cellStyle name="Note 2 3 2 16 2 2" xfId="35381" xr:uid="{1187522C-2FA8-42A7-98BF-15E29FA2EB29}"/>
    <cellStyle name="Note 2 3 2 16 3" xfId="30617" xr:uid="{7F87D2D2-5DFB-419A-B9C4-A84A9F9A15FD}"/>
    <cellStyle name="Note 2 3 2 16 3 2" xfId="37462" xr:uid="{F9DB9F0E-7AF5-486E-B72C-7A475544A054}"/>
    <cellStyle name="Note 2 3 2 16 4" xfId="32699" xr:uid="{8A1D9EBD-C942-4B83-A5F7-FC1F09622333}"/>
    <cellStyle name="Note 2 3 2 17" xfId="25159" xr:uid="{B0E1E986-01A8-455F-85A5-5AF23FFDD51C}"/>
    <cellStyle name="Note 2 3 2 17 2" xfId="27831" xr:uid="{EEBB1D3C-3BCA-4895-8058-FB60F1A22EC6}"/>
    <cellStyle name="Note 2 3 2 17 2 2" xfId="34676" xr:uid="{C686BEE0-D154-44D0-991B-C63C0A8104D1}"/>
    <cellStyle name="Note 2 3 2 17 3" xfId="29912" xr:uid="{505CC147-A43A-471E-8411-697FC4317BDA}"/>
    <cellStyle name="Note 2 3 2 17 3 2" xfId="36757" xr:uid="{65F1D6F3-661E-4F09-8A81-FDEA22F57A31}"/>
    <cellStyle name="Note 2 3 2 17 4" xfId="31994" xr:uid="{F749A863-27A3-4C23-89AC-72E1B2508983}"/>
    <cellStyle name="Note 2 3 2 18" xfId="25143" xr:uid="{06BA1D11-9A11-4FA0-9AB8-0F2D36BFA325}"/>
    <cellStyle name="Note 2 3 2 18 2" xfId="27815" xr:uid="{0F905174-134C-45A0-BD6B-F0FDB51CD603}"/>
    <cellStyle name="Note 2 3 2 18 2 2" xfId="34660" xr:uid="{245DCA3F-4B76-4415-9DD3-16DCB7CCCC90}"/>
    <cellStyle name="Note 2 3 2 18 3" xfId="29896" xr:uid="{EB4B8CE6-D7ED-4DE0-AD82-F3C3D0450FB8}"/>
    <cellStyle name="Note 2 3 2 18 3 2" xfId="36741" xr:uid="{D2F22033-6AC6-4972-B95A-EDFCC4D5B0C4}"/>
    <cellStyle name="Note 2 3 2 18 4" xfId="31978" xr:uid="{B514F487-CD76-4304-854E-1FD74CB8E5DB}"/>
    <cellStyle name="Note 2 3 2 19" xfId="23131" xr:uid="{92A76096-C919-4734-81D2-77ABDC713CBC}"/>
    <cellStyle name="Note 2 3 2 2" xfId="4857" xr:uid="{00000000-0005-0000-0000-00001C130000}"/>
    <cellStyle name="Note 2 3 2 2 10" xfId="25440" xr:uid="{812C5E1D-4580-4A9D-ADF4-6AE1153B7AD7}"/>
    <cellStyle name="Note 2 3 2 2 10 2" xfId="28107" xr:uid="{E84545DA-2521-4510-B793-C4CE80B29B2E}"/>
    <cellStyle name="Note 2 3 2 2 10 2 2" xfId="34952" xr:uid="{F7AE0AAA-82FC-4E85-ACE5-C7E52C13A88D}"/>
    <cellStyle name="Note 2 3 2 2 10 3" xfId="30188" xr:uid="{E05D8523-2AF5-4E81-857D-41E3CF79799E}"/>
    <cellStyle name="Note 2 3 2 2 10 3 2" xfId="37033" xr:uid="{E860AC3D-45CD-42A4-800B-A6C5F9E19085}"/>
    <cellStyle name="Note 2 3 2 2 10 4" xfId="32270" xr:uid="{A4AC92BB-64BB-43BA-8934-F3416BAE2EEB}"/>
    <cellStyle name="Note 2 3 2 2 11" xfId="24249" xr:uid="{2EE7AFA7-D06F-4077-98F9-612422DF5811}"/>
    <cellStyle name="Note 2 3 2 2 11 2" xfId="26856" xr:uid="{332BA9EC-6184-4FB3-A588-6270E3A03CCA}"/>
    <cellStyle name="Note 2 3 2 2 11 2 2" xfId="33696" xr:uid="{B4309304-2CB4-49FA-9D49-9C41EBE22035}"/>
    <cellStyle name="Note 2 3 2 2 11 3" xfId="28932" xr:uid="{3EE0442C-7397-4A4E-A38D-7B965E4DAAEB}"/>
    <cellStyle name="Note 2 3 2 2 11 3 2" xfId="35777" xr:uid="{244170EA-DB10-4125-9218-7B2F292E88CF}"/>
    <cellStyle name="Note 2 3 2 2 11 4" xfId="31014" xr:uid="{73DCDF92-64B1-4D20-AF80-38F4B78DCCEF}"/>
    <cellStyle name="Note 2 3 2 2 12" xfId="25435" xr:uid="{B9C35965-3C1C-4AC7-A36E-D60CC697F2B1}"/>
    <cellStyle name="Note 2 3 2 2 12 2" xfId="28102" xr:uid="{B9574AA4-3D2C-4DA3-93B9-1A27228FC377}"/>
    <cellStyle name="Note 2 3 2 2 12 2 2" xfId="34947" xr:uid="{4A34FCFA-1F44-41FC-82BE-17406EF65258}"/>
    <cellStyle name="Note 2 3 2 2 12 3" xfId="30183" xr:uid="{B9BB5D32-308D-4FFC-BE1B-B21574B74A51}"/>
    <cellStyle name="Note 2 3 2 2 12 3 2" xfId="37028" xr:uid="{1C5F58B6-A8DF-4501-9251-A643088EAD67}"/>
    <cellStyle name="Note 2 3 2 2 12 4" xfId="32265" xr:uid="{A92E3454-374D-4FFC-AC1C-E52AA45A7E9E}"/>
    <cellStyle name="Note 2 3 2 2 13" xfId="25408" xr:uid="{CA91A506-F73D-411F-A14B-1BE75DC6C7C4}"/>
    <cellStyle name="Note 2 3 2 2 13 2" xfId="28075" xr:uid="{E30406B5-F493-4CCE-8944-E7DCC9A88F1A}"/>
    <cellStyle name="Note 2 3 2 2 13 2 2" xfId="34920" xr:uid="{128AD292-3378-44C1-BF6D-F227B8332BF9}"/>
    <cellStyle name="Note 2 3 2 2 13 3" xfId="30156" xr:uid="{48F6C555-B92D-4C56-A56A-D3C445F6FA9F}"/>
    <cellStyle name="Note 2 3 2 2 13 3 2" xfId="37001" xr:uid="{1282A4A9-572A-4206-87A8-CE4B84AD6AAD}"/>
    <cellStyle name="Note 2 3 2 2 13 4" xfId="32238" xr:uid="{51D3555B-E41A-4897-B18D-601C66626629}"/>
    <cellStyle name="Note 2 3 2 2 14" xfId="24609" xr:uid="{00AAA23B-159F-4D94-AE24-C482F14A7324}"/>
    <cellStyle name="Note 2 3 2 2 14 2" xfId="27206" xr:uid="{77CDE8CA-CBA6-499F-BD1A-6DA1D23FDC9F}"/>
    <cellStyle name="Note 2 3 2 2 14 2 2" xfId="34047" xr:uid="{EBE826F9-8585-4F88-A3CC-3042A1CA4E1A}"/>
    <cellStyle name="Note 2 3 2 2 14 3" xfId="29283" xr:uid="{9C5CACA3-65E0-493F-A77A-B34BBB7D05A4}"/>
    <cellStyle name="Note 2 3 2 2 14 3 2" xfId="36128" xr:uid="{FCB22B99-8B84-4C1A-9368-3EE3E2C6C5ED}"/>
    <cellStyle name="Note 2 3 2 2 14 4" xfId="31365" xr:uid="{E27B491E-D40A-4308-85D9-27C96645F02B}"/>
    <cellStyle name="Note 2 3 2 2 15" xfId="23924" xr:uid="{EF68A2FF-9D00-4D8F-9EE5-DC22605C1731}"/>
    <cellStyle name="Note 2 3 2 2 15 2" xfId="26542" xr:uid="{7A91BA7F-F220-4A76-88BE-153F0FEAB408}"/>
    <cellStyle name="Note 2 3 2 2 15 2 2" xfId="33382" xr:uid="{95501109-BFBD-45EE-A487-7719BFB6F74A}"/>
    <cellStyle name="Note 2 3 2 2 15 3" xfId="26143" xr:uid="{104D92BB-084B-48B4-A618-ED0076917B66}"/>
    <cellStyle name="Note 2 3 2 2 15 3 2" xfId="32971" xr:uid="{3D154767-944A-43A9-A5E9-6A121B2FAF8F}"/>
    <cellStyle name="Note 2 3 2 2 15 4" xfId="23265" xr:uid="{613C3F21-7047-480B-B26D-3A611208454B}"/>
    <cellStyle name="Note 2 3 2 2 16" xfId="25988" xr:uid="{B56D1479-F03B-47F0-AFB8-4A2D96541E20}"/>
    <cellStyle name="Note 2 3 2 2 16 2" xfId="28654" xr:uid="{600D60C1-1645-44AB-AA11-985BE51D86BE}"/>
    <cellStyle name="Note 2 3 2 2 16 2 2" xfId="35499" xr:uid="{AE961A0A-0943-47EB-BABF-8E1790877B7C}"/>
    <cellStyle name="Note 2 3 2 2 16 3" xfId="30735" xr:uid="{7C549BC4-80F8-44FF-B7B1-C4CA1450FB5F}"/>
    <cellStyle name="Note 2 3 2 2 16 3 2" xfId="37580" xr:uid="{F9AC8A2C-2CB3-4CDD-A2CA-684B591D2BE9}"/>
    <cellStyle name="Note 2 3 2 2 16 4" xfId="32817" xr:uid="{E188A188-CC5A-49A3-9E68-4521B5DD7F52}"/>
    <cellStyle name="Note 2 3 2 2 17" xfId="23103" xr:uid="{0D0C218B-A90B-4445-A2B5-5F6D8390EAF6}"/>
    <cellStyle name="Note 2 3 2 2 18" xfId="16222" xr:uid="{400A5CEE-D027-41DB-A665-87AA607B1F1D}"/>
    <cellStyle name="Note 2 3 2 2 19" xfId="38894" xr:uid="{9562FD81-2291-4D49-A26C-299F9D607BBF}"/>
    <cellStyle name="Note 2 3 2 2 2" xfId="10381" xr:uid="{00000000-0005-0000-0000-000069200000}"/>
    <cellStyle name="Note 2 3 2 2 2 10" xfId="23939" xr:uid="{87C36E26-A4F0-4D73-A7F9-149E46A8236F}"/>
    <cellStyle name="Note 2 3 2 2 2 10 2" xfId="26557" xr:uid="{E81136E1-A050-4A7A-BA17-1CEEE2F5E64F}"/>
    <cellStyle name="Note 2 3 2 2 2 10 2 2" xfId="33397" xr:uid="{35AC7AE7-A0A4-4510-94E1-6BE1D266B9CB}"/>
    <cellStyle name="Note 2 3 2 2 2 10 3" xfId="26128" xr:uid="{E3128226-EBFB-410D-8B58-9A02E0CC359C}"/>
    <cellStyle name="Note 2 3 2 2 2 10 3 2" xfId="32956" xr:uid="{19B805FA-ECA2-4CDA-B8DF-15B8DC812012}"/>
    <cellStyle name="Note 2 3 2 2 2 10 4" xfId="23250" xr:uid="{41571861-60CE-4E0D-ABC6-1152A61DE799}"/>
    <cellStyle name="Note 2 3 2 2 2 11" xfId="25517" xr:uid="{C81EF050-A0E6-416B-98C0-3B4C981813FA}"/>
    <cellStyle name="Note 2 3 2 2 2 11 2" xfId="28184" xr:uid="{0F1430C5-87CB-4CF7-9B04-2AC40E6ED89E}"/>
    <cellStyle name="Note 2 3 2 2 2 11 2 2" xfId="35029" xr:uid="{9DB5927C-0642-49AD-9E34-793729D54EC3}"/>
    <cellStyle name="Note 2 3 2 2 2 11 3" xfId="30265" xr:uid="{4CEDB1B0-D2E8-4E4E-82F1-F740BB934DCC}"/>
    <cellStyle name="Note 2 3 2 2 2 11 3 2" xfId="37110" xr:uid="{6ED0A213-9684-41F1-A04F-009C614FDB09}"/>
    <cellStyle name="Note 2 3 2 2 2 11 4" xfId="32347" xr:uid="{1B09DE44-4377-4E48-9D60-116AEAD2607A}"/>
    <cellStyle name="Note 2 3 2 2 2 12" xfId="25785" xr:uid="{FB3A68F7-24B3-4374-A732-BFDAC3476AF4}"/>
    <cellStyle name="Note 2 3 2 2 2 12 2" xfId="28451" xr:uid="{DBE24DA2-DD43-4231-824F-62DE12148088}"/>
    <cellStyle name="Note 2 3 2 2 2 12 2 2" xfId="35296" xr:uid="{62E00627-DFBF-4AA5-814E-DE494016B77F}"/>
    <cellStyle name="Note 2 3 2 2 2 12 3" xfId="30532" xr:uid="{0D780EDF-F174-49CD-8DDF-3D87A86BB7D5}"/>
    <cellStyle name="Note 2 3 2 2 2 12 3 2" xfId="37377" xr:uid="{18CD07B6-70A9-4FB6-A919-E31563500539}"/>
    <cellStyle name="Note 2 3 2 2 2 12 4" xfId="32614" xr:uid="{8DB8760F-5BFC-491E-866B-AD50EEEE9277}"/>
    <cellStyle name="Note 2 3 2 2 2 13" xfId="25031" xr:uid="{19ADE3BD-714A-49CA-A729-C89A37DACF44}"/>
    <cellStyle name="Note 2 3 2 2 2 13 2" xfId="27704" xr:uid="{BEC6F281-659B-4442-AE98-479E5ACA03F6}"/>
    <cellStyle name="Note 2 3 2 2 2 13 2 2" xfId="34549" xr:uid="{CE7A3814-55C0-42DF-84D3-586769728058}"/>
    <cellStyle name="Note 2 3 2 2 2 13 3" xfId="29785" xr:uid="{DCE29D8C-A6A9-41DE-A5FB-2233CED2D165}"/>
    <cellStyle name="Note 2 3 2 2 2 13 3 2" xfId="36630" xr:uid="{7F05DE22-B400-4503-B23F-50473AA6A8C5}"/>
    <cellStyle name="Note 2 3 2 2 2 13 4" xfId="31867" xr:uid="{DC86322F-52CA-436D-A0B5-41414117CCD4}"/>
    <cellStyle name="Note 2 3 2 2 2 14" xfId="25099" xr:uid="{35CA0294-8F8A-468E-A09F-76FEB4F4AE2A}"/>
    <cellStyle name="Note 2 3 2 2 2 14 2" xfId="27771" xr:uid="{6831E7A9-7974-49A3-9614-85F65B662104}"/>
    <cellStyle name="Note 2 3 2 2 2 14 2 2" xfId="34616" xr:uid="{7DB6907E-984D-4629-B8CF-A61A6A5A8332}"/>
    <cellStyle name="Note 2 3 2 2 2 14 3" xfId="29852" xr:uid="{FF0C59B2-16CF-4192-B260-3F3E52A2FAC7}"/>
    <cellStyle name="Note 2 3 2 2 2 14 3 2" xfId="36697" xr:uid="{D86097CF-8E34-4EE6-8726-E8A4A951603D}"/>
    <cellStyle name="Note 2 3 2 2 2 14 4" xfId="31934" xr:uid="{682A453E-0ED5-461A-9A39-0ED1775C3D8D}"/>
    <cellStyle name="Note 2 3 2 2 2 15" xfId="25855" xr:uid="{5873D967-D1AB-4E46-B5B4-A3B1FB59E74D}"/>
    <cellStyle name="Note 2 3 2 2 2 15 2" xfId="28521" xr:uid="{94EF768A-ABE6-4CFD-A3C8-0C05E309427D}"/>
    <cellStyle name="Note 2 3 2 2 2 15 2 2" xfId="35366" xr:uid="{F2F3C055-4A3B-4C2F-96FF-FCDABAA2C88F}"/>
    <cellStyle name="Note 2 3 2 2 2 15 3" xfId="30602" xr:uid="{1B7CC5B4-2A37-4619-A96C-6B0647C86E66}"/>
    <cellStyle name="Note 2 3 2 2 2 15 3 2" xfId="37447" xr:uid="{BE70639D-BF5E-4D93-BC2C-376B2FB8C94D}"/>
    <cellStyle name="Note 2 3 2 2 2 15 4" xfId="32684" xr:uid="{CCC87E54-B7E3-4DA0-96C7-39475B5EE271}"/>
    <cellStyle name="Note 2 3 2 2 2 16" xfId="23643" xr:uid="{A010876D-3F22-4DBA-A0F8-907372EB35A9}"/>
    <cellStyle name="Note 2 3 2 2 2 17" xfId="17559" xr:uid="{6F6F791D-DE48-43B2-978D-DB0F47A30CD9}"/>
    <cellStyle name="Note 2 3 2 2 2 18" xfId="42870" xr:uid="{70045EA7-DD23-4E88-B105-AA39C16CDF2E}"/>
    <cellStyle name="Note 2 3 2 2 2 2" xfId="17830" xr:uid="{DE78AA80-AC38-46ED-A2D2-12F5E32EEE54}"/>
    <cellStyle name="Note 2 3 2 2 2 2 10" xfId="25529" xr:uid="{7AD40D99-04B7-4274-BE2D-52A57E2D1AEC}"/>
    <cellStyle name="Note 2 3 2 2 2 2 10 2" xfId="28196" xr:uid="{54DD29F8-E59D-400A-B31E-79EA9A6529B2}"/>
    <cellStyle name="Note 2 3 2 2 2 2 10 2 2" xfId="35041" xr:uid="{B1F5211E-FB98-4EAA-8F3C-2F9FF82310CB}"/>
    <cellStyle name="Note 2 3 2 2 2 2 10 3" xfId="30277" xr:uid="{6D7D3803-98A2-47D7-B7C7-BB50ED03E7C7}"/>
    <cellStyle name="Note 2 3 2 2 2 2 10 3 2" xfId="37122" xr:uid="{FAA3534D-CA1F-4494-B877-CBCA51937CFE}"/>
    <cellStyle name="Note 2 3 2 2 2 2 10 4" xfId="32359" xr:uid="{9A023FF1-AEB2-4B4E-9E09-CF58E458E51E}"/>
    <cellStyle name="Note 2 3 2 2 2 2 11" xfId="25654" xr:uid="{813F029B-1A05-429F-8B52-4B4E5FD36840}"/>
    <cellStyle name="Note 2 3 2 2 2 2 11 2" xfId="28321" xr:uid="{D750E394-1AAB-448C-8351-94368655B89B}"/>
    <cellStyle name="Note 2 3 2 2 2 2 11 2 2" xfId="35166" xr:uid="{4B21D16F-A57B-4867-AFC3-96F085C73B3F}"/>
    <cellStyle name="Note 2 3 2 2 2 2 11 3" xfId="30402" xr:uid="{FEB2D055-E33E-41AE-A5CF-C613DEB2851A}"/>
    <cellStyle name="Note 2 3 2 2 2 2 11 3 2" xfId="37247" xr:uid="{CACF2827-AD67-40EF-90FE-A000D614BFC5}"/>
    <cellStyle name="Note 2 3 2 2 2 2 11 4" xfId="32484" xr:uid="{0A106A43-83B3-4B0A-A625-437C657AB406}"/>
    <cellStyle name="Note 2 3 2 2 2 2 12" xfId="25759" xr:uid="{0F9E660A-093D-4255-89FD-FA07A5E1258F}"/>
    <cellStyle name="Note 2 3 2 2 2 2 12 2" xfId="28425" xr:uid="{53D83BF0-88A4-4896-B198-66B5BCC382C8}"/>
    <cellStyle name="Note 2 3 2 2 2 2 12 2 2" xfId="35270" xr:uid="{2C6EF459-F7F4-4D60-B57D-340F92333B54}"/>
    <cellStyle name="Note 2 3 2 2 2 2 12 3" xfId="30506" xr:uid="{562DC67C-3FF0-4977-883D-53D8551C3F89}"/>
    <cellStyle name="Note 2 3 2 2 2 2 12 3 2" xfId="37351" xr:uid="{10EFC33B-6B3B-4D80-89DB-1E8DE5DDF9BA}"/>
    <cellStyle name="Note 2 3 2 2 2 2 12 4" xfId="32588" xr:uid="{7A488C17-59A1-43AA-A16A-F0C48A454DD5}"/>
    <cellStyle name="Note 2 3 2 2 2 2 13" xfId="25836" xr:uid="{45832B33-5936-4D6C-96D2-EDA439B705EA}"/>
    <cellStyle name="Note 2 3 2 2 2 2 13 2" xfId="28502" xr:uid="{61291BA7-9CBA-491B-8633-060D2244A4EF}"/>
    <cellStyle name="Note 2 3 2 2 2 2 13 2 2" xfId="35347" xr:uid="{CFC70637-0B43-4B91-AEC5-F6F85E71EAB6}"/>
    <cellStyle name="Note 2 3 2 2 2 2 13 3" xfId="30583" xr:uid="{BBEA41A3-41C6-46DC-9B60-1E93F5F9318F}"/>
    <cellStyle name="Note 2 3 2 2 2 2 13 3 2" xfId="37428" xr:uid="{B7A22356-3A40-4694-93BA-FF1B7ADE7493}"/>
    <cellStyle name="Note 2 3 2 2 2 2 13 4" xfId="32665" xr:uid="{4907A9F5-E324-44DC-9F09-1B910265CBC0}"/>
    <cellStyle name="Note 2 3 2 2 2 2 14" xfId="24899" xr:uid="{BEE98F9F-49E2-41B2-889C-4A2B606E9325}"/>
    <cellStyle name="Note 2 3 2 2 2 2 14 2" xfId="27567" xr:uid="{CABF8D39-4A4D-4E82-94AA-0A6C4A2D4FE2}"/>
    <cellStyle name="Note 2 3 2 2 2 2 14 2 2" xfId="34411" xr:uid="{3A638985-ECC2-4548-8082-B7FCF7CEE3F1}"/>
    <cellStyle name="Note 2 3 2 2 2 2 14 3" xfId="29647" xr:uid="{4CA30395-0855-4C9C-B763-EC6E83E5F362}"/>
    <cellStyle name="Note 2 3 2 2 2 2 14 3 2" xfId="36492" xr:uid="{B716B45E-88DB-4753-8F04-EAE953357CBD}"/>
    <cellStyle name="Note 2 3 2 2 2 2 14 4" xfId="31729" xr:uid="{E9D8C9AB-F735-4B43-B4E2-F8E01C672B14}"/>
    <cellStyle name="Note 2 3 2 2 2 2 15" xfId="25964" xr:uid="{75E51F59-D50F-49A0-8A35-EDC2991E3ECC}"/>
    <cellStyle name="Note 2 3 2 2 2 2 15 2" xfId="28630" xr:uid="{A8CB78AB-E1AE-44B9-B7C6-CF4206977B4E}"/>
    <cellStyle name="Note 2 3 2 2 2 2 15 2 2" xfId="35475" xr:uid="{C051D03A-F72A-49D0-A056-8F862EF6C4D4}"/>
    <cellStyle name="Note 2 3 2 2 2 2 15 3" xfId="30711" xr:uid="{8843D65E-392F-4936-9932-898B7C539391}"/>
    <cellStyle name="Note 2 3 2 2 2 2 15 3 2" xfId="37556" xr:uid="{DC58FE5F-D9C2-44D7-905B-D24803914335}"/>
    <cellStyle name="Note 2 3 2 2 2 2 15 4" xfId="32793" xr:uid="{1E0BBFB3-372B-4861-A5D5-52DCFCCA29F4}"/>
    <cellStyle name="Note 2 3 2 2 2 2 16" xfId="26018" xr:uid="{039479C0-EE3F-4210-B04B-7BD2241ECF42}"/>
    <cellStyle name="Note 2 3 2 2 2 2 16 2" xfId="28684" xr:uid="{6F0FA0A5-4ED0-4904-822F-10056365F0BC}"/>
    <cellStyle name="Note 2 3 2 2 2 2 16 2 2" xfId="35529" xr:uid="{35C6B691-3985-488A-A4C7-3AD24AA4CB82}"/>
    <cellStyle name="Note 2 3 2 2 2 2 16 3" xfId="30765" xr:uid="{854662F3-B91D-4F7C-BE13-21BB69D9419C}"/>
    <cellStyle name="Note 2 3 2 2 2 2 16 3 2" xfId="37610" xr:uid="{5732F541-E7A0-4EC8-9BFC-D3712C069A60}"/>
    <cellStyle name="Note 2 3 2 2 2 2 16 4" xfId="32847" xr:uid="{1E32A3AC-1140-4EDB-A8CC-EBE8921D0BED}"/>
    <cellStyle name="Note 2 3 2 2 2 2 17" xfId="23551" xr:uid="{50B614AB-ED56-4E05-BFA8-7B585EFE3926}"/>
    <cellStyle name="Note 2 3 2 2 2 2 2" xfId="18443" xr:uid="{1F46C3BD-5932-4A50-AB3D-375F337A6F01}"/>
    <cellStyle name="Note 2 3 2 2 2 2 2 10" xfId="19869" xr:uid="{10B9EFFE-A2E7-4407-9430-EBB91760944E}"/>
    <cellStyle name="Note 2 3 2 2 2 2 2 11" xfId="20361" xr:uid="{7FBE22C5-3CE9-4E8F-AA11-2C5CD2D7A189}"/>
    <cellStyle name="Note 2 3 2 2 2 2 2 12" xfId="19252" xr:uid="{1E394DFD-9FC7-44F9-AEAA-C8CC31B139F5}"/>
    <cellStyle name="Note 2 3 2 2 2 2 2 13" xfId="22623" xr:uid="{76CEEBFE-2656-4103-A2A2-50A3FD4889F9}"/>
    <cellStyle name="Note 2 3 2 2 2 2 2 14" xfId="18956" xr:uid="{8D4E2CA5-5186-499A-844C-0A005A9540A8}"/>
    <cellStyle name="Note 2 3 2 2 2 2 2 15" xfId="22532" xr:uid="{46C44830-1721-4EA5-AA17-49EED1C6BC08}"/>
    <cellStyle name="Note 2 3 2 2 2 2 2 16" xfId="31500" xr:uid="{AF33D440-4C75-4813-983D-11D845195CD5}"/>
    <cellStyle name="Note 2 3 2 2 2 2 2 2" xfId="19930" xr:uid="{2D6C68D1-2FCF-463C-9893-C855989A7C0C}"/>
    <cellStyle name="Note 2 3 2 2 2 2 2 2 2" xfId="27338" xr:uid="{2AE41F6B-72B0-4694-A1A5-8D1B6F5701F6}"/>
    <cellStyle name="Note 2 3 2 2 2 2 2 2 3" xfId="34182" xr:uid="{C61FDE06-D365-47D1-B4BA-997812EADBE4}"/>
    <cellStyle name="Note 2 3 2 2 2 2 2 3" xfId="20529" xr:uid="{AC007BCE-1084-4EDE-8F9B-EB201529DE29}"/>
    <cellStyle name="Note 2 3 2 2 2 2 2 3 2" xfId="29418" xr:uid="{A1CD0688-D222-4F5C-9808-A24214D089F6}"/>
    <cellStyle name="Note 2 3 2 2 2 2 2 3 3" xfId="36263" xr:uid="{7AF10C94-4E64-4C59-8819-35FDA778B66E}"/>
    <cellStyle name="Note 2 3 2 2 2 2 2 4" xfId="18865" xr:uid="{AE3DF53D-A1AF-4C51-B499-F31FAAF91398}"/>
    <cellStyle name="Note 2 3 2 2 2 2 2 5" xfId="20341" xr:uid="{FE082906-CE18-4CF5-9AEF-F530BADA5145}"/>
    <cellStyle name="Note 2 3 2 2 2 2 2 6" xfId="22015" xr:uid="{F26D0C62-D3E8-492D-8E61-F649E28D1496}"/>
    <cellStyle name="Note 2 3 2 2 2 2 2 7" xfId="21588" xr:uid="{B9C320DF-382E-4D49-B301-980C58C9898F}"/>
    <cellStyle name="Note 2 3 2 2 2 2 2 8" xfId="19192" xr:uid="{7F301742-F843-4CCB-9C96-9C8ACB62EC0D}"/>
    <cellStyle name="Note 2 3 2 2 2 2 2 9" xfId="20471" xr:uid="{74D4C1DA-DD05-409F-A881-E1DBB8EB9150}"/>
    <cellStyle name="Note 2 3 2 2 2 2 3" xfId="24600" xr:uid="{488BDED1-EF36-45AB-9EF8-9F4EEF813F6B}"/>
    <cellStyle name="Note 2 3 2 2 2 2 3 2" xfId="27187" xr:uid="{3BE693E7-2317-422E-A0D2-4F995847117D}"/>
    <cellStyle name="Note 2 3 2 2 2 2 3 2 2" xfId="34028" xr:uid="{A0CF0637-2278-4A11-BB03-3C7E17A9F0E1}"/>
    <cellStyle name="Note 2 3 2 2 2 2 3 3" xfId="29264" xr:uid="{C8815B71-2E62-4B30-BE75-C67AE2FDD056}"/>
    <cellStyle name="Note 2 3 2 2 2 2 3 3 2" xfId="36109" xr:uid="{30487B66-67C9-40A8-8D36-98E7FEF0EB88}"/>
    <cellStyle name="Note 2 3 2 2 2 2 3 4" xfId="31346" xr:uid="{D27B33C1-20BD-4C1E-AD0B-53C70FE5EFC8}"/>
    <cellStyle name="Note 2 3 2 2 2 2 4" xfId="23776" xr:uid="{D10F30E8-9828-47C6-8967-54320B34A7F0}"/>
    <cellStyle name="Note 2 3 2 2 2 2 4 2" xfId="26389" xr:uid="{5DF63274-3AA6-4E67-A9FB-C862D914166F}"/>
    <cellStyle name="Note 2 3 2 2 2 2 4 2 2" xfId="33229" xr:uid="{2423180F-C305-41FC-8D6D-7930377F934E}"/>
    <cellStyle name="Note 2 3 2 2 2 2 4 3" xfId="26292" xr:uid="{00F7EA94-6776-4655-9267-4D39F90C9ED4}"/>
    <cellStyle name="Note 2 3 2 2 2 2 4 3 2" xfId="33120" xr:uid="{DBE532A5-2558-45B6-8745-5EEBD019866C}"/>
    <cellStyle name="Note 2 3 2 2 2 2 4 4" xfId="23414" xr:uid="{4BFF07E2-4BF2-433E-AAEE-2DEDAD65BD37}"/>
    <cellStyle name="Note 2 3 2 2 2 2 5" xfId="25110" xr:uid="{793DB0E0-C75B-40B5-BEF2-604F1BB89F69}"/>
    <cellStyle name="Note 2 3 2 2 2 2 5 2" xfId="27782" xr:uid="{5CF578EC-3A7D-4784-921B-E4B0E0D4B4D8}"/>
    <cellStyle name="Note 2 3 2 2 2 2 5 2 2" xfId="34627" xr:uid="{0B6F5ED5-F28F-4F71-A2E8-7416E0C303DF}"/>
    <cellStyle name="Note 2 3 2 2 2 2 5 3" xfId="29863" xr:uid="{776996FA-BCA4-452E-ABE9-EED8F7DB6C80}"/>
    <cellStyle name="Note 2 3 2 2 2 2 5 3 2" xfId="36708" xr:uid="{FDC6C17E-905C-4005-B21E-95E0DD97754A}"/>
    <cellStyle name="Note 2 3 2 2 2 2 5 4" xfId="31945" xr:uid="{416FF9FB-2980-44E4-BB04-0EC850EA7F48}"/>
    <cellStyle name="Note 2 3 2 2 2 2 6" xfId="25033" xr:uid="{EB79D14D-02A5-45A8-9363-1675569720A9}"/>
    <cellStyle name="Note 2 3 2 2 2 2 6 2" xfId="27706" xr:uid="{90DC5908-5BD7-4979-ABBF-9E68B4114628}"/>
    <cellStyle name="Note 2 3 2 2 2 2 6 2 2" xfId="34551" xr:uid="{49981757-2B44-4900-B072-55FBA0CB511B}"/>
    <cellStyle name="Note 2 3 2 2 2 2 6 3" xfId="29787" xr:uid="{E84B600E-6F8D-4C72-806C-D1BBEC9896D0}"/>
    <cellStyle name="Note 2 3 2 2 2 2 6 3 2" xfId="36632" xr:uid="{A3135287-6FAD-4F5F-9D56-07C0F16286B9}"/>
    <cellStyle name="Note 2 3 2 2 2 2 6 4" xfId="31869" xr:uid="{B766E58A-8D42-4ADD-A825-7FCF0F990D03}"/>
    <cellStyle name="Note 2 3 2 2 2 2 7" xfId="25164" xr:uid="{48462122-5C3A-4FBE-BB82-5E931C87C3DB}"/>
    <cellStyle name="Note 2 3 2 2 2 2 7 2" xfId="27836" xr:uid="{57CCFDE4-2009-4F2D-84E7-F4B6809684EE}"/>
    <cellStyle name="Note 2 3 2 2 2 2 7 2 2" xfId="34681" xr:uid="{A44F94B1-245E-4ED4-9E57-72EEA35EC14A}"/>
    <cellStyle name="Note 2 3 2 2 2 2 7 3" xfId="29917" xr:uid="{26FDEF2C-7595-49E0-B2FC-E57FE0CDC122}"/>
    <cellStyle name="Note 2 3 2 2 2 2 7 3 2" xfId="36762" xr:uid="{B4C3512D-1275-4826-83CA-6C4A8F53DD75}"/>
    <cellStyle name="Note 2 3 2 2 2 2 7 4" xfId="31999" xr:uid="{16022AFA-D821-4B42-91B6-94C38286F1F0}"/>
    <cellStyle name="Note 2 3 2 2 2 2 8" xfId="25356" xr:uid="{086B5368-2822-41FE-A2D5-584E3695F478}"/>
    <cellStyle name="Note 2 3 2 2 2 2 8 2" xfId="28023" xr:uid="{C344687D-4F47-4B1A-898B-BCF94DD59535}"/>
    <cellStyle name="Note 2 3 2 2 2 2 8 2 2" xfId="34868" xr:uid="{67B81251-3CBE-43C6-8CE8-5C2C65353500}"/>
    <cellStyle name="Note 2 3 2 2 2 2 8 3" xfId="30104" xr:uid="{67F73A9E-F86C-41DB-9E0B-9938DF757084}"/>
    <cellStyle name="Note 2 3 2 2 2 2 8 3 2" xfId="36949" xr:uid="{F6EEB977-8CC8-4E71-85F4-5AC27E2210B6}"/>
    <cellStyle name="Note 2 3 2 2 2 2 8 4" xfId="32186" xr:uid="{AF0D407E-F8F3-4B5F-98D5-E40883ED100B}"/>
    <cellStyle name="Note 2 3 2 2 2 2 9" xfId="23881" xr:uid="{48B2DF58-7349-480D-89DF-B94E5B0D0028}"/>
    <cellStyle name="Note 2 3 2 2 2 2 9 2" xfId="26499" xr:uid="{22708638-52FE-4368-B22C-20635A67C7DC}"/>
    <cellStyle name="Note 2 3 2 2 2 2 9 2 2" xfId="33339" xr:uid="{01D7884A-C2C7-4604-9DBF-5495F7924DB5}"/>
    <cellStyle name="Note 2 3 2 2 2 2 9 3" xfId="26185" xr:uid="{E4E7CD1D-C455-421D-A4C0-4F4D39E0106B}"/>
    <cellStyle name="Note 2 3 2 2 2 2 9 3 2" xfId="33013" xr:uid="{C1ED7C8D-F5AF-4BB9-BA5E-C16E2A5C46BA}"/>
    <cellStyle name="Note 2 3 2 2 2 2 9 4" xfId="23307" xr:uid="{FAB5A93A-82C6-40FD-908B-A52BAB512E37}"/>
    <cellStyle name="Note 2 3 2 2 2 3" xfId="18618" xr:uid="{88AAA268-A37C-4A86-867F-93533FDF7DC9}"/>
    <cellStyle name="Note 2 3 2 2 2 3 10" xfId="21853" xr:uid="{6E5D69F5-3135-481B-82AC-AC5C004B8DC5}"/>
    <cellStyle name="Note 2 3 2 2 2 3 11" xfId="22317" xr:uid="{46740542-0AB6-4752-A115-3DBA6ABD62A1}"/>
    <cellStyle name="Note 2 3 2 2 2 3 12" xfId="22754" xr:uid="{3EEF3A7D-C7AF-419E-8F21-C22861324035}"/>
    <cellStyle name="Note 2 3 2 2 2 3 13" xfId="21194" xr:uid="{95955993-9587-4254-988F-10CA1AC33D7B}"/>
    <cellStyle name="Note 2 3 2 2 2 3 14" xfId="22890" xr:uid="{38CDF0C1-20E2-49E7-AC04-49DA648CB26F}"/>
    <cellStyle name="Note 2 3 2 2 2 3 15" xfId="18945" xr:uid="{15068DB2-55E7-4C83-AB9C-C36AD80642FA}"/>
    <cellStyle name="Note 2 3 2 2 2 3 16" xfId="31373" xr:uid="{47CE8803-72B1-4DE6-8327-2AF93FCC1248}"/>
    <cellStyle name="Note 2 3 2 2 2 3 2" xfId="19849" xr:uid="{69E0BA63-D4DD-4C28-A558-3158D3747F13}"/>
    <cellStyle name="Note 2 3 2 2 2 3 2 2" xfId="27214" xr:uid="{CF67E592-FC16-4126-B724-DEB65865630E}"/>
    <cellStyle name="Note 2 3 2 2 2 3 2 3" xfId="34055" xr:uid="{F8CBC797-B529-4A22-8F92-6CB5B3F26577}"/>
    <cellStyle name="Note 2 3 2 2 2 3 3" xfId="21039" xr:uid="{B21CC363-76EA-4849-BC3B-5601F4714540}"/>
    <cellStyle name="Note 2 3 2 2 2 3 3 2" xfId="29291" xr:uid="{55032AFD-7578-47D5-A1DA-5FD215BF3265}"/>
    <cellStyle name="Note 2 3 2 2 2 3 3 3" xfId="36136" xr:uid="{DC368A54-5FBE-40CE-8F9C-B7982E6F67F9}"/>
    <cellStyle name="Note 2 3 2 2 2 3 4" xfId="21295" xr:uid="{79663065-15BC-4880-AAEA-AB947E2E3121}"/>
    <cellStyle name="Note 2 3 2 2 2 3 5" xfId="20811" xr:uid="{F4C26D66-2B24-4E5B-B3CB-584E585940C4}"/>
    <cellStyle name="Note 2 3 2 2 2 3 6" xfId="19344" xr:uid="{DD1063DD-6388-4F45-9ABD-4CB252623859}"/>
    <cellStyle name="Note 2 3 2 2 2 3 7" xfId="21566" xr:uid="{FE2E0B85-E39D-440D-A564-7078D5FE622D}"/>
    <cellStyle name="Note 2 3 2 2 2 3 8" xfId="21749" xr:uid="{B90DB7DF-946B-4FB6-A0DA-799A7E0320E8}"/>
    <cellStyle name="Note 2 3 2 2 2 3 9" xfId="22491" xr:uid="{F1F688A5-BF2F-4ADD-9B3D-1B6F9102E2F7}"/>
    <cellStyle name="Note 2 3 2 2 2 4" xfId="24331" xr:uid="{82C13C94-49BD-4B7C-8859-F68B8712BE68}"/>
    <cellStyle name="Note 2 3 2 2 2 4 2" xfId="26937" xr:uid="{DE8CAE55-91F7-43AD-A5AC-AB464F5282C3}"/>
    <cellStyle name="Note 2 3 2 2 2 4 2 2" xfId="33777" xr:uid="{23071C48-8D77-4CE8-8C21-3EDF2F74EA0C}"/>
    <cellStyle name="Note 2 3 2 2 2 4 3" xfId="29013" xr:uid="{2867D6CB-C12C-461F-B270-DE257FC1F9A2}"/>
    <cellStyle name="Note 2 3 2 2 2 4 3 2" xfId="35858" xr:uid="{51AD6E7A-FB95-49FB-A598-4B4EB6B1B039}"/>
    <cellStyle name="Note 2 3 2 2 2 4 4" xfId="31095" xr:uid="{7B64FF70-F411-4E1D-A183-E43EF20B046F}"/>
    <cellStyle name="Note 2 3 2 2 2 5" xfId="24780" xr:uid="{E321242C-C606-4EE9-9202-72810B447BA7}"/>
    <cellStyle name="Note 2 3 2 2 2 5 2" xfId="27433" xr:uid="{3AA317AC-6909-45BD-B825-44398005882A}"/>
    <cellStyle name="Note 2 3 2 2 2 5 2 2" xfId="34277" xr:uid="{A18D6EE5-8E48-495B-80CD-CA73BC369AC2}"/>
    <cellStyle name="Note 2 3 2 2 2 5 3" xfId="29513" xr:uid="{11A6C4CF-A4EE-4DDA-9A92-6B4617043DA5}"/>
    <cellStyle name="Note 2 3 2 2 2 5 3 2" xfId="36358" xr:uid="{15EED83D-6BF7-42B0-B649-C0CF51F99B7A}"/>
    <cellStyle name="Note 2 3 2 2 2 5 4" xfId="31595" xr:uid="{16170C2F-B20B-4AD6-A379-60F9C0F5E93A}"/>
    <cellStyle name="Note 2 3 2 2 2 6" xfId="23761" xr:uid="{F9029C11-1DEF-41A1-9A48-21EE65E2CD38}"/>
    <cellStyle name="Note 2 3 2 2 2 6 2" xfId="26372" xr:uid="{26A3174A-2C15-43F2-B118-C4B7637E88D7}"/>
    <cellStyle name="Note 2 3 2 2 2 6 2 2" xfId="33211" xr:uid="{AA0E707C-0184-4CF4-997B-E43D0F4A98B9}"/>
    <cellStyle name="Note 2 3 2 2 2 6 3" xfId="26310" xr:uid="{8AB2BC6F-FA19-41E7-B309-AA5B4B20C656}"/>
    <cellStyle name="Note 2 3 2 2 2 6 3 2" xfId="33138" xr:uid="{0A4CB3E9-4BE4-43D9-93ED-1C39D8B4EBBE}"/>
    <cellStyle name="Note 2 3 2 2 2 6 4" xfId="23432" xr:uid="{CA6E0D59-26CB-4FFE-87E3-EA34283CAF25}"/>
    <cellStyle name="Note 2 3 2 2 2 7" xfId="25058" xr:uid="{D2DAB036-E4AC-4ACC-8A72-CDC514B2491E}"/>
    <cellStyle name="Note 2 3 2 2 2 7 2" xfId="27730" xr:uid="{6CA6C355-6DE1-49DC-BAF2-AC821E94EFB5}"/>
    <cellStyle name="Note 2 3 2 2 2 7 2 2" xfId="34575" xr:uid="{E40F16AD-2FE8-48A0-AB4F-C1CB88EE331D}"/>
    <cellStyle name="Note 2 3 2 2 2 7 3" xfId="29811" xr:uid="{9530B878-8F31-4376-82F3-C9879C2DDF92}"/>
    <cellStyle name="Note 2 3 2 2 2 7 3 2" xfId="36656" xr:uid="{01155F66-ED1A-49F5-96AD-2D0E7301A570}"/>
    <cellStyle name="Note 2 3 2 2 2 7 4" xfId="31893" xr:uid="{5898F029-F132-403D-9A3A-5FF1527C460F}"/>
    <cellStyle name="Note 2 3 2 2 2 8" xfId="24470" xr:uid="{2533377C-4CF1-4073-89CD-044D8A029BA8}"/>
    <cellStyle name="Note 2 3 2 2 2 8 2" xfId="27086" xr:uid="{4F9C64EB-FE5F-418E-9889-9BB34721832F}"/>
    <cellStyle name="Note 2 3 2 2 2 8 2 2" xfId="33926" xr:uid="{5855D138-AA79-425D-B9A9-A8887ECEA4EF}"/>
    <cellStyle name="Note 2 3 2 2 2 8 3" xfId="29162" xr:uid="{1075D85C-42E4-4B56-8A22-FF93FD026DE6}"/>
    <cellStyle name="Note 2 3 2 2 2 8 3 2" xfId="36007" xr:uid="{600AD49C-DAB5-4457-9A7C-29E36949D0BD}"/>
    <cellStyle name="Note 2 3 2 2 2 8 4" xfId="31244" xr:uid="{32FD217E-EF57-4BC0-AF8F-44618057348E}"/>
    <cellStyle name="Note 2 3 2 2 2 9" xfId="25173" xr:uid="{529BB3A4-28E8-4168-B746-0717F63C6E24}"/>
    <cellStyle name="Note 2 3 2 2 2 9 2" xfId="27845" xr:uid="{557562F2-ED07-440F-832A-CA56059D7D6E}"/>
    <cellStyle name="Note 2 3 2 2 2 9 2 2" xfId="34690" xr:uid="{BD9F481F-F523-425D-9C2D-EE832B2D6C62}"/>
    <cellStyle name="Note 2 3 2 2 2 9 3" xfId="29926" xr:uid="{0E8A00A6-C194-4044-9CA4-9E207B28A9DC}"/>
    <cellStyle name="Note 2 3 2 2 2 9 3 2" xfId="36771" xr:uid="{3BA6E708-B253-41E9-92F5-5C05765721AE}"/>
    <cellStyle name="Note 2 3 2 2 2 9 4" xfId="32008" xr:uid="{61758C77-4644-477C-BE63-4EFA435D3AD9}"/>
    <cellStyle name="Note 2 3 2 2 3" xfId="17792" xr:uid="{5977B746-E76A-45EB-B213-075C0436D092}"/>
    <cellStyle name="Note 2 3 2 2 3 10" xfId="24416" xr:uid="{B6E9DB76-87BB-4BF0-B904-C7130CAF59D4}"/>
    <cellStyle name="Note 2 3 2 2 3 10 2" xfId="27035" xr:uid="{C1F764E8-6365-4886-8984-7F1F5C3EA2EF}"/>
    <cellStyle name="Note 2 3 2 2 3 10 2 2" xfId="33875" xr:uid="{A9418569-4914-41E4-ABB6-870F977F735A}"/>
    <cellStyle name="Note 2 3 2 2 3 10 3" xfId="29111" xr:uid="{90C280F1-2ED8-4469-9E2F-B18A03182778}"/>
    <cellStyle name="Note 2 3 2 2 3 10 3 2" xfId="35956" xr:uid="{749D6615-5B72-44D1-A3A8-3A8CD82E35C3}"/>
    <cellStyle name="Note 2 3 2 2 3 10 4" xfId="31193" xr:uid="{8AA0D540-058C-4922-85A2-F55AF05F180E}"/>
    <cellStyle name="Note 2 3 2 2 3 11" xfId="25625" xr:uid="{72389626-7A00-462C-8A46-6BF7E8392469}"/>
    <cellStyle name="Note 2 3 2 2 3 11 2" xfId="28292" xr:uid="{8726CB72-168D-40BC-A5A0-BFF2A3224DA1}"/>
    <cellStyle name="Note 2 3 2 2 3 11 2 2" xfId="35137" xr:uid="{83F2C816-D7B2-4663-8725-610C179C40FA}"/>
    <cellStyle name="Note 2 3 2 2 3 11 3" xfId="30373" xr:uid="{A43196B5-EA5B-4586-BBF5-DFA1E902367F}"/>
    <cellStyle name="Note 2 3 2 2 3 11 3 2" xfId="37218" xr:uid="{D03FCF70-CFB6-46F7-B45E-7973F2325ECC}"/>
    <cellStyle name="Note 2 3 2 2 3 11 4" xfId="32455" xr:uid="{74E68601-F6E2-454B-9D19-90750A6E7B0B}"/>
    <cellStyle name="Note 2 3 2 2 3 12" xfId="25729" xr:uid="{5CDA7460-70B7-4CF0-812D-0F691DDAE56C}"/>
    <cellStyle name="Note 2 3 2 2 3 12 2" xfId="28396" xr:uid="{00B43A59-1E55-43A2-8239-6F339AC29D1C}"/>
    <cellStyle name="Note 2 3 2 2 3 12 2 2" xfId="35241" xr:uid="{9DA95A81-60B5-4750-B08A-E242978F3CE4}"/>
    <cellStyle name="Note 2 3 2 2 3 12 3" xfId="30477" xr:uid="{B3A72D68-0899-4B8C-80AA-BECAFFED7540}"/>
    <cellStyle name="Note 2 3 2 2 3 12 3 2" xfId="37322" xr:uid="{8DBD8B36-58FC-490C-856E-24E44B176814}"/>
    <cellStyle name="Note 2 3 2 2 3 12 4" xfId="32559" xr:uid="{8B277CC4-B2CB-4655-B58C-BDDBBCB1EF4D}"/>
    <cellStyle name="Note 2 3 2 2 3 13" xfId="25806" xr:uid="{832B4BC8-3F88-4A2F-8936-4E6F16EEACD9}"/>
    <cellStyle name="Note 2 3 2 2 3 13 2" xfId="28472" xr:uid="{1BF20E05-8F6B-4408-A617-5D495ECE2652}"/>
    <cellStyle name="Note 2 3 2 2 3 13 2 2" xfId="35317" xr:uid="{69E4A354-E78A-488B-BD59-213C5FF20211}"/>
    <cellStyle name="Note 2 3 2 2 3 13 3" xfId="30553" xr:uid="{6E213F15-F320-43D9-B08A-D3E67E67346D}"/>
    <cellStyle name="Note 2 3 2 2 3 13 3 2" xfId="37398" xr:uid="{5967D6CD-6AF0-41B8-91B0-D7D97E91C359}"/>
    <cellStyle name="Note 2 3 2 2 3 13 4" xfId="32635" xr:uid="{52A92EBF-4197-4F87-8117-AB0BA09917AC}"/>
    <cellStyle name="Note 2 3 2 2 3 14" xfId="24436" xr:uid="{C765A822-EF52-420A-8569-68C341BF5F36}"/>
    <cellStyle name="Note 2 3 2 2 3 14 2" xfId="27056" xr:uid="{FD40E81F-21EA-4503-AE48-2FE98A2C1077}"/>
    <cellStyle name="Note 2 3 2 2 3 14 2 2" xfId="33896" xr:uid="{13B4927B-0061-4D1A-B3A9-852DBF93FB16}"/>
    <cellStyle name="Note 2 3 2 2 3 14 3" xfId="29132" xr:uid="{F0241010-5869-4319-8C4B-59BD217114DB}"/>
    <cellStyle name="Note 2 3 2 2 3 14 3 2" xfId="35977" xr:uid="{0D2FF6BE-4A1F-4BE4-A0F9-55056DDB300D}"/>
    <cellStyle name="Note 2 3 2 2 3 14 4" xfId="31214" xr:uid="{3CA59EE4-DB43-4743-8563-9CBFC0956CA2}"/>
    <cellStyle name="Note 2 3 2 2 3 15" xfId="25938" xr:uid="{7D89707C-9A24-4BE3-9824-77763E8325C3}"/>
    <cellStyle name="Note 2 3 2 2 3 15 2" xfId="28604" xr:uid="{BA85AF58-5540-4763-9233-ED58ACFA3329}"/>
    <cellStyle name="Note 2 3 2 2 3 15 2 2" xfId="35449" xr:uid="{446805B7-3296-4097-B270-698DE611E983}"/>
    <cellStyle name="Note 2 3 2 2 3 15 3" xfId="30685" xr:uid="{4FC6A062-F334-4ED9-8A97-224D030F2B71}"/>
    <cellStyle name="Note 2 3 2 2 3 15 3 2" xfId="37530" xr:uid="{374B8E07-2B3F-4986-A1A2-058DEDAFA6BC}"/>
    <cellStyle name="Note 2 3 2 2 3 15 4" xfId="32767" xr:uid="{4B4B9686-73F8-404A-A1E6-ACEDB4DE4B11}"/>
    <cellStyle name="Note 2 3 2 2 3 16" xfId="25992" xr:uid="{EAA6D16A-6924-40E7-8FF1-A46F1FBDE777}"/>
    <cellStyle name="Note 2 3 2 2 3 16 2" xfId="28658" xr:uid="{83307FAB-CD57-4B09-A41E-304FC1DF4461}"/>
    <cellStyle name="Note 2 3 2 2 3 16 2 2" xfId="35503" xr:uid="{389151DF-1176-4957-BFB6-9F4F8D28825E}"/>
    <cellStyle name="Note 2 3 2 2 3 16 3" xfId="30739" xr:uid="{33745DD8-40CC-4EE3-844E-8265B5B00335}"/>
    <cellStyle name="Note 2 3 2 2 3 16 3 2" xfId="37584" xr:uid="{538FA650-D325-483A-9C48-E4C7C49C323B}"/>
    <cellStyle name="Note 2 3 2 2 3 16 4" xfId="32821" xr:uid="{3DC6F707-48EB-4860-84FD-0AE977E2B77B}"/>
    <cellStyle name="Note 2 3 2 2 3 17" xfId="23563" xr:uid="{E6D4B971-FD6C-4918-97C5-C8EA720E7824}"/>
    <cellStyle name="Note 2 3 2 2 3 2" xfId="18463" xr:uid="{8834D2D1-20FE-4801-BEAC-D0FE70E4887D}"/>
    <cellStyle name="Note 2 3 2 2 3 2 10" xfId="21538" xr:uid="{7CE81281-60BD-45E1-901D-F34A244D7F5F}"/>
    <cellStyle name="Note 2 3 2 2 3 2 11" xfId="22655" xr:uid="{F14A8441-4765-4431-95DD-C5A48C10B4E2}"/>
    <cellStyle name="Note 2 3 2 2 3 2 12" xfId="19234" xr:uid="{01670CF7-DDFF-46A5-925F-08CE64C44435}"/>
    <cellStyle name="Note 2 3 2 2 3 2 13" xfId="22298" xr:uid="{095DB73A-D24D-4124-BF05-47E55FFCA36F}"/>
    <cellStyle name="Note 2 3 2 2 3 2 14" xfId="22295" xr:uid="{2F1A628E-E6D4-4382-9B0D-AC6379EEDD76}"/>
    <cellStyle name="Note 2 3 2 2 3 2 15" xfId="22997" xr:uid="{ECB60BD6-9EB6-4BA5-B030-3FE8EE18D7F8}"/>
    <cellStyle name="Note 2 3 2 2 3 2 16" xfId="31470" xr:uid="{A3AB9953-4036-4534-BDAC-04FF8353DC7B}"/>
    <cellStyle name="Note 2 3 2 2 3 2 2" xfId="19913" xr:uid="{0FF83A91-519D-4FFB-AE34-DF7A2A034CC9}"/>
    <cellStyle name="Note 2 3 2 2 3 2 2 2" xfId="27308" xr:uid="{E07FCF73-6B51-41F1-B426-2076B6774848}"/>
    <cellStyle name="Note 2 3 2 2 3 2 2 3" xfId="34152" xr:uid="{1B42D99F-C38C-4272-8F1C-72547103BFBE}"/>
    <cellStyle name="Note 2 3 2 2 3 2 3" xfId="19526" xr:uid="{D21D32D9-A58A-4500-BA94-560E8FE87D02}"/>
    <cellStyle name="Note 2 3 2 2 3 2 3 2" xfId="29388" xr:uid="{2FB13828-14F1-4F08-82E5-0833A4CB8337}"/>
    <cellStyle name="Note 2 3 2 2 3 2 3 3" xfId="36233" xr:uid="{176173C7-2C91-4923-A57C-7E0329D244E4}"/>
    <cellStyle name="Note 2 3 2 2 3 2 4" xfId="20098" xr:uid="{3C0DD571-19FA-4027-8FC4-9D50C95A51A3}"/>
    <cellStyle name="Note 2 3 2 2 3 2 5" xfId="19370" xr:uid="{2AE2F6F1-EFF0-4359-A17F-C6C2574D1334}"/>
    <cellStyle name="Note 2 3 2 2 3 2 6" xfId="21060" xr:uid="{55E9ED4C-5C01-4444-81C6-466A3337E632}"/>
    <cellStyle name="Note 2 3 2 2 3 2 7" xfId="21357" xr:uid="{F1EE74A4-CAB2-456D-8627-B5336290AB7F}"/>
    <cellStyle name="Note 2 3 2 2 3 2 8" xfId="18885" xr:uid="{344867C5-3561-4EEA-8091-5C0966D96A6C}"/>
    <cellStyle name="Note 2 3 2 2 3 2 9" xfId="22220" xr:uid="{45625714-6B59-4A1A-AB0F-DE4B0C7F56AC}"/>
    <cellStyle name="Note 2 3 2 2 3 3" xfId="24806" xr:uid="{153BFFB5-C4A1-420F-933A-89F265FEC2FA}"/>
    <cellStyle name="Note 2 3 2 2 3 3 2" xfId="27461" xr:uid="{71C9CB1E-4580-4730-A4B3-B484181D6ED6}"/>
    <cellStyle name="Note 2 3 2 2 3 3 2 2" xfId="34305" xr:uid="{B55DDA0B-762E-4EE3-A6D8-BA7B4663B7D9}"/>
    <cellStyle name="Note 2 3 2 2 3 3 3" xfId="29541" xr:uid="{D1A312C2-827B-4F36-AAE9-E2690095BC6E}"/>
    <cellStyle name="Note 2 3 2 2 3 3 3 2" xfId="36386" xr:uid="{771DE991-F893-4009-9BF5-FC8629D4BE5D}"/>
    <cellStyle name="Note 2 3 2 2 3 3 4" xfId="31623" xr:uid="{D22047F0-3ECF-4EC4-A392-5545FC4FCCFC}"/>
    <cellStyle name="Note 2 3 2 2 3 4" xfId="24611" xr:uid="{84B90655-3675-41F0-90F3-8E1858BDB8FC}"/>
    <cellStyle name="Note 2 3 2 2 3 4 2" xfId="27219" xr:uid="{3DCA339B-40A3-4675-A753-F5FD6073F9E3}"/>
    <cellStyle name="Note 2 3 2 2 3 4 2 2" xfId="34060" xr:uid="{F9DE584B-AD6B-4CC8-9C27-9A5B7F312524}"/>
    <cellStyle name="Note 2 3 2 2 3 4 3" xfId="29296" xr:uid="{3BAA61C3-4A70-407F-8687-4622973EC4D3}"/>
    <cellStyle name="Note 2 3 2 2 3 4 3 2" xfId="36141" xr:uid="{57067E31-C89B-4540-850E-AD4320CB48D9}"/>
    <cellStyle name="Note 2 3 2 2 3 4 4" xfId="31378" xr:uid="{00FA594A-3FE5-4A31-B968-6BB37912E46B}"/>
    <cellStyle name="Note 2 3 2 2 3 5" xfId="25077" xr:uid="{593FB281-DCFF-46F3-9A64-BBC226A0A5DA}"/>
    <cellStyle name="Note 2 3 2 2 3 5 2" xfId="27749" xr:uid="{6FD8C288-3859-46F1-8B3A-0576D92D5AAC}"/>
    <cellStyle name="Note 2 3 2 2 3 5 2 2" xfId="34594" xr:uid="{6A081213-A45B-4408-8242-6E31182EDC26}"/>
    <cellStyle name="Note 2 3 2 2 3 5 3" xfId="29830" xr:uid="{E60B0233-6A6A-4300-8528-C0A605316E1A}"/>
    <cellStyle name="Note 2 3 2 2 3 5 3 2" xfId="36675" xr:uid="{16921A52-D53C-4A4F-9BF5-006D55F0AF2E}"/>
    <cellStyle name="Note 2 3 2 2 3 5 4" xfId="31912" xr:uid="{19AF7C77-E1B5-4744-B6CA-49C5A7735279}"/>
    <cellStyle name="Note 2 3 2 2 3 6" xfId="24984" xr:uid="{FAC17BC5-17AB-4877-8856-397E2274F7FA}"/>
    <cellStyle name="Note 2 3 2 2 3 6 2" xfId="27654" xr:uid="{C7BD6D10-F900-4B14-9FDD-67B6A4A725ED}"/>
    <cellStyle name="Note 2 3 2 2 3 6 2 2" xfId="34499" xr:uid="{3959B09D-7559-4A09-95E3-368111B6D5D6}"/>
    <cellStyle name="Note 2 3 2 2 3 6 3" xfId="29735" xr:uid="{2880EAE7-B448-44EF-BC83-D25834BD4231}"/>
    <cellStyle name="Note 2 3 2 2 3 6 3 2" xfId="36580" xr:uid="{05DB343A-412E-474B-AD86-15980BAB3278}"/>
    <cellStyle name="Note 2 3 2 2 3 6 4" xfId="31817" xr:uid="{2B9D8264-7DDD-4461-989A-5EC0A7B47ADB}"/>
    <cellStyle name="Note 2 3 2 2 3 7" xfId="24750" xr:uid="{971BEBA2-FFE2-476D-9192-94621FDC96ED}"/>
    <cellStyle name="Note 2 3 2 2 3 7 2" xfId="27402" xr:uid="{8D06E30E-D857-4F96-A0C8-E670CA4D52D1}"/>
    <cellStyle name="Note 2 3 2 2 3 7 2 2" xfId="34246" xr:uid="{8D9721A3-1F19-416E-8C23-43D5202D2A56}"/>
    <cellStyle name="Note 2 3 2 2 3 7 3" xfId="29482" xr:uid="{FBA7EB45-2C10-4DED-B715-DFDEEFF0EC24}"/>
    <cellStyle name="Note 2 3 2 2 3 7 3 2" xfId="36327" xr:uid="{5E64F705-FAF8-4A5C-A4C2-1A8BE3924241}"/>
    <cellStyle name="Note 2 3 2 2 3 7 4" xfId="31564" xr:uid="{D4584FD5-CC6D-4D5B-B3DC-EFFF154520ED}"/>
    <cellStyle name="Note 2 3 2 2 3 8" xfId="23953" xr:uid="{1B67AC5F-02BD-4C6C-8E0B-6604E2D17909}"/>
    <cellStyle name="Note 2 3 2 2 3 8 2" xfId="26571" xr:uid="{787C2171-C490-419C-AED8-AFF34AB96D8C}"/>
    <cellStyle name="Note 2 3 2 2 3 8 2 2" xfId="33411" xr:uid="{8F0FB9A6-268C-4039-B6CB-D24F6A059C8C}"/>
    <cellStyle name="Note 2 3 2 2 3 8 3" xfId="26114" xr:uid="{5E3E3A72-CAF1-4346-872F-4A370C563367}"/>
    <cellStyle name="Note 2 3 2 2 3 8 3 2" xfId="32942" xr:uid="{0DF646CF-391B-447A-BD15-095A4394F323}"/>
    <cellStyle name="Note 2 3 2 2 3 8 4" xfId="23156" xr:uid="{B6B9926B-59BF-4DBA-B877-5115B73AE740}"/>
    <cellStyle name="Note 2 3 2 2 3 9" xfId="24465" xr:uid="{EEDD435A-3B93-4514-8D65-C683BAFED8A5}"/>
    <cellStyle name="Note 2 3 2 2 3 9 2" xfId="27081" xr:uid="{CE1BDBAD-64C5-413F-B7C8-E3D699E537C5}"/>
    <cellStyle name="Note 2 3 2 2 3 9 2 2" xfId="33921" xr:uid="{D0B90B87-3990-433B-8080-4512260FF73A}"/>
    <cellStyle name="Note 2 3 2 2 3 9 3" xfId="29157" xr:uid="{D9EA38C6-4998-4AD2-8B69-4C2F8172A5C5}"/>
    <cellStyle name="Note 2 3 2 2 3 9 3 2" xfId="36002" xr:uid="{8B13116C-59B3-4A63-A150-206754589580}"/>
    <cellStyle name="Note 2 3 2 2 3 9 4" xfId="31239" xr:uid="{4003B7A1-E457-45FB-92C1-10C19AF9B680}"/>
    <cellStyle name="Note 2 3 2 2 4" xfId="18635" xr:uid="{595C3316-D9BF-41EB-BBB8-3939C0053BFC}"/>
    <cellStyle name="Note 2 3 2 2 4 10" xfId="22009" xr:uid="{599DB23C-60A6-4989-A532-477741AEC06E}"/>
    <cellStyle name="Note 2 3 2 2 4 11" xfId="22629" xr:uid="{E382C43E-E3FE-4479-9BC4-DA43D430281E}"/>
    <cellStyle name="Note 2 3 2 2 4 12" xfId="22769" xr:uid="{B9A65210-E511-4496-BC0B-B62732A861B9}"/>
    <cellStyle name="Note 2 3 2 2 4 13" xfId="21897" xr:uid="{005546F9-2EBC-4BAE-ACBD-6B6DD7ED95F8}"/>
    <cellStyle name="Note 2 3 2 2 4 14" xfId="22905" xr:uid="{0CBF0396-3610-4AFD-B40B-A5F682B1B7D6}"/>
    <cellStyle name="Note 2 3 2 2 4 15" xfId="20566" xr:uid="{36660D54-5484-441B-8378-264FCE5A3967}"/>
    <cellStyle name="Note 2 3 2 2 4 16" xfId="31344" xr:uid="{74649103-D44A-4E9F-800B-F0F24CB52E85}"/>
    <cellStyle name="Note 2 3 2 2 4 2" xfId="19835" xr:uid="{EB04CD57-DBFF-4980-ACD0-27724C491DA5}"/>
    <cellStyle name="Note 2 3 2 2 4 2 2" xfId="27185" xr:uid="{A01817B2-1611-40B1-8AC5-7C4685A3B89B}"/>
    <cellStyle name="Note 2 3 2 2 4 2 3" xfId="34026" xr:uid="{F0D025F3-284D-44C6-808D-D7F88DAF33FF}"/>
    <cellStyle name="Note 2 3 2 2 4 3" xfId="21030" xr:uid="{9330537E-1082-47A0-A9D4-373DD4403450}"/>
    <cellStyle name="Note 2 3 2 2 4 3 2" xfId="29262" xr:uid="{6B99285E-9F40-44AB-A78B-31922798E24F}"/>
    <cellStyle name="Note 2 3 2 2 4 3 3" xfId="36107" xr:uid="{43A60620-E912-4AC8-863E-87FB7749D148}"/>
    <cellStyle name="Note 2 3 2 2 4 4" xfId="19708" xr:uid="{D304CDBC-E296-4C57-BF8B-3A43768D44D4}"/>
    <cellStyle name="Note 2 3 2 2 4 5" xfId="18954" xr:uid="{31A52A49-86A1-4853-8356-E543F989253E}"/>
    <cellStyle name="Note 2 3 2 2 4 6" xfId="19024" xr:uid="{90BD574A-C7E8-4359-B35C-8D1A0A4E933C}"/>
    <cellStyle name="Note 2 3 2 2 4 7" xfId="20746" xr:uid="{DE344A51-5E41-4877-9F91-225BD5430123}"/>
    <cellStyle name="Note 2 3 2 2 4 8" xfId="21182" xr:uid="{3D08CC1E-ABE7-49AA-B923-6A9FC94B12FF}"/>
    <cellStyle name="Note 2 3 2 2 4 9" xfId="22506" xr:uid="{21BCBE6B-B769-401B-862C-64B2A9FC7C06}"/>
    <cellStyle name="Note 2 3 2 2 5" xfId="18201" xr:uid="{D3BF541C-8F4B-4DAD-B430-12FC3BBE7C15}"/>
    <cellStyle name="Note 2 3 2 2 5 2" xfId="27566" xr:uid="{523A8F10-5775-4DEB-B1BF-81D617892954}"/>
    <cellStyle name="Note 2 3 2 2 5 2 2" xfId="34410" xr:uid="{32A3ED0F-B247-404B-8C10-F2695B1A6009}"/>
    <cellStyle name="Note 2 3 2 2 5 3" xfId="29646" xr:uid="{D271A6CF-A1C0-4895-9309-DC447C8D2D41}"/>
    <cellStyle name="Note 2 3 2 2 5 3 2" xfId="36491" xr:uid="{90E87EF9-61B4-40A1-AD72-E69D4D8927C6}"/>
    <cellStyle name="Note 2 3 2 2 5 4" xfId="24898" xr:uid="{832D27DE-4E52-4237-A465-1823C10EA769}"/>
    <cellStyle name="Note 2 3 2 2 5 5" xfId="31728" xr:uid="{8B64000F-BD3D-44C1-81FB-21B1C73D5174}"/>
    <cellStyle name="Note 2 3 2 2 6" xfId="17521" xr:uid="{D2A429AE-7184-48DA-BE36-7365D1F38933}"/>
    <cellStyle name="Note 2 3 2 2 6 2" xfId="26786" xr:uid="{3564643B-6F8E-4107-9ED1-292D8003B3DE}"/>
    <cellStyle name="Note 2 3 2 2 6 2 2" xfId="33626" xr:uid="{E2221D02-96B5-468A-8A16-576576518F3B}"/>
    <cellStyle name="Note 2 3 2 2 6 3" xfId="28862" xr:uid="{296F06BE-A3AE-485E-BC21-210AFC9D6F12}"/>
    <cellStyle name="Note 2 3 2 2 6 3 2" xfId="35707" xr:uid="{ACAC013E-FCF3-4628-A7AA-18D648E5294B}"/>
    <cellStyle name="Note 2 3 2 2 6 4" xfId="24175" xr:uid="{C912F3B8-689E-4F7A-BF13-9640971952A6}"/>
    <cellStyle name="Note 2 3 2 2 6 5" xfId="30944" xr:uid="{D8F9BD09-638F-48E0-ABDA-CFE49EBC4D12}"/>
    <cellStyle name="Note 2 3 2 2 7" xfId="24214" xr:uid="{E8677ED2-4118-4AED-ABD5-0A7E17FD0121}"/>
    <cellStyle name="Note 2 3 2 2 7 2" xfId="26824" xr:uid="{ACE62194-5979-4D42-8B9E-3FFCD0C62F8B}"/>
    <cellStyle name="Note 2 3 2 2 7 2 2" xfId="33664" xr:uid="{C159CA76-EEAB-45B6-BF77-32EDBEF011A1}"/>
    <cellStyle name="Note 2 3 2 2 7 3" xfId="28900" xr:uid="{75C013C5-4210-40A2-8C8B-581E99DE6129}"/>
    <cellStyle name="Note 2 3 2 2 7 3 2" xfId="35745" xr:uid="{21690F30-1D62-48BE-9C31-8651F7FCC02A}"/>
    <cellStyle name="Note 2 3 2 2 7 4" xfId="30982" xr:uid="{3E708307-D359-4EA1-BCD2-13E3B2AAC0AC}"/>
    <cellStyle name="Note 2 3 2 2 8" xfId="25373" xr:uid="{808B293E-E449-4AC3-81EA-66462DA131CE}"/>
    <cellStyle name="Note 2 3 2 2 8 2" xfId="28040" xr:uid="{05F5D99B-77AA-4371-947A-9B7882654284}"/>
    <cellStyle name="Note 2 3 2 2 8 2 2" xfId="34885" xr:uid="{55A669B2-DB9B-41EF-A454-BE81E9BC7FCA}"/>
    <cellStyle name="Note 2 3 2 2 8 3" xfId="30121" xr:uid="{BAB5AC15-1B7B-46EA-A08D-9AB566C59758}"/>
    <cellStyle name="Note 2 3 2 2 8 3 2" xfId="36966" xr:uid="{8A5B5DF0-E34A-4FE6-B74D-C2C6F253BBC9}"/>
    <cellStyle name="Note 2 3 2 2 8 4" xfId="32203" xr:uid="{32F6CE2D-8A0E-44CE-BAFA-1A53B4F24DFD}"/>
    <cellStyle name="Note 2 3 2 2 9" xfId="25310" xr:uid="{BE925C36-42BA-4068-A83A-8203FFF7064B}"/>
    <cellStyle name="Note 2 3 2 2 9 2" xfId="27980" xr:uid="{B8A478DD-E9AD-4688-B040-832D65AF8D63}"/>
    <cellStyle name="Note 2 3 2 2 9 2 2" xfId="34825" xr:uid="{2AB62E58-A4B3-4712-96DB-ABECC767F9E0}"/>
    <cellStyle name="Note 2 3 2 2 9 3" xfId="30061" xr:uid="{83F6983D-3E40-4A13-9A08-FC9923627A6A}"/>
    <cellStyle name="Note 2 3 2 2 9 3 2" xfId="36906" xr:uid="{0E90876A-0D0F-4BE1-A6A9-1691E70ED90E}"/>
    <cellStyle name="Note 2 3 2 2 9 4" xfId="32143" xr:uid="{D9DE5E15-43D4-431D-B149-78774CEA22CE}"/>
    <cellStyle name="Note 2 3 2 20" xfId="16221" xr:uid="{5C930ABC-2DC5-4E87-B3B5-4412ABBE004B}"/>
    <cellStyle name="Note 2 3 2 21" xfId="38893" xr:uid="{DBD99DA1-B389-4F55-8E59-F4C2A48669AB}"/>
    <cellStyle name="Note 2 3 2 3" xfId="10380" xr:uid="{00000000-0005-0000-0000-000068200000}"/>
    <cellStyle name="Note 2 3 2 3 10" xfId="23900" xr:uid="{1390599B-7287-45D9-92BC-B760A1FBCAA4}"/>
    <cellStyle name="Note 2 3 2 3 10 2" xfId="26518" xr:uid="{C13B3493-EE21-4869-B1EE-2AC789896120}"/>
    <cellStyle name="Note 2 3 2 3 10 2 2" xfId="33358" xr:uid="{B51A53A7-6CCC-4F67-8F2B-DC46F5D7F5CB}"/>
    <cellStyle name="Note 2 3 2 3 10 3" xfId="26166" xr:uid="{F1B1641A-1009-4DAF-A05C-13B2BF0F0235}"/>
    <cellStyle name="Note 2 3 2 3 10 3 2" xfId="32994" xr:uid="{A7246BED-28AB-4729-93D8-CDBD60855967}"/>
    <cellStyle name="Note 2 3 2 3 10 4" xfId="23288" xr:uid="{17C8C270-78BA-414C-B855-DAF11BF7531A}"/>
    <cellStyle name="Note 2 3 2 3 11" xfId="25555" xr:uid="{470044FA-A641-4EF0-B866-9478312AEEDE}"/>
    <cellStyle name="Note 2 3 2 3 11 2" xfId="28222" xr:uid="{7496BB82-E568-433D-9B2A-8B7C7B64497C}"/>
    <cellStyle name="Note 2 3 2 3 11 2 2" xfId="35067" xr:uid="{FD940413-3C11-4422-9807-28A9472DAE86}"/>
    <cellStyle name="Note 2 3 2 3 11 3" xfId="30303" xr:uid="{6D07EB74-2E75-49DA-8720-9A1FC2C12E97}"/>
    <cellStyle name="Note 2 3 2 3 11 3 2" xfId="37148" xr:uid="{03E65DDE-7BC0-4AA5-9B7A-9DCCAD0823A7}"/>
    <cellStyle name="Note 2 3 2 3 11 4" xfId="32385" xr:uid="{F34CDCBB-E9CD-443B-BE17-FC3B24006042}"/>
    <cellStyle name="Note 2 3 2 3 12" xfId="23962" xr:uid="{6B20967E-F4E6-4DB9-866B-478469346315}"/>
    <cellStyle name="Note 2 3 2 3 12 2" xfId="26580" xr:uid="{55DE6849-2B39-4360-B96D-525E7444BA06}"/>
    <cellStyle name="Note 2 3 2 3 12 2 2" xfId="33420" xr:uid="{D7678B2C-5BC8-45DE-9156-F742C4C6B7D1}"/>
    <cellStyle name="Note 2 3 2 3 12 3" xfId="26112" xr:uid="{A79BC282-4C0F-488A-A18D-A1E979F10638}"/>
    <cellStyle name="Note 2 3 2 3 12 3 2" xfId="32940" xr:uid="{B22D1D20-396F-41D1-BAC5-2DA4CA0E160A}"/>
    <cellStyle name="Note 2 3 2 3 12 4" xfId="23234" xr:uid="{5A2A5216-882C-4A67-BCE5-68E5823813EF}"/>
    <cellStyle name="Note 2 3 2 3 13" xfId="25924" xr:uid="{A211A5CE-24DF-45E6-8FD6-66239E85ABDD}"/>
    <cellStyle name="Note 2 3 2 3 13 2" xfId="28590" xr:uid="{E423C55E-FA17-46C8-9172-FC08B692C82F}"/>
    <cellStyle name="Note 2 3 2 3 13 2 2" xfId="35435" xr:uid="{1FC4130D-FE0A-4FF1-BA30-230B98EDB589}"/>
    <cellStyle name="Note 2 3 2 3 13 3" xfId="30671" xr:uid="{72F3A382-4425-4442-B2C5-D527DC68FD6C}"/>
    <cellStyle name="Note 2 3 2 3 13 3 2" xfId="37516" xr:uid="{9E60C7BC-F720-4C05-B9C8-CAEB11646494}"/>
    <cellStyle name="Note 2 3 2 3 13 4" xfId="32753" xr:uid="{51780EE1-941F-4541-9AE6-AA019D3D7BF7}"/>
    <cellStyle name="Note 2 3 2 3 14" xfId="24809" xr:uid="{1BA7A0F8-FFA1-473E-9BC7-CA3383182999}"/>
    <cellStyle name="Note 2 3 2 3 14 2" xfId="27465" xr:uid="{E056596C-2260-4EC3-81BC-147F633FFA90}"/>
    <cellStyle name="Note 2 3 2 3 14 2 2" xfId="34309" xr:uid="{9BBEE7E9-DAA9-4E6E-8018-5E8EAA3676A4}"/>
    <cellStyle name="Note 2 3 2 3 14 3" xfId="29545" xr:uid="{C75D9E89-A856-4463-9D07-DD2E18DEB9AD}"/>
    <cellStyle name="Note 2 3 2 3 14 3 2" xfId="36390" xr:uid="{98C2F729-BF7A-4551-A73F-491756338F27}"/>
    <cellStyle name="Note 2 3 2 3 14 4" xfId="31627" xr:uid="{1AB4BFF6-FC74-4E17-AA1D-04EF7AB882DC}"/>
    <cellStyle name="Note 2 3 2 3 15" xfId="25873" xr:uid="{486C8CC7-837F-4EC9-AB37-83DD199F07A5}"/>
    <cellStyle name="Note 2 3 2 3 15 2" xfId="28539" xr:uid="{C50C9051-B200-4735-AAE1-D10AB7EACB2D}"/>
    <cellStyle name="Note 2 3 2 3 15 2 2" xfId="35384" xr:uid="{CABB15B9-487F-4831-8D71-67BE88E103F3}"/>
    <cellStyle name="Note 2 3 2 3 15 3" xfId="30620" xr:uid="{27082615-ADF8-4CA8-A710-BF8EC67DC404}"/>
    <cellStyle name="Note 2 3 2 3 15 3 2" xfId="37465" xr:uid="{AD769B63-7316-4A82-B66F-31F623028069}"/>
    <cellStyle name="Note 2 3 2 3 15 4" xfId="32702" xr:uid="{C1D192B2-EA16-42EE-A924-36B8349DE7B1}"/>
    <cellStyle name="Note 2 3 2 3 16" xfId="23647" xr:uid="{A47DD849-50E7-4712-AA5D-73532F85A679}"/>
    <cellStyle name="Note 2 3 2 3 17" xfId="17555" xr:uid="{D86932FA-E699-478D-87D0-961FAF0B27C3}"/>
    <cellStyle name="Note 2 3 2 3 18" xfId="42869" xr:uid="{B7348164-2F9B-4AB5-8F50-CE62FFC7B789}"/>
    <cellStyle name="Note 2 3 2 3 2" xfId="17826" xr:uid="{18696C77-E48F-41AF-BA0F-C8FD83D31034}"/>
    <cellStyle name="Note 2 3 2 3 2 10" xfId="24008" xr:uid="{E84C90ED-A32E-4328-B458-B7BB0FCC4831}"/>
    <cellStyle name="Note 2 3 2 3 2 10 2" xfId="26625" xr:uid="{37D18ECC-EFCC-424C-B08C-E4A1E4CD0C21}"/>
    <cellStyle name="Note 2 3 2 3 2 10 2 2" xfId="33465" xr:uid="{A8BA3B06-84CA-4E6D-AF04-E97786CF8B7F}"/>
    <cellStyle name="Note 2 3 2 3 2 10 3" xfId="26047" xr:uid="{0C8C182D-7FE3-4D1B-9478-3772792D2530}"/>
    <cellStyle name="Note 2 3 2 3 2 10 3 2" xfId="32876" xr:uid="{763E7BC3-E3E0-43BC-BA2A-DB69F1387859}"/>
    <cellStyle name="Note 2 3 2 3 2 10 4" xfId="23191" xr:uid="{DC7AD2DD-FBF5-47DA-A956-E8B4D61FF23D}"/>
    <cellStyle name="Note 2 3 2 3 2 11" xfId="25650" xr:uid="{1C0D9D57-19D7-4D90-86D6-2B9752369D19}"/>
    <cellStyle name="Note 2 3 2 3 2 11 2" xfId="28317" xr:uid="{BE99A751-13E2-4C0C-A7A5-8654B6C478D9}"/>
    <cellStyle name="Note 2 3 2 3 2 11 2 2" xfId="35162" xr:uid="{648A7B0F-D5A9-4A81-97A0-E585192900F2}"/>
    <cellStyle name="Note 2 3 2 3 2 11 3" xfId="30398" xr:uid="{7866739A-6D06-4DA2-B322-70625B2D310B}"/>
    <cellStyle name="Note 2 3 2 3 2 11 3 2" xfId="37243" xr:uid="{55002B00-D79B-408F-BFF5-08A45A7AB7C0}"/>
    <cellStyle name="Note 2 3 2 3 2 11 4" xfId="32480" xr:uid="{274A2B68-BE86-486A-9370-BDFC0F3FF521}"/>
    <cellStyle name="Note 2 3 2 3 2 12" xfId="25755" xr:uid="{9FE0DBCE-4204-430D-BBB1-CF216195064E}"/>
    <cellStyle name="Note 2 3 2 3 2 12 2" xfId="28421" xr:uid="{70BA0087-F33E-4DAD-8580-E5F4E1C13CA1}"/>
    <cellStyle name="Note 2 3 2 3 2 12 2 2" xfId="35266" xr:uid="{5D63AF29-A5D0-42CC-8544-1B115870A4F6}"/>
    <cellStyle name="Note 2 3 2 3 2 12 3" xfId="30502" xr:uid="{BA958D55-15F8-4E5A-A4D1-1CC296C4E2AA}"/>
    <cellStyle name="Note 2 3 2 3 2 12 3 2" xfId="37347" xr:uid="{6C89B5F5-83D7-4C8D-937E-8F8F0FA8B4BF}"/>
    <cellStyle name="Note 2 3 2 3 2 12 4" xfId="32584" xr:uid="{7ACF7C44-FFD7-4D08-B95B-1A2156625C75}"/>
    <cellStyle name="Note 2 3 2 3 2 13" xfId="25832" xr:uid="{AA40D41C-B96D-440A-B5DF-C5AB4C6EC4CE}"/>
    <cellStyle name="Note 2 3 2 3 2 13 2" xfId="28498" xr:uid="{D2FD6B3A-25AB-4C1B-A203-11D9C2D1055C}"/>
    <cellStyle name="Note 2 3 2 3 2 13 2 2" xfId="35343" xr:uid="{BB7231DD-B6F1-466E-8D8A-823DCB4D2490}"/>
    <cellStyle name="Note 2 3 2 3 2 13 3" xfId="30579" xr:uid="{DC80F21D-3794-4135-BC9E-CE805F2A72D6}"/>
    <cellStyle name="Note 2 3 2 3 2 13 3 2" xfId="37424" xr:uid="{AD89A8D6-BB9D-4780-975A-DFD4FCA5574A}"/>
    <cellStyle name="Note 2 3 2 3 2 13 4" xfId="32661" xr:uid="{BBA3929A-9F42-4DAF-8112-4F270D3F75EE}"/>
    <cellStyle name="Note 2 3 2 3 2 14" xfId="23748" xr:uid="{788BF5D0-7215-4630-90DB-BB65B6C83849}"/>
    <cellStyle name="Note 2 3 2 3 2 14 2" xfId="26359" xr:uid="{D1BB1B13-0A35-4D33-B329-915842236AE2}"/>
    <cellStyle name="Note 2 3 2 3 2 14 2 2" xfId="33198" xr:uid="{45964E8F-FFEF-4225-AE4E-E8B35B619BD1}"/>
    <cellStyle name="Note 2 3 2 3 2 14 3" xfId="26322" xr:uid="{BE935008-9295-4231-92CB-7F9BDF705CE9}"/>
    <cellStyle name="Note 2 3 2 3 2 14 3 2" xfId="33150" xr:uid="{BF4AD67D-FA19-42C4-A2FB-479E3A05B4AE}"/>
    <cellStyle name="Note 2 3 2 3 2 14 4" xfId="23162" xr:uid="{72B02E5A-3C6C-481C-A21F-7C772D50A1F9}"/>
    <cellStyle name="Note 2 3 2 3 2 15" xfId="25960" xr:uid="{0E637C11-C9C8-45D9-9386-2CEA4DAD44F8}"/>
    <cellStyle name="Note 2 3 2 3 2 15 2" xfId="28626" xr:uid="{803149E4-2B73-4636-AE35-847535629850}"/>
    <cellStyle name="Note 2 3 2 3 2 15 2 2" xfId="35471" xr:uid="{0DECE881-3663-41BA-BB06-4D426F560384}"/>
    <cellStyle name="Note 2 3 2 3 2 15 3" xfId="30707" xr:uid="{E7F790A0-6A8F-4E70-9644-A408AD3FA662}"/>
    <cellStyle name="Note 2 3 2 3 2 15 3 2" xfId="37552" xr:uid="{4F882ECC-635E-4C41-A7D5-EC01D5FF91EA}"/>
    <cellStyle name="Note 2 3 2 3 2 15 4" xfId="32789" xr:uid="{24029508-22CE-4167-B1DB-E5A4D2A9D79B}"/>
    <cellStyle name="Note 2 3 2 3 2 16" xfId="26014" xr:uid="{1977D893-7B1F-4F9D-8962-640289BEDC03}"/>
    <cellStyle name="Note 2 3 2 3 2 16 2" xfId="28680" xr:uid="{830BDF53-D5B4-4925-9C9E-109E6A03C762}"/>
    <cellStyle name="Note 2 3 2 3 2 16 2 2" xfId="35525" xr:uid="{D84B04CE-1644-446D-9169-B4FB2899C258}"/>
    <cellStyle name="Note 2 3 2 3 2 16 3" xfId="30761" xr:uid="{5FC462B2-FF0A-4AAA-8717-9428BDE03612}"/>
    <cellStyle name="Note 2 3 2 3 2 16 3 2" xfId="37606" xr:uid="{978ABAAE-85CF-444D-9998-296FB77B0ED8}"/>
    <cellStyle name="Note 2 3 2 3 2 16 4" xfId="32843" xr:uid="{D1474E5F-D7FC-4303-893D-C48463DDA02A}"/>
    <cellStyle name="Note 2 3 2 3 2 17" xfId="23553" xr:uid="{4509ACAB-9055-4130-9C6E-3A36336DE05F}"/>
    <cellStyle name="Note 2 3 2 3 2 2" xfId="18446" xr:uid="{4657BCA6-E5A2-4ECD-A533-10CE4DF06772}"/>
    <cellStyle name="Note 2 3 2 3 2 2 10" xfId="22405" xr:uid="{4BD88444-075F-489C-93AE-A632D5EA106D}"/>
    <cellStyle name="Note 2 3 2 3 2 2 11" xfId="22261" xr:uid="{E9AFE44F-6F5E-4A1E-AE14-64218E97DDE6}"/>
    <cellStyle name="Note 2 3 2 3 2 2 12" xfId="22270" xr:uid="{AD710BA3-1486-458E-A550-5D9127920E5A}"/>
    <cellStyle name="Note 2 3 2 3 2 2 13" xfId="22575" xr:uid="{21038F70-4EFF-4D56-9AE7-02BA65C4847F}"/>
    <cellStyle name="Note 2 3 2 3 2 2 14" xfId="21540" xr:uid="{42BA590C-3258-4EF7-B4B3-4319CCAC34FE}"/>
    <cellStyle name="Note 2 3 2 3 2 2 15" xfId="21720" xr:uid="{5B8EF2AF-564C-4517-92D0-B0E1472E9119}"/>
    <cellStyle name="Note 2 3 2 3 2 2 16" xfId="31496" xr:uid="{561FA0FE-ADB9-4172-8C07-02B217A404B9}"/>
    <cellStyle name="Note 2 3 2 3 2 2 2" xfId="19927" xr:uid="{22AF76D3-3B28-40CE-BFB5-7F69D3C5DB09}"/>
    <cellStyle name="Note 2 3 2 3 2 2 2 2" xfId="27334" xr:uid="{0826C33B-F5FE-4CA6-BE9E-C24501378851}"/>
    <cellStyle name="Note 2 3 2 3 2 2 2 3" xfId="34178" xr:uid="{F8BD5B58-B000-44B2-AD2B-B21004A51180}"/>
    <cellStyle name="Note 2 3 2 3 2 2 3" xfId="21078" xr:uid="{6A2AB72C-28E2-4DE5-A434-C02E43CE3240}"/>
    <cellStyle name="Note 2 3 2 3 2 2 3 2" xfId="29414" xr:uid="{73BABB99-2E5C-4B76-8932-A00900102849}"/>
    <cellStyle name="Note 2 3 2 3 2 2 3 3" xfId="36259" xr:uid="{2566DF1C-659D-488E-9ECA-3DA7CC6BA1BC}"/>
    <cellStyle name="Note 2 3 2 3 2 2 4" xfId="21561" xr:uid="{939F8EFA-AD7F-4285-821F-C6E0C9FB9EF9}"/>
    <cellStyle name="Note 2 3 2 3 2 2 5" xfId="20948" xr:uid="{519961A5-1C7A-43C9-BB74-E2C09A96856D}"/>
    <cellStyle name="Note 2 3 2 3 2 2 6" xfId="20118" xr:uid="{67A2052E-D0F8-49CD-8E2A-25541BBA3BE4}"/>
    <cellStyle name="Note 2 3 2 3 2 2 7" xfId="19294" xr:uid="{C958FED4-442A-421E-A9F0-9CC855274AFA}"/>
    <cellStyle name="Note 2 3 2 3 2 2 8" xfId="21351" xr:uid="{3D8A2A00-EC4D-4001-BD5B-1F93D2E3E662}"/>
    <cellStyle name="Note 2 3 2 3 2 2 9" xfId="19656" xr:uid="{21714F20-158B-4224-81EA-18B318CA5552}"/>
    <cellStyle name="Note 2 3 2 3 2 3" xfId="24913" xr:uid="{AA3F0403-AFD3-4ACA-A017-172B8E496DD7}"/>
    <cellStyle name="Note 2 3 2 3 2 3 2" xfId="27582" xr:uid="{8AAA62E4-B095-40E5-893D-4E60A41D257F}"/>
    <cellStyle name="Note 2 3 2 3 2 3 2 2" xfId="34426" xr:uid="{5C864F51-F5BE-45F7-8E92-90B98F2033E9}"/>
    <cellStyle name="Note 2 3 2 3 2 3 3" xfId="29662" xr:uid="{0CBC6009-5FE7-4505-B6CF-B2C1070FD00A}"/>
    <cellStyle name="Note 2 3 2 3 2 3 3 2" xfId="36507" xr:uid="{23610C5C-F3C0-4713-92D4-F0E3C80C2B55}"/>
    <cellStyle name="Note 2 3 2 3 2 3 4" xfId="31744" xr:uid="{40C3824A-454B-40A0-AD6F-D1496690CA16}"/>
    <cellStyle name="Note 2 3 2 3 2 4" xfId="24788" xr:uid="{D7EFDFCA-2939-4AA6-8456-4D1CB38D1F3B}"/>
    <cellStyle name="Note 2 3 2 3 2 4 2" xfId="27441" xr:uid="{51F319AB-B627-41AE-AC4C-7F5DF2FEFB43}"/>
    <cellStyle name="Note 2 3 2 3 2 4 2 2" xfId="34285" xr:uid="{2E3AF98A-3114-4D77-B562-B0FF7BB7D9D6}"/>
    <cellStyle name="Note 2 3 2 3 2 4 3" xfId="29521" xr:uid="{82BA77AC-EDBC-4DF3-814E-3F75F60887B2}"/>
    <cellStyle name="Note 2 3 2 3 2 4 3 2" xfId="36366" xr:uid="{0C07D1CB-3C91-4010-B4A7-C98E1BB439E9}"/>
    <cellStyle name="Note 2 3 2 3 2 4 4" xfId="31603" xr:uid="{7BD05021-5184-4A8E-AA35-D8F38A126160}"/>
    <cellStyle name="Note 2 3 2 3 2 5" xfId="25106" xr:uid="{B77D419A-D730-41CC-8F03-33B8995915AC}"/>
    <cellStyle name="Note 2 3 2 3 2 5 2" xfId="27778" xr:uid="{917CEFA0-F426-435F-82D8-355275B6DFC6}"/>
    <cellStyle name="Note 2 3 2 3 2 5 2 2" xfId="34623" xr:uid="{D6CD0A26-4D32-48DD-BC8E-CB3498BEAC6E}"/>
    <cellStyle name="Note 2 3 2 3 2 5 3" xfId="29859" xr:uid="{C8FAD09A-BE78-40B7-A4C8-E603F63E42D0}"/>
    <cellStyle name="Note 2 3 2 3 2 5 3 2" xfId="36704" xr:uid="{FC1935A9-7841-4C8C-9E14-9ACB7D8FF5CB}"/>
    <cellStyle name="Note 2 3 2 3 2 5 4" xfId="31941" xr:uid="{F65061C5-1EE2-4C49-A7EE-580F80ED2659}"/>
    <cellStyle name="Note 2 3 2 3 2 6" xfId="23796" xr:uid="{87D36C21-26CB-4892-B6AA-4353B36232FA}"/>
    <cellStyle name="Note 2 3 2 3 2 6 2" xfId="26409" xr:uid="{6965A143-798A-4A06-9235-A7C2C2D18150}"/>
    <cellStyle name="Note 2 3 2 3 2 6 2 2" xfId="33249" xr:uid="{899996F9-C1C5-437D-9275-B417A03C98BF}"/>
    <cellStyle name="Note 2 3 2 3 2 6 3" xfId="26273" xr:uid="{3FB4798B-7D51-46D9-BD2E-8DDC20C82CBB}"/>
    <cellStyle name="Note 2 3 2 3 2 6 3 2" xfId="33101" xr:uid="{A5C81679-4452-48D4-83B6-605605D2D226}"/>
    <cellStyle name="Note 2 3 2 3 2 6 4" xfId="23395" xr:uid="{EEC028B2-7B87-4A76-9FEC-5BC49C8B7AF8}"/>
    <cellStyle name="Note 2 3 2 3 2 7" xfId="24996" xr:uid="{5B01394D-6371-47A1-8F60-3FC28F6952C2}"/>
    <cellStyle name="Note 2 3 2 3 2 7 2" xfId="27666" xr:uid="{977F077F-5B6B-4842-B30C-EB79738ADFED}"/>
    <cellStyle name="Note 2 3 2 3 2 7 2 2" xfId="34511" xr:uid="{01F797E0-7E32-4F6F-88EF-A0A1D5A2A218}"/>
    <cellStyle name="Note 2 3 2 3 2 7 3" xfId="29747" xr:uid="{32A3EC5F-92EB-47B3-9CD8-C7FA0B94BF17}"/>
    <cellStyle name="Note 2 3 2 3 2 7 3 2" xfId="36592" xr:uid="{8EDEF68E-167E-426A-9F29-22B71BE01D7B}"/>
    <cellStyle name="Note 2 3 2 3 2 7 4" xfId="31829" xr:uid="{4901F9C7-A4F9-4324-A5FE-851DC0A7BF01}"/>
    <cellStyle name="Note 2 3 2 3 2 8" xfId="25148" xr:uid="{AD83D1F7-D426-48FA-A24B-E5A151CFCE02}"/>
    <cellStyle name="Note 2 3 2 3 2 8 2" xfId="27820" xr:uid="{1DEB9113-EAD6-45AE-BA0F-314212B49FF0}"/>
    <cellStyle name="Note 2 3 2 3 2 8 2 2" xfId="34665" xr:uid="{B09B0A73-6112-42D2-AF37-68617577AC1B}"/>
    <cellStyle name="Note 2 3 2 3 2 8 3" xfId="29901" xr:uid="{0598C5A9-21E0-4D65-8E68-6B0432E24AEB}"/>
    <cellStyle name="Note 2 3 2 3 2 8 3 2" xfId="36746" xr:uid="{4933E8AE-3F2C-4E61-87F7-55D5645B6751}"/>
    <cellStyle name="Note 2 3 2 3 2 8 4" xfId="31983" xr:uid="{4173635A-3A08-49AE-BFA3-4271C190A75A}"/>
    <cellStyle name="Note 2 3 2 3 2 9" xfId="25483" xr:uid="{1F6F13B5-EFD7-49B0-AC92-4281AECD700D}"/>
    <cellStyle name="Note 2 3 2 3 2 9 2" xfId="28150" xr:uid="{84952527-90A7-4511-ADB8-79964B596D96}"/>
    <cellStyle name="Note 2 3 2 3 2 9 2 2" xfId="34995" xr:uid="{E9C3399D-AB28-4066-8DC9-A7A9BDEF20ED}"/>
    <cellStyle name="Note 2 3 2 3 2 9 3" xfId="30231" xr:uid="{8DCE970F-3575-4A6C-A8C8-58C7BEEFBF19}"/>
    <cellStyle name="Note 2 3 2 3 2 9 3 2" xfId="37076" xr:uid="{22962186-9DFD-4EAB-9A1D-034E6BBE1252}"/>
    <cellStyle name="Note 2 3 2 3 2 9 4" xfId="32313" xr:uid="{585C366E-0E77-406F-A5E2-A99A1E928DF4}"/>
    <cellStyle name="Note 2 3 2 3 3" xfId="18622" xr:uid="{AD56A602-54BE-4DE6-B3DE-38EC19548170}"/>
    <cellStyle name="Note 2 3 2 3 3 10" xfId="19954" xr:uid="{C3AF9110-B706-4C48-AB43-E3126DD3736E}"/>
    <cellStyle name="Note 2 3 2 3 3 11" xfId="20461" xr:uid="{90452B0E-F204-4B47-9CC0-CCA1B8476A52}"/>
    <cellStyle name="Note 2 3 2 3 3 12" xfId="22758" xr:uid="{BDCD8170-8FB1-4204-AFCA-7F48A942C01E}"/>
    <cellStyle name="Note 2 3 2 3 3 13" xfId="19686" xr:uid="{3AB91182-B267-4898-966C-42E411A1BFBB}"/>
    <cellStyle name="Note 2 3 2 3 3 14" xfId="22894" xr:uid="{E8636EA2-96FC-4073-ABE0-C34A370AE1A5}"/>
    <cellStyle name="Note 2 3 2 3 3 15" xfId="20273" xr:uid="{50AE31A1-9DB7-4598-85C5-7AD0A64C103C}"/>
    <cellStyle name="Note 2 3 2 3 3 16" xfId="31369" xr:uid="{BE19820F-7B09-4436-9577-5F180341A467}"/>
    <cellStyle name="Note 2 3 2 3 3 2" xfId="19845" xr:uid="{B23299EB-4189-443E-8BD9-041BA784138E}"/>
    <cellStyle name="Note 2 3 2 3 3 2 2" xfId="27210" xr:uid="{6C46FBD3-C2E8-477E-89C1-700B8848B317}"/>
    <cellStyle name="Note 2 3 2 3 3 2 3" xfId="34051" xr:uid="{D8CAA0DD-E9F3-433F-8CF4-589F75161A7F}"/>
    <cellStyle name="Note 2 3 2 3 3 3" xfId="20957" xr:uid="{872B24DA-9F9F-4B44-8388-4B252572AA74}"/>
    <cellStyle name="Note 2 3 2 3 3 3 2" xfId="29287" xr:uid="{234B41E7-8043-4264-8BDA-FBA323852307}"/>
    <cellStyle name="Note 2 3 2 3 3 3 3" xfId="36132" xr:uid="{9BE9A7C5-7590-4AFC-94DC-C6E52F5FA53F}"/>
    <cellStyle name="Note 2 3 2 3 3 4" xfId="20942" xr:uid="{A71074B8-0926-462D-B047-C1BF44BB032A}"/>
    <cellStyle name="Note 2 3 2 3 3 5" xfId="19390" xr:uid="{6B075D17-F2C6-4041-9016-7478579C6BB6}"/>
    <cellStyle name="Note 2 3 2 3 3 6" xfId="19071" xr:uid="{F5618756-4F33-4AEE-A104-36E36D8E1AAC}"/>
    <cellStyle name="Note 2 3 2 3 3 7" xfId="21907" xr:uid="{8DA55AFD-4566-411F-A2A7-007C509F64B3}"/>
    <cellStyle name="Note 2 3 2 3 3 8" xfId="20251" xr:uid="{4A73D7A2-4280-4A3F-8810-04ECECA9C93C}"/>
    <cellStyle name="Note 2 3 2 3 3 9" xfId="22495" xr:uid="{EC635441-B068-4EA9-AA95-AFB2A72FC05A}"/>
    <cellStyle name="Note 2 3 2 3 4" xfId="24424" xr:uid="{20A653FA-F36B-47FB-A144-64B6242C9477}"/>
    <cellStyle name="Note 2 3 2 3 4 2" xfId="27043" xr:uid="{697FA6D7-0F22-4ED3-8E27-D13B402C7F6B}"/>
    <cellStyle name="Note 2 3 2 3 4 2 2" xfId="33883" xr:uid="{D00D1CDC-2D77-47F6-9DD2-A8240AF84B61}"/>
    <cellStyle name="Note 2 3 2 3 4 3" xfId="29119" xr:uid="{75E4A5A3-8BC2-475D-A8F3-F77920F3F39A}"/>
    <cellStyle name="Note 2 3 2 3 4 3 2" xfId="35964" xr:uid="{E61046ED-0272-4867-A81E-804FD49F59C4}"/>
    <cellStyle name="Note 2 3 2 3 4 4" xfId="31201" xr:uid="{1B9B8AD9-D1CE-4697-9537-BD2FF841CF5F}"/>
    <cellStyle name="Note 2 3 2 3 5" xfId="24771" xr:uid="{A4FF7E38-9697-4683-810D-D2C1877BBF0D}"/>
    <cellStyle name="Note 2 3 2 3 5 2" xfId="27423" xr:uid="{F212B872-71EC-4B21-AA67-1C83C278F89B}"/>
    <cellStyle name="Note 2 3 2 3 5 2 2" xfId="34267" xr:uid="{AB95F522-11DE-4CE9-8D2E-2646C248729C}"/>
    <cellStyle name="Note 2 3 2 3 5 3" xfId="29503" xr:uid="{D95ED03B-0BF8-414F-BDD9-F4BB58D9A0E5}"/>
    <cellStyle name="Note 2 3 2 3 5 3 2" xfId="36348" xr:uid="{5768FC87-99E4-472E-B3F6-FFE4AACC04FC}"/>
    <cellStyle name="Note 2 3 2 3 5 4" xfId="31585" xr:uid="{40F0DDC3-EA78-4FB0-8860-905F4DCA3BCD}"/>
    <cellStyle name="Note 2 3 2 3 6" xfId="24855" xr:uid="{A613085D-0BE3-4E78-B9CA-28C764369775}"/>
    <cellStyle name="Note 2 3 2 3 6 2" xfId="27517" xr:uid="{55797E51-5E66-426A-B946-5D1DA345AA85}"/>
    <cellStyle name="Note 2 3 2 3 6 2 2" xfId="34361" xr:uid="{6033CA2A-A222-4C8E-948A-4B95B40A37FC}"/>
    <cellStyle name="Note 2 3 2 3 6 3" xfId="29597" xr:uid="{646679E4-2AE4-4AD7-89DE-2B60BEFA84E0}"/>
    <cellStyle name="Note 2 3 2 3 6 3 2" xfId="36442" xr:uid="{8CA61414-1F23-4FD4-BA55-B55D4D2FC092}"/>
    <cellStyle name="Note 2 3 2 3 6 4" xfId="31679" xr:uid="{874A9E6B-6297-4BCF-97D8-04DDDD6B837E}"/>
    <cellStyle name="Note 2 3 2 3 7" xfId="24112" xr:uid="{B1A61C16-C7DE-4450-A441-3DE713C8EF0A}"/>
    <cellStyle name="Note 2 3 2 3 7 2" xfId="26724" xr:uid="{F675C2AD-F212-4B1F-9ABA-CA6B0A7EDA68}"/>
    <cellStyle name="Note 2 3 2 3 7 2 2" xfId="33564" xr:uid="{31345A7E-9197-41A8-BED7-FFF136A1F3A9}"/>
    <cellStyle name="Note 2 3 2 3 7 3" xfId="28800" xr:uid="{B544A174-9B9B-4D34-86D4-86ABACCF3F8C}"/>
    <cellStyle name="Note 2 3 2 3 7 3 2" xfId="35645" xr:uid="{46DF0B02-D096-44F7-B4C3-B36CB7CFBC13}"/>
    <cellStyle name="Note 2 3 2 3 7 4" xfId="30882" xr:uid="{B7D2E632-760B-4D6D-B7E0-4BFAD2C3A307}"/>
    <cellStyle name="Note 2 3 2 3 8" xfId="23829" xr:uid="{35E39DF7-5A76-40DF-8CDF-F002BEBFB43A}"/>
    <cellStyle name="Note 2 3 2 3 8 2" xfId="26448" xr:uid="{62E35E30-108F-4229-9E51-D36E4356CA70}"/>
    <cellStyle name="Note 2 3 2 3 8 2 2" xfId="33288" xr:uid="{208BAF16-B704-4C63-8C98-7E3AF568B90D}"/>
    <cellStyle name="Note 2 3 2 3 8 3" xfId="26235" xr:uid="{6FE21437-B97A-4FB4-9C4D-D5E87114AC63}"/>
    <cellStyle name="Note 2 3 2 3 8 3 2" xfId="33063" xr:uid="{6C06A0FA-55CB-46FA-BCF9-45C2A1C54450}"/>
    <cellStyle name="Note 2 3 2 3 8 4" xfId="23357" xr:uid="{2AEB7899-40D7-4365-B119-8D32C4D14C6A}"/>
    <cellStyle name="Note 2 3 2 3 9" xfId="24993" xr:uid="{8ABF43B5-36F3-4421-916A-704EBDFB2371}"/>
    <cellStyle name="Note 2 3 2 3 9 2" xfId="27663" xr:uid="{D11AA6D8-D413-419A-8E04-E743B954A60B}"/>
    <cellStyle name="Note 2 3 2 3 9 2 2" xfId="34508" xr:uid="{CB4C4712-102B-418D-AA1E-8DA9A35745C4}"/>
    <cellStyle name="Note 2 3 2 3 9 3" xfId="29744" xr:uid="{EBA022E5-D942-4BB9-A249-1A0EBE5F3D61}"/>
    <cellStyle name="Note 2 3 2 3 9 3 2" xfId="36589" xr:uid="{2E47B2EE-E6E7-4A82-AF67-4271456EFD80}"/>
    <cellStyle name="Note 2 3 2 3 9 4" xfId="31826" xr:uid="{A523AA64-2615-4413-BE20-649A355963ED}"/>
    <cellStyle name="Note 2 3 2 4" xfId="8132" xr:uid="{00000000-0005-0000-0000-00007B0F0000}"/>
    <cellStyle name="Note 2 3 2 4 10" xfId="23759" xr:uid="{523DB73E-A968-41DC-9FF5-63384F32E754}"/>
    <cellStyle name="Note 2 3 2 4 10 2" xfId="26370" xr:uid="{364BE7B7-FF6D-4015-97DE-4F5FC7B61B27}"/>
    <cellStyle name="Note 2 3 2 4 10 2 2" xfId="33209" xr:uid="{119E60E9-B887-4231-A942-3D1A54CED816}"/>
    <cellStyle name="Note 2 3 2 4 10 3" xfId="26312" xr:uid="{69C4003F-0D4A-4ED1-A11C-609107287A6B}"/>
    <cellStyle name="Note 2 3 2 4 10 3 2" xfId="33140" xr:uid="{995C8919-ABE5-4168-B2DE-450B070D805C}"/>
    <cellStyle name="Note 2 3 2 4 10 4" xfId="23434" xr:uid="{AAB4CAB9-9F55-4819-B73B-130048715FAB}"/>
    <cellStyle name="Note 2 3 2 4 11" xfId="25163" xr:uid="{C92093AB-8D05-4911-A69F-BBF3EF45AC11}"/>
    <cellStyle name="Note 2 3 2 4 11 2" xfId="27835" xr:uid="{07CB9D96-FAA7-4E8A-981B-406BE740EC0D}"/>
    <cellStyle name="Note 2 3 2 4 11 2 2" xfId="34680" xr:uid="{CF9A4AA4-F2A4-4F7E-89A5-5AAE85B2DC0A}"/>
    <cellStyle name="Note 2 3 2 4 11 3" xfId="29916" xr:uid="{FA784CF5-E83F-43E8-BE9F-8CF4812EBE03}"/>
    <cellStyle name="Note 2 3 2 4 11 3 2" xfId="36761" xr:uid="{933D2DBB-5313-414B-B00B-0E4870121238}"/>
    <cellStyle name="Note 2 3 2 4 11 4" xfId="31998" xr:uid="{7B6BBF0E-BF02-4908-9A06-E9BF290610F8}"/>
    <cellStyle name="Note 2 3 2 4 12" xfId="25195" xr:uid="{EA812C86-7F8C-44DB-8EFF-B03B345EF907}"/>
    <cellStyle name="Note 2 3 2 4 12 2" xfId="27867" xr:uid="{121AD12E-1B28-414A-989E-8A867793E3B8}"/>
    <cellStyle name="Note 2 3 2 4 12 2 2" xfId="34712" xr:uid="{A5249530-D33F-47EB-ADDA-D5AC5D3F28D0}"/>
    <cellStyle name="Note 2 3 2 4 12 3" xfId="29948" xr:uid="{C2CA5F38-623F-48CE-9358-69FE7B41BC40}"/>
    <cellStyle name="Note 2 3 2 4 12 3 2" xfId="36793" xr:uid="{84B1CA2D-31D2-40B4-924F-C55CE5688223}"/>
    <cellStyle name="Note 2 3 2 4 12 4" xfId="32030" xr:uid="{8DDEF03C-35CC-4FA1-843E-23AA453CA561}"/>
    <cellStyle name="Note 2 3 2 4 13" xfId="25708" xr:uid="{20113735-372A-499D-A542-43AB6855CF79}"/>
    <cellStyle name="Note 2 3 2 4 13 2" xfId="28375" xr:uid="{0314E540-409C-47FC-A57A-3E675885337B}"/>
    <cellStyle name="Note 2 3 2 4 13 2 2" xfId="35220" xr:uid="{8EC93A33-04D0-427C-AA87-6E9FC9963CD6}"/>
    <cellStyle name="Note 2 3 2 4 13 3" xfId="30456" xr:uid="{A312479D-95ED-464A-8FD0-CB131A32E5B3}"/>
    <cellStyle name="Note 2 3 2 4 13 3 2" xfId="37301" xr:uid="{BA9C9517-5CE6-49BD-AACC-82A07D77EE9A}"/>
    <cellStyle name="Note 2 3 2 4 13 4" xfId="32538" xr:uid="{03C5D61D-1B62-4A0E-BEC7-71062DEB0C2B}"/>
    <cellStyle name="Note 2 3 2 4 14" xfId="24041" xr:uid="{2DFE2403-5984-44F1-B36E-D84F0B092E5F}"/>
    <cellStyle name="Note 2 3 2 4 14 2" xfId="26655" xr:uid="{A39ED46E-2378-4040-9B20-93E761DB7950}"/>
    <cellStyle name="Note 2 3 2 4 14 2 2" xfId="33495" xr:uid="{4563AEBA-7B78-46A4-A0CC-B9EB0E4F2EA1}"/>
    <cellStyle name="Note 2 3 2 4 14 3" xfId="28731" xr:uid="{9B3C52DF-7033-44B3-A055-EECF96B28DFD}"/>
    <cellStyle name="Note 2 3 2 4 14 3 2" xfId="35576" xr:uid="{AF0CB8B4-7D6B-4EC3-93FD-AEF5570EBDC6}"/>
    <cellStyle name="Note 2 3 2 4 14 4" xfId="30813" xr:uid="{42C03DD5-40D5-45DF-8D6E-FB99B751811A}"/>
    <cellStyle name="Note 2 3 2 4 15" xfId="24980" xr:uid="{351F4518-DCC0-4346-A44B-A59D6BF4673E}"/>
    <cellStyle name="Note 2 3 2 4 15 2" xfId="27649" xr:uid="{2A9FF294-BC98-4E39-A4CC-EE87F2C71993}"/>
    <cellStyle name="Note 2 3 2 4 15 2 2" xfId="34494" xr:uid="{63B26DDC-BB9E-4DAC-A053-AA4227DD45AE}"/>
    <cellStyle name="Note 2 3 2 4 15 3" xfId="29730" xr:uid="{9052E28B-0EDF-4536-AF1C-51BAA1CFB89D}"/>
    <cellStyle name="Note 2 3 2 4 15 3 2" xfId="36575" xr:uid="{C32FB8B8-4FB4-41EB-81F6-0ED00052AE3E}"/>
    <cellStyle name="Note 2 3 2 4 15 4" xfId="31812" xr:uid="{9CB2D653-FB63-4261-869A-2A75CAE1FAD5}"/>
    <cellStyle name="Note 2 3 2 4 16" xfId="24266" xr:uid="{AAF88425-C9B8-48B3-B264-94D42DBAFA5E}"/>
    <cellStyle name="Note 2 3 2 4 16 2" xfId="26873" xr:uid="{5747E3D3-1FE2-41A1-9AED-1AA5599D9943}"/>
    <cellStyle name="Note 2 3 2 4 16 2 2" xfId="33713" xr:uid="{BFE51746-8D62-40C2-B14D-AE5935777E4B}"/>
    <cellStyle name="Note 2 3 2 4 16 3" xfId="28949" xr:uid="{0D190223-DE7D-4147-98D5-7E0AE2B6DD20}"/>
    <cellStyle name="Note 2 3 2 4 16 3 2" xfId="35794" xr:uid="{D7031579-D72D-4D89-917F-640DFC9B45E1}"/>
    <cellStyle name="Note 2 3 2 4 16 4" xfId="31031" xr:uid="{9B926B7A-524B-41AF-A702-CC37B79FE5E4}"/>
    <cellStyle name="Note 2 3 2 4 17" xfId="23066" xr:uid="{8C3BAFB3-5854-4042-96D6-1110433FD1B8}"/>
    <cellStyle name="Note 2 3 2 4 18" xfId="17693" xr:uid="{C207BDDD-6D8F-4977-8AC1-B3F61A288EB7}"/>
    <cellStyle name="Note 2 3 2 4 19" xfId="40933" xr:uid="{752CA96A-8170-447D-853C-839C73559D77}"/>
    <cellStyle name="Note 2 3 2 4 2" xfId="18528" xr:uid="{499BD30F-D8AF-4399-B943-52DB9A443DD1}"/>
    <cellStyle name="Note 2 3 2 4 2 10" xfId="20553" xr:uid="{3BE765AC-CF6B-4DB1-A2F8-F7086165EEA6}"/>
    <cellStyle name="Note 2 3 2 4 2 11" xfId="21945" xr:uid="{DECAA3F5-2CF3-47BC-8F5C-F402313A7B96}"/>
    <cellStyle name="Note 2 3 2 4 2 12" xfId="22711" xr:uid="{30439B3C-ADD8-4884-B2D2-FA33358AB7EB}"/>
    <cellStyle name="Note 2 3 2 4 2 13" xfId="20479" xr:uid="{62AD0504-A51E-477F-8510-1004BBF2FED7}"/>
    <cellStyle name="Note 2 3 2 4 2 14" xfId="22282" xr:uid="{5C4FCFF2-9B83-4A48-9084-3C53070E9E48}"/>
    <cellStyle name="Note 2 3 2 4 2 15" xfId="21347" xr:uid="{220DFCD8-5FFE-4551-A392-400236A41EAD}"/>
    <cellStyle name="Note 2 3 2 4 2 16" xfId="31433" xr:uid="{DEE4A005-991F-4B1D-AB79-0CBD9D46FB13}"/>
    <cellStyle name="Note 2 3 2 4 2 2" xfId="19889" xr:uid="{A9E6C3FF-6400-4AA8-8D5D-73DF8479FC43}"/>
    <cellStyle name="Note 2 3 2 4 2 2 2" xfId="27271" xr:uid="{DD0759D4-A278-45E9-8A1D-D6B3A9D713A1}"/>
    <cellStyle name="Note 2 3 2 4 2 2 3" xfId="34115" xr:uid="{0BEF5D6A-6DCF-4CB2-90DF-B9DC62933B60}"/>
    <cellStyle name="Note 2 3 2 4 2 3" xfId="21055" xr:uid="{E0CF0EB6-3ED7-4500-B94E-384F16A3FD0F}"/>
    <cellStyle name="Note 2 3 2 4 2 3 2" xfId="29351" xr:uid="{F4051339-DDF2-4849-98D0-4473FCE7F571}"/>
    <cellStyle name="Note 2 3 2 4 2 3 3" xfId="36196" xr:uid="{038FA9AD-ECB2-4CF3-926E-590D275A157B}"/>
    <cellStyle name="Note 2 3 2 4 2 4" xfId="21662" xr:uid="{A54A971F-069D-44CB-8ED5-6CF781E0FAF7}"/>
    <cellStyle name="Note 2 3 2 4 2 5" xfId="19902" xr:uid="{4CFB0AB6-58B7-4891-9ECD-F86FAC582A53}"/>
    <cellStyle name="Note 2 3 2 4 2 6" xfId="22049" xr:uid="{848E71E7-39E6-40DE-AAE0-E1489585A4C7}"/>
    <cellStyle name="Note 2 3 2 4 2 7" xfId="22176" xr:uid="{D2FF9989-34FB-4679-A1FB-BFBEEB82B968}"/>
    <cellStyle name="Note 2 3 2 4 2 8" xfId="21443" xr:uid="{635F4A73-69DA-49C0-8590-C5302B3F4F31}"/>
    <cellStyle name="Note 2 3 2 4 2 9" xfId="21495" xr:uid="{67571BDE-CD9A-466F-856F-3AC2B0C884A7}"/>
    <cellStyle name="Note 2 3 2 4 3" xfId="24405" xr:uid="{1ED8523B-CFFD-4678-B313-C37F81F83AE6}"/>
    <cellStyle name="Note 2 3 2 4 3 2" xfId="27021" xr:uid="{799628B3-99B1-482D-8824-E406AF56146E}"/>
    <cellStyle name="Note 2 3 2 4 3 2 2" xfId="33861" xr:uid="{957544A0-4C99-4A23-9FF1-B810412148EE}"/>
    <cellStyle name="Note 2 3 2 4 3 3" xfId="29097" xr:uid="{E044EF1D-9AD9-4D8C-B197-E0050657F9CA}"/>
    <cellStyle name="Note 2 3 2 4 3 3 2" xfId="35942" xr:uid="{FC660140-00EA-4248-92FE-638F145F40FF}"/>
    <cellStyle name="Note 2 3 2 4 3 4" xfId="31179" xr:uid="{2E5BC622-D7F7-40F0-B43F-2CB752582014}"/>
    <cellStyle name="Note 2 3 2 4 4" xfId="24452" xr:uid="{5FCA64A3-16BE-429F-BE93-7AF08A3FD989}"/>
    <cellStyle name="Note 2 3 2 4 4 2" xfId="27068" xr:uid="{2EC62102-B785-4436-B818-414763E8371D}"/>
    <cellStyle name="Note 2 3 2 4 4 2 2" xfId="33908" xr:uid="{52C3D4AB-A683-4B6F-8EAF-417D8A93726C}"/>
    <cellStyle name="Note 2 3 2 4 4 3" xfId="29144" xr:uid="{B71AAF02-CB0B-4696-BAEE-AEC3A61200AA}"/>
    <cellStyle name="Note 2 3 2 4 4 3 2" xfId="35989" xr:uid="{37C4E052-9187-46A6-8676-3BF2E79552C8}"/>
    <cellStyle name="Note 2 3 2 4 4 4" xfId="31226" xr:uid="{12D1A838-2F89-445D-B93C-4013AD9090DF}"/>
    <cellStyle name="Note 2 3 2 4 5" xfId="23847" xr:uid="{6A1B14EF-2807-4A51-99DF-21E1DFB27035}"/>
    <cellStyle name="Note 2 3 2 4 5 2" xfId="26466" xr:uid="{F75DE547-8A04-45AA-B061-CDD359E03A6D}"/>
    <cellStyle name="Note 2 3 2 4 5 2 2" xfId="33306" xr:uid="{A036DA52-7389-4FB8-BC3B-FCF7F04C0A42}"/>
    <cellStyle name="Note 2 3 2 4 5 3" xfId="26217" xr:uid="{E0187E34-4AE7-4C0B-9ABE-A3D8A57CA0FC}"/>
    <cellStyle name="Note 2 3 2 4 5 3 2" xfId="33045" xr:uid="{C7A7638F-D265-47FF-8FC7-273B8297114F}"/>
    <cellStyle name="Note 2 3 2 4 5 4" xfId="23339" xr:uid="{BEB6EE2E-B93D-495B-A447-FCE08D4EA1F2}"/>
    <cellStyle name="Note 2 3 2 4 6" xfId="24491" xr:uid="{C55E959D-9727-4821-930F-AAF5027640CE}"/>
    <cellStyle name="Note 2 3 2 4 6 2" xfId="27102" xr:uid="{B25F15C0-8BD9-4C8B-9960-4C4EC26DE572}"/>
    <cellStyle name="Note 2 3 2 4 6 2 2" xfId="33942" xr:uid="{24F0A9EC-CA3B-4009-B6F9-26F5E1BE441A}"/>
    <cellStyle name="Note 2 3 2 4 6 3" xfId="29178" xr:uid="{B3701CCE-88DD-4C45-B7A2-1D37EDB5806B}"/>
    <cellStyle name="Note 2 3 2 4 6 3 2" xfId="36023" xr:uid="{EB12BECC-31F7-41F7-A0A6-0298F627DAFD}"/>
    <cellStyle name="Note 2 3 2 4 6 4" xfId="31260" xr:uid="{D4A815C9-0576-4538-A711-5F9A0C9215A3}"/>
    <cellStyle name="Note 2 3 2 4 7" xfId="24213" xr:uid="{DD658EAF-0D07-497E-8371-7F39CD390D7B}"/>
    <cellStyle name="Note 2 3 2 4 7 2" xfId="26823" xr:uid="{9FF8B616-EFD1-4858-9525-DD9D46AF1DE5}"/>
    <cellStyle name="Note 2 3 2 4 7 2 2" xfId="33663" xr:uid="{1F833DAA-173A-4ADC-B9F6-1C8F3CCA9AAD}"/>
    <cellStyle name="Note 2 3 2 4 7 3" xfId="28899" xr:uid="{EE6DBF24-5083-4ECC-A7E6-013FAFC2C730}"/>
    <cellStyle name="Note 2 3 2 4 7 3 2" xfId="35744" xr:uid="{431C2256-3D88-4771-8DD2-1A00E8AAC0FB}"/>
    <cellStyle name="Note 2 3 2 4 7 4" xfId="30981" xr:uid="{164F3BA2-02A2-4B14-B6AA-44A44A97D9FC}"/>
    <cellStyle name="Note 2 3 2 4 8" xfId="25203" xr:uid="{8B48AC57-391E-4774-AFE7-F53E8AF78639}"/>
    <cellStyle name="Note 2 3 2 4 8 2" xfId="27875" xr:uid="{7B161688-A021-44CA-A36E-3031CA4FE146}"/>
    <cellStyle name="Note 2 3 2 4 8 2 2" xfId="34720" xr:uid="{290E12DD-436C-4E6E-B9B8-5D78B3351D69}"/>
    <cellStyle name="Note 2 3 2 4 8 3" xfId="29956" xr:uid="{F6FE73A0-E2FF-4732-B552-68B8F524F3F2}"/>
    <cellStyle name="Note 2 3 2 4 8 3 2" xfId="36801" xr:uid="{38AF1ADE-3A03-4E5F-9798-AEB13FC4C065}"/>
    <cellStyle name="Note 2 3 2 4 8 4" xfId="32038" xr:uid="{8D711200-3C79-4EA7-BD8E-88624F237FA0}"/>
    <cellStyle name="Note 2 3 2 4 9" xfId="24444" xr:uid="{A77B6F79-5FC5-4C56-BE47-BBAD573BC73C}"/>
    <cellStyle name="Note 2 3 2 4 9 2" xfId="27060" xr:uid="{03D55E7D-593E-49FF-8814-B55BEB313D09}"/>
    <cellStyle name="Note 2 3 2 4 9 2 2" xfId="33900" xr:uid="{85DA5573-FDD2-4B45-8A82-0B9C39A7F6FD}"/>
    <cellStyle name="Note 2 3 2 4 9 3" xfId="29136" xr:uid="{3EF3B9B8-CE78-44BF-8370-1870337EA336}"/>
    <cellStyle name="Note 2 3 2 4 9 3 2" xfId="35981" xr:uid="{83B22359-282C-481C-8AF3-DBA4F6851304}"/>
    <cellStyle name="Note 2 3 2 4 9 4" xfId="31218" xr:uid="{10F71A06-9EA6-48C4-9C45-2A8951B9B24A}"/>
    <cellStyle name="Note 2 3 2 5" xfId="18706" xr:uid="{F013D6A8-537F-4AA1-B45C-89C1A19B4932}"/>
    <cellStyle name="Note 2 3 2 5 10" xfId="22429" xr:uid="{0F255303-6CC1-4E24-BA14-343FC99D1FC6}"/>
    <cellStyle name="Note 2 3 2 5 11" xfId="19585" xr:uid="{8F43DFF7-6F5A-44D2-B81C-F97D1EBC8B31}"/>
    <cellStyle name="Note 2 3 2 5 12" xfId="22780" xr:uid="{18014B49-94BB-4604-9080-534903D28226}"/>
    <cellStyle name="Note 2 3 2 5 13" xfId="19576" xr:uid="{1A4F7200-17E6-4FAE-B6D7-7B282ED6F843}"/>
    <cellStyle name="Note 2 3 2 5 14" xfId="22915" xr:uid="{B65C8792-3B31-4390-9752-6979E2FF5084}"/>
    <cellStyle name="Note 2 3 2 5 15" xfId="22983" xr:uid="{2CF0AA53-7909-4E3C-963B-0B908CCE28A6}"/>
    <cellStyle name="Note 2 3 2 5 16" xfId="23712" xr:uid="{15FB38E4-B7D8-4C3A-8B7A-8B5E609F001B}"/>
    <cellStyle name="Note 2 3 2 5 2" xfId="19811" xr:uid="{912153AF-7BD3-4FB3-A4B8-9BD7AE348122}"/>
    <cellStyle name="Note 2 3 2 5 3" xfId="19900" xr:uid="{4C54C951-5D35-42C7-BE22-69F554BBF21D}"/>
    <cellStyle name="Note 2 3 2 5 4" xfId="20620" xr:uid="{500E935D-3614-4E17-B17C-F05FF6923C11}"/>
    <cellStyle name="Note 2 3 2 5 5" xfId="22006" xr:uid="{6CE28B56-8E34-4130-A079-33471E5DFC86}"/>
    <cellStyle name="Note 2 3 2 5 6" xfId="20883" xr:uid="{EADF35B4-7D4F-40B9-9497-85D68D36BC40}"/>
    <cellStyle name="Note 2 3 2 5 7" xfId="19172" xr:uid="{18B14261-199D-4FA2-A957-0AE040C762F2}"/>
    <cellStyle name="Note 2 3 2 5 8" xfId="22278" xr:uid="{53108343-BD06-4D12-AAA4-56C43AACC7CB}"/>
    <cellStyle name="Note 2 3 2 5 9" xfId="22528" xr:uid="{9450A19A-3454-44B5-AF8C-825EF22F2C55}"/>
    <cellStyle name="Note 2 3 2 6" xfId="18200" xr:uid="{3807C2A3-FA54-4F89-86C8-A8495578B712}"/>
    <cellStyle name="Note 2 3 2 6 2" xfId="27149" xr:uid="{74E91E6F-614A-4375-9FD8-7BFD9A0CB872}"/>
    <cellStyle name="Note 2 3 2 6 2 2" xfId="33990" xr:uid="{FD0DF1F5-A974-4CA0-B5B7-D5FAFBB62184}"/>
    <cellStyle name="Note 2 3 2 6 3" xfId="29226" xr:uid="{48BD9885-983A-44E1-B1D8-6CB536687CAB}"/>
    <cellStyle name="Note 2 3 2 6 3 2" xfId="36071" xr:uid="{259F9505-4E00-405F-9AC9-46A6EFC97602}"/>
    <cellStyle name="Note 2 3 2 6 4" xfId="24548" xr:uid="{51A8A578-67B5-4FDC-88CC-66AA6A5B3009}"/>
    <cellStyle name="Note 2 3 2 6 5" xfId="31308" xr:uid="{68FE1D9D-A723-4FE2-A117-588F757BA6CC}"/>
    <cellStyle name="Note 2 3 2 7" xfId="17435" xr:uid="{C6963389-6684-4C11-B196-73C6923869E7}"/>
    <cellStyle name="Note 2 3 2 7 2" xfId="26921" xr:uid="{77CDD90A-15A3-4010-80D3-F408E170BEC1}"/>
    <cellStyle name="Note 2 3 2 7 2 2" xfId="33761" xr:uid="{904FFD3F-6745-44A5-9C7C-86A91AA8E10B}"/>
    <cellStyle name="Note 2 3 2 7 3" xfId="28997" xr:uid="{1DB19712-F077-4AAB-8B55-05158A161A91}"/>
    <cellStyle name="Note 2 3 2 7 3 2" xfId="35842" xr:uid="{A36B36DA-C8D6-409B-8943-6D1F997C3350}"/>
    <cellStyle name="Note 2 3 2 7 4" xfId="24315" xr:uid="{7A0FA0DF-9660-46A1-97C9-6D1253455648}"/>
    <cellStyle name="Note 2 3 2 7 5" xfId="31079" xr:uid="{9BF19579-AF60-450D-8973-4F69374CBA03}"/>
    <cellStyle name="Note 2 3 2 8" xfId="24722" xr:uid="{60BB7807-BBB1-44C2-94CB-6C593E939804}"/>
    <cellStyle name="Note 2 3 2 8 2" xfId="27369" xr:uid="{C1C1837B-3AE1-4AE0-A283-266ED3B88F6B}"/>
    <cellStyle name="Note 2 3 2 8 2 2" xfId="34213" xr:uid="{DDFBC6CE-16CF-4305-BDC0-59C6D82ECA31}"/>
    <cellStyle name="Note 2 3 2 8 3" xfId="29449" xr:uid="{FE994B82-FEE0-40A4-B927-9EC5A2CAEDD7}"/>
    <cellStyle name="Note 2 3 2 8 3 2" xfId="36294" xr:uid="{54FA0740-2B50-4826-A6D8-C725DDF5EBA1}"/>
    <cellStyle name="Note 2 3 2 8 4" xfId="31531" xr:uid="{2659B8E2-8C6A-4531-AF67-9CB20477D0E1}"/>
    <cellStyle name="Note 2 3 2 9" xfId="24962" xr:uid="{E821E565-1B13-471E-81A4-A28787E27B49}"/>
    <cellStyle name="Note 2 3 2 9 2" xfId="27632" xr:uid="{A970990B-13F4-4671-8B1A-2D298E9A8803}"/>
    <cellStyle name="Note 2 3 2 9 2 2" xfId="34477" xr:uid="{4B5FFF15-13A6-4BE4-B11E-95E7FEF89DF1}"/>
    <cellStyle name="Note 2 3 2 9 3" xfId="29713" xr:uid="{FF34AE25-133D-4613-A24A-FD1421A94932}"/>
    <cellStyle name="Note 2 3 2 9 3 2" xfId="36558" xr:uid="{0CD9B9F2-9486-4706-B578-7212F71B4803}"/>
    <cellStyle name="Note 2 3 2 9 4" xfId="31795" xr:uid="{341F8DB1-67BE-411B-950E-462D1FD833A9}"/>
    <cellStyle name="Note 2 3 20" xfId="38892" xr:uid="{17900507-6EF8-49F8-A662-3C129825B788}"/>
    <cellStyle name="Note 2 3 3" xfId="4858" xr:uid="{00000000-0005-0000-0000-00001D130000}"/>
    <cellStyle name="Note 2 3 3 10" xfId="24891" xr:uid="{5A5D1D12-C055-4A6D-B7DC-8A0F72C0AE2C}"/>
    <cellStyle name="Note 2 3 3 10 2" xfId="27559" xr:uid="{EC888601-F218-4B3C-95E3-9614E8F5A005}"/>
    <cellStyle name="Note 2 3 3 10 2 2" xfId="34403" xr:uid="{2D5844E9-E7C4-42C2-9477-8DD76E8E2542}"/>
    <cellStyle name="Note 2 3 3 10 3" xfId="29639" xr:uid="{CE072999-CE59-478E-91A9-2CAB079DCA36}"/>
    <cellStyle name="Note 2 3 3 10 3 2" xfId="36484" xr:uid="{146010C6-8142-46D0-87CA-75A4072B25C3}"/>
    <cellStyle name="Note 2 3 3 10 4" xfId="31721" xr:uid="{4855AEBB-4855-4E10-959D-FE3ED2708060}"/>
    <cellStyle name="Note 2 3 3 11" xfId="25494" xr:uid="{2DDD2159-50DB-4012-93BE-BF0516643C7A}"/>
    <cellStyle name="Note 2 3 3 11 2" xfId="28161" xr:uid="{66E53CF1-13D8-4C01-95FF-E68B1A6FA641}"/>
    <cellStyle name="Note 2 3 3 11 2 2" xfId="35006" xr:uid="{92E26C30-8E62-4DF8-94CB-DF76C0B0E41F}"/>
    <cellStyle name="Note 2 3 3 11 3" xfId="30242" xr:uid="{A6A20E18-DA87-485C-B669-8C66743B4870}"/>
    <cellStyle name="Note 2 3 3 11 3 2" xfId="37087" xr:uid="{22A8E9C5-FCF5-49ED-8F00-45EB308AAFD1}"/>
    <cellStyle name="Note 2 3 3 11 4" xfId="32324" xr:uid="{666EDCBB-AEBB-41B9-B31F-1C249CBF8ADD}"/>
    <cellStyle name="Note 2 3 3 12" xfId="25469" xr:uid="{468F31F0-A876-4B2B-85FA-DD791F425298}"/>
    <cellStyle name="Note 2 3 3 12 2" xfId="28136" xr:uid="{1975CC3B-677E-40A7-8CF5-8FFF883899EC}"/>
    <cellStyle name="Note 2 3 3 12 2 2" xfId="34981" xr:uid="{10A29B47-EA62-4246-BD44-D3D6C21AABF2}"/>
    <cellStyle name="Note 2 3 3 12 3" xfId="30217" xr:uid="{348412BB-87B2-4AC4-B95F-4BF591425F61}"/>
    <cellStyle name="Note 2 3 3 12 3 2" xfId="37062" xr:uid="{022AEC65-AE5E-4DCE-AA23-519052E4C349}"/>
    <cellStyle name="Note 2 3 3 12 4" xfId="32299" xr:uid="{0B32AE3B-BC98-477E-A892-948A822F2E10}"/>
    <cellStyle name="Note 2 3 3 13" xfId="23830" xr:uid="{33D5FDE6-11C9-4256-8079-94E87E005005}"/>
    <cellStyle name="Note 2 3 3 13 2" xfId="26449" xr:uid="{EF250469-93BA-452F-B405-93E9BCE7C141}"/>
    <cellStyle name="Note 2 3 3 13 2 2" xfId="33289" xr:uid="{DC7BB2E7-DFCD-4A9A-9AE8-0169AAD619DD}"/>
    <cellStyle name="Note 2 3 3 13 3" xfId="26234" xr:uid="{D007A7F4-1FD6-4814-97FD-2AF79AED8431}"/>
    <cellStyle name="Note 2 3 3 13 3 2" xfId="33062" xr:uid="{9492D321-6B68-49D5-B61A-D99B32767307}"/>
    <cellStyle name="Note 2 3 3 13 4" xfId="23356" xr:uid="{A962D39C-A73B-4F8F-9553-E39ED3E2FD6E}"/>
    <cellStyle name="Note 2 3 3 14" xfId="25718" xr:uid="{CFA9CA75-F552-40FC-B87E-BF524692041F}"/>
    <cellStyle name="Note 2 3 3 14 2" xfId="28385" xr:uid="{980E6036-F8B0-45BC-8C5D-3DE0A1642BA2}"/>
    <cellStyle name="Note 2 3 3 14 2 2" xfId="35230" xr:uid="{1EA5FBB7-AFC5-4634-B6B7-AA05F6AB493B}"/>
    <cellStyle name="Note 2 3 3 14 3" xfId="30466" xr:uid="{F57A7B04-8BAA-4050-B88A-34B50792ED6C}"/>
    <cellStyle name="Note 2 3 3 14 3 2" xfId="37311" xr:uid="{C9772062-6A5E-4F4C-B53A-8599A87B6CE2}"/>
    <cellStyle name="Note 2 3 3 14 4" xfId="32548" xr:uid="{847DA3AB-6CC7-4475-A532-D315BFBCE33E}"/>
    <cellStyle name="Note 2 3 3 15" xfId="23986" xr:uid="{BFA50A23-C119-4D58-A4A8-AD35259C9744}"/>
    <cellStyle name="Note 2 3 3 15 2" xfId="26603" xr:uid="{1DB8B300-0FB2-4EB8-841A-181FEF2A4128}"/>
    <cellStyle name="Note 2 3 3 15 2 2" xfId="33443" xr:uid="{CCF300BA-6E33-4014-AED6-DFABAF269860}"/>
    <cellStyle name="Note 2 3 3 15 3" xfId="26090" xr:uid="{447235C0-1331-4192-AAF7-CFE0DDC755A1}"/>
    <cellStyle name="Note 2 3 3 15 3 2" xfId="32918" xr:uid="{802B529C-4315-4DBD-8D30-B7D0837C3BFD}"/>
    <cellStyle name="Note 2 3 3 15 4" xfId="23212" xr:uid="{7BC6F882-4D3F-4A90-A705-3EAB932874F5}"/>
    <cellStyle name="Note 2 3 3 16" xfId="25905" xr:uid="{973610FE-0328-4082-8582-9F975D0D0587}"/>
    <cellStyle name="Note 2 3 3 16 2" xfId="28571" xr:uid="{0918C57F-51E2-447E-86D8-04EEA60D1DA4}"/>
    <cellStyle name="Note 2 3 3 16 2 2" xfId="35416" xr:uid="{8563802F-BED4-47E5-B465-F56DEA110E54}"/>
    <cellStyle name="Note 2 3 3 16 3" xfId="30652" xr:uid="{6CB814F3-C68D-4AF7-B958-06152A62B04A}"/>
    <cellStyle name="Note 2 3 3 16 3 2" xfId="37497" xr:uid="{98AEA95E-80AE-4A7C-97F9-D1C85E958686}"/>
    <cellStyle name="Note 2 3 3 16 4" xfId="32734" xr:uid="{B1905040-DB66-4DC8-B9BA-BDF2550F2045}"/>
    <cellStyle name="Note 2 3 3 17" xfId="23665" xr:uid="{1C8DCFD1-0946-4506-99F0-CD5F22EBD3CB}"/>
    <cellStyle name="Note 2 3 3 18" xfId="16223" xr:uid="{06BAF407-007B-4D17-B2FF-724650C94E38}"/>
    <cellStyle name="Note 2 3 3 19" xfId="38895" xr:uid="{434CF0B1-D258-4CF6-9C3E-80DBACB460D2}"/>
    <cellStyle name="Note 2 3 3 2" xfId="10382" xr:uid="{00000000-0005-0000-0000-00006A200000}"/>
    <cellStyle name="Note 2 3 3 2 10" xfId="25383" xr:uid="{D834F0FF-EFF4-45AB-9AE5-2A4CF977AAB9}"/>
    <cellStyle name="Note 2 3 3 2 10 2" xfId="28050" xr:uid="{6B3C1897-BDE1-4059-BB96-CDB45BA7B09C}"/>
    <cellStyle name="Note 2 3 3 2 10 2 2" xfId="34895" xr:uid="{8CD9C4A0-AFD0-4F13-B64A-778AB4C73FE4}"/>
    <cellStyle name="Note 2 3 3 2 10 3" xfId="30131" xr:uid="{AF510ADD-82B2-4CC8-B11F-9C22C245518B}"/>
    <cellStyle name="Note 2 3 3 2 10 3 2" xfId="36976" xr:uid="{DCC5DBA8-3087-4142-810E-EABCEC18BCE3}"/>
    <cellStyle name="Note 2 3 3 2 10 4" xfId="32213" xr:uid="{3E6D6C7B-865E-43B2-BC46-A44457FB49E5}"/>
    <cellStyle name="Note 2 3 3 2 11" xfId="24035" xr:uid="{DD384034-F48A-4D72-AED8-F5D260D4EC45}"/>
    <cellStyle name="Note 2 3 3 2 11 2" xfId="26649" xr:uid="{465B7458-3754-4CE9-A861-EF731B701E18}"/>
    <cellStyle name="Note 2 3 3 2 11 2 2" xfId="33489" xr:uid="{54E29DB4-015C-43DB-9739-105122A48A8C}"/>
    <cellStyle name="Note 2 3 3 2 11 3" xfId="28725" xr:uid="{577ED10E-FBE7-4B0A-B6A6-6F80AB80B587}"/>
    <cellStyle name="Note 2 3 3 2 11 3 2" xfId="35570" xr:uid="{14333CA0-181E-463D-BA2D-5303F3DFE7A3}"/>
    <cellStyle name="Note 2 3 3 2 11 4" xfId="30807" xr:uid="{B96459F5-FCAD-4194-884E-A3B55C33C789}"/>
    <cellStyle name="Note 2 3 3 2 12" xfId="24377" xr:uid="{D6246C31-3505-43D5-A6CB-68593A9FD77E}"/>
    <cellStyle name="Note 2 3 3 2 12 2" xfId="26992" xr:uid="{D462561A-BDDC-4ADD-98CE-2B931AD3FDB2}"/>
    <cellStyle name="Note 2 3 3 2 12 2 2" xfId="33832" xr:uid="{C95A6386-5028-4FF4-9377-38C9DAF3BB1C}"/>
    <cellStyle name="Note 2 3 3 2 12 3" xfId="29068" xr:uid="{C4ED0C81-CC37-4C0A-A623-6A88C2E2CB4F}"/>
    <cellStyle name="Note 2 3 3 2 12 3 2" xfId="35913" xr:uid="{0FA21908-A19A-48AD-BC9E-278D8E4AC6FC}"/>
    <cellStyle name="Note 2 3 3 2 12 4" xfId="31150" xr:uid="{B5BEEBCD-33ED-4265-BA75-D1AF8459E8FA}"/>
    <cellStyle name="Note 2 3 3 2 13" xfId="23965" xr:uid="{9137B000-1760-48BC-A1A4-824B0EE651CB}"/>
    <cellStyle name="Note 2 3 3 2 13 2" xfId="26583" xr:uid="{91FB79A9-7440-4005-982A-8F0606210603}"/>
    <cellStyle name="Note 2 3 3 2 13 2 2" xfId="33423" xr:uid="{6BBCA357-9B1E-4AC8-B68E-2C1EF95A8EFA}"/>
    <cellStyle name="Note 2 3 3 2 13 3" xfId="26109" xr:uid="{88C8F5E9-715C-46BC-B659-E18064420F37}"/>
    <cellStyle name="Note 2 3 3 2 13 3 2" xfId="32937" xr:uid="{57D8798E-35A4-4250-B60C-1E8D94F83163}"/>
    <cellStyle name="Note 2 3 3 2 13 4" xfId="23232" xr:uid="{09560063-C580-4A61-8666-04B0DDBAC25E}"/>
    <cellStyle name="Note 2 3 3 2 14" xfId="25687" xr:uid="{B121E1B6-03B4-4B57-B75A-76D4A3AB533D}"/>
    <cellStyle name="Note 2 3 3 2 14 2" xfId="28354" xr:uid="{DC45970D-2061-434A-93D8-01B7BEDA22E7}"/>
    <cellStyle name="Note 2 3 3 2 14 2 2" xfId="35199" xr:uid="{7D81CDC4-FA8A-4BA9-9C82-2D052E70CD6A}"/>
    <cellStyle name="Note 2 3 3 2 14 3" xfId="30435" xr:uid="{F5A00960-3FAA-43C4-896B-DF4E00DEBE78}"/>
    <cellStyle name="Note 2 3 3 2 14 3 2" xfId="37280" xr:uid="{0ACE2B67-280F-4A12-9DB9-6B9A00FE8E09}"/>
    <cellStyle name="Note 2 3 3 2 14 4" xfId="32517" xr:uid="{F9B6E5A4-1E7A-4E04-AE15-8BDBAC30BDF2}"/>
    <cellStyle name="Note 2 3 3 2 15" xfId="25716" xr:uid="{9511F0A2-53B7-426B-AE05-FF3B02B422FD}"/>
    <cellStyle name="Note 2 3 3 2 15 2" xfId="28383" xr:uid="{DAFD759B-BE73-44A4-B3DA-42656AC7786C}"/>
    <cellStyle name="Note 2 3 3 2 15 2 2" xfId="35228" xr:uid="{8C629282-76AF-44FE-BD3C-81746DDA8EF0}"/>
    <cellStyle name="Note 2 3 3 2 15 3" xfId="30464" xr:uid="{82D25F41-1F4F-4704-938E-B8F427D42852}"/>
    <cellStyle name="Note 2 3 3 2 15 3 2" xfId="37309" xr:uid="{164EE93D-0472-46C8-A2DF-010C2DA1428D}"/>
    <cellStyle name="Note 2 3 3 2 15 4" xfId="32546" xr:uid="{CC3352C2-3F2B-47FC-A2B4-6476A3735581}"/>
    <cellStyle name="Note 2 3 3 2 16" xfId="23639" xr:uid="{D2D375D4-194C-416E-96BF-409584A6926F}"/>
    <cellStyle name="Note 2 3 3 2 17" xfId="17563" xr:uid="{47D731E8-E13B-4722-9389-32EEA119C5B1}"/>
    <cellStyle name="Note 2 3 3 2 18" xfId="42871" xr:uid="{02667551-9D8E-4C15-8A09-489A0DA0A651}"/>
    <cellStyle name="Note 2 3 3 2 2" xfId="9509" xr:uid="{00000000-0005-0000-0000-0000D7230000}"/>
    <cellStyle name="Note 2 3 3 2 2 10" xfId="24154" xr:uid="{CC84549B-337F-4B46-AFB2-F803856B4B00}"/>
    <cellStyle name="Note 2 3 3 2 2 10 2" xfId="26766" xr:uid="{67BA8112-6306-4DFE-B119-078A068A214C}"/>
    <cellStyle name="Note 2 3 3 2 2 10 2 2" xfId="33606" xr:uid="{A5241EEF-C0F6-45D4-9049-72E7004B9C9E}"/>
    <cellStyle name="Note 2 3 3 2 2 10 3" xfId="28842" xr:uid="{AA6F4818-55E4-4B4F-B48B-C1B7104D3BF2}"/>
    <cellStyle name="Note 2 3 3 2 2 10 3 2" xfId="35687" xr:uid="{6BEA4BC3-F2D0-4D6D-BCD3-BA6E633D7219}"/>
    <cellStyle name="Note 2 3 3 2 2 10 4" xfId="30924" xr:uid="{BA08CD3A-479D-41F2-89E8-B71C7BB4B48B}"/>
    <cellStyle name="Note 2 3 3 2 2 11" xfId="25658" xr:uid="{33B43F99-2645-4626-A348-C91ADD13C508}"/>
    <cellStyle name="Note 2 3 3 2 2 11 2" xfId="28325" xr:uid="{5EF894B7-8124-41BA-9511-9194FBC69F94}"/>
    <cellStyle name="Note 2 3 3 2 2 11 2 2" xfId="35170" xr:uid="{81105E6B-79A9-4C29-B9D2-9F9A090D5F90}"/>
    <cellStyle name="Note 2 3 3 2 2 11 3" xfId="30406" xr:uid="{1745EC1C-CCCD-4348-A7E2-724B382EE09B}"/>
    <cellStyle name="Note 2 3 3 2 2 11 3 2" xfId="37251" xr:uid="{298315AE-C33F-43BE-8F8D-2FF1C6528F4A}"/>
    <cellStyle name="Note 2 3 3 2 2 11 4" xfId="32488" xr:uid="{6F44CCEB-D7E0-418C-AE33-0B5763D21E8A}"/>
    <cellStyle name="Note 2 3 3 2 2 12" xfId="25763" xr:uid="{59C3F0D6-F04E-41C7-8C56-4B5A3DDE45E6}"/>
    <cellStyle name="Note 2 3 3 2 2 12 2" xfId="28429" xr:uid="{9D84CBCD-CA54-4B73-9A64-9B2A337FB872}"/>
    <cellStyle name="Note 2 3 3 2 2 12 2 2" xfId="35274" xr:uid="{115D8CA4-82C3-42D0-84ED-5B25FB766DE3}"/>
    <cellStyle name="Note 2 3 3 2 2 12 3" xfId="30510" xr:uid="{6F8583A8-6641-4008-978F-BC46CEC57F9B}"/>
    <cellStyle name="Note 2 3 3 2 2 12 3 2" xfId="37355" xr:uid="{975C5B7D-862D-4D22-8A69-FF71CE2CB14D}"/>
    <cellStyle name="Note 2 3 3 2 2 12 4" xfId="32592" xr:uid="{7AB6F2B5-4963-4AA4-979C-5D16052AD3BA}"/>
    <cellStyle name="Note 2 3 3 2 2 13" xfId="25840" xr:uid="{03883B14-FD18-40A1-A152-F42ABF70E897}"/>
    <cellStyle name="Note 2 3 3 2 2 13 2" xfId="28506" xr:uid="{6BCF45F4-326D-49CD-B57E-147115A67A16}"/>
    <cellStyle name="Note 2 3 3 2 2 13 2 2" xfId="35351" xr:uid="{8EBCD2BD-A9BD-4DE9-A60A-3257E2B5E453}"/>
    <cellStyle name="Note 2 3 3 2 2 13 3" xfId="30587" xr:uid="{DC67836C-37D4-444B-B062-AE6B311CA129}"/>
    <cellStyle name="Note 2 3 3 2 2 13 3 2" xfId="37432" xr:uid="{D7757DD0-BA30-4A30-899D-38A1CC731E87}"/>
    <cellStyle name="Note 2 3 3 2 2 13 4" xfId="32669" xr:uid="{8242CC32-E15A-42E8-958A-EDBD8AFD1DA1}"/>
    <cellStyle name="Note 2 3 3 2 2 14" xfId="25389" xr:uid="{99AB8B93-14BF-4645-9EA9-75A51BD1AE76}"/>
    <cellStyle name="Note 2 3 3 2 2 14 2" xfId="28056" xr:uid="{781F4A27-13F9-4979-9C47-AE8CEC51B6B9}"/>
    <cellStyle name="Note 2 3 3 2 2 14 2 2" xfId="34901" xr:uid="{BC63C112-A7C9-43FC-9355-414309170508}"/>
    <cellStyle name="Note 2 3 3 2 2 14 3" xfId="30137" xr:uid="{EC939820-862E-4EBA-845D-D3D88D5B015A}"/>
    <cellStyle name="Note 2 3 3 2 2 14 3 2" xfId="36982" xr:uid="{FBD31BEC-1155-45FE-AEF0-14F392144316}"/>
    <cellStyle name="Note 2 3 3 2 2 14 4" xfId="32219" xr:uid="{77BE87EA-4322-4209-A848-001BFA5D8908}"/>
    <cellStyle name="Note 2 3 3 2 2 15" xfId="25968" xr:uid="{25A8AE7F-8C9F-4707-ABB2-326E2384AE7C}"/>
    <cellStyle name="Note 2 3 3 2 2 15 2" xfId="28634" xr:uid="{72336C91-B89F-4211-A158-A28E17A561B9}"/>
    <cellStyle name="Note 2 3 3 2 2 15 2 2" xfId="35479" xr:uid="{3CD38413-F3B7-453A-B6CC-1E75F4EA0F4C}"/>
    <cellStyle name="Note 2 3 3 2 2 15 3" xfId="30715" xr:uid="{09917D70-5593-44E8-B10C-84A7723AF31F}"/>
    <cellStyle name="Note 2 3 3 2 2 15 3 2" xfId="37560" xr:uid="{E73C6420-8B53-45AC-A65A-15EF3E3C0DA7}"/>
    <cellStyle name="Note 2 3 3 2 2 15 4" xfId="32797" xr:uid="{A4D346EC-3662-41A6-B3C9-127A482146A3}"/>
    <cellStyle name="Note 2 3 3 2 2 16" xfId="26022" xr:uid="{763F539B-AC2E-4EF8-BB46-9B1D8D2CB14E}"/>
    <cellStyle name="Note 2 3 3 2 2 16 2" xfId="28688" xr:uid="{E0ECC4FD-C970-4CC4-888C-FD81BA4177BD}"/>
    <cellStyle name="Note 2 3 3 2 2 16 2 2" xfId="35533" xr:uid="{4FDA61B5-2545-4590-8D3E-F19A545CD0B6}"/>
    <cellStyle name="Note 2 3 3 2 2 16 3" xfId="30769" xr:uid="{6910D834-49A8-4614-8E41-5D24D333A8A0}"/>
    <cellStyle name="Note 2 3 3 2 2 16 3 2" xfId="37614" xr:uid="{62DF4E3B-77A0-4B34-8DD2-387A8B26C5E0}"/>
    <cellStyle name="Note 2 3 3 2 2 16 4" xfId="32851" xr:uid="{1E6D4603-653D-4AD8-9622-D5D00BE7ED1B}"/>
    <cellStyle name="Note 2 3 3 2 2 17" xfId="23549" xr:uid="{68E9F06C-C0F0-4D13-B8C2-1F6806C5CDA7}"/>
    <cellStyle name="Note 2 3 3 2 2 18" xfId="17834" xr:uid="{00E70A10-BC24-470B-9728-90E070132608}"/>
    <cellStyle name="Note 2 3 3 2 2 19" xfId="41998" xr:uid="{863C607A-374B-4709-8923-6976699588F1}"/>
    <cellStyle name="Note 2 3 3 2 2 2" xfId="18439" xr:uid="{1303CBD1-6C61-4B94-B5C2-FDC54BDC4A94}"/>
    <cellStyle name="Note 2 3 3 2 2 2 10" xfId="22378" xr:uid="{FC131594-E485-419E-8639-E847AC01C58C}"/>
    <cellStyle name="Note 2 3 3 2 2 2 11" xfId="22168" xr:uid="{AEA74E60-C010-4B45-BCB2-5855B1A53FC9}"/>
    <cellStyle name="Note 2 3 3 2 2 2 12" xfId="22192" xr:uid="{869FA071-821E-4363-ADC5-B490DB5EDF90}"/>
    <cellStyle name="Note 2 3 3 2 2 2 13" xfId="21471" xr:uid="{0FBBA5E9-A584-40EF-BE03-AB4A5D1F0D21}"/>
    <cellStyle name="Note 2 3 3 2 2 2 14" xfId="20650" xr:uid="{2618541F-4923-4151-A35D-005596C587DD}"/>
    <cellStyle name="Note 2 3 3 2 2 2 15" xfId="22724" xr:uid="{BFFF67CA-A5D4-4D97-8F35-380E97EAE73D}"/>
    <cellStyle name="Note 2 3 3 2 2 2 16" xfId="31504" xr:uid="{A17B96D7-DA70-47F8-8793-0D5C79B850CA}"/>
    <cellStyle name="Note 2 3 3 2 2 2 2" xfId="19934" xr:uid="{18FDC5C5-A46E-4C0C-9D3F-4510DA156A12}"/>
    <cellStyle name="Note 2 3 3 2 2 2 2 2" xfId="27342" xr:uid="{F627E7C6-0232-430F-AAF6-AD27496E5220}"/>
    <cellStyle name="Note 2 3 3 2 2 2 2 3" xfId="34186" xr:uid="{3C291B9B-FD92-4262-8F8F-D15AADD038BA}"/>
    <cellStyle name="Note 2 3 3 2 2 2 3" xfId="21082" xr:uid="{54F5EE6D-C69F-4AAD-BE23-B21632041284}"/>
    <cellStyle name="Note 2 3 3 2 2 2 3 2" xfId="29422" xr:uid="{B012EF86-3BCA-476F-AAF3-7321E958FD47}"/>
    <cellStyle name="Note 2 3 3 2 2 2 3 3" xfId="36267" xr:uid="{3AD4A7B7-957C-494C-89F0-8F7FF52660D0}"/>
    <cellStyle name="Note 2 3 3 2 2 2 4" xfId="20088" xr:uid="{A8DE7A9F-93FA-4F27-B1B9-CD942C6E7905}"/>
    <cellStyle name="Note 2 3 3 2 2 2 5" xfId="20799" xr:uid="{A6BBCB6E-4054-4BE5-8B2E-2C4422CB4131}"/>
    <cellStyle name="Note 2 3 3 2 2 2 6" xfId="20233" xr:uid="{CA08B569-1F75-492A-B4EC-9DDE9AD70AAC}"/>
    <cellStyle name="Note 2 3 3 2 2 2 7" xfId="21556" xr:uid="{77CE1128-ED9E-4893-BE9E-C710B78C7457}"/>
    <cellStyle name="Note 2 3 3 2 2 2 8" xfId="18986" xr:uid="{917F3B4A-CD9B-4B0D-8F42-A2B6AFF2C0E7}"/>
    <cellStyle name="Note 2 3 3 2 2 2 9" xfId="19810" xr:uid="{ABBA3E0B-B253-47A7-B594-DCD979A4EC88}"/>
    <cellStyle name="Note 2 3 3 2 2 20" xfId="46480" xr:uid="{51646F16-DC18-4F8C-A42E-39FF67E331CB}"/>
    <cellStyle name="Note 2 3 3 2 2 21" xfId="47081" xr:uid="{3E825C85-B7E7-4185-956E-F5A06922CA9B}"/>
    <cellStyle name="Note 2 3 3 2 2 22" xfId="47357" xr:uid="{F3DAAEAF-EA9E-472E-8DE1-4900687E1131}"/>
    <cellStyle name="Note 2 3 3 2 2 23" xfId="47066" xr:uid="{67584ABD-EB94-4BBE-88E6-C6F77144EC27}"/>
    <cellStyle name="Note 2 3 3 2 2 3" xfId="24912" xr:uid="{8CB62666-7D82-45D1-A78E-018F0C03676B}"/>
    <cellStyle name="Note 2 3 3 2 2 3 2" xfId="27581" xr:uid="{AFC7AD8A-1681-4AA0-8105-C431E89D2FF1}"/>
    <cellStyle name="Note 2 3 3 2 2 3 2 2" xfId="34425" xr:uid="{530D57C3-1786-4C87-A3A3-DF681C5EEA6C}"/>
    <cellStyle name="Note 2 3 3 2 2 3 3" xfId="29661" xr:uid="{02CAC163-2C44-46C2-95E8-824AC584AD28}"/>
    <cellStyle name="Note 2 3 3 2 2 3 3 2" xfId="36506" xr:uid="{1F63140F-9C63-478C-9185-C11CC4E5A2EB}"/>
    <cellStyle name="Note 2 3 3 2 2 3 4" xfId="31743" xr:uid="{E70A10B6-6ACD-499D-B75C-6080BEC6755C}"/>
    <cellStyle name="Note 2 3 3 2 2 4" xfId="24505" xr:uid="{1BF720C0-75F7-4218-9DA2-827157920285}"/>
    <cellStyle name="Note 2 3 3 2 2 4 2" xfId="27115" xr:uid="{992EDC47-9E0E-407C-B6EC-4F8FEEF16E16}"/>
    <cellStyle name="Note 2 3 3 2 2 4 2 2" xfId="33955" xr:uid="{886EE15E-5270-45FC-911A-0E78F4977A4C}"/>
    <cellStyle name="Note 2 3 3 2 2 4 3" xfId="29191" xr:uid="{4F8EF3CC-DF49-4626-9D05-23F6B31F935A}"/>
    <cellStyle name="Note 2 3 3 2 2 4 3 2" xfId="36036" xr:uid="{86A1C83B-4357-42CC-A6D2-EB982A559E52}"/>
    <cellStyle name="Note 2 3 3 2 2 4 4" xfId="31273" xr:uid="{18861375-3E15-4ADA-B5B2-EB0CFA60E462}"/>
    <cellStyle name="Note 2 3 3 2 2 5" xfId="25114" xr:uid="{263FC5AE-F7FA-4BD3-B1CB-17A1C9A47DEF}"/>
    <cellStyle name="Note 2 3 3 2 2 5 2" xfId="27786" xr:uid="{002D0661-8641-4A0E-BED3-71500D60350F}"/>
    <cellStyle name="Note 2 3 3 2 2 5 2 2" xfId="34631" xr:uid="{58F97850-4824-4592-89FE-49B39904A3FA}"/>
    <cellStyle name="Note 2 3 3 2 2 5 3" xfId="29867" xr:uid="{8AA96CF5-106A-4365-B5EE-F39C5B553D71}"/>
    <cellStyle name="Note 2 3 3 2 2 5 3 2" xfId="36712" xr:uid="{298FF81D-B89B-4C09-9251-8EBAD4EC0582}"/>
    <cellStyle name="Note 2 3 3 2 2 5 4" xfId="31949" xr:uid="{9AD5AEAD-B351-4B9F-8ED1-9E95AF673745}"/>
    <cellStyle name="Note 2 3 3 2 2 6" xfId="24737" xr:uid="{2963612A-7CC5-4E0D-A7EB-1E7720B99884}"/>
    <cellStyle name="Note 2 3 3 2 2 6 2" xfId="27386" xr:uid="{103C4F26-0CB8-4842-A064-22F19284FA81}"/>
    <cellStyle name="Note 2 3 3 2 2 6 2 2" xfId="34230" xr:uid="{57754B47-4EA8-4BE0-8324-420A07A9FC4D}"/>
    <cellStyle name="Note 2 3 3 2 2 6 3" xfId="29466" xr:uid="{B293FD4A-215B-4673-B17E-FCB1A6B31AE6}"/>
    <cellStyle name="Note 2 3 3 2 2 6 3 2" xfId="36311" xr:uid="{F0CBDF04-41BB-4400-8956-EFBF6D41EB47}"/>
    <cellStyle name="Note 2 3 3 2 2 6 4" xfId="31548" xr:uid="{5200238E-1067-4381-89C0-8B5F5C7D2EAC}"/>
    <cellStyle name="Note 2 3 3 2 2 7" xfId="24978" xr:uid="{4EEE924D-4D86-4E2E-AC82-65EED30086B4}"/>
    <cellStyle name="Note 2 3 3 2 2 7 2" xfId="27647" xr:uid="{6F07FEFE-BFC7-48BF-85D8-31F47A0B235E}"/>
    <cellStyle name="Note 2 3 3 2 2 7 2 2" xfId="34492" xr:uid="{1682A559-BE56-4498-BF8F-518CA541AAE7}"/>
    <cellStyle name="Note 2 3 3 2 2 7 3" xfId="29728" xr:uid="{3D3EAC89-EBE1-450B-ADDA-07BEA6C61744}"/>
    <cellStyle name="Note 2 3 3 2 2 7 3 2" xfId="36573" xr:uid="{D84AABD9-E5AC-4ED8-90CE-D9C479C92200}"/>
    <cellStyle name="Note 2 3 3 2 2 7 4" xfId="31810" xr:uid="{4F9AE42C-64D0-45AA-A97D-A85289160138}"/>
    <cellStyle name="Note 2 3 3 2 2 8" xfId="25137" xr:uid="{A64F3F90-CEE0-4ECD-B98B-D983FE10AFF9}"/>
    <cellStyle name="Note 2 3 3 2 2 8 2" xfId="27809" xr:uid="{DAD1277D-34E9-4E67-8897-34CC624F50BE}"/>
    <cellStyle name="Note 2 3 3 2 2 8 2 2" xfId="34654" xr:uid="{FA1D9D00-EABC-4293-BBB2-1846D518145C}"/>
    <cellStyle name="Note 2 3 3 2 2 8 3" xfId="29890" xr:uid="{A24D5708-EAD2-4188-AE8B-A2D363FC3D79}"/>
    <cellStyle name="Note 2 3 3 2 2 8 3 2" xfId="36735" xr:uid="{B7F1807C-E117-45DF-9EDD-0D71AC787020}"/>
    <cellStyle name="Note 2 3 3 2 2 8 4" xfId="31972" xr:uid="{E8C221ED-6B9E-4ED0-8CA7-FAC78E6D05AF}"/>
    <cellStyle name="Note 2 3 3 2 2 9" xfId="25482" xr:uid="{E70399B9-7449-4AF4-BC4F-85868E88482C}"/>
    <cellStyle name="Note 2 3 3 2 2 9 2" xfId="28149" xr:uid="{0681B1AF-0139-4966-99E7-1418C050635B}"/>
    <cellStyle name="Note 2 3 3 2 2 9 2 2" xfId="34994" xr:uid="{78FBD0A6-9025-4347-839D-8291294DF1C5}"/>
    <cellStyle name="Note 2 3 3 2 2 9 3" xfId="30230" xr:uid="{048FD577-50B2-49A1-B17C-4B91401FEEC2}"/>
    <cellStyle name="Note 2 3 3 2 2 9 3 2" xfId="37075" xr:uid="{0D5465F7-6120-404A-9D2F-10DD2698E490}"/>
    <cellStyle name="Note 2 3 3 2 2 9 4" xfId="32312" xr:uid="{BCC7A5EA-D093-421C-BB2E-A6D0C410517B}"/>
    <cellStyle name="Note 2 3 3 2 3" xfId="18750" xr:uid="{0E38697B-4794-473E-9F8C-7F5E90CD6E35}"/>
    <cellStyle name="Note 2 3 3 2 3 10" xfId="20059" xr:uid="{EF97A9B6-E5BE-40E1-BB42-EF98D1EC12F0}"/>
    <cellStyle name="Note 2 3 3 2 3 11" xfId="18891" xr:uid="{C589C7D2-98CE-4427-9163-F384EFDDB9A0}"/>
    <cellStyle name="Note 2 3 3 2 3 12" xfId="22793" xr:uid="{083A4563-A59C-42D6-9409-BD809A3950E1}"/>
    <cellStyle name="Note 2 3 3 2 3 13" xfId="22231" xr:uid="{018B7ED8-C0A9-4A6D-8166-5FF9576048D3}"/>
    <cellStyle name="Note 2 3 3 2 3 14" xfId="22928" xr:uid="{FF304E0D-6EC5-482E-9561-A24E3D47CA84}"/>
    <cellStyle name="Note 2 3 3 2 3 15" xfId="20863" xr:uid="{5C0DEA3E-24A5-4998-984D-51DD61ACE8A6}"/>
    <cellStyle name="Note 2 3 3 2 3 16" xfId="31377" xr:uid="{898E8554-16C8-4D6F-9F1B-D2AFF6807E39}"/>
    <cellStyle name="Note 2 3 3 2 3 2" xfId="19789" xr:uid="{91715F41-A371-4071-BB01-848F47D6E469}"/>
    <cellStyle name="Note 2 3 3 2 3 2 2" xfId="27218" xr:uid="{F52BFAE2-D201-4C42-9F7E-3771FFB588D6}"/>
    <cellStyle name="Note 2 3 3 2 3 2 3" xfId="34059" xr:uid="{5AC79894-CB67-4C70-BC38-540BBDE58BC6}"/>
    <cellStyle name="Note 2 3 3 2 3 3" xfId="20956" xr:uid="{ABB48F74-07D0-4BC2-8698-380B614755F6}"/>
    <cellStyle name="Note 2 3 3 2 3 3 2" xfId="29295" xr:uid="{C737BA7D-3355-4799-92AD-58AE47546C72}"/>
    <cellStyle name="Note 2 3 3 2 3 3 3" xfId="36140" xr:uid="{4BF6BC2E-5FE1-48AD-82C1-43E0BDE5334F}"/>
    <cellStyle name="Note 2 3 3 2 3 4" xfId="21258" xr:uid="{C4882089-70FA-4B70-ADED-DE5EA02CE3B0}"/>
    <cellStyle name="Note 2 3 3 2 3 5" xfId="19377" xr:uid="{BD5C8279-E544-4A6A-B62C-FE48ACBF8A78}"/>
    <cellStyle name="Note 2 3 3 2 3 6" xfId="21997" xr:uid="{6E380CEE-1053-464B-98CC-C334C227CCCB}"/>
    <cellStyle name="Note 2 3 3 2 3 7" xfId="21652" xr:uid="{A7B8F52F-D423-4E35-B22F-FA4C35CC4F96}"/>
    <cellStyle name="Note 2 3 3 2 3 8" xfId="19257" xr:uid="{B819ED52-7D78-413D-A68F-D39504275505}"/>
    <cellStyle name="Note 2 3 3 2 3 9" xfId="22547" xr:uid="{8A4601A4-2CFA-4036-A7FE-57AEEBA1E6C5}"/>
    <cellStyle name="Note 2 3 3 2 4" xfId="24230" xr:uid="{A2835DAE-8712-41DF-ADAA-0128DE107E31}"/>
    <cellStyle name="Note 2 3 3 2 4 2" xfId="26840" xr:uid="{DBB4A798-7033-4F28-B5BA-0621DAE2245B}"/>
    <cellStyle name="Note 2 3 3 2 4 2 2" xfId="33680" xr:uid="{9DF00C76-8449-492A-82DC-38A225AD7DA6}"/>
    <cellStyle name="Note 2 3 3 2 4 3" xfId="28916" xr:uid="{F13F969F-EAD4-4A2A-9164-A98D8FE6792D}"/>
    <cellStyle name="Note 2 3 3 2 4 3 2" xfId="35761" xr:uid="{238EC5A3-C792-420F-8D85-93CDC127C8E3}"/>
    <cellStyle name="Note 2 3 3 2 4 4" xfId="30998" xr:uid="{02E00AE4-E0C1-4806-9186-3F3CD090AA81}"/>
    <cellStyle name="Note 2 3 3 2 5" xfId="23760" xr:uid="{F8EEDE73-D9CA-49A0-BBA5-53088CF2F3C7}"/>
    <cellStyle name="Note 2 3 3 2 5 2" xfId="26371" xr:uid="{94D500C4-0C12-4271-B8DA-EC0471CA96EA}"/>
    <cellStyle name="Note 2 3 3 2 5 2 2" xfId="33210" xr:uid="{AB7C517A-207A-47CC-A559-1AF235BDE167}"/>
    <cellStyle name="Note 2 3 3 2 5 3" xfId="26311" xr:uid="{42A2F0C6-24E8-4D05-8476-EBCCC54089F2}"/>
    <cellStyle name="Note 2 3 3 2 5 3 2" xfId="33139" xr:uid="{13E1CF5E-88F1-493B-8475-515EFB8EB974}"/>
    <cellStyle name="Note 2 3 3 2 5 4" xfId="23433" xr:uid="{46F84D18-D905-4106-B331-0743713A439E}"/>
    <cellStyle name="Note 2 3 3 2 6" xfId="24927" xr:uid="{33109C23-29DB-4478-BFC6-F00C4375FE84}"/>
    <cellStyle name="Note 2 3 3 2 6 2" xfId="27596" xr:uid="{5D1F9564-C280-4355-9CA3-13F5543C6D30}"/>
    <cellStyle name="Note 2 3 3 2 6 2 2" xfId="34440" xr:uid="{7CD8D4A1-1337-49EE-8CDB-9ADA987C4FD1}"/>
    <cellStyle name="Note 2 3 3 2 6 3" xfId="29676" xr:uid="{83326BAA-CD52-47EE-8B32-CBDCDA9B1B26}"/>
    <cellStyle name="Note 2 3 3 2 6 3 2" xfId="36521" xr:uid="{64870AB7-2F29-404F-B545-C4BE35F16424}"/>
    <cellStyle name="Note 2 3 3 2 6 4" xfId="31758" xr:uid="{09611EC9-BE0E-4891-B288-8E2713E70554}"/>
    <cellStyle name="Note 2 3 3 2 7" xfId="24633" xr:uid="{3DC960E4-6E19-4C01-B347-A357346BD1D6}"/>
    <cellStyle name="Note 2 3 3 2 7 2" xfId="27243" xr:uid="{57AB73A8-F4D4-44EB-8D96-8236906EACC1}"/>
    <cellStyle name="Note 2 3 3 2 7 2 2" xfId="34086" xr:uid="{A540728D-E97D-4006-9221-18D0EB4BBB94}"/>
    <cellStyle name="Note 2 3 3 2 7 3" xfId="29322" xr:uid="{4D838FB0-4C8D-438A-91B7-694A50BECC13}"/>
    <cellStyle name="Note 2 3 3 2 7 3 2" xfId="36167" xr:uid="{75456744-CD85-40AA-9B74-0E40F2E609CB}"/>
    <cellStyle name="Note 2 3 3 2 7 4" xfId="31404" xr:uid="{E19AAE41-2832-4984-AEFE-88ABEE670102}"/>
    <cellStyle name="Note 2 3 3 2 8" xfId="25051" xr:uid="{6C4DE520-6556-421C-809A-825FCBC482CB}"/>
    <cellStyle name="Note 2 3 3 2 8 2" xfId="27723" xr:uid="{B41B336A-E75C-4E94-829E-519C8E031C33}"/>
    <cellStyle name="Note 2 3 3 2 8 2 2" xfId="34568" xr:uid="{7BBA40E6-59D8-4AD0-8A8A-13AA5DC68F9E}"/>
    <cellStyle name="Note 2 3 3 2 8 3" xfId="29804" xr:uid="{C9B484F1-8C8C-4E04-948B-25AB5326A553}"/>
    <cellStyle name="Note 2 3 3 2 8 3 2" xfId="36649" xr:uid="{02773C21-B0C1-4FA0-8772-D7C420BB8FD6}"/>
    <cellStyle name="Note 2 3 3 2 8 4" xfId="31886" xr:uid="{912DDE57-E75D-47FA-9A47-6844C66CFE59}"/>
    <cellStyle name="Note 2 3 3 2 9" xfId="25054" xr:uid="{4A5C611A-EE78-44B4-B209-357CA99018BF}"/>
    <cellStyle name="Note 2 3 3 2 9 2" xfId="27726" xr:uid="{B4C0AC45-C516-4BFF-95ED-8C08B516C66F}"/>
    <cellStyle name="Note 2 3 3 2 9 2 2" xfId="34571" xr:uid="{DE86975C-55B0-4533-B137-18C528EF89C6}"/>
    <cellStyle name="Note 2 3 3 2 9 3" xfId="29807" xr:uid="{D0B02DFF-2F66-4F44-AA19-CE59FA75943F}"/>
    <cellStyle name="Note 2 3 3 2 9 3 2" xfId="36652" xr:uid="{ADB1627A-572C-4E03-AFAD-B0C44F15DD09}"/>
    <cellStyle name="Note 2 3 3 2 9 4" xfId="31889" xr:uid="{DCE54836-5592-4BF3-9B18-C2914EA23816}"/>
    <cellStyle name="Note 2 3 3 3" xfId="9304" xr:uid="{00000000-0005-0000-0000-00007A0F0000}"/>
    <cellStyle name="Note 2 3 3 3 10" xfId="24105" xr:uid="{2203C428-EB6C-42A1-9A57-98300E1BBBAB}"/>
    <cellStyle name="Note 2 3 3 3 10 2" xfId="26717" xr:uid="{F8D2852C-9F89-4C94-948C-C3F3B6865A1E}"/>
    <cellStyle name="Note 2 3 3 3 10 2 2" xfId="33557" xr:uid="{11F094C1-01F3-4A1B-922F-8E5969097FC7}"/>
    <cellStyle name="Note 2 3 3 3 10 3" xfId="28793" xr:uid="{2473D649-40C6-45EB-B331-A6ACA84AC419}"/>
    <cellStyle name="Note 2 3 3 3 10 3 2" xfId="35638" xr:uid="{8F616C38-5D47-4472-BF64-2122729A1928}"/>
    <cellStyle name="Note 2 3 3 3 10 4" xfId="30875" xr:uid="{FE71402F-2E20-40D9-BBD8-4C2705FFB85F}"/>
    <cellStyle name="Note 2 3 3 3 11" xfId="25639" xr:uid="{9C1C74EF-D252-4476-90B6-37A75427EC71}"/>
    <cellStyle name="Note 2 3 3 3 11 2" xfId="28306" xr:uid="{763E9261-3F92-49A4-8785-66439431CEF0}"/>
    <cellStyle name="Note 2 3 3 3 11 2 2" xfId="35151" xr:uid="{C19F3235-C9CD-4E5F-9974-4B5418B6C7D9}"/>
    <cellStyle name="Note 2 3 3 3 11 3" xfId="30387" xr:uid="{C2B0C729-52DC-44E2-9BEE-B0EE424ED40F}"/>
    <cellStyle name="Note 2 3 3 3 11 3 2" xfId="37232" xr:uid="{FB2C7056-06B5-4C85-8993-28F060B3517D}"/>
    <cellStyle name="Note 2 3 3 3 11 4" xfId="32469" xr:uid="{0B946F6B-86B5-4CA2-869C-75C628EE6358}"/>
    <cellStyle name="Note 2 3 3 3 12" xfId="25744" xr:uid="{A8932804-98DB-4468-880E-0B2887F884C8}"/>
    <cellStyle name="Note 2 3 3 3 12 2" xfId="28411" xr:uid="{63F418A5-27EE-4F84-9DF9-095127938B94}"/>
    <cellStyle name="Note 2 3 3 3 12 2 2" xfId="35256" xr:uid="{6BA3EE84-1B5D-4B53-8BB5-6BF745F32C52}"/>
    <cellStyle name="Note 2 3 3 3 12 3" xfId="30492" xr:uid="{9DECE088-4B77-422F-8093-362EAD473B83}"/>
    <cellStyle name="Note 2 3 3 3 12 3 2" xfId="37337" xr:uid="{54D52FF0-468D-4044-BD86-435D8F005580}"/>
    <cellStyle name="Note 2 3 3 3 12 4" xfId="32574" xr:uid="{886BCE81-26A8-4A83-AF49-9EBFF2BC0BCA}"/>
    <cellStyle name="Note 2 3 3 3 13" xfId="25818" xr:uid="{D828C87E-A8E4-44A1-96D1-9DEC4A534099}"/>
    <cellStyle name="Note 2 3 3 3 13 2" xfId="28484" xr:uid="{EB60CE4E-BED1-44D0-93AA-1058297C1279}"/>
    <cellStyle name="Note 2 3 3 3 13 2 2" xfId="35329" xr:uid="{260B7C93-A23A-4F6D-B6A3-D13F5F1A5524}"/>
    <cellStyle name="Note 2 3 3 3 13 3" xfId="30565" xr:uid="{36E5E97A-6E0E-4B44-9C05-60092280DB22}"/>
    <cellStyle name="Note 2 3 3 3 13 3 2" xfId="37410" xr:uid="{ABAD449D-17A5-419F-854B-14F6E3FC7AC4}"/>
    <cellStyle name="Note 2 3 3 3 13 4" xfId="32647" xr:uid="{A0A4EC2D-9D15-4CE5-A17C-A183589593D2}"/>
    <cellStyle name="Note 2 3 3 3 14" xfId="25619" xr:uid="{6A024B06-F2C5-46CC-A95D-2697E8F1AE35}"/>
    <cellStyle name="Note 2 3 3 3 14 2" xfId="28286" xr:uid="{0A939080-8131-4D2B-9399-129CF3B3935F}"/>
    <cellStyle name="Note 2 3 3 3 14 2 2" xfId="35131" xr:uid="{10E337AF-BF76-4154-A625-4B4902EFC9E3}"/>
    <cellStyle name="Note 2 3 3 3 14 3" xfId="30367" xr:uid="{714E7F56-DE31-42DA-BF23-DB776A4AA48F}"/>
    <cellStyle name="Note 2 3 3 3 14 3 2" xfId="37212" xr:uid="{DC5B3E42-DD54-4764-906C-06463CD7F4C1}"/>
    <cellStyle name="Note 2 3 3 3 14 4" xfId="32449" xr:uid="{F3E1B37C-3D5F-4002-A6D8-5831A626D548}"/>
    <cellStyle name="Note 2 3 3 3 15" xfId="25950" xr:uid="{94FCA94E-CA68-4829-B626-2A5319C9F4FC}"/>
    <cellStyle name="Note 2 3 3 3 15 2" xfId="28616" xr:uid="{92CDC2E7-861E-432F-91B2-D8BB7DF3005A}"/>
    <cellStyle name="Note 2 3 3 3 15 2 2" xfId="35461" xr:uid="{B097BB46-24C8-4AED-ADDF-5562CB8D835C}"/>
    <cellStyle name="Note 2 3 3 3 15 3" xfId="30697" xr:uid="{DBCF4506-2E86-4E44-A31F-CC88C59E8AF2}"/>
    <cellStyle name="Note 2 3 3 3 15 3 2" xfId="37542" xr:uid="{93E7439D-D47B-48F5-91AD-32BC7B9B7987}"/>
    <cellStyle name="Note 2 3 3 3 15 4" xfId="32779" xr:uid="{2E840925-6E4A-444A-A090-3AB7D6D71C0E}"/>
    <cellStyle name="Note 2 3 3 3 16" xfId="26004" xr:uid="{9FEA9105-1C2E-4EA5-A3AB-AFB8F0137948}"/>
    <cellStyle name="Note 2 3 3 3 16 2" xfId="28670" xr:uid="{9DE8C62F-5326-4B4B-9540-51F7C2B03CDB}"/>
    <cellStyle name="Note 2 3 3 3 16 2 2" xfId="35515" xr:uid="{A72165C2-FB84-40FC-B1D5-83EA01090047}"/>
    <cellStyle name="Note 2 3 3 3 16 3" xfId="30751" xr:uid="{80750188-C901-43F3-B83B-2F108076C873}"/>
    <cellStyle name="Note 2 3 3 3 16 3 2" xfId="37596" xr:uid="{10DD85F6-FDBC-4970-B40E-4BA19B6C0F69}"/>
    <cellStyle name="Note 2 3 3 3 16 4" xfId="32833" xr:uid="{1808208C-7D48-48A4-8C7B-229AECF3EB51}"/>
    <cellStyle name="Note 2 3 3 3 17" xfId="23178" xr:uid="{4574B0A9-70FF-4ADD-940B-4D8E760BD72D}"/>
    <cellStyle name="Note 2 3 3 3 18" xfId="17808" xr:uid="{FA7682B5-34D4-4B31-A5C4-8A2AB8676D49}"/>
    <cellStyle name="Note 2 3 3 3 19" xfId="41827" xr:uid="{D2838B87-6D20-4893-8130-30597FBCD498}"/>
    <cellStyle name="Note 2 3 3 3 2" xfId="18454" xr:uid="{33DB9ACD-32B8-4447-A6D6-53A988B749F4}"/>
    <cellStyle name="Note 2 3 3 3 2 10" xfId="20253" xr:uid="{74C40112-7A42-4803-9358-8A4F4C049C52}"/>
    <cellStyle name="Note 2 3 3 3 2 11" xfId="19662" xr:uid="{18B8F265-733C-4AF5-9903-B010498E9706}"/>
    <cellStyle name="Note 2 3 3 3 2 12" xfId="19509" xr:uid="{676B356E-0B4D-4D05-83A3-A845F685D21D}"/>
    <cellStyle name="Note 2 3 3 3 2 13" xfId="20846" xr:uid="{8EAECD3E-0811-4A4D-8AD0-430FEF72813C}"/>
    <cellStyle name="Note 2 3 3 3 2 14" xfId="19382" xr:uid="{ABA5E0AA-09DD-4C16-B17E-09699B450607}"/>
    <cellStyle name="Note 2 3 3 3 2 15" xfId="20586" xr:uid="{4BA26C17-6772-4CDA-A1EB-E0630A79800A}"/>
    <cellStyle name="Note 2 3 3 3 2 16" xfId="31481" xr:uid="{07814991-15B3-42DC-89A5-ADCFB0A65B96}"/>
    <cellStyle name="Note 2 3 3 3 2 2" xfId="19922" xr:uid="{AF4E41D0-0DC5-4A1F-BC4E-F6687D787BC6}"/>
    <cellStyle name="Note 2 3 3 3 2 2 2" xfId="27319" xr:uid="{BFC0DDA9-4FCC-4B5A-B45D-B4CD299CA388}"/>
    <cellStyle name="Note 2 3 3 3 2 2 3" xfId="34163" xr:uid="{4B375E1C-01F6-43CA-AAE7-C8F26B31CB2C}"/>
    <cellStyle name="Note 2 3 3 3 2 3" xfId="21072" xr:uid="{DC452612-B899-4C86-9AA8-DA1731405D1C}"/>
    <cellStyle name="Note 2 3 3 3 2 3 2" xfId="29399" xr:uid="{42D89EBE-56B1-4282-8A10-077F92B5EEE7}"/>
    <cellStyle name="Note 2 3 3 3 2 3 3" xfId="36244" xr:uid="{7B26D376-9B57-4230-AF7D-84AC9F52F72F}"/>
    <cellStyle name="Note 2 3 3 3 2 4" xfId="20122" xr:uid="{190E0678-EC84-43EC-B61A-05AAA8D2225D}"/>
    <cellStyle name="Note 2 3 3 3 2 5" xfId="21456" xr:uid="{BD8B2EDD-4547-46E9-BC01-7D1013D35FFE}"/>
    <cellStyle name="Note 2 3 3 3 2 6" xfId="19413" xr:uid="{93C6FF82-2313-487B-A66C-013F6C007B9B}"/>
    <cellStyle name="Note 2 3 3 3 2 7" xfId="21225" xr:uid="{BEE8A786-69C1-4BE8-9535-5E638785E2DE}"/>
    <cellStyle name="Note 2 3 3 3 2 8" xfId="22013" xr:uid="{908DF220-C595-4426-BC77-31A0254EBB5C}"/>
    <cellStyle name="Note 2 3 3 3 2 9" xfId="19648" xr:uid="{B48D8C1B-D8BA-49EC-8CEC-F4AE30B1C731}"/>
    <cellStyle name="Note 2 3 3 3 20" xfId="48123" xr:uid="{2C1C4EA3-9E99-4480-A9BF-EBAC5D50B62B}"/>
    <cellStyle name="Note 2 3 3 3 21" xfId="48710" xr:uid="{CFEDB8C8-1006-478A-B396-403ACF10FBB8}"/>
    <cellStyle name="Note 2 3 3 3 22" xfId="47352" xr:uid="{AB987B23-6DEB-4E74-B125-587E901548EF}"/>
    <cellStyle name="Note 2 3 3 3 23" xfId="37854" xr:uid="{FB28C24B-EB70-41F0-9CBB-108A15C13497}"/>
    <cellStyle name="Note 2 3 3 3 3" xfId="23808" xr:uid="{88282B2A-9402-465D-A3B7-B57E807ACE94}"/>
    <cellStyle name="Note 2 3 3 3 3 2" xfId="26424" xr:uid="{694C8D28-BA37-4D83-AE59-CF16B9B359FA}"/>
    <cellStyle name="Note 2 3 3 3 3 2 2" xfId="33264" xr:uid="{CDD5C3AD-5270-4DD5-899D-B0EB520F396A}"/>
    <cellStyle name="Note 2 3 3 3 3 3" xfId="26258" xr:uid="{339AFF75-E296-49C9-A7EC-2C4B4730D1F8}"/>
    <cellStyle name="Note 2 3 3 3 3 3 2" xfId="33086" xr:uid="{0BE4E669-EED5-488B-847E-7926CD294F43}"/>
    <cellStyle name="Note 2 3 3 3 3 4" xfId="23380" xr:uid="{062C8C63-DD30-4D00-9F1B-FBB53B1FEBC5}"/>
    <cellStyle name="Note 2 3 3 3 4" xfId="24192" xr:uid="{3884E019-8B2D-4139-A1AD-C851ADBEAE31}"/>
    <cellStyle name="Note 2 3 3 3 4 2" xfId="26802" xr:uid="{3136FF59-2943-4D1E-A16A-AD94F7B654F1}"/>
    <cellStyle name="Note 2 3 3 3 4 2 2" xfId="33642" xr:uid="{B77F3522-CE33-4FC3-8850-8C710B730C32}"/>
    <cellStyle name="Note 2 3 3 3 4 3" xfId="28878" xr:uid="{F719E280-6F0B-4CF6-8EAA-6CDCDE733911}"/>
    <cellStyle name="Note 2 3 3 3 4 3 2" xfId="35723" xr:uid="{29048BC3-2749-460A-A2CE-74391797C133}"/>
    <cellStyle name="Note 2 3 3 3 4 4" xfId="30960" xr:uid="{9E859BE6-5303-47D2-9D08-C3CEAFC8AE61}"/>
    <cellStyle name="Note 2 3 3 3 5" xfId="25092" xr:uid="{1FAE8695-6D22-437E-9C5B-2074870474AD}"/>
    <cellStyle name="Note 2 3 3 3 5 2" xfId="27764" xr:uid="{0579A16E-1B97-4D4C-9436-DE1A36A1B7CF}"/>
    <cellStyle name="Note 2 3 3 3 5 2 2" xfId="34609" xr:uid="{9C4ED959-FF6C-4323-9312-6D7107D00436}"/>
    <cellStyle name="Note 2 3 3 3 5 3" xfId="29845" xr:uid="{555D65CA-7364-401D-A8DF-CBB68356EB2F}"/>
    <cellStyle name="Note 2 3 3 3 5 3 2" xfId="36690" xr:uid="{5318C50A-1F98-4E66-AEC8-09518DA2B873}"/>
    <cellStyle name="Note 2 3 3 3 5 4" xfId="31927" xr:uid="{4229E4E7-17AF-40B6-BEFE-1034D94AF97E}"/>
    <cellStyle name="Note 2 3 3 3 6" xfId="24132" xr:uid="{70808CC3-AB94-457D-9F32-D4EE41A6019D}"/>
    <cellStyle name="Note 2 3 3 3 6 2" xfId="26744" xr:uid="{812AE40E-A6F9-4322-8D90-EED4E8A88292}"/>
    <cellStyle name="Note 2 3 3 3 6 2 2" xfId="33584" xr:uid="{8842C501-0B7C-42F0-A022-1F2A3DB1037F}"/>
    <cellStyle name="Note 2 3 3 3 6 3" xfId="28820" xr:uid="{80083EBC-80BD-4367-AFF8-7F41EAB506BB}"/>
    <cellStyle name="Note 2 3 3 3 6 3 2" xfId="35665" xr:uid="{E77FAD6A-5983-4045-AD06-AD619CC96D02}"/>
    <cellStyle name="Note 2 3 3 3 6 4" xfId="30902" xr:uid="{0A450E6E-15F0-4E5A-83BE-55375EA5095C}"/>
    <cellStyle name="Note 2 3 3 3 7" xfId="24581" xr:uid="{12DAC18F-3519-4A1B-85DA-202775FD47C7}"/>
    <cellStyle name="Note 2 3 3 3 7 2" xfId="27172" xr:uid="{6004B2D2-5B13-4A7E-86F3-A5B026FC58B8}"/>
    <cellStyle name="Note 2 3 3 3 7 2 2" xfId="34013" xr:uid="{AE16E922-DBD7-4A68-B51A-4CABF6AAC5BF}"/>
    <cellStyle name="Note 2 3 3 3 7 3" xfId="29249" xr:uid="{1B083053-AD0B-40F7-9267-29CC9A295C4D}"/>
    <cellStyle name="Note 2 3 3 3 7 3 2" xfId="36094" xr:uid="{C424C564-517F-480B-85D5-65593DB7A2D8}"/>
    <cellStyle name="Note 2 3 3 3 7 4" xfId="31331" xr:uid="{77D80983-52A7-40D1-B911-2F738697D3DD}"/>
    <cellStyle name="Note 2 3 3 3 8" xfId="25036" xr:uid="{63C2AE1F-DF06-4F1E-B4A1-028F9CB6773C}"/>
    <cellStyle name="Note 2 3 3 3 8 2" xfId="27709" xr:uid="{0B2B11EF-4E92-482A-A346-2A35D8CC65EC}"/>
    <cellStyle name="Note 2 3 3 3 8 2 2" xfId="34554" xr:uid="{90184641-EA24-4D99-A5E9-E2700AB02EC2}"/>
    <cellStyle name="Note 2 3 3 3 8 3" xfId="29790" xr:uid="{87CFF7F9-7598-4F35-8D56-324011072C1B}"/>
    <cellStyle name="Note 2 3 3 3 8 3 2" xfId="36635" xr:uid="{AD3F7213-DA14-401F-B49D-DB78DDD21B69}"/>
    <cellStyle name="Note 2 3 3 3 8 4" xfId="31872" xr:uid="{D266873A-EA79-4247-AC42-6194CE2D4228}"/>
    <cellStyle name="Note 2 3 3 3 9" xfId="25391" xr:uid="{BC6CFC2B-0E6B-408B-A9F3-6283373C926F}"/>
    <cellStyle name="Note 2 3 3 3 9 2" xfId="28058" xr:uid="{15F9BA69-78DF-4D85-A5E9-0FBE675CA407}"/>
    <cellStyle name="Note 2 3 3 3 9 2 2" xfId="34903" xr:uid="{E42C3A53-6354-485A-A579-A76B9B7A5468}"/>
    <cellStyle name="Note 2 3 3 3 9 3" xfId="30139" xr:uid="{3DADCAD4-FC58-470B-A194-D87A368BA275}"/>
    <cellStyle name="Note 2 3 3 3 9 3 2" xfId="36984" xr:uid="{D38D1553-EEFE-454C-B7FE-94AB9A456112}"/>
    <cellStyle name="Note 2 3 3 3 9 4" xfId="32221" xr:uid="{86C3FF9D-7FB1-4F26-81FE-8F22679C0133}"/>
    <cellStyle name="Note 2 3 3 4" xfId="18202" xr:uid="{2ABE55D6-2EF2-4239-A398-9F5AB485DAD3}"/>
    <cellStyle name="Note 2 3 3 4 10" xfId="21712" xr:uid="{4174944C-ADC0-4E7E-9F22-F6C7B550A498}"/>
    <cellStyle name="Note 2 3 3 4 11" xfId="21066" xr:uid="{384F21E6-69EE-4372-BA97-69D130D8EB72}"/>
    <cellStyle name="Note 2 3 3 4 12" xfId="22706" xr:uid="{DE85D3E3-F232-4ED3-845C-6D5C986A9FB3}"/>
    <cellStyle name="Note 2 3 3 4 13" xfId="21216" xr:uid="{872399FD-80C1-483B-AB2B-EF9C519BBD35}"/>
    <cellStyle name="Note 2 3 3 4 14" xfId="18924" xr:uid="{CB487068-F638-46FE-8030-D5632A9B02A1}"/>
    <cellStyle name="Note 2 3 3 4 15" xfId="22185" xr:uid="{FEDE1939-09E0-48D4-8D4A-421064933A43}"/>
    <cellStyle name="Note 2 3 3 4 16" xfId="31355" xr:uid="{888B3244-32FA-4E29-BC24-DD94E63DD639}"/>
    <cellStyle name="Note 2 3 3 4 2" xfId="20351" xr:uid="{ADB38AD2-753E-4FBA-A65F-95577C5D2928}"/>
    <cellStyle name="Note 2 3 3 4 2 2" xfId="27196" xr:uid="{10EA8C6A-787E-4AEC-9582-4F0D92043111}"/>
    <cellStyle name="Note 2 3 3 4 2 3" xfId="34037" xr:uid="{CEE25517-B93F-4640-AD9F-0DA4B6203C91}"/>
    <cellStyle name="Note 2 3 3 4 3" xfId="20926" xr:uid="{05E616A4-B7CB-4213-9014-B752ADAB4BFC}"/>
    <cellStyle name="Note 2 3 3 4 3 2" xfId="29273" xr:uid="{B1CE39F7-9246-47A5-9976-3AC9F7C9CBE6}"/>
    <cellStyle name="Note 2 3 3 4 3 3" xfId="36118" xr:uid="{26F5E425-95D1-4062-930D-4EC23104FE49}"/>
    <cellStyle name="Note 2 3 3 4 4" xfId="20042" xr:uid="{99EEF1AA-B55A-41F5-B1EE-97C4C4B856B8}"/>
    <cellStyle name="Note 2 3 3 4 5" xfId="21646" xr:uid="{F83E64E2-5F85-4CF6-BA06-4D5305792A94}"/>
    <cellStyle name="Note 2 3 3 4 6" xfId="19072" xr:uid="{C80CFE70-C411-40C3-AE1D-85BB9728EBB5}"/>
    <cellStyle name="Note 2 3 3 4 7" xfId="22215" xr:uid="{A01CD580-F05A-4CFA-B19D-79F0B0DBBFDC}"/>
    <cellStyle name="Note 2 3 3 4 8" xfId="18841" xr:uid="{64EA8533-8C89-42BD-BAAD-2AB11754E100}"/>
    <cellStyle name="Note 2 3 3 4 9" xfId="19226" xr:uid="{69BBF780-F4FD-4BEE-93ED-475868984703}"/>
    <cellStyle name="Note 2 3 3 5" xfId="17537" xr:uid="{72AEB2EB-DC44-482C-ABB9-99F004249C2C}"/>
    <cellStyle name="Note 2 3 3 5 2" xfId="26436" xr:uid="{006DF35F-5BB5-48D0-87D0-6528A360BBC9}"/>
    <cellStyle name="Note 2 3 3 5 2 2" xfId="33276" xr:uid="{13C48D97-15C6-4B46-90B7-3852BF49ABDA}"/>
    <cellStyle name="Note 2 3 3 5 3" xfId="26246" xr:uid="{0ADF1456-237A-4B8D-8793-252DADB6E045}"/>
    <cellStyle name="Note 2 3 3 5 3 2" xfId="33074" xr:uid="{02183BB6-8432-43D1-903D-931D4ED6AF90}"/>
    <cellStyle name="Note 2 3 3 5 4" xfId="23817" xr:uid="{1EFB5518-2720-43AF-B00E-88DCE31458AB}"/>
    <cellStyle name="Note 2 3 3 5 5" xfId="23368" xr:uid="{DA733D7B-8DF3-4A95-AA4A-FA7546DF8DF9}"/>
    <cellStyle name="Note 2 3 3 6" xfId="24942" xr:uid="{305E9152-31AF-4339-AB76-09CAC0B8F4E2}"/>
    <cellStyle name="Note 2 3 3 6 2" xfId="27612" xr:uid="{F6945B11-0433-44B0-87B3-F43E60608340}"/>
    <cellStyle name="Note 2 3 3 6 2 2" xfId="34456" xr:uid="{6932B3E0-EA01-4A89-9304-0CD7BD7BC4F0}"/>
    <cellStyle name="Note 2 3 3 6 3" xfId="29692" xr:uid="{281304A7-20AB-43E9-ACE5-DDD299B5FDB4}"/>
    <cellStyle name="Note 2 3 3 6 3 2" xfId="36537" xr:uid="{D80899C5-8682-488F-B530-2C098A285A17}"/>
    <cellStyle name="Note 2 3 3 6 4" xfId="31774" xr:uid="{3E6E24E5-4E67-4DEC-A6B1-01766BE81BA8}"/>
    <cellStyle name="Note 2 3 3 7" xfId="24934" xr:uid="{45EAC714-162D-459C-ADF7-728CADDC4EF1}"/>
    <cellStyle name="Note 2 3 3 7 2" xfId="27604" xr:uid="{59ACEC80-94A5-4B13-AD87-C7095DA059D5}"/>
    <cellStyle name="Note 2 3 3 7 2 2" xfId="34448" xr:uid="{EDB5944B-5F07-4BAC-8D82-A8F2E29BC9ED}"/>
    <cellStyle name="Note 2 3 3 7 3" xfId="29684" xr:uid="{3F08CCFE-19ED-450C-B8E5-F0A7127EFDE4}"/>
    <cellStyle name="Note 2 3 3 7 3 2" xfId="36529" xr:uid="{08D3A7D6-9C0A-4880-92E6-DCACBF39B92F}"/>
    <cellStyle name="Note 2 3 3 7 4" xfId="31766" xr:uid="{74078FEF-A734-4C6F-B9DD-DC43B50C24D9}"/>
    <cellStyle name="Note 2 3 3 8" xfId="24250" xr:uid="{B36B9609-7A2B-4A35-83A6-FCBDEF6EDE8F}"/>
    <cellStyle name="Note 2 3 3 8 2" xfId="26857" xr:uid="{A70DBDAD-A3A9-458B-B03C-121D7EBBEF77}"/>
    <cellStyle name="Note 2 3 3 8 2 2" xfId="33697" xr:uid="{C9A3A64B-EEFB-4485-ACF5-E1A2D23F1F6D}"/>
    <cellStyle name="Note 2 3 3 8 3" xfId="28933" xr:uid="{20268CA2-D09D-45DD-AE98-73083742065A}"/>
    <cellStyle name="Note 2 3 3 8 3 2" xfId="35778" xr:uid="{83B56058-B2DD-47A9-B0B2-C6C95D91ABD2}"/>
    <cellStyle name="Note 2 3 3 8 4" xfId="31015" xr:uid="{60C41C01-41B5-46E1-9F91-0D9ACCE082D3}"/>
    <cellStyle name="Note 2 3 3 9" xfId="24210" xr:uid="{BCFB2210-D213-4938-9FCE-78C06BB69B7C}"/>
    <cellStyle name="Note 2 3 3 9 2" xfId="26820" xr:uid="{A7C70626-BF10-494B-87EF-AE0798D84BBD}"/>
    <cellStyle name="Note 2 3 3 9 2 2" xfId="33660" xr:uid="{C1D1704C-D71B-45EC-AF29-8F2F2DC639CF}"/>
    <cellStyle name="Note 2 3 3 9 3" xfId="28896" xr:uid="{7ABB374F-ABFE-46A5-92C6-6D3AF397565F}"/>
    <cellStyle name="Note 2 3 3 9 3 2" xfId="35741" xr:uid="{690B2575-2D68-4158-B8D7-744D95F5B8A0}"/>
    <cellStyle name="Note 2 3 3 9 4" xfId="30978" xr:uid="{34FBEA98-265E-4483-A02F-0B3619178C7A}"/>
    <cellStyle name="Note 2 3 4" xfId="4859" xr:uid="{00000000-0005-0000-0000-00001E130000}"/>
    <cellStyle name="Note 2 3 4 10" xfId="25242" xr:uid="{DB2EDB1A-8922-4A3D-B034-780FA49CA9EE}"/>
    <cellStyle name="Note 2 3 4 10 2" xfId="27913" xr:uid="{A1F8B137-B9AA-4405-BFB3-7116FC0B1C4B}"/>
    <cellStyle name="Note 2 3 4 10 2 2" xfId="34758" xr:uid="{EA8AEF40-85CC-4D5B-AD77-93F92BAA397F}"/>
    <cellStyle name="Note 2 3 4 10 3" xfId="29994" xr:uid="{6D4F66A7-5F48-4E07-A3D4-21D32468E58E}"/>
    <cellStyle name="Note 2 3 4 10 3 2" xfId="36839" xr:uid="{0223C1D3-F219-40F6-892B-DEC6A01334AA}"/>
    <cellStyle name="Note 2 3 4 10 4" xfId="32076" xr:uid="{9E6C95FD-40CF-4D22-9BA0-5EA29ABFBA9F}"/>
    <cellStyle name="Note 2 3 4 11" xfId="23842" xr:uid="{20023FC0-1B18-4207-86A0-16F12B798E6D}"/>
    <cellStyle name="Note 2 3 4 11 2" xfId="26462" xr:uid="{B567D824-4BEE-4253-993F-DD05E13CC0FC}"/>
    <cellStyle name="Note 2 3 4 11 2 2" xfId="33302" xr:uid="{0E855591-704C-4799-80FE-3D8D8932E041}"/>
    <cellStyle name="Note 2 3 4 11 3" xfId="26221" xr:uid="{C386F7D7-3654-4F22-86A6-D593CB44F2EE}"/>
    <cellStyle name="Note 2 3 4 11 3 2" xfId="33049" xr:uid="{98BE200A-AAF1-4CE4-9DA1-BA451F9988C1}"/>
    <cellStyle name="Note 2 3 4 11 4" xfId="23343" xr:uid="{DBAE204E-E02E-4114-827F-CB94E36E87A5}"/>
    <cellStyle name="Note 2 3 4 12" xfId="24839" xr:uid="{57BF8030-73F4-43E6-A11E-03FEA1CEBA4A}"/>
    <cellStyle name="Note 2 3 4 12 2" xfId="27499" xr:uid="{39FB8504-E728-4DAB-905A-DA57D42A5DC8}"/>
    <cellStyle name="Note 2 3 4 12 2 2" xfId="34343" xr:uid="{7EEF02F8-33AA-4170-BEA2-64DCE56F505E}"/>
    <cellStyle name="Note 2 3 4 12 3" xfId="29579" xr:uid="{8BB34F79-570A-42A7-A880-47FB1FCD1D34}"/>
    <cellStyle name="Note 2 3 4 12 3 2" xfId="36424" xr:uid="{CA81D7BC-0334-4383-AAC6-400F8EDE6255}"/>
    <cellStyle name="Note 2 3 4 12 4" xfId="31661" xr:uid="{FBB668CF-A1A0-4021-BA1D-F3654771D53E}"/>
    <cellStyle name="Note 2 3 4 13" xfId="25535" xr:uid="{D86CFBC2-FA15-4B95-84B2-702F92B17EE3}"/>
    <cellStyle name="Note 2 3 4 13 2" xfId="28202" xr:uid="{87DA4D41-680A-465E-9BCF-68CC2F581D5B}"/>
    <cellStyle name="Note 2 3 4 13 2 2" xfId="35047" xr:uid="{2220981D-A5ED-4845-B2F0-E7D9256C6F05}"/>
    <cellStyle name="Note 2 3 4 13 3" xfId="30283" xr:uid="{FD7FD3C5-80E6-47A5-A804-DC635DF85086}"/>
    <cellStyle name="Note 2 3 4 13 3 2" xfId="37128" xr:uid="{ABB90BC1-326A-4B38-8749-5D98D77259CE}"/>
    <cellStyle name="Note 2 3 4 13 4" xfId="32365" xr:uid="{BAA34299-16D4-4A27-B75B-DF1990D8877B}"/>
    <cellStyle name="Note 2 3 4 14" xfId="25570" xr:uid="{7015EB6E-6E95-4084-837E-19226EA1B3E8}"/>
    <cellStyle name="Note 2 3 4 14 2" xfId="28237" xr:uid="{CD7A29F5-E120-4900-99D1-DB3F8ACFE1D0}"/>
    <cellStyle name="Note 2 3 4 14 2 2" xfId="35082" xr:uid="{ED80765F-E04E-4E38-805B-2C1CEDCFDDA4}"/>
    <cellStyle name="Note 2 3 4 14 3" xfId="30318" xr:uid="{E196635B-2E97-45E0-8D94-B4B1035227FD}"/>
    <cellStyle name="Note 2 3 4 14 3 2" xfId="37163" xr:uid="{A8990B9A-9056-4963-8082-B2C06DF00960}"/>
    <cellStyle name="Note 2 3 4 14 4" xfId="32400" xr:uid="{828C2362-49B0-4BE8-9EEA-9CDEAF4B2605}"/>
    <cellStyle name="Note 2 3 4 15" xfId="24917" xr:uid="{60DAF1EB-5C4D-4742-A86F-C95EB84566B5}"/>
    <cellStyle name="Note 2 3 4 15 2" xfId="27586" xr:uid="{55F7DB47-77FB-4C87-8839-AA211AC0C429}"/>
    <cellStyle name="Note 2 3 4 15 2 2" xfId="34430" xr:uid="{D9C32FD6-5BE1-4CDB-AD2C-9CD442EF0CF9}"/>
    <cellStyle name="Note 2 3 4 15 3" xfId="29666" xr:uid="{E0C60526-7AEB-4ECC-8C23-3BDACBA12A26}"/>
    <cellStyle name="Note 2 3 4 15 3 2" xfId="36511" xr:uid="{1028F14B-CEF5-4E6A-9D96-180793E4E562}"/>
    <cellStyle name="Note 2 3 4 15 4" xfId="31748" xr:uid="{86E03451-0F83-4A9A-B39F-56103046A70A}"/>
    <cellStyle name="Note 2 3 4 16" xfId="24650" xr:uid="{9B877E57-0CDF-4652-88A5-BD41469DA617}"/>
    <cellStyle name="Note 2 3 4 16 2" xfId="27256" xr:uid="{9E8303BB-5291-4753-99B7-0767C8B85D61}"/>
    <cellStyle name="Note 2 3 4 16 2 2" xfId="34100" xr:uid="{776F5488-1A37-4A68-8448-7775431664BE}"/>
    <cellStyle name="Note 2 3 4 16 3" xfId="29336" xr:uid="{8A25994C-7691-4A9D-963A-D76FFBD4D9E0}"/>
    <cellStyle name="Note 2 3 4 16 3 2" xfId="36181" xr:uid="{D743803B-054D-456C-9D6A-F2A3D5006D14}"/>
    <cellStyle name="Note 2 3 4 16 4" xfId="31418" xr:uid="{F1E95B26-5BD2-41AC-9E0B-A0A6AA0E0761}"/>
    <cellStyle name="Note 2 3 4 17" xfId="23611" xr:uid="{412D3653-F4F7-418D-A20C-42D977F99E42}"/>
    <cellStyle name="Note 2 3 4 18" xfId="16220" xr:uid="{75B8EAC3-A293-4E5B-8C90-0D0A5BB36445}"/>
    <cellStyle name="Note 2 3 4 19" xfId="38896" xr:uid="{8492D12E-ADE2-4C25-BE2F-50946622055E}"/>
    <cellStyle name="Note 2 3 4 2" xfId="10383" xr:uid="{00000000-0005-0000-0000-00006B200000}"/>
    <cellStyle name="Note 2 3 4 2 10" xfId="19558" xr:uid="{322BAEA4-C009-45EC-BDED-E2F6BF0F7E73}"/>
    <cellStyle name="Note 2 3 4 2 11" xfId="20877" xr:uid="{C602BFC1-DBA9-42BF-8A74-32F4865E78E8}"/>
    <cellStyle name="Note 2 3 4 2 12" xfId="22792" xr:uid="{CAEEA7DC-10DB-4EB4-A2B4-EA30AE83815A}"/>
    <cellStyle name="Note 2 3 4 2 13" xfId="22355" xr:uid="{92A27C4D-1574-49D0-803B-B422F9F61E3C}"/>
    <cellStyle name="Note 2 3 4 2 14" xfId="22927" xr:uid="{EB877302-7D90-40E6-AB75-7628BBCFBE2F}"/>
    <cellStyle name="Note 2 3 4 2 15" xfId="19396" xr:uid="{1F431614-81B8-4D9E-BBC8-B18270F6E5FA}"/>
    <cellStyle name="Note 2 3 4 2 16" xfId="31399" xr:uid="{F9950C64-580A-4941-A8BD-5FE0EC3706C7}"/>
    <cellStyle name="Note 2 3 4 2 17" xfId="18749" xr:uid="{3737E358-D33B-44A4-948E-18F277F728BB}"/>
    <cellStyle name="Note 2 3 4 2 18" xfId="42872" xr:uid="{28F29369-CB7C-4681-B09C-D1838B2F362E}"/>
    <cellStyle name="Note 2 3 4 2 2" xfId="19790" xr:uid="{4AE9CB13-9577-44CE-BBA6-3E0191C138AB}"/>
    <cellStyle name="Note 2 3 4 2 2 2" xfId="27239" xr:uid="{A44C880E-698E-45B5-B498-303E498ADD14}"/>
    <cellStyle name="Note 2 3 4 2 2 3" xfId="34081" xr:uid="{3ABCCE67-B0F3-4F9B-9474-F9477D0E9E89}"/>
    <cellStyle name="Note 2 3 4 2 3" xfId="20520" xr:uid="{6112B3AE-96C2-4EDB-97A0-1D0C666A62A3}"/>
    <cellStyle name="Note 2 3 4 2 3 2" xfId="29317" xr:uid="{0D90D0D4-269C-4F53-9A10-11E84E9B58ED}"/>
    <cellStyle name="Note 2 3 4 2 3 3" xfId="36162" xr:uid="{F23BCF50-023A-4B50-A47A-95B83FA32BBE}"/>
    <cellStyle name="Note 2 3 4 2 4" xfId="21638" xr:uid="{32B265A9-D5DB-4B03-BBE2-F288408E72FE}"/>
    <cellStyle name="Note 2 3 4 2 5" xfId="21831" xr:uid="{3474B58D-3232-43E2-A374-E813B8F99368}"/>
    <cellStyle name="Note 2 3 4 2 6" xfId="19426" xr:uid="{DDD02A2C-01BA-4974-B00F-4C5787EDD03D}"/>
    <cellStyle name="Note 2 3 4 2 7" xfId="20024" xr:uid="{CB81F533-D8C7-441B-B710-C80BC27D93F2}"/>
    <cellStyle name="Note 2 3 4 2 8" xfId="21605" xr:uid="{7001D7FE-7792-4163-AC1D-02AD5640AE5A}"/>
    <cellStyle name="Note 2 3 4 2 9" xfId="22546" xr:uid="{EEE9A1F1-1BE8-4FA7-9C2A-EFB0C3FDF396}"/>
    <cellStyle name="Note 2 3 4 3" xfId="9335" xr:uid="{00000000-0005-0000-0000-0000D5230000}"/>
    <cellStyle name="Note 2 3 4 3 10" xfId="49040" xr:uid="{A7FFB5F1-9F28-44AD-8B1C-951F052E0247}"/>
    <cellStyle name="Note 2 3 4 3 11" xfId="49676" xr:uid="{843C4EC3-CE1B-4F75-9DC5-E365906AF480}"/>
    <cellStyle name="Note 2 3 4 3 2" xfId="27189" xr:uid="{7CBE7FA6-A032-4DCD-9981-A9DEEA2A4957}"/>
    <cellStyle name="Note 2 3 4 3 2 2" xfId="34030" xr:uid="{D0B5C645-5374-4E05-9279-15F88F490C7F}"/>
    <cellStyle name="Note 2 3 4 3 3" xfId="29266" xr:uid="{FBE3B949-D144-4CD3-817C-5BE63CAE197E}"/>
    <cellStyle name="Note 2 3 4 3 3 2" xfId="36111" xr:uid="{049A5D91-5D10-45E9-8C72-E7E64AADD76E}"/>
    <cellStyle name="Note 2 3 4 3 4" xfId="24602" xr:uid="{32147F95-8245-4829-B812-38C6D401CFDC}"/>
    <cellStyle name="Note 2 3 4 3 5" xfId="31348" xr:uid="{10A391A3-C676-4F65-8891-01F34FF1BEE8}"/>
    <cellStyle name="Note 2 3 4 3 6" xfId="17609" xr:uid="{3B05E839-8553-4901-8A5A-5322444D97F6}"/>
    <cellStyle name="Note 2 3 4 3 7" xfId="41856" xr:uid="{081B86B6-B00C-4655-B3A6-1FE69FFD3E68}"/>
    <cellStyle name="Note 2 3 4 3 8" xfId="46508" xr:uid="{5F78D65E-A5BA-4069-9AA2-40F1E65C21D1}"/>
    <cellStyle name="Note 2 3 4 3 9" xfId="15537" xr:uid="{6D332D9B-B118-4C13-9BA8-35DC9AA1D2D0}"/>
    <cellStyle name="Note 2 3 4 4" xfId="24522" xr:uid="{92BE3BD4-5F01-4A8E-A957-27781A7649DD}"/>
    <cellStyle name="Note 2 3 4 4 2" xfId="27127" xr:uid="{FCB4B5C4-B49B-47B5-9B99-AE5A04DD0AD2}"/>
    <cellStyle name="Note 2 3 4 4 2 2" xfId="33967" xr:uid="{DFF0B41D-FB30-4645-8B46-F7CD1E85D790}"/>
    <cellStyle name="Note 2 3 4 4 3" xfId="29203" xr:uid="{2F763C33-5E70-4757-988D-B59A837DB167}"/>
    <cellStyle name="Note 2 3 4 4 3 2" xfId="36048" xr:uid="{DC93EE49-57C5-47B5-A30A-79305BBD4294}"/>
    <cellStyle name="Note 2 3 4 4 4" xfId="31285" xr:uid="{B7B730BB-39C7-4A4A-A343-D2ED0790500F}"/>
    <cellStyle name="Note 2 3 4 5" xfId="24972" xr:uid="{95EF1625-3E2F-453B-8CE5-5791419EA3C3}"/>
    <cellStyle name="Note 2 3 4 5 2" xfId="27641" xr:uid="{0CFE8516-405B-4313-8513-987B64EF7615}"/>
    <cellStyle name="Note 2 3 4 5 2 2" xfId="34486" xr:uid="{14D3AA1B-6306-4DA1-856C-E1FA0EC920FE}"/>
    <cellStyle name="Note 2 3 4 5 3" xfId="29722" xr:uid="{7EB94843-E188-4F88-9255-DA69403579A7}"/>
    <cellStyle name="Note 2 3 4 5 3 2" xfId="36567" xr:uid="{1A920933-FFE3-4867-A2DC-C3D70A945381}"/>
    <cellStyle name="Note 2 3 4 5 4" xfId="31804" xr:uid="{CBF5455A-E804-491E-947C-F7A0CCD54E11}"/>
    <cellStyle name="Note 2 3 4 6" xfId="23833" xr:uid="{5306F4F1-3E0D-4281-8753-A311085A5DAB}"/>
    <cellStyle name="Note 2 3 4 6 2" xfId="26452" xr:uid="{0450337D-68B8-4069-9D2B-9951C0FFE3FE}"/>
    <cellStyle name="Note 2 3 4 6 2 2" xfId="33292" xr:uid="{CC82E6F6-F8DD-4079-8A41-2F9FE0ED76B5}"/>
    <cellStyle name="Note 2 3 4 6 3" xfId="26231" xr:uid="{B9C1960E-D75F-4895-B418-24D46C6D23A5}"/>
    <cellStyle name="Note 2 3 4 6 3 2" xfId="33059" xr:uid="{C93947C8-B2DF-4CB7-BC16-534D8C536B60}"/>
    <cellStyle name="Note 2 3 4 6 4" xfId="23353" xr:uid="{ABFD5CE4-D533-48C3-86A5-9A69F3089162}"/>
    <cellStyle name="Note 2 3 4 7" xfId="25175" xr:uid="{2E2A3E8E-DCCD-470B-9EB4-BABE5B4D0694}"/>
    <cellStyle name="Note 2 3 4 7 2" xfId="27847" xr:uid="{F9D304EF-2A2C-466D-B6A9-3E1B6A7BBD88}"/>
    <cellStyle name="Note 2 3 4 7 2 2" xfId="34692" xr:uid="{281C5B52-0E73-45AF-9E35-DD0CF515B7B5}"/>
    <cellStyle name="Note 2 3 4 7 3" xfId="29928" xr:uid="{2F3E4132-86B5-4342-B7C6-5625C1E19C8B}"/>
    <cellStyle name="Note 2 3 4 7 3 2" xfId="36773" xr:uid="{AB28F3DA-2D27-4856-A2F9-D4419DE9735D}"/>
    <cellStyle name="Note 2 3 4 7 4" xfId="32010" xr:uid="{3E7AB6A3-81FD-42AD-8251-EBAA7EFB2958}"/>
    <cellStyle name="Note 2 3 4 8" xfId="24233" xr:uid="{BD332DF1-70F9-4EE5-84C6-CB454C6D4D2C}"/>
    <cellStyle name="Note 2 3 4 8 2" xfId="26842" xr:uid="{DFB357CB-EE87-452B-959B-0BF84842158C}"/>
    <cellStyle name="Note 2 3 4 8 2 2" xfId="33682" xr:uid="{76F51A8C-58E7-4095-BADB-5539D3098D56}"/>
    <cellStyle name="Note 2 3 4 8 3" xfId="28918" xr:uid="{195A2859-F203-4416-89F0-9ACEDB6911AD}"/>
    <cellStyle name="Note 2 3 4 8 3 2" xfId="35763" xr:uid="{7B1BBBBC-62BE-4F23-8DA4-0CF6A035B931}"/>
    <cellStyle name="Note 2 3 4 8 4" xfId="31000" xr:uid="{7E3DB300-5E5E-447D-9376-FEA2E7200C9A}"/>
    <cellStyle name="Note 2 3 4 9" xfId="23960" xr:uid="{10BCD086-7E33-48B6-9019-58842C2B6B40}"/>
    <cellStyle name="Note 2 3 4 9 2" xfId="26578" xr:uid="{9C257701-02DB-47C6-A1AE-0FFB6D44B1C5}"/>
    <cellStyle name="Note 2 3 4 9 2 2" xfId="33418" xr:uid="{3F16023D-E401-498E-81C2-79B41C9FD21D}"/>
    <cellStyle name="Note 2 3 4 9 3" xfId="26050" xr:uid="{FC7D8BDF-F36B-4B0F-9DE6-28B4BBC49541}"/>
    <cellStyle name="Note 2 3 4 9 3 2" xfId="32879" xr:uid="{87D2605C-6ACC-4625-B72C-BBC0B19505AD}"/>
    <cellStyle name="Note 2 3 4 9 4" xfId="23236" xr:uid="{7180D5EC-9881-4A62-9FED-82AE7549D41D}"/>
    <cellStyle name="Note 2 3 5" xfId="4860" xr:uid="{00000000-0005-0000-0000-00001F130000}"/>
    <cellStyle name="Note 2 3 5 10" xfId="22173" xr:uid="{C4430B29-77F3-4BC0-9D45-F18505A4D8AF}"/>
    <cellStyle name="Note 2 3 5 11" xfId="22383" xr:uid="{78F36C90-56AF-4DDD-AEE4-EF11BEF9FE94}"/>
    <cellStyle name="Note 2 3 5 12" xfId="21375" xr:uid="{0E0F1A78-263F-4544-B872-50F6337A04E4}"/>
    <cellStyle name="Note 2 3 5 13" xfId="21999" xr:uid="{9251B2AB-5E0F-41C1-8B08-8C612FB3F15D}"/>
    <cellStyle name="Note 2 3 5 14" xfId="20545" xr:uid="{4F663638-378B-461A-9671-928273259577}"/>
    <cellStyle name="Note 2 3 5 15" xfId="21906" xr:uid="{ED7BA53C-463D-4DCA-835A-F16A16309783}"/>
    <cellStyle name="Note 2 3 5 16" xfId="18199" xr:uid="{CAA2B8A1-7F34-4195-9229-12A6CC416E27}"/>
    <cellStyle name="Note 2 3 5 17" xfId="23466" xr:uid="{69BE3D3A-1711-41B9-AA44-0A76C04E99A7}"/>
    <cellStyle name="Note 2 3 5 18" xfId="17356" xr:uid="{F23CE195-1A47-45C2-ACC0-82CE81BEC396}"/>
    <cellStyle name="Note 2 3 5 19" xfId="38897" xr:uid="{90C17FB3-CE80-4C4C-A98C-1F8B32206ABA}"/>
    <cellStyle name="Note 2 3 5 2" xfId="10384" xr:uid="{00000000-0005-0000-0000-00006C200000}"/>
    <cellStyle name="Note 2 3 5 2 2" xfId="26349" xr:uid="{CE259AC1-4222-4584-8ED0-A088278789DB}"/>
    <cellStyle name="Note 2 3 5 2 3" xfId="33184" xr:uid="{F1F67F5E-0B3C-4CA2-ABD6-A84A67666DC5}"/>
    <cellStyle name="Note 2 3 5 2 4" xfId="20352" xr:uid="{CCBA7C0F-079F-4A97-AB8F-791B87134373}"/>
    <cellStyle name="Note 2 3 5 2 5" xfId="42873" xr:uid="{46F1ADEC-7D66-41AF-8AF8-8918407A2000}"/>
    <cellStyle name="Note 2 3 5 3" xfId="19726" xr:uid="{5C718AFB-85EE-4342-9B7D-32F36D1DA972}"/>
    <cellStyle name="Note 2 3 5 3 2" xfId="26336" xr:uid="{D5D99494-8342-4C53-A06F-09959E3E6F0B}"/>
    <cellStyle name="Note 2 3 5 3 3" xfId="33167" xr:uid="{64A07BCD-BD74-4100-8D25-BF608AF95DF1}"/>
    <cellStyle name="Note 2 3 5 4" xfId="20137" xr:uid="{BB65713C-D30E-4A22-A9DB-5AC74A45C7A3}"/>
    <cellStyle name="Note 2 3 5 5" xfId="20343" xr:uid="{604087E4-659D-420D-9F2D-CE1AF4FA322F}"/>
    <cellStyle name="Note 2 3 5 6" xfId="19817" xr:uid="{54608CCF-DDF0-4138-9B97-8606711C9992}"/>
    <cellStyle name="Note 2 3 5 7" xfId="20628" xr:uid="{FE48DABD-4654-414E-B1CF-1F9CA930D22F}"/>
    <cellStyle name="Note 2 3 5 8" xfId="20373" xr:uid="{1B3F8F47-04C4-4DDD-8F15-4DCA373F9893}"/>
    <cellStyle name="Note 2 3 5 9" xfId="21887" xr:uid="{B4A01CBD-DF66-4420-AF0F-B0E755BF5EC7}"/>
    <cellStyle name="Note 2 3 6" xfId="10379" xr:uid="{00000000-0005-0000-0000-000067200000}"/>
    <cellStyle name="Note 2 3 6 2" xfId="27117" xr:uid="{0F2F8D02-2338-4A73-B877-FB97CC579C32}"/>
    <cellStyle name="Note 2 3 6 2 2" xfId="33957" xr:uid="{58E6CF13-2CD8-4F0B-8A4D-B50287D21DAC}"/>
    <cellStyle name="Note 2 3 6 3" xfId="29193" xr:uid="{4DA45474-41B9-43AC-8CC2-3996F24CEB47}"/>
    <cellStyle name="Note 2 3 6 3 2" xfId="36038" xr:uid="{C8FF24DD-0003-44A9-85D3-196D204ABA97}"/>
    <cellStyle name="Note 2 3 6 4" xfId="24508" xr:uid="{1F948C15-ABDD-456A-8FBA-3451BE706E42}"/>
    <cellStyle name="Note 2 3 6 5" xfId="31275" xr:uid="{B114B2C5-B01B-42FA-BFE5-ACA1AF89B922}"/>
    <cellStyle name="Note 2 3 6 6" xfId="17400" xr:uid="{594C93B1-C84F-4FC7-8C22-AF18C7427C3C}"/>
    <cellStyle name="Note 2 3 6 7" xfId="42868" xr:uid="{D6AF9BD7-681B-4C40-B827-653E5D0A8586}"/>
    <cellStyle name="Note 2 3 7" xfId="8129" xr:uid="{00000000-0005-0000-0000-00007A0F0000}"/>
    <cellStyle name="Note 2 3 7 10" xfId="40739" xr:uid="{39913B11-091E-49D5-9BD9-0E070C31DC25}"/>
    <cellStyle name="Note 2 3 7 2" xfId="27370" xr:uid="{07918F02-C9B9-4B6F-A30A-0205EE03102C}"/>
    <cellStyle name="Note 2 3 7 2 2" xfId="34214" xr:uid="{F65E9F86-E46D-4235-ACAC-D132DB9440A2}"/>
    <cellStyle name="Note 2 3 7 3" xfId="29450" xr:uid="{94BFA296-1CAE-4537-A925-5746FBD3ED84}"/>
    <cellStyle name="Note 2 3 7 3 2" xfId="36295" xr:uid="{50D3E742-F329-4A94-B8D0-3E6C4D3F6B55}"/>
    <cellStyle name="Note 2 3 7 4" xfId="31532" xr:uid="{5C88FB31-62C5-4ACF-8A3C-D5B2EB13A69A}"/>
    <cellStyle name="Note 2 3 7 5" xfId="24723" xr:uid="{18E0CD4A-E225-433F-9AF8-ECCF2DB581CA}"/>
    <cellStyle name="Note 2 3 7 6" xfId="40930" xr:uid="{5D5440B7-EED3-472D-9A15-BE9178A2B073}"/>
    <cellStyle name="Note 2 3 7 7" xfId="14187" xr:uid="{E8D6BFEB-CC07-4A29-AD42-8BFDCDE0863B}"/>
    <cellStyle name="Note 2 3 7 8" xfId="46224" xr:uid="{622057DB-B72A-409E-B7A5-93A4C0AA85B1}"/>
    <cellStyle name="Note 2 3 7 9" xfId="48790" xr:uid="{6D94DF56-3572-4D9F-9DE0-EE91EA6FA6DC}"/>
    <cellStyle name="Note 2 3 8" xfId="24973" xr:uid="{F492A1F8-25CF-4C47-95FC-459F27D606D0}"/>
    <cellStyle name="Note 2 3 8 2" xfId="27642" xr:uid="{80C422FA-1D0A-4AF5-BA68-25388ECA451B}"/>
    <cellStyle name="Note 2 3 8 2 2" xfId="34487" xr:uid="{50B1E602-9DDB-438D-BFBC-50F2C7DE8C58}"/>
    <cellStyle name="Note 2 3 8 3" xfId="29723" xr:uid="{3BAEB225-5EA2-4178-A132-1DFE29B1FD7F}"/>
    <cellStyle name="Note 2 3 8 3 2" xfId="36568" xr:uid="{8BFD9F91-B570-4E32-9DED-0DCF1138AF43}"/>
    <cellStyle name="Note 2 3 8 4" xfId="31805" xr:uid="{D4986FAA-42F9-4AF4-80CD-A9F30D105561}"/>
    <cellStyle name="Note 2 3 9" xfId="23912" xr:uid="{3842CA92-E621-4441-A37D-E31314C6E620}"/>
    <cellStyle name="Note 2 3 9 2" xfId="26530" xr:uid="{DA3B9605-59D3-4763-BD20-7CD4DDE05ECD}"/>
    <cellStyle name="Note 2 3 9 2 2" xfId="33370" xr:uid="{8C779568-0507-4B09-9CF2-E7350F507A65}"/>
    <cellStyle name="Note 2 3 9 3" xfId="26056" xr:uid="{EE4FCAA0-8AAB-4EE0-B067-9EF0267953E8}"/>
    <cellStyle name="Note 2 3 9 3 2" xfId="32885" xr:uid="{F03BB977-B8BC-400C-BFA4-CF700D0B81D2}"/>
    <cellStyle name="Note 2 3 9 4" xfId="23277" xr:uid="{410D2EE7-11A7-42ED-9569-F75B77DE7BAC}"/>
    <cellStyle name="Note 2 4" xfId="4861" xr:uid="{00000000-0005-0000-0000-000020130000}"/>
    <cellStyle name="Note 2 4 10" xfId="25177" xr:uid="{F8282BE7-21A9-4F0D-B4C7-AF28C86AF98C}"/>
    <cellStyle name="Note 2 4 10 2" xfId="27849" xr:uid="{73F8533A-B15D-4485-9A05-2A7AFC27F284}"/>
    <cellStyle name="Note 2 4 10 2 2" xfId="34694" xr:uid="{739FB6CC-4FBF-4166-BE5B-B4937B5C413D}"/>
    <cellStyle name="Note 2 4 10 3" xfId="29930" xr:uid="{50BACEBC-9FCF-4889-B371-98B210DFB5F3}"/>
    <cellStyle name="Note 2 4 10 3 2" xfId="36775" xr:uid="{96E207A6-219A-453B-91BA-98FEC7104A09}"/>
    <cellStyle name="Note 2 4 10 4" xfId="32012" xr:uid="{29FA8D1D-4397-4AAA-8256-D5D9BDEA368D}"/>
    <cellStyle name="Note 2 4 11" xfId="24357" xr:uid="{44F40806-D25D-4309-9142-253304A4A7F8}"/>
    <cellStyle name="Note 2 4 11 2" xfId="26964" xr:uid="{9AE0B607-46BB-486B-A3F7-F3A48D84880E}"/>
    <cellStyle name="Note 2 4 11 2 2" xfId="33804" xr:uid="{23F2D17F-F298-4171-94FA-4B06A32B57B2}"/>
    <cellStyle name="Note 2 4 11 3" xfId="29040" xr:uid="{9C29BAF1-0139-4CEC-9E35-2423A6BA6D6E}"/>
    <cellStyle name="Note 2 4 11 3 2" xfId="35885" xr:uid="{DA90C7AD-4AAF-4C05-98DC-207765E76F8C}"/>
    <cellStyle name="Note 2 4 11 4" xfId="31122" xr:uid="{C4E26571-3D95-4ADF-A9BA-90AE1DE747AA}"/>
    <cellStyle name="Note 2 4 12" xfId="23906" xr:uid="{EA71C732-B9D8-4AF7-83D5-15B284779B59}"/>
    <cellStyle name="Note 2 4 12 2" xfId="26524" xr:uid="{F3420058-254D-4090-BD8B-D909E97F6B4B}"/>
    <cellStyle name="Note 2 4 12 2 2" xfId="33364" xr:uid="{716B9F78-83B9-4DCE-8B31-F6E8BE1E15CE}"/>
    <cellStyle name="Note 2 4 12 3" xfId="26160" xr:uid="{0535B65D-5F19-4014-B30D-7F07D81FFBF3}"/>
    <cellStyle name="Note 2 4 12 3 2" xfId="32988" xr:uid="{84257884-D9F1-4FBA-ABBD-EC691657B673}"/>
    <cellStyle name="Note 2 4 12 4" xfId="23282" xr:uid="{2604E066-383B-4E1F-8924-95487A661536}"/>
    <cellStyle name="Note 2 4 13" xfId="25227" xr:uid="{B2A8A0CB-754D-4D47-BD82-F1999FC5E42C}"/>
    <cellStyle name="Note 2 4 13 2" xfId="27898" xr:uid="{6B6E7D21-9D26-400B-BCC4-E876AD3E7F4B}"/>
    <cellStyle name="Note 2 4 13 2 2" xfId="34743" xr:uid="{859B10EA-C9D3-48FC-90F7-88B790D13292}"/>
    <cellStyle name="Note 2 4 13 3" xfId="29979" xr:uid="{16E8AB6F-FA18-4038-92B8-91CFCCB030DD}"/>
    <cellStyle name="Note 2 4 13 3 2" xfId="36824" xr:uid="{6B166A18-07E7-48EB-A449-821429FB9C05}"/>
    <cellStyle name="Note 2 4 13 4" xfId="32061" xr:uid="{301BEF56-1277-4E84-88DB-D568B4F33FED}"/>
    <cellStyle name="Note 2 4 14" xfId="25585" xr:uid="{16A83C5D-FE75-44A9-83BF-38245B2C234F}"/>
    <cellStyle name="Note 2 4 14 2" xfId="28252" xr:uid="{DADB05CD-0E22-43CF-94EC-0A0FC3AE3D1B}"/>
    <cellStyle name="Note 2 4 14 2 2" xfId="35097" xr:uid="{D6D6C8C7-A2E9-4A5E-8AB0-277568A57A45}"/>
    <cellStyle name="Note 2 4 14 3" xfId="30333" xr:uid="{847A1304-C5A6-4FC8-A213-CA0CFAB9B46C}"/>
    <cellStyle name="Note 2 4 14 3 2" xfId="37178" xr:uid="{78748481-21B1-494A-9D44-1AF2D09FD1E8}"/>
    <cellStyle name="Note 2 4 14 4" xfId="32415" xr:uid="{40AB0685-AD25-42A6-AE86-9C56DB719663}"/>
    <cellStyle name="Note 2 4 15" xfId="25593" xr:uid="{7ED2127F-2BC2-41A5-A3A8-B0AA049CA2F5}"/>
    <cellStyle name="Note 2 4 15 2" xfId="28260" xr:uid="{56E1C3E7-7A5D-4851-97C8-CC9B9AD52376}"/>
    <cellStyle name="Note 2 4 15 2 2" xfId="35105" xr:uid="{3CCB07D8-7773-4614-AF66-C2BE6CB670B1}"/>
    <cellStyle name="Note 2 4 15 3" xfId="30341" xr:uid="{D14A5D11-973A-4652-BBEC-267BEE39C3A7}"/>
    <cellStyle name="Note 2 4 15 3 2" xfId="37186" xr:uid="{6173DD04-7578-4E60-AF7F-E1ECD2AD1C05}"/>
    <cellStyle name="Note 2 4 15 4" xfId="32423" xr:uid="{9E9015B8-184F-4B05-8CFE-316275DF21BD}"/>
    <cellStyle name="Note 2 4 16" xfId="25209" xr:uid="{219A5E28-599C-469F-A5A9-3D1710FADFE8}"/>
    <cellStyle name="Note 2 4 16 2" xfId="27881" xr:uid="{4D2ED491-9F4D-4543-B676-30A0919A1962}"/>
    <cellStyle name="Note 2 4 16 2 2" xfId="34726" xr:uid="{BBF048D9-EE83-4C01-956B-D969CB5202F2}"/>
    <cellStyle name="Note 2 4 16 3" xfId="29962" xr:uid="{59F21CCC-A0AC-47CB-ADA3-9901DA1EA844}"/>
    <cellStyle name="Note 2 4 16 3 2" xfId="36807" xr:uid="{DE2BEA5A-C188-4695-99B0-72DD049887F9}"/>
    <cellStyle name="Note 2 4 16 4" xfId="32044" xr:uid="{597BF0D3-F962-47E0-B5B5-56C058B5FF97}"/>
    <cellStyle name="Note 2 4 17" xfId="25007" xr:uid="{C872E865-1A74-48BF-B9F1-1F85AACCE3DA}"/>
    <cellStyle name="Note 2 4 17 2" xfId="27679" xr:uid="{3424638A-4EBB-49EC-9B0C-A70FD202B7EB}"/>
    <cellStyle name="Note 2 4 17 2 2" xfId="34524" xr:uid="{895A2999-F6DB-4EB9-9125-5E219483CE05}"/>
    <cellStyle name="Note 2 4 17 3" xfId="29760" xr:uid="{29C0A09B-F8C1-4841-A43B-55E80D170AA9}"/>
    <cellStyle name="Note 2 4 17 3 2" xfId="36605" xr:uid="{DAC3A44F-06FA-44E7-B56F-5F460E154D9C}"/>
    <cellStyle name="Note 2 4 17 4" xfId="31842" xr:uid="{39542CDF-1E6C-44FB-99B0-97E3237A326E}"/>
    <cellStyle name="Note 2 4 18" xfId="25926" xr:uid="{7215B8EC-CF02-439C-8767-5C5E194ECF90}"/>
    <cellStyle name="Note 2 4 18 2" xfId="28592" xr:uid="{E726182B-B020-4DA9-9621-5EB02E44739E}"/>
    <cellStyle name="Note 2 4 18 2 2" xfId="35437" xr:uid="{D39F2CC2-7C0C-4348-8592-4A8C437FC34F}"/>
    <cellStyle name="Note 2 4 18 3" xfId="30673" xr:uid="{07A88C04-AD6E-4E5B-8639-7FA1FC425CB6}"/>
    <cellStyle name="Note 2 4 18 3 2" xfId="37518" xr:uid="{72A831DE-8692-47F6-BC67-00564FBBC915}"/>
    <cellStyle name="Note 2 4 18 4" xfId="32755" xr:uid="{4601EFED-F77B-46DB-92C6-69F37785D26A}"/>
    <cellStyle name="Note 2 4 19" xfId="23133" xr:uid="{5B967568-0CB3-4A0B-BBF5-92F167314804}"/>
    <cellStyle name="Note 2 4 2" xfId="4862" xr:uid="{00000000-0005-0000-0000-000021130000}"/>
    <cellStyle name="Note 2 4 2 10" xfId="24760" xr:uid="{3DD155C4-F5C2-4F54-9832-126DD29869AD}"/>
    <cellStyle name="Note 2 4 2 10 2" xfId="27413" xr:uid="{8AAD623F-AD02-4E70-A7CC-7C2FE396D094}"/>
    <cellStyle name="Note 2 4 2 10 2 2" xfId="34257" xr:uid="{74B3408E-2C46-490B-8BD9-9C3479A246DF}"/>
    <cellStyle name="Note 2 4 2 10 3" xfId="29493" xr:uid="{AEEC1534-3757-4B5B-AC05-6BE2DDDD12D9}"/>
    <cellStyle name="Note 2 4 2 10 3 2" xfId="36338" xr:uid="{6B39D23E-6A7D-436A-99F0-CBBA2F456005}"/>
    <cellStyle name="Note 2 4 2 10 4" xfId="31575" xr:uid="{B5C4C97E-5D40-49B5-89B9-1FF94D893C41}"/>
    <cellStyle name="Note 2 4 2 11" xfId="25523" xr:uid="{73D725B4-EE95-40AF-9C82-43F308FCB14F}"/>
    <cellStyle name="Note 2 4 2 11 2" xfId="28190" xr:uid="{A631EDC7-561F-4491-A848-6A5724CEB7CC}"/>
    <cellStyle name="Note 2 4 2 11 2 2" xfId="35035" xr:uid="{B9756EB1-A1B7-4408-A144-6F795B920155}"/>
    <cellStyle name="Note 2 4 2 11 3" xfId="30271" xr:uid="{4DAC058D-B68A-4681-A5D1-2466209C3C25}"/>
    <cellStyle name="Note 2 4 2 11 3 2" xfId="37116" xr:uid="{4AB1E588-0474-481B-A07A-A9F88D64D239}"/>
    <cellStyle name="Note 2 4 2 11 4" xfId="32353" xr:uid="{3C20C1F9-D6E1-49A4-9FFD-F0FA5B6F2B79}"/>
    <cellStyle name="Note 2 4 2 12" xfId="24359" xr:uid="{C0664FB1-8562-45C4-B0A4-174A951F30B7}"/>
    <cellStyle name="Note 2 4 2 12 2" xfId="26966" xr:uid="{D86A7A80-5B67-4786-90A9-D3EAE05D2597}"/>
    <cellStyle name="Note 2 4 2 12 2 2" xfId="33806" xr:uid="{29C92C09-E20B-40CC-9281-A362D71AC276}"/>
    <cellStyle name="Note 2 4 2 12 3" xfId="29042" xr:uid="{A1C28CAE-0CDF-4983-95DD-0F8D54373253}"/>
    <cellStyle name="Note 2 4 2 12 3 2" xfId="35887" xr:uid="{543BD249-DF6A-4E18-BC11-BF5AC7291E8F}"/>
    <cellStyle name="Note 2 4 2 12 4" xfId="31124" xr:uid="{F2C55158-E872-4643-A976-ED5C20D33722}"/>
    <cellStyle name="Note 2 4 2 13" xfId="24521" xr:uid="{BE2D3981-4DEA-48C1-823C-84753F843422}"/>
    <cellStyle name="Note 2 4 2 13 2" xfId="27126" xr:uid="{E0AD4059-D23F-40F1-B192-AF0CA969D9B5}"/>
    <cellStyle name="Note 2 4 2 13 2 2" xfId="33966" xr:uid="{C7BA1A89-B14E-40B3-B0F4-8E1C58ACA7FF}"/>
    <cellStyle name="Note 2 4 2 13 3" xfId="29202" xr:uid="{421958C8-3B17-4AFC-9AE9-82F1DE60C0CD}"/>
    <cellStyle name="Note 2 4 2 13 3 2" xfId="36047" xr:uid="{17E35E54-1142-424A-B1A2-A198E26D694B}"/>
    <cellStyle name="Note 2 4 2 13 4" xfId="31284" xr:uid="{9D71E0D0-55B5-432F-832C-82DFCE930797}"/>
    <cellStyle name="Note 2 4 2 14" xfId="25300" xr:uid="{6ED1FE04-7B51-4EB9-AEE2-8C6DA55FE2A9}"/>
    <cellStyle name="Note 2 4 2 14 2" xfId="27971" xr:uid="{CB4C844B-739D-499A-BC7B-0309799CD051}"/>
    <cellStyle name="Note 2 4 2 14 2 2" xfId="34816" xr:uid="{4407B0EA-71F5-4717-A1C7-F23D551A72F6}"/>
    <cellStyle name="Note 2 4 2 14 3" xfId="30052" xr:uid="{9BA6949A-298C-4D06-B227-1BA50CDFC90B}"/>
    <cellStyle name="Note 2 4 2 14 3 2" xfId="36897" xr:uid="{2CE8AA54-D7A9-4DD8-9DE6-962B03292C4E}"/>
    <cellStyle name="Note 2 4 2 14 4" xfId="32134" xr:uid="{8B2ABA39-4BB4-4001-AF48-10A2D10586F2}"/>
    <cellStyle name="Note 2 4 2 15" xfId="25722" xr:uid="{5B0698D5-0CA1-4F85-96F0-3B0CA6738EB4}"/>
    <cellStyle name="Note 2 4 2 15 2" xfId="28389" xr:uid="{6C9BAE91-F1B6-4B2F-9BBC-CCFA56912023}"/>
    <cellStyle name="Note 2 4 2 15 2 2" xfId="35234" xr:uid="{EE9B7C04-0F37-4B59-9082-60B63F356926}"/>
    <cellStyle name="Note 2 4 2 15 3" xfId="30470" xr:uid="{EDF09503-23FA-4E92-BC75-87ECA9059B3D}"/>
    <cellStyle name="Note 2 4 2 15 3 2" xfId="37315" xr:uid="{4991DFD0-4C0B-48B9-9E96-8DE3D314A314}"/>
    <cellStyle name="Note 2 4 2 15 4" xfId="32552" xr:uid="{DD4850C0-BE2C-48B5-B04E-70B5798AE971}"/>
    <cellStyle name="Note 2 4 2 16" xfId="24165" xr:uid="{AC847802-E6E9-4B4F-A822-294485329E51}"/>
    <cellStyle name="Note 2 4 2 16 2" xfId="26777" xr:uid="{2E862FC3-1D82-45DD-BDD5-72717D364C97}"/>
    <cellStyle name="Note 2 4 2 16 2 2" xfId="33617" xr:uid="{1D5F756B-DB02-4E50-A9EA-74ED27FEDBB7}"/>
    <cellStyle name="Note 2 4 2 16 3" xfId="28853" xr:uid="{EE1A1673-B7B4-43CB-8FEC-4FA8469E5C02}"/>
    <cellStyle name="Note 2 4 2 16 3 2" xfId="35698" xr:uid="{1435F530-DCF9-4A85-9654-5B954696C592}"/>
    <cellStyle name="Note 2 4 2 16 4" xfId="30935" xr:uid="{116FC2A9-F8E7-4C38-819F-C04F7726013B}"/>
    <cellStyle name="Note 2 4 2 17" xfId="23173" xr:uid="{9DDE1CD5-1C75-4500-9020-32CB3719D62D}"/>
    <cellStyle name="Note 2 4 2 18" xfId="16225" xr:uid="{D88A73DB-A8F1-43B1-B03A-7B4351D58367}"/>
    <cellStyle name="Note 2 4 2 19" xfId="38899" xr:uid="{0EEEFDFB-523A-42A7-9172-4F0C351D411F}"/>
    <cellStyle name="Note 2 4 2 2" xfId="10386" xr:uid="{00000000-0005-0000-0000-00006E200000}"/>
    <cellStyle name="Note 2 4 2 2 10" xfId="25272" xr:uid="{315306CC-8A49-485C-9E4D-EBD37CFF252C}"/>
    <cellStyle name="Note 2 4 2 2 10 2" xfId="27943" xr:uid="{19B68B11-3A1A-4348-9798-55DB23EBE7A4}"/>
    <cellStyle name="Note 2 4 2 2 10 2 2" xfId="34788" xr:uid="{43BD0D35-85D4-447D-8764-FEF886AE4BBD}"/>
    <cellStyle name="Note 2 4 2 2 10 3" xfId="30024" xr:uid="{2A5048A2-64A5-434C-9E16-4E56EFE77ADA}"/>
    <cellStyle name="Note 2 4 2 2 10 3 2" xfId="36869" xr:uid="{A83DA769-7D3E-4C3B-8A69-E0B829EB9981}"/>
    <cellStyle name="Note 2 4 2 2 10 4" xfId="32106" xr:uid="{5ACCD167-CFA7-4C5C-A9CD-55927B31AF27}"/>
    <cellStyle name="Note 2 4 2 2 11" xfId="25248" xr:uid="{049C26BA-BB86-4844-A43D-2C3061136D66}"/>
    <cellStyle name="Note 2 4 2 2 11 2" xfId="27919" xr:uid="{E628AF60-45E8-4A1C-896E-D85453F60781}"/>
    <cellStyle name="Note 2 4 2 2 11 2 2" xfId="34764" xr:uid="{DD79CEBE-087C-46C0-A22C-EB534065329E}"/>
    <cellStyle name="Note 2 4 2 2 11 3" xfId="30000" xr:uid="{2F4CF6E6-6B60-4A66-9C2D-119AA1A27999}"/>
    <cellStyle name="Note 2 4 2 2 11 3 2" xfId="36845" xr:uid="{A1031770-FF13-4CC0-9F27-F9795B7481B0}"/>
    <cellStyle name="Note 2 4 2 2 11 4" xfId="32082" xr:uid="{5741C666-40FD-4981-8B5A-465CD4E14B78}"/>
    <cellStyle name="Note 2 4 2 2 12" xfId="24845" xr:uid="{36C1926A-138D-411B-A358-7AB3CC57D1D9}"/>
    <cellStyle name="Note 2 4 2 2 12 2" xfId="27505" xr:uid="{4A7A929B-AA06-45A3-B77C-9090AA11E060}"/>
    <cellStyle name="Note 2 4 2 2 12 2 2" xfId="34349" xr:uid="{4D651DB0-D252-49C7-A8DA-A1274A8FEE68}"/>
    <cellStyle name="Note 2 4 2 2 12 3" xfId="29585" xr:uid="{F3297045-69C4-4528-A7B3-E0D60CC7F182}"/>
    <cellStyle name="Note 2 4 2 2 12 3 2" xfId="36430" xr:uid="{0A28BB09-4334-4FB3-BD4A-C2959E54F77F}"/>
    <cellStyle name="Note 2 4 2 2 12 4" xfId="31667" xr:uid="{3D421AFF-E3E1-495A-B966-391F3A3E5B3E}"/>
    <cellStyle name="Note 2 4 2 2 13" xfId="25318" xr:uid="{B9DB3104-41F1-4470-8682-FFCE79403DF5}"/>
    <cellStyle name="Note 2 4 2 2 13 2" xfId="27987" xr:uid="{871E96E3-6A14-45BE-9A93-1E44E628C523}"/>
    <cellStyle name="Note 2 4 2 2 13 2 2" xfId="34832" xr:uid="{F248DE01-2875-417B-A942-9C05C3D499ED}"/>
    <cellStyle name="Note 2 4 2 2 13 3" xfId="30068" xr:uid="{CFF68737-473E-485A-B2C6-312E8E5FB855}"/>
    <cellStyle name="Note 2 4 2 2 13 3 2" xfId="36913" xr:uid="{14B2F876-8A21-4F2B-A62E-9BBA846BE7AB}"/>
    <cellStyle name="Note 2 4 2 2 13 4" xfId="32150" xr:uid="{3E230E3B-E05C-47D6-BF25-A231FD6AD971}"/>
    <cellStyle name="Note 2 4 2 2 14" xfId="25922" xr:uid="{37673415-FF9A-4EE1-BF6A-4FAC0F224BB5}"/>
    <cellStyle name="Note 2 4 2 2 14 2" xfId="28588" xr:uid="{C1C90620-B606-4E29-B791-37FE2537C24A}"/>
    <cellStyle name="Note 2 4 2 2 14 2 2" xfId="35433" xr:uid="{53C45913-BCE4-446C-8C7D-EAD60C6933DE}"/>
    <cellStyle name="Note 2 4 2 2 14 3" xfId="30669" xr:uid="{9D74CCAA-2B67-492E-A5BB-9F7B4DE6201C}"/>
    <cellStyle name="Note 2 4 2 2 14 3 2" xfId="37514" xr:uid="{6573F184-4E6F-4E7F-9377-05637294DBA4}"/>
    <cellStyle name="Note 2 4 2 2 14 4" xfId="32751" xr:uid="{6B551C31-5D28-4680-9183-083D1748BE6C}"/>
    <cellStyle name="Note 2 4 2 2 15" xfId="25890" xr:uid="{7F237C36-6410-4008-9C73-2FF90F1761CA}"/>
    <cellStyle name="Note 2 4 2 2 15 2" xfId="28556" xr:uid="{5253C9FB-27C2-4BE3-BB25-7C535BDBF80D}"/>
    <cellStyle name="Note 2 4 2 2 15 2 2" xfId="35401" xr:uid="{E82EC45A-9303-446C-BD6E-E36C2BE3AD14}"/>
    <cellStyle name="Note 2 4 2 2 15 3" xfId="30637" xr:uid="{D7F83934-63D1-4AB4-90B4-8A2BFC6D0775}"/>
    <cellStyle name="Note 2 4 2 2 15 3 2" xfId="37482" xr:uid="{A9108B16-2CA7-4A83-96B2-6698CB9D2912}"/>
    <cellStyle name="Note 2 4 2 2 15 4" xfId="32719" xr:uid="{F498C291-B2D0-4E4B-9A88-EF86FAEBC577}"/>
    <cellStyle name="Note 2 4 2 2 16" xfId="23645" xr:uid="{4860162C-037F-4AE2-81F6-BC3B715EF723}"/>
    <cellStyle name="Note 2 4 2 2 17" xfId="17557" xr:uid="{9FE1F921-CA11-4F6B-8D88-6209EB81A3D8}"/>
    <cellStyle name="Note 2 4 2 2 18" xfId="42875" xr:uid="{04D2DCF9-D4D7-4DC3-8663-F173BB4D109D}"/>
    <cellStyle name="Note 2 4 2 2 2" xfId="17828" xr:uid="{F9377EEE-BF4E-4BB1-85D7-E3BBE8D95D5D}"/>
    <cellStyle name="Note 2 4 2 2 2 10" xfId="23961" xr:uid="{E5B6EC0E-B244-409C-B1E9-8F93D2F652D8}"/>
    <cellStyle name="Note 2 4 2 2 2 10 2" xfId="26579" xr:uid="{1E1EDFEF-A3EB-4A45-BB48-98EAF2F4DC8C}"/>
    <cellStyle name="Note 2 4 2 2 2 10 2 2" xfId="33419" xr:uid="{4BA31BC3-18F3-4930-8026-643F04DE6FDE}"/>
    <cellStyle name="Note 2 4 2 2 2 10 3" xfId="26049" xr:uid="{771C93F7-110D-4777-A4F9-B71D3F134093}"/>
    <cellStyle name="Note 2 4 2 2 2 10 3 2" xfId="32878" xr:uid="{7D496443-E9EB-4CC9-80EE-28AF872B2165}"/>
    <cellStyle name="Note 2 4 2 2 2 10 4" xfId="23235" xr:uid="{53B770B7-71BE-477B-8612-BF624A43A968}"/>
    <cellStyle name="Note 2 4 2 2 2 11" xfId="25652" xr:uid="{B50119C6-13EF-4EF3-82D7-6FB2A7333653}"/>
    <cellStyle name="Note 2 4 2 2 2 11 2" xfId="28319" xr:uid="{F66EFE77-C592-4A76-BA76-7D0438BA7C30}"/>
    <cellStyle name="Note 2 4 2 2 2 11 2 2" xfId="35164" xr:uid="{6083E7F1-0FE4-4F46-B7C9-417035273200}"/>
    <cellStyle name="Note 2 4 2 2 2 11 3" xfId="30400" xr:uid="{44C10A11-1827-4131-9C07-1973EE6D49F9}"/>
    <cellStyle name="Note 2 4 2 2 2 11 3 2" xfId="37245" xr:uid="{722B1EC4-7ABE-4140-B3A3-1879893A6048}"/>
    <cellStyle name="Note 2 4 2 2 2 11 4" xfId="32482" xr:uid="{D7233605-84A0-403D-8D25-5CFE52DBCE90}"/>
    <cellStyle name="Note 2 4 2 2 2 12" xfId="25757" xr:uid="{6431C84E-C46A-4996-9058-E7F2CCFAFEDF}"/>
    <cellStyle name="Note 2 4 2 2 2 12 2" xfId="28423" xr:uid="{50FCB956-BD73-484A-91D5-2B907D44697D}"/>
    <cellStyle name="Note 2 4 2 2 2 12 2 2" xfId="35268" xr:uid="{94967FD7-5672-43B9-B98C-8D60A62791FE}"/>
    <cellStyle name="Note 2 4 2 2 2 12 3" xfId="30504" xr:uid="{76945E68-D63A-49B3-AD02-32BA445737EC}"/>
    <cellStyle name="Note 2 4 2 2 2 12 3 2" xfId="37349" xr:uid="{F63F71AC-A64B-4AE4-B5DE-5EB7360AE300}"/>
    <cellStyle name="Note 2 4 2 2 2 12 4" xfId="32586" xr:uid="{B61E2834-6835-4B29-AD72-C6FE0FF30F9E}"/>
    <cellStyle name="Note 2 4 2 2 2 13" xfId="25834" xr:uid="{DD12F65F-0239-4E0D-9F95-3E2F12E5F993}"/>
    <cellStyle name="Note 2 4 2 2 2 13 2" xfId="28500" xr:uid="{E1C42EC3-00DF-4527-9F17-8794512C1026}"/>
    <cellStyle name="Note 2 4 2 2 2 13 2 2" xfId="35345" xr:uid="{EE443641-85B1-4DB3-834D-6F250F100E5A}"/>
    <cellStyle name="Note 2 4 2 2 2 13 3" xfId="30581" xr:uid="{7E7211C1-402A-4692-99AD-FE53894F5F0C}"/>
    <cellStyle name="Note 2 4 2 2 2 13 3 2" xfId="37426" xr:uid="{F645A706-FFE6-43DE-AF3F-0523FF76C052}"/>
    <cellStyle name="Note 2 4 2 2 2 13 4" xfId="32663" xr:uid="{C30B2413-93BE-4017-9730-500AB4CFA0BE}"/>
    <cellStyle name="Note 2 4 2 2 2 14" xfId="25856" xr:uid="{1F18DECD-3C27-4EDE-A916-084E448E7102}"/>
    <cellStyle name="Note 2 4 2 2 2 14 2" xfId="28522" xr:uid="{A59030B5-BF37-4BA7-BA2E-775D86FCB0F7}"/>
    <cellStyle name="Note 2 4 2 2 2 14 2 2" xfId="35367" xr:uid="{0B39170B-CBED-4E1F-9BB9-6D3502F730A1}"/>
    <cellStyle name="Note 2 4 2 2 2 14 3" xfId="30603" xr:uid="{27A1E7EF-83FD-4806-8E63-612DEA272C40}"/>
    <cellStyle name="Note 2 4 2 2 2 14 3 2" xfId="37448" xr:uid="{B9526901-B3BF-4E6F-AFF5-BF0BFA23EB60}"/>
    <cellStyle name="Note 2 4 2 2 2 14 4" xfId="32685" xr:uid="{3DADE3CE-46A0-4097-A0D6-9BF39CBAFB75}"/>
    <cellStyle name="Note 2 4 2 2 2 15" xfId="25962" xr:uid="{0345A405-966D-405F-A472-2BA550E794FB}"/>
    <cellStyle name="Note 2 4 2 2 2 15 2" xfId="28628" xr:uid="{FE0B2D38-2402-495F-A9D4-A0C9ABCA8FF9}"/>
    <cellStyle name="Note 2 4 2 2 2 15 2 2" xfId="35473" xr:uid="{40F52F63-A3DD-44E7-BEF3-E345788D2B18}"/>
    <cellStyle name="Note 2 4 2 2 2 15 3" xfId="30709" xr:uid="{97727C7C-584B-4AFD-A1C3-2FD3D1B78DE1}"/>
    <cellStyle name="Note 2 4 2 2 2 15 3 2" xfId="37554" xr:uid="{C3DE4834-9754-4C57-A3AE-0EAA98C2476E}"/>
    <cellStyle name="Note 2 4 2 2 2 15 4" xfId="32791" xr:uid="{2EC7B9FB-84CD-4AD3-8F75-7050DAC05922}"/>
    <cellStyle name="Note 2 4 2 2 2 16" xfId="26016" xr:uid="{FB3CB64F-C747-49C5-A865-B4431CA6DF3D}"/>
    <cellStyle name="Note 2 4 2 2 2 16 2" xfId="28682" xr:uid="{9662F6DF-02A7-49F7-A408-E5DC07D44B96}"/>
    <cellStyle name="Note 2 4 2 2 2 16 2 2" xfId="35527" xr:uid="{19831DC0-9737-4F45-B7EF-F99390BACD35}"/>
    <cellStyle name="Note 2 4 2 2 2 16 3" xfId="30763" xr:uid="{7C5E00EA-C977-4FBF-918C-8019FC6B6FBB}"/>
    <cellStyle name="Note 2 4 2 2 2 16 3 2" xfId="37608" xr:uid="{278B5AE0-2DA4-4362-938F-DF6B14FF094C}"/>
    <cellStyle name="Note 2 4 2 2 2 16 4" xfId="32845" xr:uid="{3199673B-6803-4074-A7FE-BA5A5F490AF6}"/>
    <cellStyle name="Note 2 4 2 2 2 17" xfId="23552" xr:uid="{D56AF670-1D05-41E7-B477-FF5B841032F7}"/>
    <cellStyle name="Note 2 4 2 2 2 2" xfId="18445" xr:uid="{3BCC29D4-6CD7-47C8-849D-D1A73931A877}"/>
    <cellStyle name="Note 2 4 2 2 2 2 10" xfId="18938" xr:uid="{A4F2C34F-7926-40AB-ACB5-693B95B4F220}"/>
    <cellStyle name="Note 2 4 2 2 2 2 11" xfId="20242" xr:uid="{E396F9AB-7BB7-4638-B256-175E7923F79D}"/>
    <cellStyle name="Note 2 4 2 2 2 2 12" xfId="19045" xr:uid="{11BE036C-9F86-434C-B1AF-FA2FBB8FD79D}"/>
    <cellStyle name="Note 2 4 2 2 2 2 13" xfId="19427" xr:uid="{7FD288F3-E018-438B-B7C7-F844CB349590}"/>
    <cellStyle name="Note 2 4 2 2 2 2 14" xfId="19908" xr:uid="{0D89A3C5-5EE6-4556-B257-255384778009}"/>
    <cellStyle name="Note 2 4 2 2 2 2 15" xfId="19460" xr:uid="{5B5D7DBA-DF48-4A77-88EB-92BF36B43879}"/>
    <cellStyle name="Note 2 4 2 2 2 2 16" xfId="31498" xr:uid="{E7C42908-3F38-4074-8025-1CF02B39360C}"/>
    <cellStyle name="Note 2 4 2 2 2 2 2" xfId="19928" xr:uid="{04C9FC75-749F-4870-85C1-3E5694B7E16E}"/>
    <cellStyle name="Note 2 4 2 2 2 2 2 2" xfId="27336" xr:uid="{AC7DE7CD-EE16-4AB1-BF55-7B0A0C39C2EA}"/>
    <cellStyle name="Note 2 4 2 2 2 2 2 3" xfId="34180" xr:uid="{998BF3E9-0F30-4ED0-8106-63787A32656C}"/>
    <cellStyle name="Note 2 4 2 2 2 2 3" xfId="20653" xr:uid="{515E6F6A-C8E6-4534-AB2F-04D23A736A53}"/>
    <cellStyle name="Note 2 4 2 2 2 2 3 2" xfId="29416" xr:uid="{5CBA5E14-880B-4696-B6BE-AF71DEE5E815}"/>
    <cellStyle name="Note 2 4 2 2 2 2 3 3" xfId="36261" xr:uid="{B5B91A90-8FC6-4B68-835D-FEF06CB63D1A}"/>
    <cellStyle name="Note 2 4 2 2 2 2 4" xfId="18918" xr:uid="{05A58C33-5317-48D9-8ADE-AD0E52B75FF3}"/>
    <cellStyle name="Note 2 4 2 2 2 2 5" xfId="20152" xr:uid="{91B54DB7-2D68-4C7E-8E61-B43805E0B26C}"/>
    <cellStyle name="Note 2 4 2 2 2 2 6" xfId="20319" xr:uid="{5FA2DD98-96FE-4143-AE8A-DA0A264BE41E}"/>
    <cellStyle name="Note 2 4 2 2 2 2 7" xfId="20470" xr:uid="{64B23296-641D-4A89-BDAA-523C0794533E}"/>
    <cellStyle name="Note 2 4 2 2 2 2 8" xfId="21523" xr:uid="{FF7EB29D-B0D0-4DF1-B59F-7A0F62B9CC70}"/>
    <cellStyle name="Note 2 4 2 2 2 2 9" xfId="20381" xr:uid="{42974792-61EB-4C58-9089-7340C6289EDB}"/>
    <cellStyle name="Note 2 4 2 2 2 3" xfId="24408" xr:uid="{467B56A9-01AA-4A7F-BB7E-B95212850EB6}"/>
    <cellStyle name="Note 2 4 2 2 2 3 2" xfId="27025" xr:uid="{55D07F25-4AE5-4C3E-AD8B-03E09D0EDF84}"/>
    <cellStyle name="Note 2 4 2 2 2 3 2 2" xfId="33865" xr:uid="{F91257D4-9124-469E-868F-254798385337}"/>
    <cellStyle name="Note 2 4 2 2 2 3 3" xfId="29101" xr:uid="{CB81DA67-1204-4476-901B-D7A447A64DBB}"/>
    <cellStyle name="Note 2 4 2 2 2 3 3 2" xfId="35946" xr:uid="{378CE41F-7DB7-4AC2-A65B-E34C86F2368E}"/>
    <cellStyle name="Note 2 4 2 2 2 3 4" xfId="31183" xr:uid="{B185D348-5CAB-4C0C-8730-218BDFB60120}"/>
    <cellStyle name="Note 2 4 2 2 2 4" xfId="24392" xr:uid="{2BF36FCE-7BE0-4B1E-8F35-8FD38B8546E8}"/>
    <cellStyle name="Note 2 4 2 2 2 4 2" xfId="27010" xr:uid="{4108E43A-CA1D-46F8-9CBF-F53027363C10}"/>
    <cellStyle name="Note 2 4 2 2 2 4 2 2" xfId="33850" xr:uid="{90230697-6076-4ABD-9DCF-E3CDF4DA02C6}"/>
    <cellStyle name="Note 2 4 2 2 2 4 3" xfId="29086" xr:uid="{85510789-C555-47B0-92BB-6CE4DD3D69E5}"/>
    <cellStyle name="Note 2 4 2 2 2 4 3 2" xfId="35931" xr:uid="{B8277B8D-5533-4CBF-8EC3-68ED9A08572E}"/>
    <cellStyle name="Note 2 4 2 2 2 4 4" xfId="31168" xr:uid="{7F13B5D3-B921-4CDE-92D9-59F0417FA8C1}"/>
    <cellStyle name="Note 2 4 2 2 2 5" xfId="25108" xr:uid="{B38A9F5D-5185-4AB5-93F3-D1091444ADAD}"/>
    <cellStyle name="Note 2 4 2 2 2 5 2" xfId="27780" xr:uid="{013649DE-94F3-477E-8390-4049C3946A15}"/>
    <cellStyle name="Note 2 4 2 2 2 5 2 2" xfId="34625" xr:uid="{12140D36-786E-4933-A07B-EEEE2C1A2002}"/>
    <cellStyle name="Note 2 4 2 2 2 5 3" xfId="29861" xr:uid="{F3FB8089-FEE3-4E88-A1A4-473B0680E540}"/>
    <cellStyle name="Note 2 4 2 2 2 5 3 2" xfId="36706" xr:uid="{E499D8CB-676D-4007-BC1F-EB3900956E99}"/>
    <cellStyle name="Note 2 4 2 2 2 5 4" xfId="31943" xr:uid="{F76755FA-805F-4A3A-B0FF-923E034DAEE4}"/>
    <cellStyle name="Note 2 4 2 2 2 6" xfId="25155" xr:uid="{B5EC694B-185F-43A1-BAA0-C33BCF7B97D4}"/>
    <cellStyle name="Note 2 4 2 2 2 6 2" xfId="27827" xr:uid="{E095C7C9-EC20-4A60-A05E-0C9C141EA9C4}"/>
    <cellStyle name="Note 2 4 2 2 2 6 2 2" xfId="34672" xr:uid="{1496F63E-2893-4E96-9CE3-FC60233DACE2}"/>
    <cellStyle name="Note 2 4 2 2 2 6 3" xfId="29908" xr:uid="{10C27E27-1313-49B2-B0BA-910F38550213}"/>
    <cellStyle name="Note 2 4 2 2 2 6 3 2" xfId="36753" xr:uid="{959BEB7D-908B-4558-B64D-A9DA4D89E8EF}"/>
    <cellStyle name="Note 2 4 2 2 2 6 4" xfId="31990" xr:uid="{714E74D2-E7EA-4619-B3F5-E369D596266D}"/>
    <cellStyle name="Note 2 4 2 2 2 7" xfId="24765" xr:uid="{88C75535-94E6-496D-8874-EBC2A381AC5C}"/>
    <cellStyle name="Note 2 4 2 2 2 7 2" xfId="27417" xr:uid="{7D2573BF-2241-4D50-AA82-D8AB36FBDFCC}"/>
    <cellStyle name="Note 2 4 2 2 2 7 2 2" xfId="34261" xr:uid="{415A358F-86A6-4519-BE82-5E8AFD9EAE62}"/>
    <cellStyle name="Note 2 4 2 2 2 7 3" xfId="29497" xr:uid="{B23DD00B-E639-40E1-9121-EFFD4CDEA8A2}"/>
    <cellStyle name="Note 2 4 2 2 2 7 3 2" xfId="36342" xr:uid="{B08D0BEF-29B3-4923-A708-1D32965BBDBC}"/>
    <cellStyle name="Note 2 4 2 2 2 7 4" xfId="31579" xr:uid="{D4644E32-CBD5-483E-A7A6-8F20B21A332A}"/>
    <cellStyle name="Note 2 4 2 2 2 8" xfId="24869" xr:uid="{47536C18-81E3-45CC-8608-D0C2707E6522}"/>
    <cellStyle name="Note 2 4 2 2 2 8 2" xfId="27535" xr:uid="{907C58DB-CE7D-4B8F-B1DC-4E81A6BF1339}"/>
    <cellStyle name="Note 2 4 2 2 2 8 2 2" xfId="34379" xr:uid="{032A20A5-19D9-484E-B093-3462B2EB1D4E}"/>
    <cellStyle name="Note 2 4 2 2 2 8 3" xfId="29615" xr:uid="{5FFF524A-D49A-4FB3-BD7E-E01A09BFCFDF}"/>
    <cellStyle name="Note 2 4 2 2 2 8 3 2" xfId="36460" xr:uid="{AA3C6CBA-FD64-4589-9BAF-B2418E2D8199}"/>
    <cellStyle name="Note 2 4 2 2 2 8 4" xfId="31697" xr:uid="{B4BAE0B0-0371-47F3-8910-0C63BF5E2D70}"/>
    <cellStyle name="Note 2 4 2 2 2 9" xfId="24322" xr:uid="{1F9EEFD8-AD41-4601-A142-7EF1BD5E40A3}"/>
    <cellStyle name="Note 2 4 2 2 2 9 2" xfId="26928" xr:uid="{2A6C44C3-CBBD-4F80-A32A-7AABCA7E5277}"/>
    <cellStyle name="Note 2 4 2 2 2 9 2 2" xfId="33768" xr:uid="{79E77C83-F81B-4D53-A7EB-00B6912B704F}"/>
    <cellStyle name="Note 2 4 2 2 2 9 3" xfId="29004" xr:uid="{D78F82D8-970C-4274-9EE9-2CEA170C5672}"/>
    <cellStyle name="Note 2 4 2 2 2 9 3 2" xfId="35849" xr:uid="{4661D6A9-5514-4C50-B472-E70EFF1DB392}"/>
    <cellStyle name="Note 2 4 2 2 2 9 4" xfId="31086" xr:uid="{7D608BFC-B937-442D-B017-4A584A814B37}"/>
    <cellStyle name="Note 2 4 2 2 3" xfId="18620" xr:uid="{E816C579-7830-48B8-B838-830AD4840231}"/>
    <cellStyle name="Note 2 4 2 2 3 10" xfId="19002" xr:uid="{CD9CF071-4D04-4893-9F1C-9BE620360DD3}"/>
    <cellStyle name="Note 2 4 2 2 3 11" xfId="20946" xr:uid="{4CFDD66C-4265-4E35-9346-CFC948AEAD26}"/>
    <cellStyle name="Note 2 4 2 2 3 12" xfId="22756" xr:uid="{7108BBDC-85FD-475C-AEF1-1E86BD8DD9FC}"/>
    <cellStyle name="Note 2 4 2 2 3 13" xfId="21379" xr:uid="{9782BD70-A431-435B-8C1A-2AE4DA5675BF}"/>
    <cellStyle name="Note 2 4 2 2 3 14" xfId="22892" xr:uid="{7FFD3D51-1767-4F67-92DA-940E9B6E8268}"/>
    <cellStyle name="Note 2 4 2 2 3 15" xfId="22259" xr:uid="{8F583298-D88D-4528-A9D1-5317BCD1C309}"/>
    <cellStyle name="Note 2 4 2 2 3 16" xfId="31371" xr:uid="{52601308-19FA-4B6F-B87A-7C4A1AFF070E}"/>
    <cellStyle name="Note 2 4 2 2 3 2" xfId="19847" xr:uid="{A9C773C7-1178-45F9-9B8F-48A30A065BD4}"/>
    <cellStyle name="Note 2 4 2 2 3 2 2" xfId="27212" xr:uid="{64B98489-66E1-4AAD-86CF-218DDA939506}"/>
    <cellStyle name="Note 2 4 2 2 3 2 3" xfId="34053" xr:uid="{3A1515A3-6742-48AB-9A67-5DDA878E3719}"/>
    <cellStyle name="Note 2 4 2 2 3 3" xfId="19649" xr:uid="{93E23A0C-0912-4E44-9545-C7A2BE5F000D}"/>
    <cellStyle name="Note 2 4 2 2 3 3 2" xfId="29289" xr:uid="{8DC421DF-879C-42CD-97D4-1AD3CB4F4DF4}"/>
    <cellStyle name="Note 2 4 2 2 3 3 3" xfId="36134" xr:uid="{3988AF33-C1BD-48DB-88AB-3234D2465298}"/>
    <cellStyle name="Note 2 4 2 2 3 4" xfId="19959" xr:uid="{7C66B090-1543-493C-821F-578A6BCFA384}"/>
    <cellStyle name="Note 2 4 2 2 3 5" xfId="21234" xr:uid="{9C603743-9057-4A83-8E38-D7600F0AC32B}"/>
    <cellStyle name="Note 2 4 2 2 3 6" xfId="21488" xr:uid="{5AD47B7A-19E3-4633-B316-95C5393D7AA7}"/>
    <cellStyle name="Note 2 4 2 2 3 7" xfId="19571" xr:uid="{6A86E9FC-7742-4A6E-A709-19174EB4F960}"/>
    <cellStyle name="Note 2 4 2 2 3 8" xfId="20115" xr:uid="{0610765F-88AE-4E27-945D-73569121F7BC}"/>
    <cellStyle name="Note 2 4 2 2 3 9" xfId="22493" xr:uid="{0E799BEF-C4F0-4381-8870-701BE3DC4DB6}"/>
    <cellStyle name="Note 2 4 2 2 4" xfId="24990" xr:uid="{CCFC16C1-86D8-44D1-9BC9-F19D8D9A3740}"/>
    <cellStyle name="Note 2 4 2 2 4 2" xfId="27660" xr:uid="{F8ACC7F4-3835-409F-8C90-FCA39C7ACA29}"/>
    <cellStyle name="Note 2 4 2 2 4 2 2" xfId="34505" xr:uid="{17255E30-A2F0-4246-A96E-63A52E00C803}"/>
    <cellStyle name="Note 2 4 2 2 4 3" xfId="29741" xr:uid="{7FF2BEB2-936B-4262-AA3C-F4830D6909F3}"/>
    <cellStyle name="Note 2 4 2 2 4 3 2" xfId="36586" xr:uid="{1DDECBEB-AC3A-4F50-A2CE-3C0BFF02399D}"/>
    <cellStyle name="Note 2 4 2 2 4 4" xfId="31823" xr:uid="{2E0EAC0F-3B73-4B33-9E87-4B1C8CEAAEB6}"/>
    <cellStyle name="Note 2 4 2 2 5" xfId="24950" xr:uid="{A2D244B6-BC2D-4579-BD45-9EAE27C71074}"/>
    <cellStyle name="Note 2 4 2 2 5 2" xfId="27620" xr:uid="{DA20EB38-3C5E-42F6-86F6-DBFB7A036168}"/>
    <cellStyle name="Note 2 4 2 2 5 2 2" xfId="34465" xr:uid="{6BCCA145-913D-4E8C-8E3F-6C13EB00F863}"/>
    <cellStyle name="Note 2 4 2 2 5 3" xfId="29701" xr:uid="{990F3E94-3BED-4402-AEF0-C215987E989A}"/>
    <cellStyle name="Note 2 4 2 2 5 3 2" xfId="36546" xr:uid="{42C7622E-9CF6-4D35-B8E0-B40C0E212FD5}"/>
    <cellStyle name="Note 2 4 2 2 5 4" xfId="31783" xr:uid="{7C401778-26EB-40F9-AA85-417318A35C74}"/>
    <cellStyle name="Note 2 4 2 2 6" xfId="25220" xr:uid="{38132CEF-EF34-407B-A9C5-A0B86DA28823}"/>
    <cellStyle name="Note 2 4 2 2 6 2" xfId="27892" xr:uid="{EC0A75B7-3987-4CA8-A3C2-69FFD6818A52}"/>
    <cellStyle name="Note 2 4 2 2 6 2 2" xfId="34737" xr:uid="{16654AE4-91FD-46E3-9183-1985DEF20F1B}"/>
    <cellStyle name="Note 2 4 2 2 6 3" xfId="29973" xr:uid="{02FB2AD9-BA29-41B9-8472-B0F9C2754EF0}"/>
    <cellStyle name="Note 2 4 2 2 6 3 2" xfId="36818" xr:uid="{5CB91761-16B0-461F-9A65-63FE0BE21A8B}"/>
    <cellStyle name="Note 2 4 2 2 6 4" xfId="32055" xr:uid="{AC70C090-24F9-4DB4-AE92-8C36F89A0801}"/>
    <cellStyle name="Note 2 4 2 2 7" xfId="25189" xr:uid="{11BBE667-8E18-4EFA-A49F-3EAB268A8CE9}"/>
    <cellStyle name="Note 2 4 2 2 7 2" xfId="27861" xr:uid="{6A3388AB-6B7F-4F6A-B24A-A7973F682529}"/>
    <cellStyle name="Note 2 4 2 2 7 2 2" xfId="34706" xr:uid="{C46A24EC-07E7-402D-B664-BBF24E7B8149}"/>
    <cellStyle name="Note 2 4 2 2 7 3" xfId="29942" xr:uid="{A413F429-BEB5-4B6B-AA6A-A45EEFFB94CB}"/>
    <cellStyle name="Note 2 4 2 2 7 3 2" xfId="36787" xr:uid="{E8A27705-FBB5-4F3B-A2EC-876F375596C0}"/>
    <cellStyle name="Note 2 4 2 2 7 4" xfId="32024" xr:uid="{23AFF9E3-19B4-4FF7-8764-B0E6E1C9E421}"/>
    <cellStyle name="Note 2 4 2 2 8" xfId="25387" xr:uid="{A9868C57-B17A-446C-9203-0E8732B28F62}"/>
    <cellStyle name="Note 2 4 2 2 8 2" xfId="28054" xr:uid="{391F37BD-F0D8-4656-9898-F5CD97212D39}"/>
    <cellStyle name="Note 2 4 2 2 8 2 2" xfId="34899" xr:uid="{A3F15FCA-1493-4F47-8301-14E61062CAC1}"/>
    <cellStyle name="Note 2 4 2 2 8 3" xfId="30135" xr:uid="{30C3F975-DE14-4139-9734-183DD2597BB2}"/>
    <cellStyle name="Note 2 4 2 2 8 3 2" xfId="36980" xr:uid="{2C19124B-0BEA-4E4C-A342-DD034A362F96}"/>
    <cellStyle name="Note 2 4 2 2 8 4" xfId="32217" xr:uid="{6AAE37E5-5B2C-4ADA-924B-E79661356053}"/>
    <cellStyle name="Note 2 4 2 2 9" xfId="23981" xr:uid="{584AA383-869E-4B64-9708-1D905C7DC101}"/>
    <cellStyle name="Note 2 4 2 2 9 2" xfId="26598" xr:uid="{9D42C3C2-1A3A-450F-9CA0-012BF5338211}"/>
    <cellStyle name="Note 2 4 2 2 9 2 2" xfId="33438" xr:uid="{E1E8F898-F1AD-498E-AFF5-F83B38DE435B}"/>
    <cellStyle name="Note 2 4 2 2 9 3" xfId="26095" xr:uid="{07F905C7-A0E9-4317-A81D-69110E7518A6}"/>
    <cellStyle name="Note 2 4 2 2 9 3 2" xfId="32923" xr:uid="{EE52B8A2-F824-42EB-99D2-8697667FB5E7}"/>
    <cellStyle name="Note 2 4 2 2 9 4" xfId="23217" xr:uid="{41C71A72-3F55-42F3-9140-1B38D7625978}"/>
    <cellStyle name="Note 2 4 2 3" xfId="17790" xr:uid="{6F1CE400-CB43-4FA6-BDF8-02A535EFC8F7}"/>
    <cellStyle name="Note 2 4 2 3 10" xfId="24039" xr:uid="{567333D9-3236-4650-B521-EEFB525B2A90}"/>
    <cellStyle name="Note 2 4 2 3 10 2" xfId="26653" xr:uid="{4E7EA406-EB43-4C9F-91C3-E1B71DEA0468}"/>
    <cellStyle name="Note 2 4 2 3 10 2 2" xfId="33493" xr:uid="{A2634A43-6609-4A12-8769-2B18CD37F8F3}"/>
    <cellStyle name="Note 2 4 2 3 10 3" xfId="28729" xr:uid="{7CCD3240-A47D-4B35-B940-C71BA2BDE337}"/>
    <cellStyle name="Note 2 4 2 3 10 3 2" xfId="35574" xr:uid="{FD0D346D-D508-49D4-A110-9795E4E78824}"/>
    <cellStyle name="Note 2 4 2 3 10 4" xfId="30811" xr:uid="{80EC0A11-9441-45A5-BBEF-71724FFD03E7}"/>
    <cellStyle name="Note 2 4 2 3 11" xfId="25623" xr:uid="{17A3F75F-90B0-4B6A-BEA3-3D5C3FCAA1ED}"/>
    <cellStyle name="Note 2 4 2 3 11 2" xfId="28290" xr:uid="{F18A22D4-AC93-4B39-BC77-A5D92C786993}"/>
    <cellStyle name="Note 2 4 2 3 11 2 2" xfId="35135" xr:uid="{587C1220-2A9E-4A40-B6DB-787E44386226}"/>
    <cellStyle name="Note 2 4 2 3 11 3" xfId="30371" xr:uid="{432C65C8-4215-49CF-8BB9-D15F08F4E12E}"/>
    <cellStyle name="Note 2 4 2 3 11 3 2" xfId="37216" xr:uid="{09400272-4408-4D84-8ED6-3F475CFCFB2E}"/>
    <cellStyle name="Note 2 4 2 3 11 4" xfId="32453" xr:uid="{E2FA1679-D969-4E37-902C-4F2CFE10572E}"/>
    <cellStyle name="Note 2 4 2 3 12" xfId="25727" xr:uid="{EDFA4D04-9FCA-4C2E-B918-C06BE9619C57}"/>
    <cellStyle name="Note 2 4 2 3 12 2" xfId="28394" xr:uid="{5678EEF4-6D47-491D-B118-E38720600980}"/>
    <cellStyle name="Note 2 4 2 3 12 2 2" xfId="35239" xr:uid="{3F095E1D-091F-4AAB-A638-20D82FDF75FD}"/>
    <cellStyle name="Note 2 4 2 3 12 3" xfId="30475" xr:uid="{CAA2CA8D-0868-435F-9315-641CCAFAE62B}"/>
    <cellStyle name="Note 2 4 2 3 12 3 2" xfId="37320" xr:uid="{35A7325A-DF37-4B85-A685-E366C4D5096A}"/>
    <cellStyle name="Note 2 4 2 3 12 4" xfId="32557" xr:uid="{30CBE35C-63BB-415F-A98D-24016569E981}"/>
    <cellStyle name="Note 2 4 2 3 13" xfId="25804" xr:uid="{17173699-101F-4725-AC44-22FD812E582B}"/>
    <cellStyle name="Note 2 4 2 3 13 2" xfId="28470" xr:uid="{0BCBA52E-9E09-45BA-B0F0-6629BEF156BB}"/>
    <cellStyle name="Note 2 4 2 3 13 2 2" xfId="35315" xr:uid="{07406900-297E-47DB-BBF9-F3A10D438FF6}"/>
    <cellStyle name="Note 2 4 2 3 13 3" xfId="30551" xr:uid="{B87DA905-DFFD-43DC-ACDA-A92D67F7573F}"/>
    <cellStyle name="Note 2 4 2 3 13 3 2" xfId="37396" xr:uid="{7E716FAC-8036-4920-8401-B1BAE5DBEEC5}"/>
    <cellStyle name="Note 2 4 2 3 13 4" xfId="32633" xr:uid="{79E30A7C-970F-4477-8412-AA72F08377C1}"/>
    <cellStyle name="Note 2 4 2 3 14" xfId="23971" xr:uid="{D325848D-02B8-423E-B45B-C4A75F751A74}"/>
    <cellStyle name="Note 2 4 2 3 14 2" xfId="26588" xr:uid="{0E472C2F-CEC8-4153-B38E-C158230E5382}"/>
    <cellStyle name="Note 2 4 2 3 14 2 2" xfId="33428" xr:uid="{EB88182A-9B1C-476F-BCEF-A847F3F53C18}"/>
    <cellStyle name="Note 2 4 2 3 14 3" xfId="26105" xr:uid="{E2E331CF-2B96-4D9B-9710-1707B317245E}"/>
    <cellStyle name="Note 2 4 2 3 14 3 2" xfId="32933" xr:uid="{3AF88DF5-643A-4095-A491-BCC84DC80141}"/>
    <cellStyle name="Note 2 4 2 3 14 4" xfId="23227" xr:uid="{3ED91CE7-CA4D-421A-AC9A-EF73C01E482C}"/>
    <cellStyle name="Note 2 4 2 3 15" xfId="25936" xr:uid="{21111808-8BF4-46C1-BBB5-F8A683282EFE}"/>
    <cellStyle name="Note 2 4 2 3 15 2" xfId="28602" xr:uid="{32ECA3A3-455A-4356-A66F-5CB842B7B0AD}"/>
    <cellStyle name="Note 2 4 2 3 15 2 2" xfId="35447" xr:uid="{BE5BBAF5-9FC2-42D0-A023-FD20FECB3797}"/>
    <cellStyle name="Note 2 4 2 3 15 3" xfId="30683" xr:uid="{1810D15E-1173-46E0-B9AC-6874BFD2AB83}"/>
    <cellStyle name="Note 2 4 2 3 15 3 2" xfId="37528" xr:uid="{DF1879E6-930C-4F56-AA13-D549E4EBE46F}"/>
    <cellStyle name="Note 2 4 2 3 15 4" xfId="32765" xr:uid="{6BBAA576-480B-49E8-8072-D14E17435D29}"/>
    <cellStyle name="Note 2 4 2 3 16" xfId="25990" xr:uid="{F6907944-C7E7-4C4D-9E85-D824B7D53777}"/>
    <cellStyle name="Note 2 4 2 3 16 2" xfId="28656" xr:uid="{8DE57C77-6378-4720-AF21-47B2643DC52E}"/>
    <cellStyle name="Note 2 4 2 3 16 2 2" xfId="35501" xr:uid="{F74E2445-C235-45CC-A594-C6C974B55F31}"/>
    <cellStyle name="Note 2 4 2 3 16 3" xfId="30737" xr:uid="{4C79FCE3-355D-4F69-AA17-376846FDDABC}"/>
    <cellStyle name="Note 2 4 2 3 16 3 2" xfId="37582" xr:uid="{8E3D8981-7818-449A-8D74-A72B6772C24B}"/>
    <cellStyle name="Note 2 4 2 3 16 4" xfId="32819" xr:uid="{5E9372F3-E981-419E-9FC2-11F9C2B0D24E}"/>
    <cellStyle name="Note 2 4 2 3 17" xfId="23564" xr:uid="{C8665AF4-3792-4526-9545-2EC73483E2AF}"/>
    <cellStyle name="Note 2 4 2 3 2" xfId="18465" xr:uid="{F2665DA1-3793-48B0-9109-4CC6A1EC7C0F}"/>
    <cellStyle name="Note 2 4 2 3 2 10" xfId="21739" xr:uid="{3C9D25C2-8352-4299-9852-6BE99A6F7DF0}"/>
    <cellStyle name="Note 2 4 2 3 2 11" xfId="21889" xr:uid="{A5E1132F-49F4-443D-B11F-44A00BE7ADB8}"/>
    <cellStyle name="Note 2 4 2 3 2 12" xfId="22218" xr:uid="{789413AB-0B50-4262-BB3A-4CDECF8F47F8}"/>
    <cellStyle name="Note 2 4 2 3 2 13" xfId="19095" xr:uid="{C8C2635F-6D54-4C8A-99B6-8C083013DED6}"/>
    <cellStyle name="Note 2 4 2 3 2 14" xfId="22686" xr:uid="{F5100E20-CA56-4AF3-A77C-41E062263E9E}"/>
    <cellStyle name="Note 2 4 2 3 2 15" xfId="20654" xr:uid="{598CA2E8-B944-4C3A-9780-68B5214E369E}"/>
    <cellStyle name="Note 2 4 2 3 2 16" xfId="31468" xr:uid="{E97E1866-8D38-462E-9C8C-38A3331C5948}"/>
    <cellStyle name="Note 2 4 2 3 2 2" xfId="19911" xr:uid="{86723DCE-0C07-4692-9060-2BA44A0CBE16}"/>
    <cellStyle name="Note 2 4 2 3 2 2 2" xfId="27306" xr:uid="{6866D574-37DD-4CFA-8E1D-7FEB14B423EA}"/>
    <cellStyle name="Note 2 4 2 3 2 2 3" xfId="34150" xr:uid="{21D556C0-5A05-4E3B-8D20-3042322E589C}"/>
    <cellStyle name="Note 2 4 2 3 2 3" xfId="21782" xr:uid="{54E9E8A8-FABA-4E58-9738-19AAA7D13F44}"/>
    <cellStyle name="Note 2 4 2 3 2 3 2" xfId="29386" xr:uid="{8BD89A4D-8016-4101-ACBC-7D6DA28523E9}"/>
    <cellStyle name="Note 2 4 2 3 2 3 3" xfId="36231" xr:uid="{111FF6FB-650A-49BF-B8EF-EC73F4B49E4C}"/>
    <cellStyle name="Note 2 4 2 3 2 4" xfId="18908" xr:uid="{7E0625B4-8237-4E9F-AC1E-8F884E215A28}"/>
    <cellStyle name="Note 2 4 2 3 2 5" xfId="19313" xr:uid="{55810431-2CDA-4DB3-A38D-253212D7CD1C}"/>
    <cellStyle name="Note 2 4 2 3 2 6" xfId="19232" xr:uid="{DE43BFA0-F0DF-43B7-AAF0-EFB082B28AC4}"/>
    <cellStyle name="Note 2 4 2 3 2 7" xfId="20486" xr:uid="{B41A9720-2F1E-4585-A123-404859AA945F}"/>
    <cellStyle name="Note 2 4 2 3 2 8" xfId="21705" xr:uid="{A8A657D6-12BF-4256-9FDC-5224961E7BD1}"/>
    <cellStyle name="Note 2 4 2 3 2 9" xfId="20358" xr:uid="{70EF4E60-3D1A-4989-8E7E-15B62844A254}"/>
    <cellStyle name="Note 2 4 2 3 3" xfId="24834" xr:uid="{B19113CF-0F02-4049-8107-768DD261A2A9}"/>
    <cellStyle name="Note 2 4 2 3 3 2" xfId="27494" xr:uid="{ECD7359A-B8EE-424E-94C7-80860A012D90}"/>
    <cellStyle name="Note 2 4 2 3 3 2 2" xfId="34338" xr:uid="{883D1860-50B6-45D1-AEF9-84D750DB3B17}"/>
    <cellStyle name="Note 2 4 2 3 3 3" xfId="29574" xr:uid="{B7E89240-C1A1-4828-97E1-8B7F889BBC50}"/>
    <cellStyle name="Note 2 4 2 3 3 3 2" xfId="36419" xr:uid="{47509A62-2E92-40B2-848C-5803040BAA53}"/>
    <cellStyle name="Note 2 4 2 3 3 4" xfId="31656" xr:uid="{9EC898D4-E52D-4F26-B9B1-F885C8298821}"/>
    <cellStyle name="Note 2 4 2 3 4" xfId="24734" xr:uid="{A4E03CE0-E613-4E96-869A-94DC7EF07EC2}"/>
    <cellStyle name="Note 2 4 2 3 4 2" xfId="27383" xr:uid="{FA6C38FA-3194-41D4-90A0-9ED47E332236}"/>
    <cellStyle name="Note 2 4 2 3 4 2 2" xfId="34227" xr:uid="{D548355D-937E-4DC1-967E-B5C57AD97FF2}"/>
    <cellStyle name="Note 2 4 2 3 4 3" xfId="29463" xr:uid="{E42A438B-1FAC-4673-8F61-8EEEE701C588}"/>
    <cellStyle name="Note 2 4 2 3 4 3 2" xfId="36308" xr:uid="{5A20885D-F58A-4E7B-8901-B2DB6F1F183D}"/>
    <cellStyle name="Note 2 4 2 3 4 4" xfId="31545" xr:uid="{461FF685-6BF7-41F4-847C-B6BB7C4080A6}"/>
    <cellStyle name="Note 2 4 2 3 5" xfId="25075" xr:uid="{CF7F5293-CBA8-4B50-8298-20D9AFDB36D4}"/>
    <cellStyle name="Note 2 4 2 3 5 2" xfId="27747" xr:uid="{62884476-69B4-44F3-95F4-3F7708ABF63D}"/>
    <cellStyle name="Note 2 4 2 3 5 2 2" xfId="34592" xr:uid="{5C44226B-59C7-4B37-88F7-9AE594FFDA70}"/>
    <cellStyle name="Note 2 4 2 3 5 3" xfId="29828" xr:uid="{D0B680DF-5795-4A19-9648-F0F1F979F0C7}"/>
    <cellStyle name="Note 2 4 2 3 5 3 2" xfId="36673" xr:uid="{5D945B5D-CBDA-4A9B-B1C8-8E8B4A1024E0}"/>
    <cellStyle name="Note 2 4 2 3 5 4" xfId="31910" xr:uid="{7A9A0F60-3529-4198-B654-58A3F3563881}"/>
    <cellStyle name="Note 2 4 2 3 6" xfId="24437" xr:uid="{2F90D33D-ABE8-4B4F-B60F-063C59E91EC7}"/>
    <cellStyle name="Note 2 4 2 3 6 2" xfId="27057" xr:uid="{725F15EC-5306-4A40-A622-648F77089ABB}"/>
    <cellStyle name="Note 2 4 2 3 6 2 2" xfId="33897" xr:uid="{8F994FAA-7883-4ECA-8BE4-C89CB3095EE2}"/>
    <cellStyle name="Note 2 4 2 3 6 3" xfId="29133" xr:uid="{24C64E01-6CAB-468D-9086-5300C14269B5}"/>
    <cellStyle name="Note 2 4 2 3 6 3 2" xfId="35978" xr:uid="{B05A2D99-0C26-4AD0-93C9-CC240AAA08A5}"/>
    <cellStyle name="Note 2 4 2 3 6 4" xfId="31215" xr:uid="{E74B3668-6645-488E-9C34-A12E4A851C20}"/>
    <cellStyle name="Note 2 4 2 3 7" xfId="23821" xr:uid="{D04AF4B6-C741-4BEF-81E9-E71D8291E83A}"/>
    <cellStyle name="Note 2 4 2 3 7 2" xfId="26440" xr:uid="{47BB09CC-1E4D-4BD6-A0A8-CF897290757D}"/>
    <cellStyle name="Note 2 4 2 3 7 2 2" xfId="33280" xr:uid="{72A4146D-1ED0-4EF1-82E3-E2364867B61F}"/>
    <cellStyle name="Note 2 4 2 3 7 3" xfId="26242" xr:uid="{ACA7738D-529C-441F-A3F4-7CDE7531AC9A}"/>
    <cellStyle name="Note 2 4 2 3 7 3 2" xfId="33070" xr:uid="{A5D1B7FB-3F94-4C1B-A7F7-12AF3F1878E8}"/>
    <cellStyle name="Note 2 4 2 3 7 4" xfId="23364" xr:uid="{FB4EA28A-51A2-4FD3-9302-4321E2782E7F}"/>
    <cellStyle name="Note 2 4 2 3 8" xfId="23950" xr:uid="{E3A6483D-9BD1-4928-8610-E7E216978586}"/>
    <cellStyle name="Note 2 4 2 3 8 2" xfId="26568" xr:uid="{E7FE734C-D71F-4915-96A9-02245C470473}"/>
    <cellStyle name="Note 2 4 2 3 8 2 2" xfId="33408" xr:uid="{F326E5CD-7A36-4C11-88AC-71E2E8FE2B97}"/>
    <cellStyle name="Note 2 4 2 3 8 3" xfId="26117" xr:uid="{48B71618-29D2-4802-A319-48D169EB042B}"/>
    <cellStyle name="Note 2 4 2 3 8 3 2" xfId="32945" xr:uid="{F48B5EAF-FC6C-4402-8E48-1C9CE7137043}"/>
    <cellStyle name="Note 2 4 2 3 8 4" xfId="23239" xr:uid="{62B4A5A8-883E-4B62-97C9-94448823048E}"/>
    <cellStyle name="Note 2 4 2 3 9" xfId="25425" xr:uid="{86592085-8232-43E6-89C1-D89FADFCED94}"/>
    <cellStyle name="Note 2 4 2 3 9 2" xfId="28092" xr:uid="{B4239A2E-B1DA-4BBF-85FE-5649C08E52C0}"/>
    <cellStyle name="Note 2 4 2 3 9 2 2" xfId="34937" xr:uid="{876776D4-DB71-497A-845F-15FFB585910C}"/>
    <cellStyle name="Note 2 4 2 3 9 3" xfId="30173" xr:uid="{7B1B4EF5-DA5F-4327-996A-9052F578E97F}"/>
    <cellStyle name="Note 2 4 2 3 9 3 2" xfId="37018" xr:uid="{1049AF30-26DF-43D8-B0E5-489A68827D94}"/>
    <cellStyle name="Note 2 4 2 3 9 4" xfId="32255" xr:uid="{EA877D90-A593-457F-BD91-2FDEA6321559}"/>
    <cellStyle name="Note 2 4 2 4" xfId="18637" xr:uid="{87D6478D-52C0-4B1A-869A-6752CDA7F7BC}"/>
    <cellStyle name="Note 2 4 2 4 10" xfId="21901" xr:uid="{69399BB8-5C33-4C83-8BDB-B98D26C27244}"/>
    <cellStyle name="Note 2 4 2 4 11" xfId="20590" xr:uid="{A4FB670F-902D-4626-8E08-DEB80F034751}"/>
    <cellStyle name="Note 2 4 2 4 12" xfId="22771" xr:uid="{CE9EE4F1-3C67-408E-B2E6-E938654A2E35}"/>
    <cellStyle name="Note 2 4 2 4 13" xfId="21257" xr:uid="{01CB7A54-7D36-42B1-8012-6BE86F88FB51}"/>
    <cellStyle name="Note 2 4 2 4 14" xfId="22907" xr:uid="{D2208CEB-D964-44E5-BC1A-B5D1C1CBB1CF}"/>
    <cellStyle name="Note 2 4 2 4 15" xfId="22078" xr:uid="{7A6E5794-7448-4279-8BD5-73E160EB1F1D}"/>
    <cellStyle name="Note 2 4 2 4 16" xfId="31342" xr:uid="{2C390ED6-5D11-4E26-819A-7605CD4EE940}"/>
    <cellStyle name="Note 2 4 2 4 2" xfId="19833" xr:uid="{25DCA3E0-0104-4DC2-BC43-99F63CAF88D8}"/>
    <cellStyle name="Note 2 4 2 4 2 2" xfId="27183" xr:uid="{87DE41F3-6B0E-433D-81D0-9E047BC28471}"/>
    <cellStyle name="Note 2 4 2 4 2 3" xfId="34024" xr:uid="{85DFDA03-8555-4359-9AE5-A37D7958940D}"/>
    <cellStyle name="Note 2 4 2 4 3" xfId="21028" xr:uid="{4247691B-7A3C-44F6-BECD-93651B06960D}"/>
    <cellStyle name="Note 2 4 2 4 3 2" xfId="29260" xr:uid="{96F4664E-B7C8-44EA-AAF6-6B14DDD4BA03}"/>
    <cellStyle name="Note 2 4 2 4 3 3" xfId="36105" xr:uid="{83E79031-5E74-4E2A-9BEC-27377E936EAB}"/>
    <cellStyle name="Note 2 4 2 4 4" xfId="20617" xr:uid="{C4EA2153-7242-4938-87D6-4F333ACC0ADE}"/>
    <cellStyle name="Note 2 4 2 4 5" xfId="21339" xr:uid="{12003118-286D-4170-8B4F-E9EC44E1B7D2}"/>
    <cellStyle name="Note 2 4 2 4 6" xfId="21011" xr:uid="{3F48DAA5-7EF9-43D4-9A5E-648A57D596F4}"/>
    <cellStyle name="Note 2 4 2 4 7" xfId="19672" xr:uid="{D8C3DEF8-2A47-40EB-A7CF-F298C8EBF93D}"/>
    <cellStyle name="Note 2 4 2 4 8" xfId="21657" xr:uid="{A0891437-B005-4AD4-BA44-E096F80139AD}"/>
    <cellStyle name="Note 2 4 2 4 9" xfId="22508" xr:uid="{156BFFCA-6039-4ED4-B663-A2B7DD5F6FA1}"/>
    <cellStyle name="Note 2 4 2 5" xfId="18204" xr:uid="{4F11E6FB-EBE3-4A24-BFCD-0C885B923CF9}"/>
    <cellStyle name="Note 2 4 2 5 2" xfId="27508" xr:uid="{BCC18DA4-CAFB-4143-98CB-04AEB17A823D}"/>
    <cellStyle name="Note 2 4 2 5 2 2" xfId="34352" xr:uid="{3DAD5CB7-63B6-4C9E-9FAF-174B14D1B8F3}"/>
    <cellStyle name="Note 2 4 2 5 3" xfId="29588" xr:uid="{6F23059A-E199-4149-84C6-35DB72A7F699}"/>
    <cellStyle name="Note 2 4 2 5 3 2" xfId="36433" xr:uid="{D92F6F68-1E70-4FB6-8FCC-94584399D623}"/>
    <cellStyle name="Note 2 4 2 5 4" xfId="24848" xr:uid="{85723690-7220-4D98-9EB7-E928CAFB1833}"/>
    <cellStyle name="Note 2 4 2 5 5" xfId="31670" xr:uid="{A3B16D6E-7D6C-4BA9-B68B-7C90956E9FAC}"/>
    <cellStyle name="Note 2 4 2 6" xfId="17519" xr:uid="{D6E9C0B3-6145-40AF-96CE-244E8B1E46DE}"/>
    <cellStyle name="Note 2 4 2 6 2" xfId="27623" xr:uid="{26D7A39C-CFB5-4B2A-BAC3-5F09DEE880F2}"/>
    <cellStyle name="Note 2 4 2 6 2 2" xfId="34468" xr:uid="{B42606CF-E7DF-4328-9E72-FCF1FBA60056}"/>
    <cellStyle name="Note 2 4 2 6 3" xfId="29704" xr:uid="{EDDA00AA-E8DF-41F1-A9C8-2B1A295BA042}"/>
    <cellStyle name="Note 2 4 2 6 3 2" xfId="36549" xr:uid="{12DAA734-B832-4336-8B08-1C1F1E4D8C67}"/>
    <cellStyle name="Note 2 4 2 6 4" xfId="24953" xr:uid="{70E58B3C-E71A-48BE-B72C-8EB445EEE16A}"/>
    <cellStyle name="Note 2 4 2 6 5" xfId="31786" xr:uid="{3714607A-2A68-46C3-85FF-E59CBDC3CF14}"/>
    <cellStyle name="Note 2 4 2 7" xfId="23758" xr:uid="{D38619B1-8CAB-4BA0-9ACC-A17E2148421B}"/>
    <cellStyle name="Note 2 4 2 7 2" xfId="26369" xr:uid="{CCB14755-6440-4577-B014-561B3A23DA09}"/>
    <cellStyle name="Note 2 4 2 7 2 2" xfId="33208" xr:uid="{64B724CD-F2C1-4F1B-9304-6A1CB860FFCE}"/>
    <cellStyle name="Note 2 4 2 7 3" xfId="26313" xr:uid="{DA20432D-7192-467E-842D-2EBAB22CD3D4}"/>
    <cellStyle name="Note 2 4 2 7 3 2" xfId="33141" xr:uid="{AF0DAA39-0E32-4F14-A2E3-5945B0AB78E7}"/>
    <cellStyle name="Note 2 4 2 7 4" xfId="23435" xr:uid="{6184C7ED-984F-4FB7-A5F3-99D21883A65C}"/>
    <cellStyle name="Note 2 4 2 8" xfId="25294" xr:uid="{7FC5D9DE-C523-4BBA-9A80-198843C2837D}"/>
    <cellStyle name="Note 2 4 2 8 2" xfId="27965" xr:uid="{53CCD393-6D54-4FEF-8ACA-87F5188ABB59}"/>
    <cellStyle name="Note 2 4 2 8 2 2" xfId="34810" xr:uid="{3149AFC6-014E-4AD8-917C-1F18936DC15D}"/>
    <cellStyle name="Note 2 4 2 8 3" xfId="30046" xr:uid="{62DC764E-E42D-45DF-A1DC-19EE553E1EFC}"/>
    <cellStyle name="Note 2 4 2 8 3 2" xfId="36891" xr:uid="{B08F2885-3FE8-4485-BC36-4AB265126A2B}"/>
    <cellStyle name="Note 2 4 2 8 4" xfId="32128" xr:uid="{7E37DCFB-06FB-4B63-8663-CFE0CDE56E79}"/>
    <cellStyle name="Note 2 4 2 9" xfId="24601" xr:uid="{F6984E1A-A222-4396-8C77-E94969FA0073}"/>
    <cellStyle name="Note 2 4 2 9 2" xfId="27188" xr:uid="{4DDD2FF4-01F7-4F4C-A68D-584CB880C982}"/>
    <cellStyle name="Note 2 4 2 9 2 2" xfId="34029" xr:uid="{2D64036A-B206-4F66-98D6-0D2477D6B8D7}"/>
    <cellStyle name="Note 2 4 2 9 3" xfId="29265" xr:uid="{FCF12417-F829-4262-A95C-16FD363A839A}"/>
    <cellStyle name="Note 2 4 2 9 3 2" xfId="36110" xr:uid="{4C1A7419-2FBD-4D41-B96E-EC9612712D53}"/>
    <cellStyle name="Note 2 4 2 9 4" xfId="31347" xr:uid="{1D2496EB-5EC6-4BB3-BA96-AE636DECDF70}"/>
    <cellStyle name="Note 2 4 20" xfId="16224" xr:uid="{FE8AACBA-5FAB-4230-AF4E-D9642619298B}"/>
    <cellStyle name="Note 2 4 21" xfId="38898" xr:uid="{CCA2BFE8-1C28-4810-BDFA-CEFB671BEAB1}"/>
    <cellStyle name="Note 2 4 3" xfId="4863" xr:uid="{00000000-0005-0000-0000-000022130000}"/>
    <cellStyle name="Note 2 4 3 10" xfId="25235" xr:uid="{3D8742E3-14C8-4BF5-9D88-548010F9BCC7}"/>
    <cellStyle name="Note 2 4 3 10 2" xfId="27906" xr:uid="{A4869401-25C6-418E-9BA9-97A82F771F79}"/>
    <cellStyle name="Note 2 4 3 10 2 2" xfId="34751" xr:uid="{650456A2-9EE8-4C24-AE30-56E11F03F581}"/>
    <cellStyle name="Note 2 4 3 10 3" xfId="29987" xr:uid="{131E1FEB-C4D6-40DB-994C-FFCD619F9464}"/>
    <cellStyle name="Note 2 4 3 10 3 2" xfId="36832" xr:uid="{506DF9B6-B20E-499E-90CD-EA18D190D5B1}"/>
    <cellStyle name="Note 2 4 3 10 4" xfId="32069" xr:uid="{218D8783-CE34-46A2-AEE6-895B3B08F5EE}"/>
    <cellStyle name="Note 2 4 3 11" xfId="24599" xr:uid="{BF374EC5-5ADE-431B-8B68-930498755EF2}"/>
    <cellStyle name="Note 2 4 3 11 2" xfId="27186" xr:uid="{55EADB39-B840-4BE6-A40E-9E4F37F3CC8D}"/>
    <cellStyle name="Note 2 4 3 11 2 2" xfId="34027" xr:uid="{02F49616-008C-4570-82F5-CFE0F3F28A55}"/>
    <cellStyle name="Note 2 4 3 11 3" xfId="29263" xr:uid="{FEA4FCCB-34BF-40BF-8246-558C15899283}"/>
    <cellStyle name="Note 2 4 3 11 3 2" xfId="36108" xr:uid="{FB3E311A-60C4-4ED4-A7A4-6FB975A441EB}"/>
    <cellStyle name="Note 2 4 3 11 4" xfId="31345" xr:uid="{90E94741-4020-4E20-852E-720152322605}"/>
    <cellStyle name="Note 2 4 3 12" xfId="25725" xr:uid="{2ADB3902-798B-4117-AFF4-BDBFE1EEC81E}"/>
    <cellStyle name="Note 2 4 3 12 2" xfId="28392" xr:uid="{CAE54D2B-F512-427E-8E92-8A3D6F60B622}"/>
    <cellStyle name="Note 2 4 3 12 2 2" xfId="35237" xr:uid="{41A71215-5489-4DEB-9B04-4F29106B668A}"/>
    <cellStyle name="Note 2 4 3 12 3" xfId="30473" xr:uid="{6F2557AE-1271-4685-8A85-4FE052D53243}"/>
    <cellStyle name="Note 2 4 3 12 3 2" xfId="37318" xr:uid="{8EF10840-94A6-462B-A46D-A78F4DD64C94}"/>
    <cellStyle name="Note 2 4 3 12 4" xfId="32555" xr:uid="{E1DC55A0-A5FB-4594-9119-8C7089559F51}"/>
    <cellStyle name="Note 2 4 3 13" xfId="25872" xr:uid="{9831A88A-5DD1-49E6-8C60-9797AE95AD59}"/>
    <cellStyle name="Note 2 4 3 13 2" xfId="28538" xr:uid="{DA8C0BEA-C470-4DFB-885F-08B9EFBE467F}"/>
    <cellStyle name="Note 2 4 3 13 2 2" xfId="35383" xr:uid="{A853C6FC-3982-4027-97D3-A8B54433FE37}"/>
    <cellStyle name="Note 2 4 3 13 3" xfId="30619" xr:uid="{541EBB9E-B145-4F5A-B3C4-49B823B0EEDF}"/>
    <cellStyle name="Note 2 4 3 13 3 2" xfId="37464" xr:uid="{5E5FFE09-0074-421C-BDDA-A56072EA6A12}"/>
    <cellStyle name="Note 2 4 3 13 4" xfId="32701" xr:uid="{8E723CD5-A87B-4539-9606-610D6E6085DD}"/>
    <cellStyle name="Note 2 4 3 14" xfId="25682" xr:uid="{177DC760-234F-4D37-B050-2A2BA14A967C}"/>
    <cellStyle name="Note 2 4 3 14 2" xfId="28349" xr:uid="{475F063C-CE54-42B6-AA4A-B382FC9AE06C}"/>
    <cellStyle name="Note 2 4 3 14 2 2" xfId="35194" xr:uid="{75945779-077D-449C-ADF8-EB5FE9789823}"/>
    <cellStyle name="Note 2 4 3 14 3" xfId="30430" xr:uid="{00844B10-140F-4B97-8A78-07BF6C4FB072}"/>
    <cellStyle name="Note 2 4 3 14 3 2" xfId="37275" xr:uid="{C37008E8-2DEC-4DAC-A7AC-CA1A4EF410C6}"/>
    <cellStyle name="Note 2 4 3 14 4" xfId="32512" xr:uid="{D60AD08D-DF03-471C-A23F-D3C9C35BF8FB}"/>
    <cellStyle name="Note 2 4 3 15" xfId="24733" xr:uid="{C137C21D-E34C-4D19-83DB-BDD2EA5B8988}"/>
    <cellStyle name="Note 2 4 3 15 2" xfId="27382" xr:uid="{ACAEDEB6-7C15-4562-9E67-3BB265B94732}"/>
    <cellStyle name="Note 2 4 3 15 2 2" xfId="34226" xr:uid="{D44DFE6F-B7B9-44B6-B36D-40194FCF1C46}"/>
    <cellStyle name="Note 2 4 3 15 3" xfId="29462" xr:uid="{C4BB43C1-B4BE-4082-A007-85610658CC3F}"/>
    <cellStyle name="Note 2 4 3 15 3 2" xfId="36307" xr:uid="{246D9DA9-7DD1-4211-AD95-92CE4039D808}"/>
    <cellStyle name="Note 2 4 3 15 4" xfId="31544" xr:uid="{D0B43120-060C-4A3C-88FB-6A80ACD86B74}"/>
    <cellStyle name="Note 2 4 3 16" xfId="23649" xr:uid="{2C3231FD-CA51-49FA-BCAD-C7C964B0B144}"/>
    <cellStyle name="Note 2 4 3 17" xfId="16226" xr:uid="{6A75D733-1078-4808-A361-1C1FF7450DEE}"/>
    <cellStyle name="Note 2 4 3 18" xfId="38900" xr:uid="{44EF0DDA-7C10-44BC-A61C-62248082F25A}"/>
    <cellStyle name="Note 2 4 3 2" xfId="10387" xr:uid="{00000000-0005-0000-0000-00006F200000}"/>
    <cellStyle name="Note 2 4 3 2 10" xfId="23908" xr:uid="{CDA6BEBF-0EB5-4631-A983-5A5E69FAB59A}"/>
    <cellStyle name="Note 2 4 3 2 10 2" xfId="26526" xr:uid="{A6C4ADDC-7D2D-4928-81A4-357228C9E090}"/>
    <cellStyle name="Note 2 4 3 2 10 2 2" xfId="33366" xr:uid="{CDE7B063-1F01-45AC-AA4B-6B2BBAE2EB8A}"/>
    <cellStyle name="Note 2 4 3 2 10 3" xfId="26158" xr:uid="{4AF03DB9-7E81-487D-969B-E7D372BB535D}"/>
    <cellStyle name="Note 2 4 3 2 10 3 2" xfId="32986" xr:uid="{F5DC825A-5AA5-4D99-8D19-BA4D6BF9D9B9}"/>
    <cellStyle name="Note 2 4 3 2 10 4" xfId="23280" xr:uid="{D807DD6A-B869-468A-B746-939F6E6AAE15}"/>
    <cellStyle name="Note 2 4 3 2 11" xfId="25648" xr:uid="{13C9980F-0D7E-4DB4-AD7C-92E7BC0FDBA5}"/>
    <cellStyle name="Note 2 4 3 2 11 2" xfId="28315" xr:uid="{E83A3868-5ED7-486F-A34D-21C0F693377F}"/>
    <cellStyle name="Note 2 4 3 2 11 2 2" xfId="35160" xr:uid="{2870F0A6-D966-4D42-93DF-A926E1B8FAD0}"/>
    <cellStyle name="Note 2 4 3 2 11 3" xfId="30396" xr:uid="{9C380200-334E-4B79-B28A-77A308C08DAE}"/>
    <cellStyle name="Note 2 4 3 2 11 3 2" xfId="37241" xr:uid="{B51AD7D9-EA99-4E36-BF8F-7C103CD99723}"/>
    <cellStyle name="Note 2 4 3 2 11 4" xfId="32478" xr:uid="{3A617FA7-0487-410B-A1DA-4E6E5A2EFA59}"/>
    <cellStyle name="Note 2 4 3 2 12" xfId="25753" xr:uid="{203C5611-AA33-4AD1-AAA3-955F2CFF6A05}"/>
    <cellStyle name="Note 2 4 3 2 12 2" xfId="28419" xr:uid="{57701493-531F-46A0-AEDC-70ADFD5AC33F}"/>
    <cellStyle name="Note 2 4 3 2 12 2 2" xfId="35264" xr:uid="{9A41208F-3735-472C-B580-64DE875408E8}"/>
    <cellStyle name="Note 2 4 3 2 12 3" xfId="30500" xr:uid="{5080FD88-795C-47A0-AAA6-C4A59426ACE9}"/>
    <cellStyle name="Note 2 4 3 2 12 3 2" xfId="37345" xr:uid="{33BEF6BE-5B0E-4C91-8417-ADB23CF5840D}"/>
    <cellStyle name="Note 2 4 3 2 12 4" xfId="32582" xr:uid="{64CD84FB-F816-4C11-B8FA-3DDDC51926E7}"/>
    <cellStyle name="Note 2 4 3 2 13" xfId="25830" xr:uid="{C3092858-6DEA-4B55-9E0C-5CFBD7D7EE07}"/>
    <cellStyle name="Note 2 4 3 2 13 2" xfId="28496" xr:uid="{A61CBAA2-F3E0-4D3D-A489-9E6547253E0D}"/>
    <cellStyle name="Note 2 4 3 2 13 2 2" xfId="35341" xr:uid="{2D6F3E21-161C-4E2A-AE7D-A57C1BC2A4AD}"/>
    <cellStyle name="Note 2 4 3 2 13 3" xfId="30577" xr:uid="{900FCE16-1B0D-46E9-A6EC-B4C7C197CFA6}"/>
    <cellStyle name="Note 2 4 3 2 13 3 2" xfId="37422" xr:uid="{1BD2D971-AAF0-482A-9817-9AC144EF2059}"/>
    <cellStyle name="Note 2 4 3 2 13 4" xfId="32659" xr:uid="{F92F160F-1E46-4E37-913C-E1B8FE89968E}"/>
    <cellStyle name="Note 2 4 3 2 14" xfId="25615" xr:uid="{7283A403-C575-4D2E-92B6-62DF6E053D67}"/>
    <cellStyle name="Note 2 4 3 2 14 2" xfId="28282" xr:uid="{F73E14B6-75F3-46A6-BE0A-0B3F160B9D03}"/>
    <cellStyle name="Note 2 4 3 2 14 2 2" xfId="35127" xr:uid="{5367E30A-C58F-4045-B177-5A79877BE3AB}"/>
    <cellStyle name="Note 2 4 3 2 14 3" xfId="30363" xr:uid="{ADCCA8B3-4867-4074-AC7D-1486907DA605}"/>
    <cellStyle name="Note 2 4 3 2 14 3 2" xfId="37208" xr:uid="{E698020B-7C1F-4CCF-B59E-C44449CD2E3E}"/>
    <cellStyle name="Note 2 4 3 2 14 4" xfId="32445" xr:uid="{7F197A86-27F7-411C-8412-AC2461F8A1A2}"/>
    <cellStyle name="Note 2 4 3 2 15" xfId="25958" xr:uid="{76DAEF5B-F0EA-4665-BA55-EA80C8BD7A1A}"/>
    <cellStyle name="Note 2 4 3 2 15 2" xfId="28624" xr:uid="{7F4DFD00-C37C-469D-87E8-B350DE99983E}"/>
    <cellStyle name="Note 2 4 3 2 15 2 2" xfId="35469" xr:uid="{251E5DBF-1D65-4B63-9722-5710A1221D36}"/>
    <cellStyle name="Note 2 4 3 2 15 3" xfId="30705" xr:uid="{E6FB5C3F-F4A3-407A-8BDF-4312750EEDDF}"/>
    <cellStyle name="Note 2 4 3 2 15 3 2" xfId="37550" xr:uid="{1204711D-6E41-494C-8C47-AAE744E28A0B}"/>
    <cellStyle name="Note 2 4 3 2 15 4" xfId="32787" xr:uid="{E558CDE6-8C02-4FF2-AFE6-324A711CE84C}"/>
    <cellStyle name="Note 2 4 3 2 16" xfId="26012" xr:uid="{A650BAC3-F520-4411-9913-E9A1EC71AA67}"/>
    <cellStyle name="Note 2 4 3 2 16 2" xfId="28678" xr:uid="{5B2FB83D-B20C-4DF3-B60D-6AE6144F0907}"/>
    <cellStyle name="Note 2 4 3 2 16 2 2" xfId="35523" xr:uid="{5486600A-FA13-44AB-929D-B41285BBCC84}"/>
    <cellStyle name="Note 2 4 3 2 16 3" xfId="30759" xr:uid="{F118E911-ED37-41BD-80F7-EB01B2ED97B8}"/>
    <cellStyle name="Note 2 4 3 2 16 3 2" xfId="37604" xr:uid="{AE15EC44-4582-4705-8BCA-62BD5252A5BB}"/>
    <cellStyle name="Note 2 4 3 2 16 4" xfId="32841" xr:uid="{82B7BF8E-EB65-414B-AE4A-CFAD70E328DD}"/>
    <cellStyle name="Note 2 4 3 2 17" xfId="23554" xr:uid="{B5F7D36D-169A-4580-8F7F-5C6FECA75D69}"/>
    <cellStyle name="Note 2 4 3 2 18" xfId="17824" xr:uid="{64291C85-5231-480E-B3EB-954C40A89D67}"/>
    <cellStyle name="Note 2 4 3 2 19" xfId="42876" xr:uid="{9A8912D7-4FA4-4AD6-8099-82AE38BFABA4}"/>
    <cellStyle name="Note 2 4 3 2 2" xfId="18752" xr:uid="{511A9860-5A89-4BAA-9C6A-27A5492345C1}"/>
    <cellStyle name="Note 2 4 3 2 2 10" xfId="20878" xr:uid="{E93429FD-3DFF-4EEC-87C9-B964FB7F94DB}"/>
    <cellStyle name="Note 2 4 3 2 2 11" xfId="20317" xr:uid="{8B0DB625-C4CD-4C75-A612-E9CD20C4A29D}"/>
    <cellStyle name="Note 2 4 3 2 2 12" xfId="22795" xr:uid="{4715779B-937B-4616-B6E4-33E448E33290}"/>
    <cellStyle name="Note 2 4 3 2 2 13" xfId="21546" xr:uid="{95F1836A-8BB5-48A5-8984-DAD78D14811C}"/>
    <cellStyle name="Note 2 4 3 2 2 14" xfId="22930" xr:uid="{0698D044-8AEA-43BC-9E97-FF8288311135}"/>
    <cellStyle name="Note 2 4 3 2 2 15" xfId="22334" xr:uid="{2C9A42D2-66B1-4BE5-8360-5E1628DA1999}"/>
    <cellStyle name="Note 2 4 3 2 2 16" xfId="31494" xr:uid="{7BA7A881-AD80-478C-8B85-B3AD4E04A7C6}"/>
    <cellStyle name="Note 2 4 3 2 2 2" xfId="19787" xr:uid="{E1848452-1FE0-454D-A287-E840EA7A36E9}"/>
    <cellStyle name="Note 2 4 3 2 2 2 2" xfId="27332" xr:uid="{37765D8F-44B4-4CF5-9318-2569521D72FD}"/>
    <cellStyle name="Note 2 4 3 2 2 2 3" xfId="34176" xr:uid="{40A7D3A1-4B5E-40DF-919D-F0EFA66B9F6E}"/>
    <cellStyle name="Note 2 4 3 2 2 3" xfId="20954" xr:uid="{4857F936-6DFE-4E71-96F3-EBB84E06D76D}"/>
    <cellStyle name="Note 2 4 3 2 2 3 2" xfId="29412" xr:uid="{F092EC57-C267-4C34-9007-D45C21337735}"/>
    <cellStyle name="Note 2 4 3 2 2 3 3" xfId="36257" xr:uid="{D1FB161B-86B8-417E-A1BA-4FB1E3034C90}"/>
    <cellStyle name="Note 2 4 3 2 2 4" xfId="18840" xr:uid="{A3FE21E7-34DA-46B8-8866-255082F21B84}"/>
    <cellStyle name="Note 2 4 3 2 2 5" xfId="21820" xr:uid="{3BCAA178-5DE0-480A-8AA0-446C96F10AD3}"/>
    <cellStyle name="Note 2 4 3 2 2 6" xfId="19566" xr:uid="{190B7803-40AA-4E63-99A4-E5EAB0925D75}"/>
    <cellStyle name="Note 2 4 3 2 2 7" xfId="20853" xr:uid="{C59A0628-42D5-47AC-9088-B914226BBC30}"/>
    <cellStyle name="Note 2 4 3 2 2 8" xfId="21959" xr:uid="{EF26D13A-E77F-4299-9306-797B8A37CB94}"/>
    <cellStyle name="Note 2 4 3 2 2 9" xfId="22549" xr:uid="{4FD4F305-359A-4358-9E30-9BA8F300CAFB}"/>
    <cellStyle name="Note 2 4 3 2 3" xfId="24745" xr:uid="{C5B48A38-5A32-465B-B07F-864FE2C10EFC}"/>
    <cellStyle name="Note 2 4 3 2 3 2" xfId="27395" xr:uid="{064B25F1-0BAA-4D4C-8AAF-F98F4F32FDD9}"/>
    <cellStyle name="Note 2 4 3 2 3 2 2" xfId="34239" xr:uid="{C45F54BD-A491-4E38-9CA3-04EF55ED9699}"/>
    <cellStyle name="Note 2 4 3 2 3 3" xfId="29475" xr:uid="{97A8786A-764C-46D1-BFD8-9A39564F484C}"/>
    <cellStyle name="Note 2 4 3 2 3 3 2" xfId="36320" xr:uid="{4242797B-06A7-442E-8927-9EBD51B1A3C9}"/>
    <cellStyle name="Note 2 4 3 2 3 4" xfId="31557" xr:uid="{9EA43747-9A9D-43F5-B57E-3025F78628B0}"/>
    <cellStyle name="Note 2 4 3 2 4" xfId="24578" xr:uid="{2C343D5A-F712-4215-8B4E-58873B42F497}"/>
    <cellStyle name="Note 2 4 3 2 4 2" xfId="27169" xr:uid="{EF90A67D-0579-4265-998D-30614EFF384F}"/>
    <cellStyle name="Note 2 4 3 2 4 2 2" xfId="34010" xr:uid="{4CE9E510-35C1-4FB8-8001-02A730A913BC}"/>
    <cellStyle name="Note 2 4 3 2 4 3" xfId="29246" xr:uid="{4852E82E-E639-43BA-B983-50EAF11B38E1}"/>
    <cellStyle name="Note 2 4 3 2 4 3 2" xfId="36091" xr:uid="{642759E2-E603-486D-A016-79C52B06D7CF}"/>
    <cellStyle name="Note 2 4 3 2 4 4" xfId="31328" xr:uid="{46C166BE-203E-4E13-BD62-9DEE56E2A8B9}"/>
    <cellStyle name="Note 2 4 3 2 5" xfId="25104" xr:uid="{6734329B-7300-4A83-A15A-DC7E5E675C36}"/>
    <cellStyle name="Note 2 4 3 2 5 2" xfId="27776" xr:uid="{F00951B4-63B4-46E1-A8B5-CFE797C4841C}"/>
    <cellStyle name="Note 2 4 3 2 5 2 2" xfId="34621" xr:uid="{14DD2F4C-36A7-4FBA-A35C-93035210589F}"/>
    <cellStyle name="Note 2 4 3 2 5 3" xfId="29857" xr:uid="{4D6481F2-6A53-4A26-9F7A-FA1CCCF43AA6}"/>
    <cellStyle name="Note 2 4 3 2 5 3 2" xfId="36702" xr:uid="{3CF6E040-B763-4772-A9FD-4A92DAA2A40A}"/>
    <cellStyle name="Note 2 4 3 2 5 4" xfId="31939" xr:uid="{0EA5DACF-2FAA-4609-8620-AFC792BD7A19}"/>
    <cellStyle name="Note 2 4 3 2 6" xfId="24364" xr:uid="{FBC55849-9D72-4442-85C9-985157E7A4B4}"/>
    <cellStyle name="Note 2 4 3 2 6 2" xfId="26971" xr:uid="{223DB946-C3EB-44BF-BEC3-7C95FC82EFF1}"/>
    <cellStyle name="Note 2 4 3 2 6 2 2" xfId="33811" xr:uid="{C501E02A-9CE2-4AB2-BBDC-0B354CBD1685}"/>
    <cellStyle name="Note 2 4 3 2 6 3" xfId="29047" xr:uid="{F85BC127-21F2-42A9-B959-DA7A9CA4027D}"/>
    <cellStyle name="Note 2 4 3 2 6 3 2" xfId="35892" xr:uid="{7FE7E607-AA5B-46DD-821B-C3EC86F81BC4}"/>
    <cellStyle name="Note 2 4 3 2 6 4" xfId="31129" xr:uid="{DE533E50-E22A-4D7E-B59B-6BE6BF159BF7}"/>
    <cellStyle name="Note 2 4 3 2 7" xfId="24857" xr:uid="{0ED8C0FC-FCD6-4CF1-A69E-7CFDF4B4CB81}"/>
    <cellStyle name="Note 2 4 3 2 7 2" xfId="27520" xr:uid="{6D3D2C80-0591-4092-88DD-9CC6C9E48BC4}"/>
    <cellStyle name="Note 2 4 3 2 7 2 2" xfId="34364" xr:uid="{FDC8829C-4294-41B2-8663-7A0529BE25EF}"/>
    <cellStyle name="Note 2 4 3 2 7 3" xfId="29600" xr:uid="{EE145B99-DAE7-4FF0-97B5-6F1FA55F3B09}"/>
    <cellStyle name="Note 2 4 3 2 7 3 2" xfId="36445" xr:uid="{CBA8502E-8426-40CF-9FF7-F14392EE0C19}"/>
    <cellStyle name="Note 2 4 3 2 7 4" xfId="31682" xr:uid="{B1E3752D-D53A-43AF-A43D-A5734D33AF57}"/>
    <cellStyle name="Note 2 4 3 2 8" xfId="24321" xr:uid="{445DFFE0-853F-441A-B85D-30C1D2D6763B}"/>
    <cellStyle name="Note 2 4 3 2 8 2" xfId="26927" xr:uid="{06EF50D9-BC37-44E7-BD44-1B96FFCCBAF4}"/>
    <cellStyle name="Note 2 4 3 2 8 2 2" xfId="33767" xr:uid="{B4C31FC6-1275-4366-915D-FA75106C6A5E}"/>
    <cellStyle name="Note 2 4 3 2 8 3" xfId="29003" xr:uid="{242DB3DC-EB61-413A-BED0-675339FAC2E9}"/>
    <cellStyle name="Note 2 4 3 2 8 3 2" xfId="35848" xr:uid="{865CB261-7852-4558-842D-0FC5D7A8DEF9}"/>
    <cellStyle name="Note 2 4 3 2 8 4" xfId="31085" xr:uid="{B0F251B1-31FB-49E1-A051-D779C7C0D8B6}"/>
    <cellStyle name="Note 2 4 3 2 9" xfId="25390" xr:uid="{237363E4-1E5D-4B43-9702-301C9DC4F392}"/>
    <cellStyle name="Note 2 4 3 2 9 2" xfId="28057" xr:uid="{357571E9-9BEA-4228-94DB-5B73F1851197}"/>
    <cellStyle name="Note 2 4 3 2 9 2 2" xfId="34902" xr:uid="{371FF16F-0D81-46E9-8832-4097AF93D3C1}"/>
    <cellStyle name="Note 2 4 3 2 9 3" xfId="30138" xr:uid="{FF0D0884-7641-48CD-8508-9640D9E07266}"/>
    <cellStyle name="Note 2 4 3 2 9 3 2" xfId="36983" xr:uid="{67043BD0-FBF0-4B7E-8C03-07804572D4E9}"/>
    <cellStyle name="Note 2 4 3 2 9 4" xfId="32220" xr:uid="{B5E4447E-DA0E-45FA-B089-7A8A341BFB7A}"/>
    <cellStyle name="Note 2 4 3 3" xfId="18205" xr:uid="{60D864F9-2EFC-4711-B005-D4D4FA6A4442}"/>
    <cellStyle name="Note 2 4 3 3 10" xfId="20593" xr:uid="{A4E1E895-BF0D-40D3-9517-6302DCF18689}"/>
    <cellStyle name="Note 2 4 3 3 11" xfId="22691" xr:uid="{4478925F-155B-4553-83DD-A1F07991FAA9}"/>
    <cellStyle name="Note 2 4 3 3 12" xfId="19582" xr:uid="{46A1F5CB-591D-4688-A026-8198C4AFDF0D}"/>
    <cellStyle name="Note 2 4 3 3 13" xfId="21499" xr:uid="{9815D087-E804-4C26-9CB6-893AC5190F58}"/>
    <cellStyle name="Note 2 4 3 3 14" xfId="22688" xr:uid="{DB6C5990-9724-4421-AEDE-56989E4BC8B3}"/>
    <cellStyle name="Note 2 4 3 3 15" xfId="19099" xr:uid="{94474356-C80A-4D4D-B231-35ED182D2C82}"/>
    <cellStyle name="Note 2 4 3 3 16" xfId="31367" xr:uid="{7B08D7AD-6684-4331-A776-8B019D585549}"/>
    <cellStyle name="Note 2 4 3 3 2" xfId="21460" xr:uid="{136C3CE4-B87E-48A2-A872-7C12DF969F0A}"/>
    <cellStyle name="Note 2 4 3 3 2 2" xfId="27208" xr:uid="{794E159E-085D-4BC8-AA11-83DA5A4913F9}"/>
    <cellStyle name="Note 2 4 3 3 2 3" xfId="34049" xr:uid="{5A54CFC3-1555-41B5-8634-CE888FF05C80}"/>
    <cellStyle name="Note 2 4 3 3 3" xfId="20925" xr:uid="{231AE98F-72D1-4886-A68C-8482A28763B8}"/>
    <cellStyle name="Note 2 4 3 3 3 2" xfId="29285" xr:uid="{2E32F9D9-ABA9-4495-92B8-8FD0EFF85167}"/>
    <cellStyle name="Note 2 4 3 3 3 3" xfId="36130" xr:uid="{B94A727C-9554-49C6-95FE-3E30FCB34D9D}"/>
    <cellStyle name="Note 2 4 3 3 4" xfId="19035" xr:uid="{B1616B5D-8BA0-4572-AB9E-4ADD3459C74C}"/>
    <cellStyle name="Note 2 4 3 3 5" xfId="19380" xr:uid="{53646593-C66D-4BBE-8986-8E241668C5E0}"/>
    <cellStyle name="Note 2 4 3 3 6" xfId="20411" xr:uid="{4BDE0A51-409C-4BFF-95E7-377E4E2C5353}"/>
    <cellStyle name="Note 2 4 3 3 7" xfId="20105" xr:uid="{ACD84D14-E57A-4FD5-8C7C-2C709556275D}"/>
    <cellStyle name="Note 2 4 3 3 8" xfId="19716" xr:uid="{2ECF09FD-E4B1-4568-B960-2FF0667FFDC4}"/>
    <cellStyle name="Note 2 4 3 3 9" xfId="19199" xr:uid="{BE71AF86-E779-4A9D-9494-12A892BDD6BE}"/>
    <cellStyle name="Note 2 4 3 4" xfId="17553" xr:uid="{DE7225AC-0CDC-497C-8584-9B6BF8E44606}"/>
    <cellStyle name="Note 2 4 3 4 2" xfId="26946" xr:uid="{025469F3-ABDB-4765-8DBB-DC9D82943566}"/>
    <cellStyle name="Note 2 4 3 4 2 2" xfId="33786" xr:uid="{9E4722D5-7212-44B3-B494-C6E5EC30CF23}"/>
    <cellStyle name="Note 2 4 3 4 3" xfId="29022" xr:uid="{7B223446-EFEE-48D7-9963-89C5AF98285F}"/>
    <cellStyle name="Note 2 4 3 4 3 2" xfId="35867" xr:uid="{9A87FF81-9639-465E-917F-C952DBCECC93}"/>
    <cellStyle name="Note 2 4 3 4 4" xfId="24340" xr:uid="{9F072806-1837-42E7-8411-A3DAE206DEB8}"/>
    <cellStyle name="Note 2 4 3 4 5" xfId="31104" xr:uid="{DDF47D9E-01C5-434E-B470-C1CCB19922E1}"/>
    <cellStyle name="Note 2 4 3 5" xfId="24200" xr:uid="{BE890014-745D-4C6C-AE0E-C7630A7D7ADF}"/>
    <cellStyle name="Note 2 4 3 5 2" xfId="26810" xr:uid="{38D859BE-C28D-4939-8A7C-E9EEE4EE9C39}"/>
    <cellStyle name="Note 2 4 3 5 2 2" xfId="33650" xr:uid="{9D777DC2-793F-4953-B22B-DF98A5F4E333}"/>
    <cellStyle name="Note 2 4 3 5 3" xfId="28886" xr:uid="{ECF1A2D2-BBF1-4218-A2D2-87D0023E72F7}"/>
    <cellStyle name="Note 2 4 3 5 3 2" xfId="35731" xr:uid="{36A0815F-4D34-47D5-B145-435114756E20}"/>
    <cellStyle name="Note 2 4 3 5 4" xfId="30968" xr:uid="{1FB235DD-FF93-49AB-B2D2-E3FCCEF0AFB3}"/>
    <cellStyle name="Note 2 4 3 6" xfId="25149" xr:uid="{346424EB-E979-4E67-AB1A-5C4F5D9B58D1}"/>
    <cellStyle name="Note 2 4 3 6 2" xfId="27821" xr:uid="{62E48ADC-C9C8-44B8-9786-991596845F7D}"/>
    <cellStyle name="Note 2 4 3 6 2 2" xfId="34666" xr:uid="{92574967-C000-4406-96CA-20D99B11AFBF}"/>
    <cellStyle name="Note 2 4 3 6 3" xfId="29902" xr:uid="{22DD1146-88AD-4EB9-A969-9322DA885DAB}"/>
    <cellStyle name="Note 2 4 3 6 3 2" xfId="36747" xr:uid="{2CC6C6F7-B5EF-4BD3-8CF3-68A4CFB61B33}"/>
    <cellStyle name="Note 2 4 3 6 4" xfId="31984" xr:uid="{26201379-F52F-4238-BCFA-E31323F9AF0C}"/>
    <cellStyle name="Note 2 4 3 7" xfId="25016" xr:uid="{5DF0C3D5-AA11-47C4-938A-0DD0B867B9FA}"/>
    <cellStyle name="Note 2 4 3 7 2" xfId="27688" xr:uid="{03C107C8-5A3C-42B9-9C0F-C47ABDA8B859}"/>
    <cellStyle name="Note 2 4 3 7 2 2" xfId="34533" xr:uid="{72F95B3B-5A42-4E0B-898C-C5CB4A172C06}"/>
    <cellStyle name="Note 2 4 3 7 3" xfId="29769" xr:uid="{E036B3BF-365D-446F-BB29-26E59B1D4204}"/>
    <cellStyle name="Note 2 4 3 7 3 2" xfId="36614" xr:uid="{71534C43-D82E-4AB5-B6C4-9499B813E5D4}"/>
    <cellStyle name="Note 2 4 3 7 4" xfId="31851" xr:uid="{2E89BDBB-4B18-4649-8FB1-6688F4C2CA82}"/>
    <cellStyle name="Note 2 4 3 8" xfId="24403" xr:uid="{2907CF88-88E2-4CA3-B271-CA09596D1CC4}"/>
    <cellStyle name="Note 2 4 3 8 2" xfId="27019" xr:uid="{DB0B4DED-14B2-4B37-A386-A2D851F198A0}"/>
    <cellStyle name="Note 2 4 3 8 2 2" xfId="33859" xr:uid="{CD204349-E745-4FDB-9186-E50073A96E38}"/>
    <cellStyle name="Note 2 4 3 8 3" xfId="29095" xr:uid="{059B562D-1DEF-40A5-A40C-A5AEFB4E9CAB}"/>
    <cellStyle name="Note 2 4 3 8 3 2" xfId="35940" xr:uid="{3852ADEE-B891-4A21-A921-7E91E88EEFB0}"/>
    <cellStyle name="Note 2 4 3 8 4" xfId="31177" xr:uid="{740E9FEA-8AFD-4E5F-9680-33BF03160A6C}"/>
    <cellStyle name="Note 2 4 3 9" xfId="23903" xr:uid="{F98C8CF6-546A-44C6-93EB-220BB259A395}"/>
    <cellStyle name="Note 2 4 3 9 2" xfId="26521" xr:uid="{94E9D137-2B11-460F-82DD-509DEEDC8F53}"/>
    <cellStyle name="Note 2 4 3 9 2 2" xfId="33361" xr:uid="{A55B9F66-AB02-47DF-9845-544A97B7A1EA}"/>
    <cellStyle name="Note 2 4 3 9 3" xfId="26163" xr:uid="{2C471FD7-DB94-4DB1-8BD0-0378DD124A35}"/>
    <cellStyle name="Note 2 4 3 9 3 2" xfId="32991" xr:uid="{54850AF1-08B2-40C9-A8D7-445AD5E66D8E}"/>
    <cellStyle name="Note 2 4 3 9 4" xfId="23285" xr:uid="{69EFFCBF-32E5-40B1-BFD6-CE58BBB815BB}"/>
    <cellStyle name="Note 2 4 4" xfId="10385" xr:uid="{00000000-0005-0000-0000-00006D200000}"/>
    <cellStyle name="Note 2 4 4 10" xfId="24312" xr:uid="{CE448D67-5AAA-4897-A0CC-4744C8544863}"/>
    <cellStyle name="Note 2 4 4 10 2" xfId="26918" xr:uid="{911B3A8C-BCC0-43C9-98B7-39695F7D564E}"/>
    <cellStyle name="Note 2 4 4 10 2 2" xfId="33758" xr:uid="{12329793-C5D5-4E9D-BA33-77B7DEBE226A}"/>
    <cellStyle name="Note 2 4 4 10 3" xfId="28994" xr:uid="{04110D41-E0D2-49F0-8431-AF0ED27137F2}"/>
    <cellStyle name="Note 2 4 4 10 3 2" xfId="35839" xr:uid="{53DB941F-4048-41CA-B75A-536A14354454}"/>
    <cellStyle name="Note 2 4 4 10 4" xfId="31076" xr:uid="{6F4554F7-8382-4FD4-B389-2C160C92E347}"/>
    <cellStyle name="Note 2 4 4 11" xfId="25288" xr:uid="{4D71117A-17F9-4DC1-9ED8-7EDA6CA0D7CD}"/>
    <cellStyle name="Note 2 4 4 11 2" xfId="27959" xr:uid="{0C91EFBC-BCE1-4C1A-A882-C157E641FB27}"/>
    <cellStyle name="Note 2 4 4 11 2 2" xfId="34804" xr:uid="{108904B5-B714-441A-8450-27FFB7C492F2}"/>
    <cellStyle name="Note 2 4 4 11 3" xfId="30040" xr:uid="{244E4DB7-5AF1-472E-9298-219C012E829A}"/>
    <cellStyle name="Note 2 4 4 11 3 2" xfId="36885" xr:uid="{8F394FEF-50ED-4470-94AF-DC0F823DC431}"/>
    <cellStyle name="Note 2 4 4 11 4" xfId="32122" xr:uid="{154F99CD-F1FA-405B-A001-DBB3A3DAA2F1}"/>
    <cellStyle name="Note 2 4 4 12" xfId="25556" xr:uid="{98119B70-C4E8-431A-9988-4AA6E148694E}"/>
    <cellStyle name="Note 2 4 4 12 2" xfId="28223" xr:uid="{7F34FC9A-20B3-4B41-930F-2E97D2A11B33}"/>
    <cellStyle name="Note 2 4 4 12 2 2" xfId="35068" xr:uid="{4D29E062-1825-48C9-873C-4D0C6F89E4A3}"/>
    <cellStyle name="Note 2 4 4 12 3" xfId="30304" xr:uid="{384480C2-5687-4EDF-91AC-BDB508F82A17}"/>
    <cellStyle name="Note 2 4 4 12 3 2" xfId="37149" xr:uid="{848C1CDE-B68F-438D-BC11-794433740ED2}"/>
    <cellStyle name="Note 2 4 4 12 4" xfId="32386" xr:uid="{2D131B64-A644-4D22-A47A-94D1297E4C30}"/>
    <cellStyle name="Note 2 4 4 13" xfId="25673" xr:uid="{BB012EC0-9A2E-440D-83AB-AEF737175FC3}"/>
    <cellStyle name="Note 2 4 4 13 2" xfId="28340" xr:uid="{2AA94EDE-19DE-47FB-B6C2-01EEF6A55D82}"/>
    <cellStyle name="Note 2 4 4 13 2 2" xfId="35185" xr:uid="{9F623319-7797-4846-84C2-876AB2341C89}"/>
    <cellStyle name="Note 2 4 4 13 3" xfId="30421" xr:uid="{D075628B-B948-439F-98BF-EE444C4909A3}"/>
    <cellStyle name="Note 2 4 4 13 3 2" xfId="37266" xr:uid="{C1B7547E-433D-417A-AC66-648FDBCD02FF}"/>
    <cellStyle name="Note 2 4 4 13 4" xfId="32503" xr:uid="{731672B1-0242-4F96-87A2-D692DBCF591C}"/>
    <cellStyle name="Note 2 4 4 14" xfId="25160" xr:uid="{DEB7D385-C72E-4796-BEF5-D2A190889A5D}"/>
    <cellStyle name="Note 2 4 4 14 2" xfId="27832" xr:uid="{F3FD38F3-81DE-4193-B506-4EC9BBD7FB93}"/>
    <cellStyle name="Note 2 4 4 14 2 2" xfId="34677" xr:uid="{BD1E6DFB-3B07-4DA7-8D5B-AACE27A14FDE}"/>
    <cellStyle name="Note 2 4 4 14 3" xfId="29913" xr:uid="{BA5D093E-805B-4C78-8B52-8AF49B411F1D}"/>
    <cellStyle name="Note 2 4 4 14 3 2" xfId="36758" xr:uid="{9825AA62-0D38-4438-B55A-CA86EFB86FFD}"/>
    <cellStyle name="Note 2 4 4 14 4" xfId="31995" xr:uid="{6211B158-3E06-40D7-AE1B-7C13CF4CC075}"/>
    <cellStyle name="Note 2 4 4 15" xfId="25867" xr:uid="{A9A5BD95-D41A-45F9-AFB3-6CB7CE895226}"/>
    <cellStyle name="Note 2 4 4 15 2" xfId="28533" xr:uid="{47BB492A-F823-4AC4-BEB6-7DD933CF332D}"/>
    <cellStyle name="Note 2 4 4 15 2 2" xfId="35378" xr:uid="{8EF3F2FF-3B34-49BC-B785-022B35D90E43}"/>
    <cellStyle name="Note 2 4 4 15 3" xfId="30614" xr:uid="{24FBFB91-5478-40C2-A27D-139C2FFD67A6}"/>
    <cellStyle name="Note 2 4 4 15 3 2" xfId="37459" xr:uid="{CDA41BCF-8C71-4B07-BB51-D22AFF955F9B}"/>
    <cellStyle name="Note 2 4 4 15 4" xfId="32696" xr:uid="{715D3F0D-7E25-4E03-88E1-CEB946ABABD9}"/>
    <cellStyle name="Note 2 4 4 16" xfId="25438" xr:uid="{874B257F-A2E4-40D1-BBCF-6FEC5A39180B}"/>
    <cellStyle name="Note 2 4 4 16 2" xfId="28105" xr:uid="{9A51262B-1FF6-44C4-B99E-A83A9D7A6A19}"/>
    <cellStyle name="Note 2 4 4 16 2 2" xfId="34950" xr:uid="{45EBE560-AF56-4A1E-AEE7-5E19B89EBEA5}"/>
    <cellStyle name="Note 2 4 4 16 3" xfId="30186" xr:uid="{7D7CC95B-CB27-40A9-A800-55912CCB841B}"/>
    <cellStyle name="Note 2 4 4 16 3 2" xfId="37031" xr:uid="{CADAA407-65D8-415C-BD13-4B11DDA7848E}"/>
    <cellStyle name="Note 2 4 4 16 4" xfId="32268" xr:uid="{53293A42-383E-4C91-810E-E109C45F4FD7}"/>
    <cellStyle name="Note 2 4 4 17" xfId="23068" xr:uid="{D6021F04-C315-4DE7-A386-832C0629C766}"/>
    <cellStyle name="Note 2 4 4 18" xfId="17691" xr:uid="{BB361107-4961-47CD-AEA1-8B253AFF458D}"/>
    <cellStyle name="Note 2 4 4 19" xfId="42874" xr:uid="{1813CDF7-A46B-4CA1-BA51-1F1EB68972E6}"/>
    <cellStyle name="Note 2 4 4 2" xfId="18751" xr:uid="{5C922FF1-CBC3-459E-A386-BBD646D21CD0}"/>
    <cellStyle name="Note 2 4 4 2 10" xfId="20814" xr:uid="{F86E450D-F11E-46A9-BC19-57FA9F3586AF}"/>
    <cellStyle name="Note 2 4 4 2 11" xfId="19631" xr:uid="{E4302DA2-AACC-4E9F-9D56-C239E524C07A}"/>
    <cellStyle name="Note 2 4 4 2 12" xfId="22794" xr:uid="{64C58091-C499-44A2-ACF3-067C5143C880}"/>
    <cellStyle name="Note 2 4 4 2 13" xfId="21475" xr:uid="{4E53A172-BEB8-4F75-AEEC-98DD74205C7B}"/>
    <cellStyle name="Note 2 4 4 2 14" xfId="22929" xr:uid="{B24A1742-7D2F-4062-9F7A-E976A7608DDE}"/>
    <cellStyle name="Note 2 4 4 2 15" xfId="19452" xr:uid="{510C80E2-DED1-4547-B614-7646F6B40795}"/>
    <cellStyle name="Note 2 4 4 2 16" xfId="31431" xr:uid="{5ABD47CA-CC67-4458-9EF8-4D0E2F73C377}"/>
    <cellStyle name="Note 2 4 4 2 2" xfId="19788" xr:uid="{5DBC0390-B95D-4C16-95CE-F65FE0E31464}"/>
    <cellStyle name="Note 2 4 4 2 2 2" xfId="27269" xr:uid="{45EA5A3B-F6CE-4FAC-9108-17983146B9EC}"/>
    <cellStyle name="Note 2 4 4 2 2 3" xfId="34113" xr:uid="{C8C78637-A7C6-4079-8A5D-834E0F8AA535}"/>
    <cellStyle name="Note 2 4 4 2 3" xfId="20955" xr:uid="{A93AB207-598C-4841-A84C-3916624C19E9}"/>
    <cellStyle name="Note 2 4 4 2 3 2" xfId="29349" xr:uid="{9EABBF65-C6EA-4285-B6D9-6A1CFB3E64A1}"/>
    <cellStyle name="Note 2 4 4 2 3 3" xfId="36194" xr:uid="{028A4CDF-3643-450B-BB83-73325F0F1F5C}"/>
    <cellStyle name="Note 2 4 4 2 4" xfId="20408" xr:uid="{EC9AE87C-F7C7-4189-80ED-851EC5F40411}"/>
    <cellStyle name="Note 2 4 4 2 5" xfId="22052" xr:uid="{AD14B2F0-5A1A-4400-9BD5-FF20ED84570A}"/>
    <cellStyle name="Note 2 4 4 2 6" xfId="21152" xr:uid="{7C937847-5783-4F23-A871-210D2E562AE4}"/>
    <cellStyle name="Note 2 4 4 2 7" xfId="20774" xr:uid="{14D7ADF2-3556-4E02-8C75-9F330DECF677}"/>
    <cellStyle name="Note 2 4 4 2 8" xfId="19352" xr:uid="{0A5C88F5-BA23-4CDC-9AFC-2BA627E1B209}"/>
    <cellStyle name="Note 2 4 4 2 9" xfId="22548" xr:uid="{6F16D2E1-657E-4103-AD97-177DFA2891A1}"/>
    <cellStyle name="Note 2 4 4 3" xfId="24916" xr:uid="{DC7B5721-56A9-4C6D-BD3B-384CCA14F04F}"/>
    <cellStyle name="Note 2 4 4 3 2" xfId="27585" xr:uid="{B7DAD1D5-EC14-4863-A4AC-8C97DBA8C703}"/>
    <cellStyle name="Note 2 4 4 3 2 2" xfId="34429" xr:uid="{51F53881-C3D3-4FD8-9E89-D5F7F4806526}"/>
    <cellStyle name="Note 2 4 4 3 3" xfId="29665" xr:uid="{E75CA047-FC3B-4473-B327-F7837C35B68B}"/>
    <cellStyle name="Note 2 4 4 3 3 2" xfId="36510" xr:uid="{06874B7C-0FA3-4E21-A959-CF69587ED547}"/>
    <cellStyle name="Note 2 4 4 3 4" xfId="31747" xr:uid="{D8637705-9D74-4F2F-A784-CC6764308E69}"/>
    <cellStyle name="Note 2 4 4 4" xfId="24379" xr:uid="{70EEC9E0-B15B-4F9C-951D-871647958E09}"/>
    <cellStyle name="Note 2 4 4 4 2" xfId="26994" xr:uid="{1D42CA04-B415-4214-975F-A8E7C7564413}"/>
    <cellStyle name="Note 2 4 4 4 2 2" xfId="33834" xr:uid="{2B75A97B-2490-462F-94AE-06B193044158}"/>
    <cellStyle name="Note 2 4 4 4 3" xfId="29070" xr:uid="{5486D328-7813-4688-83A2-E59E766F4F96}"/>
    <cellStyle name="Note 2 4 4 4 3 2" xfId="35915" xr:uid="{58B886F0-E1B7-4704-9CC6-32EB31369F4F}"/>
    <cellStyle name="Note 2 4 4 4 4" xfId="31152" xr:uid="{FB04E237-EF14-4AE4-8B8D-05CC5A23CF0F}"/>
    <cellStyle name="Note 2 4 4 5" xfId="23763" xr:uid="{847C3DE4-E9B4-4B24-B118-47F433AE1737}"/>
    <cellStyle name="Note 2 4 4 5 2" xfId="26374" xr:uid="{C5588B2B-CB74-4145-8797-3FE20747B0A8}"/>
    <cellStyle name="Note 2 4 4 5 2 2" xfId="33213" xr:uid="{64BEB5E1-4CB7-44CF-BA43-5364FC42893E}"/>
    <cellStyle name="Note 2 4 4 5 3" xfId="26308" xr:uid="{517D25DF-B471-40B3-9B32-E4F4A8725343}"/>
    <cellStyle name="Note 2 4 4 5 3 2" xfId="33136" xr:uid="{A16BE82F-55A1-4AA2-819E-907BAB7B84A4}"/>
    <cellStyle name="Note 2 4 4 5 4" xfId="23430" xr:uid="{0F067C5F-3768-4BA2-ACF3-8460285D8FEA}"/>
    <cellStyle name="Note 2 4 4 6" xfId="24779" xr:uid="{0C00652B-3409-4BD7-AA28-F37708F0BA18}"/>
    <cellStyle name="Note 2 4 4 6 2" xfId="27432" xr:uid="{7417D831-DCF9-49B2-8581-72C8018EAA15}"/>
    <cellStyle name="Note 2 4 4 6 2 2" xfId="34276" xr:uid="{899CDE33-89E5-4DEE-BDBE-BD8E297D986A}"/>
    <cellStyle name="Note 2 4 4 6 3" xfId="29512" xr:uid="{F227ABA0-67EC-468B-A247-FEA96E1A17D9}"/>
    <cellStyle name="Note 2 4 4 6 3 2" xfId="36357" xr:uid="{25AAE800-260D-4BC1-BCA0-C439D9097929}"/>
    <cellStyle name="Note 2 4 4 6 4" xfId="31594" xr:uid="{8989D58B-7C66-40E5-90C4-EBC154584368}"/>
    <cellStyle name="Note 2 4 4 7" xfId="23956" xr:uid="{8B066A8B-7912-4B0C-BFE7-BBA23CABF19A}"/>
    <cellStyle name="Note 2 4 4 7 2" xfId="26574" xr:uid="{16F3AA79-0AD0-4E8D-90B5-0339C94281CB}"/>
    <cellStyle name="Note 2 4 4 7 2 2" xfId="33414" xr:uid="{89D8CD49-E0FC-4DE2-9D79-B77970A0F624}"/>
    <cellStyle name="Note 2 4 4 7 3" xfId="26054" xr:uid="{6BEAB4B9-251C-47FB-853D-7DC1D338AD8C}"/>
    <cellStyle name="Note 2 4 4 7 3 2" xfId="32883" xr:uid="{E8B76CAE-B4AA-44F0-A223-8D8AE02F0E3D}"/>
    <cellStyle name="Note 2 4 4 7 4" xfId="23153" xr:uid="{51042A5C-8372-4AF2-BE74-9975AB1292E2}"/>
    <cellStyle name="Note 2 4 4 8" xfId="24785" xr:uid="{410AB381-AC42-4128-B000-78E2244B57CC}"/>
    <cellStyle name="Note 2 4 4 8 2" xfId="27438" xr:uid="{428EA371-CAED-4E23-8B60-16080F2530FF}"/>
    <cellStyle name="Note 2 4 4 8 2 2" xfId="34282" xr:uid="{DE98B2D1-7603-43FB-8614-2F1CE4AE1225}"/>
    <cellStyle name="Note 2 4 4 8 3" xfId="29518" xr:uid="{E6440B47-00D4-4398-8358-BA761DE42842}"/>
    <cellStyle name="Note 2 4 4 8 3 2" xfId="36363" xr:uid="{D1ABAAD6-8AAF-4013-B7F1-7065822B4348}"/>
    <cellStyle name="Note 2 4 4 8 4" xfId="31600" xr:uid="{70272798-0471-4101-BC3D-5BE05AA842A5}"/>
    <cellStyle name="Note 2 4 4 9" xfId="25486" xr:uid="{15EF4DCA-D589-438A-883F-595CDDCD000F}"/>
    <cellStyle name="Note 2 4 4 9 2" xfId="28153" xr:uid="{D3C9D2DC-789A-4A7C-BB36-EA342BDC4D64}"/>
    <cellStyle name="Note 2 4 4 9 2 2" xfId="34998" xr:uid="{9934ADEE-20DD-44BF-BEAA-2A24BE0B40CB}"/>
    <cellStyle name="Note 2 4 4 9 3" xfId="30234" xr:uid="{4961D5FD-3AAC-4C8A-8D81-4E9F7A21F614}"/>
    <cellStyle name="Note 2 4 4 9 3 2" xfId="37079" xr:uid="{6C69E389-C9AC-417F-AF37-91E29F7C6DD8}"/>
    <cellStyle name="Note 2 4 4 9 4" xfId="32316" xr:uid="{6B689523-E3E3-46B8-B2A1-507E8B3CE188}"/>
    <cellStyle name="Note 2 4 5" xfId="8133" xr:uid="{00000000-0005-0000-0000-00007C0F0000}"/>
    <cellStyle name="Note 2 4 5 10" xfId="20772" xr:uid="{521F0238-3F6D-4CAA-9C2D-007659BCE7F3}"/>
    <cellStyle name="Note 2 4 5 11" xfId="21930" xr:uid="{0237B1F5-B0E5-496C-9DFF-105909BACDC5}"/>
    <cellStyle name="Note 2 4 5 12" xfId="19395" xr:uid="{1D6833B5-E38C-47F2-B7F5-2E0B68D2DCFB}"/>
    <cellStyle name="Note 2 4 5 13" xfId="19060" xr:uid="{8A5B2CCC-7316-4412-87BD-801AFC74862A}"/>
    <cellStyle name="Note 2 4 5 14" xfId="21220" xr:uid="{345EE05C-FCEE-4634-B7B5-46D60D8540F9}"/>
    <cellStyle name="Note 2 4 5 15" xfId="22469" xr:uid="{D8CA1717-4023-4085-B6E0-B7F74D5E7EDB}"/>
    <cellStyle name="Note 2 4 5 16" xfId="23713" xr:uid="{AB2D6B73-F6AD-4EB3-B479-C538FADB0848}"/>
    <cellStyle name="Note 2 4 5 17" xfId="18203" xr:uid="{58955F6B-3C9B-4E8F-9710-CEBF22A32C9D}"/>
    <cellStyle name="Note 2 4 5 2" xfId="20350" xr:uid="{8D4C1FF2-CDA8-45FB-96EF-AE93497EB458}"/>
    <cellStyle name="Note 2 4 5 3" xfId="19575" xr:uid="{5C9D7C13-E8B5-4344-8E84-8188C2FF2B9C}"/>
    <cellStyle name="Note 2 4 5 4" xfId="19394" xr:uid="{B5EE6E01-6C1B-4F61-80F7-479041E7F839}"/>
    <cellStyle name="Note 2 4 5 5" xfId="19333" xr:uid="{7B93496F-B304-4E1E-9A03-E85F4EA6C06F}"/>
    <cellStyle name="Note 2 4 5 6" xfId="19511" xr:uid="{79E51AC8-97C0-496B-BD34-56031AB1B645}"/>
    <cellStyle name="Note 2 4 5 7" xfId="21449" xr:uid="{17549744-418A-4F45-81C7-D48B924D900A}"/>
    <cellStyle name="Note 2 4 5 8" xfId="21871" xr:uid="{90A2AE41-5011-498E-B381-B9513AFA5CFE}"/>
    <cellStyle name="Note 2 4 5 9" xfId="22117" xr:uid="{629E43E2-B867-4D45-9AC2-BB5BE4FFC03D}"/>
    <cellStyle name="Note 2 4 6" xfId="17433" xr:uid="{2BD60E90-EE71-4993-8DE2-EA22408B38C1}"/>
    <cellStyle name="Note 2 4 6 2" xfId="27147" xr:uid="{F4C8792B-DE60-4B4D-AAA0-88927C93BFB7}"/>
    <cellStyle name="Note 2 4 6 2 2" xfId="33988" xr:uid="{A33301E5-D1C7-46CF-8081-CE85A39BD588}"/>
    <cellStyle name="Note 2 4 6 3" xfId="29224" xr:uid="{04D099E8-B4A3-43B2-9DC0-073841425B01}"/>
    <cellStyle name="Note 2 4 6 3 2" xfId="36069" xr:uid="{060BF0EA-B866-43A6-8141-340031C794CD}"/>
    <cellStyle name="Note 2 4 6 4" xfId="24547" xr:uid="{2DEAF802-786E-4E37-94DB-142AB9DD2F76}"/>
    <cellStyle name="Note 2 4 6 5" xfId="31306" xr:uid="{7CE1D7FF-144D-48DF-943E-198C3080BCF8}"/>
    <cellStyle name="Note 2 4 7" xfId="24847" xr:uid="{BFCB3067-C408-4A37-9BB9-C02D824A5C44}"/>
    <cellStyle name="Note 2 4 7 2" xfId="27507" xr:uid="{CBDC70C6-9B61-4BDA-A070-FC2B711CE420}"/>
    <cellStyle name="Note 2 4 7 2 2" xfId="34351" xr:uid="{C49EB21B-ED2B-4798-92E6-B69CF4FC6089}"/>
    <cellStyle name="Note 2 4 7 3" xfId="29587" xr:uid="{1A2E1D0F-C030-48A6-AFA6-3E08E1948091}"/>
    <cellStyle name="Note 2 4 7 3 2" xfId="36432" xr:uid="{D462ECAF-D792-4DFB-9069-1029117D1ADF}"/>
    <cellStyle name="Note 2 4 7 4" xfId="31669" xr:uid="{1CD2DBA1-C8C1-4998-9795-C9D7D6974A7D}"/>
    <cellStyle name="Note 2 4 8" xfId="24936" xr:uid="{40E8EF22-BF72-43C0-97F6-E1A24DA97B96}"/>
    <cellStyle name="Note 2 4 8 2" xfId="27606" xr:uid="{459C4ADC-84ED-419F-B065-21E4122CB818}"/>
    <cellStyle name="Note 2 4 8 2 2" xfId="34450" xr:uid="{21EEFDFD-6DDE-4803-8251-F8C419112586}"/>
    <cellStyle name="Note 2 4 8 3" xfId="29686" xr:uid="{93130E43-660B-49B1-A351-A415C5012B90}"/>
    <cellStyle name="Note 2 4 8 3 2" xfId="36531" xr:uid="{26F167D5-C934-4C13-8290-AD5D4B77D3B7}"/>
    <cellStyle name="Note 2 4 8 4" xfId="31768" xr:uid="{DF162640-1D3B-4FFA-B525-9AE78D692629}"/>
    <cellStyle name="Note 2 4 9" xfId="24638" xr:uid="{8AE5769B-7671-426D-9A83-415E0E681C6E}"/>
    <cellStyle name="Note 2 4 9 2" xfId="27250" xr:uid="{24FA53B9-8F5E-47E7-AFD4-410B5891B65A}"/>
    <cellStyle name="Note 2 4 9 2 2" xfId="34094" xr:uid="{4790B83F-3AAF-409D-A26F-1145BA95F9CD}"/>
    <cellStyle name="Note 2 4 9 3" xfId="29330" xr:uid="{AA7C0AB5-8C05-4963-9B30-5B4AE4F3F6E6}"/>
    <cellStyle name="Note 2 4 9 3 2" xfId="36175" xr:uid="{ADED95B2-F6EC-4833-A04C-D24178CDBFB2}"/>
    <cellStyle name="Note 2 4 9 4" xfId="31412" xr:uid="{5871776D-7BF2-4DCA-A2D9-9C5808896227}"/>
    <cellStyle name="Note 2 5" xfId="4864" xr:uid="{00000000-0005-0000-0000-000023130000}"/>
    <cellStyle name="Note 2 5 10" xfId="24422" xr:uid="{C6DF3BA3-C354-4044-B642-E93FFF9A1E4D}"/>
    <cellStyle name="Note 2 5 10 2" xfId="27041" xr:uid="{42CB0749-5D64-43E5-8204-58F2370717FB}"/>
    <cellStyle name="Note 2 5 10 2 2" xfId="33881" xr:uid="{05B3CEE2-137A-4B6B-9A43-F1FD870A3BB2}"/>
    <cellStyle name="Note 2 5 10 3" xfId="29117" xr:uid="{67BFB64C-1708-4A30-BD7B-DCA0BA0F8C43}"/>
    <cellStyle name="Note 2 5 10 3 2" xfId="35962" xr:uid="{207B6247-C28A-427E-B5B1-61DD0CA8F4D9}"/>
    <cellStyle name="Note 2 5 10 4" xfId="31199" xr:uid="{03B3DDDB-A39F-4886-A858-3DC77440BDA3}"/>
    <cellStyle name="Note 2 5 11" xfId="24077" xr:uid="{8566184F-91E5-4748-8AC7-FA3D59F228EC}"/>
    <cellStyle name="Note 2 5 11 2" xfId="26690" xr:uid="{6A7A808B-092B-40AF-B487-1E15A27EBDF6}"/>
    <cellStyle name="Note 2 5 11 2 2" xfId="33530" xr:uid="{1F73CEC3-953C-40FA-AB5D-02164115D0CD}"/>
    <cellStyle name="Note 2 5 11 3" xfId="28766" xr:uid="{E433A56E-0BD2-4173-BEA4-9DDB0984BE57}"/>
    <cellStyle name="Note 2 5 11 3 2" xfId="35611" xr:uid="{F2EAA540-BF8A-4147-9A15-8C133F357FFB}"/>
    <cellStyle name="Note 2 5 11 4" xfId="30848" xr:uid="{6E55BB28-2732-4586-9553-FF6FC2ED6E44}"/>
    <cellStyle name="Note 2 5 12" xfId="24952" xr:uid="{DF84E937-E3CD-4C47-9ADF-560396471B80}"/>
    <cellStyle name="Note 2 5 12 2" xfId="27622" xr:uid="{C455FE54-4D53-4C83-B78D-927029621FC8}"/>
    <cellStyle name="Note 2 5 12 2 2" xfId="34467" xr:uid="{76A1A4E1-BA02-46FA-8908-EF3BF58FA009}"/>
    <cellStyle name="Note 2 5 12 3" xfId="29703" xr:uid="{F054F93C-CC8C-4287-90C2-791F6B04B5A4}"/>
    <cellStyle name="Note 2 5 12 3 2" xfId="36548" xr:uid="{E5989BBC-5529-41DC-BA03-5EAB4E3F4DB8}"/>
    <cellStyle name="Note 2 5 12 4" xfId="31785" xr:uid="{3DF2A0EF-A3FA-459E-86DD-A5D55AC79054}"/>
    <cellStyle name="Note 2 5 13" xfId="25415" xr:uid="{A1949DD6-AB1E-4948-B500-3B87BD65DAF8}"/>
    <cellStyle name="Note 2 5 13 2" xfId="28082" xr:uid="{70ECCD03-5F79-45F7-8CDD-2B321181A760}"/>
    <cellStyle name="Note 2 5 13 2 2" xfId="34927" xr:uid="{99BFD6D6-FAAB-491D-B4B8-F6864255C8A5}"/>
    <cellStyle name="Note 2 5 13 3" xfId="30163" xr:uid="{ECB49495-D071-45D4-AA77-C6D014CD7AFB}"/>
    <cellStyle name="Note 2 5 13 3 2" xfId="37008" xr:uid="{AE0303EC-17E2-4966-BF34-FBA46B703A2B}"/>
    <cellStyle name="Note 2 5 13 4" xfId="32245" xr:uid="{B497043F-F39C-4C82-B349-14043928B5F4}"/>
    <cellStyle name="Note 2 5 14" xfId="25219" xr:uid="{D66E1C9F-3592-4E62-87D4-09B522C50336}"/>
    <cellStyle name="Note 2 5 14 2" xfId="27891" xr:uid="{C2203E49-37CD-450F-A9AB-9EB96ED7C7AB}"/>
    <cellStyle name="Note 2 5 14 2 2" xfId="34736" xr:uid="{CF4C7E8A-76F7-4737-A682-0AC676D80442}"/>
    <cellStyle name="Note 2 5 14 3" xfId="29972" xr:uid="{668CC5ED-7818-4FDF-84A4-429AB68A5FAA}"/>
    <cellStyle name="Note 2 5 14 3 2" xfId="36817" xr:uid="{A7549264-A11D-4F61-9968-82EFF9B67740}"/>
    <cellStyle name="Note 2 5 14 4" xfId="32054" xr:uid="{7C99AD2D-DA88-49A4-BF7C-C95B8DD88754}"/>
    <cellStyle name="Note 2 5 15" xfId="25724" xr:uid="{BE360D57-895C-48FF-A969-2A6F154B1861}"/>
    <cellStyle name="Note 2 5 15 2" xfId="28391" xr:uid="{CF17A22A-69F1-4D9A-890D-D6C6104AA59B}"/>
    <cellStyle name="Note 2 5 15 2 2" xfId="35236" xr:uid="{DC63707E-8303-48B4-A018-56360BF974AC}"/>
    <cellStyle name="Note 2 5 15 3" xfId="30472" xr:uid="{1514CD37-B15C-42D3-BAD6-07EE03FEEA81}"/>
    <cellStyle name="Note 2 5 15 3 2" xfId="37317" xr:uid="{2147BB95-B9C3-44F8-843F-67C94CA7AF61}"/>
    <cellStyle name="Note 2 5 15 4" xfId="32554" xr:uid="{D23F5814-DA58-4040-B4DD-C7DCE559DC3F}"/>
    <cellStyle name="Note 2 5 16" xfId="24786" xr:uid="{A218B6B2-0F90-47D9-A951-C81262F94F39}"/>
    <cellStyle name="Note 2 5 16 2" xfId="27439" xr:uid="{912DD98C-F492-496C-8B5F-ABB21458FDDF}"/>
    <cellStyle name="Note 2 5 16 2 2" xfId="34283" xr:uid="{7A75F691-E1AD-4B4E-B1E7-6E8055AFB745}"/>
    <cellStyle name="Note 2 5 16 3" xfId="29519" xr:uid="{89FEFF03-B966-4386-800F-492AE9471C70}"/>
    <cellStyle name="Note 2 5 16 3 2" xfId="36364" xr:uid="{36FAB90A-AD18-456A-B5E5-B79F1B8CACC0}"/>
    <cellStyle name="Note 2 5 16 4" xfId="31601" xr:uid="{FE54B705-4720-49D8-A2D2-AE59F6CA4764}"/>
    <cellStyle name="Note 2 5 17" xfId="25934" xr:uid="{AF99F839-ACA3-4E13-8943-DE033D3E784B}"/>
    <cellStyle name="Note 2 5 17 2" xfId="28600" xr:uid="{D1B7DC89-3078-47A4-9024-3F8B5266E9F1}"/>
    <cellStyle name="Note 2 5 17 2 2" xfId="35445" xr:uid="{8A287FA5-7A46-4FF2-901A-F01FFD9EE4E3}"/>
    <cellStyle name="Note 2 5 17 3" xfId="30681" xr:uid="{9A4FB362-7CAB-4CF9-9905-8C821696507A}"/>
    <cellStyle name="Note 2 5 17 3 2" xfId="37526" xr:uid="{4C3D4438-5B11-4C57-A262-0DF19716C4DF}"/>
    <cellStyle name="Note 2 5 17 4" xfId="32763" xr:uid="{E9906406-4D5E-4584-B698-8D240F3F5933}"/>
    <cellStyle name="Note 2 5 18" xfId="23667" xr:uid="{A881A025-348D-4E2B-A3CE-9DE16D247D79}"/>
    <cellStyle name="Note 2 5 19" xfId="16227" xr:uid="{869911AC-75B0-4BA2-BE38-ACFC21CE478B}"/>
    <cellStyle name="Note 2 5 2" xfId="4865" xr:uid="{00000000-0005-0000-0000-000024130000}"/>
    <cellStyle name="Note 2 5 2 10" xfId="24053" xr:uid="{1507F12D-1418-4070-B3DE-9D8613AC8402}"/>
    <cellStyle name="Note 2 5 2 10 2" xfId="26666" xr:uid="{A14D2047-2866-4FED-BAEB-3F316AD5B3E0}"/>
    <cellStyle name="Note 2 5 2 10 2 2" xfId="33506" xr:uid="{E055E69F-FA07-4ED0-8DE6-FE74324F09A3}"/>
    <cellStyle name="Note 2 5 2 10 3" xfId="28742" xr:uid="{1C6C889D-A5AD-4ED8-B714-DDAE4394E31B}"/>
    <cellStyle name="Note 2 5 2 10 3 2" xfId="35587" xr:uid="{9F0BAE10-671F-41DD-B32A-ABF3A099BDC5}"/>
    <cellStyle name="Note 2 5 2 10 4" xfId="30824" xr:uid="{B3EE8AA9-9E9A-4D98-A32D-11DA1E861DFF}"/>
    <cellStyle name="Note 2 5 2 11" xfId="24853" xr:uid="{5BCBB2F2-A942-40C4-9BC8-86D643738DC3}"/>
    <cellStyle name="Note 2 5 2 11 2" xfId="27515" xr:uid="{19F94887-EDFB-40EB-B82C-0D22C54C0A53}"/>
    <cellStyle name="Note 2 5 2 11 2 2" xfId="34359" xr:uid="{6DF90F36-9559-460E-8090-FCC98DABD939}"/>
    <cellStyle name="Note 2 5 2 11 3" xfId="29595" xr:uid="{1FEDA109-D4DB-4B64-B0AB-6697BE39FD70}"/>
    <cellStyle name="Note 2 5 2 11 3 2" xfId="36440" xr:uid="{1FC1EC30-F1FC-43D8-B451-06E4C74CCD87}"/>
    <cellStyle name="Note 2 5 2 11 4" xfId="31677" xr:uid="{EF18AB04-BE5F-4CD7-A84C-09812F3510C3}"/>
    <cellStyle name="Note 2 5 2 12" xfId="25696" xr:uid="{42B0A450-34FE-45F8-8D58-6D5A49595E79}"/>
    <cellStyle name="Note 2 5 2 12 2" xfId="28363" xr:uid="{74B9BE28-A37F-4E75-BCAC-CAB3E867707C}"/>
    <cellStyle name="Note 2 5 2 12 2 2" xfId="35208" xr:uid="{F6412A8A-89B7-4519-97DA-62EBCCAAFBF2}"/>
    <cellStyle name="Note 2 5 2 12 3" xfId="30444" xr:uid="{E493FEE0-C687-4D42-8464-350956651BE1}"/>
    <cellStyle name="Note 2 5 2 12 3 2" xfId="37289" xr:uid="{22DD82B0-E548-48E0-9948-95015E8C34ED}"/>
    <cellStyle name="Note 2 5 2 12 4" xfId="32526" xr:uid="{C7A12A6D-2113-4820-9AB4-FC043060B88F}"/>
    <cellStyle name="Note 2 5 2 13" xfId="25627" xr:uid="{81D6BC39-3ADA-4846-A4F2-D30495988F02}"/>
    <cellStyle name="Note 2 5 2 13 2" xfId="28294" xr:uid="{05FE8DCB-4245-4BC9-8626-E2EB4B073D90}"/>
    <cellStyle name="Note 2 5 2 13 2 2" xfId="35139" xr:uid="{C68B5AFD-B16D-4D6B-AA6E-D8FAC6C04E67}"/>
    <cellStyle name="Note 2 5 2 13 3" xfId="30375" xr:uid="{7EAC04EE-BA9D-491F-A31D-1170137B318A}"/>
    <cellStyle name="Note 2 5 2 13 3 2" xfId="37220" xr:uid="{272FAE79-ACFF-407E-AD7C-49F5F3635F64}"/>
    <cellStyle name="Note 2 5 2 13 4" xfId="32457" xr:uid="{25F59B3B-2216-4B3D-9FB0-867F3BE22AEB}"/>
    <cellStyle name="Note 2 5 2 14" xfId="25908" xr:uid="{2BE2730E-7850-4CA2-8706-EC8DE1570639}"/>
    <cellStyle name="Note 2 5 2 14 2" xfId="28574" xr:uid="{2FE0341D-EDF0-48F3-B712-23D8926A5963}"/>
    <cellStyle name="Note 2 5 2 14 2 2" xfId="35419" xr:uid="{4BB808B8-7348-4452-8C46-7CE092AA5055}"/>
    <cellStyle name="Note 2 5 2 14 3" xfId="30655" xr:uid="{7B36923C-8A2C-4E05-8ABE-3F75116B83E2}"/>
    <cellStyle name="Note 2 5 2 14 3 2" xfId="37500" xr:uid="{00F33731-C061-4C31-807F-16988F1CDF41}"/>
    <cellStyle name="Note 2 5 2 14 4" xfId="32737" xr:uid="{B884A322-8D14-485C-9410-7AE39AB0008E}"/>
    <cellStyle name="Note 2 5 2 15" xfId="24281" xr:uid="{4A2BE761-56FE-4556-9BC5-A936941B87AA}"/>
    <cellStyle name="Note 2 5 2 15 2" xfId="26888" xr:uid="{6B1662CA-40DB-4B36-BF09-D29739505E26}"/>
    <cellStyle name="Note 2 5 2 15 2 2" xfId="33728" xr:uid="{E28D1832-1900-46EA-A4B3-D4B901DC78BF}"/>
    <cellStyle name="Note 2 5 2 15 3" xfId="28964" xr:uid="{EFD316CA-6928-44AE-A544-E45ABC3F7C7C}"/>
    <cellStyle name="Note 2 5 2 15 3 2" xfId="35809" xr:uid="{D6B5FBA4-0651-457E-B40B-2B85C3BEC148}"/>
    <cellStyle name="Note 2 5 2 15 4" xfId="31046" xr:uid="{43D5B48C-3B48-450A-A8EA-C79AF5BAC47B}"/>
    <cellStyle name="Note 2 5 2 16" xfId="23641" xr:uid="{443CE861-3809-4761-B2DC-E22DB0FA8A36}"/>
    <cellStyle name="Note 2 5 2 17" xfId="16228" xr:uid="{324B559F-B217-4869-B826-4ED4704E0C6D}"/>
    <cellStyle name="Note 2 5 2 18" xfId="38902" xr:uid="{E7E173A0-5F4F-4B49-AD77-9C4DE39E4BB4}"/>
    <cellStyle name="Note 2 5 2 2" xfId="10389" xr:uid="{00000000-0005-0000-0000-000071200000}"/>
    <cellStyle name="Note 2 5 2 2 10" xfId="24419" xr:uid="{0014347A-2B75-4598-AAB6-CB75E30E76C1}"/>
    <cellStyle name="Note 2 5 2 2 10 2" xfId="27038" xr:uid="{8DC110FE-4430-4C42-A3B8-3D862573C23D}"/>
    <cellStyle name="Note 2 5 2 2 10 2 2" xfId="33878" xr:uid="{1EE99D49-AB53-4081-B58B-84F654E4F526}"/>
    <cellStyle name="Note 2 5 2 2 10 3" xfId="29114" xr:uid="{36802EE9-02F4-43FD-922E-B839BDF3E334}"/>
    <cellStyle name="Note 2 5 2 2 10 3 2" xfId="35959" xr:uid="{AF040A2E-1256-4E26-8275-E17D8B09A819}"/>
    <cellStyle name="Note 2 5 2 2 10 4" xfId="31196" xr:uid="{7FFB0FC4-72F2-4E1B-87D8-E0A3C5632CD9}"/>
    <cellStyle name="Note 2 5 2 2 11" xfId="25656" xr:uid="{3D74915E-320D-4CCF-B694-1BC5EE49593A}"/>
    <cellStyle name="Note 2 5 2 2 11 2" xfId="28323" xr:uid="{ABB502B0-C1AA-439A-983B-B059A3F6FAB9}"/>
    <cellStyle name="Note 2 5 2 2 11 2 2" xfId="35168" xr:uid="{F60D86B7-45F1-4AC9-824D-B621F44B0712}"/>
    <cellStyle name="Note 2 5 2 2 11 3" xfId="30404" xr:uid="{5632B505-1953-4BC1-A6AF-A682A31C28C7}"/>
    <cellStyle name="Note 2 5 2 2 11 3 2" xfId="37249" xr:uid="{38776A9E-9AD8-4346-B352-7F088D356371}"/>
    <cellStyle name="Note 2 5 2 2 11 4" xfId="32486" xr:uid="{BA0D8A6B-F190-4273-B6CF-16607712A9DA}"/>
    <cellStyle name="Note 2 5 2 2 12" xfId="25761" xr:uid="{E00CE46C-032C-4A5A-B91F-C1F40C1EFEC1}"/>
    <cellStyle name="Note 2 5 2 2 12 2" xfId="28427" xr:uid="{75C2E1DE-D28B-432D-9B47-38F7592010CC}"/>
    <cellStyle name="Note 2 5 2 2 12 2 2" xfId="35272" xr:uid="{5EF62118-1755-486E-9F02-418F556A2700}"/>
    <cellStyle name="Note 2 5 2 2 12 3" xfId="30508" xr:uid="{7A76DAC5-1443-4C29-A2E3-CBE45DD27EAC}"/>
    <cellStyle name="Note 2 5 2 2 12 3 2" xfId="37353" xr:uid="{1C586283-FF0D-4022-9C17-329B0D5DBCE4}"/>
    <cellStyle name="Note 2 5 2 2 12 4" xfId="32590" xr:uid="{94CE81F0-DF9E-4473-82B4-F2A88C87858F}"/>
    <cellStyle name="Note 2 5 2 2 13" xfId="25838" xr:uid="{1002291E-A3BE-4CD8-AF63-363C6087FC17}"/>
    <cellStyle name="Note 2 5 2 2 13 2" xfId="28504" xr:uid="{1DB4E3B2-763E-442F-8E64-4EA926BD697A}"/>
    <cellStyle name="Note 2 5 2 2 13 2 2" xfId="35349" xr:uid="{A68AF47D-284C-4DEB-A150-F5BCB0B5E62A}"/>
    <cellStyle name="Note 2 5 2 2 13 3" xfId="30585" xr:uid="{0C376FF4-3F26-454C-B071-6B498800EBF5}"/>
    <cellStyle name="Note 2 5 2 2 13 3 2" xfId="37430" xr:uid="{85F1FD06-C3F8-4E26-942E-17B03964387C}"/>
    <cellStyle name="Note 2 5 2 2 13 4" xfId="32667" xr:uid="{3440A369-72F4-488A-A82C-16BBC6E54BB8}"/>
    <cellStyle name="Note 2 5 2 2 14" xfId="25015" xr:uid="{B134E5BB-5A83-442C-A736-67352ADE456D}"/>
    <cellStyle name="Note 2 5 2 2 14 2" xfId="27687" xr:uid="{45F1ECF6-C391-4409-B2E0-A752F66694B6}"/>
    <cellStyle name="Note 2 5 2 2 14 2 2" xfId="34532" xr:uid="{B7ED60C3-B3F7-40DF-BA75-F6625C651DF8}"/>
    <cellStyle name="Note 2 5 2 2 14 3" xfId="29768" xr:uid="{BAD0A4D8-2C03-4965-B87B-6CA97A265C3B}"/>
    <cellStyle name="Note 2 5 2 2 14 3 2" xfId="36613" xr:uid="{F8566D81-593B-48B5-9E09-F63EACAEF23F}"/>
    <cellStyle name="Note 2 5 2 2 14 4" xfId="31850" xr:uid="{75FAFA9C-AF5A-4221-8862-6532BC35B2D5}"/>
    <cellStyle name="Note 2 5 2 2 15" xfId="25966" xr:uid="{760ED022-5146-40D0-8A40-45431233B8DD}"/>
    <cellStyle name="Note 2 5 2 2 15 2" xfId="28632" xr:uid="{2BC5719E-8CD4-4BAE-99AD-9EB53A69D4B9}"/>
    <cellStyle name="Note 2 5 2 2 15 2 2" xfId="35477" xr:uid="{D9AC76D0-16BD-4674-A14D-DE09CFC7B283}"/>
    <cellStyle name="Note 2 5 2 2 15 3" xfId="30713" xr:uid="{C6B0EC43-8321-4136-A002-1C5D83786FEF}"/>
    <cellStyle name="Note 2 5 2 2 15 3 2" xfId="37558" xr:uid="{9A4719FA-E29B-4E36-853C-67AEC431A1A8}"/>
    <cellStyle name="Note 2 5 2 2 15 4" xfId="32795" xr:uid="{54B4ED4B-E912-4A41-AE3C-1958AF3229BD}"/>
    <cellStyle name="Note 2 5 2 2 16" xfId="26020" xr:uid="{84E3807A-B459-49E3-90FD-63C266661D5E}"/>
    <cellStyle name="Note 2 5 2 2 16 2" xfId="28686" xr:uid="{1BBA1E24-A5CF-4D4D-A1C1-6292E30284E5}"/>
    <cellStyle name="Note 2 5 2 2 16 2 2" xfId="35531" xr:uid="{E6458C66-41F9-4E6B-8B3E-82EE9F447B31}"/>
    <cellStyle name="Note 2 5 2 2 16 3" xfId="30767" xr:uid="{F119DDAB-22DA-437E-AE5A-383F0CF04CA6}"/>
    <cellStyle name="Note 2 5 2 2 16 3 2" xfId="37612" xr:uid="{0F32D56D-14AB-4556-B306-8E1D7560F6E1}"/>
    <cellStyle name="Note 2 5 2 2 16 4" xfId="32849" xr:uid="{6E9BB8EF-6294-4A3D-9F83-5F1587060D12}"/>
    <cellStyle name="Note 2 5 2 2 17" xfId="23550" xr:uid="{07C1CE27-34BE-435E-9D72-6C0AEA972E9A}"/>
    <cellStyle name="Note 2 5 2 2 18" xfId="17832" xr:uid="{F6A319E8-8B80-4276-886E-30051937C29B}"/>
    <cellStyle name="Note 2 5 2 2 19" xfId="42878" xr:uid="{C849C8AF-5ACA-4CA5-874C-E79CE327B4B0}"/>
    <cellStyle name="Note 2 5 2 2 2" xfId="18441" xr:uid="{5B674B97-C4DB-4E39-8277-14B9777BF395}"/>
    <cellStyle name="Note 2 5 2 2 2 10" xfId="19541" xr:uid="{E4CE5A86-4EFD-41BA-A8DC-D2EA4AC25D0E}"/>
    <cellStyle name="Note 2 5 2 2 2 11" xfId="20418" xr:uid="{4B6957C2-2305-4610-9C8E-BAB31F57E320}"/>
    <cellStyle name="Note 2 5 2 2 2 12" xfId="20604" xr:uid="{B080F73C-21F5-4547-A2CA-976EA85A947F}"/>
    <cellStyle name="Note 2 5 2 2 2 13" xfId="19263" xr:uid="{B7DCBC28-64B5-44A2-9F95-21A286AE8E4F}"/>
    <cellStyle name="Note 2 5 2 2 2 14" xfId="20398" xr:uid="{08B3C782-4734-4D02-ACC9-E35184B54487}"/>
    <cellStyle name="Note 2 5 2 2 2 15" xfId="23003" xr:uid="{4757660B-875D-4688-99BD-D9026C3F4849}"/>
    <cellStyle name="Note 2 5 2 2 2 16" xfId="31502" xr:uid="{1DFFDD1A-1274-4FDB-8A36-915FDB6EBF41}"/>
    <cellStyle name="Note 2 5 2 2 2 2" xfId="19932" xr:uid="{39DBFBE9-BD6D-44B5-9E88-CEFA72D2BBA5}"/>
    <cellStyle name="Note 2 5 2 2 2 2 2" xfId="27340" xr:uid="{DCF972BF-A55B-4FD1-A105-3843A5492DF8}"/>
    <cellStyle name="Note 2 5 2 2 2 2 3" xfId="34184" xr:uid="{50B83F43-A3C9-4815-90EB-C2C8E66E731B}"/>
    <cellStyle name="Note 2 5 2 2 2 3" xfId="21080" xr:uid="{1B6D887B-B17E-4689-9C62-F9911AE07E29}"/>
    <cellStyle name="Note 2 5 2 2 2 3 2" xfId="29420" xr:uid="{9CD4BA6B-28E6-4286-93C9-7099701E2A2F}"/>
    <cellStyle name="Note 2 5 2 2 2 3 3" xfId="36265" xr:uid="{CE15A8AE-29E1-4437-A6DC-826CE2BCAD67}"/>
    <cellStyle name="Note 2 5 2 2 2 4" xfId="19164" xr:uid="{6488E1DD-BF3B-480D-B631-33BE549A8E1B}"/>
    <cellStyle name="Note 2 5 2 2 2 5" xfId="19742" xr:uid="{226DF461-FA68-4B50-A729-9C38DC5B6AA1}"/>
    <cellStyle name="Note 2 5 2 2 2 6" xfId="20393" xr:uid="{25917B50-26DC-4866-A925-9BF8EB670C4C}"/>
    <cellStyle name="Note 2 5 2 2 2 7" xfId="20727" xr:uid="{CF8AACDA-145A-4BF9-A9F2-CDFFEB254546}"/>
    <cellStyle name="Note 2 5 2 2 2 8" xfId="21019" xr:uid="{B12A4786-4FE1-4F6F-991A-0A51C23CBC31}"/>
    <cellStyle name="Note 2 5 2 2 2 9" xfId="21286" xr:uid="{402B7EC0-AE2B-4470-95C6-594C20D2496F}"/>
    <cellStyle name="Note 2 5 2 2 3" xfId="24744" xr:uid="{02EC0FFE-C250-4CBB-8118-24D837FF0E83}"/>
    <cellStyle name="Note 2 5 2 2 3 2" xfId="27394" xr:uid="{BAB089DC-63E1-457A-92A9-D0649D2C28DF}"/>
    <cellStyle name="Note 2 5 2 2 3 2 2" xfId="34238" xr:uid="{FE783C2C-8C2B-4A40-8CB8-07F051205B9F}"/>
    <cellStyle name="Note 2 5 2 2 3 3" xfId="29474" xr:uid="{1121C4EF-FBB3-4E0D-8940-A7021147841E}"/>
    <cellStyle name="Note 2 5 2 2 3 3 2" xfId="36319" xr:uid="{C63FA394-8F2A-49C4-801E-CAF2D3D3827E}"/>
    <cellStyle name="Note 2 5 2 2 3 4" xfId="31556" xr:uid="{50D96A79-F781-426F-92B9-89D1F1D56993}"/>
    <cellStyle name="Note 2 5 2 2 4" xfId="24804" xr:uid="{5A948317-6E19-411E-BC23-D4AF5E75122C}"/>
    <cellStyle name="Note 2 5 2 2 4 2" xfId="27457" xr:uid="{EB691D67-7FFF-47E8-933E-B6C6EDAF830A}"/>
    <cellStyle name="Note 2 5 2 2 4 2 2" xfId="34301" xr:uid="{AA307CA0-D825-463F-9F21-C825A50687D5}"/>
    <cellStyle name="Note 2 5 2 2 4 3" xfId="29537" xr:uid="{BDE48606-3C2A-4B4F-8BB5-B564527994B2}"/>
    <cellStyle name="Note 2 5 2 2 4 3 2" xfId="36382" xr:uid="{6EA47BC2-0F43-4665-A1F6-B35E5DDA3A82}"/>
    <cellStyle name="Note 2 5 2 2 4 4" xfId="31619" xr:uid="{9B6860D5-2D10-4183-AAB7-7E4263F9E5B6}"/>
    <cellStyle name="Note 2 5 2 2 5" xfId="25112" xr:uid="{0D3D6EFE-08A3-44A2-A010-C3ABC3E37502}"/>
    <cellStyle name="Note 2 5 2 2 5 2" xfId="27784" xr:uid="{B437D786-F1D5-48A7-A0B7-CB0A7BB20717}"/>
    <cellStyle name="Note 2 5 2 2 5 2 2" xfId="34629" xr:uid="{7D282602-26CB-46C5-88C5-31FEC8A7954E}"/>
    <cellStyle name="Note 2 5 2 2 5 3" xfId="29865" xr:uid="{7420E65A-94FC-4AFD-8C25-67DA8AF00386}"/>
    <cellStyle name="Note 2 5 2 2 5 3 2" xfId="36710" xr:uid="{493362D2-FF0C-4320-888D-712F7EFE9720}"/>
    <cellStyle name="Note 2 5 2 2 5 4" xfId="31947" xr:uid="{38C141A4-C4DF-4AAF-B8EF-B1A7A44AF969}"/>
    <cellStyle name="Note 2 5 2 2 6" xfId="23787" xr:uid="{44BC9EB0-D9A6-4D9E-839C-14DE9C78C08A}"/>
    <cellStyle name="Note 2 5 2 2 6 2" xfId="26400" xr:uid="{E208F2DD-BBBF-4042-8E92-349E4881096F}"/>
    <cellStyle name="Note 2 5 2 2 6 2 2" xfId="33240" xr:uid="{D8F485E9-9CAD-41A9-854C-691FE0B2E53E}"/>
    <cellStyle name="Note 2 5 2 2 6 3" xfId="26281" xr:uid="{0CED7585-2D7A-4BDE-B066-5D555FD639EE}"/>
    <cellStyle name="Note 2 5 2 2 6 3 2" xfId="33109" xr:uid="{E71E31C0-0D51-47E9-922E-78976CCF1807}"/>
    <cellStyle name="Note 2 5 2 2 6 4" xfId="23161" xr:uid="{7FE72DC1-1194-4FA8-AB9A-660098B035CF}"/>
    <cellStyle name="Note 2 5 2 2 7" xfId="25132" xr:uid="{32A232E3-EBEC-495D-8B2E-CAE3FCDE66E6}"/>
    <cellStyle name="Note 2 5 2 2 7 2" xfId="27804" xr:uid="{36ED70D1-139B-4B4E-98B0-DBE167337D28}"/>
    <cellStyle name="Note 2 5 2 2 7 2 2" xfId="34649" xr:uid="{811FE0D8-C517-4D68-933C-D01C1AF29FCF}"/>
    <cellStyle name="Note 2 5 2 2 7 3" xfId="29885" xr:uid="{BCA07E15-9025-4091-B6B6-74C4133435E2}"/>
    <cellStyle name="Note 2 5 2 2 7 3 2" xfId="36730" xr:uid="{2A3F6511-7E41-445F-9F25-FC90D7B12D35}"/>
    <cellStyle name="Note 2 5 2 2 7 4" xfId="31967" xr:uid="{AD255875-57E3-4D55-AB9A-D354F6598520}"/>
    <cellStyle name="Note 2 5 2 2 8" xfId="25179" xr:uid="{C382E102-3D20-4600-9496-C85754F1B965}"/>
    <cellStyle name="Note 2 5 2 2 8 2" xfId="27851" xr:uid="{86E792EC-D5DF-4841-9CC8-E580004086DA}"/>
    <cellStyle name="Note 2 5 2 2 8 2 2" xfId="34696" xr:uid="{E402F6F9-C894-4F39-BF5B-B97C24D86CCC}"/>
    <cellStyle name="Note 2 5 2 2 8 3" xfId="29932" xr:uid="{C4BBC512-08B2-4157-A5E9-BED1091E9878}"/>
    <cellStyle name="Note 2 5 2 2 8 3 2" xfId="36777" xr:uid="{56864BEB-198F-473A-9C84-BB93E508B2BD}"/>
    <cellStyle name="Note 2 5 2 2 8 4" xfId="32014" xr:uid="{82FC8EDF-7CA5-46DC-A5CF-073FE21DC655}"/>
    <cellStyle name="Note 2 5 2 2 9" xfId="23995" xr:uid="{752AF47F-3E9A-49D5-8CEC-FC79819C9A1F}"/>
    <cellStyle name="Note 2 5 2 2 9 2" xfId="26612" xr:uid="{EFABA8AA-8872-4BC0-8ABC-13DE734B2E8B}"/>
    <cellStyle name="Note 2 5 2 2 9 2 2" xfId="33452" xr:uid="{0DD0DBD2-2B7D-4541-80E8-1A491E35AF1D}"/>
    <cellStyle name="Note 2 5 2 2 9 3" xfId="26081" xr:uid="{8F9A79F7-2AFD-46DA-ABC4-097479CDF0B6}"/>
    <cellStyle name="Note 2 5 2 2 9 3 2" xfId="32909" xr:uid="{81EA38EB-2B2D-4879-A690-CFD0CA288EAE}"/>
    <cellStyle name="Note 2 5 2 2 9 4" xfId="23203" xr:uid="{2E24CA38-5A58-436A-9E3F-BA7A9B288E68}"/>
    <cellStyle name="Note 2 5 2 3" xfId="18616" xr:uid="{C1697ED5-F814-49FD-8C4C-C1826498063D}"/>
    <cellStyle name="Note 2 5 2 3 10" xfId="21995" xr:uid="{BD96B52E-1D10-4E89-899C-CF57F0BF9863}"/>
    <cellStyle name="Note 2 5 2 3 11" xfId="21708" xr:uid="{C5C97074-5C4C-4C6E-AD2B-524CEB7A1F26}"/>
    <cellStyle name="Note 2 5 2 3 12" xfId="22752" xr:uid="{88BA799F-3023-46A0-8D33-76A72050DE9E}"/>
    <cellStyle name="Note 2 5 2 3 13" xfId="22034" xr:uid="{308626DC-B24C-41A6-B52D-7091C6A5D706}"/>
    <cellStyle name="Note 2 5 2 3 14" xfId="22888" xr:uid="{07FAF40E-1004-418A-9593-1A94555BF8E7}"/>
    <cellStyle name="Note 2 5 2 3 15" xfId="19118" xr:uid="{6A2190CA-2202-4948-9544-D79B5BB2E564}"/>
    <cellStyle name="Note 2 5 2 3 16" xfId="31375" xr:uid="{80C43580-5606-4B92-89A1-9CE3A87E7A47}"/>
    <cellStyle name="Note 2 5 2 3 2" xfId="19851" xr:uid="{546D0C2A-C3AC-432E-9CB7-227340FEEFC0}"/>
    <cellStyle name="Note 2 5 2 3 2 2" xfId="27216" xr:uid="{C23858AB-E73A-4FCA-8D2A-0A52FC3BC93B}"/>
    <cellStyle name="Note 2 5 2 3 2 3" xfId="34057" xr:uid="{C780CCB1-52BA-4DDE-9F4F-909E34DD1800}"/>
    <cellStyle name="Note 2 5 2 3 3" xfId="21813" xr:uid="{79A57F9F-5AAE-46FB-A95B-62C15A589688}"/>
    <cellStyle name="Note 2 5 2 3 3 2" xfId="29293" xr:uid="{90DA7B94-A37B-48A4-A08F-D4D62DD1D234}"/>
    <cellStyle name="Note 2 5 2 3 3 3" xfId="36138" xr:uid="{DC1D2E01-B49A-47B2-8A75-64C37350EBBF}"/>
    <cellStyle name="Note 2 5 2 3 4" xfId="21483" xr:uid="{C9EB4733-2B66-4CFE-850B-1CB7F30B5686}"/>
    <cellStyle name="Note 2 5 2 3 5" xfId="22102" xr:uid="{E7A6C7FA-B28A-4475-B20C-B99A375D632C}"/>
    <cellStyle name="Note 2 5 2 3 6" xfId="21224" xr:uid="{FFC1C407-07B6-4062-B958-520871953345}"/>
    <cellStyle name="Note 2 5 2 3 7" xfId="19342" xr:uid="{5987E385-3470-4949-A6B5-62B3BBC711AE}"/>
    <cellStyle name="Note 2 5 2 3 8" xfId="22161" xr:uid="{3068CB6C-A212-412C-82DF-F3226698614E}"/>
    <cellStyle name="Note 2 5 2 3 9" xfId="22489" xr:uid="{395FA6C9-3C9F-44CA-8E44-BF49F2C83C8C}"/>
    <cellStyle name="Note 2 5 2 4" xfId="18207" xr:uid="{C2608B1A-BCFA-4AA6-8F06-E238712CE017}"/>
    <cellStyle name="Note 2 5 2 4 2" xfId="26936" xr:uid="{30C0AF8B-236C-4F11-9400-420D3800E3DE}"/>
    <cellStyle name="Note 2 5 2 4 2 2" xfId="33776" xr:uid="{646DECC6-C35D-4056-870F-429788A0965D}"/>
    <cellStyle name="Note 2 5 2 4 3" xfId="29012" xr:uid="{EF7C3686-4BF3-42F5-A35C-01AE604335AC}"/>
    <cellStyle name="Note 2 5 2 4 3 2" xfId="35857" xr:uid="{8E0387AE-C1E3-4AB3-A749-7AB32858FD6F}"/>
    <cellStyle name="Note 2 5 2 4 4" xfId="24330" xr:uid="{0B373137-0429-4AB2-9299-0D005CB4DBC3}"/>
    <cellStyle name="Note 2 5 2 4 5" xfId="31094" xr:uid="{5B6C9477-4895-452D-853C-164FE6D995E1}"/>
    <cellStyle name="Note 2 5 2 5" xfId="17561" xr:uid="{D61FFDD6-14ED-4B6A-8A2A-B3457C3CDA78}"/>
    <cellStyle name="Note 2 5 2 5 2" xfId="27686" xr:uid="{6B40A189-7DAC-4F8C-B739-061BBA13E107}"/>
    <cellStyle name="Note 2 5 2 5 2 2" xfId="34531" xr:uid="{4D531ABB-3966-4179-8680-01C7A1E35C73}"/>
    <cellStyle name="Note 2 5 2 5 3" xfId="29767" xr:uid="{F829042E-D221-46D3-B9AC-BB5F4BF7B73E}"/>
    <cellStyle name="Note 2 5 2 5 3 2" xfId="36612" xr:uid="{BB290B90-4EC5-4EDD-9A11-D7253C28227D}"/>
    <cellStyle name="Note 2 5 2 5 4" xfId="25014" xr:uid="{69899AF1-3640-4742-B1CD-3C5DA1517B7F}"/>
    <cellStyle name="Note 2 5 2 5 5" xfId="31849" xr:uid="{7B83D75B-1A6C-4BE2-BCD3-C4C3B77C87C2}"/>
    <cellStyle name="Note 2 5 2 6" xfId="24776" xr:uid="{B2F159E5-E889-4A1D-83A7-333E9F54F598}"/>
    <cellStyle name="Note 2 5 2 6 2" xfId="27429" xr:uid="{FAF5ED5B-8A10-4F0F-B3D9-A10BB10BC458}"/>
    <cellStyle name="Note 2 5 2 6 2 2" xfId="34273" xr:uid="{42DF7BB2-F304-4622-B790-1722B2D57511}"/>
    <cellStyle name="Note 2 5 2 6 3" xfId="29509" xr:uid="{0026C37F-7A8A-45B0-AF48-A7CB89826E91}"/>
    <cellStyle name="Note 2 5 2 6 3 2" xfId="36354" xr:uid="{581EFF5D-3E70-4701-8435-CB0EEF25A485}"/>
    <cellStyle name="Note 2 5 2 6 4" xfId="31591" xr:uid="{81C2F4E1-8DB5-4B10-B2B0-975C4DD54ADB}"/>
    <cellStyle name="Note 2 5 2 7" xfId="24766" xr:uid="{E5ADBBCA-1515-4015-8602-43C85831C796}"/>
    <cellStyle name="Note 2 5 2 7 2" xfId="27418" xr:uid="{DE8E39C8-65EB-44E4-AEB5-461FA5CB40EF}"/>
    <cellStyle name="Note 2 5 2 7 2 2" xfId="34262" xr:uid="{3C1EC974-7417-4EA9-9B31-A522CE545BBD}"/>
    <cellStyle name="Note 2 5 2 7 3" xfId="29498" xr:uid="{30AE40AE-71BB-4325-A27A-69F6A4A03D8B}"/>
    <cellStyle name="Note 2 5 2 7 3 2" xfId="36343" xr:uid="{9F444A36-7CC8-43DD-9D56-55954FCFBDA1}"/>
    <cellStyle name="Note 2 5 2 7 4" xfId="31580" xr:uid="{A151EFD4-6DD6-4BBC-AC49-7272AAFEA14F}"/>
    <cellStyle name="Note 2 5 2 8" xfId="25342" xr:uid="{12C4A410-CF5A-4284-8451-1CD7F132AEF0}"/>
    <cellStyle name="Note 2 5 2 8 2" xfId="28010" xr:uid="{4989E24B-42CC-446C-8406-D9D2E4578D80}"/>
    <cellStyle name="Note 2 5 2 8 2 2" xfId="34855" xr:uid="{0E95F2F4-2D43-405B-970D-63EF6C20C9AF}"/>
    <cellStyle name="Note 2 5 2 8 3" xfId="30091" xr:uid="{034ADBFD-915A-4A5A-846B-DA82916CFC57}"/>
    <cellStyle name="Note 2 5 2 8 3 2" xfId="36936" xr:uid="{CD60DF35-B0B9-4BBA-8395-4D4A359C0842}"/>
    <cellStyle name="Note 2 5 2 8 4" xfId="32173" xr:uid="{81C30081-7691-4056-B987-F29B4A958F8D}"/>
    <cellStyle name="Note 2 5 2 9" xfId="23769" xr:uid="{F208C81E-AE65-437A-88A7-18F3405C118C}"/>
    <cellStyle name="Note 2 5 2 9 2" xfId="26380" xr:uid="{C600393C-C705-4812-B7E7-8A410E1E74BB}"/>
    <cellStyle name="Note 2 5 2 9 2 2" xfId="33219" xr:uid="{4317090A-B666-4A81-9A45-49EBA49AE21A}"/>
    <cellStyle name="Note 2 5 2 9 3" xfId="26302" xr:uid="{359E30CF-8031-4935-A05E-4D2A718DBF97}"/>
    <cellStyle name="Note 2 5 2 9 3 2" xfId="33130" xr:uid="{FB4C0844-6EDE-41A0-9CFC-87025A230CB3}"/>
    <cellStyle name="Note 2 5 2 9 4" xfId="23424" xr:uid="{53671314-DAEA-4616-819D-C4214ECD72E7}"/>
    <cellStyle name="Note 2 5 20" xfId="38901" xr:uid="{251FD760-0E8F-4F25-B621-8504AB10E1ED}"/>
    <cellStyle name="Note 2 5 3" xfId="4866" xr:uid="{00000000-0005-0000-0000-000025130000}"/>
    <cellStyle name="Note 2 5 3 10" xfId="24058" xr:uid="{D03E65D4-16C9-427A-9B34-81D522EC90DA}"/>
    <cellStyle name="Note 2 5 3 10 2" xfId="26671" xr:uid="{7EADBCBD-04B3-47CA-A5BE-00195AA2764B}"/>
    <cellStyle name="Note 2 5 3 10 2 2" xfId="33511" xr:uid="{FC07C0A8-604C-4EF6-A447-146D629D9C4A}"/>
    <cellStyle name="Note 2 5 3 10 3" xfId="28747" xr:uid="{13483E2F-D1D1-48B1-93E0-5DECBC98D188}"/>
    <cellStyle name="Note 2 5 3 10 3 2" xfId="35592" xr:uid="{85CB833A-6ACA-4E68-B88F-80393215131F}"/>
    <cellStyle name="Note 2 5 3 10 4" xfId="30829" xr:uid="{A17C3A64-9C4E-4B18-8021-C7E802C4E53C}"/>
    <cellStyle name="Note 2 5 3 11" xfId="25637" xr:uid="{9FA3BCF2-31A2-442C-9D2D-72DFBA3C5BD9}"/>
    <cellStyle name="Note 2 5 3 11 2" xfId="28304" xr:uid="{C5A730C1-153F-4172-9540-D7A14C3E93A2}"/>
    <cellStyle name="Note 2 5 3 11 2 2" xfId="35149" xr:uid="{7BE302DB-46E4-4814-BC8A-9761DAFBB8CE}"/>
    <cellStyle name="Note 2 5 3 11 3" xfId="30385" xr:uid="{94243D53-D77F-4737-B84C-AFAE6DDD7144}"/>
    <cellStyle name="Note 2 5 3 11 3 2" xfId="37230" xr:uid="{5A67C99D-D31F-4F3C-984E-F699C016ACE8}"/>
    <cellStyle name="Note 2 5 3 11 4" xfId="32467" xr:uid="{EFD3C4F6-A198-4329-9A12-86E216459DE4}"/>
    <cellStyle name="Note 2 5 3 12" xfId="25742" xr:uid="{7A23D711-3C9D-41F5-BF44-58438C2DA42F}"/>
    <cellStyle name="Note 2 5 3 12 2" xfId="28409" xr:uid="{17E7C038-0571-4640-A180-76AF84F21FF7}"/>
    <cellStyle name="Note 2 5 3 12 2 2" xfId="35254" xr:uid="{BBDE6B58-DFEC-4199-B258-20826D296B77}"/>
    <cellStyle name="Note 2 5 3 12 3" xfId="30490" xr:uid="{7A500469-B857-4C4E-9DB2-3BFBF8D91A34}"/>
    <cellStyle name="Note 2 5 3 12 3 2" xfId="37335" xr:uid="{189C7796-3441-433A-B009-73287653101F}"/>
    <cellStyle name="Note 2 5 3 12 4" xfId="32572" xr:uid="{08102797-53F0-4EC4-BCBF-1E60B240E2AC}"/>
    <cellStyle name="Note 2 5 3 13" xfId="25816" xr:uid="{FD5CBA5B-6749-43BB-A8BA-B728D8D56AC2}"/>
    <cellStyle name="Note 2 5 3 13 2" xfId="28482" xr:uid="{F452C9CA-43F3-4CF6-BFB5-577C32D30B8C}"/>
    <cellStyle name="Note 2 5 3 13 2 2" xfId="35327" xr:uid="{DF24D120-C65D-4656-86DF-FE01B584BCD8}"/>
    <cellStyle name="Note 2 5 3 13 3" xfId="30563" xr:uid="{67D4AEC2-61B4-4F00-BEC2-D246150EEE0A}"/>
    <cellStyle name="Note 2 5 3 13 3 2" xfId="37408" xr:uid="{A9B876AE-BAB8-4E55-979A-BAC1B24BBD3E}"/>
    <cellStyle name="Note 2 5 3 13 4" xfId="32645" xr:uid="{49725F21-B7E4-4440-8026-C7A44ABE306E}"/>
    <cellStyle name="Note 2 5 3 14" xfId="25802" xr:uid="{CC42FC2C-D13C-4396-99C1-C3113EBAAD9B}"/>
    <cellStyle name="Note 2 5 3 14 2" xfId="28468" xr:uid="{6E1D17CA-77B1-4A14-9CD6-D7B82A45BED6}"/>
    <cellStyle name="Note 2 5 3 14 2 2" xfId="35313" xr:uid="{8FD44948-60BD-4445-A9C9-9A592E056743}"/>
    <cellStyle name="Note 2 5 3 14 3" xfId="30549" xr:uid="{05DBB4F8-2AA4-4CB6-AC24-FEBEA1F726B0}"/>
    <cellStyle name="Note 2 5 3 14 3 2" xfId="37394" xr:uid="{540090DC-2668-4E3A-A958-E90AE75150E6}"/>
    <cellStyle name="Note 2 5 3 14 4" xfId="32631" xr:uid="{A8EE6DE5-2F57-478E-A9E8-0B85CA381A1B}"/>
    <cellStyle name="Note 2 5 3 15" xfId="25948" xr:uid="{6E19DC0B-A957-49B4-B6F7-815D6F4A2748}"/>
    <cellStyle name="Note 2 5 3 15 2" xfId="28614" xr:uid="{251B37CB-A0B8-4E33-BF61-19EEB89BE7FE}"/>
    <cellStyle name="Note 2 5 3 15 2 2" xfId="35459" xr:uid="{02328818-0371-4EE5-86A3-8822DC8D7297}"/>
    <cellStyle name="Note 2 5 3 15 3" xfId="30695" xr:uid="{69485DDC-9517-4875-8903-202A918D3431}"/>
    <cellStyle name="Note 2 5 3 15 3 2" xfId="37540" xr:uid="{2302FEF5-0987-4E7B-A9BF-BE06C0750870}"/>
    <cellStyle name="Note 2 5 3 15 4" xfId="32777" xr:uid="{2A1F67BE-B0FD-41D2-AF0E-37FE27DD9CCB}"/>
    <cellStyle name="Note 2 5 3 16" xfId="26002" xr:uid="{060253EB-FE60-4262-89D5-46D14B29D9FC}"/>
    <cellStyle name="Note 2 5 3 16 2" xfId="28668" xr:uid="{147EC7C7-D9CB-436D-8402-6AF2D475509A}"/>
    <cellStyle name="Note 2 5 3 16 2 2" xfId="35513" xr:uid="{3D73E981-CF9F-4EC8-B7B7-26172C5ADC43}"/>
    <cellStyle name="Note 2 5 3 16 3" xfId="30749" xr:uid="{EB893D56-BC3C-451B-9F8C-914E3BF2D6AD}"/>
    <cellStyle name="Note 2 5 3 16 3 2" xfId="37594" xr:uid="{B9975246-DF36-4840-8A53-BBDB693EC2DA}"/>
    <cellStyle name="Note 2 5 3 16 4" xfId="32831" xr:uid="{7724E56B-0CC4-4B55-830F-1A543C598309}"/>
    <cellStyle name="Note 2 5 3 17" xfId="24672" xr:uid="{F8CFD366-9166-475F-8F9D-FB4742CCD53F}"/>
    <cellStyle name="Note 2 5 3 18" xfId="16229" xr:uid="{1B65FA92-CDCE-40F0-8B27-C394A730C4D7}"/>
    <cellStyle name="Note 2 5 3 19" xfId="38903" xr:uid="{6B9E2454-6E13-4184-BD97-CBB4038AE631}"/>
    <cellStyle name="Note 2 5 3 2" xfId="10390" xr:uid="{00000000-0005-0000-0000-000072200000}"/>
    <cellStyle name="Note 2 5 3 2 10" xfId="21818" xr:uid="{0A979257-83FE-4AEB-AC25-64B763EA4CAC}"/>
    <cellStyle name="Note 2 5 3 2 11" xfId="22611" xr:uid="{4F50AFC9-54EC-4240-8741-15E591BBBAC0}"/>
    <cellStyle name="Note 2 5 3 2 12" xfId="22797" xr:uid="{95A4F33D-A2B1-42AC-B58A-31CB50A1C5A5}"/>
    <cellStyle name="Note 2 5 3 2 13" xfId="19204" xr:uid="{6E295379-960B-4DFF-A181-F7C1E91BBC5A}"/>
    <cellStyle name="Note 2 5 3 2 14" xfId="22932" xr:uid="{50C62D8A-EB09-4C6D-AFE8-4474A3D87B96}"/>
    <cellStyle name="Note 2 5 3 2 15" xfId="22435" xr:uid="{8849AC9B-BC96-49C3-9377-82A948231990}"/>
    <cellStyle name="Note 2 5 3 2 16" xfId="31479" xr:uid="{CD95B826-0557-4A02-8EDF-0128BC8A8658}"/>
    <cellStyle name="Note 2 5 3 2 17" xfId="18754" xr:uid="{A5CFADDC-BCF3-48D5-B37B-7FE6C7F7FB1F}"/>
    <cellStyle name="Note 2 5 3 2 18" xfId="42879" xr:uid="{CDF91EBE-17B7-4347-BE63-2BE4597D3807}"/>
    <cellStyle name="Note 2 5 3 2 2" xfId="19410" xr:uid="{4DF098A9-84B1-452A-AB3E-1140A79D3264}"/>
    <cellStyle name="Note 2 5 3 2 2 2" xfId="27317" xr:uid="{A48BF7A0-C194-4EC8-B0A6-7E1F30A551D4}"/>
    <cellStyle name="Note 2 5 3 2 2 3" xfId="34161" xr:uid="{2C3EBA84-0762-4C6C-BA4F-0EBE1DAA7FC8}"/>
    <cellStyle name="Note 2 5 3 2 3" xfId="20952" xr:uid="{33BD7F02-2CAB-4320-B1AA-B5223DE4F132}"/>
    <cellStyle name="Note 2 5 3 2 3 2" xfId="29397" xr:uid="{F8DA7BEB-C0D9-4452-BFCF-724C371AF657}"/>
    <cellStyle name="Note 2 5 3 2 3 3" xfId="36242" xr:uid="{F3BBF69A-86F9-4E43-9DB4-095631C0533B}"/>
    <cellStyle name="Note 2 5 3 2 4" xfId="19496" xr:uid="{176EAF0A-29C5-45E2-9888-705037A81308}"/>
    <cellStyle name="Note 2 5 3 2 5" xfId="19200" xr:uid="{FD0501F8-B418-4647-99E2-86CA2D2429BE}"/>
    <cellStyle name="Note 2 5 3 2 6" xfId="20126" xr:uid="{CC1849C6-FCA0-42FD-80D8-60A7611A003F}"/>
    <cellStyle name="Note 2 5 3 2 7" xfId="20462" xr:uid="{CE36E680-FB08-4045-90EE-1FCBC450857C}"/>
    <cellStyle name="Note 2 5 3 2 8" xfId="20147" xr:uid="{5A20A7C5-42C1-4099-BA7B-F6C6B8D96C42}"/>
    <cellStyle name="Note 2 5 3 2 9" xfId="22551" xr:uid="{7A303A22-15FC-4BE5-81EA-0B0BA681F0D2}"/>
    <cellStyle name="Note 2 5 3 3" xfId="18208" xr:uid="{2E698FE0-E5C1-4EF4-9E14-65796629086C}"/>
    <cellStyle name="Note 2 5 3 3 10" xfId="21498" xr:uid="{C4C40FFB-3C7E-4256-A021-8E024E8BD0C3}"/>
    <cellStyle name="Note 2 5 3 3 11" xfId="20396" xr:uid="{D4DFCA47-8A18-4C9A-8EC8-5A16163D1D37}"/>
    <cellStyle name="Note 2 5 3 3 12" xfId="22524" xr:uid="{D5B89CB3-6E05-411A-98B9-08D4349622E6}"/>
    <cellStyle name="Note 2 5 3 3 13" xfId="20047" xr:uid="{4F86408C-E03A-4280-846D-FA9D7409434A}"/>
    <cellStyle name="Note 2 5 3 3 14" xfId="21156" xr:uid="{EEF9EDEB-7F70-4B93-957E-CBFB94D6E051}"/>
    <cellStyle name="Note 2 5 3 3 15" xfId="19821" xr:uid="{4DAB4C32-AA9C-4910-8DF6-49567F4BABB5}"/>
    <cellStyle name="Note 2 5 3 3 16" xfId="23382" xr:uid="{0FDAC3E7-055A-4AA9-83D7-558AF9453F9C}"/>
    <cellStyle name="Note 2 5 3 3 2" xfId="21459" xr:uid="{D78E681E-B77F-46DF-9073-D6E9737105E4}"/>
    <cellStyle name="Note 2 5 3 3 2 2" xfId="26422" xr:uid="{02F17897-9838-4F96-8480-C1EA446DED61}"/>
    <cellStyle name="Note 2 5 3 3 2 3" xfId="33262" xr:uid="{AD558CEC-1CEB-4C99-8CF7-8D1A36175559}"/>
    <cellStyle name="Note 2 5 3 3 3" xfId="21699" xr:uid="{6D0C50D6-D3EE-46CA-8015-BE693054C3A0}"/>
    <cellStyle name="Note 2 5 3 3 3 2" xfId="26260" xr:uid="{BE495C64-FD58-484B-BAF4-929119FF4370}"/>
    <cellStyle name="Note 2 5 3 3 3 3" xfId="33088" xr:uid="{B33D4FA7-FEBF-4E81-8141-769B238522FD}"/>
    <cellStyle name="Note 2 5 3 3 4" xfId="20752" xr:uid="{005CCD6A-BC10-4CE5-B406-E3C4CEE018B5}"/>
    <cellStyle name="Note 2 5 3 3 5" xfId="19066" xr:uid="{26731E59-4207-4B7F-89E5-32DFB7B910FE}"/>
    <cellStyle name="Note 2 5 3 3 6" xfId="21170" xr:uid="{079A3DDF-E9B4-4056-9598-8665EA935D37}"/>
    <cellStyle name="Note 2 5 3 3 7" xfId="20466" xr:uid="{64BA73FB-C30A-4DD0-A6D2-6E619103974F}"/>
    <cellStyle name="Note 2 5 3 3 8" xfId="19683" xr:uid="{A3C6CEB1-668C-484F-BD44-E78B821D4EB4}"/>
    <cellStyle name="Note 2 5 3 3 9" xfId="21173" xr:uid="{0377CCE3-F402-452F-A41E-9D37264AB5AF}"/>
    <cellStyle name="Note 2 5 3 4" xfId="17806" xr:uid="{3C877997-873B-4883-9CD1-EEAE9FA83F11}"/>
    <cellStyle name="Note 2 5 3 4 2" xfId="26804" xr:uid="{16084558-B5B0-41A3-B57D-BE38C16AA706}"/>
    <cellStyle name="Note 2 5 3 4 2 2" xfId="33644" xr:uid="{7CFD13E5-978B-482A-AD5B-47BBDCDD9708}"/>
    <cellStyle name="Note 2 5 3 4 3" xfId="28880" xr:uid="{49897E3E-3952-4C36-9881-90E667B31582}"/>
    <cellStyle name="Note 2 5 3 4 3 2" xfId="35725" xr:uid="{3E5E41BE-2059-498C-82B9-2DF6538C3162}"/>
    <cellStyle name="Note 2 5 3 4 4" xfId="24194" xr:uid="{7C6B9668-BBF9-4EE0-BA21-1D7D03E3D86A}"/>
    <cellStyle name="Note 2 5 3 4 5" xfId="30962" xr:uid="{B672B88A-1774-4A3F-8553-DB6D5919EA17}"/>
    <cellStyle name="Note 2 5 3 5" xfId="25090" xr:uid="{BEF2D8D5-C9B3-4693-BB30-3919BE650BED}"/>
    <cellStyle name="Note 2 5 3 5 2" xfId="27762" xr:uid="{7423BEB5-BAFD-4457-A9C2-E8A7CDEF47C5}"/>
    <cellStyle name="Note 2 5 3 5 2 2" xfId="34607" xr:uid="{79946176-14DA-4C5D-8544-6A02D40E9DA6}"/>
    <cellStyle name="Note 2 5 3 5 3" xfId="29843" xr:uid="{4D4A80D9-FAED-4ED7-8016-F7770D1A344E}"/>
    <cellStyle name="Note 2 5 3 5 3 2" xfId="36688" xr:uid="{A79B441E-099F-47C8-ACAA-B93DD7D81085}"/>
    <cellStyle name="Note 2 5 3 5 4" xfId="31925" xr:uid="{0EF7E206-A8BB-44A5-8FE6-DA5AAAD3F36E}"/>
    <cellStyle name="Note 2 5 3 6" xfId="24134" xr:uid="{66D0C77B-E34A-4AC0-A39C-D9F9EC28172B}"/>
    <cellStyle name="Note 2 5 3 6 2" xfId="26746" xr:uid="{5DECDBA3-41E5-4A4D-9F28-3CEE77BCD850}"/>
    <cellStyle name="Note 2 5 3 6 2 2" xfId="33586" xr:uid="{4CD73D6B-1AB5-435A-9C26-BD46F1BF671E}"/>
    <cellStyle name="Note 2 5 3 6 3" xfId="28822" xr:uid="{0654511D-E09D-4CC3-8F3E-53EF6AD32C6D}"/>
    <cellStyle name="Note 2 5 3 6 3 2" xfId="35667" xr:uid="{EDC1262F-EA43-4B9C-9D9F-89C395ACD85F}"/>
    <cellStyle name="Note 2 5 3 6 4" xfId="30904" xr:uid="{EE0C5D90-F87A-4198-90E1-D12BBE1B6EB9}"/>
    <cellStyle name="Note 2 5 3 7" xfId="24877" xr:uid="{86CABD2A-B975-4F93-B2BB-7096DC8194B9}"/>
    <cellStyle name="Note 2 5 3 7 2" xfId="27544" xr:uid="{E5C134F0-E4B1-44FE-9B29-1178232AFEE4}"/>
    <cellStyle name="Note 2 5 3 7 2 2" xfId="34388" xr:uid="{2C59C907-4372-429F-A479-2F10D643D87D}"/>
    <cellStyle name="Note 2 5 3 7 3" xfId="29624" xr:uid="{2489B156-BD44-4B8D-8C9A-1DEB0E6FB5D5}"/>
    <cellStyle name="Note 2 5 3 7 3 2" xfId="36469" xr:uid="{75BC7954-8AFF-4A24-A69A-30E2687D4307}"/>
    <cellStyle name="Note 2 5 3 7 4" xfId="31706" xr:uid="{BFF6CB65-4AFE-499E-9C1B-C79FD5944604}"/>
    <cellStyle name="Note 2 5 3 8" xfId="25210" xr:uid="{6B577FE4-A8C8-4EBF-A9FD-D0D73CEC6642}"/>
    <cellStyle name="Note 2 5 3 8 2" xfId="27882" xr:uid="{410853FD-BCAC-47E6-8503-076A3121BC45}"/>
    <cellStyle name="Note 2 5 3 8 2 2" xfId="34727" xr:uid="{F150940D-8E32-406A-893F-E506640F4E8C}"/>
    <cellStyle name="Note 2 5 3 8 3" xfId="29963" xr:uid="{7CA24F10-9477-4CA7-A610-D53EE13FF9E0}"/>
    <cellStyle name="Note 2 5 3 8 3 2" xfId="36808" xr:uid="{015B40B7-8C04-4673-A7FD-A319D0FE1D96}"/>
    <cellStyle name="Note 2 5 3 8 4" xfId="32045" xr:uid="{B27B2845-2FB8-494E-8453-3A28B4E1F440}"/>
    <cellStyle name="Note 2 5 3 9" xfId="25182" xr:uid="{50ED56A0-445D-4C64-8CDA-70EEBF1E71F5}"/>
    <cellStyle name="Note 2 5 3 9 2" xfId="27854" xr:uid="{4934230A-B0CA-40A9-AC79-8E0CF5CCA973}"/>
    <cellStyle name="Note 2 5 3 9 2 2" xfId="34699" xr:uid="{D62ECA19-A63F-42BB-9C58-1157CAA02E18}"/>
    <cellStyle name="Note 2 5 3 9 3" xfId="29935" xr:uid="{AECECBF7-E697-413C-B153-A94554EACF65}"/>
    <cellStyle name="Note 2 5 3 9 3 2" xfId="36780" xr:uid="{2DA75574-0D42-4B89-BB3E-88AF8755AF74}"/>
    <cellStyle name="Note 2 5 3 9 4" xfId="32017" xr:uid="{1B3B8C2D-A261-4AF1-AE89-1F21F9988203}"/>
    <cellStyle name="Note 2 5 4" xfId="10388" xr:uid="{00000000-0005-0000-0000-000070200000}"/>
    <cellStyle name="Note 2 5 4 10" xfId="19052" xr:uid="{AEE14C2F-0BEF-4CE2-BF4B-9C543620DB38}"/>
    <cellStyle name="Note 2 5 4 11" xfId="19455" xr:uid="{4DC663AC-D6DC-4814-A2B5-DCD123F3E148}"/>
    <cellStyle name="Note 2 5 4 12" xfId="22796" xr:uid="{5360DF1E-2358-4E05-AC40-3E76580FCA8B}"/>
    <cellStyle name="Note 2 5 4 13" xfId="22019" xr:uid="{401C5CDA-E32D-4F42-B388-93D9F6511554}"/>
    <cellStyle name="Note 2 5 4 14" xfId="22931" xr:uid="{28642656-EF7D-430B-9F03-203AB4D8E1EE}"/>
    <cellStyle name="Note 2 5 4 15" xfId="22269" xr:uid="{E2E707C2-D463-4805-BC9C-4226BDC95229}"/>
    <cellStyle name="Note 2 5 4 16" xfId="23714" xr:uid="{687FBFBC-53C4-4DB3-9AB0-4BB907DAED25}"/>
    <cellStyle name="Note 2 5 4 17" xfId="18753" xr:uid="{DA9ED8F7-8162-43FB-A532-9CDE37FAD724}"/>
    <cellStyle name="Note 2 5 4 18" xfId="42877" xr:uid="{911DF200-2749-4B97-A8F5-4FEFA2D104D5}"/>
    <cellStyle name="Note 2 5 4 2" xfId="19411" xr:uid="{E4721AFE-7FD1-458A-BCF7-4657EF4589D3}"/>
    <cellStyle name="Note 2 5 4 3" xfId="20953" xr:uid="{4A80EA8B-3954-4FAD-B1FB-AEF8872ED92C}"/>
    <cellStyle name="Note 2 5 4 4" xfId="21261" xr:uid="{60A97DB1-595D-484F-81EA-19836D53E48E}"/>
    <cellStyle name="Note 2 5 4 5" xfId="21862" xr:uid="{7CFBE7F1-AAAA-45C4-8A51-77A7FFEDD81B}"/>
    <cellStyle name="Note 2 5 4 6" xfId="20539" xr:uid="{D947E6C5-D7CB-4AF5-A98C-29E3F38553C8}"/>
    <cellStyle name="Note 2 5 4 7" xfId="22162" xr:uid="{3EEE91F5-2438-4AF0-BFC5-F6A735580585}"/>
    <cellStyle name="Note 2 5 4 8" xfId="21190" xr:uid="{91543B5F-3BD8-4D7F-A811-C453C1B7D40A}"/>
    <cellStyle name="Note 2 5 4 9" xfId="22550" xr:uid="{E4A6EF85-9C4B-448B-A87F-1F4D5DF2D016}"/>
    <cellStyle name="Note 2 5 5" xfId="8134" xr:uid="{00000000-0005-0000-0000-00007D0F0000}"/>
    <cellStyle name="Note 2 5 5 10" xfId="21474" xr:uid="{BF89EB9B-B62C-4195-87BD-F529DC84BB6B}"/>
    <cellStyle name="Note 2 5 5 11" xfId="21411" xr:uid="{653F2F18-30C9-4004-B037-4726593D485E}"/>
    <cellStyle name="Note 2 5 5 12" xfId="22411" xr:uid="{3CAA8211-DB53-4CC7-88D2-ED57256E3AC3}"/>
    <cellStyle name="Note 2 5 5 13" xfId="19341" xr:uid="{E64AE41F-688B-4BA5-9668-C4A3CE04623D}"/>
    <cellStyle name="Note 2 5 5 14" xfId="22160" xr:uid="{2336ABFB-6D4C-462C-A696-90516B006413}"/>
    <cellStyle name="Note 2 5 5 15" xfId="18845" xr:uid="{81918001-0959-4F13-997B-C039C47847E1}"/>
    <cellStyle name="Note 2 5 5 16" xfId="31353" xr:uid="{E9CD5D6E-2FB0-44B5-979C-385E20880439}"/>
    <cellStyle name="Note 2 5 5 17" xfId="18206" xr:uid="{3C323DDD-F3AE-4EB9-B801-EDDDA78DC13A}"/>
    <cellStyle name="Note 2 5 5 2" xfId="20349" xr:uid="{BEA79F09-1271-47F2-86F1-80A0465EC9F6}"/>
    <cellStyle name="Note 2 5 5 2 2" xfId="27194" xr:uid="{73C3CB1B-0C6B-414B-A8F1-CA1F22BA3D48}"/>
    <cellStyle name="Note 2 5 5 2 3" xfId="34035" xr:uid="{E7EA1FE7-A270-438B-9447-A724CDADF45D}"/>
    <cellStyle name="Note 2 5 5 3" xfId="21255" xr:uid="{F49C7B2F-13DC-44D5-B6B6-92E67F5C2BFC}"/>
    <cellStyle name="Note 2 5 5 3 2" xfId="29271" xr:uid="{2A6861FF-4ACB-4E60-B5D0-9F40517698D2}"/>
    <cellStyle name="Note 2 5 5 3 3" xfId="36116" xr:uid="{7F0BFC0E-AE52-4489-993F-D70B805B7183}"/>
    <cellStyle name="Note 2 5 5 4" xfId="21521" xr:uid="{ADC64A66-DA12-478C-9975-1AE79F325CE7}"/>
    <cellStyle name="Note 2 5 5 5" xfId="21149" xr:uid="{0F18F4FC-D174-4DF0-BBD1-329480C842EE}"/>
    <cellStyle name="Note 2 5 5 6" xfId="21284" xr:uid="{A0009589-FCC3-41FA-B3BC-5F4ECC5F26E2}"/>
    <cellStyle name="Note 2 5 5 7" xfId="18992" xr:uid="{7AFF9322-A2DD-446C-B03D-D90567191FD2}"/>
    <cellStyle name="Note 2 5 5 8" xfId="20261" xr:uid="{7FDEDB5A-2D4D-45F4-A483-1B272334F364}"/>
    <cellStyle name="Note 2 5 5 9" xfId="21503" xr:uid="{CE5D4490-0B92-41CB-ABC2-83251DECE8D0}"/>
    <cellStyle name="Note 2 5 6" xfId="17535" xr:uid="{C799157C-CDC7-42B8-8584-94A019C4FF85}"/>
    <cellStyle name="Note 2 5 6 2" xfId="26919" xr:uid="{D97D20DD-8649-4891-85C5-87C643EF3229}"/>
    <cellStyle name="Note 2 5 6 2 2" xfId="33759" xr:uid="{E4F1B7D9-5D5F-4328-A5BE-D13F53301852}"/>
    <cellStyle name="Note 2 5 6 3" xfId="28995" xr:uid="{C1F47BB6-4F7E-4731-9EF6-D03C03FA38E2}"/>
    <cellStyle name="Note 2 5 6 3 2" xfId="35840" xr:uid="{F30C8817-A932-48E9-B2A2-D9AF521E2FD5}"/>
    <cellStyle name="Note 2 5 6 4" xfId="24313" xr:uid="{8555DEDA-FFF8-4397-BABB-A6B4C8E709F8}"/>
    <cellStyle name="Note 2 5 6 5" xfId="31077" xr:uid="{50ADD7A9-F141-46A3-9BF6-8A2317590157}"/>
    <cellStyle name="Note 2 5 7" xfId="24904" xr:uid="{2826BC5B-DFC3-475F-9B17-9114464CE5C7}"/>
    <cellStyle name="Note 2 5 7 2" xfId="27572" xr:uid="{CBAC95BF-A4B0-4E60-A0AC-4BCE091E1F52}"/>
    <cellStyle name="Note 2 5 7 2 2" xfId="34416" xr:uid="{0D6194CC-8517-424A-B320-9D0902C80A17}"/>
    <cellStyle name="Note 2 5 7 3" xfId="29652" xr:uid="{DE640479-9B9E-408E-9DD6-B5DB4686B156}"/>
    <cellStyle name="Note 2 5 7 3 2" xfId="36497" xr:uid="{0C2CED09-7BF9-4674-AF88-212FEFB608CD}"/>
    <cellStyle name="Note 2 5 7 4" xfId="31734" xr:uid="{3E0FB35D-8FFA-4972-A22A-C8A37D3BB038}"/>
    <cellStyle name="Note 2 5 8" xfId="23838" xr:uid="{2F55D36B-DD95-44A8-95DF-ED88C802465C}"/>
    <cellStyle name="Note 2 5 8 2" xfId="26458" xr:uid="{BC913572-B54E-4684-84FC-4AE57D581F30}"/>
    <cellStyle name="Note 2 5 8 2 2" xfId="33298" xr:uid="{E0418473-4692-4F70-ACF8-50DCBE4702DC}"/>
    <cellStyle name="Note 2 5 8 3" xfId="26225" xr:uid="{CC693A25-F15C-492E-8B8B-02E3C0EAB6F0}"/>
    <cellStyle name="Note 2 5 8 3 2" xfId="33053" xr:uid="{CF752168-C365-4125-B593-23F7DFC3661B}"/>
    <cellStyle name="Note 2 5 8 4" xfId="23347" xr:uid="{CD6952E3-5623-4878-88AD-3933E9BB78DE}"/>
    <cellStyle name="Note 2 5 9" xfId="25286" xr:uid="{B6F074F2-4D78-4B6D-9277-3A4C376CCB08}"/>
    <cellStyle name="Note 2 5 9 2" xfId="27957" xr:uid="{D885FFA6-B84E-4011-9D23-0C46DFEE32CD}"/>
    <cellStyle name="Note 2 5 9 2 2" xfId="34802" xr:uid="{D5A4EE34-694F-4280-BCA7-6BC30562FB57}"/>
    <cellStyle name="Note 2 5 9 3" xfId="30038" xr:uid="{1194CF92-1301-4C02-98C6-6BC71D636354}"/>
    <cellStyle name="Note 2 5 9 3 2" xfId="36883" xr:uid="{7EA734E6-827A-4A29-8F39-2EAE01EEF69D}"/>
    <cellStyle name="Note 2 5 9 4" xfId="32120" xr:uid="{92E107C3-B938-489D-A855-5B4984AC265E}"/>
    <cellStyle name="Note 2 6" xfId="4867" xr:uid="{00000000-0005-0000-0000-000026130000}"/>
    <cellStyle name="Note 2 6 10" xfId="24955" xr:uid="{6F66EB70-46D4-4C2C-A655-221DA9870350}"/>
    <cellStyle name="Note 2 6 10 2" xfId="27625" xr:uid="{036EDB75-414A-413B-ABD0-750D98FAD071}"/>
    <cellStyle name="Note 2 6 10 2 2" xfId="34470" xr:uid="{719F3A8D-8C74-4EF6-AE8A-0214304941D7}"/>
    <cellStyle name="Note 2 6 10 3" xfId="29706" xr:uid="{B6E3BB1D-8135-4BFA-9AF4-9464665A521D}"/>
    <cellStyle name="Note 2 6 10 3 2" xfId="36551" xr:uid="{9960D669-D617-47B0-8D7E-61E70A3D4B93}"/>
    <cellStyle name="Note 2 6 10 4" xfId="31788" xr:uid="{05690FFB-D2B1-4BB8-B990-6000E35A6805}"/>
    <cellStyle name="Note 2 6 11" xfId="24796" xr:uid="{A078F8F8-3DEA-4777-8627-21008A79D511}"/>
    <cellStyle name="Note 2 6 11 2" xfId="27449" xr:uid="{35AAD6C8-5CFC-4E54-990C-554E284B7CA8}"/>
    <cellStyle name="Note 2 6 11 2 2" xfId="34293" xr:uid="{363AFA54-B3E8-4C58-AA03-D761FA24B4EA}"/>
    <cellStyle name="Note 2 6 11 3" xfId="29529" xr:uid="{3C67EDCE-19C3-4EEB-A90C-FB3808D3EDB9}"/>
    <cellStyle name="Note 2 6 11 3 2" xfId="36374" xr:uid="{1A4FFD27-452C-4925-85AE-57F086859844}"/>
    <cellStyle name="Note 2 6 11 4" xfId="31611" xr:uid="{0ACF4F55-95D1-436F-B5C5-3B00DF66A7BA}"/>
    <cellStyle name="Note 2 6 12" xfId="25507" xr:uid="{C13D93C3-6979-424B-9F81-5A1D10DF5C4D}"/>
    <cellStyle name="Note 2 6 12 2" xfId="28174" xr:uid="{699239DA-7B09-49C5-8318-7CC45D624E9D}"/>
    <cellStyle name="Note 2 6 12 2 2" xfId="35019" xr:uid="{D621E226-6F01-4CCE-A166-DCBB6C7DED84}"/>
    <cellStyle name="Note 2 6 12 3" xfId="30255" xr:uid="{B425DB67-7FFA-4F5A-9022-4CE326D5A979}"/>
    <cellStyle name="Note 2 6 12 3 2" xfId="37100" xr:uid="{E1562840-B248-4D3F-B2AF-FACC131B5168}"/>
    <cellStyle name="Note 2 6 12 4" xfId="32337" xr:uid="{B2770CB8-2CCA-4883-9896-866A94871B92}"/>
    <cellStyle name="Note 2 6 13" xfId="25552" xr:uid="{609FE2E5-E5AF-46A3-B418-389081F4A74A}"/>
    <cellStyle name="Note 2 6 13 2" xfId="28219" xr:uid="{47E18D9D-CF2E-4B18-BC3E-403B16D9CDE5}"/>
    <cellStyle name="Note 2 6 13 2 2" xfId="35064" xr:uid="{B26756DA-E563-438C-9C67-3C890A4C0247}"/>
    <cellStyle name="Note 2 6 13 3" xfId="30300" xr:uid="{EF465631-F7A8-4B79-9E79-0782A6A95415}"/>
    <cellStyle name="Note 2 6 13 3 2" xfId="37145" xr:uid="{B6387132-FCF9-4EDE-87B4-B2FDF128DB69}"/>
    <cellStyle name="Note 2 6 13 4" xfId="32382" xr:uid="{D27D37CA-2E4F-4ABA-BC55-3C0B45D07866}"/>
    <cellStyle name="Note 2 6 14" xfId="25732" xr:uid="{7A4E27AB-C1F9-4226-AB14-E9065C10BB28}"/>
    <cellStyle name="Note 2 6 14 2" xfId="28399" xr:uid="{D220239A-A855-4C0F-BBC2-7ABC4E2F41A1}"/>
    <cellStyle name="Note 2 6 14 2 2" xfId="35244" xr:uid="{E01EB4C1-4F3A-4252-A4EC-4569BD4D9759}"/>
    <cellStyle name="Note 2 6 14 3" xfId="30480" xr:uid="{9C014499-BED8-4098-81F3-D834181AB5C4}"/>
    <cellStyle name="Note 2 6 14 3 2" xfId="37325" xr:uid="{545EEB2C-B45B-44E0-ABB9-665720B39A41}"/>
    <cellStyle name="Note 2 6 14 4" xfId="32562" xr:uid="{70B1FED6-6D08-4C16-99AA-65808F2AFFA1}"/>
    <cellStyle name="Note 2 6 15" xfId="24349" xr:uid="{7FAAA187-1583-47A4-9BD6-990D6F483D5B}"/>
    <cellStyle name="Note 2 6 15 2" xfId="26955" xr:uid="{8902FDB2-FBCC-4914-AC52-9A5A679119F6}"/>
    <cellStyle name="Note 2 6 15 2 2" xfId="33795" xr:uid="{F54B8279-9442-4538-9843-3176682378B9}"/>
    <cellStyle name="Note 2 6 15 3" xfId="29031" xr:uid="{FE2F8671-0B7C-4214-A5EC-20C360F2B269}"/>
    <cellStyle name="Note 2 6 15 3 2" xfId="35876" xr:uid="{58D1D138-9FFF-4B5A-8EEB-55E5CA9339D4}"/>
    <cellStyle name="Note 2 6 15 4" xfId="31113" xr:uid="{43649F90-2BFF-4C0B-BD4C-E2325FFA3674}"/>
    <cellStyle name="Note 2 6 16" xfId="23779" xr:uid="{8C3841B9-646A-4B7A-8951-0EF7D6688D88}"/>
    <cellStyle name="Note 2 6 16 2" xfId="26392" xr:uid="{7A2C450E-06D4-4229-9B83-F4C8EDFBE1E5}"/>
    <cellStyle name="Note 2 6 16 2 2" xfId="33232" xr:uid="{54868235-AE27-49D8-B353-2BC5AE5A271E}"/>
    <cellStyle name="Note 2 6 16 3" xfId="26289" xr:uid="{CB2693A1-9696-4FC9-88AF-CB360C8E5A21}"/>
    <cellStyle name="Note 2 6 16 3 2" xfId="33117" xr:uid="{656774C5-6BCA-4BC3-A777-8125C2385B2F}"/>
    <cellStyle name="Note 2 6 16 4" xfId="23411" xr:uid="{F58607C5-F627-4269-B57E-4087ED5B9E77}"/>
    <cellStyle name="Note 2 6 17" xfId="23959" xr:uid="{5448C5F6-9570-4992-8117-86C334144FD0}"/>
    <cellStyle name="Note 2 6 17 2" xfId="26577" xr:uid="{B885EF48-A729-43C6-85DC-4F42CE84D7D8}"/>
    <cellStyle name="Note 2 6 17 2 2" xfId="33417" xr:uid="{E0D83EB4-33BC-461A-87B6-E12200FE3C68}"/>
    <cellStyle name="Note 2 6 17 3" xfId="26051" xr:uid="{2A676A84-DCEB-4FCB-A531-45B743CAB652}"/>
    <cellStyle name="Note 2 6 17 3 2" xfId="32880" xr:uid="{E8282C2B-AF43-423B-92E8-F98691D3AFF4}"/>
    <cellStyle name="Note 2 6 17 4" xfId="23237" xr:uid="{0F64ED99-6EC8-4B6D-9DA5-48409E7B9E10}"/>
    <cellStyle name="Note 2 6 18" xfId="23613" xr:uid="{3CAF8FD8-DAD4-4181-987A-44B5676DB709}"/>
    <cellStyle name="Note 2 6 19" xfId="16230" xr:uid="{5D92AAA7-D04C-4930-BE77-07C1A9F2625F}"/>
    <cellStyle name="Note 2 6 2" xfId="4868" xr:uid="{00000000-0005-0000-0000-000027130000}"/>
    <cellStyle name="Note 2 6 2 2" xfId="10392" xr:uid="{00000000-0005-0000-0000-000074200000}"/>
    <cellStyle name="Note 2 6 2 2 2" xfId="42881" xr:uid="{82C89692-832A-4F13-8824-8BD71824AADC}"/>
    <cellStyle name="Note 2 6 2 3" xfId="16231" xr:uid="{D55976A4-84A5-4572-AFF8-674CD35F73B4}"/>
    <cellStyle name="Note 2 6 2 4" xfId="38905" xr:uid="{153A4410-F3DE-4700-B58B-6BB98AFE618A}"/>
    <cellStyle name="Note 2 6 20" xfId="38904" xr:uid="{5E6140B8-53B2-4C8F-9FC6-23D3DDB0DA05}"/>
    <cellStyle name="Note 2 6 3" xfId="4869" xr:uid="{00000000-0005-0000-0000-000028130000}"/>
    <cellStyle name="Note 2 6 3 10" xfId="22458" xr:uid="{79C7A185-88CE-423E-904E-237221AF4FA3}"/>
    <cellStyle name="Note 2 6 3 11" xfId="18979" xr:uid="{38D421F9-81C2-45EE-B94C-8B86143EF82F}"/>
    <cellStyle name="Note 2 6 3 12" xfId="22198" xr:uid="{C6D159BC-BEEF-48B4-8B53-93EFE8732477}"/>
    <cellStyle name="Note 2 6 3 13" xfId="21282" xr:uid="{196AD217-2B8A-44FB-BE43-C0C7C8F84FB6}"/>
    <cellStyle name="Note 2 6 3 14" xfId="19909" xr:uid="{F815E103-6477-4A1B-BABA-7FC21461CA95}"/>
    <cellStyle name="Note 2 6 3 15" xfId="20203" xr:uid="{28F2D52F-FF3E-4622-9C89-CCD824701DB5}"/>
    <cellStyle name="Note 2 6 3 16" xfId="22863" xr:uid="{EA0A60E8-D631-427E-BCC1-DEB3F0FD95D2}"/>
    <cellStyle name="Note 2 6 3 17" xfId="18210" xr:uid="{A39FC4B1-E9FF-4AF6-BFD9-0680A27A3022}"/>
    <cellStyle name="Note 2 6 3 18" xfId="31397" xr:uid="{F7D60010-5364-4E73-AF0E-015E8DA211A9}"/>
    <cellStyle name="Note 2 6 3 19" xfId="16232" xr:uid="{DBD6B83D-F39C-49CB-B8D4-BAB6EADF8149}"/>
    <cellStyle name="Note 2 6 3 2" xfId="10393" xr:uid="{00000000-0005-0000-0000-000075200000}"/>
    <cellStyle name="Note 2 6 3 2 10" xfId="20499" xr:uid="{66E78377-E7E3-40B1-B526-002B578B810A}"/>
    <cellStyle name="Note 2 6 3 2 11" xfId="19421" xr:uid="{9B7F7E0F-E922-4384-9DB4-BC7024C038D7}"/>
    <cellStyle name="Note 2 6 3 2 12" xfId="22799" xr:uid="{5DC00A86-4373-4136-925B-5512BFD0F9F7}"/>
    <cellStyle name="Note 2 6 3 2 13" xfId="22283" xr:uid="{02685E39-1C5C-45A0-AC33-786CC99615B7}"/>
    <cellStyle name="Note 2 6 3 2 14" xfId="22934" xr:uid="{709B5348-81A1-4493-BC80-E9B08EB01C0C}"/>
    <cellStyle name="Note 2 6 3 2 15" xfId="19733" xr:uid="{CD4BA274-46DF-4696-A696-25445C200217}"/>
    <cellStyle name="Note 2 6 3 2 16" xfId="34079" xr:uid="{E8798F2B-37A0-4224-B6EF-4364B719E269}"/>
    <cellStyle name="Note 2 6 3 2 17" xfId="18756" xr:uid="{061DE922-E113-4D28-A7A9-BACA1FE6BCBD}"/>
    <cellStyle name="Note 2 6 3 2 18" xfId="42882" xr:uid="{ADEEA760-17E2-4631-9452-F654F7860E4F}"/>
    <cellStyle name="Note 2 6 3 2 2" xfId="19408" xr:uid="{AC65EE69-8C9C-4129-8E0A-E770455CFC53}"/>
    <cellStyle name="Note 2 6 3 2 3" xfId="20950" xr:uid="{D45E9FEB-83A2-4311-834C-E2C762C09599}"/>
    <cellStyle name="Note 2 6 3 2 4" xfId="21262" xr:uid="{E4230C30-5D50-46F1-942F-A67D03B3AE59}"/>
    <cellStyle name="Note 2 6 3 2 5" xfId="22137" xr:uid="{45939A90-7FB5-4520-B1C7-0634AED7B94F}"/>
    <cellStyle name="Note 2 6 3 2 6" xfId="21037" xr:uid="{CBF489E3-209F-4C2D-B84C-BE5B080ADB2A}"/>
    <cellStyle name="Note 2 6 3 2 7" xfId="19327" xr:uid="{82B6F43D-50C7-4998-92B5-B532F9642936}"/>
    <cellStyle name="Note 2 6 3 2 8" xfId="19163" xr:uid="{9A34D5A2-86D7-4ABB-B1FD-5BE680F182C9}"/>
    <cellStyle name="Note 2 6 3 2 9" xfId="22553" xr:uid="{77077E8B-16C5-4F5D-8089-3E258F84D0EC}"/>
    <cellStyle name="Note 2 6 3 20" xfId="38906" xr:uid="{1794C3AD-A0F4-4F74-852C-062C29FBD1D1}"/>
    <cellStyle name="Note 2 6 3 3" xfId="20346" xr:uid="{3AC7F45F-5009-4E41-A364-3E5645A59EDE}"/>
    <cellStyle name="Note 2 6 3 3 2" xfId="29315" xr:uid="{D0EB0183-704F-4FD5-AC96-5922D19DEA31}"/>
    <cellStyle name="Note 2 6 3 3 3" xfId="36160" xr:uid="{737A60A2-9331-43CF-8BAF-FA69683F2163}"/>
    <cellStyle name="Note 2 6 3 4" xfId="19661" xr:uid="{0D44FE1F-942D-4B48-9CAB-1E9DC084CC00}"/>
    <cellStyle name="Note 2 6 3 5" xfId="18868" xr:uid="{06443330-1539-4A46-BC20-341DDEADEF6D}"/>
    <cellStyle name="Note 2 6 3 6" xfId="19176" xr:uid="{59140F42-3AAD-4A9A-9D9E-20091BAD0706}"/>
    <cellStyle name="Note 2 6 3 7" xfId="21567" xr:uid="{23195864-9A19-4D70-9D07-F66901AA29B0}"/>
    <cellStyle name="Note 2 6 3 8" xfId="20337" xr:uid="{493954AB-4330-4B90-B64A-FDBF52F339C0}"/>
    <cellStyle name="Note 2 6 3 9" xfId="18943" xr:uid="{1331AB41-3325-4BD7-BAC5-FDD3EED78948}"/>
    <cellStyle name="Note 2 6 4" xfId="10391" xr:uid="{00000000-0005-0000-0000-000073200000}"/>
    <cellStyle name="Note 2 6 4 10" xfId="20108" xr:uid="{2DF966AB-EFC4-4C3F-AF88-B0B62DACF940}"/>
    <cellStyle name="Note 2 6 4 11" xfId="19083" xr:uid="{C1EF37A2-3DD1-46D1-B8EB-D56CB0A3951D}"/>
    <cellStyle name="Note 2 6 4 12" xfId="22798" xr:uid="{F150D12D-30CC-4501-ACC1-05897B0EF49D}"/>
    <cellStyle name="Note 2 6 4 13" xfId="20125" xr:uid="{83CF60CD-6D9D-47E3-8456-35F52D2D5051}"/>
    <cellStyle name="Note 2 6 4 14" xfId="22933" xr:uid="{2E958764-33D9-49E5-9FE2-A472BA34A6F7}"/>
    <cellStyle name="Note 2 6 4 15" xfId="19131" xr:uid="{C895660A-612C-4E4F-A74D-6F3F85C771D6}"/>
    <cellStyle name="Note 2 6 4 16" xfId="31569" xr:uid="{374DFC2A-575A-4DD2-A0A9-E2CA758D61CB}"/>
    <cellStyle name="Note 2 6 4 17" xfId="18755" xr:uid="{A15D3166-26BD-4505-ACC1-B5CD5EF83194}"/>
    <cellStyle name="Note 2 6 4 18" xfId="42880" xr:uid="{1CF708BE-0187-4B01-B65F-B6445A3BE5B9}"/>
    <cellStyle name="Note 2 6 4 2" xfId="19409" xr:uid="{E63F263B-DDFD-4091-AAB8-5EBB3B078148}"/>
    <cellStyle name="Note 2 6 4 2 2" xfId="27407" xr:uid="{6A8431BC-DD24-4DC8-A0D2-79863A468B67}"/>
    <cellStyle name="Note 2 6 4 2 3" xfId="34251" xr:uid="{EA6E9111-82DE-45C6-B883-A087E90FDF48}"/>
    <cellStyle name="Note 2 6 4 3" xfId="20951" xr:uid="{290298A8-93A2-4361-8E6D-3BA2270D0C45}"/>
    <cellStyle name="Note 2 6 4 3 2" xfId="29487" xr:uid="{F6D6AE02-95E8-4C9B-A506-7D8AA7F9F925}"/>
    <cellStyle name="Note 2 6 4 3 3" xfId="36332" xr:uid="{76099D7C-EE2E-4439-84DA-158DFB83CE3A}"/>
    <cellStyle name="Note 2 6 4 4" xfId="20192" xr:uid="{9CA8AB3A-E40E-4378-BEB2-4EB4F6E8FBFB}"/>
    <cellStyle name="Note 2 6 4 5" xfId="22057" xr:uid="{4D4C8107-307E-4F70-9419-6AD7920992D1}"/>
    <cellStyle name="Note 2 6 4 6" xfId="20023" xr:uid="{7D51BCA9-BA58-410E-8C3C-18752E5E661E}"/>
    <cellStyle name="Note 2 6 4 7" xfId="22327" xr:uid="{FA05DCB5-8A45-4C46-BA5C-000695BE01F7}"/>
    <cellStyle name="Note 2 6 4 8" xfId="21354" xr:uid="{74CF7617-3A06-4070-A2B0-1AE9FE3122EE}"/>
    <cellStyle name="Note 2 6 4 9" xfId="22552" xr:uid="{58E68792-F551-4A52-9209-1E717A435C4A}"/>
    <cellStyle name="Note 2 6 5" xfId="8135" xr:uid="{00000000-0005-0000-0000-00007E0F0000}"/>
    <cellStyle name="Note 2 6 5 10" xfId="19554" xr:uid="{F6CD219B-6F3A-4BC0-A364-2E4B17D37D5A}"/>
    <cellStyle name="Note 2 6 5 11" xfId="21939" xr:uid="{0B029852-E360-4107-9C6B-845031D27C5E}"/>
    <cellStyle name="Note 2 6 5 12" xfId="22385" xr:uid="{803BD69C-D9B1-41A2-9ACB-74646F9C8E11}"/>
    <cellStyle name="Note 2 6 5 13" xfId="22201" xr:uid="{9DF18F3A-BBC8-412C-8BA6-2DA306DC590D}"/>
    <cellStyle name="Note 2 6 5 14" xfId="20933" xr:uid="{BA7FDC20-AB90-4FF7-B7BB-4D62A516C3B6}"/>
    <cellStyle name="Note 2 6 5 15" xfId="21696" xr:uid="{92B388C3-AFEF-40F3-AE7A-59DEE12DD762}"/>
    <cellStyle name="Note 2 6 5 16" xfId="31390" xr:uid="{ACF2C712-7607-43D0-AB2E-1628876FD0F8}"/>
    <cellStyle name="Note 2 6 5 17" xfId="18209" xr:uid="{A08C2709-6859-48CF-A7D3-2EB09BF947E1}"/>
    <cellStyle name="Note 2 6 5 2" xfId="20348" xr:uid="{230297F1-5360-4751-BA19-30A86F91DA5A}"/>
    <cellStyle name="Note 2 6 5 2 2" xfId="27231" xr:uid="{8C33ACE9-0474-497C-A010-5E8559918207}"/>
    <cellStyle name="Note 2 6 5 2 3" xfId="34072" xr:uid="{F203A167-9FA4-48FB-8D46-7FDEFA4842E0}"/>
    <cellStyle name="Note 2 6 5 3" xfId="19401" xr:uid="{4A09D098-A650-4566-B921-4CBAEEEDBB66}"/>
    <cellStyle name="Note 2 6 5 3 2" xfId="29308" xr:uid="{6CFA9B6E-5D59-48EB-8276-540266658922}"/>
    <cellStyle name="Note 2 6 5 3 3" xfId="36153" xr:uid="{8FEC7171-5A31-4104-8409-3C98F40A1D72}"/>
    <cellStyle name="Note 2 6 5 4" xfId="19258" xr:uid="{D3E9C139-E68F-42A2-A36A-D744EABBBB31}"/>
    <cellStyle name="Note 2 6 5 5" xfId="20749" xr:uid="{D4963151-AD08-42EB-8B5A-579CCCE2C247}"/>
    <cellStyle name="Note 2 6 5 6" xfId="20141" xr:uid="{B0D1ED8E-2C20-4C77-95C5-ACD2B02B612C}"/>
    <cellStyle name="Note 2 6 5 7" xfId="21169" xr:uid="{A6A8F3DF-8805-4003-B2C4-1E00A91BF114}"/>
    <cellStyle name="Note 2 6 5 8" xfId="20493" xr:uid="{65FFB31D-CFC6-491D-A78A-A1EE92C118A8}"/>
    <cellStyle name="Note 2 6 5 9" xfId="21978" xr:uid="{4EF4ABF2-6A07-4C3C-95AF-376C58CA62D0}"/>
    <cellStyle name="Note 2 6 6" xfId="17607" xr:uid="{3FDFC701-070C-4ED6-9941-761D73CBE6F9}"/>
    <cellStyle name="Note 2 6 6 2" xfId="26951" xr:uid="{B5FB6FF6-1398-4456-A1E6-2A3882A55EED}"/>
    <cellStyle name="Note 2 6 6 2 2" xfId="33791" xr:uid="{97044FA4-735C-4280-BC7F-87B1E31BC080}"/>
    <cellStyle name="Note 2 6 6 3" xfId="29027" xr:uid="{02B1BAE9-22F4-4B2A-89EA-B8EAB9044F01}"/>
    <cellStyle name="Note 2 6 6 3 2" xfId="35872" xr:uid="{D991B219-2E56-4DD0-A7C0-6762A8D047E3}"/>
    <cellStyle name="Note 2 6 6 4" xfId="24345" xr:uid="{04E126CC-0511-4264-B520-5C8C36407DE5}"/>
    <cellStyle name="Note 2 6 6 5" xfId="31109" xr:uid="{9E1DC84A-C5CD-425E-875C-52603F65D198}"/>
    <cellStyle name="Note 2 6 7" xfId="24510" xr:uid="{DE7522BB-B354-42A4-8F81-9F2F39DDD254}"/>
    <cellStyle name="Note 2 6 7 2" xfId="27119" xr:uid="{F8D409B5-8A2B-4B81-BEF4-BC6C6AA38144}"/>
    <cellStyle name="Note 2 6 7 2 2" xfId="33959" xr:uid="{2676A686-02D3-48C5-81F0-1E1559165890}"/>
    <cellStyle name="Note 2 6 7 3" xfId="29195" xr:uid="{B45AC378-A221-4166-ABAD-2C77CCA269B9}"/>
    <cellStyle name="Note 2 6 7 3 2" xfId="36040" xr:uid="{80189E91-E123-43A2-8C37-38086ACF07C7}"/>
    <cellStyle name="Note 2 6 7 4" xfId="31277" xr:uid="{BD04302D-EB5E-4D5A-B9D2-738941727D62}"/>
    <cellStyle name="Note 2 6 8" xfId="24460" xr:uid="{CA2B7B7B-8076-4D07-A28A-C03DD1D5D62E}"/>
    <cellStyle name="Note 2 6 8 2" xfId="27076" xr:uid="{D66FBF9D-1BA0-409E-9372-28ED8DC7A3A1}"/>
    <cellStyle name="Note 2 6 8 2 2" xfId="33916" xr:uid="{1D3E4085-515A-4B46-B2CB-2A028228601F}"/>
    <cellStyle name="Note 2 6 8 3" xfId="29152" xr:uid="{6F5175F9-D28C-4B66-B9B2-1C565C1EBEA9}"/>
    <cellStyle name="Note 2 6 8 3 2" xfId="35997" xr:uid="{C840EB44-763A-4DDA-9E0D-15D564141C14}"/>
    <cellStyle name="Note 2 6 8 4" xfId="31234" xr:uid="{E7968126-8A2D-48C4-8BAA-906AF7D9820A}"/>
    <cellStyle name="Note 2 6 9" xfId="25308" xr:uid="{03597163-429C-4B21-AC04-CBF61E8C69AF}"/>
    <cellStyle name="Note 2 6 9 2" xfId="27978" xr:uid="{BB272B8E-AE67-4096-B76F-68C9DCD9D6A2}"/>
    <cellStyle name="Note 2 6 9 2 2" xfId="34823" xr:uid="{1614AABE-59D3-4291-B884-21B28D9A855A}"/>
    <cellStyle name="Note 2 6 9 3" xfId="30059" xr:uid="{AB38CE30-0628-4C16-92FF-C901EB101663}"/>
    <cellStyle name="Note 2 6 9 3 2" xfId="36904" xr:uid="{B62ADB13-11D1-49E7-82A6-ADD4D7A89394}"/>
    <cellStyle name="Note 2 6 9 4" xfId="32141" xr:uid="{95A68A15-20A6-42CE-B6A2-ED517D6EEEC3}"/>
    <cellStyle name="Note 2 7" xfId="4870" xr:uid="{00000000-0005-0000-0000-000029130000}"/>
    <cellStyle name="Note 2 7 10" xfId="20693" xr:uid="{06F2DF44-F44F-4BC1-8BDD-1803C486B98A}"/>
    <cellStyle name="Note 2 7 11" xfId="20025" xr:uid="{C9A42509-EC6F-4BED-98F9-9CA38B93CD7E}"/>
    <cellStyle name="Note 2 7 12" xfId="19504" xr:uid="{8D56DDE1-BF1F-4404-AF9D-CF1A47947A36}"/>
    <cellStyle name="Note 2 7 13" xfId="21175" xr:uid="{3FC70834-2665-4D36-B63D-4597AD0C64C4}"/>
    <cellStyle name="Note 2 7 14" xfId="22626" xr:uid="{C4DAA2AB-F38C-49DC-8312-36C7BF867D3B}"/>
    <cellStyle name="Note 2 7 15" xfId="21960" xr:uid="{F8050F0A-B89D-4AE6-AADC-889EE3DD3D1D}"/>
    <cellStyle name="Note 2 7 16" xfId="21983" xr:uid="{9436E94C-6610-4A39-ABA6-BA87BCC32147}"/>
    <cellStyle name="Note 2 7 17" xfId="19814" xr:uid="{2FD583E0-F166-48C1-8339-433AF6A7C5EC}"/>
    <cellStyle name="Note 2 7 18" xfId="20070" xr:uid="{63270430-A526-4103-B865-A726FA7F5947}"/>
    <cellStyle name="Note 2 7 19" xfId="18211" xr:uid="{43270CCF-7675-4FCF-BB5B-A0F84EA2C9F5}"/>
    <cellStyle name="Note 2 7 2" xfId="4871" xr:uid="{00000000-0005-0000-0000-00002A130000}"/>
    <cellStyle name="Note 2 7 2 2" xfId="10395" xr:uid="{00000000-0005-0000-0000-000077200000}"/>
    <cellStyle name="Note 2 7 2 2 2" xfId="42884" xr:uid="{46141795-3FA1-436F-9BE3-30942F18D991}"/>
    <cellStyle name="Note 2 7 2 3" xfId="16234" xr:uid="{4FB77E49-3014-40E2-A622-0AAB8901D150}"/>
    <cellStyle name="Note 2 7 2 4" xfId="38908" xr:uid="{947BF6A2-A547-4EB3-8D6E-5458CF4F9041}"/>
    <cellStyle name="Note 2 7 20" xfId="16233" xr:uid="{DE3882E7-9667-4847-97AB-0BF917E29021}"/>
    <cellStyle name="Note 2 7 21" xfId="38907" xr:uid="{E72D3021-9B19-4255-8290-5EE718DB9D90}"/>
    <cellStyle name="Note 2 7 3" xfId="4872" xr:uid="{00000000-0005-0000-0000-00002B130000}"/>
    <cellStyle name="Note 2 7 3 10" xfId="21761" xr:uid="{D5BB47FF-5107-4B45-93B5-9B7959730701}"/>
    <cellStyle name="Note 2 7 3 11" xfId="19122" xr:uid="{7555688E-98AD-4AF8-A3AF-774BDF1C7F87}"/>
    <cellStyle name="Note 2 7 3 12" xfId="22230" xr:uid="{820FAA82-F31E-42C4-B0A0-93CDF545475C}"/>
    <cellStyle name="Note 2 7 3 13" xfId="21296" xr:uid="{42E60905-C7D0-4FA6-92D2-81B4EA27E11A}"/>
    <cellStyle name="Note 2 7 3 14" xfId="19365" xr:uid="{B4DD2A09-1CE8-4ACE-B30D-824F4BC16F4D}"/>
    <cellStyle name="Note 2 7 3 15" xfId="19644" xr:uid="{1171F361-E61B-48F7-A387-5A6BCC07F582}"/>
    <cellStyle name="Note 2 7 3 16" xfId="21954" xr:uid="{967AA3C8-C790-442B-87D5-A79A3E7A42C9}"/>
    <cellStyle name="Note 2 7 3 17" xfId="18212" xr:uid="{40813266-9D5A-4915-81EE-53242812A985}"/>
    <cellStyle name="Note 2 7 3 18" xfId="16235" xr:uid="{5D5A8ED8-8B31-425A-A78A-F589F9E5D288}"/>
    <cellStyle name="Note 2 7 3 19" xfId="38909" xr:uid="{3F0F9EDC-4C3E-4965-9506-C59291D36456}"/>
    <cellStyle name="Note 2 7 3 2" xfId="10396" xr:uid="{00000000-0005-0000-0000-000078200000}"/>
    <cellStyle name="Note 2 7 3 2 10" xfId="21129" xr:uid="{A577894B-DB17-4568-9589-CDD61181BC1F}"/>
    <cellStyle name="Note 2 7 3 2 11" xfId="20756" xr:uid="{89435E35-FECC-4709-9BCD-5F4F7C66AFAF}"/>
    <cellStyle name="Note 2 7 3 2 12" xfId="22801" xr:uid="{BB84CE92-8B17-45D8-9CE8-C2001CA616EE}"/>
    <cellStyle name="Note 2 7 3 2 13" xfId="19615" xr:uid="{5109BB0C-B637-4258-9032-43D9F6398CD4}"/>
    <cellStyle name="Note 2 7 3 2 14" xfId="22936" xr:uid="{E5E03787-B2D5-4CE7-BDDA-8AF1D36EDF21}"/>
    <cellStyle name="Note 2 7 3 2 15" xfId="22679" xr:uid="{69FE965C-583B-49FB-8731-BF39E7A2E2B3}"/>
    <cellStyle name="Note 2 7 3 2 16" xfId="18758" xr:uid="{6D3FBA77-FEE1-4B58-AFFA-699A5D45EAC8}"/>
    <cellStyle name="Note 2 7 3 2 17" xfId="42885" xr:uid="{BC697F7F-04C2-416A-BCEE-7525923137B9}"/>
    <cellStyle name="Note 2 7 3 2 2" xfId="19406" xr:uid="{A1A401FF-12C9-4ADA-84AF-481D61E925D5}"/>
    <cellStyle name="Note 2 7 3 2 3" xfId="20517" xr:uid="{AD4F0343-B624-4EB5-9DDF-B0ECD1549CD3}"/>
    <cellStyle name="Note 2 7 3 2 4" xfId="20939" xr:uid="{0CC3B085-B19A-4507-8E79-48E2ADDFDF3B}"/>
    <cellStyle name="Note 2 7 3 2 5" xfId="22001" xr:uid="{7996B4CA-ADF4-46A8-AC43-9C2B1E48E01A}"/>
    <cellStyle name="Note 2 7 3 2 6" xfId="20543" xr:uid="{39781B88-3B12-4168-BA9C-EB9F535F1D34}"/>
    <cellStyle name="Note 2 7 3 2 7" xfId="18878" xr:uid="{E9B587D0-771E-4A15-B6E1-09D67EBC46D0}"/>
    <cellStyle name="Note 2 7 3 2 8" xfId="20732" xr:uid="{82EF3968-17CB-4950-8775-EBD282A52680}"/>
    <cellStyle name="Note 2 7 3 2 9" xfId="22555" xr:uid="{91168053-7CB4-4DCF-BC6E-4A5D2F90D27F}"/>
    <cellStyle name="Note 2 7 3 3" xfId="20345" xr:uid="{185F1F9C-E566-42B6-8936-FD8D2379876B}"/>
    <cellStyle name="Note 2 7 3 4" xfId="19523" xr:uid="{546992EB-31E2-4471-BBDC-A27A309A074E}"/>
    <cellStyle name="Note 2 7 3 5" xfId="20121" xr:uid="{DE80E073-194B-4874-AB0B-26D3A59E95D6}"/>
    <cellStyle name="Note 2 7 3 6" xfId="20074" xr:uid="{F222F41E-5D29-4FE1-ADF6-E43DBFCAE9E2}"/>
    <cellStyle name="Note 2 7 3 7" xfId="20673" xr:uid="{FFEEFBA6-0E86-4C67-A022-F1DDFDB5584C}"/>
    <cellStyle name="Note 2 7 3 8" xfId="19128" xr:uid="{85DE1B87-DF88-481C-A720-162634EFAB58}"/>
    <cellStyle name="Note 2 7 3 9" xfId="20845" xr:uid="{B090CA2F-BB0D-46AB-A1C1-98F880E24105}"/>
    <cellStyle name="Note 2 7 4" xfId="10394" xr:uid="{00000000-0005-0000-0000-000076200000}"/>
    <cellStyle name="Note 2 7 4 10" xfId="21608" xr:uid="{1E892545-3614-4183-933B-EAF2C893A380}"/>
    <cellStyle name="Note 2 7 4 11" xfId="20405" xr:uid="{E9AF5494-A14B-47E2-A380-F6D252137DCA}"/>
    <cellStyle name="Note 2 7 4 12" xfId="22800" xr:uid="{B3E10205-2CD6-491C-AE90-C564C63023B0}"/>
    <cellStyle name="Note 2 7 4 13" xfId="22441" xr:uid="{1371F1FD-9A20-40D1-A184-D5AEACA8B019}"/>
    <cellStyle name="Note 2 7 4 14" xfId="22935" xr:uid="{BC30DD7F-493B-4D2F-B1B0-28F121643F32}"/>
    <cellStyle name="Note 2 7 4 15" xfId="19318" xr:uid="{AB1D56A6-1B10-4D4A-BB6F-F642D5751F97}"/>
    <cellStyle name="Note 2 7 4 16" xfId="18757" xr:uid="{00995C4A-9396-4E57-ABB1-4C1D962D8077}"/>
    <cellStyle name="Note 2 7 4 17" xfId="42883" xr:uid="{08370BFE-4F34-4BB7-8953-12EABB5C38CF}"/>
    <cellStyle name="Note 2 7 4 2" xfId="19407" xr:uid="{EF8C4648-BBC9-417F-886F-FE4F53748581}"/>
    <cellStyle name="Note 2 7 4 3" xfId="21008" xr:uid="{BBBDEE42-29B6-4966-BEB4-978F2AE3E5A4}"/>
    <cellStyle name="Note 2 7 4 4" xfId="19180" xr:uid="{2778B12D-96BD-4381-99BB-2367BBFA7056}"/>
    <cellStyle name="Note 2 7 4 5" xfId="20146" xr:uid="{2821F682-C2C0-4D5E-A75D-E00B7A3F9E4E}"/>
    <cellStyle name="Note 2 7 4 6" xfId="20394" xr:uid="{33DC035C-35EB-4AB7-B370-DAC99689DC30}"/>
    <cellStyle name="Note 2 7 4 7" xfId="18881" xr:uid="{7479FDD9-B0E3-44BE-A601-D1FFF8F75F05}"/>
    <cellStyle name="Note 2 7 4 8" xfId="19068" xr:uid="{8FADCBB6-FDCE-4829-9B40-0F9A72EC6EBC}"/>
    <cellStyle name="Note 2 7 4 9" xfId="22554" xr:uid="{ECB443CD-77BA-4077-972D-1DD59C031EE5}"/>
    <cellStyle name="Note 2 7 5" xfId="8139" xr:uid="{00000000-0005-0000-0000-00007F0F0000}"/>
    <cellStyle name="Note 2 7 5 2" xfId="21452" xr:uid="{65CAF08D-76D0-4906-A6F5-21E5E25F520C}"/>
    <cellStyle name="Note 2 7 6" xfId="19162" xr:uid="{3331878B-E7F6-4371-A70B-EE56BBD8570C}"/>
    <cellStyle name="Note 2 7 7" xfId="20768" xr:uid="{657A4811-7CE4-4382-A1A8-8D64FB6EF3C4}"/>
    <cellStyle name="Note 2 7 8" xfId="19065" xr:uid="{1EDF434B-16F1-4A86-8D8A-63DD972FB773}"/>
    <cellStyle name="Note 2 7 9" xfId="21534" xr:uid="{FD54B426-F82A-470E-BB5E-04A0425AF0C9}"/>
    <cellStyle name="Note 2 8" xfId="4873" xr:uid="{00000000-0005-0000-0000-00002C130000}"/>
    <cellStyle name="Note 2 8 2" xfId="10397" xr:uid="{00000000-0005-0000-0000-000079200000}"/>
    <cellStyle name="Note 2 8 2 2" xfId="42886" xr:uid="{7DE7341A-82D4-487F-B1D2-DAA672578F05}"/>
    <cellStyle name="Note 2 8 3" xfId="8140" xr:uid="{00000000-0005-0000-0000-0000800F0000}"/>
    <cellStyle name="Note 2 8 4" xfId="38910" xr:uid="{516CA1D8-BCEC-4330-B8D4-95F3DF3539B0}"/>
    <cellStyle name="Note 2 9" xfId="4874" xr:uid="{00000000-0005-0000-0000-00002D130000}"/>
    <cellStyle name="Note 2 9 2" xfId="10398" xr:uid="{00000000-0005-0000-0000-00007A200000}"/>
    <cellStyle name="Note 2 9 2 2" xfId="42887" xr:uid="{61D76B99-6F00-47B8-9F93-1B7A080F80A6}"/>
    <cellStyle name="Note 2 9 3" xfId="8141" xr:uid="{00000000-0005-0000-0000-0000810F0000}"/>
    <cellStyle name="Note 2 9 4" xfId="38911" xr:uid="{B6DB98C9-0F2A-4097-AEB4-41FD9B80623A}"/>
    <cellStyle name="Note 3" xfId="4875" xr:uid="{00000000-0005-0000-0000-00002E130000}"/>
    <cellStyle name="Note 3 2" xfId="4876" xr:uid="{00000000-0005-0000-0000-00002F130000}"/>
    <cellStyle name="Note 3 2 2" xfId="4877" xr:uid="{00000000-0005-0000-0000-000030130000}"/>
    <cellStyle name="Note 3 2 2 2" xfId="4878" xr:uid="{00000000-0005-0000-0000-000031130000}"/>
    <cellStyle name="Note 3 2 2 2 2" xfId="10402" xr:uid="{00000000-0005-0000-0000-00007E200000}"/>
    <cellStyle name="Note 3 2 2 2 2 2" xfId="42891" xr:uid="{8363D229-A85E-44DC-B07E-9B09B4742DAD}"/>
    <cellStyle name="Note 3 2 2 2 3" xfId="9513" xr:uid="{00000000-0005-0000-0000-0000E1230000}"/>
    <cellStyle name="Note 3 2 2 2 3 2" xfId="42002" xr:uid="{CA754C89-C0DF-4479-A0DF-D6AE5A40AAE2}"/>
    <cellStyle name="Note 3 2 2 2 3 3" xfId="48149" xr:uid="{D95E15F3-8C18-437F-856B-105498F3E3AF}"/>
    <cellStyle name="Note 3 2 2 2 3 4" xfId="15486" xr:uid="{16CAF371-83A2-4F84-BED4-091066366A56}"/>
    <cellStyle name="Note 3 2 2 2 3 5" xfId="46663" xr:uid="{8CBE628E-FEA1-4114-B601-41A4485D2023}"/>
    <cellStyle name="Note 3 2 2 2 3 6" xfId="16691" xr:uid="{39A5AF64-A422-4392-BD41-FB47A0244DE9}"/>
    <cellStyle name="Note 3 2 2 2 4" xfId="17359" xr:uid="{243768B4-8203-4735-AFD7-B23B68ABF502}"/>
    <cellStyle name="Note 3 2 2 2 5" xfId="38915" xr:uid="{5CDA616D-4AA1-44A7-8BFB-64FD133F21D2}"/>
    <cellStyle name="Note 3 2 2 3" xfId="10401" xr:uid="{00000000-0005-0000-0000-00007D200000}"/>
    <cellStyle name="Note 3 2 2 3 2" xfId="42890" xr:uid="{F79E007E-2D29-4A9C-A205-7C152A90403F}"/>
    <cellStyle name="Note 3 2 2 4" xfId="9332" xr:uid="{00000000-0005-0000-0000-0000E0230000}"/>
    <cellStyle name="Note 3 2 2 4 2" xfId="41853" xr:uid="{CC8AE6F2-E9F8-4FA7-87A5-75DEB0678B8E}"/>
    <cellStyle name="Note 3 2 2 4 3" xfId="37719" xr:uid="{AE2AC45E-622D-48A4-A137-02C2283A5500}"/>
    <cellStyle name="Note 3 2 2 4 4" xfId="48447" xr:uid="{505F022B-6A4D-476C-A015-859EFC07A294}"/>
    <cellStyle name="Note 3 2 2 4 5" xfId="46089" xr:uid="{E053760C-82C6-44C8-8B3E-0D6139D2DF05}"/>
    <cellStyle name="Note 3 2 2 4 6" xfId="49667" xr:uid="{25E24715-EB4A-4026-A25F-6C64DC76C7C0}"/>
    <cellStyle name="Note 3 2 2 5" xfId="13651" xr:uid="{73FBBAF4-F1AD-4B48-9F50-9DA9F8CC909A}"/>
    <cellStyle name="Note 3 2 2 6" xfId="38914" xr:uid="{852C022F-A4C0-4DA2-A869-F14F4EE65259}"/>
    <cellStyle name="Note 3 2 3" xfId="4879" xr:uid="{00000000-0005-0000-0000-000032130000}"/>
    <cellStyle name="Note 3 2 3 2" xfId="10403" xr:uid="{00000000-0005-0000-0000-00007F200000}"/>
    <cellStyle name="Note 3 2 3 2 2" xfId="42892" xr:uid="{F1335F0D-3028-4C86-92DD-2DD97BCCC4EC}"/>
    <cellStyle name="Note 3 2 3 3" xfId="9499" xr:uid="{00000000-0005-0000-0000-0000E2230000}"/>
    <cellStyle name="Note 3 2 3 3 2" xfId="41988" xr:uid="{3B2EFA7D-4F75-4016-8084-832F9E1EBFF3}"/>
    <cellStyle name="Note 3 2 3 3 3" xfId="46482" xr:uid="{059FFF5E-FDC5-4036-B2BF-29BF768061EF}"/>
    <cellStyle name="Note 3 2 3 3 4" xfId="47945" xr:uid="{01DC81E2-77C6-470F-A8E3-7F394C6C71A8}"/>
    <cellStyle name="Note 3 2 3 3 5" xfId="47874" xr:uid="{20956764-8EEE-40DB-A288-F6C3D5A8BA15}"/>
    <cellStyle name="Note 3 2 3 3 6" xfId="40828" xr:uid="{D40D6BA6-FDA9-47D7-A80E-EE6E5D068C1E}"/>
    <cellStyle name="Note 3 2 3 4" xfId="16238" xr:uid="{084BAB99-3EE0-453D-9D16-0A76491F6B2E}"/>
    <cellStyle name="Note 3 2 3 5" xfId="38916" xr:uid="{7DFAE048-FC03-4BBC-9170-29A36B41E7D0}"/>
    <cellStyle name="Note 3 2 4" xfId="4880" xr:uid="{00000000-0005-0000-0000-000033130000}"/>
    <cellStyle name="Note 3 2 4 2" xfId="10404" xr:uid="{00000000-0005-0000-0000-000080200000}"/>
    <cellStyle name="Note 3 2 4 2 2" xfId="42893" xr:uid="{FD33AE31-50B3-446D-84F9-C62489581240}"/>
    <cellStyle name="Note 3 2 4 3" xfId="9341" xr:uid="{00000000-0005-0000-0000-0000DF230000}"/>
    <cellStyle name="Note 3 2 4 3 2" xfId="41862" xr:uid="{B0ACCC44-FD3A-4A85-9DA5-CE7A22E1F43E}"/>
    <cellStyle name="Note 3 2 4 3 3" xfId="37722" xr:uid="{35125D68-5950-4FD8-8871-7290565721D3}"/>
    <cellStyle name="Note 3 2 4 3 4" xfId="47934" xr:uid="{78B93DB0-3258-4957-B2FB-76A14E0D9123}"/>
    <cellStyle name="Note 3 2 4 3 5" xfId="48386" xr:uid="{A119ABDD-A996-4A2E-8591-5F5AD1800325}"/>
    <cellStyle name="Note 3 2 4 3 6" xfId="49069" xr:uid="{7CE7394F-62EE-48B1-8A10-388EF350CB92}"/>
    <cellStyle name="Note 3 2 4 4" xfId="17358" xr:uid="{07AD1059-3A8C-45CC-A364-FC91EE47E593}"/>
    <cellStyle name="Note 3 2 4 5" xfId="38917" xr:uid="{B25BA8E0-3AAE-489D-B11B-B1DF48DD786B}"/>
    <cellStyle name="Note 3 2 5" xfId="10400" xr:uid="{00000000-0005-0000-0000-00007C200000}"/>
    <cellStyle name="Note 3 2 5 2" xfId="42889" xr:uid="{2643A6BC-2C0A-4271-B5B8-B67A2764BFA3}"/>
    <cellStyle name="Note 3 2 6" xfId="8145" xr:uid="{00000000-0005-0000-0000-0000830F0000}"/>
    <cellStyle name="Note 3 2 6 2" xfId="40944" xr:uid="{5253F0B9-353A-49C0-A839-B4A2805B3D10}"/>
    <cellStyle name="Note 3 2 7" xfId="13650" xr:uid="{95427D3E-6F7F-4AFC-8319-AE14A2E896BF}"/>
    <cellStyle name="Note 3 2 8" xfId="38913" xr:uid="{FE5D1CAE-9B5E-4DCF-B8E2-780F2A29DF5F}"/>
    <cellStyle name="Note 3 3" xfId="4881" xr:uid="{00000000-0005-0000-0000-000034130000}"/>
    <cellStyle name="Note 3 3 2" xfId="4882" xr:uid="{00000000-0005-0000-0000-000035130000}"/>
    <cellStyle name="Note 3 3 2 2" xfId="10406" xr:uid="{00000000-0005-0000-0000-000082200000}"/>
    <cellStyle name="Note 3 3 2 2 2" xfId="42895" xr:uid="{895B7168-7208-406A-8743-BFD95DB56267}"/>
    <cellStyle name="Note 3 3 2 3" xfId="9508" xr:uid="{00000000-0005-0000-0000-0000E4230000}"/>
    <cellStyle name="Note 3 3 2 3 2" xfId="41997" xr:uid="{0374002A-8A73-4032-901E-457876DF2317}"/>
    <cellStyle name="Note 3 3 2 3 3" xfId="46479" xr:uid="{F4A60F22-0E2F-4565-BE06-AD6EE2EA32B1}"/>
    <cellStyle name="Note 3 3 2 3 4" xfId="40538" xr:uid="{60A127F1-1D7B-4253-93C8-9A6A82324F74}"/>
    <cellStyle name="Note 3 3 2 3 5" xfId="15299" xr:uid="{BEE65021-9D8D-4C33-AFC0-1BA064818019}"/>
    <cellStyle name="Note 3 3 2 3 6" xfId="47636" xr:uid="{97570464-7BBA-4DF0-89DF-D47C33F76AAE}"/>
    <cellStyle name="Note 3 3 2 4" xfId="16239" xr:uid="{5BE7B4F9-3800-4575-AF99-CBD33294FE8D}"/>
    <cellStyle name="Note 3 3 2 5" xfId="38919" xr:uid="{725C1AA1-B734-4FF4-9C28-696E9A58FFB3}"/>
    <cellStyle name="Note 3 3 3" xfId="4883" xr:uid="{00000000-0005-0000-0000-000036130000}"/>
    <cellStyle name="Note 3 3 3 2" xfId="10407" xr:uid="{00000000-0005-0000-0000-000083200000}"/>
    <cellStyle name="Note 3 3 3 2 2" xfId="42896" xr:uid="{03A1FA1A-A9C2-4561-AA5E-A643A1478C0E}"/>
    <cellStyle name="Note 3 3 3 3" xfId="9336" xr:uid="{00000000-0005-0000-0000-0000E3230000}"/>
    <cellStyle name="Note 3 3 3 3 2" xfId="41857" xr:uid="{81F47ACB-FCB5-488E-BF9E-2E412CE25CFE}"/>
    <cellStyle name="Note 3 3 3 3 3" xfId="46519" xr:uid="{662F127E-9F22-4D26-83AA-77EB65A0F71B}"/>
    <cellStyle name="Note 3 3 3 3 4" xfId="48216" xr:uid="{8464C0EA-6870-4BD0-898F-3C43834958B7}"/>
    <cellStyle name="Note 3 3 3 3 5" xfId="46451" xr:uid="{E599A809-8D99-4C4D-912B-1F7B44C8719D}"/>
    <cellStyle name="Note 3 3 3 3 6" xfId="13694" xr:uid="{1C2B7452-E1CA-442B-B4AD-3A3364C6944E}"/>
    <cellStyle name="Note 3 3 3 4" xfId="17360" xr:uid="{02522176-1576-484D-9F44-2D2C4D4E4A19}"/>
    <cellStyle name="Note 3 3 3 5" xfId="38920" xr:uid="{BDCA04A9-B270-4FB1-AFFA-96BBD7FF9FC7}"/>
    <cellStyle name="Note 3 3 4" xfId="10405" xr:uid="{00000000-0005-0000-0000-000081200000}"/>
    <cellStyle name="Note 3 3 4 2" xfId="42894" xr:uid="{CEAFF5F6-BD1D-4824-A817-D2D8583E0B33}"/>
    <cellStyle name="Note 3 3 5" xfId="8146" xr:uid="{00000000-0005-0000-0000-0000840F0000}"/>
    <cellStyle name="Note 3 3 5 2" xfId="40945" xr:uid="{C9D31650-68A6-4D5F-9EB6-E295CB840CC8}"/>
    <cellStyle name="Note 3 3 6" xfId="13652" xr:uid="{D5AFFFED-8FDD-4363-840F-55DEE38DB74A}"/>
    <cellStyle name="Note 3 3 7" xfId="38918" xr:uid="{E2C190A6-C887-4485-8C7C-B04EEBCE010D}"/>
    <cellStyle name="Note 3 4" xfId="4884" xr:uid="{00000000-0005-0000-0000-000037130000}"/>
    <cellStyle name="Note 3 4 2" xfId="10408" xr:uid="{00000000-0005-0000-0000-000084200000}"/>
    <cellStyle name="Note 3 4 2 2" xfId="42897" xr:uid="{D7500280-5EFA-4BC9-8F4A-EB6E02F3D1AF}"/>
    <cellStyle name="Note 3 4 3" xfId="9487" xr:uid="{00000000-0005-0000-0000-0000E5230000}"/>
    <cellStyle name="Note 3 4 3 2" xfId="41976" xr:uid="{D329E967-B5DE-4ED1-8AD2-6728238656A2}"/>
    <cellStyle name="Note 3 4 3 3" xfId="46484" xr:uid="{3A45E181-B2B1-4426-A37A-49DEB6BE7516}"/>
    <cellStyle name="Note 3 4 3 4" xfId="37646" xr:uid="{A2D9E95A-8427-46E7-8014-E375F44CCBAF}"/>
    <cellStyle name="Note 3 4 3 5" xfId="48990" xr:uid="{BBD225E7-086B-40A9-AAF5-9C722332F671}"/>
    <cellStyle name="Note 3 4 3 6" xfId="48271" xr:uid="{5F396165-7A30-4718-80B4-B9403D10F9B3}"/>
    <cellStyle name="Note 3 4 4" xfId="16237" xr:uid="{A7193020-3609-44D9-A1DF-BB1A2BDD7C4D}"/>
    <cellStyle name="Note 3 4 5" xfId="38921" xr:uid="{43B530CC-0EC0-4B42-A0E3-67D568663B26}"/>
    <cellStyle name="Note 3 5" xfId="4885" xr:uid="{00000000-0005-0000-0000-000038130000}"/>
    <cellStyle name="Note 3 5 2" xfId="10409" xr:uid="{00000000-0005-0000-0000-000085200000}"/>
    <cellStyle name="Note 3 5 2 2" xfId="42898" xr:uid="{87D47A3B-D926-494D-A534-56A258A34F78}"/>
    <cellStyle name="Note 3 5 3" xfId="9351" xr:uid="{00000000-0005-0000-0000-0000DE230000}"/>
    <cellStyle name="Note 3 5 3 2" xfId="41867" xr:uid="{D788450D-9084-4A77-8CE1-3FDC6051A952}"/>
    <cellStyle name="Note 3 5 3 3" xfId="37723" xr:uid="{9CC39BCD-98FF-4136-830E-8590FFE58059}"/>
    <cellStyle name="Note 3 5 3 4" xfId="47957" xr:uid="{1348404E-A88C-4267-862C-EE371AE7278D}"/>
    <cellStyle name="Note 3 5 3 5" xfId="40695" xr:uid="{17E0BB8F-2754-4832-9540-F71373B0F82A}"/>
    <cellStyle name="Note 3 5 3 6" xfId="47157" xr:uid="{5EB70223-AAD8-485D-B7BA-856250F92566}"/>
    <cellStyle name="Note 3 5 4" xfId="17357" xr:uid="{8CEBD91B-A302-44D7-8A08-CCDC7935D4FF}"/>
    <cellStyle name="Note 3 5 5" xfId="38922" xr:uid="{934A1B0E-81D8-4424-9FA2-B9CAD1E62ED3}"/>
    <cellStyle name="Note 3 6" xfId="10399" xr:uid="{00000000-0005-0000-0000-00007B200000}"/>
    <cellStyle name="Note 3 6 2" xfId="42888" xr:uid="{A6889620-4310-4929-A3D5-0232E93C47EB}"/>
    <cellStyle name="Note 3 7" xfId="5571" xr:uid="{00000000-0005-0000-0000-0000820F0000}"/>
    <cellStyle name="Note 3 8" xfId="13649" xr:uid="{4AE5810A-7E64-4479-A0C3-668B31BFBE76}"/>
    <cellStyle name="Note 3 9" xfId="38912" xr:uid="{994F1EE3-6F8D-44D1-87BF-80091F24B51E}"/>
    <cellStyle name="Note 4" xfId="4886" xr:uid="{00000000-0005-0000-0000-000039130000}"/>
    <cellStyle name="Note 4 2" xfId="4887" xr:uid="{00000000-0005-0000-0000-00003A130000}"/>
    <cellStyle name="Note 4 2 2" xfId="10411" xr:uid="{00000000-0005-0000-0000-000087200000}"/>
    <cellStyle name="Note 4 2 2 2" xfId="42900" xr:uid="{5100CEF5-196B-4C1B-9A85-DADC19AC2D7A}"/>
    <cellStyle name="Note 4 2 3" xfId="8148" xr:uid="{00000000-0005-0000-0000-0000860F0000}"/>
    <cellStyle name="Note 4 2 3 2" xfId="40946" xr:uid="{47445CFD-3AF9-4652-98EA-ABFAACC1C57A}"/>
    <cellStyle name="Note 4 2 4" xfId="16240" xr:uid="{59704E40-610A-4451-87C6-E3D7D19BF7A5}"/>
    <cellStyle name="Note 4 2 5" xfId="38924" xr:uid="{B485E1A7-0988-412C-8539-2CBD7F194CE5}"/>
    <cellStyle name="Note 4 3" xfId="10410" xr:uid="{00000000-0005-0000-0000-000086200000}"/>
    <cellStyle name="Note 4 3 2" xfId="42899" xr:uid="{7332067B-BD50-4E6E-96AB-E81A590E6BF7}"/>
    <cellStyle name="Note 4 4" xfId="8147" xr:uid="{00000000-0005-0000-0000-0000850F0000}"/>
    <cellStyle name="Note 4 5" xfId="38923" xr:uid="{AE58CCA7-7741-4996-8765-04635F552D52}"/>
    <cellStyle name="Note 5" xfId="4888" xr:uid="{00000000-0005-0000-0000-00003B130000}"/>
    <cellStyle name="Note 5 2" xfId="4889" xr:uid="{00000000-0005-0000-0000-00003C130000}"/>
    <cellStyle name="Note 5 2 2" xfId="10413" xr:uid="{00000000-0005-0000-0000-000089200000}"/>
    <cellStyle name="Note 5 2 2 2" xfId="42902" xr:uid="{4682FB4D-C5F6-4FF4-943C-2775A6E2E603}"/>
    <cellStyle name="Note 5 2 3" xfId="8157" xr:uid="{00000000-0005-0000-0000-0000880F0000}"/>
    <cellStyle name="Note 5 2 3 2" xfId="40954" xr:uid="{FFFF812C-B2B0-4BFB-B1F6-2B077096619D}"/>
    <cellStyle name="Note 5 2 4" xfId="16241" xr:uid="{E49D826B-FB6E-46F6-8A51-BB749DC42418}"/>
    <cellStyle name="Note 5 2 5" xfId="38926" xr:uid="{89B3C991-1C8B-4743-A74A-FA6EE67F681E}"/>
    <cellStyle name="Note 5 3" xfId="10412" xr:uid="{00000000-0005-0000-0000-000088200000}"/>
    <cellStyle name="Note 5 3 2" xfId="42901" xr:uid="{91CBBB8C-3A17-43F8-A020-5B340A820751}"/>
    <cellStyle name="Note 5 4" xfId="8154" xr:uid="{00000000-0005-0000-0000-0000870F0000}"/>
    <cellStyle name="Note 5 5" xfId="38925" xr:uid="{2D8C7089-8E33-4654-A0F6-21ABCDF72726}"/>
    <cellStyle name="Note 6" xfId="4890" xr:uid="{00000000-0005-0000-0000-00003D130000}"/>
    <cellStyle name="Note 6 2" xfId="4891" xr:uid="{00000000-0005-0000-0000-00003E130000}"/>
    <cellStyle name="Note 6 2 2" xfId="10415" xr:uid="{00000000-0005-0000-0000-00008B200000}"/>
    <cellStyle name="Note 6 2 2 2" xfId="42904" xr:uid="{B13C35E4-26A7-4F97-B8F0-2075B7443348}"/>
    <cellStyle name="Note 6 2 3" xfId="8164" xr:uid="{00000000-0005-0000-0000-00008A0F0000}"/>
    <cellStyle name="Note 6 2 3 2" xfId="40961" xr:uid="{E2A5C2BF-86B4-45C6-B8E0-C4638D4C70DB}"/>
    <cellStyle name="Note 6 2 4" xfId="16242" xr:uid="{5C67195D-0EB9-4E6B-B7FD-BF82C68268F4}"/>
    <cellStyle name="Note 6 2 5" xfId="38928" xr:uid="{4C205AFF-15B2-47D0-9161-CCF3C5D1173C}"/>
    <cellStyle name="Note 6 3" xfId="10414" xr:uid="{00000000-0005-0000-0000-00008A200000}"/>
    <cellStyle name="Note 6 3 2" xfId="42903" xr:uid="{7C436D9D-52FD-4776-8F43-68F125D2F63E}"/>
    <cellStyle name="Note 6 4" xfId="8159" xr:uid="{00000000-0005-0000-0000-0000890F0000}"/>
    <cellStyle name="Note 6 5" xfId="38927" xr:uid="{F5010CFA-98CD-43AE-AC4A-59CE53A006EC}"/>
    <cellStyle name="Note 7" xfId="4892" xr:uid="{00000000-0005-0000-0000-00003F130000}"/>
    <cellStyle name="Note 7 2" xfId="4893" xr:uid="{00000000-0005-0000-0000-000040130000}"/>
    <cellStyle name="Note 7 2 2" xfId="10417" xr:uid="{00000000-0005-0000-0000-00008D200000}"/>
    <cellStyle name="Note 7 2 2 2" xfId="42906" xr:uid="{33131C27-733E-485B-B563-EB1959147F68}"/>
    <cellStyle name="Note 7 2 3" xfId="8180" xr:uid="{00000000-0005-0000-0000-00008C0F0000}"/>
    <cellStyle name="Note 7 2 3 2" xfId="40976" xr:uid="{B5DC240A-DF4D-4DAB-898D-76B75E814A2C}"/>
    <cellStyle name="Note 7 2 4" xfId="16243" xr:uid="{8286D3B6-AA14-4BB0-9C7A-83A9244324E1}"/>
    <cellStyle name="Note 7 2 5" xfId="38930" xr:uid="{4FC61ED2-5A64-4AC8-A59C-7B06AB59ADC1}"/>
    <cellStyle name="Note 7 3" xfId="10416" xr:uid="{00000000-0005-0000-0000-00008C200000}"/>
    <cellStyle name="Note 7 3 2" xfId="42905" xr:uid="{C9D0F2F8-CD3C-4059-84B0-19D95A4C42EE}"/>
    <cellStyle name="Note 7 4" xfId="8179" xr:uid="{00000000-0005-0000-0000-00008B0F0000}"/>
    <cellStyle name="Note 7 5" xfId="38929" xr:uid="{8AF914C8-042B-4DEA-A97D-64190C763412}"/>
    <cellStyle name="Note 8" xfId="4894" xr:uid="{00000000-0005-0000-0000-000041130000}"/>
    <cellStyle name="Note 8 10" xfId="38931" xr:uid="{1EDAC95E-6D3B-4149-BD73-CFFD0DADB2A7}"/>
    <cellStyle name="Note 8 2" xfId="4895" xr:uid="{00000000-0005-0000-0000-000042130000}"/>
    <cellStyle name="Note 8 2 2" xfId="4896" xr:uid="{00000000-0005-0000-0000-000043130000}"/>
    <cellStyle name="Note 8 2 2 2" xfId="4897" xr:uid="{00000000-0005-0000-0000-000044130000}"/>
    <cellStyle name="Note 8 2 2 2 2" xfId="4898" xr:uid="{00000000-0005-0000-0000-000045130000}"/>
    <cellStyle name="Note 8 2 2 2 2 2" xfId="10422" xr:uid="{00000000-0005-0000-0000-000092200000}"/>
    <cellStyle name="Note 8 2 2 2 2 2 2" xfId="42911" xr:uid="{DB261842-C8BF-4CE1-8BA0-F6B16C89CAB2}"/>
    <cellStyle name="Note 8 2 2 2 2 3" xfId="8200" xr:uid="{00000000-0005-0000-0000-0000910F0000}"/>
    <cellStyle name="Note 8 2 2 2 2 3 2" xfId="40994" xr:uid="{60071DA7-B79A-48AD-8576-471EEDD2345F}"/>
    <cellStyle name="Note 8 2 2 2 2 4" xfId="16248" xr:uid="{192E542D-AF60-409D-B2F0-1C746F39A5A8}"/>
    <cellStyle name="Note 8 2 2 2 2 5" xfId="38935" xr:uid="{473E5F48-01BE-4807-9B80-692157AE51F0}"/>
    <cellStyle name="Note 8 2 2 2 3" xfId="10421" xr:uid="{00000000-0005-0000-0000-000091200000}"/>
    <cellStyle name="Note 8 2 2 2 3 2" xfId="42910" xr:uid="{93F6FBE8-2AFD-40D6-9D2F-A9D01E5019A9}"/>
    <cellStyle name="Note 8 2 2 2 4" xfId="8195" xr:uid="{00000000-0005-0000-0000-0000900F0000}"/>
    <cellStyle name="Note 8 2 2 2 4 2" xfId="40989" xr:uid="{21CF882E-C76E-48A0-8B17-9E609657F4DF}"/>
    <cellStyle name="Note 8 2 2 2 5" xfId="16247" xr:uid="{2AD81B48-8174-4410-8FB6-C23E5F928EB4}"/>
    <cellStyle name="Note 8 2 2 2 6" xfId="38934" xr:uid="{8074C695-7D3D-41CB-86C2-5B0C480FDC92}"/>
    <cellStyle name="Note 8 2 2 3" xfId="4899" xr:uid="{00000000-0005-0000-0000-000046130000}"/>
    <cellStyle name="Note 8 2 2 3 2" xfId="10423" xr:uid="{00000000-0005-0000-0000-000093200000}"/>
    <cellStyle name="Note 8 2 2 3 2 2" xfId="42912" xr:uid="{9AD77C0F-5450-4CC3-9356-76DFC06A6009}"/>
    <cellStyle name="Note 8 2 2 3 3" xfId="8202" xr:uid="{00000000-0005-0000-0000-0000920F0000}"/>
    <cellStyle name="Note 8 2 2 3 3 2" xfId="40996" xr:uid="{28E2195D-B7C9-4252-B722-4B39EA598DD7}"/>
    <cellStyle name="Note 8 2 2 3 4" xfId="16249" xr:uid="{856022E4-EEAA-42AB-8004-0BAE5F1FA2C8}"/>
    <cellStyle name="Note 8 2 2 3 5" xfId="38936" xr:uid="{ECA8ECAB-F00E-4950-AD04-A5DECFDD2B88}"/>
    <cellStyle name="Note 8 2 2 4" xfId="10420" xr:uid="{00000000-0005-0000-0000-000090200000}"/>
    <cellStyle name="Note 8 2 2 4 2" xfId="42909" xr:uid="{8D2DD66F-1CF7-4444-8B7D-ECFE1EA73F1B}"/>
    <cellStyle name="Note 8 2 2 5" xfId="8194" xr:uid="{00000000-0005-0000-0000-00008F0F0000}"/>
    <cellStyle name="Note 8 2 2 5 2" xfId="40988" xr:uid="{F1D84E5E-4C66-4E9F-93C7-222B9FE0BF4F}"/>
    <cellStyle name="Note 8 2 2 6" xfId="16246" xr:uid="{C60FD30C-DC24-4F23-9634-8184797CED51}"/>
    <cellStyle name="Note 8 2 2 7" xfId="38933" xr:uid="{83B4AD23-6CFA-4EA9-8E5A-D4658A20C2FA}"/>
    <cellStyle name="Note 8 2 3" xfId="4900" xr:uid="{00000000-0005-0000-0000-000047130000}"/>
    <cellStyle name="Note 8 2 3 2" xfId="4901" xr:uid="{00000000-0005-0000-0000-000048130000}"/>
    <cellStyle name="Note 8 2 3 2 2" xfId="10425" xr:uid="{00000000-0005-0000-0000-000095200000}"/>
    <cellStyle name="Note 8 2 3 2 2 2" xfId="42914" xr:uid="{4119E1F2-57A5-45A6-A700-8AD819D0723C}"/>
    <cellStyle name="Note 8 2 3 2 3" xfId="8208" xr:uid="{00000000-0005-0000-0000-0000940F0000}"/>
    <cellStyle name="Note 8 2 3 2 3 2" xfId="41002" xr:uid="{03F03A56-8DCF-43E5-8C80-EF2FD4FA7883}"/>
    <cellStyle name="Note 8 2 3 2 4" xfId="16251" xr:uid="{99576685-E7A4-44F7-A1C4-66EA2AEED542}"/>
    <cellStyle name="Note 8 2 3 2 5" xfId="38938" xr:uid="{4969471F-EA82-4C42-A0B6-8A818AB90B5B}"/>
    <cellStyle name="Note 8 2 3 3" xfId="10424" xr:uid="{00000000-0005-0000-0000-000094200000}"/>
    <cellStyle name="Note 8 2 3 3 2" xfId="42913" xr:uid="{C81618E9-4BF7-46E6-BC87-D557FA8B71ED}"/>
    <cellStyle name="Note 8 2 3 4" xfId="8206" xr:uid="{00000000-0005-0000-0000-0000930F0000}"/>
    <cellStyle name="Note 8 2 3 4 2" xfId="41000" xr:uid="{1256C1AA-5E32-4E47-BF96-3591DAF66984}"/>
    <cellStyle name="Note 8 2 3 5" xfId="16250" xr:uid="{229957C5-C3E5-4E8A-8785-EF28600FC637}"/>
    <cellStyle name="Note 8 2 3 6" xfId="38937" xr:uid="{BAB7F1F2-0A2B-4345-8D9B-319AEB709D6F}"/>
    <cellStyle name="Note 8 2 4" xfId="4902" xr:uid="{00000000-0005-0000-0000-000049130000}"/>
    <cellStyle name="Note 8 2 4 2" xfId="10426" xr:uid="{00000000-0005-0000-0000-000096200000}"/>
    <cellStyle name="Note 8 2 4 2 2" xfId="42915" xr:uid="{20EA4CD2-CC0D-4258-B92C-D7FA2EA6AAAA}"/>
    <cellStyle name="Note 8 2 4 3" xfId="8209" xr:uid="{00000000-0005-0000-0000-0000950F0000}"/>
    <cellStyle name="Note 8 2 4 3 2" xfId="41003" xr:uid="{61D5E415-8C07-48A2-B8CC-0F7E8C8CD056}"/>
    <cellStyle name="Note 8 2 4 4" xfId="16252" xr:uid="{B6D8678C-0B2C-4FF7-9252-ED581C5C2ECE}"/>
    <cellStyle name="Note 8 2 4 5" xfId="38939" xr:uid="{FE6C5BF6-FFF9-409B-9E97-1E8985E4A187}"/>
    <cellStyle name="Note 8 2 5" xfId="10419" xr:uid="{00000000-0005-0000-0000-00008F200000}"/>
    <cellStyle name="Note 8 2 5 2" xfId="42908" xr:uid="{AE2EFD67-B8D8-4203-8EA5-E4C7E3B411F2}"/>
    <cellStyle name="Note 8 2 6" xfId="8187" xr:uid="{00000000-0005-0000-0000-00008E0F0000}"/>
    <cellStyle name="Note 8 2 6 2" xfId="40982" xr:uid="{CA7E9DA7-5C29-43CE-A0D8-8E764B7E8B3A}"/>
    <cellStyle name="Note 8 2 7" xfId="16245" xr:uid="{6D53D3F3-14A9-4E06-84BC-17560E9C3347}"/>
    <cellStyle name="Note 8 2 8" xfId="38932" xr:uid="{A34B52D3-4E57-4DEF-BADD-D361DEF9220B}"/>
    <cellStyle name="Note 8 3" xfId="4903" xr:uid="{00000000-0005-0000-0000-00004A130000}"/>
    <cellStyle name="Note 8 3 2" xfId="4904" xr:uid="{00000000-0005-0000-0000-00004B130000}"/>
    <cellStyle name="Note 8 3 2 2" xfId="4905" xr:uid="{00000000-0005-0000-0000-00004C130000}"/>
    <cellStyle name="Note 8 3 2 2 2" xfId="4906" xr:uid="{00000000-0005-0000-0000-00004D130000}"/>
    <cellStyle name="Note 8 3 2 2 2 2" xfId="10430" xr:uid="{00000000-0005-0000-0000-00009A200000}"/>
    <cellStyle name="Note 8 3 2 2 2 2 2" xfId="42919" xr:uid="{3BA00590-3EC3-4F13-A48B-FD570E892C2B}"/>
    <cellStyle name="Note 8 3 2 2 2 3" xfId="8218" xr:uid="{00000000-0005-0000-0000-0000990F0000}"/>
    <cellStyle name="Note 8 3 2 2 2 3 2" xfId="41012" xr:uid="{DCBB9BCC-9D9C-4E90-8A72-333F1B1283E2}"/>
    <cellStyle name="Note 8 3 2 2 2 4" xfId="16256" xr:uid="{E7ADBC3C-54E4-415C-AE5A-A202E627BBD9}"/>
    <cellStyle name="Note 8 3 2 2 2 5" xfId="38943" xr:uid="{9DDA0D58-BA06-41A8-81A6-648083372E34}"/>
    <cellStyle name="Note 8 3 2 2 3" xfId="10429" xr:uid="{00000000-0005-0000-0000-000099200000}"/>
    <cellStyle name="Note 8 3 2 2 3 2" xfId="42918" xr:uid="{6D2376EF-104E-468B-8096-CEF3BDC56CDB}"/>
    <cellStyle name="Note 8 3 2 2 4" xfId="8215" xr:uid="{00000000-0005-0000-0000-0000980F0000}"/>
    <cellStyle name="Note 8 3 2 2 4 2" xfId="41009" xr:uid="{A9388D7B-9B01-4900-9330-91623B22392D}"/>
    <cellStyle name="Note 8 3 2 2 5" xfId="16255" xr:uid="{06856D6D-DEF5-42F4-8ABC-3DBCE1069346}"/>
    <cellStyle name="Note 8 3 2 2 6" xfId="38942" xr:uid="{E7A9600A-DADF-4084-AD4F-0528B22E1DEE}"/>
    <cellStyle name="Note 8 3 2 3" xfId="4907" xr:uid="{00000000-0005-0000-0000-00004E130000}"/>
    <cellStyle name="Note 8 3 2 3 2" xfId="10431" xr:uid="{00000000-0005-0000-0000-00009B200000}"/>
    <cellStyle name="Note 8 3 2 3 2 2" xfId="42920" xr:uid="{7D170C4D-02E7-4C99-8D74-F6A75FFFFE1E}"/>
    <cellStyle name="Note 8 3 2 3 3" xfId="8221" xr:uid="{00000000-0005-0000-0000-00009A0F0000}"/>
    <cellStyle name="Note 8 3 2 3 3 2" xfId="41015" xr:uid="{89585DC9-708A-4827-AF49-01537ECE9BAE}"/>
    <cellStyle name="Note 8 3 2 3 4" xfId="16257" xr:uid="{EB736EC9-BC6F-4765-83BA-E918504E7AA1}"/>
    <cellStyle name="Note 8 3 2 3 5" xfId="38944" xr:uid="{92EBC9BA-FFCA-423A-8BAC-F0A1E6605148}"/>
    <cellStyle name="Note 8 3 2 4" xfId="10428" xr:uid="{00000000-0005-0000-0000-000098200000}"/>
    <cellStyle name="Note 8 3 2 4 2" xfId="42917" xr:uid="{74E111E5-0B3E-456A-82EB-76857806B5A4}"/>
    <cellStyle name="Note 8 3 2 5" xfId="8213" xr:uid="{00000000-0005-0000-0000-0000970F0000}"/>
    <cellStyle name="Note 8 3 2 5 2" xfId="41007" xr:uid="{0CAC6542-E2C3-4EAD-9D9D-E718522B379F}"/>
    <cellStyle name="Note 8 3 2 6" xfId="16254" xr:uid="{E3AAE5AC-05A3-448D-B959-D62A7B53FFC0}"/>
    <cellStyle name="Note 8 3 2 7" xfId="38941" xr:uid="{68321DB2-4683-4FEB-9E95-41D24A167574}"/>
    <cellStyle name="Note 8 3 3" xfId="4908" xr:uid="{00000000-0005-0000-0000-00004F130000}"/>
    <cellStyle name="Note 8 3 3 2" xfId="4909" xr:uid="{00000000-0005-0000-0000-000050130000}"/>
    <cellStyle name="Note 8 3 3 2 2" xfId="10433" xr:uid="{00000000-0005-0000-0000-00009D200000}"/>
    <cellStyle name="Note 8 3 3 2 2 2" xfId="42922" xr:uid="{5E10EF28-5607-4E7F-B7F8-1636961C45CA}"/>
    <cellStyle name="Note 8 3 3 2 3" xfId="8231" xr:uid="{00000000-0005-0000-0000-00009C0F0000}"/>
    <cellStyle name="Note 8 3 3 2 3 2" xfId="41025" xr:uid="{BAFEBD04-6591-442A-9A04-CF809D476FD0}"/>
    <cellStyle name="Note 8 3 3 2 4" xfId="16259" xr:uid="{0F363108-D1EC-4C6F-93E4-8657BDA4113A}"/>
    <cellStyle name="Note 8 3 3 2 5" xfId="38946" xr:uid="{C86DF18B-6D23-4658-B099-B8B49B8649CC}"/>
    <cellStyle name="Note 8 3 3 3" xfId="10432" xr:uid="{00000000-0005-0000-0000-00009C200000}"/>
    <cellStyle name="Note 8 3 3 3 2" xfId="42921" xr:uid="{64EE2C91-026F-4360-9221-4A758BF37DAF}"/>
    <cellStyle name="Note 8 3 3 4" xfId="8228" xr:uid="{00000000-0005-0000-0000-00009B0F0000}"/>
    <cellStyle name="Note 8 3 3 4 2" xfId="41022" xr:uid="{82A60515-8E1C-4CB3-8A57-9620E006469E}"/>
    <cellStyle name="Note 8 3 3 5" xfId="16258" xr:uid="{92775295-1060-4E7F-8DE5-D667DBFF60F9}"/>
    <cellStyle name="Note 8 3 3 6" xfId="38945" xr:uid="{2B0F5538-3B27-497E-824C-91C6B0660887}"/>
    <cellStyle name="Note 8 3 4" xfId="4910" xr:uid="{00000000-0005-0000-0000-000051130000}"/>
    <cellStyle name="Note 8 3 4 2" xfId="10434" xr:uid="{00000000-0005-0000-0000-00009E200000}"/>
    <cellStyle name="Note 8 3 4 2 2" xfId="42923" xr:uid="{37E16536-778D-4684-95B9-F40EBCCC4C58}"/>
    <cellStyle name="Note 8 3 4 3" xfId="8236" xr:uid="{00000000-0005-0000-0000-00009D0F0000}"/>
    <cellStyle name="Note 8 3 4 3 2" xfId="41030" xr:uid="{3EB74739-4F93-4BBE-A2A7-8B620B49D871}"/>
    <cellStyle name="Note 8 3 4 4" xfId="16260" xr:uid="{EC58BC32-2003-4122-9BBF-5C5EBFBB678F}"/>
    <cellStyle name="Note 8 3 4 5" xfId="38947" xr:uid="{90299FA2-1EF1-4995-82A5-8FA232467BF6}"/>
    <cellStyle name="Note 8 3 5" xfId="10427" xr:uid="{00000000-0005-0000-0000-000097200000}"/>
    <cellStyle name="Note 8 3 5 2" xfId="42916" xr:uid="{6BAC7C6D-C3A6-49A0-9DD2-9EFB8E60AB7A}"/>
    <cellStyle name="Note 8 3 6" xfId="8210" xr:uid="{00000000-0005-0000-0000-0000960F0000}"/>
    <cellStyle name="Note 8 3 6 2" xfId="41004" xr:uid="{F8AAD3B5-CC2C-41B0-A6A4-C40F6A1A715E}"/>
    <cellStyle name="Note 8 3 7" xfId="16253" xr:uid="{C842434A-890C-4154-93DB-99CCD80410CE}"/>
    <cellStyle name="Note 8 3 8" xfId="38940" xr:uid="{BA3F9A26-C5E5-4120-96B3-CB8C1800FE4B}"/>
    <cellStyle name="Note 8 4" xfId="4911" xr:uid="{00000000-0005-0000-0000-000052130000}"/>
    <cellStyle name="Note 8 4 2" xfId="4912" xr:uid="{00000000-0005-0000-0000-000053130000}"/>
    <cellStyle name="Note 8 4 2 2" xfId="4913" xr:uid="{00000000-0005-0000-0000-000054130000}"/>
    <cellStyle name="Note 8 4 2 2 2" xfId="10437" xr:uid="{00000000-0005-0000-0000-0000A1200000}"/>
    <cellStyle name="Note 8 4 2 2 2 2" xfId="42926" xr:uid="{4901E8A6-A5FB-4F59-9C19-911282FDA926}"/>
    <cellStyle name="Note 8 4 2 2 3" xfId="8248" xr:uid="{00000000-0005-0000-0000-0000A00F0000}"/>
    <cellStyle name="Note 8 4 2 2 3 2" xfId="41042" xr:uid="{0B900AFD-216F-47F4-BDF1-3AC0789F3A5F}"/>
    <cellStyle name="Note 8 4 2 2 4" xfId="16263" xr:uid="{DDB0C375-CBEB-43C3-8B6B-DFD17C69A97F}"/>
    <cellStyle name="Note 8 4 2 2 5" xfId="38950" xr:uid="{4E7A59E7-1B63-43D4-BEE1-0019486075DF}"/>
    <cellStyle name="Note 8 4 2 3" xfId="10436" xr:uid="{00000000-0005-0000-0000-0000A0200000}"/>
    <cellStyle name="Note 8 4 2 3 2" xfId="42925" xr:uid="{419B2555-D1E9-4986-A399-6E2D8471D8D6}"/>
    <cellStyle name="Note 8 4 2 4" xfId="8241" xr:uid="{00000000-0005-0000-0000-00009F0F0000}"/>
    <cellStyle name="Note 8 4 2 4 2" xfId="41035" xr:uid="{CC70CEF4-291D-4A38-875B-1BF56A0E2C11}"/>
    <cellStyle name="Note 8 4 2 5" xfId="16262" xr:uid="{30DB496C-0F03-4EF8-BF05-305E65CD1300}"/>
    <cellStyle name="Note 8 4 2 6" xfId="38949" xr:uid="{9AB68CC3-34DB-4842-9854-ECB33FFF50BA}"/>
    <cellStyle name="Note 8 4 3" xfId="4914" xr:uid="{00000000-0005-0000-0000-000055130000}"/>
    <cellStyle name="Note 8 4 3 2" xfId="10438" xr:uid="{00000000-0005-0000-0000-0000A2200000}"/>
    <cellStyle name="Note 8 4 3 2 2" xfId="42927" xr:uid="{759D7524-00FE-4D39-9C27-7F32E3B5AE80}"/>
    <cellStyle name="Note 8 4 3 3" xfId="8251" xr:uid="{00000000-0005-0000-0000-0000A10F0000}"/>
    <cellStyle name="Note 8 4 3 3 2" xfId="41045" xr:uid="{B0A263BE-9169-4FFF-B609-E1D393F9824F}"/>
    <cellStyle name="Note 8 4 3 4" xfId="16264" xr:uid="{525A4794-DF60-478B-864F-94CD2D884294}"/>
    <cellStyle name="Note 8 4 3 5" xfId="38951" xr:uid="{319FAB19-DEF5-4004-90F9-B72BB311615E}"/>
    <cellStyle name="Note 8 4 4" xfId="10435" xr:uid="{00000000-0005-0000-0000-00009F200000}"/>
    <cellStyle name="Note 8 4 4 2" xfId="42924" xr:uid="{4F307B3F-E32F-47CE-9606-CC829CE66F51}"/>
    <cellStyle name="Note 8 4 5" xfId="8239" xr:uid="{00000000-0005-0000-0000-00009E0F0000}"/>
    <cellStyle name="Note 8 4 5 2" xfId="41033" xr:uid="{89CA1894-C707-4C30-B085-F41895D42369}"/>
    <cellStyle name="Note 8 4 6" xfId="16261" xr:uid="{FE80167C-C71C-4436-B039-39B59372A17A}"/>
    <cellStyle name="Note 8 4 7" xfId="38948" xr:uid="{2EEC4FB2-8952-4D5A-AB48-4C6B2C8CBB3E}"/>
    <cellStyle name="Note 8 5" xfId="4915" xr:uid="{00000000-0005-0000-0000-000056130000}"/>
    <cellStyle name="Note 8 5 2" xfId="4916" xr:uid="{00000000-0005-0000-0000-000057130000}"/>
    <cellStyle name="Note 8 5 2 2" xfId="10440" xr:uid="{00000000-0005-0000-0000-0000A4200000}"/>
    <cellStyle name="Note 8 5 2 2 2" xfId="42929" xr:uid="{719D076B-0457-4D55-A0E6-15350DE45F97}"/>
    <cellStyle name="Note 8 5 2 3" xfId="8256" xr:uid="{00000000-0005-0000-0000-0000A30F0000}"/>
    <cellStyle name="Note 8 5 2 3 2" xfId="41050" xr:uid="{1E3A75A5-AF18-4E8A-8330-949CE670FF89}"/>
    <cellStyle name="Note 8 5 2 4" xfId="16266" xr:uid="{E023101F-3B9B-4C18-A75C-72870E67B972}"/>
    <cellStyle name="Note 8 5 2 5" xfId="38953" xr:uid="{3F030A85-D6F4-4355-9FC4-5F3B9B9DE429}"/>
    <cellStyle name="Note 8 5 3" xfId="10439" xr:uid="{00000000-0005-0000-0000-0000A3200000}"/>
    <cellStyle name="Note 8 5 3 2" xfId="42928" xr:uid="{1F8D13C1-7E5C-4ECC-AE89-D626166A92B5}"/>
    <cellStyle name="Note 8 5 4" xfId="8254" xr:uid="{00000000-0005-0000-0000-0000A20F0000}"/>
    <cellStyle name="Note 8 5 4 2" xfId="41048" xr:uid="{0F43EDCE-0E7A-4922-837E-790657E928B7}"/>
    <cellStyle name="Note 8 5 5" xfId="16265" xr:uid="{BB99A0B5-5F92-4316-85CE-D521666439E2}"/>
    <cellStyle name="Note 8 5 6" xfId="38952" xr:uid="{9CCB9CF6-0F49-4525-9412-0B85140AE7A5}"/>
    <cellStyle name="Note 8 6" xfId="4917" xr:uid="{00000000-0005-0000-0000-000058130000}"/>
    <cellStyle name="Note 8 6 2" xfId="10441" xr:uid="{00000000-0005-0000-0000-0000A5200000}"/>
    <cellStyle name="Note 8 6 2 2" xfId="42930" xr:uid="{8D35CA4B-F21F-4A58-BE7F-041C401D6EEA}"/>
    <cellStyle name="Note 8 6 3" xfId="8259" xr:uid="{00000000-0005-0000-0000-0000A40F0000}"/>
    <cellStyle name="Note 8 6 3 2" xfId="41053" xr:uid="{1D90BAD6-3E46-4F83-AC41-5D9442CE1567}"/>
    <cellStyle name="Note 8 6 4" xfId="16267" xr:uid="{EAFA0AAE-13BD-4F0C-B16B-7CB1422E2EE4}"/>
    <cellStyle name="Note 8 6 5" xfId="38954" xr:uid="{1883D2D4-F2FE-4733-8138-F9990C890A9F}"/>
    <cellStyle name="Note 8 7" xfId="10418" xr:uid="{00000000-0005-0000-0000-00008E200000}"/>
    <cellStyle name="Note 8 7 2" xfId="42907" xr:uid="{4B6B49B7-E024-45C3-A6A7-7815325CFB2F}"/>
    <cellStyle name="Note 8 8" xfId="8186" xr:uid="{00000000-0005-0000-0000-00008D0F0000}"/>
    <cellStyle name="Note 8 8 2" xfId="40981" xr:uid="{E9D51B50-28AF-4156-B8FD-6592CA86AF8F}"/>
    <cellStyle name="Note 8 9" xfId="16244" xr:uid="{7D3EEBED-DB6D-43D7-9F4E-08F6429B640C}"/>
    <cellStyle name="Note 9" xfId="5563" xr:uid="{00000000-0005-0000-0000-000059130000}"/>
    <cellStyle name="Note 9 2" xfId="39565" xr:uid="{82108418-D457-468B-AF21-C8E1090B84C6}"/>
    <cellStyle name="Nr 0 dec" xfId="4918" xr:uid="{00000000-0005-0000-0000-00005A130000}"/>
    <cellStyle name="Nr 0 dec - Input" xfId="4919" xr:uid="{00000000-0005-0000-0000-00005B130000}"/>
    <cellStyle name="Nr 0 dec - Input 2" xfId="10443" xr:uid="{00000000-0005-0000-0000-0000A7200000}"/>
    <cellStyle name="Nr 0 dec - Input 2 2" xfId="42932" xr:uid="{49ABF984-D24B-4A27-9322-68EF73C60659}"/>
    <cellStyle name="Nr 0 dec - Input 3" xfId="8266" xr:uid="{00000000-0005-0000-0000-0000A60F0000}"/>
    <cellStyle name="Nr 0 dec - Input 4" xfId="38956" xr:uid="{BC0E3D3C-D3CF-49FB-BA8A-C776C749D902}"/>
    <cellStyle name="Nr 0 dec - Subtotal" xfId="4920" xr:uid="{00000000-0005-0000-0000-00005C130000}"/>
    <cellStyle name="Nr 0 dec - Subtotal 10" xfId="20697" xr:uid="{7D0F6534-C762-465D-9524-3659AC198C65}"/>
    <cellStyle name="Nr 0 dec - Subtotal 11" xfId="20778" xr:uid="{833A4BEC-719D-403E-9530-29267ED08571}"/>
    <cellStyle name="Nr 0 dec - Subtotal 12" xfId="21586" xr:uid="{DEE06929-989E-46F4-8817-F5240426FABF}"/>
    <cellStyle name="Nr 0 dec - Subtotal 13" xfId="20445" xr:uid="{F102B37D-8F13-406D-A551-1CDB6EB29AF9}"/>
    <cellStyle name="Nr 0 dec - Subtotal 14" xfId="22287" xr:uid="{A95A2AD3-A247-4755-B240-DEE1324C6E53}"/>
    <cellStyle name="Nr 0 dec - Subtotal 15" xfId="20605" xr:uid="{B78941B1-A97B-428F-9D69-FF17CB4AD3A9}"/>
    <cellStyle name="Nr 0 dec - Subtotal 16" xfId="22410" xr:uid="{987E148B-8073-4EC3-A0A7-50646BA6AA65}"/>
    <cellStyle name="Nr 0 dec - Subtotal 17" xfId="18861" xr:uid="{735F41F8-90E1-40A4-82C8-983ED5BDF279}"/>
    <cellStyle name="Nr 0 dec - Subtotal 18" xfId="23180" xr:uid="{3FC6D614-EE56-4B92-B62E-83B36E834370}"/>
    <cellStyle name="Nr 0 dec - Subtotal 19" xfId="16270" xr:uid="{3C6313A8-F389-470E-B3F3-BF896FCAE9E0}"/>
    <cellStyle name="Nr 0 dec - Subtotal 2" xfId="4921" xr:uid="{00000000-0005-0000-0000-00005D130000}"/>
    <cellStyle name="Nr 0 dec - Subtotal 2 10" xfId="19251" xr:uid="{DBA30231-E146-498F-A2AA-C5CAC446AF33}"/>
    <cellStyle name="Nr 0 dec - Subtotal 2 11" xfId="21797" xr:uid="{FE1327BB-C66F-443C-B9F7-A18EA36CB6B7}"/>
    <cellStyle name="Nr 0 dec - Subtotal 2 12" xfId="22517" xr:uid="{B404E086-29B0-4B49-9A2D-73543D5692CB}"/>
    <cellStyle name="Nr 0 dec - Subtotal 2 13" xfId="21599" xr:uid="{0102AE5C-4528-4B7C-87BC-D74FDB42F1C2}"/>
    <cellStyle name="Nr 0 dec - Subtotal 2 14" xfId="20825" xr:uid="{47EC8303-E155-4D28-BB93-13788B325ED2}"/>
    <cellStyle name="Nr 0 dec - Subtotal 2 15" xfId="18949" xr:uid="{4B25C3EC-12A8-4F72-9FB2-37992B2C4A46}"/>
    <cellStyle name="Nr 0 dec - Subtotal 2 16" xfId="20383" xr:uid="{EACAD02C-70F7-4F16-BD2E-B5A934669C7F}"/>
    <cellStyle name="Nr 0 dec - Subtotal 2 17" xfId="26335" xr:uid="{0CBBC46A-9761-411D-B225-AF16F10B35A4}"/>
    <cellStyle name="Nr 0 dec - Subtotal 2 18" xfId="33166" xr:uid="{E8471D38-CB84-4BFF-8D81-6C82FBD6BCAA}"/>
    <cellStyle name="Nr 0 dec - Subtotal 2 19" xfId="16271" xr:uid="{747FCF30-68DF-422E-8EDF-7EC15AE2FBDE}"/>
    <cellStyle name="Nr 0 dec - Subtotal 2 2" xfId="4922" xr:uid="{00000000-0005-0000-0000-00005E130000}"/>
    <cellStyle name="Nr 0 dec - Subtotal 2 2 2" xfId="10446" xr:uid="{00000000-0005-0000-0000-0000AA200000}"/>
    <cellStyle name="Nr 0 dec - Subtotal 2 2 2 2" xfId="19786" xr:uid="{6BE9B473-F662-4800-9880-2CA7F8A6C4C1}"/>
    <cellStyle name="Nr 0 dec - Subtotal 2 2 2 3" xfId="42935" xr:uid="{2E8BDF16-6A2A-4692-B861-D52B3BDCA8D6}"/>
    <cellStyle name="Nr 0 dec - Subtotal 2 2 3" xfId="21045" xr:uid="{FB416B07-8D8D-4303-820A-FD3ECD0779F9}"/>
    <cellStyle name="Nr 0 dec - Subtotal 2 2 4" xfId="21868" xr:uid="{264C4BE1-0C75-4725-92B6-0C1F584D5CE9}"/>
    <cellStyle name="Nr 0 dec - Subtotal 2 2 5" xfId="20548" xr:uid="{0DAB2B36-A1C6-437F-A0F9-F19DE23C6325}"/>
    <cellStyle name="Nr 0 dec - Subtotal 2 2 6" xfId="20281" xr:uid="{9D069F76-B65B-46C7-ADF0-B3B15D71C12A}"/>
    <cellStyle name="Nr 0 dec - Subtotal 2 2 7" xfId="17367" xr:uid="{7D136A7F-EC22-460F-A718-8883847DA6DA}"/>
    <cellStyle name="Nr 0 dec - Subtotal 2 2 8" xfId="38959" xr:uid="{DB6884C8-6875-44BB-9F76-A3A33556B18A}"/>
    <cellStyle name="Nr 0 dec - Subtotal 2 20" xfId="38958" xr:uid="{26B34EAF-A07E-4841-86AD-5F06F8F49D9D}"/>
    <cellStyle name="Nr 0 dec - Subtotal 2 3" xfId="10445" xr:uid="{00000000-0005-0000-0000-0000A9200000}"/>
    <cellStyle name="Nr 0 dec - Subtotal 2 3 2" xfId="21025" xr:uid="{B072B82C-64F5-4C28-899E-B2F8C9B9E579}"/>
    <cellStyle name="Nr 0 dec - Subtotal 2 3 3" xfId="42934" xr:uid="{6A48DE19-A9B0-4B72-85CF-55ECF26B3F8C}"/>
    <cellStyle name="Nr 0 dec - Subtotal 2 4" xfId="9305" xr:uid="{00000000-0005-0000-0000-0000A70F0000}"/>
    <cellStyle name="Nr 0 dec - Subtotal 2 4 2" xfId="21251" xr:uid="{D433F063-60AA-4E9A-873C-5FFD91CB4E28}"/>
    <cellStyle name="Nr 0 dec - Subtotal 2 4 3" xfId="41828" xr:uid="{9A4A6D2F-BB06-4A3D-9229-41157F68912A}"/>
    <cellStyle name="Nr 0 dec - Subtotal 2 4 4" xfId="47165" xr:uid="{E9E41B3A-09E6-4546-A3D5-7BBA9DDBA327}"/>
    <cellStyle name="Nr 0 dec - Subtotal 2 4 5" xfId="46526" xr:uid="{097DD6E8-734C-46C1-91A3-441F74595624}"/>
    <cellStyle name="Nr 0 dec - Subtotal 2 4 6" xfId="47918" xr:uid="{75F6E91B-E8B0-4C3A-87DD-321EF7293FE4}"/>
    <cellStyle name="Nr 0 dec - Subtotal 2 4 7" xfId="40123" xr:uid="{F45B4ABA-9C9E-424D-857A-DC71B60399C8}"/>
    <cellStyle name="Nr 0 dec - Subtotal 2 4 8" xfId="46473" xr:uid="{871E28D8-D59C-4B4A-B431-4AAA9FF4900A}"/>
    <cellStyle name="Nr 0 dec - Subtotal 2 5" xfId="20255" xr:uid="{F3721564-E871-42C9-AA64-285E5AE5EE60}"/>
    <cellStyle name="Nr 0 dec - Subtotal 2 6" xfId="20740" xr:uid="{C862D859-50B2-41CE-ABE5-8E519E1EB353}"/>
    <cellStyle name="Nr 0 dec - Subtotal 2 7" xfId="18925" xr:uid="{1E109505-C789-4080-BAEE-3DD6D5C97451}"/>
    <cellStyle name="Nr 0 dec - Subtotal 2 8" xfId="21240" xr:uid="{8F9A8CB2-E232-4A51-B087-BF6A4E106921}"/>
    <cellStyle name="Nr 0 dec - Subtotal 2 9" xfId="19530" xr:uid="{19BBF4EA-DA42-4CD5-88A4-56AC1A51DDE3}"/>
    <cellStyle name="Nr 0 dec - Subtotal 20" xfId="38957" xr:uid="{378EF295-282C-4FBF-BF6A-789EEFFF4EA6}"/>
    <cellStyle name="Nr 0 dec - Subtotal 3" xfId="4923" xr:uid="{00000000-0005-0000-0000-00005F130000}"/>
    <cellStyle name="Nr 0 dec - Subtotal 3 2" xfId="10447" xr:uid="{00000000-0005-0000-0000-0000AB200000}"/>
    <cellStyle name="Nr 0 dec - Subtotal 3 2 2" xfId="19405" xr:uid="{B3FB59C2-1781-4F2E-BE44-C722427163CA}"/>
    <cellStyle name="Nr 0 dec - Subtotal 3 2 3" xfId="42936" xr:uid="{662EFC0C-71F4-4BF3-9087-6D1D5B3A3F33}"/>
    <cellStyle name="Nr 0 dec - Subtotal 3 3" xfId="9373" xr:uid="{00000000-0005-0000-0000-000008240000}"/>
    <cellStyle name="Nr 0 dec - Subtotal 3 3 2" xfId="21263" xr:uid="{69C7E683-EF7D-4F42-8B3C-9AD0D46F14E1}"/>
    <cellStyle name="Nr 0 dec - Subtotal 3 3 3" xfId="41881" xr:uid="{048A9C57-21C5-4CBC-9755-179E83AB7EE9}"/>
    <cellStyle name="Nr 0 dec - Subtotal 3 3 4" xfId="47196" xr:uid="{60DCBF74-1E68-41D5-97D8-FD599915A887}"/>
    <cellStyle name="Nr 0 dec - Subtotal 3 3 5" xfId="37727" xr:uid="{DB81B694-814F-461C-9581-035BD4FF91BE}"/>
    <cellStyle name="Nr 0 dec - Subtotal 3 3 6" xfId="47055" xr:uid="{F3B79B13-4682-4DAE-AD8F-F37184A8B332}"/>
    <cellStyle name="Nr 0 dec - Subtotal 3 3 7" xfId="46988" xr:uid="{6AAF286F-9CC1-4DC2-B187-F40747D062A8}"/>
    <cellStyle name="Nr 0 dec - Subtotal 3 3 8" xfId="48383" xr:uid="{2D67377E-00B4-4519-825F-5941DD389A03}"/>
    <cellStyle name="Nr 0 dec - Subtotal 3 4" xfId="20051" xr:uid="{30FEC137-16C5-4229-B675-523A72CC4B92}"/>
    <cellStyle name="Nr 0 dec - Subtotal 3 5" xfId="22134" xr:uid="{F25DB2CB-6C99-4BFE-A2C7-A0728B0234E9}"/>
    <cellStyle name="Nr 0 dec - Subtotal 3 6" xfId="21904" xr:uid="{194B5FD5-2BF4-4377-98E1-B9D918DA40E5}"/>
    <cellStyle name="Nr 0 dec - Subtotal 3 7" xfId="17366" xr:uid="{179D46BD-E874-45A1-AFDB-0076447B4A54}"/>
    <cellStyle name="Nr 0 dec - Subtotal 3 8" xfId="38960" xr:uid="{1975FFD6-B7EF-4570-B43E-22D95C256626}"/>
    <cellStyle name="Nr 0 dec - Subtotal 4" xfId="10444" xr:uid="{00000000-0005-0000-0000-0000A8200000}"/>
    <cellStyle name="Nr 0 dec - Subtotal 4 2" xfId="21024" xr:uid="{2DD7A57C-49B5-47DD-8DF8-F1CE3C8A886E}"/>
    <cellStyle name="Nr 0 dec - Subtotal 4 3" xfId="42933" xr:uid="{D2C23B45-946A-469A-8AC6-E8B3615985F4}"/>
    <cellStyle name="Nr 0 dec - Subtotal 5" xfId="8268" xr:uid="{00000000-0005-0000-0000-0000A70F0000}"/>
    <cellStyle name="Nr 0 dec - Subtotal 5 2" xfId="21252" xr:uid="{B2FC702C-6CCA-4BA7-A07D-75262BA4B9E8}"/>
    <cellStyle name="Nr 0 dec - Subtotal 5 3" xfId="41062" xr:uid="{C85F562D-9E59-48E5-ABF7-08B724F5E422}"/>
    <cellStyle name="Nr 0 dec - Subtotal 5 4" xfId="46784" xr:uid="{E019D068-D6A4-4D0E-A814-7CBD37BEC3EA}"/>
    <cellStyle name="Nr 0 dec - Subtotal 5 5" xfId="14144" xr:uid="{93A5DBAC-8133-4CFA-AA0A-11329C2F86CA}"/>
    <cellStyle name="Nr 0 dec - Subtotal 5 6" xfId="47754" xr:uid="{6B513364-762E-4F81-8A3B-27A6315470DA}"/>
    <cellStyle name="Nr 0 dec - Subtotal 5 7" xfId="49153" xr:uid="{48B8A69C-10AB-4F55-9075-34887F2D3E62}"/>
    <cellStyle name="Nr 0 dec - Subtotal 5 8" xfId="14546" xr:uid="{74CB452C-0E98-4739-8895-2FF1B3CBE7D5}"/>
    <cellStyle name="Nr 0 dec - Subtotal 6" xfId="21592" xr:uid="{EEDC0B16-196C-4539-B018-CD08933EFA36}"/>
    <cellStyle name="Nr 0 dec - Subtotal 7" xfId="21176" xr:uid="{F31060F1-6A3D-4465-ACBB-4559A306518C}"/>
    <cellStyle name="Nr 0 dec - Subtotal 8" xfId="19057" xr:uid="{4317B833-B425-4C8A-94B5-A3A1EBF32B26}"/>
    <cellStyle name="Nr 0 dec - Subtotal 9" xfId="19300" xr:uid="{747E9D7F-000F-45F0-B6AB-F6628B4FE971}"/>
    <cellStyle name="Nr 0 dec 10" xfId="8979" xr:uid="{00000000-0005-0000-0000-000003240000}"/>
    <cellStyle name="Nr 0 dec 10 2" xfId="41613" xr:uid="{E51699B6-D38D-48C1-913B-F5E798761A76}"/>
    <cellStyle name="Nr 0 dec 11" xfId="12758" xr:uid="{00000000-0005-0000-0000-000035240000}"/>
    <cellStyle name="Nr 0 dec 11 2" xfId="45229" xr:uid="{B92E622A-B7D9-4472-A62E-F27F5E277EE1}"/>
    <cellStyle name="Nr 0 dec 12" xfId="9026" xr:uid="{00000000-0005-0000-0000-00006B240000}"/>
    <cellStyle name="Nr 0 dec 12 2" xfId="41644" xr:uid="{C2E84277-0E06-4DCA-AEBD-6B41A05EF331}"/>
    <cellStyle name="Nr 0 dec 13" xfId="12784" xr:uid="{00000000-0005-0000-0000-0000A5240000}"/>
    <cellStyle name="Nr 0 dec 13 2" xfId="45255" xr:uid="{C6A15C28-A38D-4C33-85D2-9A5F8E48F7B7}"/>
    <cellStyle name="Nr 0 dec 14" xfId="9081" xr:uid="{00000000-0005-0000-0000-0000E3240000}"/>
    <cellStyle name="Nr 0 dec 14 2" xfId="41686" xr:uid="{05348233-3220-4953-9B0D-AE39F345AC14}"/>
    <cellStyle name="Nr 0 dec 15" xfId="12819" xr:uid="{00000000-0005-0000-0000-000025250000}"/>
    <cellStyle name="Nr 0 dec 15 2" xfId="45290" xr:uid="{406812DC-4741-425D-8D54-87C3D217D0F9}"/>
    <cellStyle name="Nr 0 dec 16" xfId="9145" xr:uid="{00000000-0005-0000-0000-00006B250000}"/>
    <cellStyle name="Nr 0 dec 16 2" xfId="41740" xr:uid="{A784D8F7-6C63-4412-90EB-A1F6B8A5CF50}"/>
    <cellStyle name="Nr 0 dec 17" xfId="12859" xr:uid="{00000000-0005-0000-0000-0000B5250000}"/>
    <cellStyle name="Nr 0 dec 17 2" xfId="45330" xr:uid="{3A979952-458B-4417-80BC-6FCAE0A1A6AB}"/>
    <cellStyle name="Nr 0 dec 18" xfId="9213" xr:uid="{00000000-0005-0000-0000-000003260000}"/>
    <cellStyle name="Nr 0 dec 18 2" xfId="41778" xr:uid="{B77A78D9-C76B-43C4-BC68-AD65196BFC5D}"/>
    <cellStyle name="Nr 0 dec 19" xfId="12881" xr:uid="{00000000-0005-0000-0000-000055260000}"/>
    <cellStyle name="Nr 0 dec 19 2" xfId="45352" xr:uid="{9C5D3CFC-B2FE-4F1B-AE78-D82F7B0132E1}"/>
    <cellStyle name="Nr 0 dec 2" xfId="10442" xr:uid="{00000000-0005-0000-0000-0000A6200000}"/>
    <cellStyle name="Nr 0 dec 2 2" xfId="42931" xr:uid="{8EC87E41-E043-467D-8092-29E67186F700}"/>
    <cellStyle name="Nr 0 dec 20" xfId="9274" xr:uid="{00000000-0005-0000-0000-0000AB260000}"/>
    <cellStyle name="Nr 0 dec 20 2" xfId="41808" xr:uid="{03E203C4-612C-434C-A5B0-A6157B1139A1}"/>
    <cellStyle name="Nr 0 dec 21" xfId="12907" xr:uid="{00000000-0005-0000-0000-000005270000}"/>
    <cellStyle name="Nr 0 dec 21 2" xfId="45378" xr:uid="{30832683-714A-4852-8826-D6B30592A4F5}"/>
    <cellStyle name="Nr 0 dec 22" xfId="9352" xr:uid="{00000000-0005-0000-0000-000063270000}"/>
    <cellStyle name="Nr 0 dec 22 2" xfId="41868" xr:uid="{B6991CDB-DF95-4C78-A140-362F7B2AAFF2}"/>
    <cellStyle name="Nr 0 dec 23" xfId="12912" xr:uid="{00000000-0005-0000-0000-0000C5270000}"/>
    <cellStyle name="Nr 0 dec 23 2" xfId="45383" xr:uid="{ABD02FBB-15D8-4283-82F5-5614A2A844A3}"/>
    <cellStyle name="Nr 0 dec 24" xfId="8264" xr:uid="{00000000-0005-0000-0000-0000A50F0000}"/>
    <cellStyle name="Nr 0 dec 25" xfId="13404" xr:uid="{00000000-0005-0000-0000-0000EE300000}"/>
    <cellStyle name="Nr 0 dec 25 2" xfId="45868" xr:uid="{97EC2199-C075-481B-989D-5AFB3B2D0A90}"/>
    <cellStyle name="Nr 0 dec 26" xfId="11231" xr:uid="{00000000-0005-0000-0000-00005C310000}"/>
    <cellStyle name="Nr 0 dec 26 2" xfId="43720" xr:uid="{02084302-BFA2-440F-9830-5707A5A4F6DA}"/>
    <cellStyle name="Nr 0 dec 27" xfId="13465" xr:uid="{00000000-0005-0000-0000-0000CE310000}"/>
    <cellStyle name="Nr 0 dec 27 2" xfId="45929" xr:uid="{A920EB3C-8E59-4A01-B2B5-32FFC2C52D86}"/>
    <cellStyle name="Nr 0 dec 28" xfId="11177" xr:uid="{00000000-0005-0000-0000-000044320000}"/>
    <cellStyle name="Nr 0 dec 28 2" xfId="43666" xr:uid="{3E753E37-D0B5-44FE-9CCE-89A3315F8C3D}"/>
    <cellStyle name="Nr 0 dec 29" xfId="13518" xr:uid="{00000000-0005-0000-0000-0000BE320000}"/>
    <cellStyle name="Nr 0 dec 29 2" xfId="45982" xr:uid="{A700F4A3-A01F-4136-B2C4-E838E85BD27C}"/>
    <cellStyle name="Nr 0 dec 3" xfId="12688" xr:uid="{00000000-0005-0000-0000-000015230000}"/>
    <cellStyle name="Nr 0 dec 3 2" xfId="45159" xr:uid="{1F7F6B7D-1AEE-480F-88D9-7BBDA105E9F8}"/>
    <cellStyle name="Nr 0 dec 30" xfId="11123" xr:uid="{00000000-0005-0000-0000-00003C330000}"/>
    <cellStyle name="Nr 0 dec 30 2" xfId="43612" xr:uid="{740FB7A0-D543-41F5-9996-FDFFD5698720}"/>
    <cellStyle name="Nr 0 dec 31" xfId="13565" xr:uid="{00000000-0005-0000-0000-0000BE330000}"/>
    <cellStyle name="Nr 0 dec 31 2" xfId="46029" xr:uid="{18C85AFC-9F4A-44CF-A736-740ADBFD18D5}"/>
    <cellStyle name="Nr 0 dec 32" xfId="11068" xr:uid="{00000000-0005-0000-0000-000044340000}"/>
    <cellStyle name="Nr 0 dec 32 2" xfId="43557" xr:uid="{6A98F677-AD3B-43F1-8928-493CA3F94044}"/>
    <cellStyle name="Nr 0 dec 33" xfId="13584" xr:uid="{00000000-0005-0000-0000-0000CE340000}"/>
    <cellStyle name="Nr 0 dec 33 2" xfId="46048" xr:uid="{A6DE65A8-2BB2-4263-BC14-E14CD130475C}"/>
    <cellStyle name="Nr 0 dec 34" xfId="11036" xr:uid="{00000000-0005-0000-0000-00005C350000}"/>
    <cellStyle name="Nr 0 dec 34 2" xfId="43525" xr:uid="{DDBC87C4-AE70-4F24-A805-3EFFE0765DA4}"/>
    <cellStyle name="Nr 0 dec 35" xfId="16268" xr:uid="{D56F53E7-2AF8-45AC-B187-E1DFCBEB0DC3}"/>
    <cellStyle name="Nr 0 dec 36" xfId="38955" xr:uid="{E82176C9-84FB-4CE1-9BCF-24F079DC85C4}"/>
    <cellStyle name="Nr 0 dec 37" xfId="15414" xr:uid="{081D2D51-8198-4FA7-B904-C3FB0A9A476C}"/>
    <cellStyle name="Nr 0 dec 38" xfId="46077" xr:uid="{388085C2-F031-4C4B-A7D7-6C8318FA3E54}"/>
    <cellStyle name="Nr 0 dec 39" xfId="16449" xr:uid="{3A25D4FA-57B1-434D-BEBB-EFD2A1751DED}"/>
    <cellStyle name="Nr 0 dec 4" xfId="8867" xr:uid="{00000000-0005-0000-0000-00002B230000}"/>
    <cellStyle name="Nr 0 dec 4 2" xfId="41518" xr:uid="{102681B3-6A0C-48C2-ADB3-87AE9BA4006C}"/>
    <cellStyle name="Nr 0 dec 40" xfId="14911" xr:uid="{591DA387-8FD7-4472-B1E0-302F978D5571}"/>
    <cellStyle name="Nr 0 dec 41" xfId="16530" xr:uid="{12F6D681-472F-4824-B532-69D416B26194}"/>
    <cellStyle name="Nr 0 dec 42" xfId="40389" xr:uid="{ECCC5003-2CE9-454B-864F-93D9879AEACF}"/>
    <cellStyle name="Nr 0 dec 43" xfId="38015" xr:uid="{54357C5F-C9E0-44C4-92A3-E845EE27484C}"/>
    <cellStyle name="Nr 0 dec 5" xfId="12703" xr:uid="{00000000-0005-0000-0000-000045230000}"/>
    <cellStyle name="Nr 0 dec 5 2" xfId="45174" xr:uid="{6C1DDA8B-0B33-406A-BAC1-A5DC508500BC}"/>
    <cellStyle name="Nr 0 dec 6" xfId="8900" xr:uid="{00000000-0005-0000-0000-000063230000}"/>
    <cellStyle name="Nr 0 dec 6 2" xfId="41547" xr:uid="{BA9C8406-2DCC-455C-A39C-B97821E52BCD}"/>
    <cellStyle name="Nr 0 dec 7" xfId="12711" xr:uid="{00000000-0005-0000-0000-000085230000}"/>
    <cellStyle name="Nr 0 dec 7 2" xfId="45182" xr:uid="{8B8A8A21-38EB-48FA-9F29-53B10B33EA7E}"/>
    <cellStyle name="Nr 0 dec 8" xfId="8933" xr:uid="{00000000-0005-0000-0000-0000AB230000}"/>
    <cellStyle name="Nr 0 dec 8 2" xfId="41577" xr:uid="{4DADA664-B1FE-4E3F-9A81-D306CB741CE9}"/>
    <cellStyle name="Nr 0 dec 9" xfId="12736" xr:uid="{00000000-0005-0000-0000-0000D5230000}"/>
    <cellStyle name="Nr 0 dec 9 2" xfId="45207" xr:uid="{C5CBF83E-9608-4954-9C0B-0DC674AB4B9E}"/>
    <cellStyle name="Nr 0 dec_Data" xfId="4924" xr:uid="{00000000-0005-0000-0000-000060130000}"/>
    <cellStyle name="Nr 1 dec" xfId="4925" xr:uid="{00000000-0005-0000-0000-000061130000}"/>
    <cellStyle name="Nr 1 dec - Input" xfId="4926" xr:uid="{00000000-0005-0000-0000-000062130000}"/>
    <cellStyle name="Nr 1 dec - Input 2" xfId="10449" xr:uid="{00000000-0005-0000-0000-0000AE200000}"/>
    <cellStyle name="Nr 1 dec - Input 2 2" xfId="42938" xr:uid="{A8539376-55AC-4218-BCC7-D74A06EAE38A}"/>
    <cellStyle name="Nr 1 dec - Input 3" xfId="8277" xr:uid="{00000000-0005-0000-0000-0000AA0F0000}"/>
    <cellStyle name="Nr 1 dec - Input 4" xfId="38962" xr:uid="{BEC180CE-29B2-4CED-9C6E-F85218221251}"/>
    <cellStyle name="Nr 1 dec 10" xfId="8986" xr:uid="{00000000-0005-0000-0000-000004240000}"/>
    <cellStyle name="Nr 1 dec 10 2" xfId="41620" xr:uid="{BC5AC150-D30A-4A30-A18A-3B1449A40159}"/>
    <cellStyle name="Nr 1 dec 11" xfId="12765" xr:uid="{00000000-0005-0000-0000-000036240000}"/>
    <cellStyle name="Nr 1 dec 11 2" xfId="45236" xr:uid="{4F1BA594-9A93-42C5-936F-9C507A132160}"/>
    <cellStyle name="Nr 1 dec 12" xfId="9033" xr:uid="{00000000-0005-0000-0000-00006C240000}"/>
    <cellStyle name="Nr 1 dec 12 2" xfId="41648" xr:uid="{1BC1871A-6D22-48FF-8EA5-EFFDEF2B445C}"/>
    <cellStyle name="Nr 1 dec 13" xfId="12791" xr:uid="{00000000-0005-0000-0000-0000A6240000}"/>
    <cellStyle name="Nr 1 dec 13 2" xfId="45262" xr:uid="{8D34AF11-B985-4BF3-BAA6-E72EC9310E7E}"/>
    <cellStyle name="Nr 1 dec 14" xfId="9089" xr:uid="{00000000-0005-0000-0000-0000E4240000}"/>
    <cellStyle name="Nr 1 dec 14 2" xfId="41692" xr:uid="{9313687E-A921-4614-AED6-2F3020784381}"/>
    <cellStyle name="Nr 1 dec 15" xfId="12825" xr:uid="{00000000-0005-0000-0000-000026250000}"/>
    <cellStyle name="Nr 1 dec 15 2" xfId="45296" xr:uid="{5643CEDC-2519-437C-99CC-114BC77284F5}"/>
    <cellStyle name="Nr 1 dec 16" xfId="9152" xr:uid="{00000000-0005-0000-0000-00006C250000}"/>
    <cellStyle name="Nr 1 dec 16 2" xfId="41746" xr:uid="{BA5FE5DB-4087-4BE6-AF14-42708C0D91E0}"/>
    <cellStyle name="Nr 1 dec 17" xfId="12864" xr:uid="{00000000-0005-0000-0000-0000B6250000}"/>
    <cellStyle name="Nr 1 dec 17 2" xfId="45335" xr:uid="{DD4B4AF4-EA9F-4E8F-890C-5F8126FEE48C}"/>
    <cellStyle name="Nr 1 dec 18" xfId="9220" xr:uid="{00000000-0005-0000-0000-000004260000}"/>
    <cellStyle name="Nr 1 dec 18 2" xfId="41784" xr:uid="{41853655-E0A8-4642-B042-3C64496994BA}"/>
    <cellStyle name="Nr 1 dec 19" xfId="12884" xr:uid="{00000000-0005-0000-0000-000056260000}"/>
    <cellStyle name="Nr 1 dec 19 2" xfId="45355" xr:uid="{C6AC2D87-DA4C-4F4D-9AF2-50B950F2C6F0}"/>
    <cellStyle name="Nr 1 dec 2" xfId="10448" xr:uid="{00000000-0005-0000-0000-0000AD200000}"/>
    <cellStyle name="Nr 1 dec 2 2" xfId="9374" xr:uid="{00000000-0005-0000-0000-00000A240000}"/>
    <cellStyle name="Nr 1 dec 2 3" xfId="42937" xr:uid="{DC4FACFD-FEAE-44E5-9428-6A9AA0CECDA6}"/>
    <cellStyle name="Nr 1 dec 20" xfId="9279" xr:uid="{00000000-0005-0000-0000-0000AC260000}"/>
    <cellStyle name="Nr 1 dec 20 2" xfId="41813" xr:uid="{2993D5F1-8885-42BA-86BE-E3F4309C1EFD}"/>
    <cellStyle name="Nr 1 dec 21" xfId="12908" xr:uid="{00000000-0005-0000-0000-000006270000}"/>
    <cellStyle name="Nr 1 dec 21 2" xfId="45379" xr:uid="{A8046E7D-64DB-4D66-B36D-C784EC1D6D78}"/>
    <cellStyle name="Nr 1 dec 22" xfId="9359" xr:uid="{00000000-0005-0000-0000-000064270000}"/>
    <cellStyle name="Nr 1 dec 22 2" xfId="41873" xr:uid="{B43FD5A6-333B-46EC-B845-EB5A6883C8C7}"/>
    <cellStyle name="Nr 1 dec 23" xfId="12915" xr:uid="{00000000-0005-0000-0000-0000C6270000}"/>
    <cellStyle name="Nr 1 dec 23 2" xfId="45386" xr:uid="{8B3DF4F8-B390-4E10-A33D-F3FC13ECCF38}"/>
    <cellStyle name="Nr 1 dec 24" xfId="8275" xr:uid="{00000000-0005-0000-0000-0000A90F0000}"/>
    <cellStyle name="Nr 1 dec 25" xfId="13411" xr:uid="{00000000-0005-0000-0000-0000EF300000}"/>
    <cellStyle name="Nr 1 dec 25 2" xfId="45875" xr:uid="{73DEA0B4-41AB-4568-AEA3-7BC2416439A4}"/>
    <cellStyle name="Nr 1 dec 26" xfId="11226" xr:uid="{00000000-0005-0000-0000-00005D310000}"/>
    <cellStyle name="Nr 1 dec 26 2" xfId="43715" xr:uid="{3242CCCC-8569-4334-A4F6-E3E10CCFE429}"/>
    <cellStyle name="Nr 1 dec 27" xfId="13468" xr:uid="{00000000-0005-0000-0000-0000CF310000}"/>
    <cellStyle name="Nr 1 dec 27 2" xfId="45932" xr:uid="{8B750C38-F4CA-4319-9DE6-075F2D240487}"/>
    <cellStyle name="Nr 1 dec 28" xfId="11170" xr:uid="{00000000-0005-0000-0000-000045320000}"/>
    <cellStyle name="Nr 1 dec 28 2" xfId="43659" xr:uid="{ABF6978C-3504-4261-A4F7-4209029BF4FA}"/>
    <cellStyle name="Nr 1 dec 29" xfId="13522" xr:uid="{00000000-0005-0000-0000-0000BF320000}"/>
    <cellStyle name="Nr 1 dec 29 2" xfId="45986" xr:uid="{C8A28440-174C-4FC5-9E47-FE66D50E2CC7}"/>
    <cellStyle name="Nr 1 dec 3" xfId="12695" xr:uid="{00000000-0005-0000-0000-000016230000}"/>
    <cellStyle name="Nr 1 dec 3 2" xfId="45166" xr:uid="{ACA7AD8B-801F-4365-96E7-8502DBD1EAE0}"/>
    <cellStyle name="Nr 1 dec 30" xfId="11116" xr:uid="{00000000-0005-0000-0000-00003D330000}"/>
    <cellStyle name="Nr 1 dec 30 2" xfId="43605" xr:uid="{AE54585E-8C89-4FEA-A024-774C580EEC59}"/>
    <cellStyle name="Nr 1 dec 31" xfId="13571" xr:uid="{00000000-0005-0000-0000-0000BF330000}"/>
    <cellStyle name="Nr 1 dec 31 2" xfId="46035" xr:uid="{01446C05-1F76-4DCA-ACFD-DC5FECDF45C9}"/>
    <cellStyle name="Nr 1 dec 32" xfId="11064" xr:uid="{00000000-0005-0000-0000-000045340000}"/>
    <cellStyle name="Nr 1 dec 32 2" xfId="43553" xr:uid="{EB34E244-1B49-4354-BC34-F18C35DB5E88}"/>
    <cellStyle name="Nr 1 dec 33" xfId="13585" xr:uid="{00000000-0005-0000-0000-0000CF340000}"/>
    <cellStyle name="Nr 1 dec 33 2" xfId="46049" xr:uid="{421F8ED8-E98C-4AD1-8C72-E22009BB9FA1}"/>
    <cellStyle name="Nr 1 dec 34" xfId="11035" xr:uid="{00000000-0005-0000-0000-00005D350000}"/>
    <cellStyle name="Nr 1 dec 34 2" xfId="43524" xr:uid="{DED59CBC-1ACE-47C7-BE76-645C427564EB}"/>
    <cellStyle name="Nr 1 dec 35" xfId="16272" xr:uid="{BCEB9575-155D-40CE-B563-6AEFB49D6B61}"/>
    <cellStyle name="Nr 1 dec 36" xfId="38961" xr:uid="{D885D107-E074-4273-B09A-AD3DFD4C1AB5}"/>
    <cellStyle name="Nr 1 dec 37" xfId="15416" xr:uid="{783D9F87-4343-4C32-8F64-4874408D26C5}"/>
    <cellStyle name="Nr 1 dec 38" xfId="16582" xr:uid="{504414B5-3FE7-46BB-BF2F-D9062F6F40C3}"/>
    <cellStyle name="Nr 1 dec 39" xfId="39578" xr:uid="{DBCEFE4A-8C9C-4877-BF3B-B3B1F50F7605}"/>
    <cellStyle name="Nr 1 dec 4" xfId="8875" xr:uid="{00000000-0005-0000-0000-00002C230000}"/>
    <cellStyle name="Nr 1 dec 4 2" xfId="41523" xr:uid="{39CEE862-8333-4A82-A6D8-B81153A8C7F9}"/>
    <cellStyle name="Nr 1 dec 40" xfId="47251" xr:uid="{EB734A3F-615B-43E0-AF3F-E17C53BAA7BB}"/>
    <cellStyle name="Nr 1 dec 41" xfId="15024" xr:uid="{71DAF92A-5F5C-423C-8014-2F9C34CBBB5C}"/>
    <cellStyle name="Nr 1 dec 42" xfId="16320" xr:uid="{FF6F2370-84E9-4196-A84C-D6468441F612}"/>
    <cellStyle name="Nr 1 dec 43" xfId="48212" xr:uid="{8D283BE5-369D-41A2-90A2-7D4027AA640B}"/>
    <cellStyle name="Nr 1 dec 5" xfId="12705" xr:uid="{00000000-0005-0000-0000-000046230000}"/>
    <cellStyle name="Nr 1 dec 5 2" xfId="45176" xr:uid="{91C47D95-61D2-48D2-B89C-4DF9B93B283B}"/>
    <cellStyle name="Nr 1 dec 6" xfId="8907" xr:uid="{00000000-0005-0000-0000-000064230000}"/>
    <cellStyle name="Nr 1 dec 6 2" xfId="41553" xr:uid="{1087D887-86BC-4DEF-960B-4701FBAB67A6}"/>
    <cellStyle name="Nr 1 dec 7" xfId="12714" xr:uid="{00000000-0005-0000-0000-000086230000}"/>
    <cellStyle name="Nr 1 dec 7 2" xfId="45185" xr:uid="{2C086C6C-1641-4476-A59E-4E05601764FD}"/>
    <cellStyle name="Nr 1 dec 8" xfId="8947" xr:uid="{00000000-0005-0000-0000-0000AC230000}"/>
    <cellStyle name="Nr 1 dec 8 2" xfId="41590" xr:uid="{16F05D67-0D66-4268-9B6F-73BAC143E8E6}"/>
    <cellStyle name="Nr 1 dec 9" xfId="12737" xr:uid="{00000000-0005-0000-0000-0000D6230000}"/>
    <cellStyle name="Nr 1 dec 9 2" xfId="45208" xr:uid="{54E08AC1-3FBD-4B52-B3B2-9FF9246D69D7}"/>
    <cellStyle name="Nr, 0 dec" xfId="4927" xr:uid="{00000000-0005-0000-0000-000063130000}"/>
    <cellStyle name="Nr, 0 dec 2" xfId="10450" xr:uid="{00000000-0005-0000-0000-0000AF200000}"/>
    <cellStyle name="Nr, 0 dec 2 2" xfId="9375" xr:uid="{00000000-0005-0000-0000-00000C240000}"/>
    <cellStyle name="Nr, 0 dec 2 3" xfId="42939" xr:uid="{EC687773-9AF1-4663-BE6B-E97931FB0FB2}"/>
    <cellStyle name="Nr, 0 dec 3" xfId="8278" xr:uid="{00000000-0005-0000-0000-0000AB0F0000}"/>
    <cellStyle name="Nr, 0 dec 4" xfId="38963" xr:uid="{73F1C0B6-9195-4B33-81A0-D17A1F130307}"/>
    <cellStyle name="number" xfId="4928" xr:uid="{00000000-0005-0000-0000-000064130000}"/>
    <cellStyle name="number 2" xfId="10451" xr:uid="{00000000-0005-0000-0000-0000B0200000}"/>
    <cellStyle name="number 2 2" xfId="42940" xr:uid="{3C32774B-11AD-433B-975E-D7C2D3751784}"/>
    <cellStyle name="number 3" xfId="8280" xr:uid="{00000000-0005-0000-0000-0000AC0F0000}"/>
    <cellStyle name="number 4" xfId="38964" xr:uid="{0A01A470-4DD8-480A-87A8-6F51B9419F47}"/>
    <cellStyle name="Number, 1 dec" xfId="4929" xr:uid="{00000000-0005-0000-0000-000065130000}"/>
    <cellStyle name="Number, 1 dec 2" xfId="10452" xr:uid="{00000000-0005-0000-0000-0000B1200000}"/>
    <cellStyle name="Number, 1 dec 2 2" xfId="42941" xr:uid="{14D62081-5BED-44F7-8FF9-61CD1EB51534}"/>
    <cellStyle name="Number, 1 dec 3" xfId="8281" xr:uid="{00000000-0005-0000-0000-0000AD0F0000}"/>
    <cellStyle name="Number, 1 dec 4" xfId="38965" xr:uid="{EB1AA82B-F55C-4ADD-86DD-A3686A90EF9A}"/>
    <cellStyle name="Output" xfId="5536" builtinId="21" customBuiltin="1"/>
    <cellStyle name="Output (1dp#)" xfId="4930" xr:uid="{00000000-0005-0000-0000-000067130000}"/>
    <cellStyle name="Output (1dp#) 2" xfId="10453" xr:uid="{00000000-0005-0000-0000-0000B2200000}"/>
    <cellStyle name="Output (1dp#) 2 2" xfId="42942" xr:uid="{78ECE396-1B18-4479-ABA0-9100A2C998F8}"/>
    <cellStyle name="Output (1dp#) 3" xfId="8282" xr:uid="{00000000-0005-0000-0000-0000AE0F0000}"/>
    <cellStyle name="Output (1dp#) 4" xfId="38966" xr:uid="{6C10B5CD-FFB4-47E4-90D7-3C712A6605A6}"/>
    <cellStyle name="Output (1dpx)_ Pies " xfId="4931" xr:uid="{00000000-0005-0000-0000-000068130000}"/>
    <cellStyle name="Output 2" xfId="4932" xr:uid="{00000000-0005-0000-0000-000069130000}"/>
    <cellStyle name="Output 2 10" xfId="4933" xr:uid="{00000000-0005-0000-0000-00006A130000}"/>
    <cellStyle name="Output 2 10 10" xfId="22260" xr:uid="{DAEEFC06-8878-416E-9EF9-D680ED577A0B}"/>
    <cellStyle name="Output 2 10 11" xfId="22210" xr:uid="{2FA05547-EE6C-41AB-86FC-3F73F355C12C}"/>
    <cellStyle name="Output 2 10 12" xfId="21496" xr:uid="{D62FAB40-D596-4BC4-86A2-342F9F005B85}"/>
    <cellStyle name="Output 2 10 13" xfId="21191" xr:uid="{F6FB29A7-6F3B-471C-A3DC-B37E7FA5B592}"/>
    <cellStyle name="Output 2 10 14" xfId="22632" xr:uid="{14397E6F-F9A7-485C-80DB-674178C39543}"/>
    <cellStyle name="Output 2 10 15" xfId="20451" xr:uid="{AA2114CA-074C-45DB-B6C7-0C2B929CD8D9}"/>
    <cellStyle name="Output 2 10 16" xfId="22853" xr:uid="{5A3AF7F4-A579-4955-A507-870BE4DEEA23}"/>
    <cellStyle name="Output 2 10 17" xfId="18214" xr:uid="{A222F02A-9D21-4FBA-9332-16500F4D712B}"/>
    <cellStyle name="Output 2 10 18" xfId="27343" xr:uid="{CFE211B9-97FA-47CD-9F1E-049F498F8B2C}"/>
    <cellStyle name="Output 2 10 19" xfId="16275" xr:uid="{E066F580-44C4-4F5D-8A70-65AC16080536}"/>
    <cellStyle name="Output 2 10 2" xfId="10455" xr:uid="{00000000-0005-0000-0000-0000B5200000}"/>
    <cellStyle name="Output 2 10 2 10" xfId="20797" xr:uid="{4B32C9AC-74C5-4F71-9729-81FE2CB4523F}"/>
    <cellStyle name="Output 2 10 2 11" xfId="20773" xr:uid="{9EEFE24D-79F0-4F7E-A030-A338EA205DB5}"/>
    <cellStyle name="Output 2 10 2 12" xfId="22803" xr:uid="{BAC50ACA-F06B-4141-9827-2385EE86D584}"/>
    <cellStyle name="Output 2 10 2 13" xfId="21832" xr:uid="{BE4D94BD-4B13-40D7-882D-A43428F96118}"/>
    <cellStyle name="Output 2 10 2 14" xfId="22938" xr:uid="{4AA10996-9D07-4DA0-A519-82C658613143}"/>
    <cellStyle name="Output 2 10 2 15" xfId="18971" xr:uid="{F9FC05DD-91F5-4EF6-BF6B-39B5EE2B1BBB}"/>
    <cellStyle name="Output 2 10 2 16" xfId="33185" xr:uid="{B478B7DC-8863-404C-B517-B52F67FDE268}"/>
    <cellStyle name="Output 2 10 2 17" xfId="18760" xr:uid="{53A08A95-371F-49C5-B118-E645AA410AF7}"/>
    <cellStyle name="Output 2 10 2 18" xfId="42944" xr:uid="{F660C627-5780-4513-A9AB-E86BA9AD1827}"/>
    <cellStyle name="Output 2 10 2 2" xfId="9492" xr:uid="{00000000-0005-0000-0000-000012240000}"/>
    <cellStyle name="Output 2 10 2 2 2" xfId="19784" xr:uid="{DA0A3BEE-619C-4A8E-AC0B-F0E50A0ED51C}"/>
    <cellStyle name="Output 2 10 2 2 3" xfId="41981" xr:uid="{D2E29BE2-880E-4AEB-BDD4-0A8F11BEC941}"/>
    <cellStyle name="Output 2 10 2 2 4" xfId="37744" xr:uid="{1D6D284B-C0B3-401C-BE7D-9842A2321C41}"/>
    <cellStyle name="Output 2 10 2 2 5" xfId="47375" xr:uid="{E6846215-3235-4BBA-83E2-5BD36DC0FF90}"/>
    <cellStyle name="Output 2 10 2 2 6" xfId="47194" xr:uid="{4CCE0408-3E6A-43BD-9C89-A99A4D9E3B4D}"/>
    <cellStyle name="Output 2 10 2 2 7" xfId="47005" xr:uid="{0741615F-C7FD-447F-BFB5-836141C955DC}"/>
    <cellStyle name="Output 2 10 2 3" xfId="20515" xr:uid="{F6601C2A-2831-4716-BFD3-30FD84C1448A}"/>
    <cellStyle name="Output 2 10 2 4" xfId="19231" xr:uid="{3C424C04-427F-426F-B74E-6A5D22EB50A7}"/>
    <cellStyle name="Output 2 10 2 5" xfId="19121" xr:uid="{7A02813A-C0CA-402D-AB0F-581E7088BAB8}"/>
    <cellStyle name="Output 2 10 2 6" xfId="20982" xr:uid="{7D313EE9-E708-4D2B-B1F9-857B63C31010}"/>
    <cellStyle name="Output 2 10 2 7" xfId="20077" xr:uid="{309570C5-7645-47C2-BD05-107350A608F4}"/>
    <cellStyle name="Output 2 10 2 8" xfId="19210" xr:uid="{3BF88BEB-8B1D-4BD7-B644-2FE412EC5A18}"/>
    <cellStyle name="Output 2 10 2 9" xfId="22557" xr:uid="{BB7E8A29-B3EF-4324-ACBD-D630B6C68A25}"/>
    <cellStyle name="Output 2 10 20" xfId="38968" xr:uid="{C6486D3F-499F-4B71-9483-A67B8ACE2797}"/>
    <cellStyle name="Output 2 10 3" xfId="9306" xr:uid="{00000000-0005-0000-0000-0000B00F0000}"/>
    <cellStyle name="Output 2 10 3 2" xfId="26064" xr:uid="{11F5B90E-1351-4AD1-A308-CCEEFD8B4FE2}"/>
    <cellStyle name="Output 2 10 3 3" xfId="32892" xr:uid="{75FB5659-98E8-4645-A6FA-705BF4D310B4}"/>
    <cellStyle name="Output 2 10 3 4" xfId="20331" xr:uid="{7028DD9A-A9E4-4080-A461-9EAFE6D96339}"/>
    <cellStyle name="Output 2 10 3 5" xfId="41829" xr:uid="{30BBF6D1-3434-4A63-8889-F701D0A1584E}"/>
    <cellStyle name="Output 2 10 3 6" xfId="46528" xr:uid="{C3756F02-59EC-4422-A234-FF87336C0700}"/>
    <cellStyle name="Output 2 10 3 7" xfId="48220" xr:uid="{3775954B-ED20-4BC4-8945-4B6F6F25EAAE}"/>
    <cellStyle name="Output 2 10 3 8" xfId="48785" xr:uid="{DDE1576A-60F7-4E23-8D24-0855C2A67872}"/>
    <cellStyle name="Output 2 10 3 9" xfId="47285" xr:uid="{B4AF1E37-B780-4D9C-B8A9-14A1E1EEC761}"/>
    <cellStyle name="Output 2 10 4" xfId="20923" xr:uid="{FB945E54-55E4-4DDE-8FAE-02424695B501}"/>
    <cellStyle name="Output 2 10 5" xfId="20119" xr:uid="{D2980D50-2D45-4DB9-A2AA-E292314B6C66}"/>
    <cellStyle name="Output 2 10 6" xfId="18920" xr:uid="{837BD621-C020-49BB-A59A-4FF19169876D}"/>
    <cellStyle name="Output 2 10 7" xfId="20248" xr:uid="{B7BFCDED-98A4-436C-8407-6F95A763DEF4}"/>
    <cellStyle name="Output 2 10 8" xfId="21306" xr:uid="{0E8197A6-C70F-43A1-891A-C91F74E680C1}"/>
    <cellStyle name="Output 2 10 9" xfId="22116" xr:uid="{2D295CF4-C920-48E3-8767-580AAE6AEC11}"/>
    <cellStyle name="Output 2 11" xfId="4934" xr:uid="{00000000-0005-0000-0000-00006B130000}"/>
    <cellStyle name="Output 2 11 10" xfId="21861" xr:uid="{16A0A503-AE2D-4C25-A9CB-1A437273E092}"/>
    <cellStyle name="Output 2 11 11" xfId="22251" xr:uid="{D61CBE18-657A-4FFF-9BAF-B42E1A74189D}"/>
    <cellStyle name="Output 2 11 12" xfId="21146" xr:uid="{52D78FE6-C5BA-4D37-AFB6-B2A4E0106ED8}"/>
    <cellStyle name="Output 2 11 13" xfId="20893" xr:uid="{FAAD835D-1291-4D6D-8468-457E6D93BFD0}"/>
    <cellStyle name="Output 2 11 14" xfId="20189" xr:uid="{E2A5E4E0-E39C-491A-B80B-2155FB6D4AFD}"/>
    <cellStyle name="Output 2 11 15" xfId="21618" xr:uid="{E1B50617-AF00-478C-BA33-C97C108B117C}"/>
    <cellStyle name="Output 2 11 16" xfId="22627" xr:uid="{94A01A4B-42D0-4354-A7F3-264062D3392E}"/>
    <cellStyle name="Output 2 11 17" xfId="18215" xr:uid="{4DB3DD53-60CC-43A1-BDD3-D4CC6DFBD74C}"/>
    <cellStyle name="Output 2 11 18" xfId="31779" xr:uid="{CA32C365-0434-4A31-B594-A79A48044429}"/>
    <cellStyle name="Output 2 11 19" xfId="16276" xr:uid="{2C00B82E-C35E-4A5D-8CFC-C22779951C7D}"/>
    <cellStyle name="Output 2 11 2" xfId="10456" xr:uid="{00000000-0005-0000-0000-0000B6200000}"/>
    <cellStyle name="Output 2 11 2 10" xfId="18890" xr:uid="{63299995-B123-415D-9B0F-50962DE7D60D}"/>
    <cellStyle name="Output 2 11 2 11" xfId="20635" xr:uid="{BB732417-E9D3-4DB8-876D-1F9507B95BE2}"/>
    <cellStyle name="Output 2 11 2 12" xfId="22804" xr:uid="{EF83CFB5-234C-45C9-9D5B-CA6ED7B28ADD}"/>
    <cellStyle name="Output 2 11 2 13" xfId="21824" xr:uid="{A0AAA430-3110-491B-9DA7-E9C37D500D82}"/>
    <cellStyle name="Output 2 11 2 14" xfId="22939" xr:uid="{AD28657D-5E47-4DCB-9FCC-B2B108A36DCD}"/>
    <cellStyle name="Output 2 11 2 15" xfId="20718" xr:uid="{C01CD4AE-2685-4EA6-8CAE-28C81A8BBFD4}"/>
    <cellStyle name="Output 2 11 2 16" xfId="34461" xr:uid="{A8C2EF47-F199-4FAB-8684-CAE9EA88D2F5}"/>
    <cellStyle name="Output 2 11 2 17" xfId="18761" xr:uid="{D22FD1C1-6409-409E-B5C5-38D7CA829887}"/>
    <cellStyle name="Output 2 11 2 18" xfId="42945" xr:uid="{906685F6-60E3-4629-B1D0-BD4326793541}"/>
    <cellStyle name="Output 2 11 2 2" xfId="19783" xr:uid="{373F0F2C-A1A9-42BB-819F-ABF98C81B5A4}"/>
    <cellStyle name="Output 2 11 2 3" xfId="20516" xr:uid="{6820947B-BB1A-4977-8E52-3A0E509DC9B5}"/>
    <cellStyle name="Output 2 11 2 4" xfId="20583" xr:uid="{E6AC1902-43CA-4A92-9B4D-15EF0F7CD631}"/>
    <cellStyle name="Output 2 11 2 5" xfId="19160" xr:uid="{15DBCA6A-4171-4F37-AC6C-6026AD750560}"/>
    <cellStyle name="Output 2 11 2 6" xfId="20039" xr:uid="{EEC749F3-1C7A-4721-86C3-871B84414514}"/>
    <cellStyle name="Output 2 11 2 7" xfId="22146" xr:uid="{996CA7D4-FCE1-4161-9420-D333AAA74B21}"/>
    <cellStyle name="Output 2 11 2 8" xfId="21866" xr:uid="{D436DCEE-0ECA-4C19-84C7-71891EE0EB12}"/>
    <cellStyle name="Output 2 11 2 9" xfId="22558" xr:uid="{A526E294-589D-4A0C-9103-C28EDC87F701}"/>
    <cellStyle name="Output 2 11 20" xfId="38969" xr:uid="{E6584700-7F19-49DF-AC46-57D253339A45}"/>
    <cellStyle name="Output 2 11 3" xfId="20330" xr:uid="{92B575C4-25D9-4479-A62C-27CF386431A2}"/>
    <cellStyle name="Output 2 11 3 2" xfId="29697" xr:uid="{BF2E1B19-CEB7-4BA5-B642-014B3A7F9A70}"/>
    <cellStyle name="Output 2 11 3 3" xfId="36542" xr:uid="{4D8AD3E0-1B2A-4980-A3FD-50C4D7C6F801}"/>
    <cellStyle name="Output 2 11 4" xfId="21245" xr:uid="{6F2C1580-8369-43A1-87A1-F704A23AA21F}"/>
    <cellStyle name="Output 2 11 5" xfId="19389" xr:uid="{5D447D9E-573B-4801-A3FB-9ABAA2984DE7}"/>
    <cellStyle name="Output 2 11 6" xfId="21462" xr:uid="{42F9BF98-8B80-445D-A384-82B85FBF3A03}"/>
    <cellStyle name="Output 2 11 7" xfId="21340" xr:uid="{0188B238-56D5-4C95-90FA-53C8291149E4}"/>
    <cellStyle name="Output 2 11 8" xfId="21682" xr:uid="{51452F31-B353-4EB3-8AE3-574021F36D8A}"/>
    <cellStyle name="Output 2 11 9" xfId="21315" xr:uid="{A874A7CF-5A22-4660-851B-E5ADDDEFBED0}"/>
    <cellStyle name="Output 2 12" xfId="4935" xr:uid="{00000000-0005-0000-0000-00006C130000}"/>
    <cellStyle name="Output 2 12 10" xfId="21000" xr:uid="{31E3F1F3-3DB0-416A-90B8-F8E81FF5B326}"/>
    <cellStyle name="Output 2 12 11" xfId="20874" xr:uid="{F9569193-6926-4365-B183-49040ED943E6}"/>
    <cellStyle name="Output 2 12 12" xfId="22802" xr:uid="{00BF48DA-68F9-4197-98F7-7254D91E2A80}"/>
    <cellStyle name="Output 2 12 13" xfId="22516" xr:uid="{EAE6481E-06DA-4FA6-9C9F-445C35072900}"/>
    <cellStyle name="Output 2 12 14" xfId="22937" xr:uid="{FC409E3B-EBA7-4237-808D-C13B2B011866}"/>
    <cellStyle name="Output 2 12 15" xfId="22860" xr:uid="{2FD172DB-B44F-4DDB-84D9-D9DECF4B5C80}"/>
    <cellStyle name="Output 2 12 16" xfId="18759" xr:uid="{7980E6BE-60C2-48F6-8040-01D7BB6D3220}"/>
    <cellStyle name="Output 2 12 17" xfId="31636" xr:uid="{CDEF0211-5597-4930-805C-A8B7B102DD8E}"/>
    <cellStyle name="Output 2 12 18" xfId="16274" xr:uid="{5915C324-B22D-444F-B9C8-0C139599EBF6}"/>
    <cellStyle name="Output 2 12 19" xfId="38970" xr:uid="{489534B4-1818-4DDD-8480-C243E4EAE05F}"/>
    <cellStyle name="Output 2 12 2" xfId="10457" xr:uid="{00000000-0005-0000-0000-0000B7200000}"/>
    <cellStyle name="Output 2 12 2 2" xfId="27474" xr:uid="{ECE0FA71-04B4-4876-B608-6DB447D6E250}"/>
    <cellStyle name="Output 2 12 2 3" xfId="34318" xr:uid="{2A813534-3214-485C-927B-892825E04953}"/>
    <cellStyle name="Output 2 12 2 4" xfId="19785" xr:uid="{0FB8FB04-BE5B-4827-AF35-99FFD9A25327}"/>
    <cellStyle name="Output 2 12 2 5" xfId="42946" xr:uid="{120F3457-10E3-4C7B-A8BB-4596872925CF}"/>
    <cellStyle name="Output 2 12 3" xfId="20949" xr:uid="{BC846BA3-0DB2-4F66-9F4B-55ACA4539F41}"/>
    <cellStyle name="Output 2 12 3 2" xfId="29554" xr:uid="{D7A999C9-3F84-4064-AD22-73B6CA6D5D4E}"/>
    <cellStyle name="Output 2 12 3 3" xfId="36399" xr:uid="{04F99E86-5FFD-42DA-9DE5-20A0F1EEF3A9}"/>
    <cellStyle name="Output 2 12 4" xfId="20755" xr:uid="{27B018DC-67A1-4F21-8AAA-8E5F5454EEFC}"/>
    <cellStyle name="Output 2 12 5" xfId="22074" xr:uid="{43835F9D-A2D0-4DCB-AFAC-F721F73A9FC2}"/>
    <cellStyle name="Output 2 12 6" xfId="21602" xr:uid="{50463782-77E8-4C4D-A22A-266660196CFA}"/>
    <cellStyle name="Output 2 12 7" xfId="19622" xr:uid="{D43E5A48-8DB8-4374-A7CC-463A508A1651}"/>
    <cellStyle name="Output 2 12 8" xfId="21447" xr:uid="{FD389C73-D9DC-46BA-BACC-B57C00377E72}"/>
    <cellStyle name="Output 2 12 9" xfId="22556" xr:uid="{F046178F-40C9-4C23-81BF-64E884C5A362}"/>
    <cellStyle name="Output 2 13" xfId="10454" xr:uid="{00000000-0005-0000-0000-0000B4200000}"/>
    <cellStyle name="Output 2 13 10" xfId="19175" xr:uid="{9C9935D9-677B-4DEC-A135-51FFA1954F5F}"/>
    <cellStyle name="Output 2 13 11" xfId="21183" xr:uid="{6DC7D5C5-E81F-4CBC-8B2E-7527C61E0505}"/>
    <cellStyle name="Output 2 13 12" xfId="22535" xr:uid="{3E680880-904E-4D11-9DFB-A7F3B4D942D0}"/>
    <cellStyle name="Output 2 13 13" xfId="21733" xr:uid="{88FCFA09-2D1A-4117-9224-3AEA5A48EFF1}"/>
    <cellStyle name="Output 2 13 14" xfId="22511" xr:uid="{6395CF2B-594F-4437-B581-11857F9892CA}"/>
    <cellStyle name="Output 2 13 15" xfId="21226" xr:uid="{3080EAC8-D894-46FD-A449-6A1F7EC3E51A}"/>
    <cellStyle name="Output 2 13 16" xfId="31392" xr:uid="{6EA678CA-3EC6-40ED-AC1E-876A7DC2256B}"/>
    <cellStyle name="Output 2 13 17" xfId="18213" xr:uid="{B6BCEEE3-04E0-4E38-A8BD-45F807B2DEF8}"/>
    <cellStyle name="Output 2 13 18" xfId="42943" xr:uid="{7397E982-9741-42B6-A110-1ECA3753D988}"/>
    <cellStyle name="Output 2 13 2" xfId="21444" xr:uid="{22605240-B55F-420D-913A-FDCA0EFBA28B}"/>
    <cellStyle name="Output 2 13 2 2" xfId="27233" xr:uid="{23E3C6CC-16FD-4968-AFC5-7BEE78E4D10A}"/>
    <cellStyle name="Output 2 13 2 3" xfId="34074" xr:uid="{77A75D74-E781-40AE-8B79-6BF9E821F3A1}"/>
    <cellStyle name="Output 2 13 3" xfId="19142" xr:uid="{C12FB1F5-6C6B-4FC7-A850-62A9EF1404B1}"/>
    <cellStyle name="Output 2 13 3 2" xfId="29310" xr:uid="{F2CBB330-2207-45CD-B11D-3735D987CC76}"/>
    <cellStyle name="Output 2 13 3 3" xfId="36155" xr:uid="{EE2C5D99-3751-4ECA-9CDE-F27E73C0F76D}"/>
    <cellStyle name="Output 2 13 4" xfId="19037" xr:uid="{8781BE4D-9E9E-4A24-B261-875BAE2911B7}"/>
    <cellStyle name="Output 2 13 5" xfId="21598" xr:uid="{BBD20BCF-153A-4E5E-8C76-D29FF3C2B57D}"/>
    <cellStyle name="Output 2 13 6" xfId="21187" xr:uid="{BA0BDAEE-0A21-49E6-96C0-48FAD7AC85A1}"/>
    <cellStyle name="Output 2 13 7" xfId="22003" xr:uid="{E1A784AF-5F01-4243-807F-B8F808FAEAA5}"/>
    <cellStyle name="Output 2 13 8" xfId="22412" xr:uid="{7BB114AD-4115-4C5E-9F6E-DB49E4C5642C}"/>
    <cellStyle name="Output 2 13 9" xfId="21277" xr:uid="{01962000-1039-444A-A31F-8F2E0A15773D}"/>
    <cellStyle name="Output 2 14" xfId="8286" xr:uid="{00000000-0005-0000-0000-0000B00F0000}"/>
    <cellStyle name="Output 2 14 10" xfId="48298" xr:uid="{50B84A81-0320-4B35-AFDF-B93F6AE152BE}"/>
    <cellStyle name="Output 2 14 11" xfId="46287" xr:uid="{7BCEA6B7-E9DF-441F-A2AB-08F802842A51}"/>
    <cellStyle name="Output 2 14 2" xfId="26529" xr:uid="{E53FF328-8F10-4D7A-963C-7CA0206017E1}"/>
    <cellStyle name="Output 2 14 2 2" xfId="33369" xr:uid="{A82496F8-D8CF-4C35-90AD-F22A2B52864D}"/>
    <cellStyle name="Output 2 14 3" xfId="26155" xr:uid="{4CE48043-B537-42E6-BEE9-A9A9FE6BF39D}"/>
    <cellStyle name="Output 2 14 3 2" xfId="32983" xr:uid="{5781637A-A5D5-47FC-B5F6-67DC86B4B227}"/>
    <cellStyle name="Output 2 14 4" xfId="23911" xr:uid="{E0EEFDEA-7A35-4571-9B78-57DF2AB5BEA6}"/>
    <cellStyle name="Output 2 14 5" xfId="23278" xr:uid="{4D3B2778-923D-4BE8-BA16-9A8EE20D6C69}"/>
    <cellStyle name="Output 2 14 6" xfId="17401" xr:uid="{C8251795-9673-4EE1-9512-239E3F81ACCA}"/>
    <cellStyle name="Output 2 14 7" xfId="41078" xr:uid="{E3D7FD76-92B4-4C54-9823-5B63E6CC2B9E}"/>
    <cellStyle name="Output 2 14 8" xfId="13626" xr:uid="{FB0E416A-E697-420B-AAF9-00295A583D0C}"/>
    <cellStyle name="Output 2 14 9" xfId="46537" xr:uid="{1364A2C5-A0BD-4448-BA64-A688A5F95BB9}"/>
    <cellStyle name="Output 2 15" xfId="25196" xr:uid="{03703792-6DE3-4ABE-AB19-184A1424EA71}"/>
    <cellStyle name="Output 2 15 2" xfId="27868" xr:uid="{54EDCCFC-8F41-4A03-A7AB-ECC526E3E9F8}"/>
    <cellStyle name="Output 2 15 2 2" xfId="34713" xr:uid="{A2476146-D161-430C-81C1-AEFEE3D89DB8}"/>
    <cellStyle name="Output 2 15 3" xfId="29949" xr:uid="{22F9F662-F3FB-4F3F-9B6D-97BE16F387F3}"/>
    <cellStyle name="Output 2 15 3 2" xfId="36794" xr:uid="{3598884C-EE3B-46E7-8C6D-8ACC5361E14B}"/>
    <cellStyle name="Output 2 15 4" xfId="32031" xr:uid="{5D0D08E4-1BD7-4CF3-ACFA-62AF2F15CE70}"/>
    <cellStyle name="Output 2 16" xfId="25365" xr:uid="{4AD48B63-3348-4715-87EA-13C3CC9A2843}"/>
    <cellStyle name="Output 2 16 2" xfId="28032" xr:uid="{A300DE8D-381D-4AA0-A90B-ECF351A1B7E4}"/>
    <cellStyle name="Output 2 16 2 2" xfId="34877" xr:uid="{31DE13A6-A605-424A-B6AB-D74A1A0584CA}"/>
    <cellStyle name="Output 2 16 3" xfId="30113" xr:uid="{CC14D2FD-8E65-4643-90EA-B85B7DCE1B5F}"/>
    <cellStyle name="Output 2 16 3 2" xfId="36958" xr:uid="{A263701F-4493-4907-86CC-7199043C73D0}"/>
    <cellStyle name="Output 2 16 4" xfId="32195" xr:uid="{A8484147-0427-4C72-9587-E86978E2DF72}"/>
    <cellStyle name="Output 2 17" xfId="24002" xr:uid="{A743EDCA-AFF3-443C-BA89-BF736AC4D33F}"/>
    <cellStyle name="Output 2 17 2" xfId="26619" xr:uid="{EFDD4FA7-62DE-4AFA-9133-E95A71900E44}"/>
    <cellStyle name="Output 2 17 2 2" xfId="33459" xr:uid="{8478BEF6-02E6-422C-B387-A839185D9FFB}"/>
    <cellStyle name="Output 2 17 3" xfId="26074" xr:uid="{0638CCC1-AEC7-4C54-89B0-03A547EDF383}"/>
    <cellStyle name="Output 2 17 3 2" xfId="32902" xr:uid="{2AFE01C1-C0DF-4A04-A5C4-4CCDEA2E85C2}"/>
    <cellStyle name="Output 2 17 4" xfId="26072" xr:uid="{45D2EDBB-F2B6-4CEC-9E8A-99105A01FDB0}"/>
    <cellStyle name="Output 2 18" xfId="25057" xr:uid="{038B933F-6B02-465A-B0FE-A42CA3E38EF1}"/>
    <cellStyle name="Output 2 18 2" xfId="27729" xr:uid="{62282D3E-3FA2-441E-8785-9EE7E35C2493}"/>
    <cellStyle name="Output 2 18 2 2" xfId="34574" xr:uid="{DCC637E3-DD5C-4CE5-9213-856B8C7CB461}"/>
    <cellStyle name="Output 2 18 3" xfId="29810" xr:uid="{834E913E-07FB-4AD2-83BC-A8C49DF27F30}"/>
    <cellStyle name="Output 2 18 3 2" xfId="36655" xr:uid="{49897B27-D75F-4F5C-8B7F-747DCB359880}"/>
    <cellStyle name="Output 2 18 4" xfId="31892" xr:uid="{72216C70-CA3C-46E8-85C1-6BF7117E87E0}"/>
    <cellStyle name="Output 2 19" xfId="24784" xr:uid="{DC250F81-8274-473C-B45B-322C6DB7055C}"/>
    <cellStyle name="Output 2 19 2" xfId="27437" xr:uid="{165564C0-D329-4F5C-82F0-22DD4CCA54EE}"/>
    <cellStyle name="Output 2 19 2 2" xfId="34281" xr:uid="{2F1EA667-94B3-47FC-ADE3-18DE407D5E6A}"/>
    <cellStyle name="Output 2 19 3" xfId="29517" xr:uid="{1A0AD456-45F2-48C7-8589-0C85A9EFC3BB}"/>
    <cellStyle name="Output 2 19 3 2" xfId="36362" xr:uid="{7D4773BB-BF3B-428D-A371-6D9D4D02E4D8}"/>
    <cellStyle name="Output 2 19 4" xfId="31599" xr:uid="{630B2347-33E3-4AAF-B419-E52622CAFDB2}"/>
    <cellStyle name="Output 2 2" xfId="4936" xr:uid="{00000000-0005-0000-0000-00006D130000}"/>
    <cellStyle name="Output 2 2 10" xfId="23870" xr:uid="{2420BC80-2B53-4D06-8D39-B10211424436}"/>
    <cellStyle name="Output 2 2 10 2" xfId="26489" xr:uid="{6D12A198-7C07-48EB-B06E-BEDCF126F8F7}"/>
    <cellStyle name="Output 2 2 10 2 2" xfId="33329" xr:uid="{4E7FEC82-D689-4193-94FF-25D474AC1C86}"/>
    <cellStyle name="Output 2 2 10 3" xfId="26195" xr:uid="{C1A1B6F3-3FD2-4AB8-81A1-E8D1E213F42A}"/>
    <cellStyle name="Output 2 2 10 3 2" xfId="33023" xr:uid="{6D6B93C3-0337-47FC-84FD-0D1626AB16EB}"/>
    <cellStyle name="Output 2 2 10 4" xfId="23317" xr:uid="{98A0E2D6-0E0B-4F05-8274-89A000F6ED18}"/>
    <cellStyle name="Output 2 2 11" xfId="25274" xr:uid="{5AF0100B-999A-4813-892D-1BCAF0FC48A3}"/>
    <cellStyle name="Output 2 2 11 2" xfId="27945" xr:uid="{7855C38A-A23B-4B3A-9526-62399FFB5B49}"/>
    <cellStyle name="Output 2 2 11 2 2" xfId="34790" xr:uid="{BDE2C282-DD76-4A38-9A67-31AC5C795F28}"/>
    <cellStyle name="Output 2 2 11 3" xfId="30026" xr:uid="{C842344E-1607-4474-A699-B626CCBAECD1}"/>
    <cellStyle name="Output 2 2 11 3 2" xfId="36871" xr:uid="{26ACDC10-C703-4E22-8767-6DD931753299}"/>
    <cellStyle name="Output 2 2 11 4" xfId="32108" xr:uid="{A4BF5AA8-F7F0-4A96-837B-DE6DA0DDCFC2}"/>
    <cellStyle name="Output 2 2 12" xfId="24003" xr:uid="{2A677CC3-7AAB-41E1-B6CC-AF8E9A63C4E4}"/>
    <cellStyle name="Output 2 2 12 2" xfId="26620" xr:uid="{FB86223F-25B8-4C3A-A01C-BC0D83DDD795}"/>
    <cellStyle name="Output 2 2 12 2 2" xfId="33460" xr:uid="{01912267-AB57-491F-96C5-21563A411D93}"/>
    <cellStyle name="Output 2 2 12 3" xfId="26073" xr:uid="{8210BB74-668D-4067-AD17-3FA825C8C169}"/>
    <cellStyle name="Output 2 2 12 3 2" xfId="32901" xr:uid="{6600A6FB-F26F-4B6B-B354-EFDFD74F0D8D}"/>
    <cellStyle name="Output 2 2 12 4" xfId="23197" xr:uid="{21953F70-1728-4B12-A720-DE1281F8E92B}"/>
    <cellStyle name="Output 2 2 13" xfId="24742" xr:uid="{CB9BDD96-86E8-4C1B-8304-04F0944584A0}"/>
    <cellStyle name="Output 2 2 13 2" xfId="27391" xr:uid="{ED9F01C1-FF0D-406B-9A93-350495D092F1}"/>
    <cellStyle name="Output 2 2 13 2 2" xfId="34235" xr:uid="{1A9DEB89-077C-444D-B2D3-5A24BBDA7202}"/>
    <cellStyle name="Output 2 2 13 3" xfId="29471" xr:uid="{3BA6E8DC-80D5-4AA7-A7D9-86C69ECDD026}"/>
    <cellStyle name="Output 2 2 13 3 2" xfId="36316" xr:uid="{8142E73C-A454-4C17-A16B-69BBF4B28496}"/>
    <cellStyle name="Output 2 2 13 4" xfId="31553" xr:uid="{0DCEFD9D-C869-4141-8687-FB9AEC933398}"/>
    <cellStyle name="Output 2 2 14" xfId="24449" xr:uid="{F72A63B3-8238-480C-AE99-C7C8C8697517}"/>
    <cellStyle name="Output 2 2 14 2" xfId="27064" xr:uid="{16A50216-31BC-4CD4-9D79-531467B7A094}"/>
    <cellStyle name="Output 2 2 14 2 2" xfId="33904" xr:uid="{68383FE8-CF92-4EDF-8F53-56D407513AC5}"/>
    <cellStyle name="Output 2 2 14 3" xfId="29140" xr:uid="{CF549152-7D40-4ECB-A212-8A24453010E0}"/>
    <cellStyle name="Output 2 2 14 3 2" xfId="35985" xr:uid="{544E3D5F-8FC5-4DCA-AD05-40C21B799769}"/>
    <cellStyle name="Output 2 2 14 4" xfId="31222" xr:uid="{C1E7EFE6-70A7-405A-8169-6060FC9ED02B}"/>
    <cellStyle name="Output 2 2 15" xfId="23865" xr:uid="{6227CCB1-F1A2-4189-86CC-E72FB803298A}"/>
    <cellStyle name="Output 2 2 15 2" xfId="26484" xr:uid="{6DA11FFC-6F15-4CD5-8217-F129C8967960}"/>
    <cellStyle name="Output 2 2 15 2 2" xfId="33324" xr:uid="{8CE3110F-9209-4B84-9B69-823E1FFD826D}"/>
    <cellStyle name="Output 2 2 15 3" xfId="26199" xr:uid="{5A20668F-A11E-4B51-8300-9AC878B381AB}"/>
    <cellStyle name="Output 2 2 15 3 2" xfId="33027" xr:uid="{9E446273-26AD-42BC-BBE4-DC5CFBA906F3}"/>
    <cellStyle name="Output 2 2 15 4" xfId="23321" xr:uid="{8798FA11-09B9-4C40-8392-0AFA66E7FCC4}"/>
    <cellStyle name="Output 2 2 16" xfId="24324" xr:uid="{555E0C53-0E8F-44A8-8B77-43892E0ADE87}"/>
    <cellStyle name="Output 2 2 16 2" xfId="26930" xr:uid="{F7E54C4F-21ED-4B2E-939C-A137E3D9D8E4}"/>
    <cellStyle name="Output 2 2 16 2 2" xfId="33770" xr:uid="{D1FB1EB9-9FA2-42FF-A45B-EF5356F2AF04}"/>
    <cellStyle name="Output 2 2 16 3" xfId="29006" xr:uid="{2277A98D-DA39-4C45-A99B-0FB812678121}"/>
    <cellStyle name="Output 2 2 16 3 2" xfId="35851" xr:uid="{0A184AC6-E6B6-409C-9E68-B52887101721}"/>
    <cellStyle name="Output 2 2 16 4" xfId="31088" xr:uid="{CE9DE9C3-E8A1-46D2-AA18-85588D079DF1}"/>
    <cellStyle name="Output 2 2 17" xfId="24534" xr:uid="{B8B6AD45-4F06-48FA-BA1D-EC10B0889909}"/>
    <cellStyle name="Output 2 2 17 2" xfId="27139" xr:uid="{E65037A1-697F-43CD-8525-F298DCC41406}"/>
    <cellStyle name="Output 2 2 17 2 2" xfId="33980" xr:uid="{C2896BF9-8676-4FB4-9AA5-F48B9C807E6D}"/>
    <cellStyle name="Output 2 2 17 3" xfId="29216" xr:uid="{1FC6A193-E283-4646-8684-14079AA45D55}"/>
    <cellStyle name="Output 2 2 17 3 2" xfId="36061" xr:uid="{E4825C59-374D-403F-A1D6-1881F58910FD}"/>
    <cellStyle name="Output 2 2 17 4" xfId="31298" xr:uid="{2978E5A6-93E5-480C-A4C5-87155B863ECF}"/>
    <cellStyle name="Output 2 2 18" xfId="23690" xr:uid="{781AFCE8-D678-4D7A-9DCB-D18710B093F3}"/>
    <cellStyle name="Output 2 2 19" xfId="13654" xr:uid="{8C09B16D-9994-474C-B527-615D4EE80E88}"/>
    <cellStyle name="Output 2 2 2" xfId="4937" xr:uid="{00000000-0005-0000-0000-00006E130000}"/>
    <cellStyle name="Output 2 2 2 10" xfId="23742" xr:uid="{B930DA90-DD71-4492-894A-225CDB63962C}"/>
    <cellStyle name="Output 2 2 2 10 2" xfId="26353" xr:uid="{E05BB231-9201-41F0-A088-F8B98828583D}"/>
    <cellStyle name="Output 2 2 2 10 2 2" xfId="33192" xr:uid="{310AD099-70E4-4B27-9ECC-74ED8330781F}"/>
    <cellStyle name="Output 2 2 2 10 3" xfId="26328" xr:uid="{F9E75570-212D-4ED0-B9A3-4111BDFE18DB}"/>
    <cellStyle name="Output 2 2 2 10 3 2" xfId="33156" xr:uid="{0DF2E888-B271-4FE1-9CBE-C5846275D7CC}"/>
    <cellStyle name="Output 2 2 2 10 4" xfId="23450" xr:uid="{8BA86484-0C53-4327-9856-B49C88C691D3}"/>
    <cellStyle name="Output 2 2 2 11" xfId="25449" xr:uid="{01DAF780-E8C4-44FA-BCE7-DB80BC952898}"/>
    <cellStyle name="Output 2 2 2 11 2" xfId="28116" xr:uid="{DC7B3139-7939-400F-84D5-5BE0E1349851}"/>
    <cellStyle name="Output 2 2 2 11 2 2" xfId="34961" xr:uid="{B4AB360C-5183-46DA-AB2A-FB8AA64ACC7D}"/>
    <cellStyle name="Output 2 2 2 11 3" xfId="30197" xr:uid="{54A7B9F7-751F-40CE-B6EA-AA91E1C520E0}"/>
    <cellStyle name="Output 2 2 2 11 3 2" xfId="37042" xr:uid="{7D61DE1C-55AD-4A24-BB49-1626852EF230}"/>
    <cellStyle name="Output 2 2 2 11 4" xfId="32279" xr:uid="{0A5D96A2-44A7-41A2-AFA9-CA27D7CA091F}"/>
    <cellStyle name="Output 2 2 2 12" xfId="25322" xr:uid="{26E85FD4-7072-47A0-BDD8-5521D70DC847}"/>
    <cellStyle name="Output 2 2 2 12 2" xfId="27991" xr:uid="{9AB3A360-0547-42B7-A312-171EE00D4D88}"/>
    <cellStyle name="Output 2 2 2 12 2 2" xfId="34836" xr:uid="{71AC466E-7333-4778-9FCD-B1C584603B95}"/>
    <cellStyle name="Output 2 2 2 12 3" xfId="30072" xr:uid="{E761EE1E-0B84-42A2-B33B-23968F54D021}"/>
    <cellStyle name="Output 2 2 2 12 3 2" xfId="36917" xr:uid="{6E59913B-9EFF-453B-9B92-F081E5A0722F}"/>
    <cellStyle name="Output 2 2 2 12 4" xfId="32154" xr:uid="{814B3A89-C38B-4187-BF7F-99CCB1C7FB70}"/>
    <cellStyle name="Output 2 2 2 13" xfId="25069" xr:uid="{EA8FF03C-4601-43E1-94E9-4A55CA56271B}"/>
    <cellStyle name="Output 2 2 2 13 2" xfId="27741" xr:uid="{0AF39034-5E0A-44B3-8305-F416A99C7413}"/>
    <cellStyle name="Output 2 2 2 13 2 2" xfId="34586" xr:uid="{0C03E728-CE7F-4540-9629-5DB246A4E7D6}"/>
    <cellStyle name="Output 2 2 2 13 3" xfId="29822" xr:uid="{86B189DB-147B-48B6-8CC1-73A47F97EF90}"/>
    <cellStyle name="Output 2 2 2 13 3 2" xfId="36667" xr:uid="{C80C84AB-615D-4B3D-9BBC-0FA3C4BB56E6}"/>
    <cellStyle name="Output 2 2 2 13 4" xfId="31904" xr:uid="{D173A52D-024B-404E-A359-B80DE8F28F7B}"/>
    <cellStyle name="Output 2 2 2 14" xfId="24691" xr:uid="{8524EE5D-DE0A-4EFA-8DC6-14B2CEAABA58}"/>
    <cellStyle name="Output 2 2 2 14 2" xfId="27309" xr:uid="{6FB9CD0F-846C-408B-A4DC-8C831E11871C}"/>
    <cellStyle name="Output 2 2 2 14 2 2" xfId="34153" xr:uid="{97A7FC35-B5D8-4819-A7EA-393E74F11660}"/>
    <cellStyle name="Output 2 2 2 14 3" xfId="29389" xr:uid="{45E35463-6692-4A1F-8AD4-2714D80A3432}"/>
    <cellStyle name="Output 2 2 2 14 3 2" xfId="36234" xr:uid="{9F0DB34D-ECBF-44DA-BBE4-C984A7B6755E}"/>
    <cellStyle name="Output 2 2 2 14 4" xfId="31471" xr:uid="{D09F8B7F-ADE2-4673-82C3-40954077F113}"/>
    <cellStyle name="Output 2 2 2 15" xfId="25921" xr:uid="{1BBE0B96-A107-4168-AEA7-C23BBD9383F7}"/>
    <cellStyle name="Output 2 2 2 15 2" xfId="28587" xr:uid="{F8D13BC1-CF49-418D-B2A3-A48ED7206857}"/>
    <cellStyle name="Output 2 2 2 15 2 2" xfId="35432" xr:uid="{4EE1553C-140E-4AB4-A044-F2455777A2DD}"/>
    <cellStyle name="Output 2 2 2 15 3" xfId="30668" xr:uid="{E0B0350E-3D0F-4774-9726-FE7FC0282030}"/>
    <cellStyle name="Output 2 2 2 15 3 2" xfId="37513" xr:uid="{CAD001C2-D897-4381-955F-5BFF2853B29F}"/>
    <cellStyle name="Output 2 2 2 15 4" xfId="32750" xr:uid="{3BA53145-FB06-499F-AA26-D1A5A0FBBE11}"/>
    <cellStyle name="Output 2 2 2 16" xfId="25589" xr:uid="{36B138F3-EC5A-4E8A-A42E-028B36AE6CE0}"/>
    <cellStyle name="Output 2 2 2 16 2" xfId="28256" xr:uid="{8A07A5F1-D4C4-43B3-9D26-AE4ABADBE654}"/>
    <cellStyle name="Output 2 2 2 16 2 2" xfId="35101" xr:uid="{DB0C75DB-6945-4D16-A70A-8DFB40069778}"/>
    <cellStyle name="Output 2 2 2 16 3" xfId="30337" xr:uid="{8E1ECB57-1381-4952-B169-45D3371AA74B}"/>
    <cellStyle name="Output 2 2 2 16 3 2" xfId="37182" xr:uid="{DBA52EED-A716-469C-83FF-04AD34978E0F}"/>
    <cellStyle name="Output 2 2 2 16 4" xfId="32419" xr:uid="{FD32AD10-5D4D-429E-BDA9-A318DD471BFB}"/>
    <cellStyle name="Output 2 2 2 17" xfId="24157" xr:uid="{5DF61D57-DDA3-438F-9C97-F22E889CBB9A}"/>
    <cellStyle name="Output 2 2 2 17 2" xfId="26769" xr:uid="{6FD6C894-94B8-4F21-8A16-4803F783EA43}"/>
    <cellStyle name="Output 2 2 2 17 2 2" xfId="33609" xr:uid="{E9E56206-DF85-44DB-A279-84767AA23D05}"/>
    <cellStyle name="Output 2 2 2 17 3" xfId="28845" xr:uid="{821F2813-8D25-44F2-B852-BF079AAFAB5F}"/>
    <cellStyle name="Output 2 2 2 17 3 2" xfId="35690" xr:uid="{060F8465-FE8D-41F7-A490-E189061A77CC}"/>
    <cellStyle name="Output 2 2 2 17 4" xfId="30927" xr:uid="{D9EA4E23-58AA-4AC9-82C3-5CCDEA82E23C}"/>
    <cellStyle name="Output 2 2 2 18" xfId="23129" xr:uid="{57631738-1B16-469D-AF2D-E1D0CAEEB4FA}"/>
    <cellStyle name="Output 2 2 2 19" xfId="13655" xr:uid="{372A9BB8-A957-4E01-8A1F-CE140F5BD36B}"/>
    <cellStyle name="Output 2 2 2 2" xfId="4938" xr:uid="{00000000-0005-0000-0000-00006F130000}"/>
    <cellStyle name="Output 2 2 2 2 10" xfId="24858" xr:uid="{2D211DAC-EED5-4B83-BE98-53B533EA8799}"/>
    <cellStyle name="Output 2 2 2 2 10 2" xfId="27521" xr:uid="{246A1341-E680-4CFF-97E5-7E3D92F4E9A6}"/>
    <cellStyle name="Output 2 2 2 2 10 2 2" xfId="34365" xr:uid="{3BFF6EAF-CD31-4F30-86A4-1899BA5D4887}"/>
    <cellStyle name="Output 2 2 2 2 10 3" xfId="29601" xr:uid="{111ED85E-AF56-4C99-9458-B34637158F64}"/>
    <cellStyle name="Output 2 2 2 2 10 3 2" xfId="36446" xr:uid="{95FD73ED-A6C7-435F-BF88-F2EFF51F70EF}"/>
    <cellStyle name="Output 2 2 2 2 10 4" xfId="31683" xr:uid="{8B38693F-A9A2-4B06-B9B5-32B03B2AD7FE}"/>
    <cellStyle name="Output 2 2 2 2 11" xfId="24999" xr:uid="{BEA99376-5CC6-40D5-A508-248464BC2597}"/>
    <cellStyle name="Output 2 2 2 2 11 2" xfId="27669" xr:uid="{9B084B47-3012-4966-A6AD-C8A3828C9FBA}"/>
    <cellStyle name="Output 2 2 2 2 11 2 2" xfId="34514" xr:uid="{B1A747C1-967F-4C0D-934A-2602BFA9BA3B}"/>
    <cellStyle name="Output 2 2 2 2 11 3" xfId="29750" xr:uid="{6C387D38-5C5E-4812-AEB1-C841D357EB99}"/>
    <cellStyle name="Output 2 2 2 2 11 3 2" xfId="36595" xr:uid="{C1221D41-67BD-4A5D-B568-6DE91EB18723}"/>
    <cellStyle name="Output 2 2 2 2 11 4" xfId="31832" xr:uid="{5CC593FD-0A6E-482B-9622-868E36E4BD03}"/>
    <cellStyle name="Output 2 2 2 2 12" xfId="24244" xr:uid="{FB8DB0D4-685F-468F-97F9-ED160C5977BE}"/>
    <cellStyle name="Output 2 2 2 2 12 2" xfId="26851" xr:uid="{D0861857-BEB5-474A-BA36-DE02A70F2E2B}"/>
    <cellStyle name="Output 2 2 2 2 12 2 2" xfId="33691" xr:uid="{70550DDE-36A0-4505-A755-3FAAE9F8DB3D}"/>
    <cellStyle name="Output 2 2 2 2 12 3" xfId="28927" xr:uid="{8489944C-D809-4391-868F-8B3B9E9C4F0C}"/>
    <cellStyle name="Output 2 2 2 2 12 3 2" xfId="35772" xr:uid="{85CB1A2D-F344-4144-AB58-E82D7FBA4298}"/>
    <cellStyle name="Output 2 2 2 2 12 4" xfId="31009" xr:uid="{18575AB6-95A0-4828-9B44-98D5DD0E8C1B}"/>
    <cellStyle name="Output 2 2 2 2 13" xfId="25698" xr:uid="{7B5D776D-7F27-4047-961F-F077598CBD96}"/>
    <cellStyle name="Output 2 2 2 2 13 2" xfId="28365" xr:uid="{D91CAA20-CFB1-48C5-85B3-9C365B447279}"/>
    <cellStyle name="Output 2 2 2 2 13 2 2" xfId="35210" xr:uid="{6217E735-CF40-4C1A-94B1-AB99937BD622}"/>
    <cellStyle name="Output 2 2 2 2 13 3" xfId="30446" xr:uid="{B7F57A0A-EBCC-416D-967F-F62BA0E628BD}"/>
    <cellStyle name="Output 2 2 2 2 13 3 2" xfId="37291" xr:uid="{6E75241C-EEA0-4187-B6B3-7D432075C9FA}"/>
    <cellStyle name="Output 2 2 2 2 13 4" xfId="32528" xr:uid="{371C3C14-CC85-4BCB-84D0-E6724640E85F}"/>
    <cellStyle name="Output 2 2 2 2 14" xfId="25588" xr:uid="{53AEF4A1-B57C-44C4-936F-A8733DFD66B5}"/>
    <cellStyle name="Output 2 2 2 2 14 2" xfId="28255" xr:uid="{BCBFACF4-D344-4005-9E23-09DF8000D078}"/>
    <cellStyle name="Output 2 2 2 2 14 2 2" xfId="35100" xr:uid="{97883D81-B2BE-40F9-99B6-6F13A7A97265}"/>
    <cellStyle name="Output 2 2 2 2 14 3" xfId="30336" xr:uid="{66887911-C087-4F65-A809-F5831E5322AD}"/>
    <cellStyle name="Output 2 2 2 2 14 3 2" xfId="37181" xr:uid="{724A0F79-6B0B-424E-B0A5-2FC6C1AAD61B}"/>
    <cellStyle name="Output 2 2 2 2 14 4" xfId="32418" xr:uid="{2F29A1B1-23BF-4B38-917E-73FD14A03372}"/>
    <cellStyle name="Output 2 2 2 2 15" xfId="24004" xr:uid="{97885521-B4DF-4833-90F8-8BD8D0C44655}"/>
    <cellStyle name="Output 2 2 2 2 15 2" xfId="26621" xr:uid="{134F8AE1-F776-44B6-A902-F870426B205F}"/>
    <cellStyle name="Output 2 2 2 2 15 2 2" xfId="33461" xr:uid="{A16C37B2-73FA-47D3-8027-5E92EB6D6456}"/>
    <cellStyle name="Output 2 2 2 2 15 3" xfId="26070" xr:uid="{A111DAA9-E95A-4248-8C3F-AB7508470398}"/>
    <cellStyle name="Output 2 2 2 2 15 3 2" xfId="32898" xr:uid="{E499B15B-07FE-4086-925D-209507F2A844}"/>
    <cellStyle name="Output 2 2 2 2 15 4" xfId="26046" xr:uid="{82BF0683-2A3D-4ED5-AB08-742684464511}"/>
    <cellStyle name="Output 2 2 2 2 16" xfId="23064" xr:uid="{3BB52DE0-6CF3-447E-B21B-C506D93EC4FE}"/>
    <cellStyle name="Output 2 2 2 2 17" xfId="16279" xr:uid="{E3664DEB-6886-4B13-A43E-B53E106A20B9}"/>
    <cellStyle name="Output 2 2 2 2 18" xfId="38973" xr:uid="{CF70FFAF-B449-4056-B7D1-16963738CB75}"/>
    <cellStyle name="Output 2 2 2 2 2" xfId="10460" xr:uid="{00000000-0005-0000-0000-0000BA200000}"/>
    <cellStyle name="Output 2 2 2 2 2 10" xfId="22188" xr:uid="{76D46CA0-7BBA-4EDC-9427-E174685FD474}"/>
    <cellStyle name="Output 2 2 2 2 2 11" xfId="19168" xr:uid="{37E88A07-31F1-4D0E-83EC-C52765A61A11}"/>
    <cellStyle name="Output 2 2 2 2 2 12" xfId="22807" xr:uid="{A1DC4550-9EB3-4319-8FB5-D86EADF1FD95}"/>
    <cellStyle name="Output 2 2 2 2 2 13" xfId="19657" xr:uid="{297CEFEE-74FA-4BD5-8296-230FE2D6817A}"/>
    <cellStyle name="Output 2 2 2 2 2 14" xfId="22942" xr:uid="{B6FA47E7-8919-4BB4-861C-76AE969FF1E1}"/>
    <cellStyle name="Output 2 2 2 2 2 15" xfId="22685" xr:uid="{F5437404-9940-4039-A72D-5D0524632BC4}"/>
    <cellStyle name="Output 2 2 2 2 2 16" xfId="31435" xr:uid="{3B8C30D7-D27F-4DF6-87E6-DD19C1C98455}"/>
    <cellStyle name="Output 2 2 2 2 2 17" xfId="18764" xr:uid="{92968E64-1911-4335-B8F8-8D1B6A54EC71}"/>
    <cellStyle name="Output 2 2 2 2 2 18" xfId="42949" xr:uid="{06CFBBAD-1E87-4F73-983C-0B740788E119}"/>
    <cellStyle name="Output 2 2 2 2 2 2" xfId="19781" xr:uid="{36DF397D-C70F-486B-A899-97DE068C2F80}"/>
    <cellStyle name="Output 2 2 2 2 2 2 2" xfId="27273" xr:uid="{8A2C9371-1570-4698-A0DA-CF90557D1AC3}"/>
    <cellStyle name="Output 2 2 2 2 2 2 3" xfId="34117" xr:uid="{270ADDDE-2230-46A3-9BD5-1E86A2FCAC26}"/>
    <cellStyle name="Output 2 2 2 2 2 3" xfId="19444" xr:uid="{118CFF5E-449B-4FA2-9E26-DA56F071D7BB}"/>
    <cellStyle name="Output 2 2 2 2 2 3 2" xfId="29353" xr:uid="{C1B7B5A9-5F04-48DA-93D5-7C64076F1C73}"/>
    <cellStyle name="Output 2 2 2 2 2 3 3" xfId="36198" xr:uid="{299D2D22-DBB3-4288-9021-230DE1E011F7}"/>
    <cellStyle name="Output 2 2 2 2 2 4" xfId="21847" xr:uid="{F80B963C-DB2B-4946-9B34-F26740E971FF}"/>
    <cellStyle name="Output 2 2 2 2 2 5" xfId="19314" xr:uid="{E0F183ED-261C-48DA-8C32-596B084C388E}"/>
    <cellStyle name="Output 2 2 2 2 2 6" xfId="20991" xr:uid="{FDF28366-8EB4-4602-B6B1-849F066992B9}"/>
    <cellStyle name="Output 2 2 2 2 2 7" xfId="21803" xr:uid="{1C7B6D06-3A59-4BD4-A613-9795A1E926F8}"/>
    <cellStyle name="Output 2 2 2 2 2 8" xfId="19378" xr:uid="{F2A361D4-4353-4259-A801-9946A4F9B590}"/>
    <cellStyle name="Output 2 2 2 2 2 9" xfId="22561" xr:uid="{66D3BAF2-00CD-4200-BB2D-0E3F19732B10}"/>
    <cellStyle name="Output 2 2 2 2 3" xfId="9515" xr:uid="{00000000-0005-0000-0000-000015240000}"/>
    <cellStyle name="Output 2 2 2 2 3 10" xfId="20475" xr:uid="{4925111A-5C93-40CA-AA34-1A36578D8827}"/>
    <cellStyle name="Output 2 2 2 2 3 11" xfId="21517" xr:uid="{75153DEC-AD2F-423A-A907-D386875784C8}"/>
    <cellStyle name="Output 2 2 2 2 3 12" xfId="21376" xr:uid="{0658D81B-5E37-40D7-A5A6-23A7DA82D185}"/>
    <cellStyle name="Output 2 2 2 2 3 13" xfId="22323" xr:uid="{9C6F0AA3-C5DE-41E8-9830-B306DB0E7AD9}"/>
    <cellStyle name="Output 2 2 2 2 3 14" xfId="22451" xr:uid="{3C3B420D-A8DF-4499-82DD-F5F6322F84EA}"/>
    <cellStyle name="Output 2 2 2 2 3 15" xfId="20034" xr:uid="{0F7C6569-E639-40E5-AE9E-5867C8A81074}"/>
    <cellStyle name="Output 2 2 2 2 3 16" xfId="31381" xr:uid="{C491D8BD-E963-42D2-8D38-07898DCA249A}"/>
    <cellStyle name="Output 2 2 2 2 3 17" xfId="18218" xr:uid="{E03D7629-5846-444E-A7BF-B55848CA5DDB}"/>
    <cellStyle name="Output 2 2 2 2 3 18" xfId="42004" xr:uid="{45E1A9B9-82CB-4B00-9876-2192269966AA}"/>
    <cellStyle name="Output 2 2 2 2 3 19" xfId="46477" xr:uid="{F854495B-6633-48CC-A2A9-56310C857D91}"/>
    <cellStyle name="Output 2 2 2 2 3 2" xfId="20329" xr:uid="{F4940835-90BB-4CA8-A7D5-6A3D5D2AAA8A}"/>
    <cellStyle name="Output 2 2 2 2 3 2 2" xfId="27222" xr:uid="{E26A55BD-78E8-46BC-B767-56C33E6FB51F}"/>
    <cellStyle name="Output 2 2 2 2 3 2 3" xfId="34063" xr:uid="{33FA530E-837F-47FB-9FC4-831EDA8C979A}"/>
    <cellStyle name="Output 2 2 2 2 3 20" xfId="48464" xr:uid="{F7807CEF-2DFB-4B53-8733-44F7C9C69F82}"/>
    <cellStyle name="Output 2 2 2 2 3 21" xfId="15516" xr:uid="{32499C61-AAB3-45E0-8583-9AB683878D97}"/>
    <cellStyle name="Output 2 2 2 2 3 22" xfId="47206" xr:uid="{6C5D9B86-B323-46ED-8C90-435FD50709DA}"/>
    <cellStyle name="Output 2 2 2 2 3 3" xfId="21821" xr:uid="{9D61C86C-28E4-4130-9F82-FFAF910DB36B}"/>
    <cellStyle name="Output 2 2 2 2 3 3 2" xfId="29299" xr:uid="{982DB0E5-5550-4416-97C3-058260CB9B51}"/>
    <cellStyle name="Output 2 2 2 2 3 3 3" xfId="36144" xr:uid="{BFAAEE7A-4F16-4EC2-9440-ACEA7968B559}"/>
    <cellStyle name="Output 2 2 2 2 3 4" xfId="19038" xr:uid="{BE218A03-A6EA-4054-8AA0-BF3B8320F726}"/>
    <cellStyle name="Output 2 2 2 2 3 5" xfId="19547" xr:uid="{F40F051B-FA27-4577-A951-9851CF9F450C}"/>
    <cellStyle name="Output 2 2 2 2 3 6" xfId="22208" xr:uid="{40C07DE2-F2F4-4CDA-AEFD-EEBEEEE51308}"/>
    <cellStyle name="Output 2 2 2 2 3 7" xfId="20959" xr:uid="{2659254B-0632-47B2-8410-5801672241F9}"/>
    <cellStyle name="Output 2 2 2 2 3 8" xfId="22387" xr:uid="{9F13E552-F8E0-49EE-BE68-A947D94234B3}"/>
    <cellStyle name="Output 2 2 2 2 3 9" xfId="21725" xr:uid="{E6FA98FC-0151-410C-AEC6-2C0FF6BCEFE8}"/>
    <cellStyle name="Output 2 2 2 2 4" xfId="17695" xr:uid="{34D5B4F5-1610-4C05-BC33-A1A87A6CC874}"/>
    <cellStyle name="Output 2 2 2 2 4 2" xfId="27464" xr:uid="{58522F30-9944-4CF1-937B-7C3DBB907EDA}"/>
    <cellStyle name="Output 2 2 2 2 4 2 2" xfId="34308" xr:uid="{25044DA5-DD73-47EF-B6D2-DA9C08D5E2BA}"/>
    <cellStyle name="Output 2 2 2 2 4 3" xfId="29544" xr:uid="{845270F4-4CD2-4299-B379-3F7731DEAA2B}"/>
    <cellStyle name="Output 2 2 2 2 4 3 2" xfId="36389" xr:uid="{22CF9CEE-9288-4296-83A7-AED4A0EBC77A}"/>
    <cellStyle name="Output 2 2 2 2 4 4" xfId="24808" xr:uid="{805F1831-E758-400C-A9C3-8A5BDFD80FF2}"/>
    <cellStyle name="Output 2 2 2 2 4 5" xfId="31626" xr:uid="{32C7ADDB-3646-42BA-B4F8-7EC8381E247B}"/>
    <cellStyle name="Output 2 2 2 2 5" xfId="23849" xr:uid="{A3AEA0D4-16F0-4D94-8685-1A4C8033E185}"/>
    <cellStyle name="Output 2 2 2 2 5 2" xfId="26468" xr:uid="{97210AE7-BF36-4A2C-854B-35BC8A8A3686}"/>
    <cellStyle name="Output 2 2 2 2 5 2 2" xfId="33308" xr:uid="{A4F12DFC-9EBC-4475-B5D0-2583BA0E26FC}"/>
    <cellStyle name="Output 2 2 2 2 5 3" xfId="26215" xr:uid="{B44D0452-5909-4CC6-B453-68BBE94DF4D2}"/>
    <cellStyle name="Output 2 2 2 2 5 3 2" xfId="33043" xr:uid="{9A9ED37D-4D76-42BC-8ECB-3C1A05F85DE3}"/>
    <cellStyle name="Output 2 2 2 2 5 4" xfId="23337" xr:uid="{0D844804-5D5E-4213-A915-ED45EBA0C7CF}"/>
    <cellStyle name="Output 2 2 2 2 6" xfId="25060" xr:uid="{8ABED439-A0D0-4074-BAC5-A90244549E90}"/>
    <cellStyle name="Output 2 2 2 2 6 2" xfId="27732" xr:uid="{F9FA8547-0A63-4494-A785-4CA28800C154}"/>
    <cellStyle name="Output 2 2 2 2 6 2 2" xfId="34577" xr:uid="{D424919D-1C6B-4298-B9A7-69B2ABDA4B84}"/>
    <cellStyle name="Output 2 2 2 2 6 3" xfId="29813" xr:uid="{8D49514C-908E-474A-B0E7-38B572B7FBD1}"/>
    <cellStyle name="Output 2 2 2 2 6 3 2" xfId="36658" xr:uid="{BF858580-7503-47C7-803B-3D6E54DF3F88}"/>
    <cellStyle name="Output 2 2 2 2 6 4" xfId="31895" xr:uid="{C959481E-4B4A-438A-B359-D778E08B48A4}"/>
    <cellStyle name="Output 2 2 2 2 7" xfId="23966" xr:uid="{6366CCAC-B7BF-4BF9-806F-11311E97AE81}"/>
    <cellStyle name="Output 2 2 2 2 7 2" xfId="26584" xr:uid="{B066DCD2-6CE4-4D65-AEA1-65520B1E0F8D}"/>
    <cellStyle name="Output 2 2 2 2 7 2 2" xfId="33424" xr:uid="{C9B8AE29-B98C-4DCB-BB56-81B3AF2A2216}"/>
    <cellStyle name="Output 2 2 2 2 7 3" xfId="26048" xr:uid="{E2BD4130-A21A-4487-A9BA-BAF18883A40A}"/>
    <cellStyle name="Output 2 2 2 2 7 3 2" xfId="32877" xr:uid="{379A535F-E20E-42CA-875D-780DDCEF243F}"/>
    <cellStyle name="Output 2 2 2 2 7 4" xfId="23231" xr:uid="{674E3267-6B10-4CD2-94DF-CB280DD3FB5D}"/>
    <cellStyle name="Output 2 2 2 2 8" xfId="25065" xr:uid="{D1F41935-1A73-474D-AC76-65F12719303F}"/>
    <cellStyle name="Output 2 2 2 2 8 2" xfId="27737" xr:uid="{7285E55E-AF98-40BE-86F3-B1CE965BC2FB}"/>
    <cellStyle name="Output 2 2 2 2 8 2 2" xfId="34582" xr:uid="{6AFE46C8-830B-4D44-9B70-9F3A94C994CC}"/>
    <cellStyle name="Output 2 2 2 2 8 3" xfId="29818" xr:uid="{C0630A81-B2D6-452D-A479-21D23C122DE7}"/>
    <cellStyle name="Output 2 2 2 2 8 3 2" xfId="36663" xr:uid="{4251D117-3A47-46F8-A271-8036F08AF877}"/>
    <cellStyle name="Output 2 2 2 2 8 4" xfId="31900" xr:uid="{02B32F8E-DEB4-462B-A5E4-3827BB638EEF}"/>
    <cellStyle name="Output 2 2 2 2 9" xfId="24842" xr:uid="{44033490-D4A1-42A4-A914-984EE3C8F6E5}"/>
    <cellStyle name="Output 2 2 2 2 9 2" xfId="27502" xr:uid="{B018B698-AF53-4F7E-88EF-8E375CD8522E}"/>
    <cellStyle name="Output 2 2 2 2 9 2 2" xfId="34346" xr:uid="{6CBC842F-580A-4187-BBC9-AD4CBCA64184}"/>
    <cellStyle name="Output 2 2 2 2 9 3" xfId="29582" xr:uid="{732B42B4-6084-430E-9D0B-E50C178C8457}"/>
    <cellStyle name="Output 2 2 2 2 9 3 2" xfId="36427" xr:uid="{87769BF7-165F-4B78-BC17-71DA82E0EBF2}"/>
    <cellStyle name="Output 2 2 2 2 9 4" xfId="31664" xr:uid="{098F269C-353D-448B-9B44-2E59EDE45CA1}"/>
    <cellStyle name="Output 2 2 2 20" xfId="38972" xr:uid="{F71C1B6C-6E92-4186-84A9-34A855875044}"/>
    <cellStyle name="Output 2 2 2 3" xfId="4939" xr:uid="{00000000-0005-0000-0000-000070130000}"/>
    <cellStyle name="Output 2 2 2 3 2" xfId="10461" xr:uid="{00000000-0005-0000-0000-0000BB200000}"/>
    <cellStyle name="Output 2 2 2 3 2 2" xfId="42950" xr:uid="{27F58B64-500B-49B6-AEA2-F5810A1400D2}"/>
    <cellStyle name="Output 2 2 2 3 3" xfId="9330" xr:uid="{00000000-0005-0000-0000-000014240000}"/>
    <cellStyle name="Output 2 2 2 3 3 2" xfId="41851" xr:uid="{BFEFEA97-0E1F-445A-BAC0-FE1E0CA63DDF}"/>
    <cellStyle name="Output 2 2 2 3 3 3" xfId="37717" xr:uid="{0CBACC5D-B4CE-4147-A46C-61724FCB7ADE}"/>
    <cellStyle name="Output 2 2 2 3 3 4" xfId="46078" xr:uid="{340908D9-6C64-46B3-829E-A78B77A11F31}"/>
    <cellStyle name="Output 2 2 2 3 3 5" xfId="40526" xr:uid="{95D9CD13-B0BF-49CF-B9CF-F9F48C4F6409}"/>
    <cellStyle name="Output 2 2 2 3 3 6" xfId="40481" xr:uid="{AA949D4B-45ED-4476-B963-CA3A96F69EC9}"/>
    <cellStyle name="Output 2 2 2 3 4" xfId="16280" xr:uid="{DD43D0EE-09FC-4755-9440-BDC5441D7647}"/>
    <cellStyle name="Output 2 2 2 3 5" xfId="38974" xr:uid="{A96FC609-D938-40F4-84B1-0EFAFB0B3378}"/>
    <cellStyle name="Output 2 2 2 4" xfId="4940" xr:uid="{00000000-0005-0000-0000-000071130000}"/>
    <cellStyle name="Output 2 2 2 4 10" xfId="18887" xr:uid="{EE7E023E-EC04-4314-93C6-500159C9C56B}"/>
    <cellStyle name="Output 2 2 2 4 11" xfId="18944" xr:uid="{E732DA76-59FD-45EA-94D7-CAE268130693}"/>
    <cellStyle name="Output 2 2 2 4 12" xfId="22806" xr:uid="{1E0F9547-2520-449A-9E6C-FEF5C22B9EE3}"/>
    <cellStyle name="Output 2 2 2 4 13" xfId="21348" xr:uid="{844F1A50-C804-4AF5-AB2B-DAE1082A4598}"/>
    <cellStyle name="Output 2 2 2 4 14" xfId="22941" xr:uid="{78FC5883-469C-46A3-B478-B66ED13B18D8}"/>
    <cellStyle name="Output 2 2 2 4 15" xfId="20979" xr:uid="{3C975EDC-B0EF-4CF5-9E9A-A1BF3522ED89}"/>
    <cellStyle name="Output 2 2 2 4 16" xfId="18763" xr:uid="{42263F2E-7207-4C52-88DD-87D2E6523B4D}"/>
    <cellStyle name="Output 2 2 2 4 17" xfId="31310" xr:uid="{2E177CF0-C1CB-43E4-9943-257EF3E64C19}"/>
    <cellStyle name="Output 2 2 2 4 18" xfId="16278" xr:uid="{EE52DB0C-AA16-4219-8503-FDF1C5A4E6E6}"/>
    <cellStyle name="Output 2 2 2 4 19" xfId="38975" xr:uid="{1B81B665-7254-4A44-AA49-8772D4975345}"/>
    <cellStyle name="Output 2 2 2 4 2" xfId="10462" xr:uid="{00000000-0005-0000-0000-0000BC200000}"/>
    <cellStyle name="Output 2 2 2 4 2 2" xfId="27151" xr:uid="{E8F3FA4B-5D8C-42DE-A992-1C0CD96315D8}"/>
    <cellStyle name="Output 2 2 2 4 2 3" xfId="33992" xr:uid="{E02DECF9-7509-4CAD-91D2-0687F888D752}"/>
    <cellStyle name="Output 2 2 2 4 2 4" xfId="19782" xr:uid="{2E4C8106-CFAE-400A-A088-F7FD8CABC053}"/>
    <cellStyle name="Output 2 2 2 4 2 5" xfId="42951" xr:uid="{BE3BB05D-0D0F-4F7D-8FBB-A5C919109862}"/>
    <cellStyle name="Output 2 2 2 4 3" xfId="20514" xr:uid="{02B07F8C-8E07-4822-817C-6753A1B0B23C}"/>
    <cellStyle name="Output 2 2 2 4 3 2" xfId="29228" xr:uid="{692EE409-1179-4CB0-BF97-D7F97C84E2C8}"/>
    <cellStyle name="Output 2 2 2 4 3 3" xfId="36073" xr:uid="{9F0F424D-824A-44AB-9FE0-B7D71B99905D}"/>
    <cellStyle name="Output 2 2 2 4 4" xfId="19295" xr:uid="{A58D4BF3-16E1-4970-A17B-605E5970D168}"/>
    <cellStyle name="Output 2 2 2 4 5" xfId="20076" xr:uid="{0152DC22-64CC-445B-BD39-7B9D817DAF20}"/>
    <cellStyle name="Output 2 2 2 4 6" xfId="21903" xr:uid="{A1645EB1-9C0C-4311-9DFA-F4C9288172FA}"/>
    <cellStyle name="Output 2 2 2 4 7" xfId="19960" xr:uid="{308A313B-3152-4ECB-A0DB-026FD4461A91}"/>
    <cellStyle name="Output 2 2 2 4 8" xfId="22154" xr:uid="{7821E6B6-50E2-4CEC-96BA-EE59A008B66F}"/>
    <cellStyle name="Output 2 2 2 4 9" xfId="22560" xr:uid="{FFE43066-160E-4A3B-AF89-A2C4900CE603}"/>
    <cellStyle name="Output 2 2 2 5" xfId="10459" xr:uid="{00000000-0005-0000-0000-0000B9200000}"/>
    <cellStyle name="Output 2 2 2 5 10" xfId="22381" xr:uid="{D20AC730-B49E-4AED-8252-BDD69DFF62C9}"/>
    <cellStyle name="Output 2 2 2 5 11" xfId="21280" xr:uid="{B530984F-9844-495E-B3FB-04D56E652244}"/>
    <cellStyle name="Output 2 2 2 5 12" xfId="20549" xr:uid="{3AFF7DBE-3911-42C0-AFFF-E828D0DDD6CC}"/>
    <cellStyle name="Output 2 2 2 5 13" xfId="20236" xr:uid="{433BCB1A-7A51-4162-BAC4-762A93D6B534}"/>
    <cellStyle name="Output 2 2 2 5 14" xfId="20135" xr:uid="{4113AF83-1E57-4CA6-B09E-BB4C3E29D5B3}"/>
    <cellStyle name="Output 2 2 2 5 15" xfId="21624" xr:uid="{20F8A08A-A40E-428F-8B65-DB8AF6E18897}"/>
    <cellStyle name="Output 2 2 2 5 16" xfId="31158" xr:uid="{93577167-E53F-425C-8A70-86866B3F50B3}"/>
    <cellStyle name="Output 2 2 2 5 17" xfId="18217" xr:uid="{BF5DC751-9040-4030-8BAA-79F3B647354C}"/>
    <cellStyle name="Output 2 2 2 5 18" xfId="42948" xr:uid="{3E0B8C9C-3F38-421E-8D3C-294D75EFCD65}"/>
    <cellStyle name="Output 2 2 2 5 2" xfId="21442" xr:uid="{CF9B45AC-A6A9-4869-B2A5-F42AE56359CA}"/>
    <cellStyle name="Output 2 2 2 5 2 2" xfId="27000" xr:uid="{33C38167-CCAC-4ECF-A2AA-5A6E6087BAC0}"/>
    <cellStyle name="Output 2 2 2 5 2 3" xfId="33840" xr:uid="{2F33F164-A68D-448E-816D-7F0CC555ED94}"/>
    <cellStyle name="Output 2 2 2 5 3" xfId="19144" xr:uid="{F77A4699-E07B-45A0-AFC3-F512F2FE8E4D}"/>
    <cellStyle name="Output 2 2 2 5 3 2" xfId="29076" xr:uid="{1ADB823D-A0F1-4055-B545-E3FEC2EADD9F}"/>
    <cellStyle name="Output 2 2 2 5 3 3" xfId="35921" xr:uid="{FD25CAD4-1F46-45C3-B08B-090899AF13F7}"/>
    <cellStyle name="Output 2 2 2 5 4" xfId="19040" xr:uid="{0A8DFC27-9CEC-4699-A47B-2590B3662B85}"/>
    <cellStyle name="Output 2 2 2 5 5" xfId="20644" xr:uid="{0C47B603-6162-44D7-B044-8766725B265D}"/>
    <cellStyle name="Output 2 2 2 5 6" xfId="19082" xr:uid="{ACB6172F-C897-4B3F-8F65-151C4AECEF20}"/>
    <cellStyle name="Output 2 2 2 5 7" xfId="20766" xr:uid="{0417C795-2B95-43C5-A046-479EAF935B7B}"/>
    <cellStyle name="Output 2 2 2 5 8" xfId="22418" xr:uid="{C2AF7B39-62B8-493E-81A1-FA5FBC7816ED}"/>
    <cellStyle name="Output 2 2 2 5 9" xfId="20162" xr:uid="{37B00FBB-90A0-41B9-BE6D-F3C396BF11FE}"/>
    <cellStyle name="Output 2 2 2 6" xfId="8292" xr:uid="{00000000-0005-0000-0000-0000B20F0000}"/>
    <cellStyle name="Output 2 2 2 6 2" xfId="27282" xr:uid="{BE99AD94-BBA8-4A85-8745-ED6D133987B1}"/>
    <cellStyle name="Output 2 2 2 6 2 2" xfId="34126" xr:uid="{A3D8FC18-99A3-492F-A9F0-275E295617D3}"/>
    <cellStyle name="Output 2 2 2 6 3" xfId="29362" xr:uid="{7DAFADC8-4D25-467C-9DB0-9884FBFCB129}"/>
    <cellStyle name="Output 2 2 2 6 3 2" xfId="36207" xr:uid="{9AAE6B63-0C8C-4288-B681-39EC935FE0CD}"/>
    <cellStyle name="Output 2 2 2 6 4" xfId="24669" xr:uid="{795586E6-CFA1-4E75-AD9D-638C863336B7}"/>
    <cellStyle name="Output 2 2 2 6 5" xfId="31444" xr:uid="{E7C3FFF3-432F-42FC-9401-B64F28F4B95D}"/>
    <cellStyle name="Output 2 2 2 6 6" xfId="17437" xr:uid="{086C622A-592D-4DBC-B22F-47B9BA8A3CA4}"/>
    <cellStyle name="Output 2 2 2 7" xfId="24311" xr:uid="{39D3B3EC-9CD5-46C0-8208-184008048CE9}"/>
    <cellStyle name="Output 2 2 2 7 2" xfId="26917" xr:uid="{810790A1-AC0F-4538-B2E2-CCE35E4DEE9F}"/>
    <cellStyle name="Output 2 2 2 7 2 2" xfId="33757" xr:uid="{9346773C-58A3-4673-AD2F-B01CBA6DB2DF}"/>
    <cellStyle name="Output 2 2 2 7 3" xfId="28993" xr:uid="{AB8FFE5B-F992-4D90-AD37-8FD7678DF10D}"/>
    <cellStyle name="Output 2 2 2 7 3 2" xfId="35838" xr:uid="{7D9687C4-8743-4D87-B168-A65D2001922F}"/>
    <cellStyle name="Output 2 2 2 7 4" xfId="31075" xr:uid="{3C1D684C-3672-4259-B7E3-3815FB7D8A42}"/>
    <cellStyle name="Output 2 2 2 8" xfId="24367" xr:uid="{A3BD7F6E-C193-4A59-A66B-3F1275B4C8FA}"/>
    <cellStyle name="Output 2 2 2 8 2" xfId="26974" xr:uid="{76DB19D5-D9FF-41CB-B712-3604E49A9253}"/>
    <cellStyle name="Output 2 2 2 8 2 2" xfId="33814" xr:uid="{9D35B18C-150A-4A59-9D3C-1B59B67D1076}"/>
    <cellStyle name="Output 2 2 2 8 3" xfId="29050" xr:uid="{E1ED8E99-9A84-4787-B101-841073AB2364}"/>
    <cellStyle name="Output 2 2 2 8 3 2" xfId="35895" xr:uid="{D8194A36-32D0-4D1C-AEC7-DA7D4E59759A}"/>
    <cellStyle name="Output 2 2 2 8 4" xfId="31132" xr:uid="{9F2CADA9-A706-463B-8D2B-C2DBCFB51402}"/>
    <cellStyle name="Output 2 2 2 9" xfId="25062" xr:uid="{A67080B3-9C8F-452F-BD1D-D2906A8E1877}"/>
    <cellStyle name="Output 2 2 2 9 2" xfId="27734" xr:uid="{B5CC4923-ABF2-4F7D-96BC-64FED5267134}"/>
    <cellStyle name="Output 2 2 2 9 2 2" xfId="34579" xr:uid="{F5AFFDC5-C9F0-4CF8-B151-3D0B1F10F630}"/>
    <cellStyle name="Output 2 2 2 9 3" xfId="29815" xr:uid="{24C686E4-0997-4A10-BD62-5B6849EAAED8}"/>
    <cellStyle name="Output 2 2 2 9 3 2" xfId="36660" xr:uid="{A05C5621-16A8-4C8A-96BB-579509C63E7D}"/>
    <cellStyle name="Output 2 2 2 9 4" xfId="31897" xr:uid="{AF4D0770-6351-44B0-B01A-148AA94ED6A8}"/>
    <cellStyle name="Output 2 2 20" xfId="38971" xr:uid="{11E0C447-32C3-4B29-834F-6004B55C8E49}"/>
    <cellStyle name="Output 2 2 3" xfId="4941" xr:uid="{00000000-0005-0000-0000-000072130000}"/>
    <cellStyle name="Output 2 2 3 10" xfId="25214" xr:uid="{37AF9A99-5334-48D3-BA8A-52DC3E3D7698}"/>
    <cellStyle name="Output 2 2 3 10 2" xfId="27886" xr:uid="{CF68501A-AF7F-404A-9353-2FA7CBF7DBD6}"/>
    <cellStyle name="Output 2 2 3 10 2 2" xfId="34731" xr:uid="{0C2200DA-C710-40E0-8B1E-C0B88C514908}"/>
    <cellStyle name="Output 2 2 3 10 3" xfId="29967" xr:uid="{FAAE1A8F-957D-42DD-9C4F-CD0434E7CED6}"/>
    <cellStyle name="Output 2 2 3 10 3 2" xfId="36812" xr:uid="{905C47EC-8826-420A-8F7F-8311A5390700}"/>
    <cellStyle name="Output 2 2 3 10 4" xfId="32049" xr:uid="{BCBFFA98-A83D-4DD0-8EBB-AFC969A8E221}"/>
    <cellStyle name="Output 2 2 3 11" xfId="25573" xr:uid="{5B10A107-B958-4C4E-A6BB-2B665200EF0C}"/>
    <cellStyle name="Output 2 2 3 11 2" xfId="28240" xr:uid="{21DB06A4-568C-4815-BD04-FB7D911807D1}"/>
    <cellStyle name="Output 2 2 3 11 2 2" xfId="35085" xr:uid="{03D06F06-9EDF-471E-A0BA-1833AC3B0EFE}"/>
    <cellStyle name="Output 2 2 3 11 3" xfId="30321" xr:uid="{4715FFD8-ABC5-4D87-ADC0-C0B2B66E9F06}"/>
    <cellStyle name="Output 2 2 3 11 3 2" xfId="37166" xr:uid="{DFE69EB3-2571-4E01-BFCC-A0142CFE0295}"/>
    <cellStyle name="Output 2 2 3 11 4" xfId="32403" xr:uid="{DE899FDB-85FE-4557-BD04-2F77A3E773A5}"/>
    <cellStyle name="Output 2 2 3 12" xfId="25474" xr:uid="{18BDD2DA-C2A1-4A7C-AB33-3C7EDDEAA2E1}"/>
    <cellStyle name="Output 2 2 3 12 2" xfId="28141" xr:uid="{6E652A3C-398B-47DB-B787-27676B310EE4}"/>
    <cellStyle name="Output 2 2 3 12 2 2" xfId="34986" xr:uid="{66273AA7-EE00-4520-8483-421511610567}"/>
    <cellStyle name="Output 2 2 3 12 3" xfId="30222" xr:uid="{EF3779E0-C7DB-408F-BF05-BFEFA0955E41}"/>
    <cellStyle name="Output 2 2 3 12 3 2" xfId="37067" xr:uid="{73148ABE-83D9-4DC7-BF27-AEACCCA432C9}"/>
    <cellStyle name="Output 2 2 3 12 4" xfId="32304" xr:uid="{785159EF-AAF6-4296-82A1-9FC1A8BF67D5}"/>
    <cellStyle name="Output 2 2 3 13" xfId="24032" xr:uid="{A7650E60-A46B-47BE-84B1-1A911BEBD847}"/>
    <cellStyle name="Output 2 2 3 13 2" xfId="26646" xr:uid="{44755052-B5AA-4DA6-8AC7-CCE498DAB779}"/>
    <cellStyle name="Output 2 2 3 13 2 2" xfId="33486" xr:uid="{F89F3E8B-1432-4AF7-8E0D-093679C7B544}"/>
    <cellStyle name="Output 2 2 3 13 3" xfId="28722" xr:uid="{4D36092B-F6A6-4183-BB24-D672C3184C8C}"/>
    <cellStyle name="Output 2 2 3 13 3 2" xfId="35567" xr:uid="{961C8AE9-70F1-46D4-89B6-E8DADDF974DA}"/>
    <cellStyle name="Output 2 2 3 13 4" xfId="30804" xr:uid="{243FCEA6-022B-498A-A23E-E9A95AE44C3B}"/>
    <cellStyle name="Output 2 2 3 14" xfId="25786" xr:uid="{CE74C69F-E115-4614-A7FB-0EC6FB7187D8}"/>
    <cellStyle name="Output 2 2 3 14 2" xfId="28452" xr:uid="{280100F7-F58A-4A70-A903-E28802AC7750}"/>
    <cellStyle name="Output 2 2 3 14 2 2" xfId="35297" xr:uid="{4AD5FDF8-B486-4E06-9505-D67C4E250CBB}"/>
    <cellStyle name="Output 2 2 3 14 3" xfId="30533" xr:uid="{9CA4A588-FB6A-40CE-A11E-B6F54BBA13A6}"/>
    <cellStyle name="Output 2 2 3 14 3 2" xfId="37378" xr:uid="{9A30DA21-4944-41F3-8ADE-13CFE5BD86F5}"/>
    <cellStyle name="Output 2 2 3 14 4" xfId="32615" xr:uid="{99309BD4-FD01-41D7-AF6B-96A668564E03}"/>
    <cellStyle name="Output 2 2 3 15" xfId="25862" xr:uid="{5580A5DC-5DF7-460E-895C-19B64B3B8120}"/>
    <cellStyle name="Output 2 2 3 15 2" xfId="28528" xr:uid="{5C307A23-6D3B-448E-BD46-C1EF29DB273F}"/>
    <cellStyle name="Output 2 2 3 15 2 2" xfId="35373" xr:uid="{02FC82B0-D57B-4FB7-9E48-847E0CDCA0DE}"/>
    <cellStyle name="Output 2 2 3 15 3" xfId="30609" xr:uid="{27DBAD8A-2EF0-484F-9C4E-E79368617C73}"/>
    <cellStyle name="Output 2 2 3 15 3 2" xfId="37454" xr:uid="{18419D60-3A4D-4CA4-A176-7FFA912A3A64}"/>
    <cellStyle name="Output 2 2 3 15 4" xfId="32691" xr:uid="{65E69B7F-398E-44BD-820A-45AD317D493C}"/>
    <cellStyle name="Output 2 2 3 16" xfId="25600" xr:uid="{A10E92A4-81E6-4F73-B745-B7EFB7B3BC7C}"/>
    <cellStyle name="Output 2 2 3 16 2" xfId="28267" xr:uid="{33D24A42-A6A4-4F51-9000-E226FEB1EEF3}"/>
    <cellStyle name="Output 2 2 3 16 2 2" xfId="35112" xr:uid="{A70E1B27-28A5-41A2-A088-F8BB6206BDD3}"/>
    <cellStyle name="Output 2 2 3 16 3" xfId="30348" xr:uid="{F7C1C521-998E-4BC1-A56D-B0385A7758E0}"/>
    <cellStyle name="Output 2 2 3 16 3 2" xfId="37193" xr:uid="{22D354EC-EEDB-45CF-96B5-E34C20A425B2}"/>
    <cellStyle name="Output 2 2 3 16 4" xfId="32430" xr:uid="{5FB21CD4-1617-487D-89CB-5EEF434EAA84}"/>
    <cellStyle name="Output 2 2 3 17" xfId="25794" xr:uid="{D45027C4-3D35-4A2D-867F-2D5DD325EE51}"/>
    <cellStyle name="Output 2 2 3 17 2" xfId="28460" xr:uid="{00DAB69D-3A03-4D6C-94C0-3CDEFA4C3DFD}"/>
    <cellStyle name="Output 2 2 3 17 2 2" xfId="35305" xr:uid="{715E32A0-4F90-4EF7-B36F-851F432F6AC4}"/>
    <cellStyle name="Output 2 2 3 17 3" xfId="30541" xr:uid="{C47A694C-D830-4B12-9842-4AD6DFC03D4C}"/>
    <cellStyle name="Output 2 2 3 17 3 2" xfId="37386" xr:uid="{8F590E2E-32EB-497B-B63F-56587BC8B819}"/>
    <cellStyle name="Output 2 2 3 17 4" xfId="32623" xr:uid="{C50E7891-C54E-4E73-B88E-AEE5688C5E67}"/>
    <cellStyle name="Output 2 2 3 18" xfId="23663" xr:uid="{2F2F64F4-BDE2-4D51-850F-485C526524E9}"/>
    <cellStyle name="Output 2 2 3 19" xfId="16281" xr:uid="{E142A9D1-8842-4AD6-819A-E5F3BF53778C}"/>
    <cellStyle name="Output 2 2 3 2" xfId="10463" xr:uid="{00000000-0005-0000-0000-0000BD200000}"/>
    <cellStyle name="Output 2 2 3 2 10" xfId="23889" xr:uid="{44F32B70-4940-48E2-B0A5-DF12BACD147C}"/>
    <cellStyle name="Output 2 2 3 2 10 2" xfId="26507" xr:uid="{3AAE8DE6-188C-46C9-8BD4-7098E121FD21}"/>
    <cellStyle name="Output 2 2 3 2 10 2 2" xfId="33347" xr:uid="{418A7D93-D3EF-4225-A7A1-B72276FB2D93}"/>
    <cellStyle name="Output 2 2 3 2 10 3" xfId="26177" xr:uid="{E25BDE4A-4487-4012-9BCB-09900C726B55}"/>
    <cellStyle name="Output 2 2 3 2 10 3 2" xfId="33005" xr:uid="{2E0C6B0A-2F67-4915-A81D-2204C6B65B60}"/>
    <cellStyle name="Output 2 2 3 2 10 4" xfId="23299" xr:uid="{9015C915-D3EC-44AF-8EC5-B6DA0DA1E8FC}"/>
    <cellStyle name="Output 2 2 3 2 11" xfId="23949" xr:uid="{C5DC8C4D-57BA-4E95-BCF7-34EE94462658}"/>
    <cellStyle name="Output 2 2 3 2 11 2" xfId="26567" xr:uid="{419BFF9B-6263-4F27-8ACB-B15F17EAF478}"/>
    <cellStyle name="Output 2 2 3 2 11 2 2" xfId="33407" xr:uid="{97724C7B-24FF-4E41-BA5C-CCF6DEC84718}"/>
    <cellStyle name="Output 2 2 3 2 11 3" xfId="26118" xr:uid="{ECF8587B-0A09-4079-9B2E-A8F93E5EB1B1}"/>
    <cellStyle name="Output 2 2 3 2 11 3 2" xfId="32946" xr:uid="{EB48E31A-5CAD-4EE3-B79B-4863635FC7E8}"/>
    <cellStyle name="Output 2 2 3 2 11 4" xfId="23240" xr:uid="{C2452CCC-65E5-4955-B2E9-062F76419A1B}"/>
    <cellStyle name="Output 2 2 3 2 12" xfId="25553" xr:uid="{D033292B-DC9F-439B-86BE-C03F0E107327}"/>
    <cellStyle name="Output 2 2 3 2 12 2" xfId="28220" xr:uid="{9F0AA04B-2332-43FA-B715-EA64B92E822D}"/>
    <cellStyle name="Output 2 2 3 2 12 2 2" xfId="35065" xr:uid="{E236A5DA-242C-4125-8B1F-DEBE75C90016}"/>
    <cellStyle name="Output 2 2 3 2 12 3" xfId="30301" xr:uid="{53C6CCC4-C163-489F-BE75-5AC3D1E3527F}"/>
    <cellStyle name="Output 2 2 3 2 12 3 2" xfId="37146" xr:uid="{B2679B76-89AE-4A3D-991A-71A261EC06FB}"/>
    <cellStyle name="Output 2 2 3 2 12 4" xfId="32383" xr:uid="{9FBA53BC-932E-482B-8D8E-226E5C39CB21}"/>
    <cellStyle name="Output 2 2 3 2 13" xfId="23988" xr:uid="{375E7464-DE5F-402C-8E21-E23694E6B9E2}"/>
    <cellStyle name="Output 2 2 3 2 13 2" xfId="26605" xr:uid="{C2E14D8A-EFA1-4C9A-BA7A-DDC2E4C28AB6}"/>
    <cellStyle name="Output 2 2 3 2 13 2 2" xfId="33445" xr:uid="{7FDBD902-9A4B-4974-AF4F-95D23218EF00}"/>
    <cellStyle name="Output 2 2 3 2 13 3" xfId="26088" xr:uid="{6CD22022-6C48-4E5E-AB0F-397D82AC20DC}"/>
    <cellStyle name="Output 2 2 3 2 13 3 2" xfId="32916" xr:uid="{285A9D48-51D7-47EE-85C4-06657087F897}"/>
    <cellStyle name="Output 2 2 3 2 13 4" xfId="23210" xr:uid="{13A02E3E-17C8-4312-BD82-ED172D54A342}"/>
    <cellStyle name="Output 2 2 3 2 14" xfId="25040" xr:uid="{4AB37E43-F520-4AF4-AE5D-5E7A53E08107}"/>
    <cellStyle name="Output 2 2 3 2 14 2" xfId="27713" xr:uid="{9DD94B57-C92F-4273-8D20-385EE684008F}"/>
    <cellStyle name="Output 2 2 3 2 14 2 2" xfId="34558" xr:uid="{791E6589-ED54-486A-B3B3-3F973AC23BC4}"/>
    <cellStyle name="Output 2 2 3 2 14 3" xfId="29794" xr:uid="{7864355E-4599-41F7-BC8C-E4459136B86C}"/>
    <cellStyle name="Output 2 2 3 2 14 3 2" xfId="36639" xr:uid="{6FE1B575-3698-4CA1-8DE3-E90D6ACD9290}"/>
    <cellStyle name="Output 2 2 3 2 14 4" xfId="31876" xr:uid="{546E379D-8DD6-4A6B-951B-CE082E0541A6}"/>
    <cellStyle name="Output 2 2 3 2 15" xfId="23885" xr:uid="{D6BB4F69-A30D-4D4C-9FBA-D9B941379227}"/>
    <cellStyle name="Output 2 2 3 2 15 2" xfId="26503" xr:uid="{DBF6D333-9367-46AF-A1E7-549E948D79BA}"/>
    <cellStyle name="Output 2 2 3 2 15 2 2" xfId="33343" xr:uid="{F383B91A-8F58-4520-956C-4FCF4E47CC96}"/>
    <cellStyle name="Output 2 2 3 2 15 3" xfId="26181" xr:uid="{205EC27A-A377-4831-9EB8-F620A6F43D87}"/>
    <cellStyle name="Output 2 2 3 2 15 3 2" xfId="33009" xr:uid="{90FD93F4-80B2-4171-8361-06E421008E91}"/>
    <cellStyle name="Output 2 2 3 2 15 4" xfId="23303" xr:uid="{D2A70123-C411-4F65-9F9A-8A41C9BE9102}"/>
    <cellStyle name="Output 2 2 3 2 16" xfId="25985" xr:uid="{BA13022D-AFC0-4805-BAD7-A3B1C3C9E52D}"/>
    <cellStyle name="Output 2 2 3 2 16 2" xfId="28651" xr:uid="{59F4FED9-132F-4224-888A-7AAFED75D7D9}"/>
    <cellStyle name="Output 2 2 3 2 16 2 2" xfId="35496" xr:uid="{ECE11E88-E016-482E-9092-0CE3C06EF493}"/>
    <cellStyle name="Output 2 2 3 2 16 3" xfId="30732" xr:uid="{56F99BDA-4898-4AEB-989D-C829ED95DD29}"/>
    <cellStyle name="Output 2 2 3 2 16 3 2" xfId="37577" xr:uid="{D6AFEDF1-0BA0-467A-B197-C62BE870E8D5}"/>
    <cellStyle name="Output 2 2 3 2 16 4" xfId="32814" xr:uid="{0C418611-D644-45ED-AE8C-143C9DDBA857}"/>
    <cellStyle name="Output 2 2 3 2 17" xfId="23629" xr:uid="{6ED4E573-2FE4-4921-AF3B-1755FE83C3F8}"/>
    <cellStyle name="Output 2 2 3 2 18" xfId="17573" xr:uid="{6E006BA6-3DB8-4C36-B856-14D6F5DE12F5}"/>
    <cellStyle name="Output 2 2 3 2 19" xfId="42952" xr:uid="{77AB7783-1E32-492A-BEE5-02EB6798F275}"/>
    <cellStyle name="Output 2 2 3 2 2" xfId="9502" xr:uid="{00000000-0005-0000-0000-000016240000}"/>
    <cellStyle name="Output 2 2 3 2 2 10" xfId="25668" xr:uid="{CFFE17F8-4DAE-4091-AA01-9402D4EC767D}"/>
    <cellStyle name="Output 2 2 3 2 2 10 2" xfId="28335" xr:uid="{67A3BA7B-3EE0-49E4-98F6-8AD232AFD150}"/>
    <cellStyle name="Output 2 2 3 2 2 10 2 2" xfId="35180" xr:uid="{A76AF5C7-299D-4866-B74A-82BDD7BBC1AE}"/>
    <cellStyle name="Output 2 2 3 2 2 10 3" xfId="30416" xr:uid="{C5C827A2-FC25-4F45-81D0-A0B9AA2F21F8}"/>
    <cellStyle name="Output 2 2 3 2 2 10 3 2" xfId="37261" xr:uid="{529E805E-48AC-434C-B20B-F5A89FF5591A}"/>
    <cellStyle name="Output 2 2 3 2 2 10 4" xfId="32498" xr:uid="{175C1F90-D76A-4DAD-BE64-5D6535E9A2CF}"/>
    <cellStyle name="Output 2 2 3 2 2 11" xfId="25773" xr:uid="{D345CB2D-8E83-463A-9DE9-0620133455B0}"/>
    <cellStyle name="Output 2 2 3 2 2 11 2" xfId="28439" xr:uid="{13CEAB98-CEFD-4A3F-9339-1F500AB50A49}"/>
    <cellStyle name="Output 2 2 3 2 2 11 2 2" xfId="35284" xr:uid="{F112BAE5-B370-4D43-9539-676D6DCD3C92}"/>
    <cellStyle name="Output 2 2 3 2 2 11 3" xfId="30520" xr:uid="{BA3605D9-53F7-46D6-B78B-FDDEA3EF31B3}"/>
    <cellStyle name="Output 2 2 3 2 2 11 3 2" xfId="37365" xr:uid="{4058C450-013B-42F1-B246-43649541BD2A}"/>
    <cellStyle name="Output 2 2 3 2 2 11 4" xfId="32602" xr:uid="{28346223-04C5-493F-8D55-E1D8E437248C}"/>
    <cellStyle name="Output 2 2 3 2 2 12" xfId="25850" xr:uid="{635F3BE8-1DD0-4B3D-86E8-486C19CE91AD}"/>
    <cellStyle name="Output 2 2 3 2 2 12 2" xfId="28516" xr:uid="{328F0F2C-8496-49F5-808D-AEF25FFF2D37}"/>
    <cellStyle name="Output 2 2 3 2 2 12 2 2" xfId="35361" xr:uid="{917486A9-A4C1-4BDF-A89C-77B3DF0FC8E3}"/>
    <cellStyle name="Output 2 2 3 2 2 12 3" xfId="30597" xr:uid="{A19192DF-E2B6-46CD-9229-6B8AF7F186E9}"/>
    <cellStyle name="Output 2 2 3 2 2 12 3 2" xfId="37442" xr:uid="{96336B05-CDDB-4739-BBB8-9604A630DFBE}"/>
    <cellStyle name="Output 2 2 3 2 2 12 4" xfId="32679" xr:uid="{D9C43996-6F81-4F05-A1EA-CD80B58B4BEC}"/>
    <cellStyle name="Output 2 2 3 2 2 13" xfId="24013" xr:uid="{A03BC681-F5DA-4496-B6EA-FBA3FB899C1C}"/>
    <cellStyle name="Output 2 2 3 2 2 13 2" xfId="26630" xr:uid="{8BEBFB02-923B-462C-8496-3315C76F543E}"/>
    <cellStyle name="Output 2 2 3 2 2 13 2 2" xfId="33470" xr:uid="{606E88E8-6430-48E0-B477-9030F50B4F42}"/>
    <cellStyle name="Output 2 2 3 2 2 13 3" xfId="28706" xr:uid="{F3364FEC-5E33-4696-BB61-97FC37AE85A3}"/>
    <cellStyle name="Output 2 2 3 2 2 13 3 2" xfId="35551" xr:uid="{8E476463-B5CD-46DB-A0CB-BE087D0B67B5}"/>
    <cellStyle name="Output 2 2 3 2 2 13 4" xfId="30788" xr:uid="{D604A275-5C4E-414B-9484-99AFA5825259}"/>
    <cellStyle name="Output 2 2 3 2 2 14" xfId="25978" xr:uid="{1633A459-9368-4DDD-87D9-3B8C399324C8}"/>
    <cellStyle name="Output 2 2 3 2 2 14 2" xfId="28644" xr:uid="{EE4D1C3C-FD6C-4E62-888B-2E6DA6FD9489}"/>
    <cellStyle name="Output 2 2 3 2 2 14 2 2" xfId="35489" xr:uid="{70394533-4E26-43B8-AA7A-98067389359D}"/>
    <cellStyle name="Output 2 2 3 2 2 14 3" xfId="30725" xr:uid="{40E34081-C87A-4A75-820A-B0CAED7F4824}"/>
    <cellStyle name="Output 2 2 3 2 2 14 3 2" xfId="37570" xr:uid="{6D0219B7-B08C-4A10-9798-51D1364DFE6C}"/>
    <cellStyle name="Output 2 2 3 2 2 14 4" xfId="32807" xr:uid="{C158CA2C-8081-4DD3-9C14-31CBAAAC0CA7}"/>
    <cellStyle name="Output 2 2 3 2 2 15" xfId="26032" xr:uid="{D9A705FA-52A6-4365-A6AF-555F8055B63C}"/>
    <cellStyle name="Output 2 2 3 2 2 15 2" xfId="28698" xr:uid="{C85FDCFA-E6F1-4E0F-AA26-53666D91428B}"/>
    <cellStyle name="Output 2 2 3 2 2 15 2 2" xfId="35543" xr:uid="{CC1BACCF-2684-4C6F-AF47-A310289FD277}"/>
    <cellStyle name="Output 2 2 3 2 2 15 3" xfId="30779" xr:uid="{C39BC21B-80F0-4963-9C0E-AE3209F010EF}"/>
    <cellStyle name="Output 2 2 3 2 2 15 3 2" xfId="37624" xr:uid="{8453EEEB-0D48-41EA-814E-F02880C3759C}"/>
    <cellStyle name="Output 2 2 3 2 2 15 4" xfId="32861" xr:uid="{25A95B7E-8F8B-4654-ADFD-DA89AA6CCF22}"/>
    <cellStyle name="Output 2 2 3 2 2 16" xfId="23540" xr:uid="{E55093EE-B9D7-4841-A2A8-EF33A5873578}"/>
    <cellStyle name="Output 2 2 3 2 2 17" xfId="17844" xr:uid="{27010A42-8BFB-45B2-921D-C8EDC9123AF1}"/>
    <cellStyle name="Output 2 2 3 2 2 18" xfId="41991" xr:uid="{46AAD2E7-6577-46CD-B2D0-1EEEDC18A615}"/>
    <cellStyle name="Output 2 2 3 2 2 19" xfId="37746" xr:uid="{22FCC904-46AA-42AF-B4F5-5AA0B72D7AE3}"/>
    <cellStyle name="Output 2 2 3 2 2 2" xfId="18430" xr:uid="{D317DCDF-3433-495C-A308-67DAB028CBC0}"/>
    <cellStyle name="Output 2 2 3 2 2 2 10" xfId="20972" xr:uid="{37612CDF-73BE-4726-A67A-3AD1465EB0A8}"/>
    <cellStyle name="Output 2 2 3 2 2 2 11" xfId="20579" xr:uid="{81F3F270-1CF1-485C-9FE4-A86A6BF6F246}"/>
    <cellStyle name="Output 2 2 3 2 2 2 12" xfId="21788" xr:uid="{4451286C-9CBE-451F-8CEB-C994FD3182CB}"/>
    <cellStyle name="Output 2 2 3 2 2 2 13" xfId="20033" xr:uid="{9629656D-851D-4BCC-8909-25423A7848EE}"/>
    <cellStyle name="Output 2 2 3 2 2 2 14" xfId="22151" xr:uid="{7A12D272-18BD-40D6-A11A-29EA75E89AEC}"/>
    <cellStyle name="Output 2 2 3 2 2 2 15" xfId="22642" xr:uid="{F4BE8693-38F9-446D-AE44-95CEB976D928}"/>
    <cellStyle name="Output 2 2 3 2 2 2 16" xfId="31512" xr:uid="{13DC3D57-FA70-4BB4-B891-FB23D391E2ED}"/>
    <cellStyle name="Output 2 2 3 2 2 2 2" xfId="19943" xr:uid="{0528FEB9-31F1-46F2-A4F5-A8CD4AFA7CD8}"/>
    <cellStyle name="Output 2 2 3 2 2 2 2 2" xfId="27350" xr:uid="{F3A02EAE-0546-4971-904C-A0C7CFDA74A9}"/>
    <cellStyle name="Output 2 2 3 2 2 2 2 3" xfId="34194" xr:uid="{F5DE7EFC-3831-4616-936E-57DF479B5FCC}"/>
    <cellStyle name="Output 2 2 3 2 2 2 3" xfId="20021" xr:uid="{EFAF0F8E-F5D2-4E20-B1FC-6072611555F6}"/>
    <cellStyle name="Output 2 2 3 2 2 2 3 2" xfId="29430" xr:uid="{2C49771A-2085-460D-9B0D-2DDFA85717CA}"/>
    <cellStyle name="Output 2 2 3 2 2 2 3 3" xfId="36275" xr:uid="{ECC22DEA-6D76-4FA1-9B42-C1A3B06AB520}"/>
    <cellStyle name="Output 2 2 3 2 2 2 4" xfId="19499" xr:uid="{B42C8FDC-A35F-4E1B-9836-C2BDC70190B2}"/>
    <cellStyle name="Output 2 2 3 2 2 2 5" xfId="21492" xr:uid="{08973172-9E99-45F9-AD78-B170ED9C6402}"/>
    <cellStyle name="Output 2 2 3 2 2 2 6" xfId="21616" xr:uid="{39590D9D-8510-4BCD-8396-2FB18A38344D}"/>
    <cellStyle name="Output 2 2 3 2 2 2 7" xfId="20388" xr:uid="{97FEBA6B-41A2-43BB-90A3-CA60CC640065}"/>
    <cellStyle name="Output 2 2 3 2 2 2 8" xfId="22008" xr:uid="{1A3095EB-8A93-44D5-B29F-2528614B421A}"/>
    <cellStyle name="Output 2 2 3 2 2 2 9" xfId="20819" xr:uid="{51EF4EEE-5798-4FC0-89F0-A0FC0E9F73EC}"/>
    <cellStyle name="Output 2 2 3 2 2 20" xfId="37653" xr:uid="{CC4854C1-4BFA-4840-A3B4-3F4E743E7268}"/>
    <cellStyle name="Output 2 2 3 2 2 21" xfId="47718" xr:uid="{3AA307B8-C9FC-4255-AC50-42456E9176A4}"/>
    <cellStyle name="Output 2 2 3 2 2 22" xfId="46788" xr:uid="{37592F64-BBDF-44F7-AE5A-4737AB938465}"/>
    <cellStyle name="Output 2 2 3 2 2 3" xfId="24729" xr:uid="{D47A8FDA-EFB6-433F-A22E-35F3326F0315}"/>
    <cellStyle name="Output 2 2 3 2 2 3 2" xfId="27375" xr:uid="{36CB0B5F-CF38-48EB-8B13-742F0D3B8BA1}"/>
    <cellStyle name="Output 2 2 3 2 2 3 2 2" xfId="34219" xr:uid="{535D16E8-F186-497F-84BA-306FF648F26F}"/>
    <cellStyle name="Output 2 2 3 2 2 3 3" xfId="29455" xr:uid="{8BF28772-DFA7-4A6B-A7C7-53341FB90E2C}"/>
    <cellStyle name="Output 2 2 3 2 2 3 3 2" xfId="36300" xr:uid="{99D8E60E-2331-402D-9069-27F7FD8CDB7A}"/>
    <cellStyle name="Output 2 2 3 2 2 3 4" xfId="31537" xr:uid="{84F9B6C9-9692-48DD-863B-159C08D397DA}"/>
    <cellStyle name="Output 2 2 3 2 2 4" xfId="24775" xr:uid="{9843A9D8-3417-447A-A318-D3A89E56F80F}"/>
    <cellStyle name="Output 2 2 3 2 2 4 2" xfId="27427" xr:uid="{B4DCAA76-0769-4FF7-97BB-B9EDB6D22F96}"/>
    <cellStyle name="Output 2 2 3 2 2 4 2 2" xfId="34271" xr:uid="{EFB76BB5-5442-4F24-A010-B0F07CAA3CF7}"/>
    <cellStyle name="Output 2 2 3 2 2 4 3" xfId="29507" xr:uid="{7EB64913-DA22-4D31-B938-095A212A3E44}"/>
    <cellStyle name="Output 2 2 3 2 2 4 3 2" xfId="36352" xr:uid="{52734032-CA0F-408F-9BBA-FFD7AFCB3E98}"/>
    <cellStyle name="Output 2 2 3 2 2 4 4" xfId="31589" xr:uid="{F36E988E-1482-4F01-9C65-A9748459536B}"/>
    <cellStyle name="Output 2 2 3 2 2 5" xfId="25124" xr:uid="{E4538131-11D7-43A6-8F95-5EBEDCA66991}"/>
    <cellStyle name="Output 2 2 3 2 2 5 2" xfId="27796" xr:uid="{7CD45E45-26E3-4B1E-8DDB-A39FD585452C}"/>
    <cellStyle name="Output 2 2 3 2 2 5 2 2" xfId="34641" xr:uid="{3CF32398-A970-47BA-996F-8AED65D4833F}"/>
    <cellStyle name="Output 2 2 3 2 2 5 3" xfId="29877" xr:uid="{29893D90-EA94-4EA8-8B81-15EB1EA3D691}"/>
    <cellStyle name="Output 2 2 3 2 2 5 3 2" xfId="36722" xr:uid="{8DA3416E-046C-4C86-B1C0-ACF697F43806}"/>
    <cellStyle name="Output 2 2 3 2 2 5 4" xfId="31959" xr:uid="{524CB3D2-8F1B-44DF-857D-1A7EFDEF797B}"/>
    <cellStyle name="Output 2 2 3 2 2 6" xfId="24260" xr:uid="{E8740855-89B9-4FEA-A58B-C794A74DC6D5}"/>
    <cellStyle name="Output 2 2 3 2 2 6 2" xfId="26867" xr:uid="{3C72EDA8-1C45-495D-8F33-3C689C336096}"/>
    <cellStyle name="Output 2 2 3 2 2 6 2 2" xfId="33707" xr:uid="{D98C2223-85CD-40FF-A197-2560D85B2833}"/>
    <cellStyle name="Output 2 2 3 2 2 6 3" xfId="28943" xr:uid="{F75F2EE4-4586-4F06-8500-7042437E9020}"/>
    <cellStyle name="Output 2 2 3 2 2 6 3 2" xfId="35788" xr:uid="{11A8F2A0-1B6D-48C5-9A26-D8C83069EC8D}"/>
    <cellStyle name="Output 2 2 3 2 2 6 4" xfId="31025" xr:uid="{31DA5A59-4C99-44A0-8016-E1F35AAEADAC}"/>
    <cellStyle name="Output 2 2 3 2 2 7" xfId="25045" xr:uid="{825E5DFF-D373-4FA6-AC61-587DD0FF5B42}"/>
    <cellStyle name="Output 2 2 3 2 2 7 2" xfId="27717" xr:uid="{053FFCAF-7D10-4DA5-8045-30648B706200}"/>
    <cellStyle name="Output 2 2 3 2 2 7 2 2" xfId="34562" xr:uid="{BB5519F1-A18E-4CDC-A20B-A92E3EB79334}"/>
    <cellStyle name="Output 2 2 3 2 2 7 3" xfId="29798" xr:uid="{0F843033-39F9-40B5-842B-7564AC477A68}"/>
    <cellStyle name="Output 2 2 3 2 2 7 3 2" xfId="36643" xr:uid="{2C68C903-ED06-4557-9AD1-28B3DE99F27E}"/>
    <cellStyle name="Output 2 2 3 2 2 7 4" xfId="31880" xr:uid="{680F1A4F-0957-4C3B-97B5-39640462CCE0}"/>
    <cellStyle name="Output 2 2 3 2 2 8" xfId="25326" xr:uid="{502340F9-8D4A-4344-8759-118E0F92AA2C}"/>
    <cellStyle name="Output 2 2 3 2 2 8 2" xfId="27995" xr:uid="{22F2D8C7-2AC8-4732-B13A-0D62280575A6}"/>
    <cellStyle name="Output 2 2 3 2 2 8 2 2" xfId="34840" xr:uid="{5A0AC98A-2C16-4154-AC5C-A249665672D9}"/>
    <cellStyle name="Output 2 2 3 2 2 8 3" xfId="30076" xr:uid="{BE799EA0-6248-4EAA-9205-EE39A7C8664D}"/>
    <cellStyle name="Output 2 2 3 2 2 8 3 2" xfId="36921" xr:uid="{8922E618-3D89-42A7-BE59-A0C1150874A0}"/>
    <cellStyle name="Output 2 2 3 2 2 8 4" xfId="32158" xr:uid="{3B9A320A-229F-496B-BC30-F07F9EE3A0E3}"/>
    <cellStyle name="Output 2 2 3 2 2 9" xfId="24520" xr:uid="{6BF5384E-E0E3-43CE-BE28-54B20152065E}"/>
    <cellStyle name="Output 2 2 3 2 2 9 2" xfId="27125" xr:uid="{FBC91859-EA6E-4102-84AB-70A62FA82FC6}"/>
    <cellStyle name="Output 2 2 3 2 2 9 2 2" xfId="33965" xr:uid="{0D9B9B46-A19E-4C7D-855D-6DAB33208F08}"/>
    <cellStyle name="Output 2 2 3 2 2 9 3" xfId="29201" xr:uid="{8238B1C6-C4B9-49BD-8E60-5039BF0A74CC}"/>
    <cellStyle name="Output 2 2 3 2 2 9 3 2" xfId="36046" xr:uid="{FE6C3AB3-BD7E-4A8A-B447-DB6A4AE33473}"/>
    <cellStyle name="Output 2 2 3 2 2 9 4" xfId="31283" xr:uid="{59C2BDD6-27BB-410B-8E63-C97A3E09EFB4}"/>
    <cellStyle name="Output 2 2 3 2 3" xfId="18607" xr:uid="{DF978E6A-2536-4D00-AF1F-0654A2BF9CFA}"/>
    <cellStyle name="Output 2 2 3 2 3 10" xfId="20540" xr:uid="{E11A4D2E-0317-4128-826F-CC7A13A98541}"/>
    <cellStyle name="Output 2 2 3 2 3 11" xfId="22274" xr:uid="{02511634-F840-45DC-8A74-3DCC03348F1B}"/>
    <cellStyle name="Output 2 2 3 2 3 12" xfId="22743" xr:uid="{7E961B28-57C3-43DB-BC5C-3BC1D6E92009}"/>
    <cellStyle name="Output 2 2 3 2 3 13" xfId="22096" xr:uid="{BAFB6498-4C43-4A0E-A38C-6AAC5636946F}"/>
    <cellStyle name="Output 2 2 3 2 3 14" xfId="22879" xr:uid="{81308629-DF48-45CE-A36C-7989798DCD02}"/>
    <cellStyle name="Output 2 2 3 2 3 15" xfId="19272" xr:uid="{D97DB4B2-CBD1-4A9E-8D62-E552261A348A}"/>
    <cellStyle name="Output 2 2 3 2 3 16" xfId="31384" xr:uid="{63C277B3-7A9B-48D9-90F2-04223BC41CCF}"/>
    <cellStyle name="Output 2 2 3 2 3 2" xfId="19860" xr:uid="{6CFCD906-E36F-4540-9541-E6EE48DB435F}"/>
    <cellStyle name="Output 2 2 3 2 3 2 2" xfId="27225" xr:uid="{D82CA2F8-0FF3-4BE2-BAA1-31D3BCE30500}"/>
    <cellStyle name="Output 2 2 3 2 3 2 3" xfId="34066" xr:uid="{AE7459FA-8169-40AE-8EF0-7342E35C62B4}"/>
    <cellStyle name="Output 2 2 3 2 3 3" xfId="21748" xr:uid="{A2245FDD-67E4-4991-AB5F-45AA070007F6}"/>
    <cellStyle name="Output 2 2 3 2 3 3 2" xfId="29302" xr:uid="{64431D31-EB7B-41C9-93AC-4F1BA22B05C8}"/>
    <cellStyle name="Output 2 2 3 2 3 3 3" xfId="36147" xr:uid="{FD1F6644-25F4-44F7-A891-18CD9CA57674}"/>
    <cellStyle name="Output 2 2 3 2 3 4" xfId="21259" xr:uid="{866586A5-3744-49C4-A5AA-17AD2BA76139}"/>
    <cellStyle name="Output 2 2 3 2 3 5" xfId="20909" xr:uid="{4413BC5B-49BF-4B26-AB8E-14F21B5D02C9}"/>
    <cellStyle name="Output 2 2 3 2 3 6" xfId="21757" xr:uid="{870CE507-EB0F-4BC1-B5A7-C1ABC26D163E}"/>
    <cellStyle name="Output 2 2 3 2 3 7" xfId="20898" xr:uid="{CB185EB3-97F2-41EA-9D47-64BB522F885A}"/>
    <cellStyle name="Output 2 2 3 2 3 8" xfId="22187" xr:uid="{D8C68339-8AEB-41A8-9567-3C3206049893}"/>
    <cellStyle name="Output 2 2 3 2 3 9" xfId="22480" xr:uid="{D07E6DD7-2777-4331-BCD6-6FE30DDB07BA}"/>
    <cellStyle name="Output 2 2 3 2 4" xfId="23775" xr:uid="{24D597B7-DDDE-481D-9388-9B61B616A3B6}"/>
    <cellStyle name="Output 2 2 3 2 4 2" xfId="26387" xr:uid="{7694FFD3-B3CC-4604-974C-BAA24F138792}"/>
    <cellStyle name="Output 2 2 3 2 4 2 2" xfId="33226" xr:uid="{89468B39-F434-427B-B33A-A10BCAF0A3F2}"/>
    <cellStyle name="Output 2 2 3 2 4 3" xfId="26295" xr:uid="{7C071B69-8D70-4340-9774-09ACD73A1B67}"/>
    <cellStyle name="Output 2 2 3 2 4 3 2" xfId="33123" xr:uid="{7B85F172-FC97-4D86-8EB3-0AB94574ED4B}"/>
    <cellStyle name="Output 2 2 3 2 4 4" xfId="23417" xr:uid="{94126CCE-DDE6-4335-9527-F1F967DEF720}"/>
    <cellStyle name="Output 2 2 3 2 5" xfId="24227" xr:uid="{4784C70E-6640-4CD9-96D7-799675D01352}"/>
    <cellStyle name="Output 2 2 3 2 5 2" xfId="26837" xr:uid="{9AEE84DD-31E5-49B5-BDB4-CC39A5649FE7}"/>
    <cellStyle name="Output 2 2 3 2 5 2 2" xfId="33677" xr:uid="{579F2AEE-DB4E-438B-A0E6-5469923EE40F}"/>
    <cellStyle name="Output 2 2 3 2 5 3" xfId="28913" xr:uid="{7B7F2A11-6E14-4464-9A42-C3B9B6987A90}"/>
    <cellStyle name="Output 2 2 3 2 5 3 2" xfId="35758" xr:uid="{E9E05F37-75E9-4468-9230-92DABBF16D2D}"/>
    <cellStyle name="Output 2 2 3 2 5 4" xfId="30995" xr:uid="{4AA3F0D7-1FF5-4B35-81B4-DB83DC27B304}"/>
    <cellStyle name="Output 2 2 3 2 6" xfId="24179" xr:uid="{32DAEF5D-4B38-4C22-B21E-01E4F0E2DA94}"/>
    <cellStyle name="Output 2 2 3 2 6 2" xfId="26790" xr:uid="{B6D2374B-7F41-49E0-91EB-0E4818ADE6B7}"/>
    <cellStyle name="Output 2 2 3 2 6 2 2" xfId="33630" xr:uid="{1566F82F-6CDF-4B68-A693-329C575272DA}"/>
    <cellStyle name="Output 2 2 3 2 6 3" xfId="28866" xr:uid="{796B1811-4EA9-4A53-B51C-AF774C9FD216}"/>
    <cellStyle name="Output 2 2 3 2 6 3 2" xfId="35711" xr:uid="{7B359B1A-2CA2-49D0-86B3-76DEE26DCEB0}"/>
    <cellStyle name="Output 2 2 3 2 6 4" xfId="30948" xr:uid="{FFC82AE0-4C8F-479F-A297-593D5127D18A}"/>
    <cellStyle name="Output 2 2 3 2 7" xfId="24862" xr:uid="{C95DA133-4738-42DB-BB5B-89F2F56F4150}"/>
    <cellStyle name="Output 2 2 3 2 7 2" xfId="27526" xr:uid="{FCE2D19A-EF64-4DA1-9300-174C6001D6D7}"/>
    <cellStyle name="Output 2 2 3 2 7 2 2" xfId="34370" xr:uid="{8D5439EA-FF81-4907-9529-3B7D74732C7F}"/>
    <cellStyle name="Output 2 2 3 2 7 3" xfId="29606" xr:uid="{11CE6BD1-DAD8-4553-9661-4558760C8E22}"/>
    <cellStyle name="Output 2 2 3 2 7 3 2" xfId="36451" xr:uid="{C5FE4A29-6FB0-472D-9E19-2862EA81359A}"/>
    <cellStyle name="Output 2 2 3 2 7 4" xfId="31688" xr:uid="{FA26FC03-5AB8-47B2-84FB-20F4DAF2C1FE}"/>
    <cellStyle name="Output 2 2 3 2 8" xfId="25303" xr:uid="{DDC91E9F-2C4C-454C-9753-0682C02333A3}"/>
    <cellStyle name="Output 2 2 3 2 8 2" xfId="27974" xr:uid="{B8D4B6CF-8429-4E87-AD6A-9A5734C115BD}"/>
    <cellStyle name="Output 2 2 3 2 8 2 2" xfId="34819" xr:uid="{0485E2EC-8FBF-4734-BBA0-1554CC95EA05}"/>
    <cellStyle name="Output 2 2 3 2 8 3" xfId="30055" xr:uid="{8F412CD4-2E8A-4ADD-8280-CDDCD7CC6CC9}"/>
    <cellStyle name="Output 2 2 3 2 8 3 2" xfId="36900" xr:uid="{CAB36402-FEB6-454D-B6D3-47B8E2EFEEF6}"/>
    <cellStyle name="Output 2 2 3 2 8 4" xfId="32137" xr:uid="{6E2AA43C-AE3A-4330-B171-BF7731C84F16}"/>
    <cellStyle name="Output 2 2 3 2 9" xfId="25388" xr:uid="{533D8F45-13DB-4C56-B34A-391595094A18}"/>
    <cellStyle name="Output 2 2 3 2 9 2" xfId="28055" xr:uid="{729F4988-81F7-4BCB-B5FB-B574E7004441}"/>
    <cellStyle name="Output 2 2 3 2 9 2 2" xfId="34900" xr:uid="{74C72ACD-B4FF-465E-BA3E-050BAF20E84E}"/>
    <cellStyle name="Output 2 2 3 2 9 3" xfId="30136" xr:uid="{3FBAD688-30B4-43E3-9163-6423A84F830C}"/>
    <cellStyle name="Output 2 2 3 2 9 3 2" xfId="36981" xr:uid="{E4C5C463-318F-4F04-B7B5-2812436F9686}"/>
    <cellStyle name="Output 2 2 3 2 9 4" xfId="32218" xr:uid="{B3C4EBCA-8516-4DC6-A1E2-30418BD18A2D}"/>
    <cellStyle name="Output 2 2 3 20" xfId="38976" xr:uid="{9B26C056-53F9-4F57-A3E0-852B0FD9F298}"/>
    <cellStyle name="Output 2 2 3 3" xfId="9307" xr:uid="{00000000-0005-0000-0000-0000B10F0000}"/>
    <cellStyle name="Output 2 2 3 3 10" xfId="25641" xr:uid="{8877D078-D9E2-43C4-B172-764823492E11}"/>
    <cellStyle name="Output 2 2 3 3 10 2" xfId="28308" xr:uid="{012EF680-D1D1-4BBB-A028-29328D90C59C}"/>
    <cellStyle name="Output 2 2 3 3 10 2 2" xfId="35153" xr:uid="{DEB67063-1169-406E-B01E-970E9031908A}"/>
    <cellStyle name="Output 2 2 3 3 10 3" xfId="30389" xr:uid="{A478D742-2854-4DF8-AE8F-B97E772E43D1}"/>
    <cellStyle name="Output 2 2 3 3 10 3 2" xfId="37234" xr:uid="{ED8F76CD-959D-4424-AA63-C1C076BB667A}"/>
    <cellStyle name="Output 2 2 3 3 10 4" xfId="32471" xr:uid="{5D4C1DF2-DCFD-4184-AB2A-34EB7D63335B}"/>
    <cellStyle name="Output 2 2 3 3 11" xfId="25746" xr:uid="{0F2C7A9B-207E-44ED-BE41-78FD7F1A06ED}"/>
    <cellStyle name="Output 2 2 3 3 11 2" xfId="28413" xr:uid="{EC44F61F-69CE-4777-9F99-9AA71CCC1DB6}"/>
    <cellStyle name="Output 2 2 3 3 11 2 2" xfId="35258" xr:uid="{3D0A8F7D-2A3E-4197-A772-A851F92E042D}"/>
    <cellStyle name="Output 2 2 3 3 11 3" xfId="30494" xr:uid="{4B448BF3-D544-41C7-A195-3350E6452938}"/>
    <cellStyle name="Output 2 2 3 3 11 3 2" xfId="37339" xr:uid="{1F20DB5D-6EDA-4714-830F-88F6264C6674}"/>
    <cellStyle name="Output 2 2 3 3 11 4" xfId="32576" xr:uid="{FB4C474B-E779-4126-BF76-98FB6B6ADF9F}"/>
    <cellStyle name="Output 2 2 3 3 12" xfId="25820" xr:uid="{812E050E-E7B0-4348-8D68-C3D03E3D3131}"/>
    <cellStyle name="Output 2 2 3 3 12 2" xfId="28486" xr:uid="{9C26A10E-2430-4D12-8A46-62FE28E8DC6E}"/>
    <cellStyle name="Output 2 2 3 3 12 2 2" xfId="35331" xr:uid="{CDF54B15-64EA-4738-904E-CE64EFC14BE5}"/>
    <cellStyle name="Output 2 2 3 3 12 3" xfId="30567" xr:uid="{05B37621-FF16-415C-9C53-FDF12109924D}"/>
    <cellStyle name="Output 2 2 3 3 12 3 2" xfId="37412" xr:uid="{2A3E18F2-393F-4D45-BAC7-936649C4D0D4}"/>
    <cellStyle name="Output 2 2 3 3 12 4" xfId="32649" xr:uid="{239E313C-4F7D-4C02-B142-7BF716ACAAE9}"/>
    <cellStyle name="Output 2 2 3 3 13" xfId="24030" xr:uid="{ABBC50E3-329F-42EA-BC79-AFA3454AB483}"/>
    <cellStyle name="Output 2 2 3 3 13 2" xfId="26644" xr:uid="{BD94C832-5725-4A80-B91E-1968CC33F449}"/>
    <cellStyle name="Output 2 2 3 3 13 2 2" xfId="33484" xr:uid="{01F60811-5F06-4ED3-BC84-DE3F98D343B5}"/>
    <cellStyle name="Output 2 2 3 3 13 3" xfId="28720" xr:uid="{D81967A3-6B27-4D6C-9CF0-11637E34386C}"/>
    <cellStyle name="Output 2 2 3 3 13 3 2" xfId="35565" xr:uid="{492CE23B-5E96-442D-BAFE-907BEFB33C1D}"/>
    <cellStyle name="Output 2 2 3 3 13 4" xfId="30802" xr:uid="{5EAD4940-26D4-473F-B606-97EDA20ADAD9}"/>
    <cellStyle name="Output 2 2 3 3 14" xfId="25952" xr:uid="{2C438C49-1001-4DB1-9072-5F6C1E5912EF}"/>
    <cellStyle name="Output 2 2 3 3 14 2" xfId="28618" xr:uid="{A124321F-AA37-49F9-B571-22259A771566}"/>
    <cellStyle name="Output 2 2 3 3 14 2 2" xfId="35463" xr:uid="{282A198B-52B2-4943-BB06-380906719BAB}"/>
    <cellStyle name="Output 2 2 3 3 14 3" xfId="30699" xr:uid="{DA79F90D-49E6-4AB3-99D8-ABA3D75FC323}"/>
    <cellStyle name="Output 2 2 3 3 14 3 2" xfId="37544" xr:uid="{DDD58166-26B1-42D3-807D-FB6A5A2FC471}"/>
    <cellStyle name="Output 2 2 3 3 14 4" xfId="32781" xr:uid="{76825AB4-FF6E-4E57-836E-0CE049825661}"/>
    <cellStyle name="Output 2 2 3 3 15" xfId="26006" xr:uid="{9679DB0D-8B20-40BD-9357-46F0065371DE}"/>
    <cellStyle name="Output 2 2 3 3 15 2" xfId="28672" xr:uid="{4066D876-661A-4309-A51C-43750282345D}"/>
    <cellStyle name="Output 2 2 3 3 15 2 2" xfId="35517" xr:uid="{165822CC-3F42-49F5-B17D-5998B4BEDC34}"/>
    <cellStyle name="Output 2 2 3 3 15 3" xfId="30753" xr:uid="{A479FDAC-C1F2-4E5C-8128-F8E5C05C3FA6}"/>
    <cellStyle name="Output 2 2 3 3 15 3 2" xfId="37598" xr:uid="{040C15D8-6BDB-4261-B455-D134338090A8}"/>
    <cellStyle name="Output 2 2 3 3 15 4" xfId="32835" xr:uid="{BD38650A-840B-4CE0-A006-F44F64DB61FC}"/>
    <cellStyle name="Output 2 2 3 3 16" xfId="24660" xr:uid="{24172A8F-A965-4ADC-9634-0B8F95CCD146}"/>
    <cellStyle name="Output 2 2 3 3 17" xfId="17810" xr:uid="{B00F558A-596C-4552-8E89-958BE12BF8BA}"/>
    <cellStyle name="Output 2 2 3 3 18" xfId="41830" xr:uid="{8D61A74E-A489-47E9-A552-2DD4DDB39E32}"/>
    <cellStyle name="Output 2 2 3 3 19" xfId="37710" xr:uid="{82EF8F9D-8877-42A2-866C-903CC0C3BEE1}"/>
    <cellStyle name="Output 2 2 3 3 2" xfId="18453" xr:uid="{3E795D68-9649-48D8-BF6D-746D1B295CDC}"/>
    <cellStyle name="Output 2 2 3 3 2 10" xfId="21154" xr:uid="{8DA3485D-EDDA-4741-B882-4F21A39FA46F}"/>
    <cellStyle name="Output 2 2 3 3 2 11" xfId="22042" xr:uid="{7DDE067C-0FBA-40D0-9C00-CE8D0B0B94B5}"/>
    <cellStyle name="Output 2 2 3 3 2 12" xfId="22386" xr:uid="{B551BA17-E259-4F8E-B321-A61D17427CED}"/>
    <cellStyle name="Output 2 2 3 3 2 13" xfId="19695" xr:uid="{1D45EFEB-00DD-4456-921C-E81FD477E86C}"/>
    <cellStyle name="Output 2 2 3 3 2 14" xfId="21596" xr:uid="{29822EEF-ACA2-4569-8F10-B29B2767AF27}"/>
    <cellStyle name="Output 2 2 3 3 2 15" xfId="23001" xr:uid="{2074EE9D-C2B3-43B9-A27A-B9F533EC1C37}"/>
    <cellStyle name="Output 2 2 3 3 2 16" xfId="31483" xr:uid="{0F982D9C-E8C8-4CEA-8B58-7CF99E4D1159}"/>
    <cellStyle name="Output 2 2 3 3 2 2" xfId="19923" xr:uid="{B7AE4024-0561-4548-9589-BC5AA6C2B2FF}"/>
    <cellStyle name="Output 2 2 3 3 2 2 2" xfId="27321" xr:uid="{A2F9CA39-30B8-4EE4-B626-6B16DB8BF0A6}"/>
    <cellStyle name="Output 2 2 3 3 2 2 3" xfId="34165" xr:uid="{464FD7D9-8C17-453A-BBA5-34F57C0AB796}"/>
    <cellStyle name="Output 2 2 3 3 2 3" xfId="21073" xr:uid="{B211E243-3C24-4C67-B51D-FF31F9841519}"/>
    <cellStyle name="Output 2 2 3 3 2 3 2" xfId="29401" xr:uid="{73AB1F6F-4763-4AC4-9ACE-84AD50760D06}"/>
    <cellStyle name="Output 2 2 3 3 2 3 3" xfId="36246" xr:uid="{0DD05694-2021-4F9F-9EF6-D2B716A9A46E}"/>
    <cellStyle name="Output 2 2 3 3 2 4" xfId="18907" xr:uid="{090E6CAE-1D6E-4829-9E3E-DF817081385E}"/>
    <cellStyle name="Output 2 2 3 3 2 5" xfId="20109" xr:uid="{AACBE7FC-A664-4AE3-8C2C-79945A90192B}"/>
    <cellStyle name="Output 2 2 3 3 2 6" xfId="21559" xr:uid="{F26E63BB-07E2-41CC-A3B5-F28A8BB34214}"/>
    <cellStyle name="Output 2 2 3 3 2 7" xfId="18905" xr:uid="{70C11984-A8B3-4C03-A3CE-63CC8BB0740A}"/>
    <cellStyle name="Output 2 2 3 3 2 8" xfId="19148" xr:uid="{0E7398B0-6DB5-4A25-AF15-174F1CA9E3B1}"/>
    <cellStyle name="Output 2 2 3 3 2 9" xfId="21880" xr:uid="{363C51E2-E2A8-4BDD-8490-C8BFA3155DB4}"/>
    <cellStyle name="Output 2 2 3 3 20" xfId="14156" xr:uid="{DD0E6AA8-6589-45FC-8C28-22C4C96AC907}"/>
    <cellStyle name="Output 2 2 3 3 21" xfId="48001" xr:uid="{0AF474B6-944D-48EA-962A-FBE59FD6689D}"/>
    <cellStyle name="Output 2 2 3 3 22" xfId="46198" xr:uid="{0EF4AFB1-F3F3-4591-99E2-105C1001CB44}"/>
    <cellStyle name="Output 2 2 3 3 3" xfId="23809" xr:uid="{5C1C50AC-AC39-4C78-9B32-E32BBE498B03}"/>
    <cellStyle name="Output 2 2 3 3 3 2" xfId="26426" xr:uid="{2E431361-3537-4FB8-961B-89E1A54412F8}"/>
    <cellStyle name="Output 2 2 3 3 3 2 2" xfId="33266" xr:uid="{1D1906F9-AC6F-4618-B80C-1C7FE6CCAD6A}"/>
    <cellStyle name="Output 2 2 3 3 3 3" xfId="26256" xr:uid="{B0005593-ED67-4834-8B41-CA1FACC1ADAF}"/>
    <cellStyle name="Output 2 2 3 3 3 3 2" xfId="33084" xr:uid="{DCAA2D0C-6A3B-488D-998C-911D05F74A02}"/>
    <cellStyle name="Output 2 2 3 3 3 4" xfId="23378" xr:uid="{F6166FF6-4734-41BC-B313-B76433D055D5}"/>
    <cellStyle name="Output 2 2 3 3 4" xfId="24489" xr:uid="{3F883B93-B804-4F9A-AB7F-8BFBDA3985FE}"/>
    <cellStyle name="Output 2 2 3 3 4 2" xfId="27100" xr:uid="{95DC79BC-B9CE-4707-9DB1-0AB6CA6C3313}"/>
    <cellStyle name="Output 2 2 3 3 4 2 2" xfId="33940" xr:uid="{557EB32B-91FC-459A-9ED8-0C676F5C5A0B}"/>
    <cellStyle name="Output 2 2 3 3 4 3" xfId="29176" xr:uid="{54AF7710-B9B1-444D-9BD5-671A94EB8B23}"/>
    <cellStyle name="Output 2 2 3 3 4 3 2" xfId="36021" xr:uid="{166B7149-C38C-454C-B3C2-C51D266C838B}"/>
    <cellStyle name="Output 2 2 3 3 4 4" xfId="31258" xr:uid="{31E613FE-CB92-4C7E-8EE6-94D3CAA49EA7}"/>
    <cellStyle name="Output 2 2 3 3 5" xfId="25094" xr:uid="{7EB382FE-0F5D-40FF-A90F-721434B50870}"/>
    <cellStyle name="Output 2 2 3 3 5 2" xfId="27766" xr:uid="{6F4F8DC3-86DA-46A2-8BA7-BEFB90B1E680}"/>
    <cellStyle name="Output 2 2 3 3 5 2 2" xfId="34611" xr:uid="{FC6AC47B-4805-4929-8EDA-FAD0A1DA831D}"/>
    <cellStyle name="Output 2 2 3 3 5 3" xfId="29847" xr:uid="{D4675B74-69DE-47B3-A722-BC4C6F2D521E}"/>
    <cellStyle name="Output 2 2 3 3 5 3 2" xfId="36692" xr:uid="{EB516980-C2EA-4426-AB34-BC0376FB44CE}"/>
    <cellStyle name="Output 2 2 3 3 5 4" xfId="31929" xr:uid="{8CA67805-30B8-4C15-856B-03575537D0B6}"/>
    <cellStyle name="Output 2 2 3 3 6" xfId="23814" xr:uid="{68C276A7-B9DD-4947-9AC7-7B8A0AF8F80A}"/>
    <cellStyle name="Output 2 2 3 3 6 2" xfId="26433" xr:uid="{CFB2EFF8-4352-4E63-8F5C-5E410ED6BAAD}"/>
    <cellStyle name="Output 2 2 3 3 6 2 2" xfId="33273" xr:uid="{2C3C1460-5588-47F1-AFEB-7BAEF04D76F0}"/>
    <cellStyle name="Output 2 2 3 3 6 3" xfId="26249" xr:uid="{A1513AAB-0740-4005-AED7-94958CC97A11}"/>
    <cellStyle name="Output 2 2 3 3 6 3 2" xfId="33077" xr:uid="{147CEA84-E383-4BA8-8A48-31DE74D6A6E6}"/>
    <cellStyle name="Output 2 2 3 3 6 4" xfId="23371" xr:uid="{EE48072E-C49F-42CC-BE68-7D8511132DC8}"/>
    <cellStyle name="Output 2 2 3 3 7" xfId="24909" xr:uid="{53200AB4-18E1-4101-A042-AB57D5006DA6}"/>
    <cellStyle name="Output 2 2 3 3 7 2" xfId="27578" xr:uid="{83526F50-6C81-41F0-A606-33DF3BB5DE37}"/>
    <cellStyle name="Output 2 2 3 3 7 2 2" xfId="34422" xr:uid="{8B55D660-AE22-4D93-B202-90641E4FAE45}"/>
    <cellStyle name="Output 2 2 3 3 7 3" xfId="29658" xr:uid="{B368708C-A718-490A-B69B-B5D1A688601E}"/>
    <cellStyle name="Output 2 2 3 3 7 3 2" xfId="36503" xr:uid="{85B0FC72-AF70-4110-8120-5F406D25F1D9}"/>
    <cellStyle name="Output 2 2 3 3 7 4" xfId="31740" xr:uid="{A58D240E-DFB1-4EED-820D-FC973DCBF99E}"/>
    <cellStyle name="Output 2 2 3 3 8" xfId="24471" xr:uid="{BFA20C4D-021B-48E5-A186-5048EEE79903}"/>
    <cellStyle name="Output 2 2 3 3 8 2" xfId="27087" xr:uid="{321A2162-46D0-4B84-B5C8-8951CE7B515E}"/>
    <cellStyle name="Output 2 2 3 3 8 2 2" xfId="33927" xr:uid="{15C30B4F-940D-4B64-9385-650456BFEC95}"/>
    <cellStyle name="Output 2 2 3 3 8 3" xfId="29163" xr:uid="{6BD357CA-458F-486F-8925-886A8424D8CB}"/>
    <cellStyle name="Output 2 2 3 3 8 3 2" xfId="36008" xr:uid="{9EF715FD-EF13-454B-A5CA-E36985BD5236}"/>
    <cellStyle name="Output 2 2 3 3 8 4" xfId="31245" xr:uid="{9FF3A8B7-72FC-4251-9504-9D5E6AF9CDCC}"/>
    <cellStyle name="Output 2 2 3 3 9" xfId="23891" xr:uid="{4B740071-D2E9-40A4-AB34-1E92A10DD677}"/>
    <cellStyle name="Output 2 2 3 3 9 2" xfId="26509" xr:uid="{DB8D629A-3398-41E5-9DE2-F087D96B00CC}"/>
    <cellStyle name="Output 2 2 3 3 9 2 2" xfId="33349" xr:uid="{458B862F-9957-46A1-A989-6CB6F039B1A5}"/>
    <cellStyle name="Output 2 2 3 3 9 3" xfId="26175" xr:uid="{E4D616EF-A5F4-4346-A4C5-B449BB636CEE}"/>
    <cellStyle name="Output 2 2 3 3 9 3 2" xfId="33003" xr:uid="{75A90F9C-0557-4EE4-A538-8C398BC0B90D}"/>
    <cellStyle name="Output 2 2 3 3 9 4" xfId="23297" xr:uid="{8BBF4486-29F1-48C7-BE14-E7FDB2CF38C9}"/>
    <cellStyle name="Output 2 2 3 4" xfId="18628" xr:uid="{3D943114-AE4C-4AB2-8F58-894A802CFEA9}"/>
    <cellStyle name="Output 2 2 3 4 10" xfId="20588" xr:uid="{841EE47C-1F18-4B00-A0E0-E05398A333E9}"/>
    <cellStyle name="Output 2 2 3 4 11" xfId="20299" xr:uid="{F4F948E8-A1E5-456A-B493-DDCC6149C6F5}"/>
    <cellStyle name="Output 2 2 3 4 12" xfId="22762" xr:uid="{6B1F8C00-4758-46C4-8D81-6F58849009FC}"/>
    <cellStyle name="Output 2 2 3 4 13" xfId="22086" xr:uid="{479A8C10-7300-498C-A761-F4704FF89D3E}"/>
    <cellStyle name="Output 2 2 3 4 14" xfId="22898" xr:uid="{039F83B8-580C-4815-9421-83C44792ACF8}"/>
    <cellStyle name="Output 2 2 3 4 15" xfId="20387" xr:uid="{ABEC295D-6D5A-4AA6-B004-2AB7F236F300}"/>
    <cellStyle name="Output 2 2 3 4 16" xfId="31357" xr:uid="{3C462996-108A-4D53-8A23-546ADA63888E}"/>
    <cellStyle name="Output 2 2 3 4 2" xfId="19842" xr:uid="{E7300A58-8EB0-4085-922D-B1388B4AA85E}"/>
    <cellStyle name="Output 2 2 3 4 2 2" xfId="27198" xr:uid="{DA003CE8-9362-4224-86FE-759373BF5549}"/>
    <cellStyle name="Output 2 2 3 4 2 3" xfId="34039" xr:uid="{F75D1778-D65E-4783-A911-A5AE0517B3FF}"/>
    <cellStyle name="Output 2 2 3 4 3" xfId="21036" xr:uid="{F1912E78-E07E-4CD2-AFEF-8B372AC89B3B}"/>
    <cellStyle name="Output 2 2 3 4 3 2" xfId="29275" xr:uid="{1472B25A-B4C5-45B8-AF11-E6A4EF63BF81}"/>
    <cellStyle name="Output 2 2 3 4 3 3" xfId="36120" xr:uid="{B3C5A8A4-FADD-4B18-8CA4-3998E7D328C6}"/>
    <cellStyle name="Output 2 2 3 4 4" xfId="21751" xr:uid="{6FDB8DAE-F98C-4A86-93F6-957EACAEC4D2}"/>
    <cellStyle name="Output 2 2 3 4 5" xfId="22077" xr:uid="{4DD48CF3-3822-4D8C-8B1C-4731E7235684}"/>
    <cellStyle name="Output 2 2 3 4 6" xfId="20113" xr:uid="{F7BD7639-8D21-490B-8E91-B11FF62E27C8}"/>
    <cellStyle name="Output 2 2 3 4 7" xfId="20104" xr:uid="{951A26BE-D697-4834-9746-22481CC37C6E}"/>
    <cellStyle name="Output 2 2 3 4 8" xfId="19093" xr:uid="{7AD49E52-C0CE-4C6C-9BBF-AA02F6078800}"/>
    <cellStyle name="Output 2 2 3 4 9" xfId="22499" xr:uid="{44ACBF3C-A040-4F15-B52D-37C600F7E8F4}"/>
    <cellStyle name="Output 2 2 3 5" xfId="18219" xr:uid="{5AF53B0C-82CA-435B-B8BA-12B9B91B0CF1}"/>
    <cellStyle name="Output 2 2 3 5 2" xfId="27257" xr:uid="{32FF9F7C-DB04-478A-8BB5-BB8A9CC05D6D}"/>
    <cellStyle name="Output 2 2 3 5 2 2" xfId="34101" xr:uid="{62C79910-CAD3-48C6-A2B3-8E5494D0F59B}"/>
    <cellStyle name="Output 2 2 3 5 3" xfId="29337" xr:uid="{55F3EAAE-1A8C-448B-B5AC-35A691D15D76}"/>
    <cellStyle name="Output 2 2 3 5 3 2" xfId="36182" xr:uid="{DA5C4B02-1B9A-42AA-8BB6-B2C76DA1C7F2}"/>
    <cellStyle name="Output 2 2 3 5 4" xfId="24651" xr:uid="{0822008D-4B4D-421A-A46A-ABD691F314FA}"/>
    <cellStyle name="Output 2 2 3 5 5" xfId="31419" xr:uid="{0B54F998-1A5A-4114-921B-856517A7A3C8}"/>
    <cellStyle name="Output 2 2 3 6" xfId="17539" xr:uid="{7BD234FD-57C3-4E88-8964-14994E716BF7}"/>
    <cellStyle name="Output 2 2 3 6 2" xfId="26861" xr:uid="{98237272-09BB-47EC-938C-B9AD08C5F328}"/>
    <cellStyle name="Output 2 2 3 6 2 2" xfId="33701" xr:uid="{14AA7FB1-3F1F-451D-8C28-B4E436ECDB30}"/>
    <cellStyle name="Output 2 2 3 6 3" xfId="28937" xr:uid="{381C2AE5-852D-469B-9140-6218589124F5}"/>
    <cellStyle name="Output 2 2 3 6 3 2" xfId="35782" xr:uid="{26B37FAA-8CDA-4BF0-B022-41B655BACF98}"/>
    <cellStyle name="Output 2 2 3 6 4" xfId="24254" xr:uid="{C31EA126-9F04-45C2-87D6-963405A1C04D}"/>
    <cellStyle name="Output 2 2 3 6 5" xfId="31019" xr:uid="{82955A78-CB2C-4E08-8289-2B481A541F6C}"/>
    <cellStyle name="Output 2 2 3 7" xfId="24880" xr:uid="{9C3750BC-A5BD-4B64-96FF-D7E2B733142F}"/>
    <cellStyle name="Output 2 2 3 7 2" xfId="27547" xr:uid="{3E86B327-6E68-48DC-B021-7C81619764A3}"/>
    <cellStyle name="Output 2 2 3 7 2 2" xfId="34391" xr:uid="{CE77BEAE-CDC0-4E72-91A7-3B490D42C7A4}"/>
    <cellStyle name="Output 2 2 3 7 3" xfId="29627" xr:uid="{07A50A58-6497-412E-B9F8-70C43ADDC261}"/>
    <cellStyle name="Output 2 2 3 7 3 2" xfId="36472" xr:uid="{535AF699-E22F-4EA7-96E3-79F9AE91C9D2}"/>
    <cellStyle name="Output 2 2 3 7 4" xfId="31709" xr:uid="{23576079-6A84-46B1-B483-B4F201B6D673}"/>
    <cellStyle name="Output 2 2 3 8" xfId="25170" xr:uid="{1AC47AB0-9C98-4983-9476-37668D26AB69}"/>
    <cellStyle name="Output 2 2 3 8 2" xfId="27842" xr:uid="{53B3DD10-7E48-4AA6-97B2-D0D70ADBC561}"/>
    <cellStyle name="Output 2 2 3 8 2 2" xfId="34687" xr:uid="{7DC8CBE0-C5DA-4F8C-8DA9-9F7F81668C1D}"/>
    <cellStyle name="Output 2 2 3 8 3" xfId="29923" xr:uid="{D58DBBF3-7346-4252-A5A4-F964D9C4F5BE}"/>
    <cellStyle name="Output 2 2 3 8 3 2" xfId="36768" xr:uid="{EE60EDF5-7152-40E9-A5DE-D23D61EF0059}"/>
    <cellStyle name="Output 2 2 3 8 4" xfId="32005" xr:uid="{3A630069-3554-4277-85EB-39998608F596}"/>
    <cellStyle name="Output 2 2 3 9" xfId="25292" xr:uid="{FFA7F814-9D32-4FE3-921C-EF536C4D9FA6}"/>
    <cellStyle name="Output 2 2 3 9 2" xfId="27963" xr:uid="{6E5A9152-4087-4DFE-8956-B58675A2BF99}"/>
    <cellStyle name="Output 2 2 3 9 2 2" xfId="34808" xr:uid="{EE74AC51-5096-443D-B756-2D1E20ACE9C3}"/>
    <cellStyle name="Output 2 2 3 9 3" xfId="30044" xr:uid="{FCE24CEE-D558-41D2-AABB-E7AB514686A6}"/>
    <cellStyle name="Output 2 2 3 9 3 2" xfId="36889" xr:uid="{1E63D2BC-523D-423D-B5EC-42F90D70747F}"/>
    <cellStyle name="Output 2 2 3 9 4" xfId="32126" xr:uid="{4F21F544-4F4F-4576-9034-E810DCD56728}"/>
    <cellStyle name="Output 2 2 4" xfId="4942" xr:uid="{00000000-0005-0000-0000-000073130000}"/>
    <cellStyle name="Output 2 2 4 10" xfId="24455" xr:uid="{33560C41-4C68-4243-89E8-5C17B1AD345C}"/>
    <cellStyle name="Output 2 2 4 10 2" xfId="27071" xr:uid="{94FA0DCC-2F9B-4DB2-99B1-751218DE0A25}"/>
    <cellStyle name="Output 2 2 4 10 2 2" xfId="33911" xr:uid="{10F1CC83-3876-43B2-A693-AD9FEB5DB394}"/>
    <cellStyle name="Output 2 2 4 10 3" xfId="29147" xr:uid="{64093658-BAA0-4FF9-AC73-AC158C9EFC7A}"/>
    <cellStyle name="Output 2 2 4 10 3 2" xfId="35992" xr:uid="{FB2E95BA-2E95-4F0B-B7F1-7DDCD845992E}"/>
    <cellStyle name="Output 2 2 4 10 4" xfId="31229" xr:uid="{5B0E5D37-B7E5-4169-8623-5235660A5AA8}"/>
    <cellStyle name="Output 2 2 4 11" xfId="23975" xr:uid="{62278E46-FDA7-404A-911C-24FE8A1F4887}"/>
    <cellStyle name="Output 2 2 4 11 2" xfId="26592" xr:uid="{F5BA3A41-29A2-4DAB-B1A5-D3C35DE7B327}"/>
    <cellStyle name="Output 2 2 4 11 2 2" xfId="33432" xr:uid="{30B71354-24FD-494A-9DFA-251FDC8A546A}"/>
    <cellStyle name="Output 2 2 4 11 3" xfId="26101" xr:uid="{9DA26026-FAA1-41C3-B7AC-11369591A9E5}"/>
    <cellStyle name="Output 2 2 4 11 3 2" xfId="32929" xr:uid="{13F70323-A2DC-4AEE-97C4-E2430B0E0705}"/>
    <cellStyle name="Output 2 2 4 11 4" xfId="23223" xr:uid="{34E4E79A-CDB4-4E5B-9474-4673512AB6CC}"/>
    <cellStyle name="Output 2 2 4 12" xfId="25319" xr:uid="{E45CC26F-BF5F-4604-87E4-0C4CBCAECD9C}"/>
    <cellStyle name="Output 2 2 4 12 2" xfId="27988" xr:uid="{BDE6132F-E43D-4154-8547-742B5DD04B7C}"/>
    <cellStyle name="Output 2 2 4 12 2 2" xfId="34833" xr:uid="{A12775C2-05B2-4B97-BE31-AB86767267DF}"/>
    <cellStyle name="Output 2 2 4 12 3" xfId="30069" xr:uid="{9E9611A0-C741-4FA3-B516-63CB8C853075}"/>
    <cellStyle name="Output 2 2 4 12 3 2" xfId="36914" xr:uid="{60DD8129-A759-452A-BFA1-799ED914257B}"/>
    <cellStyle name="Output 2 2 4 12 4" xfId="32151" xr:uid="{3E21782E-6217-4AE3-BF77-B242E95ED6BF}"/>
    <cellStyle name="Output 2 2 4 13" xfId="25603" xr:uid="{4C80FFF9-FDEA-4E8B-9C17-9272D3E44726}"/>
    <cellStyle name="Output 2 2 4 13 2" xfId="28270" xr:uid="{BD059BE6-D1D5-4A9C-AA0C-668BA4A7CA28}"/>
    <cellStyle name="Output 2 2 4 13 2 2" xfId="35115" xr:uid="{C3C3EF8A-4C5E-449F-A3B1-84840F24FE49}"/>
    <cellStyle name="Output 2 2 4 13 3" xfId="30351" xr:uid="{E42187F8-044D-4DB3-903D-ACE064CCB6BA}"/>
    <cellStyle name="Output 2 2 4 13 3 2" xfId="37196" xr:uid="{34D61E21-A1DE-49F4-9AF1-E4D7BDD87576}"/>
    <cellStyle name="Output 2 2 4 13 4" xfId="32433" xr:uid="{80D916B7-E32C-4DC0-9216-DCFFBECC2EC2}"/>
    <cellStyle name="Output 2 2 4 14" xfId="25688" xr:uid="{ACD0E159-583F-4ACB-8195-9FB3885CE601}"/>
    <cellStyle name="Output 2 2 4 14 2" xfId="28355" xr:uid="{BBACBC26-9400-4841-8808-0A84FFE4621D}"/>
    <cellStyle name="Output 2 2 4 14 2 2" xfId="35200" xr:uid="{B613BBEC-B3CD-4147-A1EA-9FE8A45A29F8}"/>
    <cellStyle name="Output 2 2 4 14 3" xfId="30436" xr:uid="{5B3C5A9F-79F7-4CD2-B91B-6EB57E76ED12}"/>
    <cellStyle name="Output 2 2 4 14 3 2" xfId="37281" xr:uid="{933CF5AC-04D1-49D9-BA44-E385BD2A69F8}"/>
    <cellStyle name="Output 2 2 4 14 4" xfId="32518" xr:uid="{D61862D4-B744-4818-940B-B2863C7DCA7C}"/>
    <cellStyle name="Output 2 2 4 15" xfId="25234" xr:uid="{AB20635D-32A4-473D-A37E-204C6114F84C}"/>
    <cellStyle name="Output 2 2 4 15 2" xfId="27905" xr:uid="{688BC70A-C3BC-4B1A-9294-D0CA5BE2B668}"/>
    <cellStyle name="Output 2 2 4 15 2 2" xfId="34750" xr:uid="{23137E28-3170-4656-A21E-32DDE9A1686A}"/>
    <cellStyle name="Output 2 2 4 15 3" xfId="29986" xr:uid="{515B5EAB-C86C-4833-A451-B0F29BBC3A31}"/>
    <cellStyle name="Output 2 2 4 15 3 2" xfId="36831" xr:uid="{DBA1A4BD-6122-4600-AA3B-0B6721D0B270}"/>
    <cellStyle name="Output 2 2 4 15 4" xfId="32068" xr:uid="{40F1A16A-B4B0-4E5C-ADD4-F6E7202FD53C}"/>
    <cellStyle name="Output 2 2 4 16" xfId="23609" xr:uid="{684AB0FE-C891-46D1-BE51-261B3AB00F9D}"/>
    <cellStyle name="Output 2 2 4 17" xfId="16282" xr:uid="{18967DC5-5FCC-4A4A-BDF9-23FFA72AE8E8}"/>
    <cellStyle name="Output 2 2 4 18" xfId="38977" xr:uid="{B53E1F34-AEDA-4357-9676-A60598B9E79E}"/>
    <cellStyle name="Output 2 2 4 2" xfId="10464" xr:uid="{00000000-0005-0000-0000-0000BE200000}"/>
    <cellStyle name="Output 2 2 4 2 10" xfId="19433" xr:uid="{DDEF5051-E173-4BF6-AFFD-ED9142C152B0}"/>
    <cellStyle name="Output 2 2 4 2 11" xfId="20677" xr:uid="{98FAEAA5-B25F-4366-9DD9-378470B4218A}"/>
    <cellStyle name="Output 2 2 4 2 12" xfId="22808" xr:uid="{6722E74B-84E9-40D8-8953-B3B48F890620}"/>
    <cellStyle name="Output 2 2 4 2 13" xfId="19113" xr:uid="{4CE98222-3245-4B38-A05A-953A27B7F603}"/>
    <cellStyle name="Output 2 2 4 2 14" xfId="22943" xr:uid="{B90D9551-7CAB-46A0-B4C5-5EBD418D7925}"/>
    <cellStyle name="Output 2 2 4 2 15" xfId="22531" xr:uid="{9C29FD7C-44FF-4A0C-A65C-03C8AC4B52E4}"/>
    <cellStyle name="Output 2 2 4 2 16" xfId="31401" xr:uid="{F4085093-A396-4F46-BE99-972AA6623B25}"/>
    <cellStyle name="Output 2 2 4 2 17" xfId="18765" xr:uid="{20E56A73-BDE8-4E93-B16E-C6AECA09A48F}"/>
    <cellStyle name="Output 2 2 4 2 18" xfId="42953" xr:uid="{B6B7C727-997B-4C15-B02B-9820E6CD80EA}"/>
    <cellStyle name="Output 2 2 4 2 2" xfId="19780" xr:uid="{32010D78-4CE5-496F-AA1F-7459C25F9D57}"/>
    <cellStyle name="Output 2 2 4 2 2 2" xfId="27240" xr:uid="{7FAC4ED2-74BD-4032-A57B-DC998FC46F6B}"/>
    <cellStyle name="Output 2 2 4 2 2 3" xfId="34083" xr:uid="{88FF518C-8B55-4094-8629-B1218EAFCEBD}"/>
    <cellStyle name="Output 2 2 4 2 3" xfId="21804" xr:uid="{2CF20D8F-1A5E-41A1-9D9A-1232DB7983B2}"/>
    <cellStyle name="Output 2 2 4 2 3 2" xfId="29319" xr:uid="{6B925B1A-6480-42FA-B071-6014D226624D}"/>
    <cellStyle name="Output 2 2 4 2 3 3" xfId="36164" xr:uid="{98D40F20-2792-422D-A08D-676F32B4A84E}"/>
    <cellStyle name="Output 2 2 4 2 4" xfId="22016" xr:uid="{F297B2E6-713D-4C52-8D9F-BA066225E201}"/>
    <cellStyle name="Output 2 2 4 2 5" xfId="21711" xr:uid="{EDCFC9BD-7D81-4170-9158-B7B98193BFAC}"/>
    <cellStyle name="Output 2 2 4 2 6" xfId="20978" xr:uid="{C042A3B2-6236-483F-B75E-679266065A1B}"/>
    <cellStyle name="Output 2 2 4 2 7" xfId="19731" xr:uid="{CE5DFA15-3165-4DD4-8F2A-3526E4069C41}"/>
    <cellStyle name="Output 2 2 4 2 8" xfId="19516" xr:uid="{28F37BC8-8407-45DD-A6AF-A87DBB74222A}"/>
    <cellStyle name="Output 2 2 4 2 9" xfId="22562" xr:uid="{B54FB858-D408-43AF-80D1-C3273CD942E8}"/>
    <cellStyle name="Output 2 2 4 3" xfId="18220" xr:uid="{79B4D168-EDA7-440F-A9E7-20CDCBA409B0}"/>
    <cellStyle name="Output 2 2 4 3 10" xfId="19422" xr:uid="{9852D629-2C59-4A69-B0ED-4073A98403C8}"/>
    <cellStyle name="Output 2 2 4 3 11" xfId="22437" xr:uid="{BC20C965-7065-4507-9482-C10E4B1A0518}"/>
    <cellStyle name="Output 2 2 4 3 12" xfId="22314" xr:uid="{9B30FDE0-8C5F-4D4A-80E9-E72768A4F372}"/>
    <cellStyle name="Output 2 2 4 3 13" xfId="21403" xr:uid="{1294AA52-11ED-40FC-A3AF-FA487D3AF3F0}"/>
    <cellStyle name="Output 2 2 4 3 14" xfId="22401" xr:uid="{A2D254AE-72A1-44E2-B503-35BE6C6622DC}"/>
    <cellStyle name="Output 2 2 4 3 15" xfId="22872" xr:uid="{28F6D8B0-0258-4576-91AA-E90BAFB4381D}"/>
    <cellStyle name="Output 2 2 4 3 16" xfId="31704" xr:uid="{D0662FAF-5A2A-470F-BABA-9D5E318C8BFD}"/>
    <cellStyle name="Output 2 2 4 3 2" xfId="20328" xr:uid="{340FDAC9-8AC6-41DB-93C4-E0529B8D28E8}"/>
    <cellStyle name="Output 2 2 4 3 2 2" xfId="27542" xr:uid="{03141559-8197-4AE1-9511-B99127906BD6}"/>
    <cellStyle name="Output 2 2 4 3 2 3" xfId="34386" xr:uid="{3772D092-17BC-4D11-A634-2F735FC54C74}"/>
    <cellStyle name="Output 2 2 4 3 3" xfId="21822" xr:uid="{ADABCE89-705E-4258-9935-D9AFF01F2269}"/>
    <cellStyle name="Output 2 2 4 3 3 2" xfId="29622" xr:uid="{79634622-C2C0-474E-A7BC-1A08F64EBA2F}"/>
    <cellStyle name="Output 2 2 4 3 3 3" xfId="36467" xr:uid="{8C0D9F84-82AF-48B0-94EF-9C4931CBFAFF}"/>
    <cellStyle name="Output 2 2 4 3 4" xfId="19306" xr:uid="{2AE199E8-E0B5-4FC2-B8E7-C40CD358CACE}"/>
    <cellStyle name="Output 2 2 4 3 5" xfId="19665" xr:uid="{D361CA6D-4C8D-4A2D-809D-EB6302B86EC5}"/>
    <cellStyle name="Output 2 2 4 3 6" xfId="20665" xr:uid="{71D96498-AD43-4CE0-8153-FEA5E6A3C348}"/>
    <cellStyle name="Output 2 2 4 3 7" xfId="19261" xr:uid="{8A14F0D8-AF9C-44C7-B94C-87CFBE828EED}"/>
    <cellStyle name="Output 2 2 4 3 8" xfId="22425" xr:uid="{494731EA-9EF2-42C6-BC22-9C193DB1D20D}"/>
    <cellStyle name="Output 2 2 4 3 9" xfId="19955" xr:uid="{789C2E74-AD7C-4636-922A-0F0FD8C0EEB8}"/>
    <cellStyle name="Output 2 2 4 4" xfId="17611" xr:uid="{0A308923-F8EF-4CDE-A8B4-EE69E263DB8F}"/>
    <cellStyle name="Output 2 2 4 4 2" xfId="27013" xr:uid="{63DACFB2-CA4B-4F63-BAB2-676C08DABC5E}"/>
    <cellStyle name="Output 2 2 4 4 2 2" xfId="33853" xr:uid="{AB1C50C0-B073-47CD-AA4D-5CEEA6C989BD}"/>
    <cellStyle name="Output 2 2 4 4 3" xfId="29089" xr:uid="{C6085EBA-E7D3-438F-8DFE-EF85EC19EFFF}"/>
    <cellStyle name="Output 2 2 4 4 3 2" xfId="35934" xr:uid="{1C27CF06-A6A2-4768-8181-882A3B600B85}"/>
    <cellStyle name="Output 2 2 4 4 4" xfId="24397" xr:uid="{0385F1E4-E30D-4028-A1DE-794A12C1C76B}"/>
    <cellStyle name="Output 2 2 4 4 5" xfId="31171" xr:uid="{E91406D9-6850-47A2-B750-CE25A196DA94}"/>
    <cellStyle name="Output 2 2 4 5" xfId="24262" xr:uid="{6D54E379-1E1B-41E4-9918-49D3B4024552}"/>
    <cellStyle name="Output 2 2 4 5 2" xfId="26869" xr:uid="{8D754E48-5D00-46D4-B948-D35A6068F7D7}"/>
    <cellStyle name="Output 2 2 4 5 2 2" xfId="33709" xr:uid="{6C079F0D-EA85-491D-8B36-F89876326C9D}"/>
    <cellStyle name="Output 2 2 4 5 3" xfId="28945" xr:uid="{9D6DD54F-C5FB-44AE-B367-E3E7F4D67F6A}"/>
    <cellStyle name="Output 2 2 4 5 3 2" xfId="35790" xr:uid="{462BC88A-C746-4313-9432-D7ABAD1D5128}"/>
    <cellStyle name="Output 2 2 4 5 4" xfId="31027" xr:uid="{9023A482-4B58-4D4B-A736-D3E6677AF7F8}"/>
    <cellStyle name="Output 2 2 4 6" xfId="24531" xr:uid="{F2EFDE9D-4860-46C0-A60A-841936D5BBD2}"/>
    <cellStyle name="Output 2 2 4 6 2" xfId="27137" xr:uid="{9322256C-4578-440D-92E2-FCB7946A0D8E}"/>
    <cellStyle name="Output 2 2 4 6 2 2" xfId="33978" xr:uid="{DFCC3C9E-1E31-4405-8387-BC4BBC0E572F}"/>
    <cellStyle name="Output 2 2 4 6 3" xfId="29214" xr:uid="{6B16B0D4-6A8E-4987-8B7D-C3F61E9F4504}"/>
    <cellStyle name="Output 2 2 4 6 3 2" xfId="36059" xr:uid="{82488303-62FB-4477-8E5B-DFBEE276D67B}"/>
    <cellStyle name="Output 2 2 4 6 4" xfId="31296" xr:uid="{BCB619B0-0FA6-4FB2-9CF0-808E136096F3}"/>
    <cellStyle name="Output 2 2 4 7" xfId="23937" xr:uid="{87D58754-B185-4DA2-AB9F-358D1944DAE6}"/>
    <cellStyle name="Output 2 2 4 7 2" xfId="26555" xr:uid="{FC6ECA3E-58B6-475D-B41D-FA69A97FF7B7}"/>
    <cellStyle name="Output 2 2 4 7 2 2" xfId="33395" xr:uid="{341D1120-6B41-489D-8409-29406F52472F}"/>
    <cellStyle name="Output 2 2 4 7 3" xfId="26130" xr:uid="{20A89377-87E0-424A-A413-F7DBFE11F34B}"/>
    <cellStyle name="Output 2 2 4 7 3 2" xfId="32958" xr:uid="{C64F122B-3682-42E3-BD79-416A701B662A}"/>
    <cellStyle name="Output 2 2 4 7 4" xfId="23252" xr:uid="{FB00415E-E6C0-49F9-9D1D-C46868D72881}"/>
    <cellStyle name="Output 2 2 4 8" xfId="25458" xr:uid="{FBDAFD06-892B-468E-A7C1-63D9CD71230A}"/>
    <cellStyle name="Output 2 2 4 8 2" xfId="28125" xr:uid="{01795C84-8053-4A2A-B075-327A5D515057}"/>
    <cellStyle name="Output 2 2 4 8 2 2" xfId="34970" xr:uid="{E77CE9D4-6600-4200-A1B3-36481022BEC0}"/>
    <cellStyle name="Output 2 2 4 8 3" xfId="30206" xr:uid="{BA335AE1-88A5-4BE5-AB60-E17A2587134D}"/>
    <cellStyle name="Output 2 2 4 8 3 2" xfId="37051" xr:uid="{F5799565-18A0-4845-9B5C-847A1872DFD7}"/>
    <cellStyle name="Output 2 2 4 8 4" xfId="32288" xr:uid="{A370C5F2-C4B3-4637-BE32-2AEF404F01DF}"/>
    <cellStyle name="Output 2 2 4 9" xfId="24264" xr:uid="{3341C39C-307B-44BF-A454-524001D20A48}"/>
    <cellStyle name="Output 2 2 4 9 2" xfId="26871" xr:uid="{549566F9-6E73-4960-947D-42B8E570D246}"/>
    <cellStyle name="Output 2 2 4 9 2 2" xfId="33711" xr:uid="{4FDB61EB-9281-4A61-9C87-67341BCC6248}"/>
    <cellStyle name="Output 2 2 4 9 3" xfId="28947" xr:uid="{D643877F-FCA5-4312-9705-1B2385AF363D}"/>
    <cellStyle name="Output 2 2 4 9 3 2" xfId="35792" xr:uid="{3835A0CE-72D5-490B-8A9F-BE33D32CBA61}"/>
    <cellStyle name="Output 2 2 4 9 4" xfId="31029" xr:uid="{253F1372-07FC-4835-AF7C-FBA46579E962}"/>
    <cellStyle name="Output 2 2 5" xfId="4943" xr:uid="{00000000-0005-0000-0000-000074130000}"/>
    <cellStyle name="Output 2 2 5 10" xfId="19357" xr:uid="{FB9F9C86-E5B1-4527-B156-4C588D690A85}"/>
    <cellStyle name="Output 2 2 5 11" xfId="20861" xr:uid="{BEFCB77C-DCCD-4531-8987-C6FBAF114901}"/>
    <cellStyle name="Output 2 2 5 12" xfId="18940" xr:uid="{21A85F94-C50F-437B-B3A3-2D4A79DFA1AB}"/>
    <cellStyle name="Output 2 2 5 13" xfId="21874" xr:uid="{082CA6E1-9A7F-4BDA-A32C-0A6198BC9FDD}"/>
    <cellStyle name="Output 2 2 5 14" xfId="22055" xr:uid="{BACF6F40-30DB-4398-ADF0-64B99126EEA3}"/>
    <cellStyle name="Output 2 2 5 15" xfId="21776" xr:uid="{D088D22C-7A5E-4247-9672-467334761534}"/>
    <cellStyle name="Output 2 2 5 16" xfId="18968" xr:uid="{FA360940-73FF-4E6D-948A-187DFBC19FE8}"/>
    <cellStyle name="Output 2 2 5 17" xfId="18221" xr:uid="{CB878FB7-7AC0-4111-B082-3EFFCC24BD97}"/>
    <cellStyle name="Output 2 2 5 18" xfId="24700" xr:uid="{ED4EE6AE-5FA9-4DB5-A0F4-01A19350D0E5}"/>
    <cellStyle name="Output 2 2 5 19" xfId="16283" xr:uid="{2EDB8E35-3504-4EBC-A91C-F6505B479F59}"/>
    <cellStyle name="Output 2 2 5 2" xfId="10465" xr:uid="{00000000-0005-0000-0000-0000BF200000}"/>
    <cellStyle name="Output 2 2 5 2 10" xfId="19461" xr:uid="{034ED715-AE01-412D-AA12-9FB12849161C}"/>
    <cellStyle name="Output 2 2 5 2 11" xfId="18850" xr:uid="{841913E3-3EA5-47E0-BD40-C8DEC205AE3B}"/>
    <cellStyle name="Output 2 2 5 2 12" xfId="22809" xr:uid="{09FD2533-48D6-4A06-819B-969AC8851493}"/>
    <cellStyle name="Output 2 2 5 2 13" xfId="19284" xr:uid="{FA145CC8-B6A6-4C24-8620-075F129A86A9}"/>
    <cellStyle name="Output 2 2 5 2 14" xfId="22944" xr:uid="{075EA78E-6625-4637-B646-527C180A11AD}"/>
    <cellStyle name="Output 2 2 5 2 15" xfId="18935" xr:uid="{5324FC0C-4AD8-4B84-936B-0A304AC239D4}"/>
    <cellStyle name="Output 2 2 5 2 16" xfId="33186" xr:uid="{EB2DA436-53FC-436F-A83A-D7825335CCF8}"/>
    <cellStyle name="Output 2 2 5 2 17" xfId="18766" xr:uid="{6FCAFA5F-308C-4B6D-A60F-08625AE6A745}"/>
    <cellStyle name="Output 2 2 5 2 18" xfId="42954" xr:uid="{56F9A43F-D3E2-4CE4-AA56-E172F773874A}"/>
    <cellStyle name="Output 2 2 5 2 2" xfId="19779" xr:uid="{4D2D083C-716D-4C99-82B3-F3981D31B222}"/>
    <cellStyle name="Output 2 2 5 2 3" xfId="20512" xr:uid="{7C5DED4A-D820-4FCE-986E-02AAB5F44C12}"/>
    <cellStyle name="Output 2 2 5 2 4" xfId="21494" xr:uid="{43A32B6F-7D76-45C7-A62B-71F2D0F41CFC}"/>
    <cellStyle name="Output 2 2 5 2 5" xfId="20252" xr:uid="{E553F4A2-C874-4B47-A00C-892272DDC35B}"/>
    <cellStyle name="Output 2 2 5 2 6" xfId="21811" xr:uid="{5C0EE28D-7F89-4F68-952E-4AD98CFCF9AE}"/>
    <cellStyle name="Output 2 2 5 2 7" xfId="20594" xr:uid="{85BA16F1-AEF7-4020-9889-F0C98B85C94D}"/>
    <cellStyle name="Output 2 2 5 2 8" xfId="21547" xr:uid="{148186E9-4B5D-4B5C-802F-8629B594B638}"/>
    <cellStyle name="Output 2 2 5 2 9" xfId="22563" xr:uid="{788E0150-ABFD-436F-8A38-BF8FFA60B56C}"/>
    <cellStyle name="Output 2 2 5 20" xfId="38978" xr:uid="{4F0C0B63-4ECA-4769-8319-FCD0C1B0564A}"/>
    <cellStyle name="Output 2 2 5 3" xfId="20327" xr:uid="{BEFA1C26-89D4-4866-8E2A-E94295CB507E}"/>
    <cellStyle name="Output 2 2 5 3 2" xfId="26062" xr:uid="{8AD36840-A5A6-40F2-8752-ABFF64F9E81A}"/>
    <cellStyle name="Output 2 2 5 3 3" xfId="32891" xr:uid="{202548E9-AA14-4C8D-AA4A-FF738FB3DF5E}"/>
    <cellStyle name="Output 2 2 5 4" xfId="19135" xr:uid="{1DC5D920-1B19-43BD-899E-913426FEC46D}"/>
    <cellStyle name="Output 2 2 5 5" xfId="20824" xr:uid="{33161060-49AD-4D76-9960-C84DA0BBA84F}"/>
    <cellStyle name="Output 2 2 5 6" xfId="20869" xr:uid="{D80A9008-2E1C-4E18-9643-34D361E446DD}"/>
    <cellStyle name="Output 2 2 5 7" xfId="21162" xr:uid="{38CD4F3C-EDB2-4F3B-B1D8-7343F0964935}"/>
    <cellStyle name="Output 2 2 5 8" xfId="22122" xr:uid="{2C0133B6-81D8-476E-AF05-5EF2CA9EAD94}"/>
    <cellStyle name="Output 2 2 5 9" xfId="20661" xr:uid="{047DD262-1BF7-4728-957F-072E50A03393}"/>
    <cellStyle name="Output 2 2 6" xfId="4944" xr:uid="{00000000-0005-0000-0000-000075130000}"/>
    <cellStyle name="Output 2 2 6 10" xfId="22313" xr:uid="{9979F44C-A829-4349-A11F-55274662B533}"/>
    <cellStyle name="Output 2 2 6 11" xfId="19435" xr:uid="{8C157254-FEF7-4709-8A3A-8F2FEB8ADBCE}"/>
    <cellStyle name="Output 2 2 6 12" xfId="22805" xr:uid="{ECAB81EA-897D-42EF-B67E-3981EA18E1C8}"/>
    <cellStyle name="Output 2 2 6 13" xfId="21787" xr:uid="{3C35791E-E59F-4CEE-BF32-5D23C0C3D8FE}"/>
    <cellStyle name="Output 2 2 6 14" xfId="22940" xr:uid="{18E77E46-7317-4EAA-AAD5-CB34BF72C84E}"/>
    <cellStyle name="Output 2 2 6 15" xfId="19489" xr:uid="{A6EB8113-E5B9-4112-A4F4-456EE42CF1A1}"/>
    <cellStyle name="Output 2 2 6 16" xfId="18762" xr:uid="{30A76E15-71A7-49F1-804F-5DF711639A0B}"/>
    <cellStyle name="Output 2 2 6 17" xfId="31561" xr:uid="{3A654E9B-EC19-4032-83EF-9957C978D471}"/>
    <cellStyle name="Output 2 2 6 18" xfId="16277" xr:uid="{4DED0E67-6B5F-4077-B028-8489F36ACFAF}"/>
    <cellStyle name="Output 2 2 6 19" xfId="38979" xr:uid="{ECC3D2D7-3D9E-4820-82C5-C49FA1F314A4}"/>
    <cellStyle name="Output 2 2 6 2" xfId="10466" xr:uid="{00000000-0005-0000-0000-0000C0200000}"/>
    <cellStyle name="Output 2 2 6 2 2" xfId="27399" xr:uid="{F5ED0966-6868-4784-9DB4-2ECF65AF8431}"/>
    <cellStyle name="Output 2 2 6 2 3" xfId="34243" xr:uid="{FF55B78A-9C65-42EC-A37A-3219B7D9BCAB}"/>
    <cellStyle name="Output 2 2 6 2 4" xfId="19404" xr:uid="{C70F375B-2B52-418B-A454-BBAABC0F529A}"/>
    <cellStyle name="Output 2 2 6 2 5" xfId="42955" xr:uid="{31A84309-9491-4FAA-BFBE-DD1ABF950DD2}"/>
    <cellStyle name="Output 2 2 6 3" xfId="21005" xr:uid="{81332B08-188E-4800-BE2B-390969A3BDF0}"/>
    <cellStyle name="Output 2 2 6 3 2" xfId="29479" xr:uid="{D64CEBE3-3B98-449B-B1CD-AD2A0BDA0314}"/>
    <cellStyle name="Output 2 2 6 3 3" xfId="36324" xr:uid="{05A04B80-2F07-4A18-A566-616F71E5F24F}"/>
    <cellStyle name="Output 2 2 6 4" xfId="18975" xr:uid="{24760E69-D583-4355-B87B-A193C98D6990}"/>
    <cellStyle name="Output 2 2 6 5" xfId="19384" xr:uid="{4F9E8300-C91E-4F0D-8F4C-51335FF4D535}"/>
    <cellStyle name="Output 2 2 6 6" xfId="21923" xr:uid="{6DAE0AB7-F40B-4483-B2B1-957714B13AB9}"/>
    <cellStyle name="Output 2 2 6 7" xfId="21201" xr:uid="{7486ED7E-2116-458F-8AD9-2CD010A62905}"/>
    <cellStyle name="Output 2 2 6 8" xfId="21966" xr:uid="{2099306D-2AD8-4FAD-AAD5-0E19D6AD0884}"/>
    <cellStyle name="Output 2 2 6 9" xfId="22559" xr:uid="{E634C0F5-C3A4-4F2E-9C2C-5BDC58B97A90}"/>
    <cellStyle name="Output 2 2 7" xfId="10458" xr:uid="{00000000-0005-0000-0000-0000B8200000}"/>
    <cellStyle name="Output 2 2 7 10" xfId="21816" xr:uid="{0787D4CE-96DE-4F09-9CAE-B5A49B019CFD}"/>
    <cellStyle name="Output 2 2 7 11" xfId="22696" xr:uid="{EFD97EBE-5F92-4A88-801A-13A820456D4A}"/>
    <cellStyle name="Output 2 2 7 12" xfId="20185" xr:uid="{F8B7044D-7DF3-4C8C-8F6F-BCEAD56B7CD5}"/>
    <cellStyle name="Output 2 2 7 13" xfId="21463" xr:uid="{36F8DCBD-14F8-4A1B-AF0E-BD400C6BF6AF}"/>
    <cellStyle name="Output 2 2 7 14" xfId="22729" xr:uid="{D5EDCEA7-D2C7-4D45-9CB7-0071237A1C2A}"/>
    <cellStyle name="Output 2 2 7 15" xfId="19173" xr:uid="{91D41594-E1EB-463C-9EE8-7D264FBBF8EC}"/>
    <cellStyle name="Output 2 2 7 16" xfId="23385" xr:uid="{9A7769CD-AFD3-4BD7-87DD-9EDA3353E688}"/>
    <cellStyle name="Output 2 2 7 17" xfId="18216" xr:uid="{2BAF57C9-2F5D-4CD6-86AC-CF195632ACAD}"/>
    <cellStyle name="Output 2 2 7 18" xfId="42947" xr:uid="{BDB6691F-DE79-4671-BDCA-B1DAE1582852}"/>
    <cellStyle name="Output 2 2 7 2" xfId="21440" xr:uid="{027FB9D8-57CC-4D0A-8836-6390DB90C16D}"/>
    <cellStyle name="Output 2 2 7 2 2" xfId="26419" xr:uid="{2D790619-9566-4E3D-95EF-F91C96EAC54D}"/>
    <cellStyle name="Output 2 2 7 2 3" xfId="33259" xr:uid="{3FF61ED7-F09A-4794-8F82-474F7F694B92}"/>
    <cellStyle name="Output 2 2 7 3" xfId="19143" xr:uid="{2578F0CF-D997-492F-84D3-A48A240DB68F}"/>
    <cellStyle name="Output 2 2 7 3 2" xfId="26263" xr:uid="{E3C54061-F1FB-4922-8D28-D2E3B6777B9A}"/>
    <cellStyle name="Output 2 2 7 3 3" xfId="33091" xr:uid="{25E4C1A8-C2CA-46C8-B68A-7B32A3E992CC}"/>
    <cellStyle name="Output 2 2 7 4" xfId="21716" xr:uid="{6BDC73A5-01A8-4BD9-A751-13B6271A96DF}"/>
    <cellStyle name="Output 2 2 7 5" xfId="19368" xr:uid="{56971091-C181-455F-818C-670128892092}"/>
    <cellStyle name="Output 2 2 7 6" xfId="19375" xr:uid="{A60D6506-2581-4AAB-B999-A2A192981798}"/>
    <cellStyle name="Output 2 2 7 7" xfId="19819" xr:uid="{BED2080C-52FB-4142-A642-7E6074DA0CDB}"/>
    <cellStyle name="Output 2 2 7 8" xfId="21888" xr:uid="{023CCA53-2B97-4E46-AE59-0A31DCA58CDC}"/>
    <cellStyle name="Output 2 2 7 9" xfId="18898" xr:uid="{FF5509F4-1243-45BC-BE94-1901BEDCE361}"/>
    <cellStyle name="Output 2 2 8" xfId="8290" xr:uid="{00000000-0005-0000-0000-0000B10F0000}"/>
    <cellStyle name="Output 2 2 8 10" xfId="48716" xr:uid="{65AE74D8-B65C-4CD0-A211-C9416E4723CE}"/>
    <cellStyle name="Output 2 2 8 11" xfId="47730" xr:uid="{9DDEABBE-419D-41B7-B1D9-65C3E7B1F0CB}"/>
    <cellStyle name="Output 2 2 8 2" xfId="27412" xr:uid="{5864FF42-E9DC-4921-BAAD-2EC31101D91B}"/>
    <cellStyle name="Output 2 2 8 2 2" xfId="34256" xr:uid="{5B527670-92E8-41F0-B43D-D5C1D1B66202}"/>
    <cellStyle name="Output 2 2 8 3" xfId="29492" xr:uid="{C7D64773-9CA1-4E28-902B-86CEC089F118}"/>
    <cellStyle name="Output 2 2 8 3 2" xfId="36337" xr:uid="{AE312C59-CCBC-4C7B-90CC-7E15820A51A1}"/>
    <cellStyle name="Output 2 2 8 4" xfId="24759" xr:uid="{2C205B34-B50B-45B2-A191-96A2E2B87936}"/>
    <cellStyle name="Output 2 2 8 5" xfId="31574" xr:uid="{5F93858D-0468-4380-878D-AA09CB412D47}"/>
    <cellStyle name="Output 2 2 8 6" xfId="17402" xr:uid="{69F47C82-9D15-4A7F-81A7-78C52AFBB1EF}"/>
    <cellStyle name="Output 2 2 8 7" xfId="41082" xr:uid="{842624E5-076D-49C0-AAA9-984EDD1A9667}"/>
    <cellStyle name="Output 2 2 8 8" xfId="16610" xr:uid="{7A8949CA-DCE4-45E1-A557-C9FB1CD23B95}"/>
    <cellStyle name="Output 2 2 8 9" xfId="48699" xr:uid="{3C9FCD6C-3208-4BDA-9301-CFFE84F842F9}"/>
    <cellStyle name="Output 2 2 9" xfId="25010" xr:uid="{56353103-7E3F-49F5-84A9-DDD27643E3CB}"/>
    <cellStyle name="Output 2 2 9 2" xfId="27682" xr:uid="{C2BCBCDA-8BB7-4012-9689-65F126CBDB6C}"/>
    <cellStyle name="Output 2 2 9 2 2" xfId="34527" xr:uid="{40CB49A2-43E4-4496-AAE4-9E7B24F8E1D7}"/>
    <cellStyle name="Output 2 2 9 3" xfId="29763" xr:uid="{96B24665-D322-449B-B347-502801ADA496}"/>
    <cellStyle name="Output 2 2 9 3 2" xfId="36608" xr:uid="{08D305AB-60AA-4DE2-9654-353BB27FCFDA}"/>
    <cellStyle name="Output 2 2 9 4" xfId="31845" xr:uid="{B1C007D5-6E5F-445E-9560-899D6242CA5D}"/>
    <cellStyle name="Output 2 20" xfId="25360" xr:uid="{722F694F-6E25-4A1E-94A1-04C920E4F227}"/>
    <cellStyle name="Output 2 20 2" xfId="28027" xr:uid="{7F82944C-76A0-40BB-9EA2-7E8900ACC7D5}"/>
    <cellStyle name="Output 2 20 2 2" xfId="34872" xr:uid="{2319D342-1115-46E1-9B66-59EB94874EBB}"/>
    <cellStyle name="Output 2 20 3" xfId="30108" xr:uid="{F3A5E6B3-6494-4353-BB62-59E72CF02A6E}"/>
    <cellStyle name="Output 2 20 3 2" xfId="36953" xr:uid="{C54C74D1-3962-4525-903B-A1EA6DC7E6D4}"/>
    <cellStyle name="Output 2 20 4" xfId="32190" xr:uid="{726BC774-89F3-42EB-8B9D-7D9F97DA116B}"/>
    <cellStyle name="Output 2 21" xfId="24102" xr:uid="{A0A53DAE-5A6D-496E-ABEE-0D6D0454E646}"/>
    <cellStyle name="Output 2 21 2" xfId="26715" xr:uid="{E4FE7802-5C34-422B-BF6C-D0F92B1D9526}"/>
    <cellStyle name="Output 2 21 2 2" xfId="33555" xr:uid="{F72F31A6-91DD-404A-B098-774CD4F48409}"/>
    <cellStyle name="Output 2 21 3" xfId="28791" xr:uid="{E3335471-11F1-46E9-90F5-D6614B7986CD}"/>
    <cellStyle name="Output 2 21 3 2" xfId="35636" xr:uid="{C7F8D791-95C6-40D2-A4E3-E84D529B6ECB}"/>
    <cellStyle name="Output 2 21 4" xfId="30873" xr:uid="{AA393787-D68B-455F-BDF7-7F7FC13E7581}"/>
    <cellStyle name="Output 2 22" xfId="25885" xr:uid="{4FF69467-98F0-4AD3-BFC1-F6E22DBBDCD2}"/>
    <cellStyle name="Output 2 22 2" xfId="28551" xr:uid="{1DF47E76-4EC2-4717-B797-9A4C3A866448}"/>
    <cellStyle name="Output 2 22 2 2" xfId="35396" xr:uid="{D4CAA256-7E53-4779-870C-1D8386FA3B09}"/>
    <cellStyle name="Output 2 22 3" xfId="30632" xr:uid="{D1C50AE0-81DF-4574-ADB5-28E06C8EF17D}"/>
    <cellStyle name="Output 2 22 3 2" xfId="37477" xr:uid="{9FF4FA50-4509-447F-BC83-A39FDBAC30F5}"/>
    <cellStyle name="Output 2 22 4" xfId="32714" xr:uid="{B2638535-00F8-4842-A3AE-276092E564AF}"/>
    <cellStyle name="Output 2 23" xfId="23691" xr:uid="{C2DBAA3E-1E28-4BD8-A4B7-715EB8EFFC69}"/>
    <cellStyle name="Output 2 24" xfId="13653" xr:uid="{84B202EF-CB14-4AD2-B757-55660CD808C4}"/>
    <cellStyle name="Output 2 25" xfId="38967" xr:uid="{60B3ECB4-4743-4869-89A3-A018C6A05313}"/>
    <cellStyle name="Output 2 3" xfId="4945" xr:uid="{00000000-0005-0000-0000-000076130000}"/>
    <cellStyle name="Output 2 3 10" xfId="25151" xr:uid="{8866F439-7A4A-44C0-95A8-56CB22FE1642}"/>
    <cellStyle name="Output 2 3 10 2" xfId="27823" xr:uid="{25860C85-BF2F-4393-83A8-079103649345}"/>
    <cellStyle name="Output 2 3 10 2 2" xfId="34668" xr:uid="{218E4447-D3BA-4AAD-90CB-8C7D9D9A2547}"/>
    <cellStyle name="Output 2 3 10 3" xfId="29904" xr:uid="{03053396-F441-48AE-8B02-6BCF37BAEAB7}"/>
    <cellStyle name="Output 2 3 10 3 2" xfId="36749" xr:uid="{DF8DAC66-22CF-41D0-8D67-FB58C6E8D2BE}"/>
    <cellStyle name="Output 2 3 10 4" xfId="31986" xr:uid="{C82E10D2-D26A-424D-9633-5968305CC398}"/>
    <cellStyle name="Output 2 3 11" xfId="25153" xr:uid="{E07861A2-D318-4AE9-A76E-A12C04E4D8A9}"/>
    <cellStyle name="Output 2 3 11 2" xfId="27825" xr:uid="{21F2A70B-C5F5-4925-BC26-A14A5DF8912E}"/>
    <cellStyle name="Output 2 3 11 2 2" xfId="34670" xr:uid="{3D712B37-3531-4608-A485-FAE908538541}"/>
    <cellStyle name="Output 2 3 11 3" xfId="29906" xr:uid="{A4EB66B2-9411-402F-8AFE-4B77BCD31327}"/>
    <cellStyle name="Output 2 3 11 3 2" xfId="36751" xr:uid="{148CE0E8-5B9C-4FB5-AFE8-974B5AB945D9}"/>
    <cellStyle name="Output 2 3 11 4" xfId="31988" xr:uid="{4DAA8E1C-9551-4D8C-A9B0-4E947A77CA3B}"/>
    <cellStyle name="Output 2 3 12" xfId="25152" xr:uid="{F67B83F0-F92F-40EC-A75E-D617A60865BC}"/>
    <cellStyle name="Output 2 3 12 2" xfId="27824" xr:uid="{550F2654-816B-404D-9535-3E97CA7B1EFB}"/>
    <cellStyle name="Output 2 3 12 2 2" xfId="34669" xr:uid="{4C872296-B772-4F2E-865C-B9A0393D177A}"/>
    <cellStyle name="Output 2 3 12 3" xfId="29905" xr:uid="{9903BB31-9925-4C8F-9FB6-3706E156D333}"/>
    <cellStyle name="Output 2 3 12 3 2" xfId="36750" xr:uid="{DA357013-7271-4B4B-BB34-E524B0DF1DFF}"/>
    <cellStyle name="Output 2 3 12 4" xfId="31987" xr:uid="{DA5186BB-F901-45AD-9441-78CA7376D495}"/>
    <cellStyle name="Output 2 3 13" xfId="24382" xr:uid="{27EAC85C-78A2-414A-9079-C8DA2D1E102F}"/>
    <cellStyle name="Output 2 3 13 2" xfId="26997" xr:uid="{C199B51C-799C-43E3-AE38-3C54C3966DEB}"/>
    <cellStyle name="Output 2 3 13 2 2" xfId="33837" xr:uid="{E9085CFE-85E1-4172-A65A-28772095CF87}"/>
    <cellStyle name="Output 2 3 13 3" xfId="29073" xr:uid="{5BB3FE68-2627-4027-8424-E5727A13B0BB}"/>
    <cellStyle name="Output 2 3 13 3 2" xfId="35918" xr:uid="{D57C58F7-90CB-40DD-A017-15AC1E1FBA6E}"/>
    <cellStyle name="Output 2 3 13 4" xfId="31155" xr:uid="{6008F51C-5FD9-4BEF-8970-50FC0125E1CE}"/>
    <cellStyle name="Output 2 3 14" xfId="24695" xr:uid="{1C6F8700-6B0F-420D-9057-3042D523B1DB}"/>
    <cellStyle name="Output 2 3 14 2" xfId="27314" xr:uid="{44165279-A186-4C3B-99C9-E0636A4E1383}"/>
    <cellStyle name="Output 2 3 14 2 2" xfId="34158" xr:uid="{4A4D5079-147A-43A9-AA94-0BA46F9D4787}"/>
    <cellStyle name="Output 2 3 14 3" xfId="29394" xr:uid="{1B15FC1A-5470-4303-9F05-401789B01BAC}"/>
    <cellStyle name="Output 2 3 14 3 2" xfId="36239" xr:uid="{377F9B1C-4976-4B89-8F91-DC2835F96B79}"/>
    <cellStyle name="Output 2 3 14 4" xfId="31476" xr:uid="{8BEFD3C5-4C82-420E-9B5A-31BDDC15C8AB}"/>
    <cellStyle name="Output 2 3 15" xfId="24413" xr:uid="{123DBE73-66C0-4B50-8130-0C560B12B390}"/>
    <cellStyle name="Output 2 3 15 2" xfId="27032" xr:uid="{6BAA368D-CF8E-456C-B161-0C20AA04A694}"/>
    <cellStyle name="Output 2 3 15 2 2" xfId="33872" xr:uid="{A1A5EFD3-F9B0-4EA3-93DA-BD6D3FC78B10}"/>
    <cellStyle name="Output 2 3 15 3" xfId="29108" xr:uid="{5B7D1EC1-298B-46D2-9C2A-253957E17BB4}"/>
    <cellStyle name="Output 2 3 15 3 2" xfId="35953" xr:uid="{1D453DE8-C474-4849-992B-241CBB26F8F1}"/>
    <cellStyle name="Output 2 3 15 4" xfId="31190" xr:uid="{D779816A-F4AD-4A85-823D-FF7D772176FA}"/>
    <cellStyle name="Output 2 3 16" xfId="24354" xr:uid="{6C20F4D7-E233-4811-9EA8-16170171E05E}"/>
    <cellStyle name="Output 2 3 16 2" xfId="26961" xr:uid="{7D59A360-8C34-41C9-9AD7-692A7CB5790E}"/>
    <cellStyle name="Output 2 3 16 2 2" xfId="33801" xr:uid="{12403378-CC36-439B-8248-8AF99A2523A6}"/>
    <cellStyle name="Output 2 3 16 3" xfId="29037" xr:uid="{2188F080-A273-4679-9112-F9AE7F156FF5}"/>
    <cellStyle name="Output 2 3 16 3 2" xfId="35882" xr:uid="{3BF71099-FDD0-4560-B65E-89A7ABC60B65}"/>
    <cellStyle name="Output 2 3 16 4" xfId="31119" xr:uid="{3C442D09-5224-4E64-9D54-5535216E1340}"/>
    <cellStyle name="Output 2 3 17" xfId="24492" xr:uid="{B7951481-C73F-4BE5-901E-10258D42B816}"/>
    <cellStyle name="Output 2 3 17 2" xfId="27103" xr:uid="{CAED6041-545D-41A0-9F87-7392FE4C16EF}"/>
    <cellStyle name="Output 2 3 17 2 2" xfId="33943" xr:uid="{3DB5F9A3-5A18-48B0-8AE1-DE34A70BBD83}"/>
    <cellStyle name="Output 2 3 17 3" xfId="29179" xr:uid="{3AD0F03A-D5D6-454D-9BC8-5FFAB2F27016}"/>
    <cellStyle name="Output 2 3 17 3 2" xfId="36024" xr:uid="{0E3A435A-82E7-40F5-B9D7-B195E91168EB}"/>
    <cellStyle name="Output 2 3 17 4" xfId="31261" xr:uid="{8BF2E2A6-B4A1-4784-BF1A-55ADB7E2A10F}"/>
    <cellStyle name="Output 2 3 18" xfId="23689" xr:uid="{F19D92FD-131A-43B5-A06A-C35CE2E62BDC}"/>
    <cellStyle name="Output 2 3 19" xfId="13656" xr:uid="{AF720ED6-D063-45C6-ADE0-4D18B1B7E6F1}"/>
    <cellStyle name="Output 2 3 2" xfId="4946" xr:uid="{00000000-0005-0000-0000-000077130000}"/>
    <cellStyle name="Output 2 3 2 10" xfId="25413" xr:uid="{EE685630-DF69-4901-B0FC-C90722B3213C}"/>
    <cellStyle name="Output 2 3 2 10 2" xfId="28080" xr:uid="{CA6CA8EE-1697-4F51-817B-CB2876D8F657}"/>
    <cellStyle name="Output 2 3 2 10 2 2" xfId="34925" xr:uid="{4C715AF0-0C4B-4CD5-B354-78D3D370F7B9}"/>
    <cellStyle name="Output 2 3 2 10 3" xfId="30161" xr:uid="{D002FBB8-5ABB-411A-BBF5-805E2248C848}"/>
    <cellStyle name="Output 2 3 2 10 3 2" xfId="37006" xr:uid="{14092A1A-C281-452C-9EAD-28C1E38DF100}"/>
    <cellStyle name="Output 2 3 2 10 4" xfId="32243" xr:uid="{B4890173-3C80-4B67-989D-A483C59620A3}"/>
    <cellStyle name="Output 2 3 2 11" xfId="24137" xr:uid="{DD23546E-4942-403E-B3C7-E93A877611B5}"/>
    <cellStyle name="Output 2 3 2 11 2" xfId="26749" xr:uid="{935CFDCA-F263-42D4-BB2D-E5BB6A1DA748}"/>
    <cellStyle name="Output 2 3 2 11 2 2" xfId="33589" xr:uid="{9ECEDC5B-5808-4915-B340-F48B5A9B3F45}"/>
    <cellStyle name="Output 2 3 2 11 3" xfId="28825" xr:uid="{12842F9D-D502-4A27-92D6-5AC7FAEDBC6C}"/>
    <cellStyle name="Output 2 3 2 11 3 2" xfId="35670" xr:uid="{44903AFA-D548-4579-B413-4F71E7B01C17}"/>
    <cellStyle name="Output 2 3 2 11 4" xfId="30907" xr:uid="{FA5D8729-D51C-4410-B5BC-399DCEFD82AC}"/>
    <cellStyle name="Output 2 3 2 12" xfId="23782" xr:uid="{84DC322B-87CD-4544-AD91-03EBFCAE8C01}"/>
    <cellStyle name="Output 2 3 2 12 2" xfId="26396" xr:uid="{A571A6BA-9945-42F6-A2AE-D040B910A9EA}"/>
    <cellStyle name="Output 2 3 2 12 2 2" xfId="33236" xr:uid="{00D964D5-AB5B-4EF6-82AC-B42C37D635AB}"/>
    <cellStyle name="Output 2 3 2 12 3" xfId="26285" xr:uid="{0F0C7C54-BBF6-45FF-AFEE-491DBDDE4839}"/>
    <cellStyle name="Output 2 3 2 12 3 2" xfId="33113" xr:uid="{1924038E-ED5A-4850-8FF9-DA55285A23D5}"/>
    <cellStyle name="Output 2 3 2 12 4" xfId="23407" xr:uid="{A8487527-A810-4283-A3C6-A2E9128F787F}"/>
    <cellStyle name="Output 2 3 2 13" xfId="24095" xr:uid="{D4E8C4F1-F168-4054-B3B0-500BA0DB8EF1}"/>
    <cellStyle name="Output 2 3 2 13 2" xfId="26708" xr:uid="{18FDF92E-9AD7-4FD1-B06A-336C977CEB4C}"/>
    <cellStyle name="Output 2 3 2 13 2 2" xfId="33548" xr:uid="{84A190AC-C2D9-489A-A58D-DE14AEE55C06}"/>
    <cellStyle name="Output 2 3 2 13 3" xfId="28784" xr:uid="{1E504EA3-C870-466C-88A8-2EC5B63F3E6C}"/>
    <cellStyle name="Output 2 3 2 13 3 2" xfId="35629" xr:uid="{4332F0D4-7F4B-4916-A1D0-C35C2F534FE6}"/>
    <cellStyle name="Output 2 3 2 13 4" xfId="30866" xr:uid="{52C1B8C2-C6CF-4C0B-8F96-877E410C5534}"/>
    <cellStyle name="Output 2 3 2 14" xfId="24042" xr:uid="{45CED353-F813-4ED2-89C3-2F830BB46446}"/>
    <cellStyle name="Output 2 3 2 14 2" xfId="26656" xr:uid="{E6314801-E233-4F66-A5CB-BA8C48979B2A}"/>
    <cellStyle name="Output 2 3 2 14 2 2" xfId="33496" xr:uid="{C6CA2055-5718-407D-93C9-4334BF725AD4}"/>
    <cellStyle name="Output 2 3 2 14 3" xfId="28732" xr:uid="{BF93B182-4562-46EA-8A5A-4C89075E973A}"/>
    <cellStyle name="Output 2 3 2 14 3 2" xfId="35577" xr:uid="{B43E0F73-E031-4FEB-BBC7-D81586AB28CB}"/>
    <cellStyle name="Output 2 3 2 14 4" xfId="30814" xr:uid="{F3EF0124-AA53-40C3-B93D-B3DEEADDA6AA}"/>
    <cellStyle name="Output 2 3 2 15" xfId="25689" xr:uid="{507CB15F-FD24-4D19-9E10-734BF891AAF4}"/>
    <cellStyle name="Output 2 3 2 15 2" xfId="28356" xr:uid="{1B0C3EC8-0288-4F0F-BC53-2613BE821AB0}"/>
    <cellStyle name="Output 2 3 2 15 2 2" xfId="35201" xr:uid="{02465072-0244-4440-8B79-DD7464CF69FA}"/>
    <cellStyle name="Output 2 3 2 15 3" xfId="30437" xr:uid="{405804F4-8271-4492-8E64-38AD027FDD4B}"/>
    <cellStyle name="Output 2 3 2 15 3 2" xfId="37282" xr:uid="{C681A511-A71F-454B-8A93-9325260F44CE}"/>
    <cellStyle name="Output 2 3 2 15 4" xfId="32519" xr:uid="{5B851062-36EB-48C1-8FE8-D8E076FC946C}"/>
    <cellStyle name="Output 2 3 2 16" xfId="24451" xr:uid="{9C6CAAFE-F48B-4A09-A953-24BA98F8AD42}"/>
    <cellStyle name="Output 2 3 2 16 2" xfId="27066" xr:uid="{850A3688-810C-4D32-914F-B4CD8275F77F}"/>
    <cellStyle name="Output 2 3 2 16 2 2" xfId="33906" xr:uid="{C7BC6F66-9D75-4214-ABE5-7307B10EB90B}"/>
    <cellStyle name="Output 2 3 2 16 3" xfId="29142" xr:uid="{E765B7D8-4A97-4F25-B03C-1F6D2DB6C276}"/>
    <cellStyle name="Output 2 3 2 16 3 2" xfId="35987" xr:uid="{D1A31208-C0CC-4691-8771-8162AEB874A9}"/>
    <cellStyle name="Output 2 3 2 16 4" xfId="31224" xr:uid="{F8D24D63-28C8-4A3F-84A3-FCE95C455211}"/>
    <cellStyle name="Output 2 3 2 17" xfId="23128" xr:uid="{41292151-F3D4-4D0E-96FB-94DA548F9064}"/>
    <cellStyle name="Output 2 3 2 18" xfId="16285" xr:uid="{C1C01218-8326-4F49-A91C-47753CDE174E}"/>
    <cellStyle name="Output 2 3 2 19" xfId="38981" xr:uid="{8637F53E-DF61-4437-B7DD-47A2B35A4A17}"/>
    <cellStyle name="Output 2 3 2 2" xfId="10468" xr:uid="{00000000-0005-0000-0000-0000C2200000}"/>
    <cellStyle name="Output 2 3 2 2 10" xfId="24117" xr:uid="{2B681DC6-900A-4902-AC95-2F3237DD8044}"/>
    <cellStyle name="Output 2 3 2 2 10 2" xfId="26729" xr:uid="{4CD44274-7B04-42F0-A67A-30F939D5C977}"/>
    <cellStyle name="Output 2 3 2 2 10 2 2" xfId="33569" xr:uid="{84C30708-6611-402D-A428-477E93A235F2}"/>
    <cellStyle name="Output 2 3 2 2 10 3" xfId="28805" xr:uid="{55E13AC3-F036-41F3-A781-6DF506526044}"/>
    <cellStyle name="Output 2 3 2 2 10 3 2" xfId="35650" xr:uid="{17CDE7C9-BC76-4167-A307-C0786D4705D8}"/>
    <cellStyle name="Output 2 3 2 2 10 4" xfId="30887" xr:uid="{F05F381A-8137-480C-AC9C-C4FD03144B00}"/>
    <cellStyle name="Output 2 3 2 2 11" xfId="24538" xr:uid="{7EC3766D-F03C-4533-978B-65D37823E957}"/>
    <cellStyle name="Output 2 3 2 2 11 2" xfId="27141" xr:uid="{4BF158E5-F517-4329-8276-41A441020FBD}"/>
    <cellStyle name="Output 2 3 2 2 11 2 2" xfId="33982" xr:uid="{DFA2384A-E884-4734-B9B4-20FAA65FBEE9}"/>
    <cellStyle name="Output 2 3 2 2 11 3" xfId="29218" xr:uid="{D50C0198-D510-41E3-B703-1050D6A1E49E}"/>
    <cellStyle name="Output 2 3 2 2 11 3 2" xfId="36063" xr:uid="{3B78DCD7-8CFB-4B3B-BA99-BA9E177CFF91}"/>
    <cellStyle name="Output 2 3 2 2 11 4" xfId="31300" xr:uid="{C0D4A3E2-2FD9-4C71-9CEC-39469FC60EBD}"/>
    <cellStyle name="Output 2 3 2 2 12" xfId="25168" xr:uid="{85934E08-F2AF-4D39-AC28-227F7058DEAD}"/>
    <cellStyle name="Output 2 3 2 2 12 2" xfId="27840" xr:uid="{B3067386-C26C-4F57-AA08-E684D49E6228}"/>
    <cellStyle name="Output 2 3 2 2 12 2 2" xfId="34685" xr:uid="{1F51F046-B6F5-4126-A7AE-049D445A00BB}"/>
    <cellStyle name="Output 2 3 2 2 12 3" xfId="29921" xr:uid="{AD7E3101-1702-444E-B008-4DFD56E0E173}"/>
    <cellStyle name="Output 2 3 2 2 12 3 2" xfId="36766" xr:uid="{38814CAB-957A-486A-AF52-F8ED680776DF}"/>
    <cellStyle name="Output 2 3 2 2 12 4" xfId="32003" xr:uid="{9F9D0D8F-CCF6-4829-B943-FE474A7CA06D}"/>
    <cellStyle name="Output 2 3 2 2 13" xfId="24005" xr:uid="{8C72A78F-4960-4CF0-8AE8-D8DAD58C0D05}"/>
    <cellStyle name="Output 2 3 2 2 13 2" xfId="26622" xr:uid="{5CA6EEA2-DE8A-45FA-8042-AEC23B7992D4}"/>
    <cellStyle name="Output 2 3 2 2 13 2 2" xfId="33462" xr:uid="{2440023A-E9FC-40F6-83F5-9937651713D8}"/>
    <cellStyle name="Output 2 3 2 2 13 3" xfId="26069" xr:uid="{E38ECBCB-8B19-4267-B2D9-6BBD7F0B42E8}"/>
    <cellStyle name="Output 2 3 2 2 13 3 2" xfId="32897" xr:uid="{20CDEE00-9A8A-4950-AF75-4B4193A6FB06}"/>
    <cellStyle name="Output 2 3 2 2 13 4" xfId="26071" xr:uid="{A2899A5C-F803-4C82-A0C0-CF9945760149}"/>
    <cellStyle name="Output 2 3 2 2 14" xfId="24415" xr:uid="{CE4CF3B5-5133-4052-A902-35E48C9F5640}"/>
    <cellStyle name="Output 2 3 2 2 14 2" xfId="27034" xr:uid="{32F485DB-5D06-464A-84B7-358C498133C9}"/>
    <cellStyle name="Output 2 3 2 2 14 2 2" xfId="33874" xr:uid="{19AFD468-DC39-46F3-B2C6-88A18E57F00F}"/>
    <cellStyle name="Output 2 3 2 2 14 3" xfId="29110" xr:uid="{042475CD-B50F-4989-AF83-DAEDE784533F}"/>
    <cellStyle name="Output 2 3 2 2 14 3 2" xfId="35955" xr:uid="{47A619F2-D73E-4DA1-8CD5-9CE76EEA40BC}"/>
    <cellStyle name="Output 2 3 2 2 14 4" xfId="31192" xr:uid="{D454C049-157A-4625-97E2-40F8A13A7460}"/>
    <cellStyle name="Output 2 3 2 2 15" xfId="25430" xr:uid="{477B0C5D-C47A-432A-9E61-3109BCF4BA94}"/>
    <cellStyle name="Output 2 3 2 2 15 2" xfId="28097" xr:uid="{FD55DBEF-05E7-4A3B-8D0D-D3B79CB5DD44}"/>
    <cellStyle name="Output 2 3 2 2 15 2 2" xfId="34942" xr:uid="{C0A88710-A13E-4D5F-9E3B-3D657A5B9DDF}"/>
    <cellStyle name="Output 2 3 2 2 15 3" xfId="30178" xr:uid="{F7B60EDA-48C6-4371-B4AE-0D4C9800A8EF}"/>
    <cellStyle name="Output 2 3 2 2 15 3 2" xfId="37023" xr:uid="{F42D086A-8AEC-4143-9D16-A82F9C21F840}"/>
    <cellStyle name="Output 2 3 2 2 15 4" xfId="32260" xr:uid="{552570FB-C28A-46C0-9E37-BA317B10894A}"/>
    <cellStyle name="Output 2 3 2 2 16" xfId="23594" xr:uid="{6FA48E55-D8A4-4B3A-93F0-489797872998}"/>
    <cellStyle name="Output 2 3 2 2 17" xfId="17696" xr:uid="{BC7B1396-90BE-4F69-AEC3-0271E352787F}"/>
    <cellStyle name="Output 2 3 2 2 18" xfId="42957" xr:uid="{50BB4A03-BC78-4A77-8F70-28B7EE070122}"/>
    <cellStyle name="Output 2 3 2 2 2" xfId="9510" xr:uid="{00000000-0005-0000-0000-000018240000}"/>
    <cellStyle name="Output 2 3 2 2 2 10" xfId="21268" xr:uid="{01B3FA29-FAAE-47E6-AE87-CA90DDFABE03}"/>
    <cellStyle name="Output 2 3 2 2 2 11" xfId="20837" xr:uid="{9644E492-B82E-4B31-ACD0-472BA0CAED12}"/>
    <cellStyle name="Output 2 3 2 2 2 12" xfId="22453" xr:uid="{11C58E7E-8920-4C55-B40D-CFFFAA828573}"/>
    <cellStyle name="Output 2 3 2 2 2 13" xfId="20158" xr:uid="{4D4A0934-57B5-4C6F-A98E-073EA1B64FAB}"/>
    <cellStyle name="Output 2 3 2 2 2 14" xfId="18990" xr:uid="{8A89DDB9-3FE8-40FF-AB48-07C5F16E9070}"/>
    <cellStyle name="Output 2 3 2 2 2 15" xfId="20690" xr:uid="{2F5369EA-3ACF-424E-ABBF-E5A8762E0433}"/>
    <cellStyle name="Output 2 3 2 2 2 16" xfId="31436" xr:uid="{F92C7460-62FB-4289-8702-6772D6D73A24}"/>
    <cellStyle name="Output 2 3 2 2 2 17" xfId="18526" xr:uid="{9B8ED46A-C76A-44C6-BB6D-A2FBED965298}"/>
    <cellStyle name="Output 2 3 2 2 2 18" xfId="41999" xr:uid="{A9DC2967-EC2B-4353-8C83-494D225C5D86}"/>
    <cellStyle name="Output 2 3 2 2 2 19" xfId="37748" xr:uid="{DE69CF48-D3EC-4CBD-B751-9F33E69ED051}"/>
    <cellStyle name="Output 2 3 2 2 2 2" xfId="19891" xr:uid="{96A780C4-F12B-4607-B951-17806C8807CB}"/>
    <cellStyle name="Output 2 3 2 2 2 2 2" xfId="27274" xr:uid="{33C530C1-DB05-4F9D-A2DC-21EAA1159F79}"/>
    <cellStyle name="Output 2 3 2 2 2 2 3" xfId="34118" xr:uid="{CD14B93E-E694-4222-9AD0-A33078AC3054}"/>
    <cellStyle name="Output 2 3 2 2 2 20" xfId="48481" xr:uid="{73C685F1-C6FF-4B23-A23B-A97CC7E09EFE}"/>
    <cellStyle name="Output 2 3 2 2 2 21" xfId="40939" xr:uid="{59ED6273-2865-4EF2-801F-FCA8F88516C5}"/>
    <cellStyle name="Output 2 3 2 2 2 22" xfId="48015" xr:uid="{52C92384-6CB1-47DA-B91D-1F0C0CA5734D}"/>
    <cellStyle name="Output 2 3 2 2 2 3" xfId="21057" xr:uid="{0159CF27-1178-474D-A340-CA0186E47326}"/>
    <cellStyle name="Output 2 3 2 2 2 3 2" xfId="29354" xr:uid="{4797D3D7-FC1C-4285-9430-D9E067323759}"/>
    <cellStyle name="Output 2 3 2 2 2 3 3" xfId="36199" xr:uid="{5E50C802-1497-4386-9238-D69B9B3E593E}"/>
    <cellStyle name="Output 2 3 2 2 2 4" xfId="20407" xr:uid="{5D4A95A5-5484-4BEB-AE78-0768629976DE}"/>
    <cellStyle name="Output 2 3 2 2 2 5" xfId="21537" xr:uid="{E225D2D9-8FA2-41E8-A81F-D0A0E671AB87}"/>
    <cellStyle name="Output 2 3 2 2 2 6" xfId="20291" xr:uid="{2969F2B0-48F7-44BE-A9DB-47CD87CAD7EE}"/>
    <cellStyle name="Output 2 3 2 2 2 7" xfId="19717" xr:uid="{C21A8A3F-7929-486F-AB5D-EB51B8B40B51}"/>
    <cellStyle name="Output 2 3 2 2 2 8" xfId="22343" xr:uid="{5B57004E-4F2E-46A6-9A7F-296476EFE439}"/>
    <cellStyle name="Output 2 3 2 2 2 9" xfId="22365" xr:uid="{5B1DE56E-84F7-45D9-BD91-6191BEF14F22}"/>
    <cellStyle name="Output 2 3 2 2 3" xfId="23783" xr:uid="{F525E35A-E65C-4AE6-8727-5C0D39037A80}"/>
    <cellStyle name="Output 2 3 2 2 3 2" xfId="26397" xr:uid="{25EAB480-5EBB-4783-90D6-95DB0B94BB24}"/>
    <cellStyle name="Output 2 3 2 2 3 2 2" xfId="33237" xr:uid="{FAA00486-D5A9-464C-957D-5DAB0BB26E09}"/>
    <cellStyle name="Output 2 3 2 2 3 3" xfId="26284" xr:uid="{F65B0602-6436-42A4-A574-94B7EB026838}"/>
    <cellStyle name="Output 2 3 2 2 3 3 2" xfId="33112" xr:uid="{19DF267C-1ECA-4302-94AD-A238B4F031F4}"/>
    <cellStyle name="Output 2 3 2 2 3 4" xfId="23406" xr:uid="{0254D1BF-5354-42C1-A920-3125050C8D55}"/>
    <cellStyle name="Output 2 3 2 2 4" xfId="24220" xr:uid="{05239937-1CB5-489A-AE60-D14FE0C607F6}"/>
    <cellStyle name="Output 2 3 2 2 4 2" xfId="26829" xr:uid="{1BAA64C5-8F97-4553-AB69-D02DD946481E}"/>
    <cellStyle name="Output 2 3 2 2 4 2 2" xfId="33669" xr:uid="{FC4A4C62-F4BD-4A3F-ABC2-4244E292115A}"/>
    <cellStyle name="Output 2 3 2 2 4 3" xfId="28905" xr:uid="{B526F3A5-8449-4DDD-87F4-2EA239481B1C}"/>
    <cellStyle name="Output 2 3 2 2 4 3 2" xfId="35750" xr:uid="{1B2FA88D-CDAC-4929-B532-CB39D50AE5DC}"/>
    <cellStyle name="Output 2 3 2 2 4 4" xfId="30987" xr:uid="{7763AB8F-6090-4F5C-8B26-CCD02FAECC83}"/>
    <cellStyle name="Output 2 3 2 2 5" xfId="23850" xr:uid="{F3A451EF-10A1-4B22-9476-502B6161BC24}"/>
    <cellStyle name="Output 2 3 2 2 5 2" xfId="26469" xr:uid="{9C29939A-D1CB-48B9-8C18-8274DB401918}"/>
    <cellStyle name="Output 2 3 2 2 5 2 2" xfId="33309" xr:uid="{97BFA863-1010-429D-9766-8B3F15D474DC}"/>
    <cellStyle name="Output 2 3 2 2 5 3" xfId="26214" xr:uid="{C2EE1B2C-D493-4DC8-994E-FAD380FD64AE}"/>
    <cellStyle name="Output 2 3 2 2 5 3 2" xfId="33042" xr:uid="{8AA145CF-203F-4E17-B904-8477A7D57333}"/>
    <cellStyle name="Output 2 3 2 2 5 4" xfId="23336" xr:uid="{3E2C897C-7ABB-4814-AF40-6E4C20A2394C}"/>
    <cellStyle name="Output 2 3 2 2 6" xfId="24156" xr:uid="{FC6D194E-278D-4ADA-88F2-64772E094D3F}"/>
    <cellStyle name="Output 2 3 2 2 6 2" xfId="26768" xr:uid="{EA3F1116-8AE5-49B2-B6C5-C0F124ECD780}"/>
    <cellStyle name="Output 2 3 2 2 6 2 2" xfId="33608" xr:uid="{E8825044-4BCB-4C6C-ADE5-08ADDCD6D71D}"/>
    <cellStyle name="Output 2 3 2 2 6 3" xfId="28844" xr:uid="{77B42DDA-E5F0-42DA-AD0A-FF1B5A3E5F60}"/>
    <cellStyle name="Output 2 3 2 2 6 3 2" xfId="35689" xr:uid="{4F765899-4232-4D0E-9793-ADCC8EDF15DA}"/>
    <cellStyle name="Output 2 3 2 2 6 4" xfId="30926" xr:uid="{4ECAE3EF-0566-48EB-A1BC-696DED12EFCB}"/>
    <cellStyle name="Output 2 3 2 2 7" xfId="24119" xr:uid="{A50E39E3-1597-42DE-B106-EEF0957ADB6B}"/>
    <cellStyle name="Output 2 3 2 2 7 2" xfId="26731" xr:uid="{419BC1C6-5C6D-4287-B4E1-9115A6393913}"/>
    <cellStyle name="Output 2 3 2 2 7 2 2" xfId="33571" xr:uid="{4FD89068-49A7-4EDC-A27F-66D34007C198}"/>
    <cellStyle name="Output 2 3 2 2 7 3" xfId="28807" xr:uid="{315235EF-BB96-4430-8453-3928A253C917}"/>
    <cellStyle name="Output 2 3 2 2 7 3 2" xfId="35652" xr:uid="{9F3E48CF-53D1-4A8F-9925-67A11F30F462}"/>
    <cellStyle name="Output 2 3 2 2 7 4" xfId="30889" xr:uid="{27C5D575-3C34-4178-95A2-03CFFE8424FF}"/>
    <cellStyle name="Output 2 3 2 2 8" xfId="25055" xr:uid="{DC291588-6D69-4E56-B216-CF4BFCADBF3C}"/>
    <cellStyle name="Output 2 3 2 2 8 2" xfId="27727" xr:uid="{94C8712E-4540-460D-923D-A60BEE7A6765}"/>
    <cellStyle name="Output 2 3 2 2 8 2 2" xfId="34572" xr:uid="{23661E66-1A8B-40C9-8FB4-B1D429C3AAF5}"/>
    <cellStyle name="Output 2 3 2 2 8 3" xfId="29808" xr:uid="{6E1AE326-BB9C-4C23-B5D5-662F982B5314}"/>
    <cellStyle name="Output 2 3 2 2 8 3 2" xfId="36653" xr:uid="{6477231A-D6FD-4F52-BD05-5EEC9165D044}"/>
    <cellStyle name="Output 2 3 2 2 8 4" xfId="31890" xr:uid="{6899950E-2408-46E3-A54C-F922E2563C18}"/>
    <cellStyle name="Output 2 3 2 2 9" xfId="25063" xr:uid="{929A2CCD-4C63-4FF6-9EA6-CDFF6B65B08E}"/>
    <cellStyle name="Output 2 3 2 2 9 2" xfId="27735" xr:uid="{B2D01264-6A3B-4C01-9311-184CDDEDD157}"/>
    <cellStyle name="Output 2 3 2 2 9 2 2" xfId="34580" xr:uid="{C7B6C393-FFC9-4247-B2C5-CF0E34F1EB6A}"/>
    <cellStyle name="Output 2 3 2 2 9 3" xfId="29816" xr:uid="{1C15AF11-1441-42D8-B973-5FF625EBA2A0}"/>
    <cellStyle name="Output 2 3 2 2 9 3 2" xfId="36661" xr:uid="{F7033B2A-B336-4C4F-A476-40F460E8A0B0}"/>
    <cellStyle name="Output 2 3 2 2 9 4" xfId="31898" xr:uid="{EAD61BF5-EA62-4B4C-9666-8246A84BA69E}"/>
    <cellStyle name="Output 2 3 2 3" xfId="9308" xr:uid="{00000000-0005-0000-0000-0000B30F0000}"/>
    <cellStyle name="Output 2 3 2 3 10" xfId="20688" xr:uid="{970C251D-988F-4147-9D52-973162806537}"/>
    <cellStyle name="Output 2 3 2 3 11" xfId="19293" xr:uid="{73DE29B9-1F90-4CB4-99A9-F0954889CE92}"/>
    <cellStyle name="Output 2 3 2 3 12" xfId="22779" xr:uid="{2981D001-468A-4A15-8286-D8538B2F55C1}"/>
    <cellStyle name="Output 2 3 2 3 13" xfId="19454" xr:uid="{86997A34-9C56-4C5F-B0CD-DCD5977431D0}"/>
    <cellStyle name="Output 2 3 2 3 14" xfId="22914" xr:uid="{C79E1989-5024-45B3-A185-0892D34EF1D0}"/>
    <cellStyle name="Output 2 3 2 3 15" xfId="22910" xr:uid="{826232D7-4EEB-437E-A242-90A1FF61CCA0}"/>
    <cellStyle name="Output 2 3 2 3 16" xfId="31311" xr:uid="{B9CF21A1-F453-431B-A4C8-AF7A1A8DFEF5}"/>
    <cellStyle name="Output 2 3 2 3 17" xfId="18705" xr:uid="{6EB72D1F-EB49-41CB-B765-443723341DBE}"/>
    <cellStyle name="Output 2 3 2 3 18" xfId="41831" xr:uid="{59F278A8-DCA9-4AC3-B928-04ABCCC79DC3}"/>
    <cellStyle name="Output 2 3 2 3 19" xfId="48122" xr:uid="{82111499-CD22-40DF-ADFB-A4FD063C3D86}"/>
    <cellStyle name="Output 2 3 2 3 2" xfId="19812" xr:uid="{3A6E84C9-7C32-40D1-AE69-806366F65603}"/>
    <cellStyle name="Output 2 3 2 3 2 2" xfId="27152" xr:uid="{53DD2ED3-B4ED-4E9B-A737-E39DFFCF4F20}"/>
    <cellStyle name="Output 2 3 2 3 2 3" xfId="33993" xr:uid="{9A40E52A-3E95-4890-B9AA-727A6AE42FE4}"/>
    <cellStyle name="Output 2 3 2 3 20" xfId="47045" xr:uid="{31E9C459-2987-4CD4-8FB9-3608908A0578}"/>
    <cellStyle name="Output 2 3 2 3 21" xfId="49390" xr:uid="{1C936215-DFD3-462A-ACA6-2D7D969A912D}"/>
    <cellStyle name="Output 2 3 2 3 22" xfId="15093" xr:uid="{7AF027DD-C1D1-41FE-ABCA-6F0861869BB7}"/>
    <cellStyle name="Output 2 3 2 3 3" xfId="19326" xr:uid="{242E1C2C-0A77-4A89-8091-8614E0D9887E}"/>
    <cellStyle name="Output 2 3 2 3 3 2" xfId="29229" xr:uid="{023AF73F-A5CE-497F-8282-EC5FC045B1F7}"/>
    <cellStyle name="Output 2 3 2 3 3 3" xfId="36074" xr:uid="{1F4F4D05-4D08-4D2F-B697-63F9BF3BA6A1}"/>
    <cellStyle name="Output 2 3 2 3 4" xfId="19373" xr:uid="{6C1952F0-4707-4978-8CF9-975FAAED01B9}"/>
    <cellStyle name="Output 2 3 2 3 5" xfId="20919" xr:uid="{F0B715E8-B10B-43EB-8177-97ED09CBFBCD}"/>
    <cellStyle name="Output 2 3 2 3 6" xfId="20903" xr:uid="{DC6ACDFA-D58F-4B4A-8A8D-8E1E8E909CED}"/>
    <cellStyle name="Output 2 3 2 3 7" xfId="21626" xr:uid="{60F7EC4A-5DED-4CD2-A359-1FEEF589747C}"/>
    <cellStyle name="Output 2 3 2 3 8" xfId="19230" xr:uid="{9EC04D98-BFBE-4B52-A3AF-1536A3F450B9}"/>
    <cellStyle name="Output 2 3 2 3 9" xfId="22527" xr:uid="{55964304-8800-43DA-AAB3-C329B7E4E592}"/>
    <cellStyle name="Output 2 3 2 4" xfId="18223" xr:uid="{13BE5898-77AF-4FEF-9456-131B3A0DB182}"/>
    <cellStyle name="Output 2 3 2 4 2" xfId="27001" xr:uid="{BCDB1C8E-1B0D-48BC-98D8-EB19042E40E1}"/>
    <cellStyle name="Output 2 3 2 4 2 2" xfId="33841" xr:uid="{7D94F1F9-F3E5-41D8-A399-6935BB9CFCD6}"/>
    <cellStyle name="Output 2 3 2 4 3" xfId="29077" xr:uid="{A756CADD-F12C-4E2C-BA12-5D3FA495E1EB}"/>
    <cellStyle name="Output 2 3 2 4 3 2" xfId="35922" xr:uid="{07881A37-9120-4BED-8072-0BF87058E9A4}"/>
    <cellStyle name="Output 2 3 2 4 4" xfId="24384" xr:uid="{D97A2C53-79CF-43D9-8537-64831E41065D}"/>
    <cellStyle name="Output 2 3 2 4 5" xfId="31159" xr:uid="{3171509E-DBA7-4BCB-8985-F3FD64E94F26}"/>
    <cellStyle name="Output 2 3 2 5" xfId="17438" xr:uid="{00E0D282-EB51-434E-8006-DB7EEA80749B}"/>
    <cellStyle name="Output 2 3 2 5 2" xfId="27569" xr:uid="{EA364F2A-C68C-419E-8062-A733A8F5AC1A}"/>
    <cellStyle name="Output 2 3 2 5 2 2" xfId="34413" xr:uid="{62FB8F52-8DDC-48D2-A63E-0CA0C6BF43CD}"/>
    <cellStyle name="Output 2 3 2 5 3" xfId="29649" xr:uid="{8B2A2524-19BE-4DA3-802A-6B980FF870F1}"/>
    <cellStyle name="Output 2 3 2 5 3 2" xfId="36494" xr:uid="{DF553501-DBC6-42AC-B03C-C3F4EDC3F5A9}"/>
    <cellStyle name="Output 2 3 2 5 4" xfId="24901" xr:uid="{22808E40-F525-4668-827E-AFE97E41CFB4}"/>
    <cellStyle name="Output 2 3 2 5 5" xfId="31731" xr:uid="{3100FBB8-71F7-4B2E-B0E7-EAFB1BC01769}"/>
    <cellStyle name="Output 2 3 2 6" xfId="24830" xr:uid="{3C502FF1-BEC4-4C8A-8E95-4B9531140F8F}"/>
    <cellStyle name="Output 2 3 2 6 2" xfId="27490" xr:uid="{4A0191DE-6A73-41C9-9072-612C027215A2}"/>
    <cellStyle name="Output 2 3 2 6 2 2" xfId="34334" xr:uid="{C52CA3CA-C7AD-4BE9-8411-1DA57E0A0981}"/>
    <cellStyle name="Output 2 3 2 6 3" xfId="29570" xr:uid="{14D57DF7-A6CC-4CFD-BC62-AE6BE1646292}"/>
    <cellStyle name="Output 2 3 2 6 3 2" xfId="36415" xr:uid="{17D533D6-98DA-418D-A729-8929C26D1B8C}"/>
    <cellStyle name="Output 2 3 2 6 4" xfId="31652" xr:uid="{641AF8B5-58F3-4181-93DB-11578A27A37A}"/>
    <cellStyle name="Output 2 3 2 7" xfId="24207" xr:uid="{8894B92C-B441-4FA6-911E-AA24CBDF4D33}"/>
    <cellStyle name="Output 2 3 2 7 2" xfId="26817" xr:uid="{F9621E43-28E6-4E84-B5F5-B2F734E1D50D}"/>
    <cellStyle name="Output 2 3 2 7 2 2" xfId="33657" xr:uid="{8C249D25-DD25-4785-B7FA-96B3614E5777}"/>
    <cellStyle name="Output 2 3 2 7 3" xfId="28893" xr:uid="{B4EFF26A-D7BA-41AC-85FB-10B4727693D7}"/>
    <cellStyle name="Output 2 3 2 7 3 2" xfId="35738" xr:uid="{21CA0E98-5323-4E0A-823E-841E55B25FC8}"/>
    <cellStyle name="Output 2 3 2 7 4" xfId="30975" xr:uid="{5EEB97A5-3F3C-41D7-BFD7-FEA80ABFFEFD}"/>
    <cellStyle name="Output 2 3 2 8" xfId="25374" xr:uid="{25D76ACF-7EA7-43FC-A815-023FAD0423BB}"/>
    <cellStyle name="Output 2 3 2 8 2" xfId="28041" xr:uid="{6175512F-2287-44AE-87C2-179E9AF7DE09}"/>
    <cellStyle name="Output 2 3 2 8 2 2" xfId="34886" xr:uid="{69577021-BF66-4CE0-AFAB-584472189301}"/>
    <cellStyle name="Output 2 3 2 8 3" xfId="30122" xr:uid="{B8971215-1B7D-44F2-91C4-94C3E2F270F9}"/>
    <cellStyle name="Output 2 3 2 8 3 2" xfId="36967" xr:uid="{57C2E58A-46C6-41A2-83F9-7CA9BA937657}"/>
    <cellStyle name="Output 2 3 2 8 4" xfId="32204" xr:uid="{69383D74-D3BA-4EBC-AA0F-ADDC0BCAF594}"/>
    <cellStyle name="Output 2 3 2 9" xfId="25362" xr:uid="{601B50C1-CD88-4DEF-81A0-6DE34E307E21}"/>
    <cellStyle name="Output 2 3 2 9 2" xfId="28029" xr:uid="{8B25DF2B-063A-4D9C-A7AF-5099363C02C0}"/>
    <cellStyle name="Output 2 3 2 9 2 2" xfId="34874" xr:uid="{CE459F51-F547-4BAB-B47C-26D8B56E51B6}"/>
    <cellStyle name="Output 2 3 2 9 3" xfId="30110" xr:uid="{30E1F1D1-6456-415B-81FC-16868E47F131}"/>
    <cellStyle name="Output 2 3 2 9 3 2" xfId="36955" xr:uid="{03DBC3D6-19EA-4022-B262-2D225854CDE1}"/>
    <cellStyle name="Output 2 3 2 9 4" xfId="32192" xr:uid="{FE6AABA1-17AD-4F20-9444-B3CD9BC9E521}"/>
    <cellStyle name="Output 2 3 20" xfId="38980" xr:uid="{B48CC3D7-BDC1-43B3-88AB-45434B24C8F1}"/>
    <cellStyle name="Output 2 3 3" xfId="4947" xr:uid="{00000000-0005-0000-0000-000078130000}"/>
    <cellStyle name="Output 2 3 3 10" xfId="25261" xr:uid="{D2D335B4-379A-4B7A-855B-FC9AAA8C276A}"/>
    <cellStyle name="Output 2 3 3 10 2" xfId="27932" xr:uid="{EFA5A27E-01D8-453B-B0C6-7C300F52A38F}"/>
    <cellStyle name="Output 2 3 3 10 2 2" xfId="34777" xr:uid="{B760866A-7495-4118-93AE-4E90DA2FCA43}"/>
    <cellStyle name="Output 2 3 3 10 3" xfId="30013" xr:uid="{88F5F596-6858-4B83-A239-37AF0579C6AF}"/>
    <cellStyle name="Output 2 3 3 10 3 2" xfId="36858" xr:uid="{CDABF656-AFB4-479D-B9DF-AA83085A81B8}"/>
    <cellStyle name="Output 2 3 3 10 4" xfId="32095" xr:uid="{0B0A2DFA-AD18-411C-8ADB-CC5158C5674A}"/>
    <cellStyle name="Output 2 3 3 11" xfId="24067" xr:uid="{E306B9A0-B71D-4F3C-A966-435AFB0C47A2}"/>
    <cellStyle name="Output 2 3 3 11 2" xfId="26680" xr:uid="{CFB1F223-BDAE-4C74-93B6-398552F6C871}"/>
    <cellStyle name="Output 2 3 3 11 2 2" xfId="33520" xr:uid="{D36C2A55-7A95-453A-8DEF-3DE7BE12856F}"/>
    <cellStyle name="Output 2 3 3 11 3" xfId="28756" xr:uid="{B40B1C07-C1DA-4428-AC59-2AB56C958077}"/>
    <cellStyle name="Output 2 3 3 11 3 2" xfId="35601" xr:uid="{05EC47EE-F8C5-4B9C-9D38-B24BDEE86A24}"/>
    <cellStyle name="Output 2 3 3 11 4" xfId="30838" xr:uid="{B32B76CB-A00E-4BA4-9B87-D819D92F2820}"/>
    <cellStyle name="Output 2 3 3 12" xfId="24767" xr:uid="{1E1E5836-401D-420A-BA9D-F460EBD556F2}"/>
    <cellStyle name="Output 2 3 3 12 2" xfId="27419" xr:uid="{3B9A3DCA-F91E-4F86-8D27-239DE851245B}"/>
    <cellStyle name="Output 2 3 3 12 2 2" xfId="34263" xr:uid="{0AF70A12-3581-4AAA-A63F-3BD4B2826D01}"/>
    <cellStyle name="Output 2 3 3 12 3" xfId="29499" xr:uid="{0D322E99-313C-4251-9BBF-62246D3C8739}"/>
    <cellStyle name="Output 2 3 3 12 3 2" xfId="36344" xr:uid="{267559D7-6862-40EA-B81C-274BBC825F24}"/>
    <cellStyle name="Output 2 3 3 12 4" xfId="31581" xr:uid="{6CE3A0E5-09B5-46D5-BAC1-C28051E598D8}"/>
    <cellStyle name="Output 2 3 3 13" xfId="25549" xr:uid="{5AC3B07A-4DAD-429D-810B-2F92FAA55087}"/>
    <cellStyle name="Output 2 3 3 13 2" xfId="28216" xr:uid="{681465F7-89C1-4050-BCE3-E277B7A50CA8}"/>
    <cellStyle name="Output 2 3 3 13 2 2" xfId="35061" xr:uid="{56ADF26C-C9D0-4527-9031-191440681C81}"/>
    <cellStyle name="Output 2 3 3 13 3" xfId="30297" xr:uid="{2CCCF593-F3A0-4FBF-9AF9-9F5679EF2C90}"/>
    <cellStyle name="Output 2 3 3 13 3 2" xfId="37142" xr:uid="{C5AEF774-5D88-48FF-925B-BD6580B017AC}"/>
    <cellStyle name="Output 2 3 3 13 4" xfId="32379" xr:uid="{09D7AD88-61C0-4DE0-AD43-AF97DC11BFCE}"/>
    <cellStyle name="Output 2 3 3 14" xfId="24556" xr:uid="{1EBB904C-FA8E-4E67-8CB1-D132ED9E0601}"/>
    <cellStyle name="Output 2 3 3 14 2" xfId="27156" xr:uid="{4D0C95E3-519C-45FF-BCF5-DB8614C13F45}"/>
    <cellStyle name="Output 2 3 3 14 2 2" xfId="33997" xr:uid="{7643A0F2-13C0-4B60-8EEC-2D42967F181B}"/>
    <cellStyle name="Output 2 3 3 14 3" xfId="29233" xr:uid="{7DA97D3E-76F2-4904-82C5-7EF9C83E98DE}"/>
    <cellStyle name="Output 2 3 3 14 3 2" xfId="36078" xr:uid="{FE293D87-59BE-41FF-B93C-DFA01AE65C98}"/>
    <cellStyle name="Output 2 3 3 14 4" xfId="31315" xr:uid="{7821E615-2C40-4527-ACEC-83592BF8D1A8}"/>
    <cellStyle name="Output 2 3 3 15" xfId="25101" xr:uid="{DD4F2A03-AE1C-45BA-B55E-765E3D73A1F6}"/>
    <cellStyle name="Output 2 3 3 15 2" xfId="27773" xr:uid="{AF94B5C9-B3F7-40E7-A17B-35A57D9CAC80}"/>
    <cellStyle name="Output 2 3 3 15 2 2" xfId="34618" xr:uid="{742AC19B-4093-4685-A238-1D31634187AA}"/>
    <cellStyle name="Output 2 3 3 15 3" xfId="29854" xr:uid="{42C8A33F-6DA3-4F78-A23E-784FF84748C2}"/>
    <cellStyle name="Output 2 3 3 15 3 2" xfId="36699" xr:uid="{A5FB1D3A-C6E7-47CB-9800-98E75A0F038A}"/>
    <cellStyle name="Output 2 3 3 15 4" xfId="31936" xr:uid="{34EA1CDA-A5FA-4CDF-87A1-6B17DAFA005A}"/>
    <cellStyle name="Output 2 3 3 16" xfId="25799" xr:uid="{6AB9E8F2-01D9-46DD-9624-1872155CB3AB}"/>
    <cellStyle name="Output 2 3 3 16 2" xfId="28465" xr:uid="{BADDCA7B-9265-4E84-A305-466021332AC2}"/>
    <cellStyle name="Output 2 3 3 16 2 2" xfId="35310" xr:uid="{0C844921-A421-4C22-B7DB-EDEDF64AC51D}"/>
    <cellStyle name="Output 2 3 3 16 3" xfId="30546" xr:uid="{3EC20241-0F06-4B6E-83A3-9233020DF415}"/>
    <cellStyle name="Output 2 3 3 16 3 2" xfId="37391" xr:uid="{FB704697-1058-4012-94CB-CAA147BA9476}"/>
    <cellStyle name="Output 2 3 3 16 4" xfId="32628" xr:uid="{12AB7D07-22B6-4939-9548-62F204DD0944}"/>
    <cellStyle name="Output 2 3 3 17" xfId="24736" xr:uid="{0FFA1542-E3C5-410A-B765-14BEB1B0EBE2}"/>
    <cellStyle name="Output 2 3 3 17 2" xfId="27385" xr:uid="{0D41414C-8733-4D88-A360-49AEA20EA3EA}"/>
    <cellStyle name="Output 2 3 3 17 2 2" xfId="34229" xr:uid="{CA0AAEC4-0888-43A1-A3C2-D646CF8B070A}"/>
    <cellStyle name="Output 2 3 3 17 3" xfId="29465" xr:uid="{ABF96264-3301-4695-B981-B01063815FFA}"/>
    <cellStyle name="Output 2 3 3 17 3 2" xfId="36310" xr:uid="{4C53B218-0348-4D18-8F77-D620335EDB46}"/>
    <cellStyle name="Output 2 3 3 17 4" xfId="31547" xr:uid="{AED4B6D7-7AE7-47CC-9490-288656E46CBD}"/>
    <cellStyle name="Output 2 3 3 18" xfId="23662" xr:uid="{A6ADAA90-293D-4A60-99A7-6221E8E6F8F1}"/>
    <cellStyle name="Output 2 3 3 19" xfId="16286" xr:uid="{885BDF95-E170-470C-8D80-62D8BD647267}"/>
    <cellStyle name="Output 2 3 3 2" xfId="10469" xr:uid="{00000000-0005-0000-0000-0000C3200000}"/>
    <cellStyle name="Output 2 3 3 2 10" xfId="24142" xr:uid="{AB41B3EC-EE20-4857-AD39-B36943C92A06}"/>
    <cellStyle name="Output 2 3 3 2 10 2" xfId="26754" xr:uid="{4DCB3B1B-9B81-4915-BDF3-A595C6C835E1}"/>
    <cellStyle name="Output 2 3 3 2 10 2 2" xfId="33594" xr:uid="{5476E087-2A1C-46E3-8189-91CA0DE1EF30}"/>
    <cellStyle name="Output 2 3 3 2 10 3" xfId="28830" xr:uid="{4038D2D6-095D-4C5E-A575-A3C09586F42D}"/>
    <cellStyle name="Output 2 3 3 2 10 3 2" xfId="35675" xr:uid="{A25360B6-7D20-422F-A7AA-7B7DFFF9CDFF}"/>
    <cellStyle name="Output 2 3 3 2 10 4" xfId="30912" xr:uid="{D28F02F4-B7F5-43B5-8C89-8ED0CC4C9444}"/>
    <cellStyle name="Output 2 3 3 2 11" xfId="24245" xr:uid="{3CEF4ABC-98A3-4370-9DB7-CD5B14CD35C4}"/>
    <cellStyle name="Output 2 3 3 2 11 2" xfId="26852" xr:uid="{620F79E7-3C05-4CCD-92C4-D7DBB692E4B4}"/>
    <cellStyle name="Output 2 3 3 2 11 2 2" xfId="33692" xr:uid="{1137E4E3-987C-4D64-87DB-A09F4DB486DC}"/>
    <cellStyle name="Output 2 3 3 2 11 3" xfId="28928" xr:uid="{FDC668F2-9025-4306-8A16-657EE317BD31}"/>
    <cellStyle name="Output 2 3 3 2 11 3 2" xfId="35773" xr:uid="{242B1FE3-3DF9-4A71-882D-0FE6A97E254A}"/>
    <cellStyle name="Output 2 3 3 2 11 4" xfId="31010" xr:uid="{10BC9A52-82F7-435D-A7BC-356DE210D936}"/>
    <cellStyle name="Output 2 3 3 2 12" xfId="24065" xr:uid="{BBBD5596-0BE1-4E82-86A4-1BA7625F218B}"/>
    <cellStyle name="Output 2 3 3 2 12 2" xfId="26678" xr:uid="{DCB07150-60D8-4B15-AB21-AE0F12BA4E69}"/>
    <cellStyle name="Output 2 3 3 2 12 2 2" xfId="33518" xr:uid="{AA52B56E-535F-4F2D-AE88-F16BF8AF8A9A}"/>
    <cellStyle name="Output 2 3 3 2 12 3" xfId="28754" xr:uid="{922C009C-EF1F-414C-884E-95407EA0FAB1}"/>
    <cellStyle name="Output 2 3 3 2 12 3 2" xfId="35599" xr:uid="{5100A546-E399-4112-84C9-EA75F5092298}"/>
    <cellStyle name="Output 2 3 3 2 12 4" xfId="30836" xr:uid="{B06E6CDC-EA89-4594-97D7-89E5A58A0B70}"/>
    <cellStyle name="Output 2 3 3 2 13" xfId="25712" xr:uid="{BB6CB52F-1C95-49E6-AA93-4433AECA480F}"/>
    <cellStyle name="Output 2 3 3 2 13 2" xfId="28379" xr:uid="{3285F8D4-48F2-4209-9460-1062A0F46CE7}"/>
    <cellStyle name="Output 2 3 3 2 13 2 2" xfId="35224" xr:uid="{FEA7B45A-7F25-4893-B880-936903A2F2AC}"/>
    <cellStyle name="Output 2 3 3 2 13 3" xfId="30460" xr:uid="{4F4ED8FA-E8EB-4106-9D1A-3D01E43D6C68}"/>
    <cellStyle name="Output 2 3 3 2 13 3 2" xfId="37305" xr:uid="{A9493A64-470B-4246-8363-34B634C149B7}"/>
    <cellStyle name="Output 2 3 3 2 13 4" xfId="32542" xr:uid="{127F52AF-1D29-4221-90E9-F16BD9FD052A}"/>
    <cellStyle name="Output 2 3 3 2 14" xfId="23823" xr:uid="{0F9F6C70-8C0D-4999-B03C-059E138B5B1E}"/>
    <cellStyle name="Output 2 3 3 2 14 2" xfId="26442" xr:uid="{89EB366C-1701-4098-B713-541741610AED}"/>
    <cellStyle name="Output 2 3 3 2 14 2 2" xfId="33282" xr:uid="{D09A4275-9530-43AF-9BB4-86404B226437}"/>
    <cellStyle name="Output 2 3 3 2 14 3" xfId="26240" xr:uid="{7858E742-FBE6-4408-82CB-F7F6BD7E1CDB}"/>
    <cellStyle name="Output 2 3 3 2 14 3 2" xfId="33068" xr:uid="{9F8ACF86-83C3-4D3E-AF3A-BF622CF6B935}"/>
    <cellStyle name="Output 2 3 3 2 14 4" xfId="23362" xr:uid="{D5B48CE3-B5FC-4241-AE9A-D7772FD5D10D}"/>
    <cellStyle name="Output 2 3 3 2 15" xfId="25686" xr:uid="{9DFE19A7-6AC5-4FA9-BC1F-EC0914913506}"/>
    <cellStyle name="Output 2 3 3 2 15 2" xfId="28353" xr:uid="{EEABCD38-D00C-4E87-85AE-F1674CA3F408}"/>
    <cellStyle name="Output 2 3 3 2 15 2 2" xfId="35198" xr:uid="{18A4A1AC-4DD5-4A06-A027-C9658316AA6F}"/>
    <cellStyle name="Output 2 3 3 2 15 3" xfId="30434" xr:uid="{5AE9DBDA-6E0D-496D-94F6-D96DCFB93169}"/>
    <cellStyle name="Output 2 3 3 2 15 3 2" xfId="37279" xr:uid="{E2EECA3D-33BA-4924-904F-EC00B5632BE0}"/>
    <cellStyle name="Output 2 3 3 2 15 4" xfId="32516" xr:uid="{539D7B75-1213-4C3E-A9F1-B30CA6633EDE}"/>
    <cellStyle name="Output 2 3 3 2 16" xfId="25903" xr:uid="{24E8243F-F623-4B69-94B6-FA8FAB3861C3}"/>
    <cellStyle name="Output 2 3 3 2 16 2" xfId="28569" xr:uid="{4319A6E9-DC10-43BF-B46C-7C412CED0A07}"/>
    <cellStyle name="Output 2 3 3 2 16 2 2" xfId="35414" xr:uid="{B0FE4F88-9BA1-49C2-85F5-14E5C439575C}"/>
    <cellStyle name="Output 2 3 3 2 16 3" xfId="30650" xr:uid="{AB27B6C1-4B70-493D-801C-459D34FC805C}"/>
    <cellStyle name="Output 2 3 3 2 16 3 2" xfId="37495" xr:uid="{2EED00C7-2407-4EBD-8A96-9BCA6653325B}"/>
    <cellStyle name="Output 2 3 3 2 16 4" xfId="32732" xr:uid="{D86FDF53-B668-45E7-8111-E42229622561}"/>
    <cellStyle name="Output 2 3 3 2 17" xfId="23628" xr:uid="{719F3971-EFBD-4F37-B7A1-5FC07F4D5467}"/>
    <cellStyle name="Output 2 3 3 2 18" xfId="17574" xr:uid="{C4E2DD46-08DF-42C1-B7D0-59336F6D2B10}"/>
    <cellStyle name="Output 2 3 3 2 19" xfId="42958" xr:uid="{B39393BF-0447-4E77-8246-00ADD587D430}"/>
    <cellStyle name="Output 2 3 3 2 2" xfId="17845" xr:uid="{7CCB3D4D-78CF-464C-9283-4DB5575010D8}"/>
    <cellStyle name="Output 2 3 3 2 2 10" xfId="25669" xr:uid="{D4503795-7E67-431F-906B-D3CFD5275C83}"/>
    <cellStyle name="Output 2 3 3 2 2 10 2" xfId="28336" xr:uid="{EA6F39E6-8156-4E84-8145-9963B6BA14B1}"/>
    <cellStyle name="Output 2 3 3 2 2 10 2 2" xfId="35181" xr:uid="{26A8931D-1B1B-4C58-B894-C40193C8CA51}"/>
    <cellStyle name="Output 2 3 3 2 2 10 3" xfId="30417" xr:uid="{F93A77A3-16D9-437C-98CC-2EB0AE414540}"/>
    <cellStyle name="Output 2 3 3 2 2 10 3 2" xfId="37262" xr:uid="{7FDC05E0-0BD0-4908-A545-519638D8A8E3}"/>
    <cellStyle name="Output 2 3 3 2 2 10 4" xfId="32499" xr:uid="{CFDD63BE-5057-48E0-AD89-E14378847D44}"/>
    <cellStyle name="Output 2 3 3 2 2 11" xfId="25774" xr:uid="{85B7A0ED-2915-4BDE-AB2C-DCD3F66552A6}"/>
    <cellStyle name="Output 2 3 3 2 2 11 2" xfId="28440" xr:uid="{F757D7C0-45B1-422C-9CA3-5A0AB261128E}"/>
    <cellStyle name="Output 2 3 3 2 2 11 2 2" xfId="35285" xr:uid="{EE390656-DDCD-4056-85E8-3C7C90807881}"/>
    <cellStyle name="Output 2 3 3 2 2 11 3" xfId="30521" xr:uid="{D0AF4F48-D263-497C-BE78-73556F896759}"/>
    <cellStyle name="Output 2 3 3 2 2 11 3 2" xfId="37366" xr:uid="{A7443CA4-4693-4173-B4B9-E3FE07069417}"/>
    <cellStyle name="Output 2 3 3 2 2 11 4" xfId="32603" xr:uid="{2C97B415-4BC7-4BB9-8CC9-89BAE197AB82}"/>
    <cellStyle name="Output 2 3 3 2 2 12" xfId="25851" xr:uid="{9123922A-6358-449F-861B-564FEE766626}"/>
    <cellStyle name="Output 2 3 3 2 2 12 2" xfId="28517" xr:uid="{793E587D-DE4B-4A3F-A08C-2BD51B9C802E}"/>
    <cellStyle name="Output 2 3 3 2 2 12 2 2" xfId="35362" xr:uid="{8E1BE511-E266-47E1-8DA9-989C65855C13}"/>
    <cellStyle name="Output 2 3 3 2 2 12 3" xfId="30598" xr:uid="{14855399-3468-495F-8E08-06CE63F5F67A}"/>
    <cellStyle name="Output 2 3 3 2 2 12 3 2" xfId="37443" xr:uid="{E14516F0-0F4B-45A5-B05B-D26AEE1C647B}"/>
    <cellStyle name="Output 2 3 3 2 2 12 4" xfId="32680" xr:uid="{224950F4-4952-4EAD-B666-BC1BD5CCD1C1}"/>
    <cellStyle name="Output 2 3 3 2 2 13" xfId="24014" xr:uid="{4484CE9B-CCA2-4208-B3A9-0791AD6457C4}"/>
    <cellStyle name="Output 2 3 3 2 2 13 2" xfId="26631" xr:uid="{61852D64-05A8-4387-BF1C-AA847A024052}"/>
    <cellStyle name="Output 2 3 3 2 2 13 2 2" xfId="33471" xr:uid="{28223F06-A582-4F47-9945-B8B2E2421E7F}"/>
    <cellStyle name="Output 2 3 3 2 2 13 3" xfId="28707" xr:uid="{9B83E1CF-A77D-4377-AC37-DD7BC73192AF}"/>
    <cellStyle name="Output 2 3 3 2 2 13 3 2" xfId="35552" xr:uid="{8542160C-78D2-4206-8456-283761A1A064}"/>
    <cellStyle name="Output 2 3 3 2 2 13 4" xfId="30789" xr:uid="{88B14E88-F7D5-48F3-9FD7-32606C8DF2B7}"/>
    <cellStyle name="Output 2 3 3 2 2 14" xfId="25979" xr:uid="{6E66BC6A-DCB2-44A4-9161-7C33F88C02EA}"/>
    <cellStyle name="Output 2 3 3 2 2 14 2" xfId="28645" xr:uid="{6639E7E2-E8D1-4140-BD96-05D1C2D7F700}"/>
    <cellStyle name="Output 2 3 3 2 2 14 2 2" xfId="35490" xr:uid="{37846DF1-A04D-42D3-8539-651FE68132EB}"/>
    <cellStyle name="Output 2 3 3 2 2 14 3" xfId="30726" xr:uid="{90A78F2A-B795-43D8-A23B-C7C1B76C3DD4}"/>
    <cellStyle name="Output 2 3 3 2 2 14 3 2" xfId="37571" xr:uid="{6CB4D5B0-BB1F-47CD-AA26-E86147D237CE}"/>
    <cellStyle name="Output 2 3 3 2 2 14 4" xfId="32808" xr:uid="{E88290B7-1EE5-4B14-9718-EBDCA9C70746}"/>
    <cellStyle name="Output 2 3 3 2 2 15" xfId="26033" xr:uid="{8FC7C5E1-8711-45B5-94C4-10E1F016484E}"/>
    <cellStyle name="Output 2 3 3 2 2 15 2" xfId="28699" xr:uid="{64E5606D-9423-4105-A999-D0108645F3ED}"/>
    <cellStyle name="Output 2 3 3 2 2 15 2 2" xfId="35544" xr:uid="{5456A1B3-EC3A-4627-A835-3A046D9D61DC}"/>
    <cellStyle name="Output 2 3 3 2 2 15 3" xfId="30780" xr:uid="{FAA109B7-5610-4C2A-BC2A-F7BB4CE7B2FB}"/>
    <cellStyle name="Output 2 3 3 2 2 15 3 2" xfId="37625" xr:uid="{3032D84D-C674-40CA-A30D-3952860DDFA2}"/>
    <cellStyle name="Output 2 3 3 2 2 15 4" xfId="32862" xr:uid="{265BD06C-4BFD-42C2-B822-CFA943C8E246}"/>
    <cellStyle name="Output 2 3 3 2 2 16" xfId="23168" xr:uid="{1A0E03B5-7C3F-4703-AE3B-603422BB0C37}"/>
    <cellStyle name="Output 2 3 3 2 2 2" xfId="18429" xr:uid="{41451CD8-D825-4559-A001-063E01BFAB9F}"/>
    <cellStyle name="Output 2 3 3 2 2 2 10" xfId="20835" xr:uid="{7CBD277A-F519-4CB6-A52F-883B5AC62BB9}"/>
    <cellStyle name="Output 2 3 3 2 2 2 11" xfId="22051" xr:uid="{AB61A185-AEBB-4197-8A8A-5C1017AF623D}"/>
    <cellStyle name="Output 2 3 3 2 2 2 12" xfId="21372" xr:uid="{3D793F3E-79B6-4509-B945-4B339F3FDC25}"/>
    <cellStyle name="Output 2 3 3 2 2 2 13" xfId="19147" xr:uid="{4A4F403C-5AD2-4C50-9ECE-6934AEE58B2F}"/>
    <cellStyle name="Output 2 3 3 2 2 2 14" xfId="20576" xr:uid="{E8A2D0E3-5252-434B-9D40-F42E07CAB577}"/>
    <cellStyle name="Output 2 3 3 2 2 2 15" xfId="21957" xr:uid="{FBDCAAE3-5E9D-48A3-BC4C-C29DA095AEC7}"/>
    <cellStyle name="Output 2 3 3 2 2 2 16" xfId="31513" xr:uid="{773949A3-9945-40CA-857D-284ECA3A6F3B}"/>
    <cellStyle name="Output 2 3 3 2 2 2 2" xfId="19944" xr:uid="{B9C9006A-8086-46D2-AFEF-972173F5AD38}"/>
    <cellStyle name="Output 2 3 3 2 2 2 2 2" xfId="27351" xr:uid="{2C8D74A2-3D23-4E1A-B007-E545D89BC45D}"/>
    <cellStyle name="Output 2 3 3 2 2 2 2 3" xfId="34195" xr:uid="{CB4BC6FF-0D8A-496C-B1F7-7E133D3E827B}"/>
    <cellStyle name="Output 2 3 3 2 2 2 3" xfId="19308" xr:uid="{440DFED8-E198-4DE7-B0B0-A884110A27E4}"/>
    <cellStyle name="Output 2 3 3 2 2 2 3 2" xfId="29431" xr:uid="{F1D10F78-DFEF-42BF-AF59-79D30E74A8CA}"/>
    <cellStyle name="Output 2 3 3 2 2 2 3 3" xfId="36276" xr:uid="{9B4C231E-8484-461D-9168-E7B7285F4A11}"/>
    <cellStyle name="Output 2 3 3 2 2 2 4" xfId="20120" xr:uid="{D486469E-7F38-405A-A096-3F317FC5A380}"/>
    <cellStyle name="Output 2 3 3 2 2 2 5" xfId="20943" xr:uid="{F64D43E3-79A3-4C8B-903B-7B97B368EEE7}"/>
    <cellStyle name="Output 2 3 3 2 2 2 6" xfId="22169" xr:uid="{0E50BA86-294A-48EE-9736-0FCC5A8E2776}"/>
    <cellStyle name="Output 2 3 3 2 2 2 7" xfId="18854" xr:uid="{1637F0EB-E411-4C88-A49F-DD32951701CA}"/>
    <cellStyle name="Output 2 3 3 2 2 2 8" xfId="19690" xr:uid="{2BD5A858-62D4-4E44-B6F9-850A73516C6C}"/>
    <cellStyle name="Output 2 3 3 2 2 2 9" xfId="19017" xr:uid="{8674FF90-E4BE-498C-AD6D-ADF12683A240}"/>
    <cellStyle name="Output 2 3 3 2 2 3" xfId="24410" xr:uid="{9731EA1B-C7CC-4373-A08A-4A6EBBFEC2A1}"/>
    <cellStyle name="Output 2 3 3 2 2 3 2" xfId="27028" xr:uid="{2D309905-240B-4C3B-868B-F8324CEF3753}"/>
    <cellStyle name="Output 2 3 3 2 2 3 2 2" xfId="33868" xr:uid="{E857CBD2-2B10-4B5F-8BDC-377FEA473BD8}"/>
    <cellStyle name="Output 2 3 3 2 2 3 3" xfId="29104" xr:uid="{735AE959-B35E-496A-8683-3A1D22F672F2}"/>
    <cellStyle name="Output 2 3 3 2 2 3 3 2" xfId="35949" xr:uid="{AF42868B-3BE4-4D93-BE32-A7BFA4658A54}"/>
    <cellStyle name="Output 2 3 3 2 2 3 4" xfId="31186" xr:uid="{B98A8718-1D5D-4AEA-A5F6-3C86A4B89DB1}"/>
    <cellStyle name="Output 2 3 3 2 2 4" xfId="23839" xr:uid="{50C3A4A7-A87E-4B3A-A0E1-80A384606C22}"/>
    <cellStyle name="Output 2 3 3 2 2 4 2" xfId="26459" xr:uid="{19434F72-86EF-4952-B601-923131384095}"/>
    <cellStyle name="Output 2 3 3 2 2 4 2 2" xfId="33299" xr:uid="{E30B210B-5C1A-46E9-8504-11EF8F7ADD53}"/>
    <cellStyle name="Output 2 3 3 2 2 4 3" xfId="26224" xr:uid="{A9E4317B-E8B6-4770-AF0B-85F8B94E850A}"/>
    <cellStyle name="Output 2 3 3 2 2 4 3 2" xfId="33052" xr:uid="{38A57500-D80F-4454-8672-5E68B7B81355}"/>
    <cellStyle name="Output 2 3 3 2 2 4 4" xfId="23346" xr:uid="{22A54B82-BD12-4DDC-8392-42C0E9BD9CD1}"/>
    <cellStyle name="Output 2 3 3 2 2 5" xfId="25125" xr:uid="{9AA90842-C818-4C5F-9FC9-28893C282BA8}"/>
    <cellStyle name="Output 2 3 3 2 2 5 2" xfId="27797" xr:uid="{8FE6393D-3D84-4CDF-BC84-6D4887A96452}"/>
    <cellStyle name="Output 2 3 3 2 2 5 2 2" xfId="34642" xr:uid="{0C85A6F1-707F-4B77-AB3C-312A164742BE}"/>
    <cellStyle name="Output 2 3 3 2 2 5 3" xfId="29878" xr:uid="{B47A9F49-BD4A-412E-9FBF-7D6E65465FA5}"/>
    <cellStyle name="Output 2 3 3 2 2 5 3 2" xfId="36723" xr:uid="{020C33CF-0961-4925-ADE9-C9ED8FA0CB26}"/>
    <cellStyle name="Output 2 3 3 2 2 5 4" xfId="31960" xr:uid="{8FF575D7-7AC6-4F20-B532-045155193CD8}"/>
    <cellStyle name="Output 2 3 3 2 2 6" xfId="24247" xr:uid="{CA951AC7-4C12-4F0C-AF52-2C03B32E794A}"/>
    <cellStyle name="Output 2 3 3 2 2 6 2" xfId="26854" xr:uid="{5B5C4609-6EB5-4CD3-A385-D7F879A6867C}"/>
    <cellStyle name="Output 2 3 3 2 2 6 2 2" xfId="33694" xr:uid="{BCF1A420-82C7-45FE-A122-CC28C0244986}"/>
    <cellStyle name="Output 2 3 3 2 2 6 3" xfId="28930" xr:uid="{4A8BCF13-F51B-432C-A32C-EEAFF29D7479}"/>
    <cellStyle name="Output 2 3 3 2 2 6 3 2" xfId="35775" xr:uid="{CD3DFE28-7B98-4E31-8F84-ADFDA568EC70}"/>
    <cellStyle name="Output 2 3 3 2 2 6 4" xfId="31012" xr:uid="{9A93AC8E-604C-4FA6-AD14-B02E30A83528}"/>
    <cellStyle name="Output 2 3 3 2 2 7" xfId="24138" xr:uid="{0E9DD43B-A6F1-4C9C-879B-0413AD757B7D}"/>
    <cellStyle name="Output 2 3 3 2 2 7 2" xfId="26750" xr:uid="{21FF6C1A-1B0E-49FF-988A-68B1AC14197C}"/>
    <cellStyle name="Output 2 3 3 2 2 7 2 2" xfId="33590" xr:uid="{C40CD4FC-B08D-4F05-804A-46F834F0A1B1}"/>
    <cellStyle name="Output 2 3 3 2 2 7 3" xfId="28826" xr:uid="{03898BD9-AA7D-4A68-8B1E-711A9AA7FD42}"/>
    <cellStyle name="Output 2 3 3 2 2 7 3 2" xfId="35671" xr:uid="{25A56CCD-2CA1-4A25-9E41-B30A8D38C952}"/>
    <cellStyle name="Output 2 3 3 2 2 7 4" xfId="30908" xr:uid="{F0485DAC-AED5-4931-AF5A-560EAF3712D7}"/>
    <cellStyle name="Output 2 3 3 2 2 8" xfId="25420" xr:uid="{04A28918-B584-4932-A7A3-C37F96B9AA74}"/>
    <cellStyle name="Output 2 3 3 2 2 8 2" xfId="28087" xr:uid="{1ACC3C6E-F5FB-4C97-8A6A-35B5624454EA}"/>
    <cellStyle name="Output 2 3 3 2 2 8 2 2" xfId="34932" xr:uid="{6297BB24-0BE0-4C76-826E-00E99C3D8CA3}"/>
    <cellStyle name="Output 2 3 3 2 2 8 3" xfId="30168" xr:uid="{635A0C3D-0AD3-41C4-B6DD-5F3A827AB336}"/>
    <cellStyle name="Output 2 3 3 2 2 8 3 2" xfId="37013" xr:uid="{FF5E461A-72C8-4AE6-BDDF-5E72A1CC22F8}"/>
    <cellStyle name="Output 2 3 3 2 2 8 4" xfId="32250" xr:uid="{F65D7BB9-35BB-4512-8104-920B461999C0}"/>
    <cellStyle name="Output 2 3 3 2 2 9" xfId="24277" xr:uid="{79EB9137-587C-4DAB-83B4-0F15A114A318}"/>
    <cellStyle name="Output 2 3 3 2 2 9 2" xfId="26884" xr:uid="{370EC8A1-A624-4E71-8C9F-D957C713D793}"/>
    <cellStyle name="Output 2 3 3 2 2 9 2 2" xfId="33724" xr:uid="{006CAEE5-9CA8-4396-9078-FDE188410FDF}"/>
    <cellStyle name="Output 2 3 3 2 2 9 3" xfId="28960" xr:uid="{7C67E5CB-42DA-4F3F-9942-EBA011C2328E}"/>
    <cellStyle name="Output 2 3 3 2 2 9 3 2" xfId="35805" xr:uid="{47945379-7EAD-406B-B06D-02E63BE8AA24}"/>
    <cellStyle name="Output 2 3 3 2 2 9 4" xfId="31042" xr:uid="{47AF0F65-2AD6-4BB5-A525-43ABC46C46FB}"/>
    <cellStyle name="Output 2 3 3 2 3" xfId="18768" xr:uid="{7EFAE1E8-F0BE-4E77-A322-7EB00EF0283C}"/>
    <cellStyle name="Output 2 3 3 2 3 10" xfId="21571" xr:uid="{3B3D5B4D-B7E6-4C86-BB0F-5F7B0A64E039}"/>
    <cellStyle name="Output 2 3 3 2 3 11" xfId="20267" xr:uid="{17079553-B741-47CE-A7E3-3B6B0AE625A9}"/>
    <cellStyle name="Output 2 3 3 2 3 12" xfId="22811" xr:uid="{A83DEB85-FEAC-49CB-B99C-958AFE27CA30}"/>
    <cellStyle name="Output 2 3 3 2 3 13" xfId="20790" xr:uid="{15D81AD2-ECFC-4FEB-B450-6B4C14432D95}"/>
    <cellStyle name="Output 2 3 3 2 3 14" xfId="22946" xr:uid="{91919702-5115-4787-BF91-3A72295B1535}"/>
    <cellStyle name="Output 2 3 3 2 3 15" xfId="20420" xr:uid="{0446C0E0-0FD1-47C5-A56B-DFF58EFA9F9F}"/>
    <cellStyle name="Output 2 3 3 2 3 16" xfId="31385" xr:uid="{63A01FB1-E0BA-45CD-AFBF-84BE7E4B04BD}"/>
    <cellStyle name="Output 2 3 3 2 3 2" xfId="19777" xr:uid="{1705E139-EF37-4975-A8F8-0DE31BB8A879}"/>
    <cellStyle name="Output 2 3 3 2 3 2 2" xfId="27226" xr:uid="{E06FFA04-1524-477A-B902-A34B4DB521F8}"/>
    <cellStyle name="Output 2 3 3 2 3 2 3" xfId="34067" xr:uid="{DC428333-7D05-42AA-8A2F-B819FFB77D64}"/>
    <cellStyle name="Output 2 3 3 2 3 3" xfId="21805" xr:uid="{871F307A-706D-443A-9C6D-3250E842CAF3}"/>
    <cellStyle name="Output 2 3 3 2 3 3 2" xfId="29303" xr:uid="{D01652E6-8BB3-49EF-9159-F47CC91ACBA2}"/>
    <cellStyle name="Output 2 3 3 2 3 3 3" xfId="36148" xr:uid="{5A54353D-76FE-4F11-89C9-04FACA4D144E}"/>
    <cellStyle name="Output 2 3 3 2 3 4" xfId="21639" xr:uid="{D3256E41-A36E-49B9-8505-740DA6E8CB81}"/>
    <cellStyle name="Output 2 3 3 2 3 5" xfId="20336" xr:uid="{739CAF43-8E89-440B-84D7-BF0A4C2E2829}"/>
    <cellStyle name="Output 2 3 3 2 3 6" xfId="21214" xr:uid="{5835E4BC-F74B-4F0B-A18E-DED4D0460CB4}"/>
    <cellStyle name="Output 2 3 3 2 3 7" xfId="20177" xr:uid="{1C80011F-A02E-49E5-A702-19E9BE65E068}"/>
    <cellStyle name="Output 2 3 3 2 3 8" xfId="19702" xr:uid="{476A48EF-1816-4202-ACA5-56E2DFB0B2AC}"/>
    <cellStyle name="Output 2 3 3 2 3 9" xfId="22565" xr:uid="{ABC4DE64-C313-4320-9DD4-BB6B8A22A371}"/>
    <cellStyle name="Output 2 3 3 2 4" xfId="24597" xr:uid="{86055176-F7EE-44E5-9524-56AC3EE7BE50}"/>
    <cellStyle name="Output 2 3 3 2 4 2" xfId="27180" xr:uid="{CB1E5B75-86AA-408A-BD3B-027EE46A16EE}"/>
    <cellStyle name="Output 2 3 3 2 4 2 2" xfId="34021" xr:uid="{CCBA3A52-472A-4799-A072-FEEC77AF63D3}"/>
    <cellStyle name="Output 2 3 3 2 4 3" xfId="29257" xr:uid="{932A0FC5-7BA7-4145-8DAB-6896E49FB277}"/>
    <cellStyle name="Output 2 3 3 2 4 3 2" xfId="36102" xr:uid="{9BBB8BAD-2391-4BB6-9312-DAC1A127A990}"/>
    <cellStyle name="Output 2 3 3 2 4 4" xfId="31339" xr:uid="{D1EE121C-4BA9-42B2-929C-B71F4487C215}"/>
    <cellStyle name="Output 2 3 3 2 5" xfId="24587" xr:uid="{052FF541-F869-4DCC-A317-DC02EADBE9C3}"/>
    <cellStyle name="Output 2 3 3 2 5 2" xfId="27176" xr:uid="{D1D192DC-D23D-4B64-ADA0-A866E97CE949}"/>
    <cellStyle name="Output 2 3 3 2 5 2 2" xfId="34017" xr:uid="{EDB08FEB-EF3C-40D9-B4F8-943B4BA94A8E}"/>
    <cellStyle name="Output 2 3 3 2 5 3" xfId="29253" xr:uid="{A452FD15-AB14-4F58-B930-DC6817BB48ED}"/>
    <cellStyle name="Output 2 3 3 2 5 3 2" xfId="36098" xr:uid="{22741B8B-7720-4449-B165-E8DB36471B88}"/>
    <cellStyle name="Output 2 3 3 2 5 4" xfId="31335" xr:uid="{EF751C28-A2B6-49CF-B1E5-0ADAC850A6C5}"/>
    <cellStyle name="Output 2 3 3 2 6" xfId="24711" xr:uid="{BFD50424-6FCC-4C75-BBB2-4B9441EC1149}"/>
    <cellStyle name="Output 2 3 3 2 6 2" xfId="27359" xr:uid="{48E0C5C3-40EA-48E0-9526-B364BC9018CC}"/>
    <cellStyle name="Output 2 3 3 2 6 2 2" xfId="34203" xr:uid="{56A94E77-2A9C-44AE-BF4F-96ACEB9A5922}"/>
    <cellStyle name="Output 2 3 3 2 6 3" xfId="29439" xr:uid="{D4A2D4C2-8816-4DCE-AF8F-B696B88C09AA}"/>
    <cellStyle name="Output 2 3 3 2 6 3 2" xfId="36284" xr:uid="{AEE78AE9-3611-46B5-BC6C-196626CE5879}"/>
    <cellStyle name="Output 2 3 3 2 6 4" xfId="31521" xr:uid="{DEC123F7-0E6B-4831-9CC8-B805C11CE97B}"/>
    <cellStyle name="Output 2 3 3 2 7" xfId="24196" xr:uid="{BCA08DA7-C935-4714-A92E-755877C418AE}"/>
    <cellStyle name="Output 2 3 3 2 7 2" xfId="26806" xr:uid="{88AB692C-C355-459C-B16C-EA7FE4C3EB26}"/>
    <cellStyle name="Output 2 3 3 2 7 2 2" xfId="33646" xr:uid="{AD372495-7D07-400E-B7BA-D41BC132D192}"/>
    <cellStyle name="Output 2 3 3 2 7 3" xfId="28882" xr:uid="{42EBBD95-6630-4DC0-8D69-A8A4913D5F0B}"/>
    <cellStyle name="Output 2 3 3 2 7 3 2" xfId="35727" xr:uid="{E5B9EEEA-FC8C-49EB-9C78-E8640E266246}"/>
    <cellStyle name="Output 2 3 3 2 7 4" xfId="30964" xr:uid="{47DF074A-1368-4D02-A86A-5B2A7297A226}"/>
    <cellStyle name="Output 2 3 3 2 8" xfId="25279" xr:uid="{40DB82B5-3ED3-418D-A1E8-9A126A1AFDCC}"/>
    <cellStyle name="Output 2 3 3 2 8 2" xfId="27950" xr:uid="{C507F6D0-C287-4CBD-9625-36E778E42F50}"/>
    <cellStyle name="Output 2 3 3 2 8 2 2" xfId="34795" xr:uid="{FD86A5BB-8EEA-413F-84EB-91FE51D40D41}"/>
    <cellStyle name="Output 2 3 3 2 8 3" xfId="30031" xr:uid="{7390190D-E5A8-4989-8313-959821D653C7}"/>
    <cellStyle name="Output 2 3 3 2 8 3 2" xfId="36876" xr:uid="{C26E93BA-A7CD-4CD7-B34B-D2F5B990C0BC}"/>
    <cellStyle name="Output 2 3 3 2 8 4" xfId="32113" xr:uid="{F8B8A3BA-14BF-471F-AE3E-B1D77A7E9FBC}"/>
    <cellStyle name="Output 2 3 3 2 9" xfId="24511" xr:uid="{72B46A43-B8C6-4BA6-BA07-C231377DA857}"/>
    <cellStyle name="Output 2 3 3 2 9 2" xfId="27120" xr:uid="{46C449A1-0EA0-4772-861E-B00F0D7F5674}"/>
    <cellStyle name="Output 2 3 3 2 9 2 2" xfId="33960" xr:uid="{E47A7077-775C-4929-A841-1FC884CA6FA4}"/>
    <cellStyle name="Output 2 3 3 2 9 3" xfId="29196" xr:uid="{BD79F30A-ED18-40AD-92DC-1A32D196B76B}"/>
    <cellStyle name="Output 2 3 3 2 9 3 2" xfId="36041" xr:uid="{819DBB9F-A02E-4D85-932F-DC20EBA538ED}"/>
    <cellStyle name="Output 2 3 3 2 9 4" xfId="31278" xr:uid="{3170435D-477D-4295-937F-EE94A72C2D79}"/>
    <cellStyle name="Output 2 3 3 20" xfId="38982" xr:uid="{57719CB3-8ACF-4A8C-9D9B-F422C5FA32D9}"/>
    <cellStyle name="Output 2 3 3 3" xfId="17811" xr:uid="{2491FE54-DA3C-4E3F-B751-27566C876985}"/>
    <cellStyle name="Output 2 3 3 3 10" xfId="25642" xr:uid="{26FD7AD2-51C0-4D52-BCA6-C38786056591}"/>
    <cellStyle name="Output 2 3 3 3 10 2" xfId="28309" xr:uid="{E48BBA2C-12CE-4A3B-865B-4F9A7A1C19E9}"/>
    <cellStyle name="Output 2 3 3 3 10 2 2" xfId="35154" xr:uid="{BF2A7270-F6B9-4F3A-B562-93418A19F1BB}"/>
    <cellStyle name="Output 2 3 3 3 10 3" xfId="30390" xr:uid="{7C5051C7-6C3B-458D-AF8D-BB1CE43EFDB8}"/>
    <cellStyle name="Output 2 3 3 3 10 3 2" xfId="37235" xr:uid="{BED8C628-6E5A-4EE4-AD1C-BF23034FE3C6}"/>
    <cellStyle name="Output 2 3 3 3 10 4" xfId="32472" xr:uid="{929D2F99-50DA-4D47-B5C3-986C14007E07}"/>
    <cellStyle name="Output 2 3 3 3 11" xfId="25747" xr:uid="{03C295AE-7932-4F9B-9F0F-0F8D0780F71F}"/>
    <cellStyle name="Output 2 3 3 3 11 2" xfId="28414" xr:uid="{306ABE75-042A-49C0-812F-AB0C23D3853B}"/>
    <cellStyle name="Output 2 3 3 3 11 2 2" xfId="35259" xr:uid="{E5417544-865C-4E67-9511-842D6B310369}"/>
    <cellStyle name="Output 2 3 3 3 11 3" xfId="30495" xr:uid="{B63EEE9E-EBBA-4796-B074-FAD9C44601C4}"/>
    <cellStyle name="Output 2 3 3 3 11 3 2" xfId="37340" xr:uid="{A81135B2-565F-4216-9089-742F8E87E3D6}"/>
    <cellStyle name="Output 2 3 3 3 11 4" xfId="32577" xr:uid="{4AE2F9D4-C1CF-48D9-9823-00CE7CF9C57D}"/>
    <cellStyle name="Output 2 3 3 3 12" xfId="25821" xr:uid="{EA2F38A6-EDE0-4E97-9E41-3FC83A7416E9}"/>
    <cellStyle name="Output 2 3 3 3 12 2" xfId="28487" xr:uid="{9BBC9D76-80F7-4A50-BC78-F8F5BCC6C26F}"/>
    <cellStyle name="Output 2 3 3 3 12 2 2" xfId="35332" xr:uid="{87962518-4FCB-46C9-8C18-C51BE0B5A6E5}"/>
    <cellStyle name="Output 2 3 3 3 12 3" xfId="30568" xr:uid="{7A9C2213-AC27-4EF4-9FD1-F2F6FECAC3F3}"/>
    <cellStyle name="Output 2 3 3 3 12 3 2" xfId="37413" xr:uid="{3C86C58B-53E5-428D-9D8D-B7BF3C1DE2C8}"/>
    <cellStyle name="Output 2 3 3 3 12 4" xfId="32650" xr:uid="{A2E624C8-3404-4E2C-BC49-481BEDB38350}"/>
    <cellStyle name="Output 2 3 3 3 13" xfId="23793" xr:uid="{EC355147-83B8-46D1-8B28-3FA42111B4FB}"/>
    <cellStyle name="Output 2 3 3 3 13 2" xfId="26406" xr:uid="{744718BD-185D-4C1A-9DB7-FD2D32C44EA2}"/>
    <cellStyle name="Output 2 3 3 3 13 2 2" xfId="33246" xr:uid="{2394B2C9-A9D7-4BC9-AF7B-721844EE7071}"/>
    <cellStyle name="Output 2 3 3 3 13 3" xfId="26276" xr:uid="{34D32252-D6B2-4A29-AC6E-C7CE9FF5472D}"/>
    <cellStyle name="Output 2 3 3 3 13 3 2" xfId="33104" xr:uid="{D6D745D5-31EF-411F-BB9F-E238D8E894E0}"/>
    <cellStyle name="Output 2 3 3 3 13 4" xfId="23398" xr:uid="{57580E83-52E9-4E5F-97DF-544EFC0CFDAD}"/>
    <cellStyle name="Output 2 3 3 3 14" xfId="25953" xr:uid="{9B651FDE-40CF-49C6-8A54-135ED4B8FD03}"/>
    <cellStyle name="Output 2 3 3 3 14 2" xfId="28619" xr:uid="{55B46ED8-C3BA-43AE-A265-0E5DD8BF47C2}"/>
    <cellStyle name="Output 2 3 3 3 14 2 2" xfId="35464" xr:uid="{02FB440B-A859-4D1F-BC73-47FECE8AF551}"/>
    <cellStyle name="Output 2 3 3 3 14 3" xfId="30700" xr:uid="{4C8F2620-902A-4068-8E43-EA7BFF2FB4B1}"/>
    <cellStyle name="Output 2 3 3 3 14 3 2" xfId="37545" xr:uid="{FE8054A4-087D-4E67-A2AC-4256B5D725B8}"/>
    <cellStyle name="Output 2 3 3 3 14 4" xfId="32782" xr:uid="{F15E6204-FD65-4A53-B0E8-349C6F1C375E}"/>
    <cellStyle name="Output 2 3 3 3 15" xfId="26007" xr:uid="{6BB7FADC-7E1A-4E65-A50E-F490769A16C0}"/>
    <cellStyle name="Output 2 3 3 3 15 2" xfId="28673" xr:uid="{6C128F43-85DD-4FF0-A0A0-E0AFA5C34632}"/>
    <cellStyle name="Output 2 3 3 3 15 2 2" xfId="35518" xr:uid="{86D4EF3F-594B-45B2-97F1-4141657ADB74}"/>
    <cellStyle name="Output 2 3 3 3 15 3" xfId="30754" xr:uid="{73BB3FE0-3DED-48DD-BB08-5538F03A74B0}"/>
    <cellStyle name="Output 2 3 3 3 15 3 2" xfId="37599" xr:uid="{2B14B892-4440-47AB-818B-D5A3DD74498A}"/>
    <cellStyle name="Output 2 3 3 3 15 4" xfId="32836" xr:uid="{DBC1716A-411E-4244-82E8-6BFE47A13AB5}"/>
    <cellStyle name="Output 2 3 3 3 16" xfId="23186" xr:uid="{2BFA6949-920E-4340-9370-DE3F7C9482F3}"/>
    <cellStyle name="Output 2 3 3 3 2" xfId="18452" xr:uid="{EA847C40-C96E-4FC4-8A17-576EB7261101}"/>
    <cellStyle name="Output 2 3 3 3 2 10" xfId="20300" xr:uid="{2B396598-636F-4F48-979B-CE03F545D355}"/>
    <cellStyle name="Output 2 3 3 3 2 11" xfId="22030" xr:uid="{D4D10D02-4BE7-439B-99DD-D86642E31339}"/>
    <cellStyle name="Output 2 3 3 3 2 12" xfId="20734" xr:uid="{2DA196A5-25A2-4091-B899-7B3022A5CB55}"/>
    <cellStyle name="Output 2 3 3 3 2 13" xfId="18921" xr:uid="{4BD25EA1-A6C9-45C1-9188-E0FD1BE0AB0A}"/>
    <cellStyle name="Output 2 3 3 3 2 14" xfId="19328" xr:uid="{8991B96A-3184-48EC-B9A5-ED901C703412}"/>
    <cellStyle name="Output 2 3 3 3 2 15" xfId="22610" xr:uid="{1C3D8A43-A7FB-4171-B237-613E87B74773}"/>
    <cellStyle name="Output 2 3 3 3 2 16" xfId="31484" xr:uid="{6FAA88A5-43D4-4A4D-B2F1-521C0A489CC1}"/>
    <cellStyle name="Output 2 3 3 3 2 2" xfId="19924" xr:uid="{0AA81A64-AA9B-49F0-A80D-10F903C465B0}"/>
    <cellStyle name="Output 2 3 3 3 2 2 2" xfId="27322" xr:uid="{89BE0FD6-C01B-490F-A9E0-5AD052950AB6}"/>
    <cellStyle name="Output 2 3 3 3 2 2 3" xfId="34166" xr:uid="{E628710D-BFF0-43B7-B445-1BDB356945C3}"/>
    <cellStyle name="Output 2 3 3 3 2 3" xfId="21074" xr:uid="{27DD4ED9-D874-451A-9692-8F853A399D87}"/>
    <cellStyle name="Output 2 3 3 3 2 3 2" xfId="29402" xr:uid="{80133416-D39C-4A70-AB11-5D295837ECBF}"/>
    <cellStyle name="Output 2 3 3 3 2 3 3" xfId="36247" xr:uid="{1100D1D4-6AD1-41C8-B42E-636125595BCC}"/>
    <cellStyle name="Output 2 3 3 3 2 4" xfId="20086" xr:uid="{40D535B9-68E0-4D16-AC90-BF6B208A1B6C}"/>
    <cellStyle name="Output 2 3 3 3 2 5" xfId="19347" xr:uid="{0976B149-64F9-4CB7-BF4C-90BA9481AEDD}"/>
    <cellStyle name="Output 2 3 3 3 2 6" xfId="18862" xr:uid="{C015C55B-AC8D-4AFB-B96D-8782419D377E}"/>
    <cellStyle name="Output 2 3 3 3 2 7" xfId="19228" xr:uid="{615CF348-6418-4F70-A959-7F7F44E16647}"/>
    <cellStyle name="Output 2 3 3 3 2 8" xfId="19366" xr:uid="{CCE6C64A-800B-4402-BDF2-8FE24857D021}"/>
    <cellStyle name="Output 2 3 3 3 2 9" xfId="19637" xr:uid="{BE09371D-66AC-4EE3-BFA4-21D6FAB3741F}"/>
    <cellStyle name="Output 2 3 3 3 3" xfId="23810" xr:uid="{22B0EB9E-F936-47B1-B8B7-0FF61F7457C1}"/>
    <cellStyle name="Output 2 3 3 3 3 2" xfId="26427" xr:uid="{487A2A90-1545-4B41-87A5-DD38479FBB46}"/>
    <cellStyle name="Output 2 3 3 3 3 2 2" xfId="33267" xr:uid="{AD3938DF-CFF1-4A73-ACB3-83271CD72174}"/>
    <cellStyle name="Output 2 3 3 3 3 3" xfId="26255" xr:uid="{F2D14CF7-B23F-4AA3-B012-073A49F0E9F8}"/>
    <cellStyle name="Output 2 3 3 3 3 3 2" xfId="33083" xr:uid="{478D8530-467F-430C-B99D-43FAB7BA70FE}"/>
    <cellStyle name="Output 2 3 3 3 3 4" xfId="23377" xr:uid="{77F1BFAF-E8AD-4491-9690-2622B842C96C}"/>
    <cellStyle name="Output 2 3 3 3 4" xfId="24488" xr:uid="{93A477A5-99B0-41DF-990E-19E0919624D2}"/>
    <cellStyle name="Output 2 3 3 3 4 2" xfId="27099" xr:uid="{B50CE0B7-2FA0-47BA-860B-8F3756B61B82}"/>
    <cellStyle name="Output 2 3 3 3 4 2 2" xfId="33939" xr:uid="{02586620-AD52-4210-B100-D7194C0C38F7}"/>
    <cellStyle name="Output 2 3 3 3 4 3" xfId="29175" xr:uid="{BA6211BE-A6DE-4647-9BA9-627D26B8C075}"/>
    <cellStyle name="Output 2 3 3 3 4 3 2" xfId="36020" xr:uid="{6139E0CE-12A8-4C5B-87CB-9209D4CC3E1A}"/>
    <cellStyle name="Output 2 3 3 3 4 4" xfId="31257" xr:uid="{58B75C84-25E5-4CBD-A002-8DC26F71475C}"/>
    <cellStyle name="Output 2 3 3 3 5" xfId="25095" xr:uid="{BB791FB7-AD7D-450F-9A24-7917B6C9DF67}"/>
    <cellStyle name="Output 2 3 3 3 5 2" xfId="27767" xr:uid="{89E5688C-645D-4189-943A-CD135E952D2C}"/>
    <cellStyle name="Output 2 3 3 3 5 2 2" xfId="34612" xr:uid="{71DEB9EF-7B64-4442-BEBE-B8E0411AB5FD}"/>
    <cellStyle name="Output 2 3 3 3 5 3" xfId="29848" xr:uid="{C52955A6-D360-4C7E-AC40-75399FADF7BF}"/>
    <cellStyle name="Output 2 3 3 3 5 3 2" xfId="36693" xr:uid="{41B6D689-D8F1-496C-9CB1-568F7294E774}"/>
    <cellStyle name="Output 2 3 3 3 5 4" xfId="31930" xr:uid="{BD049272-44B0-4562-BB6D-31CC2E072F5E}"/>
    <cellStyle name="Output 2 3 3 3 6" xfId="25145" xr:uid="{7A8B6FBA-D3CB-4E16-BD14-F224220FE1AB}"/>
    <cellStyle name="Output 2 3 3 3 6 2" xfId="27817" xr:uid="{59A30A9A-FC36-443D-ABA6-23DADF0A49BD}"/>
    <cellStyle name="Output 2 3 3 3 6 2 2" xfId="34662" xr:uid="{37E8CF9D-0E60-4D23-8677-AA84352BC45D}"/>
    <cellStyle name="Output 2 3 3 3 6 3" xfId="29898" xr:uid="{BE44DB26-4C67-4F82-B36B-27A4F32B6479}"/>
    <cellStyle name="Output 2 3 3 3 6 3 2" xfId="36743" xr:uid="{06503149-0C4E-4F6B-9A83-3F9A54C7B0FC}"/>
    <cellStyle name="Output 2 3 3 3 6 4" xfId="31980" xr:uid="{8B2E36BD-46A0-4578-8C3F-EEA834B254C1}"/>
    <cellStyle name="Output 2 3 3 3 7" xfId="25233" xr:uid="{0240B7DE-0183-43F9-ABA4-B6A351B3E6BC}"/>
    <cellStyle name="Output 2 3 3 3 7 2" xfId="27904" xr:uid="{DB0078C4-9907-44AF-BDF4-10AFF6D70D45}"/>
    <cellStyle name="Output 2 3 3 3 7 2 2" xfId="34749" xr:uid="{7E072F5C-8186-4FF5-8277-8F5A10D2D72B}"/>
    <cellStyle name="Output 2 3 3 3 7 3" xfId="29985" xr:uid="{C245B8F9-657E-42A1-BDC6-64C8DA559A72}"/>
    <cellStyle name="Output 2 3 3 3 7 3 2" xfId="36830" xr:uid="{E63BAB19-FBEE-46B8-9543-76FE35CB6706}"/>
    <cellStyle name="Output 2 3 3 3 7 4" xfId="32067" xr:uid="{F5E06A60-064D-42C0-A2BD-4E53EC61D280}"/>
    <cellStyle name="Output 2 3 3 3 8" xfId="23866" xr:uid="{542C99CE-EF99-42AA-9151-599D8F6D978B}"/>
    <cellStyle name="Output 2 3 3 3 8 2" xfId="26485" xr:uid="{E3FC56C4-712C-45CD-B9B5-FB95865F7FC1}"/>
    <cellStyle name="Output 2 3 3 3 8 2 2" xfId="33325" xr:uid="{B81AFC6E-5153-4CCD-BEDE-7C203FDD825C}"/>
    <cellStyle name="Output 2 3 3 3 8 3" xfId="26198" xr:uid="{CC354D58-D404-45D1-AAA9-765CC4623C19}"/>
    <cellStyle name="Output 2 3 3 3 8 3 2" xfId="33026" xr:uid="{AD43D0E4-2180-4607-A2CD-FAFAD20525D5}"/>
    <cellStyle name="Output 2 3 3 3 8 4" xfId="23159" xr:uid="{A37B0842-3ECE-4085-8837-4F986CFD1F2C}"/>
    <cellStyle name="Output 2 3 3 3 9" xfId="24543" xr:uid="{22152317-81BE-44D1-863A-AD928D1CF601}"/>
    <cellStyle name="Output 2 3 3 3 9 2" xfId="27145" xr:uid="{F6EDE270-BA34-4486-BD44-B42C3135D7FE}"/>
    <cellStyle name="Output 2 3 3 3 9 2 2" xfId="33986" xr:uid="{E4E51F14-AC33-41DE-BB62-36BFDB2B53CA}"/>
    <cellStyle name="Output 2 3 3 3 9 3" xfId="29222" xr:uid="{5D1B86E3-CF5F-4A5F-A744-B38B8BD8236B}"/>
    <cellStyle name="Output 2 3 3 3 9 3 2" xfId="36067" xr:uid="{1CD07C18-59F4-47B7-B092-651DF713A444}"/>
    <cellStyle name="Output 2 3 3 3 9 4" xfId="31304" xr:uid="{11DC39A9-505E-454E-8839-8CD7241EA971}"/>
    <cellStyle name="Output 2 3 3 4" xfId="18224" xr:uid="{65D48D2A-B360-4AF6-B4F1-A6D7C3C31652}"/>
    <cellStyle name="Output 2 3 3 4 10" xfId="19367" xr:uid="{954993FD-8653-49D4-B2A7-5BADB3DA90FB}"/>
    <cellStyle name="Output 2 3 3 4 11" xfId="19078" xr:uid="{FEBC6129-8E3C-4630-9351-466A1F9FF913}"/>
    <cellStyle name="Output 2 3 3 4 12" xfId="22115" xr:uid="{28165577-80E8-4FEA-9006-3856D8E9A7E0}"/>
    <cellStyle name="Output 2 3 3 4 13" xfId="22297" xr:uid="{39C4474F-2811-4CEC-B12C-F5B22F06DA6E}"/>
    <cellStyle name="Output 2 3 3 4 14" xfId="20855" xr:uid="{2653DC7D-F970-4B8C-A9DE-2EBC0078C2AD}"/>
    <cellStyle name="Output 2 3 3 4 15" xfId="22870" xr:uid="{DC98DDE8-54CF-4A5B-BE4C-BE5EB9C98E36}"/>
    <cellStyle name="Output 2 3 3 4 16" xfId="31358" xr:uid="{3195AC61-7B9A-4BEC-A3E0-CFF67FB4F500}"/>
    <cellStyle name="Output 2 3 3 4 2" xfId="21433" xr:uid="{F394B1E4-2FCF-424E-A244-6422431652CF}"/>
    <cellStyle name="Output 2 3 3 4 2 2" xfId="27199" xr:uid="{019C1ACA-996A-4661-8BE6-38A198FAEEB0}"/>
    <cellStyle name="Output 2 3 3 4 2 3" xfId="34040" xr:uid="{BE374C56-1EED-4099-8D21-5DC8A355AB78}"/>
    <cellStyle name="Output 2 3 3 4 3" xfId="19138" xr:uid="{EB31D05B-22C5-4504-A3F9-8C37D8CA0DB9}"/>
    <cellStyle name="Output 2 3 3 4 3 2" xfId="29276" xr:uid="{BD35A1F7-76E0-4ABA-9C02-368A9C337864}"/>
    <cellStyle name="Output 2 3 3 4 3 3" xfId="36121" xr:uid="{E03748AB-955A-4F46-B213-89FEF055BD7C}"/>
    <cellStyle name="Output 2 3 3 4 4" xfId="19044" xr:uid="{18F7A001-84ED-44EC-83A1-283635708ED0}"/>
    <cellStyle name="Output 2 3 3 4 5" xfId="21634" xr:uid="{0D1876AA-7314-4F82-BCC2-2530D7654B9E}"/>
    <cellStyle name="Output 2 3 3 4 6" xfId="20453" xr:uid="{7B865496-40AD-46E0-9392-63DD1AB8ED66}"/>
    <cellStyle name="Output 2 3 3 4 7" xfId="19242" xr:uid="{C6FC0CA1-2F2B-4E1B-868E-29EEAF9EA735}"/>
    <cellStyle name="Output 2 3 3 4 8" xfId="20699" xr:uid="{F7426164-F947-4DD1-B0AA-1085E23C53DB}"/>
    <cellStyle name="Output 2 3 3 4 9" xfId="19897" xr:uid="{764050A7-42E9-4ADA-AD96-10DDEFC5192D}"/>
    <cellStyle name="Output 2 3 3 5" xfId="17540" xr:uid="{8B52416F-E1F8-4892-AF84-DC5DF5653DA0}"/>
    <cellStyle name="Output 2 3 3 5 2" xfId="27129" xr:uid="{8269FC63-714C-432D-A748-5EB38F95AA0B}"/>
    <cellStyle name="Output 2 3 3 5 2 2" xfId="33969" xr:uid="{BF5303DA-4BA1-4EA5-82AE-36AA55D0D717}"/>
    <cellStyle name="Output 2 3 3 5 3" xfId="29205" xr:uid="{53E3CA1D-76A4-4D85-85CE-72AF93EA0A89}"/>
    <cellStyle name="Output 2 3 3 5 3 2" xfId="36050" xr:uid="{BC41D70F-755B-4A7E-9A03-64E11999E4F9}"/>
    <cellStyle name="Output 2 3 3 5 4" xfId="24523" xr:uid="{69B956F5-B4EE-4D9B-B4A0-0DD39C997E10}"/>
    <cellStyle name="Output 2 3 3 5 5" xfId="31287" xr:uid="{24C791A0-494B-4C56-9E53-135EB6BCE1E2}"/>
    <cellStyle name="Output 2 3 3 6" xfId="24300" xr:uid="{FE43D6B5-77A7-4D08-A26B-F3048886105F}"/>
    <cellStyle name="Output 2 3 3 6 2" xfId="26907" xr:uid="{E0FC8140-A622-4957-A7A0-ECD40A305989}"/>
    <cellStyle name="Output 2 3 3 6 2 2" xfId="33747" xr:uid="{B8959ACA-9794-4FF6-81B5-4F54DA30682D}"/>
    <cellStyle name="Output 2 3 3 6 3" xfId="28983" xr:uid="{49ACD88D-4513-46FF-87F5-A2769CDFA071}"/>
    <cellStyle name="Output 2 3 3 6 3 2" xfId="35828" xr:uid="{264EDFE5-6098-4B79-B84F-81D4E31D52D7}"/>
    <cellStyle name="Output 2 3 3 6 4" xfId="31065" xr:uid="{6AD2298A-52BC-40C4-8FE1-C1F645EA1E96}"/>
    <cellStyle name="Output 2 3 3 7" xfId="24696" xr:uid="{645C53C9-ADB2-4C08-B56B-C2D66881AB33}"/>
    <cellStyle name="Output 2 3 3 7 2" xfId="27316" xr:uid="{8BB2B3F0-8C68-4336-B852-D5B34029E27C}"/>
    <cellStyle name="Output 2 3 3 7 2 2" xfId="34160" xr:uid="{BB70A371-4888-4CA8-BF4F-B30E7CF301CC}"/>
    <cellStyle name="Output 2 3 3 7 3" xfId="29396" xr:uid="{02C486C5-D02A-4292-A48E-94E631F7B188}"/>
    <cellStyle name="Output 2 3 3 7 3 2" xfId="36241" xr:uid="{3427EEC9-142A-4DDB-815A-9161394D7B2E}"/>
    <cellStyle name="Output 2 3 3 7 4" xfId="31478" xr:uid="{89480BB8-E03E-4B5B-B3B6-56A5E4962CD2}"/>
    <cellStyle name="Output 2 3 3 8" xfId="24183" xr:uid="{30EB390D-D751-4A8D-9FF1-EA6EC15CE827}"/>
    <cellStyle name="Output 2 3 3 8 2" xfId="26793" xr:uid="{FAEC33E5-C171-4F21-8F7F-43F33C072D2B}"/>
    <cellStyle name="Output 2 3 3 8 2 2" xfId="33633" xr:uid="{E7D39008-88DB-4617-A6F6-AF9ABBBA7474}"/>
    <cellStyle name="Output 2 3 3 8 3" xfId="28869" xr:uid="{0CD184C3-5735-4C84-B32E-927DA0F31144}"/>
    <cellStyle name="Output 2 3 3 8 3 2" xfId="35714" xr:uid="{CAB806CA-0FFA-48F8-842B-DF5C77263D08}"/>
    <cellStyle name="Output 2 3 3 8 4" xfId="30951" xr:uid="{3290A48C-6AC9-41F9-A071-830F60B7A7D7}"/>
    <cellStyle name="Output 2 3 3 9" xfId="25363" xr:uid="{D863CE02-C7F1-43FD-A519-7293A9D25C42}"/>
    <cellStyle name="Output 2 3 3 9 2" xfId="28030" xr:uid="{20AC9752-3268-4221-8FC9-E5A8B56AD29E}"/>
    <cellStyle name="Output 2 3 3 9 2 2" xfId="34875" xr:uid="{BA44AC3A-A866-4EF2-94D5-45F792B94AE9}"/>
    <cellStyle name="Output 2 3 3 9 3" xfId="30111" xr:uid="{8D213E03-0D7C-448D-8441-51252B5FB5E9}"/>
    <cellStyle name="Output 2 3 3 9 3 2" xfId="36956" xr:uid="{0C14512D-2021-44FB-ADDE-C2FBA7CE2F49}"/>
    <cellStyle name="Output 2 3 3 9 4" xfId="32193" xr:uid="{DAF8ABDD-DC17-40C3-A51A-3BA7889A3ABA}"/>
    <cellStyle name="Output 2 3 4" xfId="4948" xr:uid="{00000000-0005-0000-0000-000079130000}"/>
    <cellStyle name="Output 2 3 4 10" xfId="25335" xr:uid="{E43F4874-9B2E-4EF6-8B57-31EFB59C43D3}"/>
    <cellStyle name="Output 2 3 4 10 2" xfId="28003" xr:uid="{9D7E9CCB-895D-4B84-840C-4B1A09953DD5}"/>
    <cellStyle name="Output 2 3 4 10 2 2" xfId="34848" xr:uid="{7F6C6514-259B-4407-BBF8-DA1B9B436ABB}"/>
    <cellStyle name="Output 2 3 4 10 3" xfId="30084" xr:uid="{099A414C-3444-40F0-83BB-07936F05B264}"/>
    <cellStyle name="Output 2 3 4 10 3 2" xfId="36929" xr:uid="{22FB5547-C52D-4952-AA92-155604B33B45}"/>
    <cellStyle name="Output 2 3 4 10 4" xfId="32166" xr:uid="{691D1C80-9919-4851-918C-5CD1B0C059CE}"/>
    <cellStyle name="Output 2 3 4 11" xfId="25445" xr:uid="{535D6390-454B-49F8-BED0-A0C3ECAD6A62}"/>
    <cellStyle name="Output 2 3 4 11 2" xfId="28112" xr:uid="{706C50B2-D6A4-435A-94B6-7914AAE781A9}"/>
    <cellStyle name="Output 2 3 4 11 2 2" xfId="34957" xr:uid="{3AA0F459-73D2-4098-BAAF-8A97AC513061}"/>
    <cellStyle name="Output 2 3 4 11 3" xfId="30193" xr:uid="{99286951-82C5-4D89-86E4-F32B29FB2D15}"/>
    <cellStyle name="Output 2 3 4 11 3 2" xfId="37038" xr:uid="{31616AA4-802D-4E96-8422-BE8A2882A698}"/>
    <cellStyle name="Output 2 3 4 11 4" xfId="32275" xr:uid="{6A7B6BEA-18F7-4971-92CD-045BB4DFB149}"/>
    <cellStyle name="Output 2 3 4 12" xfId="24693" xr:uid="{202AE701-4B78-4024-B9FE-B9C3ADCD6176}"/>
    <cellStyle name="Output 2 3 4 12 2" xfId="27312" xr:uid="{40F11E4A-E2DE-46FC-991E-3A636A56405F}"/>
    <cellStyle name="Output 2 3 4 12 2 2" xfId="34156" xr:uid="{40EAB90D-93A5-4B3B-8ED4-F152922CA77E}"/>
    <cellStyle name="Output 2 3 4 12 3" xfId="29392" xr:uid="{F68F5BBE-B3CD-45F6-854E-B5B70ADE5C12}"/>
    <cellStyle name="Output 2 3 4 12 3 2" xfId="36237" xr:uid="{6C066664-FB63-4033-8304-B97994B7BC5B}"/>
    <cellStyle name="Output 2 3 4 12 4" xfId="31474" xr:uid="{37FDECB7-3830-4C9D-B939-FF6C6A010FDE}"/>
    <cellStyle name="Output 2 3 4 13" xfId="24029" xr:uid="{C0B4C54F-1832-47F6-B732-F9C83157A424}"/>
    <cellStyle name="Output 2 3 4 13 2" xfId="26643" xr:uid="{932991DE-F79F-44C2-B9ED-902B8DDE843E}"/>
    <cellStyle name="Output 2 3 4 13 2 2" xfId="33483" xr:uid="{0516A5B2-4A8F-4E46-BAFB-8A02663E82E0}"/>
    <cellStyle name="Output 2 3 4 13 3" xfId="28719" xr:uid="{2B536E69-EABF-4399-888E-0261B592D3AE}"/>
    <cellStyle name="Output 2 3 4 13 3 2" xfId="35564" xr:uid="{F89A0A4B-2830-4DF6-90DE-CD7D65B5E5E5}"/>
    <cellStyle name="Output 2 3 4 13 4" xfId="30801" xr:uid="{FBB490D2-2C9B-4B53-A039-35C3770BB530}"/>
    <cellStyle name="Output 2 3 4 14" xfId="25730" xr:uid="{3563109C-5154-479E-AEDE-DC3C858451E0}"/>
    <cellStyle name="Output 2 3 4 14 2" xfId="28397" xr:uid="{0462266A-4DE8-4AD8-9715-DC41A8A56D0A}"/>
    <cellStyle name="Output 2 3 4 14 2 2" xfId="35242" xr:uid="{6E6FD7F6-1EBF-4F28-AADB-BAB66ED57730}"/>
    <cellStyle name="Output 2 3 4 14 3" xfId="30478" xr:uid="{D252649D-607E-48C3-A1E8-ABE68F0F72C1}"/>
    <cellStyle name="Output 2 3 4 14 3 2" xfId="37323" xr:uid="{E4152B0D-A4C3-4860-8948-6A8898527ADF}"/>
    <cellStyle name="Output 2 3 4 14 4" xfId="32560" xr:uid="{4951D573-A756-4F2E-81E8-A157B602E44D}"/>
    <cellStyle name="Output 2 3 4 15" xfId="25678" xr:uid="{AD30DD71-8032-4D42-AC30-2420DE18956E}"/>
    <cellStyle name="Output 2 3 4 15 2" xfId="28345" xr:uid="{BA0C8AA1-6B86-4362-ADE8-25010C563427}"/>
    <cellStyle name="Output 2 3 4 15 2 2" xfId="35190" xr:uid="{F1BA7283-CF16-43D6-AC80-D85609FD063D}"/>
    <cellStyle name="Output 2 3 4 15 3" xfId="30426" xr:uid="{43189C68-31F3-4ABE-94AA-F312B97471DB}"/>
    <cellStyle name="Output 2 3 4 15 3 2" xfId="37271" xr:uid="{E61FC899-0E17-4C58-AF4A-9E2AFD9B08C7}"/>
    <cellStyle name="Output 2 3 4 15 4" xfId="32508" xr:uid="{596F02FE-1F3F-4144-A250-415577209CCB}"/>
    <cellStyle name="Output 2 3 4 16" xfId="23608" xr:uid="{FEA26007-DFBC-4D7D-ABCC-F9054440F8F5}"/>
    <cellStyle name="Output 2 3 4 17" xfId="16284" xr:uid="{540AF899-B510-4C05-AE28-E24BEF32E759}"/>
    <cellStyle name="Output 2 3 4 18" xfId="38983" xr:uid="{420888F5-F698-4593-88CB-178237784F65}"/>
    <cellStyle name="Output 2 3 4 2" xfId="10470" xr:uid="{00000000-0005-0000-0000-0000C4200000}"/>
    <cellStyle name="Output 2 3 4 2 10" xfId="21195" xr:uid="{2DDD6915-CB4B-4770-9915-D63F5FE424C1}"/>
    <cellStyle name="Output 2 3 4 2 11" xfId="20787" xr:uid="{974748FE-4938-4648-A91F-E102C818B9E1}"/>
    <cellStyle name="Output 2 3 4 2 12" xfId="22810" xr:uid="{5EE517A7-8DA0-424F-8351-F46ED40E188F}"/>
    <cellStyle name="Output 2 3 4 2 13" xfId="21300" xr:uid="{3E5D7FAE-2F3F-4F4A-A3AF-E4D6DDA7498E}"/>
    <cellStyle name="Output 2 3 4 2 14" xfId="22945" xr:uid="{576C7983-6BE3-4CDC-BCCE-F6F12C76AFD4}"/>
    <cellStyle name="Output 2 3 4 2 15" xfId="22996" xr:uid="{840C6BD0-F103-42E7-A7F7-14EEF9B5CFC9}"/>
    <cellStyle name="Output 2 3 4 2 16" xfId="31402" xr:uid="{EFE7F3C8-032D-416E-81DF-40C6773BC23E}"/>
    <cellStyle name="Output 2 3 4 2 17" xfId="18767" xr:uid="{33680131-ED5F-44C1-9654-7964CE6A9824}"/>
    <cellStyle name="Output 2 3 4 2 18" xfId="42959" xr:uid="{210ABADE-DD93-4783-B03F-3518802FD393}"/>
    <cellStyle name="Output 2 3 4 2 2" xfId="19778" xr:uid="{68F7698F-87CC-4E08-9B8A-CDFADF30A48F}"/>
    <cellStyle name="Output 2 3 4 2 2 2" xfId="27241" xr:uid="{88F56F60-4E2C-4A69-ABD4-16E6819BB0FB}"/>
    <cellStyle name="Output 2 3 4 2 2 3" xfId="34084" xr:uid="{1FD7CF9F-2070-4223-A7AB-28E44703E1C2}"/>
    <cellStyle name="Output 2 3 4 2 3" xfId="20513" xr:uid="{5B7258F7-447D-4434-A966-CE6037E83D99}"/>
    <cellStyle name="Output 2 3 4 2 3 2" xfId="29320" xr:uid="{427FD6FA-86D8-497F-9BD8-1361567A9984}"/>
    <cellStyle name="Output 2 3 4 2 3 3" xfId="36165" xr:uid="{BA000E6C-6DBC-49FB-A082-734C1C8D3703}"/>
    <cellStyle name="Output 2 3 4 2 4" xfId="21042" xr:uid="{6B6D0D37-5B45-4475-8125-D529B0F1C132}"/>
    <cellStyle name="Output 2 3 4 2 5" xfId="22053" xr:uid="{994D679F-DBDF-4011-9B32-6E6476AF2736}"/>
    <cellStyle name="Output 2 3 4 2 6" xfId="21750" xr:uid="{D95F9B0E-D13D-4CFC-B220-257ADCAD62C9}"/>
    <cellStyle name="Output 2 3 4 2 7" xfId="21181" xr:uid="{3CA901DC-682F-4F09-9399-3AD29A68B25B}"/>
    <cellStyle name="Output 2 3 4 2 8" xfId="20403" xr:uid="{6C099D21-AB3A-465A-ABDC-98A07553E3ED}"/>
    <cellStyle name="Output 2 3 4 2 9" xfId="22564" xr:uid="{A4D8727A-CDDE-4E9D-BB34-428620910A8E}"/>
    <cellStyle name="Output 2 3 4 3" xfId="17612" xr:uid="{5FACC26C-E0A9-413C-A69E-4E43BE55B0CC}"/>
    <cellStyle name="Output 2 3 4 3 2" xfId="27040" xr:uid="{7278ED98-7C29-4C81-9085-EAB8E92EFC2E}"/>
    <cellStyle name="Output 2 3 4 3 2 2" xfId="33880" xr:uid="{715AF92D-6AAF-49CF-A040-ADC0D8A2BDD7}"/>
    <cellStyle name="Output 2 3 4 3 3" xfId="29116" xr:uid="{E5BA9D44-E3F4-479D-AB58-90E872E07026}"/>
    <cellStyle name="Output 2 3 4 3 3 2" xfId="35961" xr:uid="{BAEC3149-21E4-4C0A-BF71-860F09388798}"/>
    <cellStyle name="Output 2 3 4 3 4" xfId="24421" xr:uid="{34FD873E-A731-4F14-9774-D11A34E8CF9C}"/>
    <cellStyle name="Output 2 3 4 3 5" xfId="31198" xr:uid="{E64F7DCA-8931-40E5-895B-16334F6DE1A7}"/>
    <cellStyle name="Output 2 3 4 4" xfId="24563" xr:uid="{97F5BEB6-030D-48C4-BF1F-CD6E258F60A0}"/>
    <cellStyle name="Output 2 3 4 4 2" xfId="27164" xr:uid="{B43D39BE-0D7E-4E01-BA43-9BCF49868122}"/>
    <cellStyle name="Output 2 3 4 4 2 2" xfId="34005" xr:uid="{316A60CD-5C5F-43D2-BA49-3FE7E99FD3CF}"/>
    <cellStyle name="Output 2 3 4 4 3" xfId="29241" xr:uid="{D8D0FB29-B1A4-4E43-AD2A-6D40251A8F25}"/>
    <cellStyle name="Output 2 3 4 4 3 2" xfId="36086" xr:uid="{D05B675C-1F70-438F-87A8-2400088D02B9}"/>
    <cellStyle name="Output 2 3 4 4 4" xfId="31323" xr:uid="{07F5E14E-B9BC-4C5E-81AB-3C1F019FD9DE}"/>
    <cellStyle name="Output 2 3 4 5" xfId="24793" xr:uid="{94E5105D-7975-4F93-BCD5-1708234E560E}"/>
    <cellStyle name="Output 2 3 4 5 2" xfId="27446" xr:uid="{5AD6DC0C-EBD1-4E56-8266-8635CCC6E9EE}"/>
    <cellStyle name="Output 2 3 4 5 2 2" xfId="34290" xr:uid="{0C2532BE-CACD-4297-A9A2-978A2599F437}"/>
    <cellStyle name="Output 2 3 4 5 3" xfId="29526" xr:uid="{B5E87E8C-3EAF-4FCE-BA86-7484A3B26F0A}"/>
    <cellStyle name="Output 2 3 4 5 3 2" xfId="36371" xr:uid="{4A27AAB6-9300-447E-B1DC-E9104795547D}"/>
    <cellStyle name="Output 2 3 4 5 4" xfId="31608" xr:uid="{3BB68362-6D6F-4108-8B85-FAFA9D53262A}"/>
    <cellStyle name="Output 2 3 4 6" xfId="25066" xr:uid="{67A3CC30-7C2B-4D47-930D-BBC9EA3B23AF}"/>
    <cellStyle name="Output 2 3 4 6 2" xfId="27738" xr:uid="{61B384F5-B751-4B3F-9A4A-0C11D4B00FAB}"/>
    <cellStyle name="Output 2 3 4 6 2 2" xfId="34583" xr:uid="{39A9A223-400C-446E-92B4-0A142E19DCB9}"/>
    <cellStyle name="Output 2 3 4 6 3" xfId="29819" xr:uid="{E4F437C9-976B-4984-BA02-A63D8FAC97A2}"/>
    <cellStyle name="Output 2 3 4 6 3 2" xfId="36664" xr:uid="{C7E51B48-5645-4A04-AE70-08CADDF3214E}"/>
    <cellStyle name="Output 2 3 4 6 4" xfId="31901" xr:uid="{9C4194E4-89E2-416B-9A5E-DF5B3DD00C40}"/>
    <cellStyle name="Output 2 3 4 7" xfId="25142" xr:uid="{AF32DFFD-1CE9-4F7B-BB2C-3607FA65F469}"/>
    <cellStyle name="Output 2 3 4 7 2" xfId="27814" xr:uid="{81C52CFA-703F-4E10-8276-AB1BA6044FDA}"/>
    <cellStyle name="Output 2 3 4 7 2 2" xfId="34659" xr:uid="{23929650-4101-4E08-9FAA-B8C3B6DC0090}"/>
    <cellStyle name="Output 2 3 4 7 3" xfId="29895" xr:uid="{E3987D2C-8E8A-48CB-9848-252B9185B3FE}"/>
    <cellStyle name="Output 2 3 4 7 3 2" xfId="36740" xr:uid="{A0EAA778-4434-4496-A2D4-A8E10FD023EF}"/>
    <cellStyle name="Output 2 3 4 7 4" xfId="31977" xr:uid="{8815C3CE-14C5-4662-BA75-251DFC13E884}"/>
    <cellStyle name="Output 2 3 4 8" xfId="23899" xr:uid="{55CFDF6E-B92D-4E82-9615-36F0AE3FFAE9}"/>
    <cellStyle name="Output 2 3 4 8 2" xfId="26517" xr:uid="{23D22A42-A9D3-458B-A0DC-391C881EB4CC}"/>
    <cellStyle name="Output 2 3 4 8 2 2" xfId="33357" xr:uid="{99031B3B-03D9-45A0-A7BF-A062C0F6348F}"/>
    <cellStyle name="Output 2 3 4 8 3" xfId="26167" xr:uid="{05E6A828-FD01-4A5A-9440-921BB233F599}"/>
    <cellStyle name="Output 2 3 4 8 3 2" xfId="32995" xr:uid="{50EC09EA-4B49-416D-8C38-73946A46FB73}"/>
    <cellStyle name="Output 2 3 4 8 4" xfId="23289" xr:uid="{6AFB8398-48D6-464A-9882-56B364BB09C6}"/>
    <cellStyle name="Output 2 3 4 9" xfId="23744" xr:uid="{69CFA973-4BEE-497A-ABD2-4330702C5C5E}"/>
    <cellStyle name="Output 2 3 4 9 2" xfId="26355" xr:uid="{A6261E72-A912-4157-A11F-5ABF401E475A}"/>
    <cellStyle name="Output 2 3 4 9 2 2" xfId="33194" xr:uid="{A6BF7E2E-01BC-44FA-9173-399A916A3FEF}"/>
    <cellStyle name="Output 2 3 4 9 3" xfId="26326" xr:uid="{04E4847F-DBEE-49F7-971A-DD1E28EFF7A1}"/>
    <cellStyle name="Output 2 3 4 9 3 2" xfId="33154" xr:uid="{EFC15141-F138-4BF2-8521-01D65DDEF73B}"/>
    <cellStyle name="Output 2 3 4 9 4" xfId="23448" xr:uid="{18D1E836-A238-497F-A55F-60C5137182FF}"/>
    <cellStyle name="Output 2 3 5" xfId="10467" xr:uid="{00000000-0005-0000-0000-0000C1200000}"/>
    <cellStyle name="Output 2 3 5 10" xfId="22304" xr:uid="{3A085E60-AA05-4D29-A566-53DAC2077AB9}"/>
    <cellStyle name="Output 2 3 5 11" xfId="19346" xr:uid="{B363AD46-37E2-490F-A067-EEB3D86123DD}"/>
    <cellStyle name="Output 2 3 5 12" xfId="18932" xr:uid="{B31C14ED-96E7-4A22-857D-6333240EF7A7}"/>
    <cellStyle name="Output 2 3 5 13" xfId="19250" xr:uid="{41B8D547-4792-4759-B8CD-941EC8F6F7A1}"/>
    <cellStyle name="Output 2 3 5 14" xfId="22450" xr:uid="{879BE54D-741A-4836-95A3-3E81A9871F18}"/>
    <cellStyle name="Output 2 3 5 15" xfId="20228" xr:uid="{BF2A3937-BF86-4C1E-A8B2-F202B4ECAF23}"/>
    <cellStyle name="Output 2 3 5 16" xfId="23462" xr:uid="{96AFAB72-305D-49F3-A977-2225F4E1C3E6}"/>
    <cellStyle name="Output 2 3 5 17" xfId="18222" xr:uid="{42123D16-A6C4-4A19-B5AD-42B9FCBA7B91}"/>
    <cellStyle name="Output 2 3 5 18" xfId="42956" xr:uid="{5BE3EB8E-5F62-4261-9AF3-218D4CD0DCB8}"/>
    <cellStyle name="Output 2 3 5 2" xfId="20326" xr:uid="{5E026292-7660-4511-B06F-D0E9D649A283}"/>
    <cellStyle name="Output 2 3 5 2 2" xfId="26350" xr:uid="{2AAD7A5F-E7D1-4E18-99C9-6EB13AF36680}"/>
    <cellStyle name="Output 2 3 5 2 3" xfId="33187" xr:uid="{8CAAD90E-81B3-4E27-913C-097206185A6C}"/>
    <cellStyle name="Output 2 3 5 3" xfId="19140" xr:uid="{1D81D1B0-5DD4-42F0-948A-8B38CE375893}"/>
    <cellStyle name="Output 2 3 5 3 2" xfId="26065" xr:uid="{E731216F-4833-43A6-A597-A78C58156A87}"/>
    <cellStyle name="Output 2 3 5 3 3" xfId="32893" xr:uid="{90B71551-8C42-4886-BBAB-2C5B62FB33A9}"/>
    <cellStyle name="Output 2 3 5 4" xfId="19904" xr:uid="{87A06027-70E0-4BB7-86CA-F2CA13A793D6}"/>
    <cellStyle name="Output 2 3 5 5" xfId="21294" xr:uid="{94621476-DFF1-4C47-B852-34A6D043FD00}"/>
    <cellStyle name="Output 2 3 5 6" xfId="19658" xr:uid="{B195D9A0-BBE9-4F23-8790-96FAE32EF084}"/>
    <cellStyle name="Output 2 3 5 7" xfId="20625" xr:uid="{12A9E986-825C-4337-B223-329E12210682}"/>
    <cellStyle name="Output 2 3 5 8" xfId="21791" xr:uid="{6E5F99B1-C262-400B-98CB-5423F1443EB0}"/>
    <cellStyle name="Output 2 3 5 9" xfId="22356" xr:uid="{94D0EC44-2467-4550-AA50-805702B92C5A}"/>
    <cellStyle name="Output 2 3 6" xfId="8293" xr:uid="{00000000-0005-0000-0000-0000B30F0000}"/>
    <cellStyle name="Output 2 3 6 10" xfId="37779" xr:uid="{55B510DD-E213-4B45-BD16-7D15F53F2028}"/>
    <cellStyle name="Output 2 3 6 11" xfId="48032" xr:uid="{E0CB585C-4A44-41E6-9523-7A9628A142E3}"/>
    <cellStyle name="Output 2 3 6 2" xfId="26446" xr:uid="{CEED4BE2-F389-45B1-8D65-9B1DEA9788E0}"/>
    <cellStyle name="Output 2 3 6 2 2" xfId="33286" xr:uid="{7527B29F-666F-4FCD-A89B-42170547DBD3}"/>
    <cellStyle name="Output 2 3 6 3" xfId="26058" xr:uid="{2BFD2682-496A-45D8-8367-1663E4CE29A6}"/>
    <cellStyle name="Output 2 3 6 3 2" xfId="32887" xr:uid="{B110964D-99DB-4106-B17F-638097A0D27D}"/>
    <cellStyle name="Output 2 3 6 4" xfId="23827" xr:uid="{74FD81E4-8080-4749-B343-C6D1E298588A}"/>
    <cellStyle name="Output 2 3 6 5" xfId="23359" xr:uid="{2192A1D1-27F2-4B3E-8B28-2E5D6C71C22A}"/>
    <cellStyle name="Output 2 3 6 6" xfId="17403" xr:uid="{5715C9C6-6015-4CFC-A503-947FE93C79ED}"/>
    <cellStyle name="Output 2 3 6 7" xfId="41085" xr:uid="{61343F64-7BBA-4EE6-A242-39B80E72E3C3}"/>
    <cellStyle name="Output 2 3 6 8" xfId="47213" xr:uid="{64490520-FA0E-4C2B-AF4A-B709812E26E6}"/>
    <cellStyle name="Output 2 3 6 9" xfId="48913" xr:uid="{B30CFCDA-049C-44D2-A3AA-E2EF7AD0F832}"/>
    <cellStyle name="Output 2 3 7" xfId="24992" xr:uid="{C4A3104B-4327-4598-A524-EA298C1EC062}"/>
    <cellStyle name="Output 2 3 7 2" xfId="27662" xr:uid="{9ADEAFE8-39A4-4E4D-974F-1191F7F43374}"/>
    <cellStyle name="Output 2 3 7 2 2" xfId="34507" xr:uid="{B68250AC-C385-4793-9181-D68D7FA0D822}"/>
    <cellStyle name="Output 2 3 7 3" xfId="29743" xr:uid="{A56AC81E-0361-4BAA-B844-FC19DC350363}"/>
    <cellStyle name="Output 2 3 7 3 2" xfId="36588" xr:uid="{5A615913-7F65-4604-9AC4-BD7D86158DEA}"/>
    <cellStyle name="Output 2 3 7 4" xfId="31825" xr:uid="{FCDB56CB-E076-43BC-A967-9E3C567A6923}"/>
    <cellStyle name="Output 2 3 8" xfId="25003" xr:uid="{10243C9B-97C2-4BF3-A455-89E82014D707}"/>
    <cellStyle name="Output 2 3 8 2" xfId="27675" xr:uid="{92E03FBD-79EA-48B6-927D-A729A2EFC643}"/>
    <cellStyle name="Output 2 3 8 2 2" xfId="34520" xr:uid="{F388B554-165A-4FCF-B400-603D8B04A5BE}"/>
    <cellStyle name="Output 2 3 8 3" xfId="29756" xr:uid="{05F26F55-BBD6-406A-96E2-302993223E4F}"/>
    <cellStyle name="Output 2 3 8 3 2" xfId="36601" xr:uid="{6A947729-32CA-4DFE-BD7F-477CD74105FD}"/>
    <cellStyle name="Output 2 3 8 4" xfId="31838" xr:uid="{1EC2EF3D-D6E1-45DE-B750-97CEA5B01C93}"/>
    <cellStyle name="Output 2 3 9" xfId="24310" xr:uid="{7D555A13-04D0-42BA-AF71-C4D471C2DC1B}"/>
    <cellStyle name="Output 2 3 9 2" xfId="26916" xr:uid="{A3F71266-47F5-46E5-B3A1-65F8A87B3CE3}"/>
    <cellStyle name="Output 2 3 9 2 2" xfId="33756" xr:uid="{1A6E9D70-1E4F-4533-9070-0A2202AF2107}"/>
    <cellStyle name="Output 2 3 9 3" xfId="28992" xr:uid="{6A2F099A-EAF7-459F-81DF-9017187096CF}"/>
    <cellStyle name="Output 2 3 9 3 2" xfId="35837" xr:uid="{324B891B-0928-46E2-BFFA-274342F03CD8}"/>
    <cellStyle name="Output 2 3 9 4" xfId="31074" xr:uid="{D2D3E532-60AC-408B-BD55-99F937C4A960}"/>
    <cellStyle name="Output 2 4" xfId="4949" xr:uid="{00000000-0005-0000-0000-00007A130000}"/>
    <cellStyle name="Output 2 4 10" xfId="24374" xr:uid="{6159E3BA-2520-46DC-82F8-64E91FCF110E}"/>
    <cellStyle name="Output 2 4 10 2" xfId="26985" xr:uid="{A34C1EB0-1C3C-456A-B719-248AFF8FEDDC}"/>
    <cellStyle name="Output 2 4 10 2 2" xfId="33825" xr:uid="{8EB725CB-23B3-4BC9-93C4-A64A39F7C761}"/>
    <cellStyle name="Output 2 4 10 3" xfId="29061" xr:uid="{A306AE13-8200-42CA-9176-2991FF12E6AD}"/>
    <cellStyle name="Output 2 4 10 3 2" xfId="35906" xr:uid="{2D1E64A9-8F1A-4FE8-A973-B174D0828CD0}"/>
    <cellStyle name="Output 2 4 10 4" xfId="31143" xr:uid="{7C165C50-A01A-4752-8A04-A47EB8D122E1}"/>
    <cellStyle name="Output 2 4 11" xfId="24477" xr:uid="{B5B031D0-707D-4EB4-8525-1341245C628A}"/>
    <cellStyle name="Output 2 4 11 2" xfId="27092" xr:uid="{BC98D111-3F7F-43BB-85D2-6DD7E47BDF61}"/>
    <cellStyle name="Output 2 4 11 2 2" xfId="33932" xr:uid="{88F0344A-CCE5-47D9-AF71-0A99E53CAC50}"/>
    <cellStyle name="Output 2 4 11 3" xfId="29168" xr:uid="{A47A6C07-4781-46DB-8FDC-F3E47B730BDB}"/>
    <cellStyle name="Output 2 4 11 3 2" xfId="36013" xr:uid="{12AEE56C-4000-4B5A-884F-5CFA1F7DA1F1}"/>
    <cellStyle name="Output 2 4 11 4" xfId="31250" xr:uid="{D26AD14D-6AF8-4B05-97E6-C6ED78C34F6D}"/>
    <cellStyle name="Output 2 4 12" xfId="25283" xr:uid="{782AB6E9-ECB7-4348-B558-FF5AAB8025B2}"/>
    <cellStyle name="Output 2 4 12 2" xfId="27954" xr:uid="{2C99A258-903E-45D1-A962-34F2EE2A1DA6}"/>
    <cellStyle name="Output 2 4 12 2 2" xfId="34799" xr:uid="{5AC01E13-6533-4550-A61E-26DA207FCC41}"/>
    <cellStyle name="Output 2 4 12 3" xfId="30035" xr:uid="{6398C5AE-0B72-4C79-902E-57331E6CFA7E}"/>
    <cellStyle name="Output 2 4 12 3 2" xfId="36880" xr:uid="{236FC81A-7DC2-452D-9AF3-D6373A1D7CBC}"/>
    <cellStyle name="Output 2 4 12 4" xfId="32117" xr:uid="{C48F78B3-64CD-4E49-9204-29416E2D615F}"/>
    <cellStyle name="Output 2 4 13" xfId="24668" xr:uid="{6D244F2C-2737-4C8E-A648-4192B6D08464}"/>
    <cellStyle name="Output 2 4 13 2" xfId="27281" xr:uid="{D8F01107-9FC7-4F70-9B9D-279AC34BF5A9}"/>
    <cellStyle name="Output 2 4 13 2 2" xfId="34125" xr:uid="{9966D43F-EB69-4EFC-893A-F62709DE52DF}"/>
    <cellStyle name="Output 2 4 13 3" xfId="29361" xr:uid="{5C7A3EBD-F66B-4D4C-B450-D25DB8E407F7}"/>
    <cellStyle name="Output 2 4 13 3 2" xfId="36206" xr:uid="{142C1F3C-8AA9-4AA1-9778-E5F428FA1027}"/>
    <cellStyle name="Output 2 4 13 4" xfId="31443" xr:uid="{82D11CCE-C36F-4E89-BFF9-271BDA435DC6}"/>
    <cellStyle name="Output 2 4 14" xfId="25463" xr:uid="{E2F1987F-59E4-4350-B95A-8C30EE3393C8}"/>
    <cellStyle name="Output 2 4 14 2" xfId="28130" xr:uid="{9CA15562-E427-4030-A7CA-91D3F8BA9D8B}"/>
    <cellStyle name="Output 2 4 14 2 2" xfId="34975" xr:uid="{B2C8A145-092A-49B7-9718-E8FE30805AB8}"/>
    <cellStyle name="Output 2 4 14 3" xfId="30211" xr:uid="{E041EAF8-E074-4358-AC5C-DD1BD9277E19}"/>
    <cellStyle name="Output 2 4 14 3 2" xfId="37056" xr:uid="{A284058F-6D09-43A8-9F24-C192D9499C4C}"/>
    <cellStyle name="Output 2 4 14 4" xfId="32293" xr:uid="{1CEC7280-5DA2-429E-8753-EF362EAF27D6}"/>
    <cellStyle name="Output 2 4 15" xfId="23978" xr:uid="{915DDC0B-4454-4594-AEAF-F552AC4544EC}"/>
    <cellStyle name="Output 2 4 15 2" xfId="26595" xr:uid="{9B6DC20B-30F3-4171-B8B5-6AA2879AF573}"/>
    <cellStyle name="Output 2 4 15 2 2" xfId="33435" xr:uid="{DCCCA1C1-BE49-47F8-8275-A3BE98272454}"/>
    <cellStyle name="Output 2 4 15 3" xfId="26098" xr:uid="{2143269C-D389-4862-A6C3-4A68FC242022}"/>
    <cellStyle name="Output 2 4 15 3 2" xfId="32926" xr:uid="{851EE6A6-DC9C-4354-9C1D-25A7F5057F8B}"/>
    <cellStyle name="Output 2 4 15 4" xfId="23220" xr:uid="{58731997-0B6F-48B6-BFDC-BD6BCABDD9CA}"/>
    <cellStyle name="Output 2 4 16" xfId="23765" xr:uid="{C5C362B4-868C-4330-AED7-B3FE01DA820A}"/>
    <cellStyle name="Output 2 4 16 2" xfId="26376" xr:uid="{ED5FDB5B-61CC-4F91-AA7A-560438C91F7D}"/>
    <cellStyle name="Output 2 4 16 2 2" xfId="33215" xr:uid="{3995A963-CA22-4F11-A3B0-CC725FBCC57C}"/>
    <cellStyle name="Output 2 4 16 3" xfId="26306" xr:uid="{DC51DF97-F01E-4519-814D-02E8BA25827D}"/>
    <cellStyle name="Output 2 4 16 3 2" xfId="33134" xr:uid="{95C67A56-B348-4C87-8A97-E3B0E17FFD93}"/>
    <cellStyle name="Output 2 4 16 4" xfId="23428" xr:uid="{3140DD19-2D0F-4020-8DCD-974FCF5711BB}"/>
    <cellStyle name="Output 2 4 17" xfId="25884" xr:uid="{8C33970C-D94C-4BD1-9E10-3A7BDAE9B33B}"/>
    <cellStyle name="Output 2 4 17 2" xfId="28550" xr:uid="{F0EA7EB8-0EE4-430A-9DA8-76162C43AB17}"/>
    <cellStyle name="Output 2 4 17 2 2" xfId="35395" xr:uid="{8488EF82-A65E-4D8A-B417-45300A8A6501}"/>
    <cellStyle name="Output 2 4 17 3" xfId="30631" xr:uid="{0DE23DA4-882F-429B-8319-EC15B37238D4}"/>
    <cellStyle name="Output 2 4 17 3 2" xfId="37476" xr:uid="{06DE469E-328E-4687-BB20-2C4F3B166D00}"/>
    <cellStyle name="Output 2 4 17 4" xfId="32713" xr:uid="{3645150F-DA5D-4EA1-B954-8E4BD2D74DCE}"/>
    <cellStyle name="Output 2 4 18" xfId="23130" xr:uid="{9E40DD8A-09A7-425B-8869-6ED4C29D8B5E}"/>
    <cellStyle name="Output 2 4 19" xfId="16287" xr:uid="{20B99F5C-557F-4786-8E57-FE6F4B4B0A3A}"/>
    <cellStyle name="Output 2 4 2" xfId="4950" xr:uid="{00000000-0005-0000-0000-00007B130000}"/>
    <cellStyle name="Output 2 4 2 10" xfId="24883" xr:uid="{25A2DE89-9796-402F-9723-EDE28583DFB9}"/>
    <cellStyle name="Output 2 4 2 10 2" xfId="27550" xr:uid="{4297C872-C6E2-4402-865F-2749F9DCDE35}"/>
    <cellStyle name="Output 2 4 2 10 2 2" xfId="34394" xr:uid="{A7C0F7A5-1DEA-4F3F-8019-3F653EC471ED}"/>
    <cellStyle name="Output 2 4 2 10 3" xfId="29630" xr:uid="{E79E7FF0-59D6-405E-9974-CBD5DC434A91}"/>
    <cellStyle name="Output 2 4 2 10 3 2" xfId="36475" xr:uid="{79342C68-CAF5-4151-9C50-58C4974E044B}"/>
    <cellStyle name="Output 2 4 2 10 4" xfId="31712" xr:uid="{8356F183-83B5-4DE1-A87F-9303DF6A4422}"/>
    <cellStyle name="Output 2 4 2 11" xfId="24269" xr:uid="{72C8FFFB-3E4F-4E8E-9A6E-228EA850BC12}"/>
    <cellStyle name="Output 2 4 2 11 2" xfId="26876" xr:uid="{2DECEFD0-B555-4C45-8615-9BDB2F99CF9A}"/>
    <cellStyle name="Output 2 4 2 11 2 2" xfId="33716" xr:uid="{71E4CC26-FCFB-4696-BEC3-FA975EC7E03A}"/>
    <cellStyle name="Output 2 4 2 11 3" xfId="28952" xr:uid="{E78CBAFA-B253-4F4D-B73C-0A58AE6F6979}"/>
    <cellStyle name="Output 2 4 2 11 3 2" xfId="35797" xr:uid="{8CDB1873-9CB1-45C7-A442-4BED673C7B6A}"/>
    <cellStyle name="Output 2 4 2 11 4" xfId="31034" xr:uid="{C2B4675A-58FA-4660-A16B-1DF9E0BB1932}"/>
    <cellStyle name="Output 2 4 2 12" xfId="24153" xr:uid="{D6D3A566-A279-4D8E-9669-5A85346928D6}"/>
    <cellStyle name="Output 2 4 2 12 2" xfId="26765" xr:uid="{E857F295-42CB-4A88-87C1-D2B826FE45DD}"/>
    <cellStyle name="Output 2 4 2 12 2 2" xfId="33605" xr:uid="{8F7720D3-21D4-41D1-AFBB-B9AB12B990BA}"/>
    <cellStyle name="Output 2 4 2 12 3" xfId="28841" xr:uid="{E8FBBE79-CEC0-4501-9C2C-523A201D1192}"/>
    <cellStyle name="Output 2 4 2 12 3 2" xfId="35686" xr:uid="{CD95B659-F29D-4A85-A475-4C5DD642901B}"/>
    <cellStyle name="Output 2 4 2 12 4" xfId="30923" xr:uid="{F5EAFCB8-2D5D-4DE5-9A71-DE6AB291F303}"/>
    <cellStyle name="Output 2 4 2 13" xfId="25532" xr:uid="{106E3D93-F6DC-4E86-8E21-4AFFBBE29216}"/>
    <cellStyle name="Output 2 4 2 13 2" xfId="28199" xr:uid="{E8F56746-A51C-49B5-A488-41655D2EC52A}"/>
    <cellStyle name="Output 2 4 2 13 2 2" xfId="35044" xr:uid="{688428C7-8334-49B6-A36F-0EDF6A2801D5}"/>
    <cellStyle name="Output 2 4 2 13 3" xfId="30280" xr:uid="{B1524750-F33F-4C4A-8782-2E8D27383E8C}"/>
    <cellStyle name="Output 2 4 2 13 3 2" xfId="37125" xr:uid="{B8BB6F04-513F-42E6-A176-D3157D3BEE2E}"/>
    <cellStyle name="Output 2 4 2 13 4" xfId="32362" xr:uid="{8418E94C-858F-493C-A48E-2D488A073738}"/>
    <cellStyle name="Output 2 4 2 14" xfId="25877" xr:uid="{406DB20C-49FD-4594-AB4D-6ACD5142EC7F}"/>
    <cellStyle name="Output 2 4 2 14 2" xfId="28543" xr:uid="{164E013E-465E-4D6A-9699-AA21250A29C2}"/>
    <cellStyle name="Output 2 4 2 14 2 2" xfId="35388" xr:uid="{6842B24A-EF42-4B33-B942-FF17C6DF1CB0}"/>
    <cellStyle name="Output 2 4 2 14 3" xfId="30624" xr:uid="{D6B3D90A-42BD-4EC1-8C66-43E2FC56C312}"/>
    <cellStyle name="Output 2 4 2 14 3 2" xfId="37469" xr:uid="{82DDBA66-D8C1-4EB3-9C48-8D8D45E79500}"/>
    <cellStyle name="Output 2 4 2 14 4" xfId="32706" xr:uid="{F9EA9501-568E-4C84-A277-61F6190CE8B2}"/>
    <cellStyle name="Output 2 4 2 15" xfId="25906" xr:uid="{E7815B8B-AEAC-4E65-9948-FD42E883C492}"/>
    <cellStyle name="Output 2 4 2 15 2" xfId="28572" xr:uid="{D7A81E55-E8BB-4A43-83E1-762499B2DC1E}"/>
    <cellStyle name="Output 2 4 2 15 2 2" xfId="35417" xr:uid="{BC48CD0A-A1BB-4AE2-A0D9-DD251D704443}"/>
    <cellStyle name="Output 2 4 2 15 3" xfId="30653" xr:uid="{FD657DB0-5D50-474B-A02D-E190194FCB26}"/>
    <cellStyle name="Output 2 4 2 15 3 2" xfId="37498" xr:uid="{61BBB4F7-9FD6-4427-82A0-F60DAAF98B1C}"/>
    <cellStyle name="Output 2 4 2 15 4" xfId="32735" xr:uid="{4361E369-BD1D-4595-835D-029AD2796605}"/>
    <cellStyle name="Output 2 4 2 16" xfId="23065" xr:uid="{6D48336E-2C12-4883-A50C-31293C313FA3}"/>
    <cellStyle name="Output 2 4 2 17" xfId="16288" xr:uid="{EEE21310-B659-43CF-9DA4-138EBDD19CBD}"/>
    <cellStyle name="Output 2 4 2 18" xfId="38985" xr:uid="{322FB463-D244-4072-8423-8F3B867ECA24}"/>
    <cellStyle name="Output 2 4 2 2" xfId="10472" xr:uid="{00000000-0005-0000-0000-0000C6200000}"/>
    <cellStyle name="Output 2 4 2 2 10" xfId="22285" xr:uid="{05DF8C2A-8A1A-4F4B-96FE-AC5FDF7F472F}"/>
    <cellStyle name="Output 2 4 2 2 11" xfId="21980" xr:uid="{7813FE97-5C1E-4B22-A0D5-CF2E66511F90}"/>
    <cellStyle name="Output 2 4 2 2 12" xfId="21892" xr:uid="{AA37B78E-9AB7-46CF-851B-6733188BAD51}"/>
    <cellStyle name="Output 2 4 2 2 13" xfId="22460" xr:uid="{292AA96B-8EFF-4E2A-BD40-AC8EF02289A7}"/>
    <cellStyle name="Output 2 4 2 2 14" xfId="20977" xr:uid="{CAB02DE4-708E-4843-B139-EDDE16D08ECB}"/>
    <cellStyle name="Output 2 4 2 2 15" xfId="22736" xr:uid="{BDD55D8F-EB3A-463B-8D1D-36BE4F47E6E6}"/>
    <cellStyle name="Output 2 4 2 2 16" xfId="31434" xr:uid="{97815654-BD9C-49B4-8A65-F04078CDE5FB}"/>
    <cellStyle name="Output 2 4 2 2 17" xfId="18527" xr:uid="{B7031B23-5999-4E9F-BC36-555B78E7706A}"/>
    <cellStyle name="Output 2 4 2 2 18" xfId="42961" xr:uid="{138AD3BC-968E-4D55-8946-A6249B890B03}"/>
    <cellStyle name="Output 2 4 2 2 2" xfId="19890" xr:uid="{DDFB3465-B1AC-481A-9BC8-7D3BE9602A25}"/>
    <cellStyle name="Output 2 4 2 2 2 2" xfId="27272" xr:uid="{52EB777A-CEF9-425C-A406-AB34BE9FCFCB}"/>
    <cellStyle name="Output 2 4 2 2 2 3" xfId="34116" xr:uid="{CED1B05B-5389-46C6-96AC-B1F6CEF4DA35}"/>
    <cellStyle name="Output 2 4 2 2 3" xfId="21056" xr:uid="{558922E4-277C-47E4-A064-1590E62CF187}"/>
    <cellStyle name="Output 2 4 2 2 3 2" xfId="29352" xr:uid="{4A90AD94-CF18-46A5-B5E3-68DDC2D19EDC}"/>
    <cellStyle name="Output 2 4 2 2 3 3" xfId="36197" xr:uid="{CE0A044A-F8D7-49D7-984E-0172AD274A77}"/>
    <cellStyle name="Output 2 4 2 2 4" xfId="18839" xr:uid="{2344099B-A8DB-46D6-BA1E-18AA12691284}"/>
    <cellStyle name="Output 2 4 2 2 5" xfId="20967" xr:uid="{6522D0A1-61C8-4D8E-ACB4-F328FB747E28}"/>
    <cellStyle name="Output 2 4 2 2 6" xfId="19321" xr:uid="{9A401C53-EB5B-47F9-9A81-0B171CA2E8B0}"/>
    <cellStyle name="Output 2 4 2 2 7" xfId="21380" xr:uid="{62A632B2-1835-4C77-934E-47A48ED6792D}"/>
    <cellStyle name="Output 2 4 2 2 8" xfId="22222" xr:uid="{86641BFA-6615-4429-BC43-C3231EC4139E}"/>
    <cellStyle name="Output 2 4 2 2 9" xfId="20363" xr:uid="{818F65BD-3069-4282-8C36-8AB469D95B05}"/>
    <cellStyle name="Output 2 4 2 3" xfId="18226" xr:uid="{E0504D95-971D-4FB1-9BE7-A452967B8D4A}"/>
    <cellStyle name="Output 2 4 2 3 2" xfId="27467" xr:uid="{7672B2DB-7545-4500-B25C-41C0B8544E2B}"/>
    <cellStyle name="Output 2 4 2 3 2 2" xfId="34311" xr:uid="{026B0358-A3BA-4EAB-B9CE-81E543E22469}"/>
    <cellStyle name="Output 2 4 2 3 3" xfId="29547" xr:uid="{5A540458-CA3F-4393-AD53-332AC6F5C888}"/>
    <cellStyle name="Output 2 4 2 3 3 2" xfId="36392" xr:uid="{2430E847-8E63-427E-9A8F-630640C669C2}"/>
    <cellStyle name="Output 2 4 2 3 4" xfId="24810" xr:uid="{80706166-3008-41D9-B3FB-9FCA5C2C0348}"/>
    <cellStyle name="Output 2 4 2 3 5" xfId="31629" xr:uid="{D48A814C-6F6E-4CC8-8D85-2876DD088C0B}"/>
    <cellStyle name="Output 2 4 2 4" xfId="17694" xr:uid="{96C3B9CF-2E89-43A4-830B-DCCD18D630BD}"/>
    <cellStyle name="Output 2 4 2 4 2" xfId="27054" xr:uid="{D1D3A190-9B37-45DD-8F15-99DD5787CFBB}"/>
    <cellStyle name="Output 2 4 2 4 2 2" xfId="33894" xr:uid="{763122C5-21FA-4802-B0F6-350CD1C7B29F}"/>
    <cellStyle name="Output 2 4 2 4 3" xfId="29130" xr:uid="{DA9E0171-ECFD-4408-8674-17E8F2944774}"/>
    <cellStyle name="Output 2 4 2 4 3 2" xfId="35975" xr:uid="{3392F78A-4681-4942-A7A8-F023783C12FE}"/>
    <cellStyle name="Output 2 4 2 4 4" xfId="24434" xr:uid="{8C52444F-C390-4C42-BE52-79CC643EC7C3}"/>
    <cellStyle name="Output 2 4 2 4 5" xfId="31212" xr:uid="{2691BCCF-91EE-4D54-A1DE-B9182DB5C542}"/>
    <cellStyle name="Output 2 4 2 5" xfId="23848" xr:uid="{712660D5-BC08-49F8-BAD7-7A3C099776FC}"/>
    <cellStyle name="Output 2 4 2 5 2" xfId="26467" xr:uid="{08D054ED-DC48-4250-A793-0C05EF234BF1}"/>
    <cellStyle name="Output 2 4 2 5 2 2" xfId="33307" xr:uid="{4BFCBC78-E5AC-49C3-AD21-0D26B39CF763}"/>
    <cellStyle name="Output 2 4 2 5 3" xfId="26216" xr:uid="{2791E6F0-0AB6-4468-9E6E-369B8C6F174F}"/>
    <cellStyle name="Output 2 4 2 5 3 2" xfId="33044" xr:uid="{4EA73F46-C972-46EB-8736-6B570B3536B9}"/>
    <cellStyle name="Output 2 4 2 5 4" xfId="23338" xr:uid="{9119BCD1-F70C-402A-86BC-C3A0F0C13EBB}"/>
    <cellStyle name="Output 2 4 2 6" xfId="24172" xr:uid="{358875B0-4893-4ADC-8BD7-E55AA7D579C3}"/>
    <cellStyle name="Output 2 4 2 6 2" xfId="26783" xr:uid="{B0EBA231-EBED-4EAB-9B22-F6051714D98F}"/>
    <cellStyle name="Output 2 4 2 6 2 2" xfId="33623" xr:uid="{F53CF209-11BD-4BD9-96D6-5E73E89AD8B8}"/>
    <cellStyle name="Output 2 4 2 6 3" xfId="28859" xr:uid="{CB530ECB-C5E5-462B-9E5A-7CDC53C408D8}"/>
    <cellStyle name="Output 2 4 2 6 3 2" xfId="35704" xr:uid="{7D6E31CA-F9F2-465C-B8A8-CA28BE1857E5}"/>
    <cellStyle name="Output 2 4 2 6 4" xfId="30941" xr:uid="{2E56E038-9C2B-41E5-8FE7-976652FED6EB}"/>
    <cellStyle name="Output 2 4 2 7" xfId="24685" xr:uid="{C4E9C7D7-EA0C-46D8-9429-F29B3D489A85}"/>
    <cellStyle name="Output 2 4 2 7 2" xfId="27298" xr:uid="{8E770FB4-99E7-4C36-9FB6-BFBE208FC51D}"/>
    <cellStyle name="Output 2 4 2 7 2 2" xfId="34142" xr:uid="{349CC48D-FA43-4A91-A9FD-955AC648B1F5}"/>
    <cellStyle name="Output 2 4 2 7 3" xfId="29378" xr:uid="{CB8B53E6-28C6-4F80-99BB-6FFEAD96FB62}"/>
    <cellStyle name="Output 2 4 2 7 3 2" xfId="36223" xr:uid="{F4DE7AC5-7709-4F74-8410-E974246EDBE6}"/>
    <cellStyle name="Output 2 4 2 7 4" xfId="31460" xr:uid="{E4833A23-0E7D-4D42-8752-45DCB4FEFC46}"/>
    <cellStyle name="Output 2 4 2 8" xfId="24096" xr:uid="{8054A85D-5801-409E-9A59-75CE27A28FFD}"/>
    <cellStyle name="Output 2 4 2 8 2" xfId="26709" xr:uid="{D16215B2-7447-4BEF-8F29-7A585ECBDFF5}"/>
    <cellStyle name="Output 2 4 2 8 2 2" xfId="33549" xr:uid="{279CADC8-DF3D-46B9-8BF1-ADA82996DDF9}"/>
    <cellStyle name="Output 2 4 2 8 3" xfId="28785" xr:uid="{E17160E6-E339-4834-B584-F81964CB5A65}"/>
    <cellStyle name="Output 2 4 2 8 3 2" xfId="35630" xr:uid="{F7567F69-1C25-4D5F-91B1-90C59CE9CC25}"/>
    <cellStyle name="Output 2 4 2 8 4" xfId="30867" xr:uid="{D983908E-1ED7-44E4-A6CA-B810E5AFE10B}"/>
    <cellStyle name="Output 2 4 2 9" xfId="25050" xr:uid="{C66A6B80-36E3-4D85-BDA6-1CD74A4FA9F6}"/>
    <cellStyle name="Output 2 4 2 9 2" xfId="27722" xr:uid="{528F879E-146A-43F0-9402-A27447168C7F}"/>
    <cellStyle name="Output 2 4 2 9 2 2" xfId="34567" xr:uid="{D6ACA92A-967E-47F7-A745-A7B50B7AC34D}"/>
    <cellStyle name="Output 2 4 2 9 3" xfId="29803" xr:uid="{D964FB5C-63CA-4416-B13E-F38AEF79C08E}"/>
    <cellStyle name="Output 2 4 2 9 3 2" xfId="36648" xr:uid="{5371AA91-E349-46FD-96F5-15C9204DA513}"/>
    <cellStyle name="Output 2 4 2 9 4" xfId="31885" xr:uid="{9BE46C8C-60C3-4B31-A44F-21556A40E90F}"/>
    <cellStyle name="Output 2 4 20" xfId="38984" xr:uid="{9D729C55-8B85-4D85-85BD-9BDEE85FC5FF}"/>
    <cellStyle name="Output 2 4 3" xfId="4951" xr:uid="{00000000-0005-0000-0000-00007C130000}"/>
    <cellStyle name="Output 2 4 3 10" xfId="19468" xr:uid="{D5D8E980-CB7A-4CA2-9431-5C7A6855C37F}"/>
    <cellStyle name="Output 2 4 3 11" xfId="21158" xr:uid="{9C586645-51B0-4F2F-8910-2E78CBA31165}"/>
    <cellStyle name="Output 2 4 3 12" xfId="22680" xr:uid="{2A0A70B2-0CC9-46AE-8401-CEE8178B99C4}"/>
    <cellStyle name="Output 2 4 3 13" xfId="19320" xr:uid="{AB6B3CB2-BAEF-432A-B369-B284444E1415}"/>
    <cellStyle name="Output 2 4 3 14" xfId="19535" xr:uid="{B77FA9E4-B909-4EAD-B60E-89C4ABCC6BE9}"/>
    <cellStyle name="Output 2 4 3 15" xfId="20602" xr:uid="{EDFC952D-0A39-45AC-B468-834628DA8E93}"/>
    <cellStyle name="Output 2 4 3 16" xfId="22442" xr:uid="{6AD77BDA-CF82-4181-B973-9D4A892328D2}"/>
    <cellStyle name="Output 2 4 3 17" xfId="18227" xr:uid="{17C0EF57-9430-4359-A5A2-A31918BD352D}"/>
    <cellStyle name="Output 2 4 3 18" xfId="23715" xr:uid="{AAF1248C-4C6E-4859-883D-35D3A7D5CA72}"/>
    <cellStyle name="Output 2 4 3 19" xfId="16289" xr:uid="{A749EDD8-32CB-4FF6-8BC4-90479930A9F9}"/>
    <cellStyle name="Output 2 4 3 2" xfId="10473" xr:uid="{00000000-0005-0000-0000-0000C7200000}"/>
    <cellStyle name="Output 2 4 3 2 10" xfId="20658" xr:uid="{43111B84-1FB7-495B-8987-CD929CD8E9B6}"/>
    <cellStyle name="Output 2 4 3 2 11" xfId="21297" xr:uid="{E4387DE7-624C-4022-B58D-8D99D422011E}"/>
    <cellStyle name="Output 2 4 3 2 12" xfId="22813" xr:uid="{BF7C9F6A-4CE0-4E03-873A-43171E65BDFB}"/>
    <cellStyle name="Output 2 4 3 2 13" xfId="22005" xr:uid="{494261BB-C101-4990-99EC-903F5D0DE4CA}"/>
    <cellStyle name="Output 2 4 3 2 14" xfId="22948" xr:uid="{27F2F228-287D-42D1-863D-2005EB845268}"/>
    <cellStyle name="Output 2 4 3 2 15" xfId="20112" xr:uid="{E41CA9A1-E8B3-48A1-80D9-D55E5E192422}"/>
    <cellStyle name="Output 2 4 3 2 16" xfId="18770" xr:uid="{CC5620BE-1169-4834-B4ED-46B6CE894683}"/>
    <cellStyle name="Output 2 4 3 2 17" xfId="42962" xr:uid="{D4C3C669-9D48-4E73-869D-2E1F3DB84F85}"/>
    <cellStyle name="Output 2 4 3 2 2" xfId="19775" xr:uid="{5F4637C6-52AD-4B6D-8833-5E0C7C84480C}"/>
    <cellStyle name="Output 2 4 3 2 3" xfId="19393" xr:uid="{6CB8605A-98EA-4D1E-B876-C5C03A8974F5}"/>
    <cellStyle name="Output 2 4 3 2 4" xfId="19827" xr:uid="{61EF6C7C-F06C-4BAF-960A-D275162260AC}"/>
    <cellStyle name="Output 2 4 3 2 5" xfId="21737" xr:uid="{1EAB3522-FB54-4638-94F2-18FF2F232BCA}"/>
    <cellStyle name="Output 2 4 3 2 6" xfId="20444" xr:uid="{266BBDEF-3400-464D-8A82-2F8D18394A0D}"/>
    <cellStyle name="Output 2 4 3 2 7" xfId="21752" xr:uid="{F7387042-DD74-40F0-8B91-43585D351115}"/>
    <cellStyle name="Output 2 4 3 2 8" xfId="21572" xr:uid="{1400FF14-6B19-43BF-A98F-713D03EA0D62}"/>
    <cellStyle name="Output 2 4 3 2 9" xfId="22567" xr:uid="{B96E635C-CF25-407E-8E05-ACEC8679373C}"/>
    <cellStyle name="Output 2 4 3 20" xfId="38986" xr:uid="{590E7A95-755F-4F54-81E2-2312901DCAE6}"/>
    <cellStyle name="Output 2 4 3 3" xfId="21437" xr:uid="{75AF389D-EFE1-46FF-BAAD-7B05DD7429AF}"/>
    <cellStyle name="Output 2 4 3 4" xfId="19492" xr:uid="{2C28719A-E33E-4045-9D4C-96DD7DBF1E92}"/>
    <cellStyle name="Output 2 4 3 5" xfId="21798" xr:uid="{AFC772FE-02A7-4B8A-A24F-23E753553ABC}"/>
    <cellStyle name="Output 2 4 3 6" xfId="19538" xr:uid="{7D0601F5-6E74-4F55-B7F0-D86DB69C1D21}"/>
    <cellStyle name="Output 2 4 3 7" xfId="19364" xr:uid="{FC92D3AF-D57B-426A-9537-C1F7379E8D76}"/>
    <cellStyle name="Output 2 4 3 8" xfId="21594" xr:uid="{B2BC9D00-CC26-4F98-A8F9-FA4CDB8BDCC9}"/>
    <cellStyle name="Output 2 4 3 9" xfId="19004" xr:uid="{5B628B70-70C0-4CD9-8097-5F1130B4A210}"/>
    <cellStyle name="Output 2 4 4" xfId="10471" xr:uid="{00000000-0005-0000-0000-0000C5200000}"/>
    <cellStyle name="Output 2 4 4 10" xfId="21484" xr:uid="{422DB5CF-94FF-47CE-9425-D25BF85971C7}"/>
    <cellStyle name="Output 2 4 4 11" xfId="20643" xr:uid="{C22CC8B1-8D91-436E-A951-F7857692E4E8}"/>
    <cellStyle name="Output 2 4 4 12" xfId="22812" xr:uid="{4266258D-DCA5-40AF-BD34-FF645FDB5AA4}"/>
    <cellStyle name="Output 2 4 4 13" xfId="21399" xr:uid="{547568CC-8B3A-41C2-A886-F91D1E384D59}"/>
    <cellStyle name="Output 2 4 4 14" xfId="22947" xr:uid="{73962579-1DF5-4FB8-A300-4E6EFD5D4D5B}"/>
    <cellStyle name="Output 2 4 4 15" xfId="19050" xr:uid="{D28345AE-D187-4354-8033-6CF14AEE6C24}"/>
    <cellStyle name="Output 2 4 4 16" xfId="31309" xr:uid="{7CFEED79-4AB5-4F79-9B5C-71E9311363B3}"/>
    <cellStyle name="Output 2 4 4 17" xfId="18769" xr:uid="{C86EA043-B5F5-4599-B4FE-D871D7BF6E4C}"/>
    <cellStyle name="Output 2 4 4 18" xfId="42960" xr:uid="{12DAACDE-2141-4157-A7C4-D65602EF9BC1}"/>
    <cellStyle name="Output 2 4 4 2" xfId="19776" xr:uid="{D81FF995-0559-4BB5-AEE1-44BC95FFDD1A}"/>
    <cellStyle name="Output 2 4 4 2 2" xfId="27150" xr:uid="{3EA58D35-B56C-4A04-94F7-0DE644D8AD1F}"/>
    <cellStyle name="Output 2 4 4 2 3" xfId="33991" xr:uid="{1691B179-1B41-49DA-828F-D3E7877821E0}"/>
    <cellStyle name="Output 2 4 4 3" xfId="20046" xr:uid="{8C56D8B8-5D88-47E0-91D9-195DE2F82902}"/>
    <cellStyle name="Output 2 4 4 3 2" xfId="29227" xr:uid="{182F9DD8-747F-4E13-B3E3-5BC9828899F9}"/>
    <cellStyle name="Output 2 4 4 3 3" xfId="36072" xr:uid="{36F7EA24-F65D-4C98-A306-AF81B2C78A42}"/>
    <cellStyle name="Output 2 4 4 4" xfId="21637" xr:uid="{7CD62A11-D7C5-4E18-8A83-FF77AA93A3BC}"/>
    <cellStyle name="Output 2 4 4 5" xfId="19130" xr:uid="{0B6B02CA-8E75-4D4C-B7ED-9FE0F3F4D842}"/>
    <cellStyle name="Output 2 4 4 6" xfId="20266" xr:uid="{9F3CEF4A-5CF0-43E3-8BA2-7C9E8F275023}"/>
    <cellStyle name="Output 2 4 4 7" xfId="19255" xr:uid="{6FB6A761-A1CF-42F7-8887-B6C0B39FB685}"/>
    <cellStyle name="Output 2 4 4 8" xfId="22106" xr:uid="{76BF1836-F19B-4106-AF2E-21DB216CF890}"/>
    <cellStyle name="Output 2 4 4 9" xfId="22566" xr:uid="{3D2FC75F-C76F-4DC3-804F-B29EE1E26AAE}"/>
    <cellStyle name="Output 2 4 5" xfId="8294" xr:uid="{00000000-0005-0000-0000-0000B40F0000}"/>
    <cellStyle name="Output 2 4 5 10" xfId="20195" xr:uid="{0EAE3461-A7B3-410F-B9A4-43AD939E56C8}"/>
    <cellStyle name="Output 2 4 5 11" xfId="22617" xr:uid="{9AC23497-207A-4080-B5CF-EA66E8E79AA2}"/>
    <cellStyle name="Output 2 4 5 12" xfId="22714" xr:uid="{FC1CD438-267D-494D-8618-1ED9C9B02D96}"/>
    <cellStyle name="Output 2 4 5 13" xfId="22407" xr:uid="{05B2D236-EA10-4925-B0C5-9556368C8EE5}"/>
    <cellStyle name="Output 2 4 5 14" xfId="18848" xr:uid="{8EA3D158-74ED-49FC-B80B-8A4A5B9ABB74}"/>
    <cellStyle name="Output 2 4 5 15" xfId="21148" xr:uid="{49AB3B70-1760-430D-9A71-D61CDC14641F}"/>
    <cellStyle name="Output 2 4 5 16" xfId="31157" xr:uid="{8F765000-A968-4ABD-B504-6002DE36B757}"/>
    <cellStyle name="Output 2 4 5 17" xfId="18225" xr:uid="{DB64187F-DF8A-4B1D-B042-01EBFACD10F0}"/>
    <cellStyle name="Output 2 4 5 2" xfId="21439" xr:uid="{92845595-2485-4719-9471-E20838C55CD0}"/>
    <cellStyle name="Output 2 4 5 2 2" xfId="26999" xr:uid="{575D9250-9151-4AA2-9B61-CE0844652C5B}"/>
    <cellStyle name="Output 2 4 5 2 3" xfId="33839" xr:uid="{CFD76874-02C9-4C94-985B-3A1BF2CA3F0A}"/>
    <cellStyle name="Output 2 4 5 3" xfId="19139" xr:uid="{4F3D883F-6088-4CE1-B807-97B837183A37}"/>
    <cellStyle name="Output 2 4 5 3 2" xfId="29075" xr:uid="{D397A0D5-CDA5-4042-A690-554C2E4FEB46}"/>
    <cellStyle name="Output 2 4 5 3 3" xfId="35920" xr:uid="{2C20B8CA-C6D7-4C7A-8619-8DD361A863F0}"/>
    <cellStyle name="Output 2 4 5 4" xfId="20685" xr:uid="{07AD2977-FDD5-475D-88D0-9A0B77059A92}"/>
    <cellStyle name="Output 2 4 5 5" xfId="19062" xr:uid="{948A98F0-99BD-4924-ABB6-8BA15A7D1A99}"/>
    <cellStyle name="Output 2 4 5 6" xfId="19687" xr:uid="{46A35BDE-0E7F-4353-8BCE-9DF31782FED0}"/>
    <cellStyle name="Output 2 4 5 7" xfId="19108" xr:uid="{B3986BBF-5BBC-4CD0-97A4-E47F72F1A2CD}"/>
    <cellStyle name="Output 2 4 5 8" xfId="22456" xr:uid="{5AB9B272-0F8D-4F1A-BA5E-FA301682F981}"/>
    <cellStyle name="Output 2 4 5 9" xfId="20686" xr:uid="{08927D5C-1450-441E-B32B-810774181F2D}"/>
    <cellStyle name="Output 2 4 6" xfId="17436" xr:uid="{A38F8FD1-0428-4C64-A759-AD05F8474DBD}"/>
    <cellStyle name="Output 2 4 6 2" xfId="27626" xr:uid="{8AFFC3CD-03DA-4DB8-94E7-BFF2D78ABE32}"/>
    <cellStyle name="Output 2 4 6 2 2" xfId="34471" xr:uid="{4D388AF8-D67C-4A97-B429-D15A56A8BBB9}"/>
    <cellStyle name="Output 2 4 6 3" xfId="29707" xr:uid="{EDE74511-1E41-4E0E-9ACA-C8D79959948C}"/>
    <cellStyle name="Output 2 4 6 3 2" xfId="36552" xr:uid="{D58DDEE4-587B-43BE-85D3-710770CEEB8B}"/>
    <cellStyle name="Output 2 4 6 4" xfId="24956" xr:uid="{48D0A863-ED54-4AE2-BD54-0483611D89C9}"/>
    <cellStyle name="Output 2 4 6 5" xfId="31789" xr:uid="{E3298E26-8817-4A5E-80BE-E294572AB23F}"/>
    <cellStyle name="Output 2 4 7" xfId="23825" xr:uid="{FEA7854A-F549-484D-8157-9D24CED824EB}"/>
    <cellStyle name="Output 2 4 7 2" xfId="26444" xr:uid="{91E4D0BE-4990-4C8C-8BA7-9EA9AA38F579}"/>
    <cellStyle name="Output 2 4 7 2 2" xfId="33284" xr:uid="{09B6D4F3-BE66-4F78-B090-9C35377D2B3D}"/>
    <cellStyle name="Output 2 4 7 3" xfId="26238" xr:uid="{4EB38C33-27C9-450D-B9AF-6837E5DA0F86}"/>
    <cellStyle name="Output 2 4 7 3 2" xfId="33066" xr:uid="{A53C355D-B941-4ECB-ABEE-B8E795C37F68}"/>
    <cellStyle name="Output 2 4 7 4" xfId="23361" xr:uid="{B51227E7-1A02-40CB-B0C5-FCCE2162E963}"/>
    <cellStyle name="Output 2 4 8" xfId="25192" xr:uid="{970D9342-16B8-43E5-B114-AC91ABFAC761}"/>
    <cellStyle name="Output 2 4 8 2" xfId="27864" xr:uid="{034ECF56-553C-43EC-BDE9-2B38103C208D}"/>
    <cellStyle name="Output 2 4 8 2 2" xfId="34709" xr:uid="{3467A208-2672-4AEC-ABE2-11AA30D9456A}"/>
    <cellStyle name="Output 2 4 8 3" xfId="29945" xr:uid="{CC57C614-21B8-461B-93D5-B9B8AEE8EA22}"/>
    <cellStyle name="Output 2 4 8 3 2" xfId="36790" xr:uid="{19CDA4E0-04A5-41B2-9C22-D4E45D4F6669}"/>
    <cellStyle name="Output 2 4 8 4" xfId="32027" xr:uid="{A40B6C4D-21BB-4FE6-B586-D210C5A2F8EA}"/>
    <cellStyle name="Output 2 4 9" xfId="24333" xr:uid="{5AB005C1-01AE-4543-A7F2-4E55040E8E07}"/>
    <cellStyle name="Output 2 4 9 2" xfId="26939" xr:uid="{1F0573C4-CED7-4745-889F-06F0D030C910}"/>
    <cellStyle name="Output 2 4 9 2 2" xfId="33779" xr:uid="{863398DA-DBE3-4570-8976-D68F47358418}"/>
    <cellStyle name="Output 2 4 9 3" xfId="29015" xr:uid="{1B619852-EFC3-43C3-9265-DF483CC03D6A}"/>
    <cellStyle name="Output 2 4 9 3 2" xfId="35860" xr:uid="{91E54770-0E13-4607-BF85-8970E56D4E26}"/>
    <cellStyle name="Output 2 4 9 4" xfId="31097" xr:uid="{BBDA126F-419F-449C-A63F-1B7860927908}"/>
    <cellStyle name="Output 2 5" xfId="4952" xr:uid="{00000000-0005-0000-0000-00007D130000}"/>
    <cellStyle name="Output 2 5 10" xfId="23942" xr:uid="{E17AF3B9-E220-4B80-8DE7-72B7102D673D}"/>
    <cellStyle name="Output 2 5 10 2" xfId="26560" xr:uid="{420B7833-1EF3-425A-94CE-796789DB9B37}"/>
    <cellStyle name="Output 2 5 10 2 2" xfId="33400" xr:uid="{C2D363FD-B256-4532-A18D-A6541389877F}"/>
    <cellStyle name="Output 2 5 10 3" xfId="26125" xr:uid="{39230D1C-7A4E-497F-A5D6-6330916E483B}"/>
    <cellStyle name="Output 2 5 10 3 2" xfId="32953" xr:uid="{DA7335D9-4F2B-430F-B7D8-B08381B63A90}"/>
    <cellStyle name="Output 2 5 10 4" xfId="23247" xr:uid="{5DB13F3C-D56F-48E7-BE3A-851664AF0A94}"/>
    <cellStyle name="Output 2 5 11" xfId="25379" xr:uid="{4D4E069A-3C85-4F69-955C-54C6240B21D4}"/>
    <cellStyle name="Output 2 5 11 2" xfId="28046" xr:uid="{48F7E666-1A37-4063-9B72-1A6A83060A90}"/>
    <cellStyle name="Output 2 5 11 2 2" xfId="34891" xr:uid="{1E5332E3-172E-4538-8D91-F0E7062C8213}"/>
    <cellStyle name="Output 2 5 11 3" xfId="30127" xr:uid="{5D69EDA2-C7D8-4F10-938D-670E68CF14B3}"/>
    <cellStyle name="Output 2 5 11 3 2" xfId="36972" xr:uid="{26A53E0D-0C09-4E7E-8261-7D58209345AF}"/>
    <cellStyle name="Output 2 5 11 4" xfId="32209" xr:uid="{D46AC896-6B34-4923-881A-4A876CC3692F}"/>
    <cellStyle name="Output 2 5 12" xfId="25226" xr:uid="{1D47334F-6E72-47C8-997D-BDB841E4B459}"/>
    <cellStyle name="Output 2 5 12 2" xfId="27897" xr:uid="{20B56B44-5179-4598-B3F1-06ADE8DE527C}"/>
    <cellStyle name="Output 2 5 12 2 2" xfId="34742" xr:uid="{FC26D97E-32AE-416D-BF01-431457A380C4}"/>
    <cellStyle name="Output 2 5 12 3" xfId="29978" xr:uid="{EA387B63-2FB6-446F-B073-6AD7FBA223BF}"/>
    <cellStyle name="Output 2 5 12 3 2" xfId="36823" xr:uid="{B311D71D-1D4D-4CCB-B463-D06D389390F2}"/>
    <cellStyle name="Output 2 5 12 4" xfId="32060" xr:uid="{F11817A8-E628-40CC-8D88-9ACA92DF5F0C}"/>
    <cellStyle name="Output 2 5 13" xfId="25385" xr:uid="{CC2F9F13-13FE-4C19-AA52-0CACE343D84B}"/>
    <cellStyle name="Output 2 5 13 2" xfId="28052" xr:uid="{BDD40EC4-6379-4BD1-AE51-49DA31FB245D}"/>
    <cellStyle name="Output 2 5 13 2 2" xfId="34897" xr:uid="{63539808-9ED6-47EE-B5F1-45C2485DC2AD}"/>
    <cellStyle name="Output 2 5 13 3" xfId="30133" xr:uid="{884377AD-E977-4B3F-8C75-8B9E2E7C88B2}"/>
    <cellStyle name="Output 2 5 13 3 2" xfId="36978" xr:uid="{FD566849-966F-485F-8094-EC53D295049F}"/>
    <cellStyle name="Output 2 5 13 4" xfId="32215" xr:uid="{EFC83999-FE8B-4DA9-8C60-3B50D13AAE07}"/>
    <cellStyle name="Output 2 5 14" xfId="24152" xr:uid="{1C4FDC1D-6501-408B-BE4A-300E6355962F}"/>
    <cellStyle name="Output 2 5 14 2" xfId="26764" xr:uid="{3AD00F7F-CBC5-4F0D-AEBC-59BCF6A3182E}"/>
    <cellStyle name="Output 2 5 14 2 2" xfId="33604" xr:uid="{48A02859-0E18-4FE1-8EF6-C5187CA707D6}"/>
    <cellStyle name="Output 2 5 14 3" xfId="28840" xr:uid="{9AF854B8-5723-4E7C-8303-268615167891}"/>
    <cellStyle name="Output 2 5 14 3 2" xfId="35685" xr:uid="{53F40B9F-D63E-41FD-BC0A-FCEE5DBD7E19}"/>
    <cellStyle name="Output 2 5 14 4" xfId="30922" xr:uid="{1584C3C9-298C-4D34-916E-66C12EBDD6AD}"/>
    <cellStyle name="Output 2 5 15" xfId="24356" xr:uid="{AE0AE9B8-32F3-44F7-8FAC-D2E3F8E832A4}"/>
    <cellStyle name="Output 2 5 15 2" xfId="26963" xr:uid="{735BE737-ECA6-4400-B283-39709292421D}"/>
    <cellStyle name="Output 2 5 15 2 2" xfId="33803" xr:uid="{3F6EAC5A-F3B4-4649-8EE4-78344B3106CE}"/>
    <cellStyle name="Output 2 5 15 3" xfId="29039" xr:uid="{B35B8123-2A2F-403B-97B6-85BDD0A5E6A9}"/>
    <cellStyle name="Output 2 5 15 3 2" xfId="35884" xr:uid="{0C3A5D11-6D82-45F4-AF08-B16C71D80F3C}"/>
    <cellStyle name="Output 2 5 15 4" xfId="31121" xr:uid="{EF39302F-BDE9-485E-A13F-BC6935878E11}"/>
    <cellStyle name="Output 2 5 16" xfId="24155" xr:uid="{74D58092-6FC8-491C-97B9-83BA2AFCE89D}"/>
    <cellStyle name="Output 2 5 16 2" xfId="26767" xr:uid="{AC730E35-20C4-4E59-A2CD-6D43E142963A}"/>
    <cellStyle name="Output 2 5 16 2 2" xfId="33607" xr:uid="{457BC315-5838-4310-8FE6-3C9BD5F2F803}"/>
    <cellStyle name="Output 2 5 16 3" xfId="28843" xr:uid="{C25257AC-9183-4BA4-9267-AB63702321D6}"/>
    <cellStyle name="Output 2 5 16 3 2" xfId="35688" xr:uid="{7037AAB4-43C2-41DC-BDB1-A1B0D7EDF0AD}"/>
    <cellStyle name="Output 2 5 16 4" xfId="30925" xr:uid="{611BEC40-0F6B-4D5E-AE8B-0A01F22C8CB4}"/>
    <cellStyle name="Output 2 5 17" xfId="24282" xr:uid="{158E7526-7187-4AF2-8D04-3E290FD636D9}"/>
    <cellStyle name="Output 2 5 17 2" xfId="26889" xr:uid="{AFE290DE-1FC4-4800-B86C-5A21D15F358D}"/>
    <cellStyle name="Output 2 5 17 2 2" xfId="33729" xr:uid="{C8476D51-3E02-45F7-ADB5-9EDE6C524596}"/>
    <cellStyle name="Output 2 5 17 3" xfId="28965" xr:uid="{CD0C8BAE-46DA-432A-B3C7-648828194C5F}"/>
    <cellStyle name="Output 2 5 17 3 2" xfId="35810" xr:uid="{0D50DF87-0817-427E-8522-921EAC96FC14}"/>
    <cellStyle name="Output 2 5 17 4" xfId="31047" xr:uid="{FEE95842-5392-4549-8158-181D10F5A460}"/>
    <cellStyle name="Output 2 5 18" xfId="25611" xr:uid="{F5C8F3D3-806D-4A96-975A-781A0099656A}"/>
    <cellStyle name="Output 2 5 18 2" xfId="28278" xr:uid="{08541348-C4FF-43C9-9A2B-64016730B016}"/>
    <cellStyle name="Output 2 5 18 2 2" xfId="35123" xr:uid="{F9862C65-A77F-4630-937F-F4BB5DE38743}"/>
    <cellStyle name="Output 2 5 18 3" xfId="30359" xr:uid="{DA467FB3-0FB2-4B49-BF55-BCAC2E0ADF82}"/>
    <cellStyle name="Output 2 5 18 3 2" xfId="37204" xr:uid="{CFEB7D90-EBB7-4966-BAE7-1FF689FD3B7E}"/>
    <cellStyle name="Output 2 5 18 4" xfId="32441" xr:uid="{83AEF5B5-42C1-46C9-9B5A-C4DC3D029BF6}"/>
    <cellStyle name="Output 2 5 19" xfId="23664" xr:uid="{D25264E2-831C-4B8D-B0DC-ABA32D50B881}"/>
    <cellStyle name="Output 2 5 2" xfId="4953" xr:uid="{00000000-0005-0000-0000-00007E130000}"/>
    <cellStyle name="Output 2 5 2 10" xfId="25560" xr:uid="{10EF9E0A-90C6-48F4-BCD0-790FF8A35C87}"/>
    <cellStyle name="Output 2 5 2 10 2" xfId="28227" xr:uid="{42CD117A-8171-40B2-BAE4-1818213DCC63}"/>
    <cellStyle name="Output 2 5 2 10 2 2" xfId="35072" xr:uid="{F8C12E33-8644-4024-BAB2-22506E98B9D6}"/>
    <cellStyle name="Output 2 5 2 10 3" xfId="30308" xr:uid="{A1B79C8C-0D5E-4CB5-9D0C-6379A7DD1F34}"/>
    <cellStyle name="Output 2 5 2 10 3 2" xfId="37153" xr:uid="{EB3DF859-7D45-4C9C-B2D0-7FC28853DAC3}"/>
    <cellStyle name="Output 2 5 2 10 4" xfId="32390" xr:uid="{26BD2EAF-FD01-45AE-B411-1DCEAE2AF002}"/>
    <cellStyle name="Output 2 5 2 11" xfId="24036" xr:uid="{689FF207-C85F-4650-A62E-608194FE1FE7}"/>
    <cellStyle name="Output 2 5 2 11 2" xfId="26650" xr:uid="{7719ADA4-4E3C-41D2-8B42-DDA3007BE358}"/>
    <cellStyle name="Output 2 5 2 11 2 2" xfId="33490" xr:uid="{4FF907D7-14D6-4A10-8BA5-3276BE4C0E41}"/>
    <cellStyle name="Output 2 5 2 11 3" xfId="28726" xr:uid="{1CEDF269-29E6-4A87-B985-74A05E5ED28C}"/>
    <cellStyle name="Output 2 5 2 11 3 2" xfId="35571" xr:uid="{429B7F54-A1C6-4BB9-A106-9FF59B446BE8}"/>
    <cellStyle name="Output 2 5 2 11 4" xfId="30808" xr:uid="{9AF215F4-6DDD-4887-ABC9-BECA453AA8C9}"/>
    <cellStyle name="Output 2 5 2 12" xfId="24497" xr:uid="{9B73B5A1-ED4C-4A6A-9248-9ECFC2293F8B}"/>
    <cellStyle name="Output 2 5 2 12 2" xfId="27107" xr:uid="{9EB5AF0B-C3A0-4321-8597-4D6E4C9BB240}"/>
    <cellStyle name="Output 2 5 2 12 2 2" xfId="33947" xr:uid="{E5980651-4DAB-46C6-AD47-E0583EDB8C8E}"/>
    <cellStyle name="Output 2 5 2 12 3" xfId="29183" xr:uid="{3C6D29F5-4DA5-4881-9AB5-D1C4DD17A39E}"/>
    <cellStyle name="Output 2 5 2 12 3 2" xfId="36028" xr:uid="{83B71AE9-7478-4E23-8160-0E63E3A36BE2}"/>
    <cellStyle name="Output 2 5 2 12 4" xfId="31265" xr:uid="{F6326A85-D52F-4FBD-A42C-BF0A43C8378D}"/>
    <cellStyle name="Output 2 5 2 13" xfId="25289" xr:uid="{B363DDFF-36F6-4A84-B226-DE5DBFE3A532}"/>
    <cellStyle name="Output 2 5 2 13 2" xfId="27960" xr:uid="{F23E235D-4106-4667-9F19-33B610B8DA2A}"/>
    <cellStyle name="Output 2 5 2 13 2 2" xfId="34805" xr:uid="{6A0D220C-C7BE-4EB2-9C97-F32615B23BCC}"/>
    <cellStyle name="Output 2 5 2 13 3" xfId="30041" xr:uid="{6A816053-705A-49FF-B5C5-F9E99B42A294}"/>
    <cellStyle name="Output 2 5 2 13 3 2" xfId="36886" xr:uid="{184B9D15-249A-4B90-AB5A-07325D7BF5FB}"/>
    <cellStyle name="Output 2 5 2 13 4" xfId="32123" xr:uid="{21241FAD-719A-4749-8060-057AB6B3DC2E}"/>
    <cellStyle name="Output 2 5 2 14" xfId="24986" xr:uid="{15E85467-243B-404F-821E-5B4761781C4B}"/>
    <cellStyle name="Output 2 5 2 14 2" xfId="27656" xr:uid="{AE8F4937-714E-4705-B5E3-2C50A7FB6A30}"/>
    <cellStyle name="Output 2 5 2 14 2 2" xfId="34501" xr:uid="{4096601C-F69E-4B82-9F15-24F5BD338018}"/>
    <cellStyle name="Output 2 5 2 14 3" xfId="29737" xr:uid="{88EEB779-6B30-4CA2-86DF-77D70ED98D95}"/>
    <cellStyle name="Output 2 5 2 14 3 2" xfId="36582" xr:uid="{623240B1-AB86-47B2-AA40-6642FF4AACF1}"/>
    <cellStyle name="Output 2 5 2 14 4" xfId="31819" xr:uid="{E926E58C-3216-4493-BE53-6FB685EC8023}"/>
    <cellStyle name="Output 2 5 2 15" xfId="24325" xr:uid="{50392CE3-0903-455A-BEF7-9C446A443F33}"/>
    <cellStyle name="Output 2 5 2 15 2" xfId="26931" xr:uid="{50167FE8-8F05-46E3-B5FA-27962A23B0C0}"/>
    <cellStyle name="Output 2 5 2 15 2 2" xfId="33771" xr:uid="{342241AB-4F97-4E09-8526-0B5AE41D360A}"/>
    <cellStyle name="Output 2 5 2 15 3" xfId="29007" xr:uid="{A27616A7-67BB-42EA-811C-9A56FA893DCD}"/>
    <cellStyle name="Output 2 5 2 15 3 2" xfId="35852" xr:uid="{65ED10D0-C703-44CD-9322-617C7DF18321}"/>
    <cellStyle name="Output 2 5 2 15 4" xfId="31089" xr:uid="{F028D6B8-E2C3-4326-B1CC-9C4E38CF6DF8}"/>
    <cellStyle name="Output 2 5 2 16" xfId="25883" xr:uid="{B6FCB2E6-561C-4971-B483-11403FF5041B}"/>
    <cellStyle name="Output 2 5 2 16 2" xfId="28549" xr:uid="{0C9B6B5F-494C-49BD-95A3-9E694CD444FC}"/>
    <cellStyle name="Output 2 5 2 16 2 2" xfId="35394" xr:uid="{B9F46EA0-8AE4-486B-A93D-90384FEFF76A}"/>
    <cellStyle name="Output 2 5 2 16 3" xfId="30630" xr:uid="{D3829911-C747-4CE9-91D3-6B269FC1F725}"/>
    <cellStyle name="Output 2 5 2 16 3 2" xfId="37475" xr:uid="{7DFECF98-35FC-4F3E-9799-016A88641D15}"/>
    <cellStyle name="Output 2 5 2 16 4" xfId="32712" xr:uid="{99DD98F6-CA8B-4DD8-8810-24BD01904D75}"/>
    <cellStyle name="Output 2 5 2 17" xfId="23630" xr:uid="{947FC9D0-4177-47C0-8CDD-8DD40AD553F2}"/>
    <cellStyle name="Output 2 5 2 18" xfId="16291" xr:uid="{BFDD0EC2-8FC5-4F73-9E82-7AE083FB974D}"/>
    <cellStyle name="Output 2 5 2 19" xfId="38988" xr:uid="{2931BCDF-9368-45DC-B29C-E06CCE535104}"/>
    <cellStyle name="Output 2 5 2 2" xfId="10475" xr:uid="{00000000-0005-0000-0000-0000C9200000}"/>
    <cellStyle name="Output 2 5 2 2 10" xfId="25667" xr:uid="{D37A17C7-7F69-4F90-962C-028D038D1EFA}"/>
    <cellStyle name="Output 2 5 2 2 10 2" xfId="28334" xr:uid="{4F3CF7C6-764D-4106-B5E4-819FDDBDA3B1}"/>
    <cellStyle name="Output 2 5 2 2 10 2 2" xfId="35179" xr:uid="{275BCEAD-9F7F-46C1-B108-1FFA3CF90674}"/>
    <cellStyle name="Output 2 5 2 2 10 3" xfId="30415" xr:uid="{5AC5A396-7E7E-426B-89B5-8B141DB4BDC1}"/>
    <cellStyle name="Output 2 5 2 2 10 3 2" xfId="37260" xr:uid="{461463C7-AF9F-4D22-AFAB-B11ADB9B5C71}"/>
    <cellStyle name="Output 2 5 2 2 10 4" xfId="32497" xr:uid="{86B23287-36FB-459C-A58C-19CAA23995A8}"/>
    <cellStyle name="Output 2 5 2 2 11" xfId="25772" xr:uid="{AECFBE2D-04CA-433D-B8FD-EBAE184BD51B}"/>
    <cellStyle name="Output 2 5 2 2 11 2" xfId="28438" xr:uid="{B680FC72-3309-4174-93B3-93FB94DF86DB}"/>
    <cellStyle name="Output 2 5 2 2 11 2 2" xfId="35283" xr:uid="{FEB3F0AE-D720-4E8F-AC63-99D65C89C73A}"/>
    <cellStyle name="Output 2 5 2 2 11 3" xfId="30519" xr:uid="{5DD611A2-B8F1-4C31-BAA0-820258595AC3}"/>
    <cellStyle name="Output 2 5 2 2 11 3 2" xfId="37364" xr:uid="{635D0066-5C88-421B-B96F-7AA2F39E3658}"/>
    <cellStyle name="Output 2 5 2 2 11 4" xfId="32601" xr:uid="{5F734118-2C1E-4FCD-A5CF-D8529E3A49B2}"/>
    <cellStyle name="Output 2 5 2 2 12" xfId="25849" xr:uid="{E33B2493-D04F-4A4B-94FD-54FEFED81613}"/>
    <cellStyle name="Output 2 5 2 2 12 2" xfId="28515" xr:uid="{0CF6A3DB-4B26-4F89-8451-331C9286C424}"/>
    <cellStyle name="Output 2 5 2 2 12 2 2" xfId="35360" xr:uid="{142A7CD2-8624-4A5C-894F-92C10AAB3AFE}"/>
    <cellStyle name="Output 2 5 2 2 12 3" xfId="30596" xr:uid="{AA732C53-8A65-49E6-A06B-C47DE19CEC99}"/>
    <cellStyle name="Output 2 5 2 2 12 3 2" xfId="37441" xr:uid="{808B2511-2B45-4B90-8511-49EB7CCFFCB9}"/>
    <cellStyle name="Output 2 5 2 2 12 4" xfId="32678" xr:uid="{E2EF7DE5-CCFD-4327-B0CD-647807C77CF8}"/>
    <cellStyle name="Output 2 5 2 2 13" xfId="24295" xr:uid="{0A3EBB40-7ED5-4444-9716-23B0B72D8993}"/>
    <cellStyle name="Output 2 5 2 2 13 2" xfId="26902" xr:uid="{82711A9A-36CC-4B82-9A56-55040822271D}"/>
    <cellStyle name="Output 2 5 2 2 13 2 2" xfId="33742" xr:uid="{080D38F6-E5A8-4F61-8F47-1ABD0127C4D9}"/>
    <cellStyle name="Output 2 5 2 2 13 3" xfId="28978" xr:uid="{9C1AF261-508A-4C38-9966-26FF92F48D27}"/>
    <cellStyle name="Output 2 5 2 2 13 3 2" xfId="35823" xr:uid="{7BA7ED7C-856D-4071-A7A8-A22C56CE0CD1}"/>
    <cellStyle name="Output 2 5 2 2 13 4" xfId="31060" xr:uid="{E713AE8F-B2B7-4E24-80CD-FD8C5D8BD8BC}"/>
    <cellStyle name="Output 2 5 2 2 14" xfId="25977" xr:uid="{96626EF8-AA63-48FE-A561-A5F91DA586E5}"/>
    <cellStyle name="Output 2 5 2 2 14 2" xfId="28643" xr:uid="{FE354FEC-C57E-4DF5-BF94-9C39D216BB37}"/>
    <cellStyle name="Output 2 5 2 2 14 2 2" xfId="35488" xr:uid="{A4B68FF0-5C42-4565-B5FE-75DDA3ADD34B}"/>
    <cellStyle name="Output 2 5 2 2 14 3" xfId="30724" xr:uid="{C95793DF-0B7F-41F1-AFF6-AA7EDE4E88DA}"/>
    <cellStyle name="Output 2 5 2 2 14 3 2" xfId="37569" xr:uid="{B4370DBB-58D1-4560-A060-E33AAD7A101E}"/>
    <cellStyle name="Output 2 5 2 2 14 4" xfId="32806" xr:uid="{D1F0A3E0-D108-45C7-8EDC-23904472AF2F}"/>
    <cellStyle name="Output 2 5 2 2 15" xfId="26031" xr:uid="{03A51033-08E2-4BC2-A495-FC6859A49FCA}"/>
    <cellStyle name="Output 2 5 2 2 15 2" xfId="28697" xr:uid="{C40E2C11-A622-4EB8-9D38-EE2E88ADB4A9}"/>
    <cellStyle name="Output 2 5 2 2 15 2 2" xfId="35542" xr:uid="{2E18236D-EF53-40B0-88ED-7BB002B5FC7A}"/>
    <cellStyle name="Output 2 5 2 2 15 3" xfId="30778" xr:uid="{8DBCD79C-C429-4CE4-AA0C-A6F770862E95}"/>
    <cellStyle name="Output 2 5 2 2 15 3 2" xfId="37623" xr:uid="{6F7D41C2-FAD6-41E0-914B-680D0DE74D7B}"/>
    <cellStyle name="Output 2 5 2 2 15 4" xfId="32860" xr:uid="{5A327FB4-BA02-4209-A048-94ECA86A7C6F}"/>
    <cellStyle name="Output 2 5 2 2 16" xfId="23541" xr:uid="{5EDDD811-8A78-4981-A3A7-3CBC133DF1DB}"/>
    <cellStyle name="Output 2 5 2 2 17" xfId="17843" xr:uid="{9BF9C8A2-117B-469A-B057-A9390FA8DB61}"/>
    <cellStyle name="Output 2 5 2 2 18" xfId="42964" xr:uid="{3227DE56-9A01-4FFC-97AC-D18B8EF3BCE4}"/>
    <cellStyle name="Output 2 5 2 2 2" xfId="18431" xr:uid="{30740480-1C0F-406B-8656-216E014774B9}"/>
    <cellStyle name="Output 2 5 2 2 2 10" xfId="22388" xr:uid="{3DCC946F-780F-43C6-BDEA-5DA880A8CEF3}"/>
    <cellStyle name="Output 2 5 2 2 2 11" xfId="19552" xr:uid="{AE8D4D5A-7700-491B-AFDB-6C2315704329}"/>
    <cellStyle name="Output 2 5 2 2 2 12" xfId="22183" xr:uid="{228C5210-F203-4411-AD5A-9404482D565C}"/>
    <cellStyle name="Output 2 5 2 2 2 13" xfId="19807" xr:uid="{674C8AFD-8BA8-4F46-A330-8503966018CE}"/>
    <cellStyle name="Output 2 5 2 2 2 14" xfId="19486" xr:uid="{2D7649D9-A8E3-464F-AF04-E124717E3485}"/>
    <cellStyle name="Output 2 5 2 2 2 15" xfId="22991" xr:uid="{DEB59DF0-7B25-4F5D-846A-B54F79299664}"/>
    <cellStyle name="Output 2 5 2 2 2 16" xfId="31511" xr:uid="{126FBF2D-A66D-48B2-8A41-3766DA0D7C18}"/>
    <cellStyle name="Output 2 5 2 2 2 2" xfId="19942" xr:uid="{7B1F7ACA-A3DD-47EC-BF70-AB10AD8FDB7B}"/>
    <cellStyle name="Output 2 5 2 2 2 2 2" xfId="27349" xr:uid="{F6B8A148-79B7-4439-B159-86AE65219374}"/>
    <cellStyle name="Output 2 5 2 2 2 2 3" xfId="34193" xr:uid="{2967882F-5009-4695-9060-460E2DEA243B}"/>
    <cellStyle name="Output 2 5 2 2 2 3" xfId="20531" xr:uid="{4B316CB6-51EB-4B5B-8193-0B948FCB789B}"/>
    <cellStyle name="Output 2 5 2 2 2 3 2" xfId="29429" xr:uid="{01503112-6246-4DE3-810A-462472D52571}"/>
    <cellStyle name="Output 2 5 2 2 2 3 3" xfId="36274" xr:uid="{BD9F480C-F809-4400-81A0-CD2872CEB097}"/>
    <cellStyle name="Output 2 5 2 2 2 4" xfId="18930" xr:uid="{73C875EA-B84D-4F90-AD0E-2BA0DD83BA76}"/>
    <cellStyle name="Output 2 5 2 2 2 5" xfId="21464" xr:uid="{C71C14FE-9712-4F43-A2CE-8DA56365166A}"/>
    <cellStyle name="Output 2 5 2 2 2 6" xfId="20370" xr:uid="{A4F8091E-3357-4647-AD65-1FB6A392888F}"/>
    <cellStyle name="Output 2 5 2 2 2 7" xfId="20629" xr:uid="{E655BC8C-7340-488A-A5F7-F7C55AC41A4A}"/>
    <cellStyle name="Output 2 5 2 2 2 8" xfId="20634" xr:uid="{F011434C-0F4C-42B7-BBE0-76D48E4820F0}"/>
    <cellStyle name="Output 2 5 2 2 2 9" xfId="19698" xr:uid="{57CC0211-52FC-4C1B-99B7-102B9C70D1E3}"/>
    <cellStyle name="Output 2 5 2 2 3" xfId="24910" xr:uid="{9B0E0244-5AB3-4258-B1F2-BF1F23D53EE4}"/>
    <cellStyle name="Output 2 5 2 2 3 2" xfId="27579" xr:uid="{2BBE2205-22AC-400C-9661-61AF588DA876}"/>
    <cellStyle name="Output 2 5 2 2 3 2 2" xfId="34423" xr:uid="{89B5FCB6-66AA-4361-B4EE-AABF2ECFCBEA}"/>
    <cellStyle name="Output 2 5 2 2 3 3" xfId="29659" xr:uid="{7EB63B80-0AA5-4782-8924-EDF2A8D28E15}"/>
    <cellStyle name="Output 2 5 2 2 3 3 2" xfId="36504" xr:uid="{FA5E1358-D7B2-42E0-A6C4-707745627555}"/>
    <cellStyle name="Output 2 5 2 2 3 4" xfId="31741" xr:uid="{F91EF4DA-8E4F-47A5-8F45-EE30E8846354}"/>
    <cellStyle name="Output 2 5 2 2 4" xfId="24360" xr:uid="{68120F0E-1CED-4222-A147-398992AB5E97}"/>
    <cellStyle name="Output 2 5 2 2 4 2" xfId="26967" xr:uid="{1B9B023C-4364-4183-8A5E-74E6A20C7E70}"/>
    <cellStyle name="Output 2 5 2 2 4 2 2" xfId="33807" xr:uid="{91E64B85-0FF8-4CE8-99AF-2B51892F2C52}"/>
    <cellStyle name="Output 2 5 2 2 4 3" xfId="29043" xr:uid="{098606D0-1D23-4934-A8A8-2CEA1D2B5360}"/>
    <cellStyle name="Output 2 5 2 2 4 3 2" xfId="35888" xr:uid="{346F6B46-1BA0-4624-9B2C-DBB0E97F726C}"/>
    <cellStyle name="Output 2 5 2 2 4 4" xfId="31125" xr:uid="{086349C5-3119-489C-AC30-CFAB25705DC1}"/>
    <cellStyle name="Output 2 5 2 2 5" xfId="25123" xr:uid="{42E484B4-1387-49F3-A6FB-410A9A2FC91B}"/>
    <cellStyle name="Output 2 5 2 2 5 2" xfId="27795" xr:uid="{F1F93AD2-AC13-4C65-90B7-DCADFC3C4EEA}"/>
    <cellStyle name="Output 2 5 2 2 5 2 2" xfId="34640" xr:uid="{E142C46C-30BA-4990-AA45-89CBE29BD35D}"/>
    <cellStyle name="Output 2 5 2 2 5 3" xfId="29876" xr:uid="{2449BB60-5F41-4C5A-9775-D6A8462608FA}"/>
    <cellStyle name="Output 2 5 2 2 5 3 2" xfId="36721" xr:uid="{B13A68B4-7AF4-4C95-B6E7-95B2CF28E9C7}"/>
    <cellStyle name="Output 2 5 2 2 5 4" xfId="31958" xr:uid="{F9B0A893-AB5E-4BA9-9A89-5423EC1DA60D}"/>
    <cellStyle name="Output 2 5 2 2 6" xfId="23753" xr:uid="{E3941B13-F7EF-45F6-B8EE-F36AAC56E982}"/>
    <cellStyle name="Output 2 5 2 2 6 2" xfId="26364" xr:uid="{45D6AEEE-064C-401C-9548-B96C7ADB8E64}"/>
    <cellStyle name="Output 2 5 2 2 6 2 2" xfId="33203" xr:uid="{553F8454-4E45-4A55-A427-CF195279AAED}"/>
    <cellStyle name="Output 2 5 2 2 6 3" xfId="26318" xr:uid="{85C42271-B4A2-4781-BE27-C6826337EF1D}"/>
    <cellStyle name="Output 2 5 2 2 6 3 2" xfId="33146" xr:uid="{6D2F2E64-7B4D-41C1-A470-59D86C46057A}"/>
    <cellStyle name="Output 2 5 2 2 6 4" xfId="23440" xr:uid="{04CB8996-ED3D-464A-A84C-D6723CD9FA76}"/>
    <cellStyle name="Output 2 5 2 2 7" xfId="24791" xr:uid="{A37A1D95-FB07-4BF9-A76E-FE34CE426C0F}"/>
    <cellStyle name="Output 2 5 2 2 7 2" xfId="27444" xr:uid="{124937B0-DF1C-4051-9EF2-E05ABCD2AE9E}"/>
    <cellStyle name="Output 2 5 2 2 7 2 2" xfId="34288" xr:uid="{C899F53B-E428-4A93-BA8C-24915E144219}"/>
    <cellStyle name="Output 2 5 2 2 7 3" xfId="29524" xr:uid="{04165FA5-A44C-4631-A7F8-BC48D000167F}"/>
    <cellStyle name="Output 2 5 2 2 7 3 2" xfId="36369" xr:uid="{7D82727A-B370-4ECD-B8A0-1514338D913A}"/>
    <cellStyle name="Output 2 5 2 2 7 4" xfId="31606" xr:uid="{F304E717-8D53-4C14-9C60-A922792183DA}"/>
    <cellStyle name="Output 2 5 2 2 8" xfId="25480" xr:uid="{E7F6F0C7-415C-46CA-A8B1-E970675CEA42}"/>
    <cellStyle name="Output 2 5 2 2 8 2" xfId="28147" xr:uid="{F8C85E81-7AD6-4ED3-9709-D9EF634FA882}"/>
    <cellStyle name="Output 2 5 2 2 8 2 2" xfId="34992" xr:uid="{DFA9DE4C-BD83-4099-8481-A827E9C0FB89}"/>
    <cellStyle name="Output 2 5 2 2 8 3" xfId="30228" xr:uid="{C1457129-AC77-43BF-A488-1D87FF61C835}"/>
    <cellStyle name="Output 2 5 2 2 8 3 2" xfId="37073" xr:uid="{E0BDC78A-D70E-4020-ACF0-1FFF7E0594E1}"/>
    <cellStyle name="Output 2 5 2 2 8 4" xfId="32310" xr:uid="{B09F5152-5F72-40B9-A185-84D0D7CD9E6E}"/>
    <cellStyle name="Output 2 5 2 2 9" xfId="24303" xr:uid="{6E685A72-1629-4A4B-9961-917E8EBDAF7F}"/>
    <cellStyle name="Output 2 5 2 2 9 2" xfId="26910" xr:uid="{C2445E57-AF2C-43BB-85F2-1A6CE5DFE160}"/>
    <cellStyle name="Output 2 5 2 2 9 2 2" xfId="33750" xr:uid="{6EC148B6-D26A-4363-B681-65C637F04ADC}"/>
    <cellStyle name="Output 2 5 2 2 9 3" xfId="28986" xr:uid="{8107FFC0-30EA-4161-9DEE-4537A1D84653}"/>
    <cellStyle name="Output 2 5 2 2 9 3 2" xfId="35831" xr:uid="{411260E6-C474-4E58-8347-871B7A75AF0D}"/>
    <cellStyle name="Output 2 5 2 2 9 4" xfId="31068" xr:uid="{EAA56B4C-A74A-4244-81A4-1CCD747A8281}"/>
    <cellStyle name="Output 2 5 2 3" xfId="18608" xr:uid="{6739A25F-454A-4C5C-A091-C6ED5AE8FE39}"/>
    <cellStyle name="Output 2 5 2 3 10" xfId="19091" xr:uid="{9319423F-6EEB-4E2D-9DE9-7C4CA7659557}"/>
    <cellStyle name="Output 2 5 2 3 11" xfId="20860" xr:uid="{628A7222-9F29-440F-8C7B-12D25AD025D0}"/>
    <cellStyle name="Output 2 5 2 3 12" xfId="22744" xr:uid="{992FE74C-EEE4-40AB-BEBF-3E7402F7453D}"/>
    <cellStyle name="Output 2 5 2 3 13" xfId="19369" xr:uid="{09432958-8D9C-4BF5-A06D-6F976EEFF4B4}"/>
    <cellStyle name="Output 2 5 2 3 14" xfId="22880" xr:uid="{F50383FA-8389-40DC-B68E-2B59E2EA8AFB}"/>
    <cellStyle name="Output 2 5 2 3 15" xfId="22136" xr:uid="{DB359F92-BE36-4055-8ED7-F4DCEB52286A}"/>
    <cellStyle name="Output 2 5 2 3 16" xfId="31383" xr:uid="{8683A6ED-8C1D-45D7-B1E8-08F80F823B42}"/>
    <cellStyle name="Output 2 5 2 3 2" xfId="19859" xr:uid="{9548D60E-5C1B-470D-A1F5-7DDDA0F34752}"/>
    <cellStyle name="Output 2 5 2 3 2 2" xfId="27224" xr:uid="{803218CC-2D1E-49BD-B242-55F1AF7B4B2F}"/>
    <cellStyle name="Output 2 5 2 3 2 3" xfId="34065" xr:uid="{7645DE2C-8E74-4C83-8DF0-8FEF7E331ED6}"/>
    <cellStyle name="Output 2 5 2 3 3" xfId="21673" xr:uid="{1AB068BC-34B4-4471-AAE3-4E0230FD6C71}"/>
    <cellStyle name="Output 2 5 2 3 3 2" xfId="29301" xr:uid="{26C8A464-655E-4481-A72D-5B39595B1E09}"/>
    <cellStyle name="Output 2 5 2 3 3 3" xfId="36146" xr:uid="{6389D02B-5DA9-4055-B872-52AE3C9DC7E6}"/>
    <cellStyle name="Output 2 5 2 3 4" xfId="19298" xr:uid="{D6DFDED8-AFBD-43F4-A262-BA484248BAFE}"/>
    <cellStyle name="Output 2 5 2 3 5" xfId="20304" xr:uid="{827CA7C1-6922-404B-A7E4-09797E8C6753}"/>
    <cellStyle name="Output 2 5 2 3 6" xfId="20742" xr:uid="{CC1A2656-3B55-4F9D-AA20-76160A12CA74}"/>
    <cellStyle name="Output 2 5 2 3 7" xfId="18877" xr:uid="{9600B250-CE78-4095-92BF-38B122D3C824}"/>
    <cellStyle name="Output 2 5 2 3 8" xfId="20544" xr:uid="{336D666A-6245-4C09-8DFA-654D22FA6FC5}"/>
    <cellStyle name="Output 2 5 2 3 9" xfId="22481" xr:uid="{F5D6B4F0-6D22-4514-B1EC-FF891353F83D}"/>
    <cellStyle name="Output 2 5 2 4" xfId="18229" xr:uid="{5634DF24-7190-4D6B-9FAD-6E6F5A35AD94}"/>
    <cellStyle name="Output 2 5 2 4 2" xfId="26386" xr:uid="{8A76E911-4444-4A25-9554-33425E7F1F8E}"/>
    <cellStyle name="Output 2 5 2 4 2 2" xfId="33225" xr:uid="{582DBDD1-017B-4512-8FE7-1127FDC58747}"/>
    <cellStyle name="Output 2 5 2 4 3" xfId="26296" xr:uid="{65C7F4F6-23C3-4064-861A-6213734D739E}"/>
    <cellStyle name="Output 2 5 2 4 3 2" xfId="33124" xr:uid="{21F5F38F-174A-4BAE-8615-90D4174AE534}"/>
    <cellStyle name="Output 2 5 2 4 4" xfId="23774" xr:uid="{B4997820-276D-4839-882D-AFD16CDFA481}"/>
    <cellStyle name="Output 2 5 2 4 5" xfId="23418" xr:uid="{93479E45-3F9B-4EF8-855B-15B014075B1A}"/>
    <cellStyle name="Output 2 5 2 5" xfId="17572" xr:uid="{2246ED00-E2B0-4953-9093-0E9E08267CF1}"/>
    <cellStyle name="Output 2 5 2 5 2" xfId="26838" xr:uid="{A127FCB8-08B1-4D58-A206-6BE065AF5F81}"/>
    <cellStyle name="Output 2 5 2 5 2 2" xfId="33678" xr:uid="{CD1A0610-0D16-42A3-90D6-DD80E9D5F6CD}"/>
    <cellStyle name="Output 2 5 2 5 3" xfId="28914" xr:uid="{936BA543-E04C-4EA1-BA55-486ACE8B759C}"/>
    <cellStyle name="Output 2 5 2 5 3 2" xfId="35759" xr:uid="{8424398A-E910-44F0-AD6D-4117D63F9646}"/>
    <cellStyle name="Output 2 5 2 5 4" xfId="24228" xr:uid="{32BA963E-D652-4111-8120-E7932B8427CD}"/>
    <cellStyle name="Output 2 5 2 5 5" xfId="30996" xr:uid="{D9AE6D97-2B95-4B54-9D00-152517CE7765}"/>
    <cellStyle name="Output 2 5 2 6" xfId="24624" xr:uid="{FFD6113C-2030-4F61-ACF6-098D1018FC1B}"/>
    <cellStyle name="Output 2 5 2 6 2" xfId="27236" xr:uid="{A746E30D-6836-4ABF-85F7-2CD7FD366B0A}"/>
    <cellStyle name="Output 2 5 2 6 2 2" xfId="34077" xr:uid="{4E55174D-972C-456D-942C-45FD602F79D8}"/>
    <cellStyle name="Output 2 5 2 6 3" xfId="29313" xr:uid="{53A8739D-DEE1-40EC-AF77-3CC0DC42C835}"/>
    <cellStyle name="Output 2 5 2 6 3 2" xfId="36158" xr:uid="{5DF7922F-D3C7-44F5-9E6C-8FB4150BA24E}"/>
    <cellStyle name="Output 2 5 2 6 4" xfId="31395" xr:uid="{9AA090F4-309E-4958-85D6-234CCC4FBFB8}"/>
    <cellStyle name="Output 2 5 2 7" xfId="24268" xr:uid="{4F3140F6-CBB1-4EC5-97B5-697296264BBD}"/>
    <cellStyle name="Output 2 5 2 7 2" xfId="26875" xr:uid="{5F8284A9-C59B-4FDA-96D6-B69916D2D023}"/>
    <cellStyle name="Output 2 5 2 7 2 2" xfId="33715" xr:uid="{96CCCD9C-12A7-4227-A37B-717C99E64FBA}"/>
    <cellStyle name="Output 2 5 2 7 3" xfId="28951" xr:uid="{0B8421E1-0538-4E0A-A40E-EBCC74582971}"/>
    <cellStyle name="Output 2 5 2 7 3 2" xfId="35796" xr:uid="{40F242DD-3E7C-4795-B958-80D3CEB06CEC}"/>
    <cellStyle name="Output 2 5 2 7 4" xfId="31033" xr:uid="{0E7E2926-6EA3-49BF-93A5-EAB37E8D0197}"/>
    <cellStyle name="Output 2 5 2 8" xfId="24164" xr:uid="{701BCCF0-4DBC-40F0-8A49-DB40262F6EF4}"/>
    <cellStyle name="Output 2 5 2 8 2" xfId="26776" xr:uid="{6B3214DE-98CA-498D-83BE-BFE524980273}"/>
    <cellStyle name="Output 2 5 2 8 2 2" xfId="33616" xr:uid="{CDC61D6D-1337-4A05-AE76-B4256D994693}"/>
    <cellStyle name="Output 2 5 2 8 3" xfId="28852" xr:uid="{781E6C4D-2BED-4D55-B164-6D4D50F5B596}"/>
    <cellStyle name="Output 2 5 2 8 3 2" xfId="35697" xr:uid="{2B2BFBE2-BB5F-4CDA-AC8B-A5FC82073046}"/>
    <cellStyle name="Output 2 5 2 8 4" xfId="30934" xr:uid="{954640C0-E02E-4D4C-9763-6660ACDD87A5}"/>
    <cellStyle name="Output 2 5 2 9" xfId="24389" xr:uid="{470009DF-6CA7-4B5D-A334-36CCA48F9429}"/>
    <cellStyle name="Output 2 5 2 9 2" xfId="27007" xr:uid="{C50DEDEF-060F-41FC-A850-02A217286502}"/>
    <cellStyle name="Output 2 5 2 9 2 2" xfId="33847" xr:uid="{CC6C15F3-F38E-48EE-9BCF-66AC917323CA}"/>
    <cellStyle name="Output 2 5 2 9 3" xfId="29083" xr:uid="{03D32B31-DE1E-46CD-AE88-0F280E595986}"/>
    <cellStyle name="Output 2 5 2 9 3 2" xfId="35928" xr:uid="{DB56AC30-2F4F-4FBE-AFC5-E78FD9A73313}"/>
    <cellStyle name="Output 2 5 2 9 4" xfId="31165" xr:uid="{C8283C80-53FF-44B6-9149-BD662306E1A2}"/>
    <cellStyle name="Output 2 5 20" xfId="16290" xr:uid="{915E21EA-A6DA-437E-820F-4EB78ECB9818}"/>
    <cellStyle name="Output 2 5 21" xfId="38987" xr:uid="{B99B4358-B36B-4978-8D58-488EE134F8E0}"/>
    <cellStyle name="Output 2 5 3" xfId="4954" xr:uid="{00000000-0005-0000-0000-00007F130000}"/>
    <cellStyle name="Output 2 5 3 10" xfId="25640" xr:uid="{DA90E5AA-23B7-41AC-AF40-C40F22ACCB5A}"/>
    <cellStyle name="Output 2 5 3 10 2" xfId="28307" xr:uid="{27190F58-FB81-47D8-B615-E62C8CACF424}"/>
    <cellStyle name="Output 2 5 3 10 2 2" xfId="35152" xr:uid="{3ECE99ED-DDE1-4DD4-BEB4-C4A81F47C9F6}"/>
    <cellStyle name="Output 2 5 3 10 3" xfId="30388" xr:uid="{DCDF6333-A2E6-45C7-A196-B0845CC67C82}"/>
    <cellStyle name="Output 2 5 3 10 3 2" xfId="37233" xr:uid="{685DAF48-C918-4576-A3B5-04B62EEA5C06}"/>
    <cellStyle name="Output 2 5 3 10 4" xfId="32470" xr:uid="{AC794EF3-AD57-48B4-80B9-D57E1C1FEB8D}"/>
    <cellStyle name="Output 2 5 3 11" xfId="25745" xr:uid="{3FB0D744-7A47-4F46-AB5D-C98FAA248B57}"/>
    <cellStyle name="Output 2 5 3 11 2" xfId="28412" xr:uid="{BCE36BDC-2097-4FB7-93D9-6B150CF515CD}"/>
    <cellStyle name="Output 2 5 3 11 2 2" xfId="35257" xr:uid="{66260E78-362D-4D3E-B8B5-23799A1BD5C7}"/>
    <cellStyle name="Output 2 5 3 11 3" xfId="30493" xr:uid="{4760FCBB-DE52-4F09-8B2C-FFAA107329F5}"/>
    <cellStyle name="Output 2 5 3 11 3 2" xfId="37338" xr:uid="{E1C7B814-E39A-4EA9-A11F-564F9493FE43}"/>
    <cellStyle name="Output 2 5 3 11 4" xfId="32575" xr:uid="{A762564B-A26B-4141-82FC-2972E9C8FC13}"/>
    <cellStyle name="Output 2 5 3 12" xfId="25819" xr:uid="{903AF196-17EA-428A-9A2C-920969BE3710}"/>
    <cellStyle name="Output 2 5 3 12 2" xfId="28485" xr:uid="{A9CA3E3E-AC19-4D80-9AE6-A3186B18B54D}"/>
    <cellStyle name="Output 2 5 3 12 2 2" xfId="35330" xr:uid="{575F8302-5874-4C3B-A713-F1044384B41A}"/>
    <cellStyle name="Output 2 5 3 12 3" xfId="30566" xr:uid="{324ADF7D-3ECE-4E75-86C9-36778DDCC861}"/>
    <cellStyle name="Output 2 5 3 12 3 2" xfId="37411" xr:uid="{C5703067-05ED-4A94-867F-80CADAE29E41}"/>
    <cellStyle name="Output 2 5 3 12 4" xfId="32648" xr:uid="{3CAACD71-7614-404D-9022-3CAC52408A1F}"/>
    <cellStyle name="Output 2 5 3 13" xfId="23957" xr:uid="{ED1E02E9-3AF3-499D-9347-94774D285FD0}"/>
    <cellStyle name="Output 2 5 3 13 2" xfId="26575" xr:uid="{DEEDB1D8-7F3B-4F94-A31E-E8C2AB2355EA}"/>
    <cellStyle name="Output 2 5 3 13 2 2" xfId="33415" xr:uid="{BECA05F1-05CC-4CDD-9F8D-24D75587A0AF}"/>
    <cellStyle name="Output 2 5 3 13 3" xfId="26053" xr:uid="{09B91DE5-9126-420B-8E78-97A5A4C41407}"/>
    <cellStyle name="Output 2 5 3 13 3 2" xfId="32882" xr:uid="{40D83765-AB87-4574-AAC2-4F91B510E7EC}"/>
    <cellStyle name="Output 2 5 3 13 4" xfId="23152" xr:uid="{C196C2B6-1817-43BC-A72F-AB7012A2B6AD}"/>
    <cellStyle name="Output 2 5 3 14" xfId="25951" xr:uid="{AEADDA5B-B40B-43F0-93EC-41B42D336BD1}"/>
    <cellStyle name="Output 2 5 3 14 2" xfId="28617" xr:uid="{C6F7BDBC-0834-4E57-AF3A-14C17D750A23}"/>
    <cellStyle name="Output 2 5 3 14 2 2" xfId="35462" xr:uid="{C9170A32-16FA-4687-8551-A5067B9AC77D}"/>
    <cellStyle name="Output 2 5 3 14 3" xfId="30698" xr:uid="{BB985FC9-B526-4015-9EBF-5C4434F88CBF}"/>
    <cellStyle name="Output 2 5 3 14 3 2" xfId="37543" xr:uid="{C9579916-1C34-4BF8-ABB4-374B6BBDB234}"/>
    <cellStyle name="Output 2 5 3 14 4" xfId="32780" xr:uid="{0F1B54AE-2BDC-4F22-8181-1BE4F51DED4D}"/>
    <cellStyle name="Output 2 5 3 15" xfId="26005" xr:uid="{506DACEE-89B8-4351-9A86-0FD942120249}"/>
    <cellStyle name="Output 2 5 3 15 2" xfId="28671" xr:uid="{63303FF7-DA96-402C-B148-556E0880BEB6}"/>
    <cellStyle name="Output 2 5 3 15 2 2" xfId="35516" xr:uid="{2654D1BE-F8B7-45E9-83B9-0BFC70624185}"/>
    <cellStyle name="Output 2 5 3 15 3" xfId="30752" xr:uid="{51005BAA-AB67-45A9-ACED-5CD6C79441B6}"/>
    <cellStyle name="Output 2 5 3 15 3 2" xfId="37597" xr:uid="{9AC91687-3AAA-48E3-ABC1-CE3A6705F8E0}"/>
    <cellStyle name="Output 2 5 3 15 4" xfId="32834" xr:uid="{35F91243-4F52-4597-A3EC-4D492A7C6756}"/>
    <cellStyle name="Output 2 5 3 16" xfId="24546" xr:uid="{B9F8D77F-35ED-4B0A-BBC5-74A5A8B8FF2E}"/>
    <cellStyle name="Output 2 5 3 17" xfId="16292" xr:uid="{C0330760-6A34-4FCA-8780-9979DF732069}"/>
    <cellStyle name="Output 2 5 3 18" xfId="38989" xr:uid="{B262E723-F898-4AB5-862B-923F2E0FBD4F}"/>
    <cellStyle name="Output 2 5 3 2" xfId="10476" xr:uid="{00000000-0005-0000-0000-0000CA200000}"/>
    <cellStyle name="Output 2 5 3 2 10" xfId="22234" xr:uid="{555A4A16-799A-40D5-9FE5-113D597BAD85}"/>
    <cellStyle name="Output 2 5 3 2 11" xfId="22625" xr:uid="{CA675842-7143-4983-8A7A-379DA314BD9A}"/>
    <cellStyle name="Output 2 5 3 2 12" xfId="22815" xr:uid="{4B0FF599-5227-421C-ABDF-B278146C7D7A}"/>
    <cellStyle name="Output 2 5 3 2 13" xfId="21388" xr:uid="{87D52245-4B79-4241-899C-6EE3E87FBABD}"/>
    <cellStyle name="Output 2 5 3 2 14" xfId="22950" xr:uid="{4FAB8280-5120-450B-B388-E7E9BC1D7E54}"/>
    <cellStyle name="Output 2 5 3 2 15" xfId="22658" xr:uid="{FEAD5379-A14D-46F8-833A-E0C43A391F97}"/>
    <cellStyle name="Output 2 5 3 2 16" xfId="31482" xr:uid="{792CCC8A-B8A5-4236-8BD3-CE68C57684A5}"/>
    <cellStyle name="Output 2 5 3 2 17" xfId="18772" xr:uid="{0F2A6EC4-5958-44D2-A146-76D3DE38DE61}"/>
    <cellStyle name="Output 2 5 3 2 18" xfId="42965" xr:uid="{35CED9CE-D43E-4A9F-896F-132DC78863E4}"/>
    <cellStyle name="Output 2 5 3 2 2" xfId="19773" xr:uid="{14FB81FB-B784-4167-82ED-9631E32E9B23}"/>
    <cellStyle name="Output 2 5 3 2 2 2" xfId="27320" xr:uid="{D3B300A6-D7E1-4CEF-BFF5-3C9B3D2A68A8}"/>
    <cellStyle name="Output 2 5 3 2 2 3" xfId="34164" xr:uid="{8CA1ED91-3D14-4C48-8D74-62FAC59AAAB8}"/>
    <cellStyle name="Output 2 5 3 2 3" xfId="20857" xr:uid="{87794F79-DEDE-45AF-A29E-AE39F7A350BD}"/>
    <cellStyle name="Output 2 5 3 2 3 2" xfId="29400" xr:uid="{C7F4AFBE-C036-4615-AC48-C3840C43FA62}"/>
    <cellStyle name="Output 2 5 3 2 3 3" xfId="36245" xr:uid="{4431D6B1-D020-40B2-9CD4-063AC34ADC55}"/>
    <cellStyle name="Output 2 5 3 2 4" xfId="21614" xr:uid="{2C4F5C5D-E04D-43E2-B31E-337836051FC8}"/>
    <cellStyle name="Output 2 5 3 2 5" xfId="21902" xr:uid="{B908535B-4831-482E-88FA-F79E725EAA79}"/>
    <cellStyle name="Output 2 5 3 2 6" xfId="19607" xr:uid="{D63555D0-FDC2-4CB8-9FE1-E5BC46F7A41A}"/>
    <cellStyle name="Output 2 5 3 2 7" xfId="19721" xr:uid="{F889932E-70EA-4450-BC73-E1009020D40E}"/>
    <cellStyle name="Output 2 5 3 2 8" xfId="20541" xr:uid="{5CF2A04F-7FAE-4DE7-B904-820ABA621729}"/>
    <cellStyle name="Output 2 5 3 2 9" xfId="22569" xr:uid="{4ADD2D1E-A7AE-4526-90B6-C8B4C9A75C54}"/>
    <cellStyle name="Output 2 5 3 3" xfId="18230" xr:uid="{76E5C25B-697C-426B-BF2A-CC38C879D72A}"/>
    <cellStyle name="Output 2 5 3 3 10" xfId="22104" xr:uid="{E6DEED61-669C-4C62-A133-8C7956B30678}"/>
    <cellStyle name="Output 2 5 3 3 11" xfId="19578" xr:uid="{7CEB1180-DA3E-4AAB-AED5-831943937921}"/>
    <cellStyle name="Output 2 5 3 3 12" xfId="22275" xr:uid="{94FDE52A-4CD4-4BAA-AA19-2322904C2042}"/>
    <cellStyle name="Output 2 5 3 3 13" xfId="21928" xr:uid="{185C976B-9338-4D4B-985D-0DAD4242CA49}"/>
    <cellStyle name="Output 2 5 3 3 14" xfId="22403" xr:uid="{7F8BA737-C8AC-494E-A73F-6AC1CFEA33E1}"/>
    <cellStyle name="Output 2 5 3 3 15" xfId="23012" xr:uid="{5FFBBCBD-A6EE-42EA-91D3-8A83CC9858ED}"/>
    <cellStyle name="Output 2 5 3 3 16" xfId="23379" xr:uid="{6596A4C8-5834-4D68-B0FE-F5FEA63CC814}"/>
    <cellStyle name="Output 2 5 3 3 2" xfId="20324" xr:uid="{7CF29DAE-8F26-47BA-BF27-5B07896B7AD3}"/>
    <cellStyle name="Output 2 5 3 3 2 2" xfId="26425" xr:uid="{668AFC3D-34AE-4051-BC9B-501DBBB89D97}"/>
    <cellStyle name="Output 2 5 3 3 2 3" xfId="33265" xr:uid="{315B9D52-ABF8-4D77-B8D9-1522C6D8D49E}"/>
    <cellStyle name="Output 2 5 3 3 3" xfId="21244" xr:uid="{CF000A5D-DCBC-4E62-A127-A5B351917C33}"/>
    <cellStyle name="Output 2 5 3 3 3 2" xfId="26257" xr:uid="{22EBA52A-6CB8-43F8-8C47-2CE8077CE2E2}"/>
    <cellStyle name="Output 2 5 3 3 3 3" xfId="33085" xr:uid="{A81005EF-90B3-4916-B2A3-F335E877E5EC}"/>
    <cellStyle name="Output 2 5 3 3 4" xfId="19424" xr:uid="{DB6B3D83-B1CB-4736-88B7-BC5A37A36ED6}"/>
    <cellStyle name="Output 2 5 3 3 5" xfId="21763" xr:uid="{EBDDE374-70EE-47FE-AA35-83B7A4660AC7}"/>
    <cellStyle name="Output 2 5 3 3 6" xfId="21272" xr:uid="{9670A715-90C2-487F-A39D-AB6BF4BA4E85}"/>
    <cellStyle name="Output 2 5 3 3 7" xfId="22109" xr:uid="{EB84257B-6B6D-4C0A-B3F0-DE9E452DD88E}"/>
    <cellStyle name="Output 2 5 3 3 8" xfId="21935" xr:uid="{A938AF6A-DD5F-4F64-8F49-09C45459644C}"/>
    <cellStyle name="Output 2 5 3 3 9" xfId="21611" xr:uid="{D4608167-2B94-4CED-B0CD-BA1D5F42D135}"/>
    <cellStyle name="Output 2 5 3 4" xfId="17809" xr:uid="{D6C0FC40-7797-4B72-BAF7-BADE5B02D378}"/>
    <cellStyle name="Output 2 5 3 4 2" xfId="26801" xr:uid="{26D5C346-0615-4E37-BEAC-A11E30900570}"/>
    <cellStyle name="Output 2 5 3 4 2 2" xfId="33641" xr:uid="{98B49D56-9B99-45C7-B5F7-BEC29B58757D}"/>
    <cellStyle name="Output 2 5 3 4 3" xfId="28877" xr:uid="{CDFB337F-90E2-484C-ACFD-FBC87DF3C308}"/>
    <cellStyle name="Output 2 5 3 4 3 2" xfId="35722" xr:uid="{FED7CEF0-925A-4353-9A3C-1674C6D04B19}"/>
    <cellStyle name="Output 2 5 3 4 4" xfId="24191" xr:uid="{0270A4A2-143D-4506-8E22-44CEF7A15D99}"/>
    <cellStyle name="Output 2 5 3 4 5" xfId="30959" xr:uid="{EB361ED8-8EF2-41F5-AB4C-ACCCBDC8BFCA}"/>
    <cellStyle name="Output 2 5 3 5" xfId="25093" xr:uid="{22578B30-07D2-4049-9CA4-971268AB87AC}"/>
    <cellStyle name="Output 2 5 3 5 2" xfId="27765" xr:uid="{6369E67B-155A-4171-9B64-CC124CED7BA5}"/>
    <cellStyle name="Output 2 5 3 5 2 2" xfId="34610" xr:uid="{A7B9655C-EF90-4434-9E7F-576A37A03020}"/>
    <cellStyle name="Output 2 5 3 5 3" xfId="29846" xr:uid="{16662BD3-C670-4251-8935-E56416176E19}"/>
    <cellStyle name="Output 2 5 3 5 3 2" xfId="36691" xr:uid="{6192D66E-5359-48F1-8F92-77F0840D170A}"/>
    <cellStyle name="Output 2 5 3 5 4" xfId="31928" xr:uid="{841CB821-231E-4E41-9067-1A93D101FCA3}"/>
    <cellStyle name="Output 2 5 3 6" xfId="25011" xr:uid="{B9E14EF6-89E8-4D19-9473-4BE00CD6C3A6}"/>
    <cellStyle name="Output 2 5 3 6 2" xfId="27683" xr:uid="{BDEAE563-8163-41C9-89B3-74A273965524}"/>
    <cellStyle name="Output 2 5 3 6 2 2" xfId="34528" xr:uid="{F006A1EF-C99A-4FE2-81A3-1A5F79DCB037}"/>
    <cellStyle name="Output 2 5 3 6 3" xfId="29764" xr:uid="{D9B745F5-4921-4C28-98EC-C0E58038354A}"/>
    <cellStyle name="Output 2 5 3 6 3 2" xfId="36609" xr:uid="{B599B6F9-6653-47C3-987F-AB65D4FE87F2}"/>
    <cellStyle name="Output 2 5 3 6 4" xfId="31846" xr:uid="{9DC9A04F-3C87-46F2-906C-67DDD1F76D95}"/>
    <cellStyle name="Output 2 5 3 7" xfId="23789" xr:uid="{EE848B59-1FEB-42E8-8D58-16418F6AE886}"/>
    <cellStyle name="Output 2 5 3 7 2" xfId="26402" xr:uid="{BA72DF08-2895-4015-BE39-2ED206598D7C}"/>
    <cellStyle name="Output 2 5 3 7 2 2" xfId="33242" xr:uid="{4548019F-FE57-423C-B52D-590950303BF8}"/>
    <cellStyle name="Output 2 5 3 7 3" xfId="26279" xr:uid="{60F1BCD9-AC83-4D28-BA1B-0903833394C1}"/>
    <cellStyle name="Output 2 5 3 7 3 2" xfId="33107" xr:uid="{7DACEDF1-F486-4DC6-A8BA-C6F9121C33FC}"/>
    <cellStyle name="Output 2 5 3 7 4" xfId="23402" xr:uid="{C34DBCC3-BE1C-4908-B392-055C39D640C6}"/>
    <cellStyle name="Output 2 5 3 8" xfId="24849" xr:uid="{7F9FB83F-1A29-4ECF-B589-6C0CF6AAFDB0}"/>
    <cellStyle name="Output 2 5 3 8 2" xfId="27509" xr:uid="{FD20C06A-45C9-4DB7-AB1F-8A56CF028C04}"/>
    <cellStyle name="Output 2 5 3 8 2 2" xfId="34353" xr:uid="{60B31170-D77A-48D0-A0BE-CD2ADF9A6C20}"/>
    <cellStyle name="Output 2 5 3 8 3" xfId="29589" xr:uid="{5E7B473D-CDFE-4A39-963E-7BC79786A8D1}"/>
    <cellStyle name="Output 2 5 3 8 3 2" xfId="36434" xr:uid="{A265F909-7F76-45CD-B765-C0DA5048A24F}"/>
    <cellStyle name="Output 2 5 3 8 4" xfId="31671" xr:uid="{DD3EF870-B478-4339-BA0E-48D3F38A77D9}"/>
    <cellStyle name="Output 2 5 3 9" xfId="25437" xr:uid="{593B1865-78B3-406E-B9DE-F7BE6DE12BCA}"/>
    <cellStyle name="Output 2 5 3 9 2" xfId="28104" xr:uid="{CD884301-C2EF-4F28-9604-54B623826DC0}"/>
    <cellStyle name="Output 2 5 3 9 2 2" xfId="34949" xr:uid="{28E6F555-791B-4AFC-8016-2994CB4AF59D}"/>
    <cellStyle name="Output 2 5 3 9 3" xfId="30185" xr:uid="{22427AB3-ACFB-40E9-8A7D-6E43967E921E}"/>
    <cellStyle name="Output 2 5 3 9 3 2" xfId="37030" xr:uid="{FA5456BA-45BD-4286-AF13-78598CBE8033}"/>
    <cellStyle name="Output 2 5 3 9 4" xfId="32267" xr:uid="{409AC33E-4259-47FD-8163-C2BFFFE86FB3}"/>
    <cellStyle name="Output 2 5 4" xfId="10474" xr:uid="{00000000-0005-0000-0000-0000C8200000}"/>
    <cellStyle name="Output 2 5 4 10" xfId="22318" xr:uid="{72F906F4-2845-492D-90A2-F6AD54F048F4}"/>
    <cellStyle name="Output 2 5 4 11" xfId="22132" xr:uid="{94088D66-09A5-49B1-9596-73AA66ABE81A}"/>
    <cellStyle name="Output 2 5 4 12" xfId="22814" xr:uid="{15F20D47-F353-446E-99C6-B358DC3FD1A9}"/>
    <cellStyle name="Output 2 5 4 13" xfId="22394" xr:uid="{C07861DC-F41F-421E-9CB8-08189416B6BF}"/>
    <cellStyle name="Output 2 5 4 14" xfId="22949" xr:uid="{CBCAD1A3-A232-498E-BD4E-EAFBCE1A7186}"/>
    <cellStyle name="Output 2 5 4 15" xfId="22676" xr:uid="{FD5D3D2D-D226-4D3D-A155-B8634F37643A}"/>
    <cellStyle name="Output 2 5 4 16" xfId="23716" xr:uid="{DD19DE0A-E99F-4083-8F66-FF1C56D0A171}"/>
    <cellStyle name="Output 2 5 4 17" xfId="18771" xr:uid="{7F882037-522C-4ED6-9DAC-0AF95501338F}"/>
    <cellStyle name="Output 2 5 4 18" xfId="42963" xr:uid="{73DE1828-26A5-4B2E-AA32-5035FFF052AC}"/>
    <cellStyle name="Output 2 5 4 2" xfId="19774" xr:uid="{BF64C114-0EE0-4181-BF28-8B9227F25B12}"/>
    <cellStyle name="Output 2 5 4 3" xfId="20875" xr:uid="{AFFAB3D0-15F1-4E72-9036-D3366063EEEE}"/>
    <cellStyle name="Output 2 5 4 4" xfId="19525" xr:uid="{3711B247-04FB-41B4-9D2F-2CA925A1EAB2}"/>
    <cellStyle name="Output 2 5 4 5" xfId="20862" xr:uid="{E8F4CAE1-BC4D-4443-8758-381152707FD0}"/>
    <cellStyle name="Output 2 5 4 6" xfId="19111" xr:uid="{863CC712-877C-4FCF-87D8-9D79994AB119}"/>
    <cellStyle name="Output 2 5 4 7" xfId="20542" xr:uid="{7A123679-C3E3-4C62-8A44-0B0C54024BD6}"/>
    <cellStyle name="Output 2 5 4 8" xfId="19197" xr:uid="{AE297C93-A997-493C-894E-B079A92A10E2}"/>
    <cellStyle name="Output 2 5 4 9" xfId="22568" xr:uid="{7316BFFA-0BD5-44B5-AF3F-F87591652511}"/>
    <cellStyle name="Output 2 5 5" xfId="8296" xr:uid="{00000000-0005-0000-0000-0000B50F0000}"/>
    <cellStyle name="Output 2 5 5 10" xfId="19441" xr:uid="{BCC6713B-6C77-493C-A6D6-A51A194CE550}"/>
    <cellStyle name="Output 2 5 5 11" xfId="22131" xr:uid="{DA03225D-435D-4E64-A3D1-998038D1E6B4}"/>
    <cellStyle name="Output 2 5 5 12" xfId="19359" xr:uid="{418C6D16-1A06-4F76-939F-926DDE24DF7B}"/>
    <cellStyle name="Output 2 5 5 13" xfId="19027" xr:uid="{9D90F49F-CF1A-48D7-9BC6-E7301BE82C02}"/>
    <cellStyle name="Output 2 5 5 14" xfId="22316" xr:uid="{B205A41B-82C5-4F81-92DC-9915FBD006AF}"/>
    <cellStyle name="Output 2 5 5 15" xfId="22671" xr:uid="{8EE670CF-44DB-48D9-8EF1-DF45EF9E00C0}"/>
    <cellStyle name="Output 2 5 5 16" xfId="31356" xr:uid="{8545A3DF-7F98-472F-AFBC-0E0BE14C3DC8}"/>
    <cellStyle name="Output 2 5 5 17" xfId="18228" xr:uid="{6D33FC6E-6BA3-4649-845C-4B56EC5ACD46}"/>
    <cellStyle name="Output 2 5 5 2" xfId="21438" xr:uid="{E1356B67-DB30-481B-BFC3-B7A6C696C575}"/>
    <cellStyle name="Output 2 5 5 2 2" xfId="27197" xr:uid="{7B0794FC-5F92-4FDA-99C6-2330EA630B46}"/>
    <cellStyle name="Output 2 5 5 2 3" xfId="34038" xr:uid="{C6D1574C-FD3C-4C4C-8EE5-45D320FFC589}"/>
    <cellStyle name="Output 2 5 5 3" xfId="19136" xr:uid="{DBF88CFC-EE1C-4136-9FE1-741B8C8CA8CF}"/>
    <cellStyle name="Output 2 5 5 3 2" xfId="29274" xr:uid="{009B3596-87CC-4CC4-8547-78D8DC4DF5FC}"/>
    <cellStyle name="Output 2 5 5 3 3" xfId="36119" xr:uid="{74AD6BEB-15EF-4C28-9581-B9B5286C88C2}"/>
    <cellStyle name="Output 2 5 5 4" xfId="18880" xr:uid="{381CAF0A-61C7-4B47-888A-B0650C977A17}"/>
    <cellStyle name="Output 2 5 5 5" xfId="20794" xr:uid="{2962524F-2C3F-455E-AEBB-1CCC4051A5E8}"/>
    <cellStyle name="Output 2 5 5 6" xfId="19169" xr:uid="{7603A0EA-353A-4D5B-B69C-7F41471B99E3}"/>
    <cellStyle name="Output 2 5 5 7" xfId="19292" xr:uid="{3E5F261D-4B2A-4A21-BCF1-88EFF84710D7}"/>
    <cellStyle name="Output 2 5 5 8" xfId="21402" xr:uid="{F67CC513-5C6D-420D-8BF6-5266ACA9ADCE}"/>
    <cellStyle name="Output 2 5 5 9" xfId="22105" xr:uid="{F4826001-4FCC-45AB-B897-B3B4F72B28F7}"/>
    <cellStyle name="Output 2 5 6" xfId="17538" xr:uid="{DC46060A-D9A0-4737-A1DD-BD0779017ACB}"/>
    <cellStyle name="Output 2 5 6 2" xfId="27362" xr:uid="{F6F936DA-99F3-4ACD-A6A4-34F70218E4CD}"/>
    <cellStyle name="Output 2 5 6 2 2" xfId="34206" xr:uid="{6951F9CD-D71B-4092-803D-9D3C6D5F5FF2}"/>
    <cellStyle name="Output 2 5 6 3" xfId="29442" xr:uid="{8D579F5D-722B-4781-AF45-299F534BB0D0}"/>
    <cellStyle name="Output 2 5 6 3 2" xfId="36287" xr:uid="{BEB2A4F7-7109-4E9C-85DE-E4290CB622F3}"/>
    <cellStyle name="Output 2 5 6 4" xfId="24713" xr:uid="{3029DACB-F69D-4513-A015-000F521FC955}"/>
    <cellStyle name="Output 2 5 6 5" xfId="31524" xr:uid="{8F0738EA-BF19-4A60-92D9-F9261DDCF980}"/>
    <cellStyle name="Output 2 5 7" xfId="24462" xr:uid="{EA561597-8493-4312-AC71-963CD677A608}"/>
    <cellStyle name="Output 2 5 7 2" xfId="27078" xr:uid="{BC3D1DEE-120A-40E3-BD50-F3DF93F9541D}"/>
    <cellStyle name="Output 2 5 7 2 2" xfId="33918" xr:uid="{172572F6-A199-428E-9DDB-909688C0C303}"/>
    <cellStyle name="Output 2 5 7 3" xfId="29154" xr:uid="{09DB8B54-3B3D-4DAD-A309-C57F08161D48}"/>
    <cellStyle name="Output 2 5 7 3 2" xfId="35999" xr:uid="{F228F328-000F-4994-8918-B322017D3C7E}"/>
    <cellStyle name="Output 2 5 7 4" xfId="31236" xr:uid="{544C9FF2-37C7-4960-9A07-C92D6A3E1DC9}"/>
    <cellStyle name="Output 2 5 8" xfId="24261" xr:uid="{218E6084-A50B-4C7C-A5D1-E406060F6C6E}"/>
    <cellStyle name="Output 2 5 8 2" xfId="26868" xr:uid="{DC1DA551-CFDE-4498-9A2B-C5A1299D971B}"/>
    <cellStyle name="Output 2 5 8 2 2" xfId="33708" xr:uid="{110D328C-FD7F-4746-B95F-3BD5E24CF6DE}"/>
    <cellStyle name="Output 2 5 8 3" xfId="28944" xr:uid="{8F8A8F16-B8D5-4BFF-AA37-E5309C27654E}"/>
    <cellStyle name="Output 2 5 8 3 2" xfId="35789" xr:uid="{07D082F8-EB6C-459E-9489-5643FE5345AE}"/>
    <cellStyle name="Output 2 5 8 4" xfId="31026" xr:uid="{5A274364-8082-4053-970C-EBA7F843DFC8}"/>
    <cellStyle name="Output 2 5 9" xfId="24574" xr:uid="{D3240436-EEFA-4B70-9354-D74DFF0DB7FE}"/>
    <cellStyle name="Output 2 5 9 2" xfId="27165" xr:uid="{FFF973D4-AAFD-42B4-BFE2-6D0C0B881633}"/>
    <cellStyle name="Output 2 5 9 2 2" xfId="34006" xr:uid="{E182CE91-CE59-44D7-B63C-2B5487D24C5E}"/>
    <cellStyle name="Output 2 5 9 3" xfId="29242" xr:uid="{4D247829-3C05-4BFD-82E0-3E6867380C4F}"/>
    <cellStyle name="Output 2 5 9 3 2" xfId="36087" xr:uid="{C9E1A205-EF36-412D-B14C-0EE614271F45}"/>
    <cellStyle name="Output 2 5 9 4" xfId="31324" xr:uid="{74D080A5-9D20-42A9-ADC6-825E0D797437}"/>
    <cellStyle name="Output 2 6" xfId="4955" xr:uid="{00000000-0005-0000-0000-000080130000}"/>
    <cellStyle name="Output 2 6 10" xfId="25375" xr:uid="{2DB1E1FF-548B-42A1-84DE-3D9B59852554}"/>
    <cellStyle name="Output 2 6 10 2" xfId="28042" xr:uid="{70245B80-F3B6-4BEF-8265-20C227EDFAE1}"/>
    <cellStyle name="Output 2 6 10 2 2" xfId="34887" xr:uid="{F2187999-6E47-4950-AB64-03C0374FDB12}"/>
    <cellStyle name="Output 2 6 10 3" xfId="30123" xr:uid="{67E43C7A-E1C2-4523-B8F6-D5134194C79A}"/>
    <cellStyle name="Output 2 6 10 3 2" xfId="36968" xr:uid="{3CDAAC1D-689A-4F66-ADC5-3D3BB12BF47E}"/>
    <cellStyle name="Output 2 6 10 4" xfId="32205" xr:uid="{5FF86201-EDB5-43CD-8906-C76ABB702C07}"/>
    <cellStyle name="Output 2 6 11" xfId="24206" xr:uid="{7777CA89-C793-4E7D-B728-8BCA944757B5}"/>
    <cellStyle name="Output 2 6 11 2" xfId="26816" xr:uid="{C07479F8-C1E0-43FA-91C1-2AE3B881FF5D}"/>
    <cellStyle name="Output 2 6 11 2 2" xfId="33656" xr:uid="{64C60B13-43ED-409E-A908-F8F0249F275A}"/>
    <cellStyle name="Output 2 6 11 3" xfId="28892" xr:uid="{8203ABEF-B300-49E4-A5C6-2BA311B3C97A}"/>
    <cellStyle name="Output 2 6 11 3 2" xfId="35737" xr:uid="{3E81ADC3-252C-4C74-890E-FC9EC1F290D6}"/>
    <cellStyle name="Output 2 6 11 4" xfId="30974" xr:uid="{90474571-88E9-4905-B2F1-CB229EE0E2F5}"/>
    <cellStyle name="Output 2 6 12" xfId="24219" xr:uid="{7D68C3BC-6C00-401E-8366-9E65809AC9BF}"/>
    <cellStyle name="Output 2 6 12 2" xfId="26828" xr:uid="{5C0F817C-F747-4ACA-8D39-B79973F1E56F}"/>
    <cellStyle name="Output 2 6 12 2 2" xfId="33668" xr:uid="{A5555C98-DCAF-4992-99AC-D703CCA95CD4}"/>
    <cellStyle name="Output 2 6 12 3" xfId="28904" xr:uid="{5B502CB7-0CCC-4CE3-A306-BDB90E0D02DD}"/>
    <cellStyle name="Output 2 6 12 3 2" xfId="35749" xr:uid="{69BF886D-510D-4E16-B97C-5B05FDFEB7C6}"/>
    <cellStyle name="Output 2 6 12 4" xfId="30986" xr:uid="{081CDAD8-16F2-4F97-B6B7-49E56633EC2D}"/>
    <cellStyle name="Output 2 6 13" xfId="25481" xr:uid="{D8E03D36-803B-44D2-8D7D-EF5898C5653B}"/>
    <cellStyle name="Output 2 6 13 2" xfId="28148" xr:uid="{BB68D760-8C1C-4316-8F11-D9AC50A28913}"/>
    <cellStyle name="Output 2 6 13 2 2" xfId="34993" xr:uid="{91C5F7E2-4B42-445E-94AB-80216BA85D7D}"/>
    <cellStyle name="Output 2 6 13 3" xfId="30229" xr:uid="{5E81ECBF-9036-4DC1-82BB-0012DA7A9BC0}"/>
    <cellStyle name="Output 2 6 13 3 2" xfId="37074" xr:uid="{B3B2A069-3FAD-4840-8324-CFA6DE365AF1}"/>
    <cellStyle name="Output 2 6 13 4" xfId="32311" xr:uid="{F2AD2CA2-754B-4496-8C37-CEA87A12D386}"/>
    <cellStyle name="Output 2 6 14" xfId="25612" xr:uid="{53587F46-DB15-40C8-B929-3E8AFF587EF2}"/>
    <cellStyle name="Output 2 6 14 2" xfId="28279" xr:uid="{B2A4A72C-18D3-4DA9-BF58-81012CBC9C13}"/>
    <cellStyle name="Output 2 6 14 2 2" xfId="35124" xr:uid="{25FCAF94-07B4-460E-B5E1-F0194F36DCCD}"/>
    <cellStyle name="Output 2 6 14 3" xfId="30360" xr:uid="{074CFBD0-AD27-4E9F-9693-3A1A2361ABCC}"/>
    <cellStyle name="Output 2 6 14 3 2" xfId="37205" xr:uid="{82E1B434-4C51-41C9-BD32-2A4D1A9A7B6C}"/>
    <cellStyle name="Output 2 6 14 4" xfId="32442" xr:uid="{248000E1-E11D-4BD1-9FF7-6B2F23326EDB}"/>
    <cellStyle name="Output 2 6 15" xfId="25790" xr:uid="{D4F7FED7-4B8D-485F-A8E7-C5CD04E4E40B}"/>
    <cellStyle name="Output 2 6 15 2" xfId="28456" xr:uid="{AA5C4410-137E-4FCC-BC22-8A58C7FF57EC}"/>
    <cellStyle name="Output 2 6 15 2 2" xfId="35301" xr:uid="{752A7AED-E739-4075-8997-47306B7324FC}"/>
    <cellStyle name="Output 2 6 15 3" xfId="30537" xr:uid="{A4EF340E-D3F6-4E83-BE00-72E03ADF7956}"/>
    <cellStyle name="Output 2 6 15 3 2" xfId="37382" xr:uid="{2C97DE3D-B6F7-4269-A994-54881B3F07F2}"/>
    <cellStyle name="Output 2 6 15 4" xfId="32619" xr:uid="{753EA121-3D5C-4C08-9B12-722FD557D6F6}"/>
    <cellStyle name="Output 2 6 16" xfId="24677" xr:uid="{98354158-7A86-4C16-AB75-12E75854EB42}"/>
    <cellStyle name="Output 2 6 16 2" xfId="27291" xr:uid="{2D5DA1D9-A6FE-47A2-B79B-0CBAC3161246}"/>
    <cellStyle name="Output 2 6 16 2 2" xfId="34135" xr:uid="{44E786BA-38C5-49F9-A05B-DECE70DEEC46}"/>
    <cellStyle name="Output 2 6 16 3" xfId="29371" xr:uid="{02BCC876-03B1-4209-BEB9-3730E6CFC267}"/>
    <cellStyle name="Output 2 6 16 3 2" xfId="36216" xr:uid="{2B7EAB7C-BCB1-4466-9A17-AE416DACC539}"/>
    <cellStyle name="Output 2 6 16 4" xfId="31453" xr:uid="{018EFCF9-A6D7-425A-966F-2942CF7FCFD0}"/>
    <cellStyle name="Output 2 6 17" xfId="23610" xr:uid="{AE1591D8-4CF8-40E0-9616-3D5E69ED370E}"/>
    <cellStyle name="Output 2 6 18" xfId="16293" xr:uid="{1C655AD8-900C-4999-950C-B963D6FAC445}"/>
    <cellStyle name="Output 2 6 19" xfId="38990" xr:uid="{5FE8ECBA-6D17-4CD0-8C3A-35E69BA81C06}"/>
    <cellStyle name="Output 2 6 2" xfId="4956" xr:uid="{00000000-0005-0000-0000-000081130000}"/>
    <cellStyle name="Output 2 6 2 2" xfId="10478" xr:uid="{00000000-0005-0000-0000-0000CC200000}"/>
    <cellStyle name="Output 2 6 2 2 2" xfId="42967" xr:uid="{A225448C-7F3D-42F9-A7D5-9DF16807583F}"/>
    <cellStyle name="Output 2 6 2 3" xfId="16294" xr:uid="{6D529FA7-FE6F-4CDF-9191-1C242941BA0D}"/>
    <cellStyle name="Output 2 6 2 4" xfId="38991" xr:uid="{15153F1E-9EEA-4F8C-A7A9-190B6A8C0925}"/>
    <cellStyle name="Output 2 6 3" xfId="4957" xr:uid="{00000000-0005-0000-0000-000082130000}"/>
    <cellStyle name="Output 2 6 3 10" xfId="22068" xr:uid="{9CC46AD0-52F6-4ED5-BAC3-5186560151BB}"/>
    <cellStyle name="Output 2 6 3 11" xfId="19042" xr:uid="{F929AD4D-5453-4659-8AD4-3BE0774A909C}"/>
    <cellStyle name="Output 2 6 3 12" xfId="18931" xr:uid="{55AB3E44-A4FE-4DEB-9AAC-05CC829F30B6}"/>
    <cellStyle name="Output 2 6 3 13" xfId="19353" xr:uid="{032F6A59-05E2-4DCB-AA50-06E202313F81}"/>
    <cellStyle name="Output 2 6 3 14" xfId="22417" xr:uid="{D6CDF8A4-A799-4EC4-9B96-719BA1590A99}"/>
    <cellStyle name="Output 2 6 3 15" xfId="20947" xr:uid="{5FD838AB-0E2E-48E2-98FC-8724271A12D2}"/>
    <cellStyle name="Output 2 6 3 16" xfId="21311" xr:uid="{82EE8EE4-BF60-4624-AB17-F870107C4365}"/>
    <cellStyle name="Output 2 6 3 17" xfId="18232" xr:uid="{CC311CD6-2512-4278-A236-85B61EBC1AC7}"/>
    <cellStyle name="Output 2 6 3 18" xfId="31400" xr:uid="{23DF28CA-74D3-4238-A476-87968E53EF0A}"/>
    <cellStyle name="Output 2 6 3 19" xfId="16295" xr:uid="{43B08D7A-7A47-49A4-9957-9D6AC1E8F9C1}"/>
    <cellStyle name="Output 2 6 3 2" xfId="10479" xr:uid="{00000000-0005-0000-0000-0000CD200000}"/>
    <cellStyle name="Output 2 6 3 2 10" xfId="19332" xr:uid="{98AFF7C8-277A-4180-A3DA-4F0D78131685}"/>
    <cellStyle name="Output 2 6 3 2 11" xfId="19323" xr:uid="{3F4E98C5-766C-4F98-BEDD-333D04FAC1D4}"/>
    <cellStyle name="Output 2 6 3 2 12" xfId="22817" xr:uid="{ABF4D5E7-F698-4806-AE23-AD7F17B71BBF}"/>
    <cellStyle name="Output 2 6 3 2 13" xfId="22454" xr:uid="{C221C938-1272-468E-B690-A10688C26141}"/>
    <cellStyle name="Output 2 6 3 2 14" xfId="22952" xr:uid="{9195F0E2-B333-473F-A04C-ECF84414130E}"/>
    <cellStyle name="Output 2 6 3 2 15" xfId="22189" xr:uid="{18EBAF9D-616C-42EE-899A-5C03DF96CB21}"/>
    <cellStyle name="Output 2 6 3 2 16" xfId="34082" xr:uid="{06F55524-6A77-4AED-A03D-187468C9DE39}"/>
    <cellStyle name="Output 2 6 3 2 17" xfId="18774" xr:uid="{CE6BA6FB-C689-448A-B6DA-A376CA94E737}"/>
    <cellStyle name="Output 2 6 3 2 18" xfId="42968" xr:uid="{D2410547-6AF1-478E-A364-4EB6C6B30FDF}"/>
    <cellStyle name="Output 2 6 3 2 2" xfId="19771" xr:uid="{E212C304-A63E-40F0-8E0A-FCEA49BA444D}"/>
    <cellStyle name="Output 2 6 3 2 3" xfId="19905" xr:uid="{2AD0893B-B2B7-45C0-AB78-B89ECFA01868}"/>
    <cellStyle name="Output 2 6 3 2 4" xfId="20904" xr:uid="{D9AD75C2-04D8-4020-B0C9-50076818AF57}"/>
    <cellStyle name="Output 2 6 3 2 5" xfId="21227" xr:uid="{CC7AA0EF-7767-42B1-82F8-733E9F838B62}"/>
    <cellStyle name="Output 2 6 3 2 6" xfId="22091" xr:uid="{9856C569-7631-4BAC-9E97-0AEBAFC9F021}"/>
    <cellStyle name="Output 2 6 3 2 7" xfId="18884" xr:uid="{EDBB8906-5748-449E-84BA-2A9D8AEB8840}"/>
    <cellStyle name="Output 2 6 3 2 8" xfId="19092" xr:uid="{FBEAB602-135B-4C1A-9B30-59D6AA9F430D}"/>
    <cellStyle name="Output 2 6 3 2 9" xfId="22571" xr:uid="{B2F2CB78-08D5-4E67-8763-8CA36B721683}"/>
    <cellStyle name="Output 2 6 3 20" xfId="38992" xr:uid="{83318F22-C565-41FA-8180-C718D905B093}"/>
    <cellStyle name="Output 2 6 3 3" xfId="20323" xr:uid="{A610ACE3-4F3E-4496-8239-EA103A6D0699}"/>
    <cellStyle name="Output 2 6 3 3 2" xfId="29318" xr:uid="{0B46A4D0-A3F1-4D50-9DC1-BB3DF57409DC}"/>
    <cellStyle name="Output 2 6 3 3 3" xfId="36163" xr:uid="{C3C1A92B-2FAF-43A6-8C66-C119B1A92865}"/>
    <cellStyle name="Output 2 6 3 4" xfId="21243" xr:uid="{C82F0E41-F995-48F4-9B61-80C16BAF9686}"/>
    <cellStyle name="Output 2 6 3 5" xfId="20183" xr:uid="{48FA4580-0937-4812-A4EE-E96E8A0240AE}"/>
    <cellStyle name="Output 2 6 3 6" xfId="20619" xr:uid="{0152E18F-6784-481A-ADC0-AB525D09A202}"/>
    <cellStyle name="Output 2 6 3 7" xfId="21606" xr:uid="{671B3F0E-22EB-40ED-BCAD-2767B64302D6}"/>
    <cellStyle name="Output 2 6 3 8" xfId="21717" xr:uid="{D35B0344-A878-407F-AAB2-8B076FE973F2}"/>
    <cellStyle name="Output 2 6 3 9" xfId="22141" xr:uid="{9E175319-CE82-4EB0-86A6-E77195EE5214}"/>
    <cellStyle name="Output 2 6 4" xfId="10477" xr:uid="{00000000-0005-0000-0000-0000CB200000}"/>
    <cellStyle name="Output 2 6 4 10" xfId="21525" xr:uid="{DB2089EE-28A0-41B9-A365-5A42A40054D8}"/>
    <cellStyle name="Output 2 6 4 11" xfId="21536" xr:uid="{D2FC89C3-7AE1-4ECC-BDF9-42EAB511F1BC}"/>
    <cellStyle name="Output 2 6 4 12" xfId="22816" xr:uid="{19BEA067-0662-4A48-BBE4-632A5AAAF84F}"/>
    <cellStyle name="Output 2 6 4 13" xfId="22364" xr:uid="{2C28B848-6CA7-4CF4-9B7D-7DDAE205AEC7}"/>
    <cellStyle name="Output 2 6 4 14" xfId="22951" xr:uid="{C4EC39C6-61F1-42E8-8C17-9D5146A4EF45}"/>
    <cellStyle name="Output 2 6 4 15" xfId="19201" xr:uid="{5387DCC1-93A0-4010-8311-034499D012E6}"/>
    <cellStyle name="Output 2 6 4 16" xfId="31647" xr:uid="{E77BAA68-6F02-416D-A805-4C612BB0A7B9}"/>
    <cellStyle name="Output 2 6 4 17" xfId="18773" xr:uid="{8023FFDC-1A5B-42C6-9186-55345032B324}"/>
    <cellStyle name="Output 2 6 4 18" xfId="42966" xr:uid="{A3ACA311-762F-4CBE-88F1-7149988B8994}"/>
    <cellStyle name="Output 2 6 4 2" xfId="19772" xr:uid="{692F9EB8-0C62-48E8-9F8C-18319966020B}"/>
    <cellStyle name="Output 2 6 4 2 2" xfId="27485" xr:uid="{B782AFB6-751F-4387-A9DE-D6202DA154A5}"/>
    <cellStyle name="Output 2 6 4 2 3" xfId="34329" xr:uid="{4D4CC639-3C78-419F-A36D-D72B0958F042}"/>
    <cellStyle name="Output 2 6 4 3" xfId="20777" xr:uid="{A783F628-EBD2-49F0-9CAE-53AD561310D1}"/>
    <cellStyle name="Output 2 6 4 3 2" xfId="29565" xr:uid="{13456269-9935-4928-8EA3-B9E970971E9D}"/>
    <cellStyle name="Output 2 6 4 3 3" xfId="36410" xr:uid="{B2360E1D-3EDC-4C8B-A3EC-FE13EAE8E8E6}"/>
    <cellStyle name="Output 2 6 4 4" xfId="21097" xr:uid="{173F58CF-D2B2-4DF5-9115-A3A4B1227D68}"/>
    <cellStyle name="Output 2 6 4 5" xfId="21228" xr:uid="{B385EC2F-1C1A-4FAE-B507-1F55F77BDAEE}"/>
    <cellStyle name="Output 2 6 4 6" xfId="19546" xr:uid="{31262FAF-A438-46BA-9E47-F48283D4151A}"/>
    <cellStyle name="Output 2 6 4 7" xfId="19685" xr:uid="{223E026A-9D12-48C3-841A-B9D0751B8D48}"/>
    <cellStyle name="Output 2 6 4 8" xfId="21448" xr:uid="{6733A026-92AA-4071-B687-07041DA4B6B2}"/>
    <cellStyle name="Output 2 6 4 9" xfId="22570" xr:uid="{D3076236-046F-45FB-B991-AD43AF4C50F6}"/>
    <cellStyle name="Output 2 6 5" xfId="8299" xr:uid="{00000000-0005-0000-0000-0000B60F0000}"/>
    <cellStyle name="Output 2 6 5 10" xfId="19432" xr:uid="{1F0C0618-5718-40CC-9534-96BD430016BD}"/>
    <cellStyle name="Output 2 6 5 11" xfId="22651" xr:uid="{DFFEFBB6-C0DC-4AE3-85CA-850AC2BAB695}"/>
    <cellStyle name="Output 2 6 5 12" xfId="19568" xr:uid="{948BDB99-7BE0-4F26-8E9A-6082B51EF753}"/>
    <cellStyle name="Output 2 6 5 13" xfId="20668" xr:uid="{8A9561A3-BC3B-4ECF-839B-A328E789578B}"/>
    <cellStyle name="Output 2 6 5 14" xfId="21386" xr:uid="{7792ABA1-A5FF-49C0-9C00-59E3024956E5}"/>
    <cellStyle name="Output 2 6 5 15" xfId="20298" xr:uid="{A541DA34-6A1C-4E04-A652-730968A4DEBB}"/>
    <cellStyle name="Output 2 6 5 16" xfId="23393" xr:uid="{110DBE9B-8FF1-44F3-A1AB-BB6079D965BA}"/>
    <cellStyle name="Output 2 6 5 17" xfId="18231" xr:uid="{E8918D1A-4524-4E0A-939F-74AE3775EAB4}"/>
    <cellStyle name="Output 2 6 5 2" xfId="21434" xr:uid="{9B385B27-36AA-430C-84C9-15D855783B85}"/>
    <cellStyle name="Output 2 6 5 2 2" xfId="26411" xr:uid="{EF7730A9-9BCA-4182-A354-710A61D3FE76}"/>
    <cellStyle name="Output 2 6 5 2 3" xfId="33251" xr:uid="{EE2C236A-82A3-4AA7-AEBA-BDA07A8B2EC6}"/>
    <cellStyle name="Output 2 6 5 3" xfId="20922" xr:uid="{35B96A00-2615-43ED-8DFE-2C8D8BF2FF2D}"/>
    <cellStyle name="Output 2 6 5 3 2" xfId="26271" xr:uid="{65CE9398-6BEA-4B48-8F3A-6CD38D470662}"/>
    <cellStyle name="Output 2 6 5 3 3" xfId="33099" xr:uid="{6B2B3786-3B4C-42F4-A324-F1D67FAECD18}"/>
    <cellStyle name="Output 2 6 5 4" xfId="18912" xr:uid="{089B5D84-8BDF-4014-880D-ADB42C302B98}"/>
    <cellStyle name="Output 2 6 5 5" xfId="18851" xr:uid="{CB604A0E-0A4F-4ED3-A4B1-48F6BD996A74}"/>
    <cellStyle name="Output 2 6 5 6" xfId="21772" xr:uid="{6421ED29-3C8B-4A9B-A030-E237EFC6CC9C}"/>
    <cellStyle name="Output 2 6 5 7" xfId="21059" xr:uid="{610DF8E5-6E23-4997-AD14-79B19DC0D16A}"/>
    <cellStyle name="Output 2 6 5 8" xfId="19469" xr:uid="{244A3351-FB5E-4E6C-AD7B-040814F5C272}"/>
    <cellStyle name="Output 2 6 5 9" xfId="19581" xr:uid="{E328B34F-A5D3-4B35-BCC8-41C108A8B4C9}"/>
    <cellStyle name="Output 2 6 6" xfId="17610" xr:uid="{9CA3BE3C-C0E2-4682-AAD5-5BA544470A58}"/>
    <cellStyle name="Output 2 6 6 2" xfId="27611" xr:uid="{494AD7E8-13A2-4191-9B45-86F01259AD57}"/>
    <cellStyle name="Output 2 6 6 2 2" xfId="34455" xr:uid="{21393CA5-E811-46BE-8CAE-948512DF7FA5}"/>
    <cellStyle name="Output 2 6 6 3" xfId="29691" xr:uid="{5855830B-D636-41EB-AD94-3F74F9704130}"/>
    <cellStyle name="Output 2 6 6 3 2" xfId="36536" xr:uid="{C7BB979C-C40E-41D1-A757-6C3213C047AF}"/>
    <cellStyle name="Output 2 6 6 4" xfId="24941" xr:uid="{C923BB7A-D331-4F04-8631-CA51DE10A01E}"/>
    <cellStyle name="Output 2 6 6 5" xfId="31773" xr:uid="{593FEA8E-ED70-4CBE-B69B-2CB8A7F2ED29}"/>
    <cellStyle name="Output 2 6 7" xfId="24541" xr:uid="{60A19E03-2DD9-4E98-B0CE-A522673D5458}"/>
    <cellStyle name="Output 2 6 7 2" xfId="27143" xr:uid="{D4993E2A-3137-46F2-9502-0A961D26B7FC}"/>
    <cellStyle name="Output 2 6 7 2 2" xfId="33984" xr:uid="{966A5978-9B45-4A6F-8658-B798EB4D94B1}"/>
    <cellStyle name="Output 2 6 7 3" xfId="29220" xr:uid="{F995703D-B2BA-4A49-ACC4-C0C1B0D3DE10}"/>
    <cellStyle name="Output 2 6 7 3 2" xfId="36065" xr:uid="{AC2B4E37-8805-4F3A-89E5-6BE16611BD89}"/>
    <cellStyle name="Output 2 6 7 4" xfId="31302" xr:uid="{4CA934B9-2847-498D-B1BF-9C91D7ED72C4}"/>
    <cellStyle name="Output 2 6 8" xfId="24217" xr:uid="{5A53707D-1E9F-4155-BF93-48664B7C3915}"/>
    <cellStyle name="Output 2 6 8 2" xfId="26827" xr:uid="{AD92135B-3A83-4255-88EF-F42A3B2A864D}"/>
    <cellStyle name="Output 2 6 8 2 2" xfId="33667" xr:uid="{A35C8614-513E-41BF-B9B1-8144F5919637}"/>
    <cellStyle name="Output 2 6 8 3" xfId="28903" xr:uid="{28A8CFB2-EFD4-4B14-9377-C03D125F7BA3}"/>
    <cellStyle name="Output 2 6 8 3 2" xfId="35748" xr:uid="{06E408BC-86BE-4664-B351-5449C18A581A}"/>
    <cellStyle name="Output 2 6 8 4" xfId="30985" xr:uid="{2CB47FEC-2346-4358-A9D1-B230028FEF3D}"/>
    <cellStyle name="Output 2 6 9" xfId="24082" xr:uid="{F841BE40-80D0-4922-A2F4-446BF65446D0}"/>
    <cellStyle name="Output 2 6 9 2" xfId="26695" xr:uid="{682BDC69-2AE6-4D7C-AE8F-825666DA26DD}"/>
    <cellStyle name="Output 2 6 9 2 2" xfId="33535" xr:uid="{C14BEEDF-0CBF-4194-9104-79B86717513C}"/>
    <cellStyle name="Output 2 6 9 3" xfId="28771" xr:uid="{17A7D6CE-104F-46BC-8EF3-4F532CF0506E}"/>
    <cellStyle name="Output 2 6 9 3 2" xfId="35616" xr:uid="{30DCD0CB-9796-47EF-845D-AB401C9BFE74}"/>
    <cellStyle name="Output 2 6 9 4" xfId="30853" xr:uid="{A98E52F8-5CDA-4239-9873-D5E70C0B35BD}"/>
    <cellStyle name="Output 2 7" xfId="4958" xr:uid="{00000000-0005-0000-0000-000083130000}"/>
    <cellStyle name="Output 2 7 10" xfId="20555" xr:uid="{C2A87E7F-545E-4140-848E-8923262CC46B}"/>
    <cellStyle name="Output 2 7 11" xfId="18988" xr:uid="{1F13A060-D6C5-49B2-ADB5-114C0A718171}"/>
    <cellStyle name="Output 2 7 12" xfId="22457" xr:uid="{7237DE71-73D5-442F-922E-1A28B8AF9B79}"/>
    <cellStyle name="Output 2 7 13" xfId="22284" xr:uid="{4812DE04-1ACE-42C2-AFD3-DA627318153B}"/>
    <cellStyle name="Output 2 7 14" xfId="20247" xr:uid="{BEF16EA8-8253-4BA4-B618-0BF048F5BC9C}"/>
    <cellStyle name="Output 2 7 15" xfId="20587" xr:uid="{783B46E2-CF31-404D-9818-7D6AA692250A}"/>
    <cellStyle name="Output 2 7 16" xfId="21723" xr:uid="{F8F400F9-498D-40C4-8489-B53EC46EA7FD}"/>
    <cellStyle name="Output 2 7 17" xfId="22248" xr:uid="{6357636E-DBF3-48D6-A1B9-930E1E52AF84}"/>
    <cellStyle name="Output 2 7 18" xfId="20163" xr:uid="{193D4C61-8B28-41CA-9E31-88586CFFAD74}"/>
    <cellStyle name="Output 2 7 19" xfId="18233" xr:uid="{1DD6D37C-7537-43BE-A45E-F48F87788813}"/>
    <cellStyle name="Output 2 7 2" xfId="4959" xr:uid="{00000000-0005-0000-0000-000084130000}"/>
    <cellStyle name="Output 2 7 2 2" xfId="10481" xr:uid="{00000000-0005-0000-0000-0000CF200000}"/>
    <cellStyle name="Output 2 7 2 2 2" xfId="42970" xr:uid="{BA2C3FC5-EC16-45E1-A34D-DBD7433BD42F}"/>
    <cellStyle name="Output 2 7 2 3" xfId="16297" xr:uid="{DD9B6E51-E038-4BB7-BE52-CE29572D9FF3}"/>
    <cellStyle name="Output 2 7 2 4" xfId="38994" xr:uid="{0A34624D-F149-4982-AE3F-C970702812B1}"/>
    <cellStyle name="Output 2 7 20" xfId="16296" xr:uid="{0ACBA258-0707-4E83-8854-680AE8417616}"/>
    <cellStyle name="Output 2 7 21" xfId="38993" xr:uid="{A4AB08BF-BE71-48F2-ABDD-A6B7796DD25D}"/>
    <cellStyle name="Output 2 7 3" xfId="4960" xr:uid="{00000000-0005-0000-0000-000085130000}"/>
    <cellStyle name="Output 2 7 3 10" xfId="19480" xr:uid="{43DEB61C-045A-4874-ACB4-3615706306C9}"/>
    <cellStyle name="Output 2 7 3 11" xfId="18985" xr:uid="{A3B522CA-81BF-457F-B4F6-2BB4469C4E42}"/>
    <cellStyle name="Output 2 7 3 12" xfId="20355" xr:uid="{CEEC05B2-9F35-4829-8D89-81B364738DB1}"/>
    <cellStyle name="Output 2 7 3 13" xfId="19218" xr:uid="{E3FE4991-6F4B-456B-9850-86EA3A715302}"/>
    <cellStyle name="Output 2 7 3 14" xfId="22175" xr:uid="{8D8BD61F-65B8-4489-9245-482653EC85BA}"/>
    <cellStyle name="Output 2 7 3 15" xfId="22061" xr:uid="{C19DBB8F-F1C2-4D41-9E3B-3ADABB9FC09C}"/>
    <cellStyle name="Output 2 7 3 16" xfId="20711" xr:uid="{9C9B7756-3D2A-4D59-9C85-E29FE1AE459C}"/>
    <cellStyle name="Output 2 7 3 17" xfId="18234" xr:uid="{03D4BC62-17F7-44AF-91E9-7728676B485C}"/>
    <cellStyle name="Output 2 7 3 18" xfId="16298" xr:uid="{F60E57AD-73C0-4457-888C-279BCAB7BCBB}"/>
    <cellStyle name="Output 2 7 3 19" xfId="38995" xr:uid="{B6631611-AC45-4D93-A9EF-7A8466EF4AFD}"/>
    <cellStyle name="Output 2 7 3 2" xfId="10482" xr:uid="{00000000-0005-0000-0000-0000D0200000}"/>
    <cellStyle name="Output 2 7 3 2 10" xfId="20829" xr:uid="{BCD8E2AC-06D7-4419-8C47-F290522CC005}"/>
    <cellStyle name="Output 2 7 3 2 11" xfId="20448" xr:uid="{5BA74868-36CF-466C-8AE0-6C9AEB1CCC62}"/>
    <cellStyle name="Output 2 7 3 2 12" xfId="22819" xr:uid="{F9D18DA2-AED0-40FA-B554-A88F507582AB}"/>
    <cellStyle name="Output 2 7 3 2 13" xfId="21778" xr:uid="{891A136B-895D-432E-810B-AD5D304720FE}"/>
    <cellStyle name="Output 2 7 3 2 14" xfId="22954" xr:uid="{A3BFBF61-F151-43EF-BD2C-331839DA6BD0}"/>
    <cellStyle name="Output 2 7 3 2 15" xfId="22990" xr:uid="{25AA94F4-569A-46C7-8226-A4BFD80E27AE}"/>
    <cellStyle name="Output 2 7 3 2 16" xfId="18776" xr:uid="{B06B0025-9769-4413-90F4-122F2B91C60A}"/>
    <cellStyle name="Output 2 7 3 2 17" xfId="42971" xr:uid="{854A4B94-06E8-446F-81F8-7528377EB7E0}"/>
    <cellStyle name="Output 2 7 3 2 2" xfId="19769" xr:uid="{45D6B54A-3117-41ED-8627-66880ABD6870}"/>
    <cellStyle name="Output 2 7 3 2 3" xfId="20796" xr:uid="{4BBCB0CC-E85A-488E-99F1-9296468803BE}"/>
    <cellStyle name="Output 2 7 3 2 4" xfId="19307" xr:uid="{FE6B96B2-5FBA-452A-AB2C-BC11BFCD7EEE}"/>
    <cellStyle name="Output 2 7 3 2 5" xfId="20828" xr:uid="{2A79CD9D-96E5-4D06-89FF-D32AABF85469}"/>
    <cellStyle name="Output 2 7 3 2 6" xfId="21968" xr:uid="{0214A762-23FB-4DF4-A7AB-EB3DD5EF8E2A}"/>
    <cellStyle name="Output 2 7 3 2 7" xfId="21642" xr:uid="{3251379F-5C1D-493F-AF4F-44559E3EEE43}"/>
    <cellStyle name="Output 2 7 3 2 8" xfId="22280" xr:uid="{56357389-580D-4089-8842-89D807C1819D}"/>
    <cellStyle name="Output 2 7 3 2 9" xfId="22573" xr:uid="{F1F8A1B8-80FC-49C5-85BC-D4DA78DCFE91}"/>
    <cellStyle name="Output 2 7 3 3" xfId="20322" xr:uid="{5C2D7C6A-7950-4692-ADFA-828457FBAE62}"/>
    <cellStyle name="Output 2 7 3 4" xfId="21241" xr:uid="{2B8D1161-B62D-4D6C-8935-3C95579C43D7}"/>
    <cellStyle name="Output 2 7 3 5" xfId="19041" xr:uid="{2F183E4C-E757-44D6-B7E5-18E0BED892B7}"/>
    <cellStyle name="Output 2 7 3 6" xfId="19503" xr:uid="{39492B74-8006-4AC2-BC4B-29DA2FD96346}"/>
    <cellStyle name="Output 2 7 3 7" xfId="20607" xr:uid="{5C073FB7-250A-4B42-A06B-A657B11CFFE0}"/>
    <cellStyle name="Output 2 7 3 8" xfId="21482" xr:uid="{599EA60E-2396-4CB6-8A55-72E4293B1EC2}"/>
    <cellStyle name="Output 2 7 3 9" xfId="22357" xr:uid="{7A6FDB58-43AF-4DFE-A555-26C3724221FC}"/>
    <cellStyle name="Output 2 7 4" xfId="10480" xr:uid="{00000000-0005-0000-0000-0000CE200000}"/>
    <cellStyle name="Output 2 7 4 10" xfId="19736" xr:uid="{8AB40A12-D92E-4972-BC6B-5229F9372213}"/>
    <cellStyle name="Output 2 7 4 11" xfId="22089" xr:uid="{7B7DB2DE-5728-4A5A-9D19-C9C042019D18}"/>
    <cellStyle name="Output 2 7 4 12" xfId="22818" xr:uid="{555F6FFC-A5CB-4B78-A4BF-3FF9C48A18FE}"/>
    <cellStyle name="Output 2 7 4 13" xfId="19820" xr:uid="{BD723843-F1C6-4A57-BE3C-6F886BEC90EC}"/>
    <cellStyle name="Output 2 7 4 14" xfId="22953" xr:uid="{E9909373-3A7B-41F0-96F9-1001341EBA3E}"/>
    <cellStyle name="Output 2 7 4 15" xfId="19387" xr:uid="{1313A4BE-355D-42CF-9C45-1AB4AD2D8FBF}"/>
    <cellStyle name="Output 2 7 4 16" xfId="18775" xr:uid="{4EEE3C96-A05E-4D63-AA7A-1CEF69D2E42D}"/>
    <cellStyle name="Output 2 7 4 17" xfId="42969" xr:uid="{7CCA7658-C834-4824-8FAE-B294FE0FBF45}"/>
    <cellStyle name="Output 2 7 4 2" xfId="19770" xr:uid="{EBE74173-BFB3-442E-908E-78174A105B69}"/>
    <cellStyle name="Output 2 7 4 3" xfId="19831" xr:uid="{8AE254A1-98F0-4061-8EF4-94F4F11CA695}"/>
    <cellStyle name="Output 2 7 4 4" xfId="21502" xr:uid="{6839CECA-373C-4292-8C17-0FAC168126B0}"/>
    <cellStyle name="Output 2 7 4 5" xfId="19479" xr:uid="{CFC724B7-BB5E-4301-BEBC-9B76C80267B2}"/>
    <cellStyle name="Output 2 7 4 6" xfId="21292" xr:uid="{C8D02630-E748-43FA-BCDB-D9A53EB9B428}"/>
    <cellStyle name="Output 2 7 4 7" xfId="20632" xr:uid="{4578D6E8-97FB-4B9A-83AE-391218B26AD9}"/>
    <cellStyle name="Output 2 7 4 8" xfId="19527" xr:uid="{3A5221ED-6461-43C1-BD3B-4E3120068A92}"/>
    <cellStyle name="Output 2 7 4 9" xfId="22572" xr:uid="{90997C51-40AA-4856-987D-BABE8D97CD1A}"/>
    <cellStyle name="Output 2 7 5" xfId="8301" xr:uid="{00000000-0005-0000-0000-0000B70F0000}"/>
    <cellStyle name="Output 2 7 5 2" xfId="21435" xr:uid="{FABB716D-A1D2-42DD-B2EA-662FDA1B559E}"/>
    <cellStyle name="Output 2 7 6" xfId="21242" xr:uid="{3073A8F6-66F5-45DF-B127-25B0CEA9D858}"/>
    <cellStyle name="Output 2 7 7" xfId="19580" xr:uid="{D554F9B3-F5CC-4446-8667-9A68A7A8AD5C}"/>
    <cellStyle name="Output 2 7 8" xfId="20798" xr:uid="{4BEAC47E-8E0C-4905-B1F9-12B42568B8E6}"/>
    <cellStyle name="Output 2 7 9" xfId="20739" xr:uid="{CA9DA199-C6B6-4F35-8750-C02B344CD1E3}"/>
    <cellStyle name="Output 2 8" xfId="4961" xr:uid="{00000000-0005-0000-0000-000086130000}"/>
    <cellStyle name="Output 2 8 2" xfId="10483" xr:uid="{00000000-0005-0000-0000-0000D1200000}"/>
    <cellStyle name="Output 2 8 2 2" xfId="42972" xr:uid="{06A3282A-FC5C-4A84-9FE4-7C1FE00799D1}"/>
    <cellStyle name="Output 2 8 3" xfId="8302" xr:uid="{00000000-0005-0000-0000-0000B80F0000}"/>
    <cellStyle name="Output 2 8 4" xfId="38996" xr:uid="{66C2614A-874A-4355-BDDB-2A21A49DEDEC}"/>
    <cellStyle name="Output 2 9" xfId="4962" xr:uid="{00000000-0005-0000-0000-000087130000}"/>
    <cellStyle name="Output 2 9 2" xfId="10484" xr:uid="{00000000-0005-0000-0000-0000D2200000}"/>
    <cellStyle name="Output 2 9 2 2" xfId="42973" xr:uid="{5D2BAD9A-E3A6-46C5-83F5-99C108D08A67}"/>
    <cellStyle name="Output 2 9 3" xfId="8304" xr:uid="{00000000-0005-0000-0000-0000B90F0000}"/>
    <cellStyle name="Output 2 9 4" xfId="38997" xr:uid="{FA6AE125-57D1-4DB0-97FC-B44257D437DC}"/>
    <cellStyle name="Output 3" xfId="4963" xr:uid="{00000000-0005-0000-0000-000088130000}"/>
    <cellStyle name="Output 3 2" xfId="10485" xr:uid="{00000000-0005-0000-0000-0000D3200000}"/>
    <cellStyle name="Output 3 2 2" xfId="42974" xr:uid="{FCD27FA2-0EC2-45F2-87FC-50C3DF024FA3}"/>
    <cellStyle name="Output 3 3" xfId="8305" xr:uid="{00000000-0005-0000-0000-0000BA0F0000}"/>
    <cellStyle name="Output 3 4" xfId="38998" xr:uid="{3E09BDC5-47FD-40BF-8BED-383DEFC0C467}"/>
    <cellStyle name="Page Heading" xfId="4964" xr:uid="{00000000-0005-0000-0000-000089130000}"/>
    <cellStyle name="Page Heading 2" xfId="10486" xr:uid="{00000000-0005-0000-0000-0000D4200000}"/>
    <cellStyle name="Page Heading 2 2" xfId="42975" xr:uid="{13A8A2F0-11C4-440B-A1DF-09BABFD88F3B}"/>
    <cellStyle name="Page Heading 3" xfId="8306" xr:uid="{00000000-0005-0000-0000-0000BB0F0000}"/>
    <cellStyle name="Page Heading 4" xfId="38999" xr:uid="{BCD5F155-323D-4AE5-AC25-7CBF30B863A3}"/>
    <cellStyle name="Page Heading Large" xfId="4965" xr:uid="{00000000-0005-0000-0000-00008A130000}"/>
    <cellStyle name="Page Heading Large 2" xfId="10487" xr:uid="{00000000-0005-0000-0000-0000D5200000}"/>
    <cellStyle name="Page Heading Large 2 2" xfId="42976" xr:uid="{FCECFA83-69B6-4E5C-AE53-80EEA95D1BAE}"/>
    <cellStyle name="Page Heading Large 3" xfId="8308" xr:uid="{00000000-0005-0000-0000-0000BC0F0000}"/>
    <cellStyle name="Page Heading Large 4" xfId="39000" xr:uid="{1B5DACEC-527C-40BA-AEED-87F963D488F4}"/>
    <cellStyle name="Page Heading Small" xfId="4966" xr:uid="{00000000-0005-0000-0000-00008B130000}"/>
    <cellStyle name="Page Heading Small 2" xfId="10488" xr:uid="{00000000-0005-0000-0000-0000D6200000}"/>
    <cellStyle name="Page Heading Small 2 2" xfId="42977" xr:uid="{C6687B4A-267B-402B-9F39-982D25081A8B}"/>
    <cellStyle name="Page Heading Small 3" xfId="8310" xr:uid="{00000000-0005-0000-0000-0000BD0F0000}"/>
    <cellStyle name="Page Heading Small 4" xfId="39001" xr:uid="{770C0E12-E623-4F7C-8C48-B225CDB9CC28}"/>
    <cellStyle name="Page Number" xfId="4967" xr:uid="{00000000-0005-0000-0000-00008C130000}"/>
    <cellStyle name="Page Number 2" xfId="10489" xr:uid="{00000000-0005-0000-0000-0000D7200000}"/>
    <cellStyle name="Page Number 2 2" xfId="23717" xr:uid="{0DA88ED9-789E-4CFB-976E-FBFCEB40B13B}"/>
    <cellStyle name="Page Number 2 3" xfId="42978" xr:uid="{5CF71439-525F-4BAF-B599-0B2AA825952C}"/>
    <cellStyle name="Page Number 3" xfId="8312" xr:uid="{00000000-0005-0000-0000-0000BE0F0000}"/>
    <cellStyle name="Page Number 4" xfId="39002" xr:uid="{540BD53E-E94B-4418-A61C-D347B7C1BF29}"/>
    <cellStyle name="pb_page_heading_LS" xfId="4968" xr:uid="{00000000-0005-0000-0000-00008D130000}"/>
    <cellStyle name="Per aandeel" xfId="4969" xr:uid="{00000000-0005-0000-0000-00008E130000}"/>
    <cellStyle name="Per aandeel 2" xfId="10490" xr:uid="{00000000-0005-0000-0000-0000D9200000}"/>
    <cellStyle name="Per aandeel 2 2" xfId="42979" xr:uid="{B6B1FBD7-4CBC-4EB5-9EA6-5E08CBBEDCBE}"/>
    <cellStyle name="Per aandeel 3" xfId="8314" xr:uid="{00000000-0005-0000-0000-0000C00F0000}"/>
    <cellStyle name="Per aandeel 4" xfId="39003" xr:uid="{2A95106D-83D7-4F0F-BF20-2B796BA50062}"/>
    <cellStyle name="Percent" xfId="5528" builtinId="5"/>
    <cellStyle name="Percent (1)" xfId="4970" xr:uid="{00000000-0005-0000-0000-000090130000}"/>
    <cellStyle name="Percent (1) 2" xfId="10491" xr:uid="{00000000-0005-0000-0000-0000DA200000}"/>
    <cellStyle name="Percent (1) 2 2" xfId="42980" xr:uid="{0399EF53-8489-4538-9E04-8B0316BF224A}"/>
    <cellStyle name="Percent (1) 3" xfId="8315" xr:uid="{00000000-0005-0000-0000-0000C10F0000}"/>
    <cellStyle name="Percent (1) 4" xfId="39004" xr:uid="{79894548-A514-4FB8-9823-C3909CC98EF1}"/>
    <cellStyle name="Percent [0]" xfId="4971" xr:uid="{00000000-0005-0000-0000-000091130000}"/>
    <cellStyle name="Percent [0] 2" xfId="10492" xr:uid="{00000000-0005-0000-0000-0000DB200000}"/>
    <cellStyle name="Percent [0] 2 2" xfId="42981" xr:uid="{EF898260-B4A9-4447-BC1C-E6FCA5A8694B}"/>
    <cellStyle name="Percent [0] 3" xfId="8316" xr:uid="{00000000-0005-0000-0000-0000C20F0000}"/>
    <cellStyle name="Percent [0] 4" xfId="39005" xr:uid="{CAAB74F3-8476-4D05-AC76-491694133C33}"/>
    <cellStyle name="Percent [00]" xfId="4972" xr:uid="{00000000-0005-0000-0000-000092130000}"/>
    <cellStyle name="Percent [00] 2" xfId="10493" xr:uid="{00000000-0005-0000-0000-0000DC200000}"/>
    <cellStyle name="Percent [00] 2 2" xfId="42982" xr:uid="{1B60A885-7363-4872-B478-BA6374D49EB5}"/>
    <cellStyle name="Percent [00] 3" xfId="8318" xr:uid="{00000000-0005-0000-0000-0000C30F0000}"/>
    <cellStyle name="Percent [00] 4" xfId="39006" xr:uid="{4C6C9E9B-A731-4543-9E5B-E15A423D079F}"/>
    <cellStyle name="Percent [1]" xfId="4973" xr:uid="{00000000-0005-0000-0000-000093130000}"/>
    <cellStyle name="Percent [1] 2" xfId="10494" xr:uid="{00000000-0005-0000-0000-0000DD200000}"/>
    <cellStyle name="Percent [1] 2 2" xfId="9309" xr:uid="{00000000-0005-0000-0000-0000C40F0000}"/>
    <cellStyle name="Percent [1] 2 2 2" xfId="41832" xr:uid="{633B9165-2291-496D-BCA8-8A73EE5ACF6D}"/>
    <cellStyle name="Percent [1] 2 2 3" xfId="47166" xr:uid="{B9D2F1C6-F9F4-4FF1-8800-1E43FF5D7FAF}"/>
    <cellStyle name="Percent [1] 2 2 4" xfId="46527" xr:uid="{391A0FCB-D525-434D-879D-E8C59579E523}"/>
    <cellStyle name="Percent [1] 2 2 5" xfId="48504" xr:uid="{C5DECCE1-21F3-4A58-9A04-9F7DF959C35F}"/>
    <cellStyle name="Percent [1] 2 2 6" xfId="15941" xr:uid="{14CA7E11-2B11-46B3-8DA8-C754F19DF0EA}"/>
    <cellStyle name="Percent [1] 2 2 7" xfId="40539" xr:uid="{F7286CBD-1AD7-4375-AC3A-FF81E226E3D8}"/>
    <cellStyle name="Percent [1] 2 3" xfId="18777" xr:uid="{8C223E90-0D9C-4128-999A-E02DF2925DF8}"/>
    <cellStyle name="Percent [1] 2 4" xfId="42983" xr:uid="{772E3E45-C29D-4362-89DC-A922828ADD38}"/>
    <cellStyle name="Percent [1] 3" xfId="9376" xr:uid="{00000000-0005-0000-0000-00002A240000}"/>
    <cellStyle name="Percent [1] 3 2" xfId="23460" xr:uid="{DA3DBD01-A085-4B5A-8483-22AB5A8B0486}"/>
    <cellStyle name="Percent [1] 3 3" xfId="41883" xr:uid="{005BA275-18B6-4AB1-9D4F-B596091C974C}"/>
    <cellStyle name="Percent [1] 3 4" xfId="47197" xr:uid="{D0A415D6-0977-4CAC-9A0D-DC09F2E9FE5D}"/>
    <cellStyle name="Percent [1] 3 5" xfId="46507" xr:uid="{582E3A2A-0AFD-4944-A99E-770DC1E7A823}"/>
    <cellStyle name="Percent [1] 3 6" xfId="46319" xr:uid="{0B8ED8BD-0BEB-4215-8A3A-35415D2F07EC}"/>
    <cellStyle name="Percent [1] 3 7" xfId="40523" xr:uid="{22DBED6C-335E-419A-9CA4-A23E71DFF86C}"/>
    <cellStyle name="Percent [1] 3 8" xfId="14181" xr:uid="{C5A3253A-F1B1-45E1-9054-43180C18D10F}"/>
    <cellStyle name="Percent [1] 4" xfId="8319" xr:uid="{00000000-0005-0000-0000-0000C40F0000}"/>
    <cellStyle name="Percent [1] 4 2" xfId="41102" xr:uid="{C9E50391-568D-49D0-B44D-1A1E0B6722BD}"/>
    <cellStyle name="Percent [1] 4 3" xfId="46799" xr:uid="{92C2F3F5-3703-4E2A-B270-4615F45A4812}"/>
    <cellStyle name="Percent [1] 4 4" xfId="13625" xr:uid="{1ACC6475-0DF7-49B1-AAEA-739057FF7367}"/>
    <cellStyle name="Percent [1] 4 5" xfId="40258" xr:uid="{95B6987A-BC70-49A7-9C52-52990CF00D55}"/>
    <cellStyle name="Percent [1] 4 6" xfId="46236" xr:uid="{226B6C0E-2F43-420B-8D71-C43589F82B6E}"/>
    <cellStyle name="Percent [1] 4 7" xfId="49211" xr:uid="{C4DE690B-399A-4BC3-9FAD-03607120E6D0}"/>
    <cellStyle name="Percent [1] 5" xfId="16301" xr:uid="{FEB79195-2CBC-4B63-B58D-B8302F6D8C4C}"/>
    <cellStyle name="Percent [1] 6" xfId="39007" xr:uid="{DDDBA43D-C2E4-44C6-9CD5-32BE629859C7}"/>
    <cellStyle name="Percent [2]" xfId="4974" xr:uid="{00000000-0005-0000-0000-000094130000}"/>
    <cellStyle name="Percent [2] 2" xfId="4975" xr:uid="{00000000-0005-0000-0000-000095130000}"/>
    <cellStyle name="Percent [2] 2 2" xfId="10496" xr:uid="{00000000-0005-0000-0000-0000DF200000}"/>
    <cellStyle name="Percent [2] 2 2 2" xfId="42985" xr:uid="{A785F48E-2454-4545-90EE-61AC3225C059}"/>
    <cellStyle name="Percent [2] 2 3" xfId="8324" xr:uid="{00000000-0005-0000-0000-0000C60F0000}"/>
    <cellStyle name="Percent [2] 2 4" xfId="39009" xr:uid="{93561AA0-FEC3-4860-821C-E12912A32E36}"/>
    <cellStyle name="Percent [2] 3" xfId="4976" xr:uid="{00000000-0005-0000-0000-000096130000}"/>
    <cellStyle name="Percent [2] 3 2" xfId="10497" xr:uid="{00000000-0005-0000-0000-0000E0200000}"/>
    <cellStyle name="Percent [2] 3 2 2" xfId="42986" xr:uid="{4AFB89A6-8A72-4636-9100-904F19DFEB0A}"/>
    <cellStyle name="Percent [2] 3 3" xfId="8327" xr:uid="{00000000-0005-0000-0000-0000C70F0000}"/>
    <cellStyle name="Percent [2] 3 4" xfId="39010" xr:uid="{95D527F0-9F9A-43E1-A090-02F098411DB0}"/>
    <cellStyle name="Percent [2] 4" xfId="10495" xr:uid="{00000000-0005-0000-0000-0000DE200000}"/>
    <cellStyle name="Percent [2] 4 2" xfId="42984" xr:uid="{FB377E9A-7F69-45A7-B0A5-99A656228DB7}"/>
    <cellStyle name="Percent [2] 5" xfId="8320" xr:uid="{00000000-0005-0000-0000-0000C50F0000}"/>
    <cellStyle name="Percent [2] 6" xfId="39008" xr:uid="{8C42FF18-CA3B-4F4A-A488-76DE0F0887BF}"/>
    <cellStyle name="Percent 1 dec" xfId="4977" xr:uid="{00000000-0005-0000-0000-000097130000}"/>
    <cellStyle name="Percent 1 dec - Input" xfId="4978" xr:uid="{00000000-0005-0000-0000-000098130000}"/>
    <cellStyle name="Percent 1 dec - Input 2" xfId="10499" xr:uid="{00000000-0005-0000-0000-0000E2200000}"/>
    <cellStyle name="Percent 1 dec - Input 2 2" xfId="42988" xr:uid="{A50323E7-D98C-4AFB-BB8B-351201081E12}"/>
    <cellStyle name="Percent 1 dec - Input 3" xfId="8329" xr:uid="{00000000-0005-0000-0000-0000C90F0000}"/>
    <cellStyle name="Percent 1 dec - Input 4" xfId="39012" xr:uid="{3D07E2D7-DE57-4886-83C7-76554B0EB4C5}"/>
    <cellStyle name="Percent 1 dec 10" xfId="9039" xr:uid="{00000000-0005-0000-0000-000005240000}"/>
    <cellStyle name="Percent 1 dec 10 2" xfId="41653" xr:uid="{9BF3A130-16EB-4167-BD35-7367999D9C86}"/>
    <cellStyle name="Percent 1 dec 11" xfId="12793" xr:uid="{00000000-0005-0000-0000-000037240000}"/>
    <cellStyle name="Percent 1 dec 11 2" xfId="45264" xr:uid="{91BEA982-8527-4C15-8BF0-5CE36857188B}"/>
    <cellStyle name="Percent 1 dec 12" xfId="9086" xr:uid="{00000000-0005-0000-0000-00006D240000}"/>
    <cellStyle name="Percent 1 dec 12 2" xfId="41689" xr:uid="{F3F37105-E485-4126-9DB8-CDB956DB5CAC}"/>
    <cellStyle name="Percent 1 dec 13" xfId="12820" xr:uid="{00000000-0005-0000-0000-0000A7240000}"/>
    <cellStyle name="Percent 1 dec 13 2" xfId="45291" xr:uid="{1207B785-3BE5-4DD5-AEDC-42543F3CC1C2}"/>
    <cellStyle name="Percent 1 dec 14" xfId="9141" xr:uid="{00000000-0005-0000-0000-0000E5240000}"/>
    <cellStyle name="Percent 1 dec 14 2" xfId="41738" xr:uid="{7B3E429D-479B-4DD7-9A15-6D72681C5072}"/>
    <cellStyle name="Percent 1 dec 15" xfId="12851" xr:uid="{00000000-0005-0000-0000-000027250000}"/>
    <cellStyle name="Percent 1 dec 15 2" xfId="45322" xr:uid="{FE9D7761-5ED1-41CF-8F9B-23DF9738A288}"/>
    <cellStyle name="Percent 1 dec 16" xfId="9201" xr:uid="{00000000-0005-0000-0000-00006D250000}"/>
    <cellStyle name="Percent 1 dec 16 2" xfId="41767" xr:uid="{1FCD216F-3A39-4D9A-B077-A3EAFFB1174C}"/>
    <cellStyle name="Percent 1 dec 17" xfId="12880" xr:uid="{00000000-0005-0000-0000-0000B7250000}"/>
    <cellStyle name="Percent 1 dec 17 2" xfId="45351" xr:uid="{859498F1-B940-4AB8-9849-84680BA7D9A9}"/>
    <cellStyle name="Percent 1 dec 18" xfId="9263" xr:uid="{00000000-0005-0000-0000-000005260000}"/>
    <cellStyle name="Percent 1 dec 18 2" xfId="41799" xr:uid="{C29C7035-ACEA-4560-8221-6569B70CD20F}"/>
    <cellStyle name="Percent 1 dec 19" xfId="12900" xr:uid="{00000000-0005-0000-0000-000057260000}"/>
    <cellStyle name="Percent 1 dec 19 2" xfId="45371" xr:uid="{C3CCE5EA-EE86-4FF3-922E-BF5114451BC8}"/>
    <cellStyle name="Percent 1 dec 2" xfId="10498" xr:uid="{00000000-0005-0000-0000-0000E1200000}"/>
    <cellStyle name="Percent 1 dec 2 2" xfId="42987" xr:uid="{5EFF9BFF-1B0B-4443-9F83-EBF7353A559C}"/>
    <cellStyle name="Percent 1 dec 20" xfId="9324" xr:uid="{00000000-0005-0000-0000-0000AD260000}"/>
    <cellStyle name="Percent 1 dec 20 2" xfId="41846" xr:uid="{4F9BC6AC-BCA2-4725-9101-6926B15957CF}"/>
    <cellStyle name="Percent 1 dec 21" xfId="12909" xr:uid="{00000000-0005-0000-0000-000007270000}"/>
    <cellStyle name="Percent 1 dec 21 2" xfId="45380" xr:uid="{293EE4BF-1EA2-49AD-9A2B-69786FE38E22}"/>
    <cellStyle name="Percent 1 dec 22" xfId="9422" xr:uid="{00000000-0005-0000-0000-000065270000}"/>
    <cellStyle name="Percent 1 dec 22 2" xfId="41912" xr:uid="{621F966C-F7C2-4D09-97CE-8A03BD5EB63B}"/>
    <cellStyle name="Percent 1 dec 23" xfId="12927" xr:uid="{00000000-0005-0000-0000-0000C7270000}"/>
    <cellStyle name="Percent 1 dec 23 2" xfId="45398" xr:uid="{7FF8A856-03F9-4FB0-B438-F7AFC7A33A3B}"/>
    <cellStyle name="Percent 1 dec 24" xfId="8328" xr:uid="{00000000-0005-0000-0000-0000C80F0000}"/>
    <cellStyle name="Percent 1 dec 25" xfId="13423" xr:uid="{00000000-0005-0000-0000-0000F0300000}"/>
    <cellStyle name="Percent 1 dec 25 2" xfId="45887" xr:uid="{3EBF2E2F-CAE9-49C6-A827-D44472A4AC21}"/>
    <cellStyle name="Percent 1 dec 26" xfId="11214" xr:uid="{00000000-0005-0000-0000-00005E310000}"/>
    <cellStyle name="Percent 1 dec 26 2" xfId="43703" xr:uid="{DC6724A8-3E34-4F56-B9A7-5EE429EE114D}"/>
    <cellStyle name="Percent 1 dec 27" xfId="13480" xr:uid="{00000000-0005-0000-0000-0000D0310000}"/>
    <cellStyle name="Percent 1 dec 27 2" xfId="45944" xr:uid="{23B74628-8190-4FE4-ABB1-FAD332A2EA2E}"/>
    <cellStyle name="Percent 1 dec 28" xfId="11154" xr:uid="{00000000-0005-0000-0000-000046320000}"/>
    <cellStyle name="Percent 1 dec 28 2" xfId="43643" xr:uid="{1CEC3F78-4232-495E-BE72-7DE58656644F}"/>
    <cellStyle name="Percent 1 dec 29" xfId="13547" xr:uid="{00000000-0005-0000-0000-0000C0320000}"/>
    <cellStyle name="Percent 1 dec 29 2" xfId="46011" xr:uid="{81EB3EAD-7B34-4BD4-A68A-9118DC5C72D6}"/>
    <cellStyle name="Percent 1 dec 3" xfId="12722" xr:uid="{00000000-0005-0000-0000-000017230000}"/>
    <cellStyle name="Percent 1 dec 3 2" xfId="45193" xr:uid="{0CD3D59B-0954-4DB5-B4D6-0CF39BA5C705}"/>
    <cellStyle name="Percent 1 dec 30" xfId="11085" xr:uid="{00000000-0005-0000-0000-00003E330000}"/>
    <cellStyle name="Percent 1 dec 30 2" xfId="43574" xr:uid="{1CE81BE3-48A3-44F0-8C34-DABB99F879E3}"/>
    <cellStyle name="Percent 1 dec 31" xfId="13583" xr:uid="{00000000-0005-0000-0000-0000C0330000}"/>
    <cellStyle name="Percent 1 dec 31 2" xfId="46047" xr:uid="{D0C5AD19-E3B3-4CFE-B060-175E3346043A}"/>
    <cellStyle name="Percent 1 dec 32" xfId="11047" xr:uid="{00000000-0005-0000-0000-000046340000}"/>
    <cellStyle name="Percent 1 dec 32 2" xfId="43536" xr:uid="{003219A8-C693-47D5-BEB5-A5E0A5AA4B3F}"/>
    <cellStyle name="Percent 1 dec 33" xfId="13586" xr:uid="{00000000-0005-0000-0000-0000D0340000}"/>
    <cellStyle name="Percent 1 dec 33 2" xfId="46050" xr:uid="{835681E6-D7EA-4772-B9CE-10EAD3FE3633}"/>
    <cellStyle name="Percent 1 dec 34" xfId="13591" xr:uid="{00000000-0005-0000-0000-00005E350000}"/>
    <cellStyle name="Percent 1 dec 34 2" xfId="46055" xr:uid="{1C551ACE-E8BF-4A3C-AB6C-BCAABA16F5FC}"/>
    <cellStyle name="Percent 1 dec 35" xfId="16305" xr:uid="{BD799C2F-9AFE-45BC-80C9-FA913D6A2C64}"/>
    <cellStyle name="Percent 1 dec 36" xfId="39011" xr:uid="{8C91C2B8-A433-4A38-917F-A8002D306CC8}"/>
    <cellStyle name="Percent 1 dec 37" xfId="15424" xr:uid="{F55BCFCB-579D-451E-93F7-E3362642BA79}"/>
    <cellStyle name="Percent 1 dec 38" xfId="47370" xr:uid="{E3B26878-81AC-482C-8BEA-D6F4F27C064C}"/>
    <cellStyle name="Percent 1 dec 39" xfId="40826" xr:uid="{479DA383-E088-4436-A7AA-1E9B5F49AAB0}"/>
    <cellStyle name="Percent 1 dec 4" xfId="8946" xr:uid="{00000000-0005-0000-0000-00002D230000}"/>
    <cellStyle name="Percent 1 dec 4 2" xfId="41589" xr:uid="{3BC2E5B1-BB8C-4A12-A900-0179BC22E130}"/>
    <cellStyle name="Percent 1 dec 40" xfId="15176" xr:uid="{E1BF7AF3-B445-4D89-8AEB-3E81E610E38B}"/>
    <cellStyle name="Percent 1 dec 41" xfId="37950" xr:uid="{B8E65458-8FE6-4225-8E26-2A5BEE2483DB}"/>
    <cellStyle name="Percent 1 dec 42" xfId="37678" xr:uid="{A068CECB-587F-4882-A6CD-6406A3D9F73B}"/>
    <cellStyle name="Percent 1 dec 43" xfId="49822" xr:uid="{3EB5E51D-DE9F-4CDF-9E9A-6962728C6E4E}"/>
    <cellStyle name="Percent 1 dec 5" xfId="12735" xr:uid="{00000000-0005-0000-0000-000047230000}"/>
    <cellStyle name="Percent 1 dec 5 2" xfId="45206" xr:uid="{4956AF89-D6AE-4543-8CF5-9D1017A780CE}"/>
    <cellStyle name="Percent 1 dec 6" xfId="8969" xr:uid="{00000000-0005-0000-0000-000065230000}"/>
    <cellStyle name="Percent 1 dec 6 2" xfId="41603" xr:uid="{CBF6140D-2B8E-4069-8794-D6E649E0BF4E}"/>
    <cellStyle name="Percent 1 dec 7" xfId="12751" xr:uid="{00000000-0005-0000-0000-000087230000}"/>
    <cellStyle name="Percent 1 dec 7 2" xfId="45222" xr:uid="{1491E01F-CEB1-4E8A-86E0-ABAC136B6A6C}"/>
    <cellStyle name="Percent 1 dec 8" xfId="9000" xr:uid="{00000000-0005-0000-0000-0000AD230000}"/>
    <cellStyle name="Percent 1 dec 8 2" xfId="41627" xr:uid="{74A6F87B-8E26-4412-8E92-0B79713880ED}"/>
    <cellStyle name="Percent 1 dec 9" xfId="12772" xr:uid="{00000000-0005-0000-0000-0000D7230000}"/>
    <cellStyle name="Percent 1 dec 9 2" xfId="45243" xr:uid="{063090AF-5F90-4169-85E2-2B318F22A42D}"/>
    <cellStyle name="Percent 1 dec_Data" xfId="4979" xr:uid="{00000000-0005-0000-0000-000099130000}"/>
    <cellStyle name="Percent 10" xfId="4980" xr:uid="{00000000-0005-0000-0000-00009A130000}"/>
    <cellStyle name="Percent 10 2" xfId="10500" xr:uid="{00000000-0005-0000-0000-0000E4200000}"/>
    <cellStyle name="Percent 10 2 2" xfId="42989" xr:uid="{39CEAA16-46F5-471D-997B-751443A251ED}"/>
    <cellStyle name="Percent 10 3" xfId="8331" xr:uid="{00000000-0005-0000-0000-0000CB0F0000}"/>
    <cellStyle name="Percent 10 4" xfId="39013" xr:uid="{FE9FAC7A-4930-40D5-B297-7C589E479D31}"/>
    <cellStyle name="Percent 11" xfId="4981" xr:uid="{00000000-0005-0000-0000-00009B130000}"/>
    <cellStyle name="Percent 11 2" xfId="10501" xr:uid="{00000000-0005-0000-0000-0000E5200000}"/>
    <cellStyle name="Percent 11 2 2" xfId="42990" xr:uid="{2E4B28F8-CE40-4AD5-B551-9F5F80984F1E}"/>
    <cellStyle name="Percent 11 3" xfId="17481" xr:uid="{B12F1E8C-60CE-4289-9EB6-246763DE378D}"/>
    <cellStyle name="Percent 11 4" xfId="39014" xr:uid="{7A43776B-3307-4A6C-86CE-4AC3C3B48B5C}"/>
    <cellStyle name="Percent 12" xfId="5564" xr:uid="{00000000-0005-0000-0000-00009C130000}"/>
    <cellStyle name="Percent 12 2" xfId="17850" xr:uid="{E0165032-69D5-4900-9872-A6E59F5A04A6}"/>
    <cellStyle name="Percent 12 2 2" xfId="18424" xr:uid="{B8FCFD47-782A-4901-BB60-CD0E9DD37C72}"/>
    <cellStyle name="Percent 12 3" xfId="18603" xr:uid="{E3CDD6EB-8C8F-4758-B899-DED53E7166D1}"/>
    <cellStyle name="Percent 12 4" xfId="17579" xr:uid="{4A093396-4A56-4C22-88EA-696A8BE3EF87}"/>
    <cellStyle name="Percent 13" xfId="12982" xr:uid="{00000000-0005-0000-0000-0000CC270000}"/>
    <cellStyle name="Percent 13 2" xfId="17852" xr:uid="{BBE624BB-D5E4-4449-9FC2-74B35D3427C0}"/>
    <cellStyle name="Percent 13 2 2" xfId="18422" xr:uid="{C1A8E979-80FA-4C0C-8E7A-2A9EAE783C59}"/>
    <cellStyle name="Percent 13 3" xfId="18601" xr:uid="{FF3741BA-B1C0-44FC-9B90-A3479F0324BD}"/>
    <cellStyle name="Percent 13 4" xfId="17581" xr:uid="{7858E309-54BD-4547-9D8B-540EA8E30252}"/>
    <cellStyle name="Percent 14" xfId="12981" xr:uid="{00000000-0005-0000-0000-0000CE270000}"/>
    <cellStyle name="Percent 14 2" xfId="18816" xr:uid="{9501B7FE-00BB-49A5-A617-DBE7FA68B06E}"/>
    <cellStyle name="Percent 14 3" xfId="23175" xr:uid="{BF34988A-0FBB-48CA-ABB5-81C3EA2E33C8}"/>
    <cellStyle name="Percent 14 4" xfId="17890" xr:uid="{D6A5FB6D-BB0F-47DA-859B-79D325F0D9E8}"/>
    <cellStyle name="Percent 15" xfId="12974" xr:uid="{00000000-0005-0000-0000-0000D0270000}"/>
    <cellStyle name="Percent 15 2" xfId="18723" xr:uid="{52792EE7-F571-48C3-BF4E-5F962BEBCF98}"/>
    <cellStyle name="Percent 15 3" xfId="45442" xr:uid="{7084FF13-A58A-4B2F-82B6-05E1D6F5FB58}"/>
    <cellStyle name="Percent 16" xfId="12973" xr:uid="{00000000-0005-0000-0000-0000D2270000}"/>
    <cellStyle name="Percent 16 2" xfId="18398" xr:uid="{3C2723B0-40EE-4FBB-96EB-330FF0F1A6D7}"/>
    <cellStyle name="Percent 16 3" xfId="45441" xr:uid="{48C6B708-BC84-4A55-A272-C1F707E7D4DA}"/>
    <cellStyle name="Percent 17" xfId="12962" xr:uid="{00000000-0005-0000-0000-0000502E0000}"/>
    <cellStyle name="Percent 17 2" xfId="17409" xr:uid="{913DE520-14A4-418F-A429-D827607DEC4E}"/>
    <cellStyle name="Percent 17 3" xfId="45431" xr:uid="{B0FBD039-BB34-4ACA-9AC8-70319F148827}"/>
    <cellStyle name="Percent 18" xfId="13610" xr:uid="{00000000-0005-0000-0000-000036350000}"/>
    <cellStyle name="Percent 18 2" xfId="19494" xr:uid="{5940DFA1-87D5-413A-98E9-D450FF8682F9}"/>
    <cellStyle name="Percent 18 3" xfId="46074" xr:uid="{B522F49F-16A3-4901-A2D5-4A108F157F8F}"/>
    <cellStyle name="Percent 19" xfId="20890" xr:uid="{DC22157C-FA3B-4199-BE67-939013C54BB5}"/>
    <cellStyle name="Percent 2" xfId="4982" xr:uid="{00000000-0005-0000-0000-00009D130000}"/>
    <cellStyle name="Percent 2 10" xfId="4983" xr:uid="{00000000-0005-0000-0000-00009E130000}"/>
    <cellStyle name="Percent 2 10 2" xfId="4984" xr:uid="{00000000-0005-0000-0000-00009F130000}"/>
    <cellStyle name="Percent 2 10 2 2" xfId="4985" xr:uid="{00000000-0005-0000-0000-0000A0130000}"/>
    <cellStyle name="Percent 2 10 2 2 2" xfId="10505" xr:uid="{00000000-0005-0000-0000-0000E9200000}"/>
    <cellStyle name="Percent 2 10 2 2 2 2" xfId="42994" xr:uid="{A7A405E2-419E-4FE1-99FC-E5797E4DF33D}"/>
    <cellStyle name="Percent 2 10 2 2 3" xfId="8335" xr:uid="{00000000-0005-0000-0000-0000CF0F0000}"/>
    <cellStyle name="Percent 2 10 2 2 3 2" xfId="41115" xr:uid="{98BECA38-90AE-4320-9507-2E8FE0C7F965}"/>
    <cellStyle name="Percent 2 10 2 2 4" xfId="16310" xr:uid="{6559F854-22B9-407E-99A9-7BEC5337AD9E}"/>
    <cellStyle name="Percent 2 10 2 2 5" xfId="39018" xr:uid="{647B55B4-67E7-4E7E-A806-D4EEB2816DA9}"/>
    <cellStyle name="Percent 2 10 2 3" xfId="10504" xr:uid="{00000000-0005-0000-0000-0000E8200000}"/>
    <cellStyle name="Percent 2 10 2 3 2" xfId="42993" xr:uid="{DEA8AE80-8931-4522-85E2-CBC295A3D4E6}"/>
    <cellStyle name="Percent 2 10 2 4" xfId="8334" xr:uid="{00000000-0005-0000-0000-0000CE0F0000}"/>
    <cellStyle name="Percent 2 10 2 4 2" xfId="41114" xr:uid="{F3526945-7EA0-4880-A781-ED9434ECCF66}"/>
    <cellStyle name="Percent 2 10 2 5" xfId="16309" xr:uid="{A172C1DC-0485-449A-9B34-137F792D0C8A}"/>
    <cellStyle name="Percent 2 10 2 6" xfId="39017" xr:uid="{61265B3D-ACC9-4A2B-8330-B13BF14CFCB3}"/>
    <cellStyle name="Percent 2 10 3" xfId="4986" xr:uid="{00000000-0005-0000-0000-0000A1130000}"/>
    <cellStyle name="Percent 2 10 3 2" xfId="10506" xr:uid="{00000000-0005-0000-0000-0000EA200000}"/>
    <cellStyle name="Percent 2 10 3 2 2" xfId="42995" xr:uid="{EF53C516-E3B2-4FAB-9072-E94A4ED41051}"/>
    <cellStyle name="Percent 2 10 3 3" xfId="8338" xr:uid="{00000000-0005-0000-0000-0000D00F0000}"/>
    <cellStyle name="Percent 2 10 3 3 2" xfId="41118" xr:uid="{EB6B7CE0-96F9-41B6-8595-FD8B3CEEEE62}"/>
    <cellStyle name="Percent 2 10 3 4" xfId="16311" xr:uid="{D7953667-F108-4BBF-9AFF-A56D6B3D9476}"/>
    <cellStyle name="Percent 2 10 3 5" xfId="39019" xr:uid="{559B33CB-DB6D-450C-B866-B73E761E274F}"/>
    <cellStyle name="Percent 2 10 4" xfId="10503" xr:uid="{00000000-0005-0000-0000-0000E7200000}"/>
    <cellStyle name="Percent 2 10 4 2" xfId="42992" xr:uid="{4583065B-4A01-46F7-995D-1C0A92B0DF59}"/>
    <cellStyle name="Percent 2 10 5" xfId="8333" xr:uid="{00000000-0005-0000-0000-0000CD0F0000}"/>
    <cellStyle name="Percent 2 10 5 2" xfId="41113" xr:uid="{7255DAE9-1547-407E-A1E6-DBE7CB81CE1D}"/>
    <cellStyle name="Percent 2 10 6" xfId="16308" xr:uid="{BF63B7BF-76B9-46CE-8D96-0788A1B3962B}"/>
    <cellStyle name="Percent 2 10 7" xfId="39016" xr:uid="{6976D31E-BDA9-4087-BAE0-468251B77F1C}"/>
    <cellStyle name="Percent 2 11" xfId="4987" xr:uid="{00000000-0005-0000-0000-0000A2130000}"/>
    <cellStyle name="Percent 2 11 2" xfId="10507" xr:uid="{00000000-0005-0000-0000-0000EB200000}"/>
    <cellStyle name="Percent 2 11 2 2" xfId="42996" xr:uid="{F3FE5A4D-F65E-4814-837A-F9616F013B5C}"/>
    <cellStyle name="Percent 2 11 3" xfId="8339" xr:uid="{00000000-0005-0000-0000-0000D10F0000}"/>
    <cellStyle name="Percent 2 11 4" xfId="39020" xr:uid="{E47C1E9B-8B02-419D-A8AC-EB9395DEC3A7}"/>
    <cellStyle name="Percent 2 12" xfId="4988" xr:uid="{00000000-0005-0000-0000-0000A3130000}"/>
    <cellStyle name="Percent 2 12 2" xfId="4989" xr:uid="{00000000-0005-0000-0000-0000A4130000}"/>
    <cellStyle name="Percent 2 12 2 2" xfId="4990" xr:uid="{00000000-0005-0000-0000-0000A5130000}"/>
    <cellStyle name="Percent 2 12 2 2 2" xfId="10510" xr:uid="{00000000-0005-0000-0000-0000EE200000}"/>
    <cellStyle name="Percent 2 12 2 2 2 2" xfId="42999" xr:uid="{2CDC0298-095C-4644-8375-E9726210B3A0}"/>
    <cellStyle name="Percent 2 12 2 2 3" xfId="8344" xr:uid="{00000000-0005-0000-0000-0000D40F0000}"/>
    <cellStyle name="Percent 2 12 2 2 3 2" xfId="41124" xr:uid="{3FB79AC2-2E4F-48D7-94BB-44178E220451}"/>
    <cellStyle name="Percent 2 12 2 2 4" xfId="16315" xr:uid="{034E21C1-4BBE-40F2-A2CC-6EB6D187EAD8}"/>
    <cellStyle name="Percent 2 12 2 2 5" xfId="39023" xr:uid="{DD78ADC2-CBDD-40B4-8B08-3738E0D86D3C}"/>
    <cellStyle name="Percent 2 12 2 3" xfId="10509" xr:uid="{00000000-0005-0000-0000-0000ED200000}"/>
    <cellStyle name="Percent 2 12 2 3 2" xfId="42998" xr:uid="{48A6312C-D7B7-480D-AE71-F1518762BF63}"/>
    <cellStyle name="Percent 2 12 2 4" xfId="8342" xr:uid="{00000000-0005-0000-0000-0000D30F0000}"/>
    <cellStyle name="Percent 2 12 2 4 2" xfId="41122" xr:uid="{15AE22E5-A944-4AF4-BEBE-6C1F516AE852}"/>
    <cellStyle name="Percent 2 12 2 5" xfId="16314" xr:uid="{6EDF49BA-FCBE-4C75-BE2B-3D84E955463B}"/>
    <cellStyle name="Percent 2 12 2 6" xfId="39022" xr:uid="{26D9B1B9-7D2F-4D00-B68B-BB87673905D5}"/>
    <cellStyle name="Percent 2 12 3" xfId="4991" xr:uid="{00000000-0005-0000-0000-0000A6130000}"/>
    <cellStyle name="Percent 2 12 3 2" xfId="10511" xr:uid="{00000000-0005-0000-0000-0000EF200000}"/>
    <cellStyle name="Percent 2 12 3 2 2" xfId="43000" xr:uid="{5394A32C-A3D1-4EFB-A74C-F3CE0A1113FE}"/>
    <cellStyle name="Percent 2 12 3 3" xfId="8345" xr:uid="{00000000-0005-0000-0000-0000D50F0000}"/>
    <cellStyle name="Percent 2 12 3 3 2" xfId="41125" xr:uid="{99397FE6-2B93-4A24-B70F-B2FF7C117219}"/>
    <cellStyle name="Percent 2 12 3 4" xfId="16316" xr:uid="{EFB397C9-2129-42D4-A67C-CD2BB9AAE586}"/>
    <cellStyle name="Percent 2 12 3 5" xfId="39024" xr:uid="{7FB60AEC-AA89-4EAE-BAB4-5D43664516E5}"/>
    <cellStyle name="Percent 2 12 4" xfId="10508" xr:uid="{00000000-0005-0000-0000-0000EC200000}"/>
    <cellStyle name="Percent 2 12 4 2" xfId="42997" xr:uid="{56A04681-54BF-4E88-8092-8B0F84BD2E13}"/>
    <cellStyle name="Percent 2 12 5" xfId="8341" xr:uid="{00000000-0005-0000-0000-0000D20F0000}"/>
    <cellStyle name="Percent 2 12 5 2" xfId="41121" xr:uid="{BC674AA1-E3A4-44A3-BD09-1C6C05C7EB8A}"/>
    <cellStyle name="Percent 2 12 6" xfId="16313" xr:uid="{A069F575-9AA4-452B-A5D3-2D1B9C51924F}"/>
    <cellStyle name="Percent 2 12 7" xfId="39021" xr:uid="{B2F26FD2-794D-45B0-A5D5-6A994C7BD7D6}"/>
    <cellStyle name="Percent 2 13" xfId="4992" xr:uid="{00000000-0005-0000-0000-0000A7130000}"/>
    <cellStyle name="Percent 2 13 2" xfId="4993" xr:uid="{00000000-0005-0000-0000-0000A8130000}"/>
    <cellStyle name="Percent 2 13 2 2" xfId="10513" xr:uid="{00000000-0005-0000-0000-0000F1200000}"/>
    <cellStyle name="Percent 2 13 2 2 2" xfId="43002" xr:uid="{C4114072-EAC3-4A32-B663-A8378964B25F}"/>
    <cellStyle name="Percent 2 13 2 3" xfId="8347" xr:uid="{00000000-0005-0000-0000-0000D70F0000}"/>
    <cellStyle name="Percent 2 13 2 3 2" xfId="41127" xr:uid="{360D8BDE-292E-42F0-AB0F-F94A754769C1}"/>
    <cellStyle name="Percent 2 13 2 4" xfId="16318" xr:uid="{94244BBB-4A54-4253-8E48-B3A5B7707506}"/>
    <cellStyle name="Percent 2 13 2 5" xfId="39026" xr:uid="{04767B6E-EECF-4E17-A157-545F67A9C56F}"/>
    <cellStyle name="Percent 2 13 3" xfId="10512" xr:uid="{00000000-0005-0000-0000-0000F0200000}"/>
    <cellStyle name="Percent 2 13 3 2" xfId="43001" xr:uid="{9A9D0CD6-2362-4FA0-80DC-4BB3860D503B}"/>
    <cellStyle name="Percent 2 13 4" xfId="8346" xr:uid="{00000000-0005-0000-0000-0000D60F0000}"/>
    <cellStyle name="Percent 2 13 4 2" xfId="41126" xr:uid="{D9AAEC6D-FC6A-49DF-B0FB-5D5BCB500D4B}"/>
    <cellStyle name="Percent 2 13 5" xfId="16317" xr:uid="{B7458AE4-AE25-4572-9AE2-197EB825BEB9}"/>
    <cellStyle name="Percent 2 13 6" xfId="39025" xr:uid="{4EBDC130-96EF-4E85-A5D8-25C404DC0E27}"/>
    <cellStyle name="Percent 2 14" xfId="4994" xr:uid="{00000000-0005-0000-0000-0000A9130000}"/>
    <cellStyle name="Percent 2 14 2" xfId="10514" xr:uid="{00000000-0005-0000-0000-0000F2200000}"/>
    <cellStyle name="Percent 2 14 2 2" xfId="43003" xr:uid="{FFB821D0-9097-41F9-96AC-E5E4F449C49C}"/>
    <cellStyle name="Percent 2 14 3" xfId="8348" xr:uid="{00000000-0005-0000-0000-0000D80F0000}"/>
    <cellStyle name="Percent 2 14 4" xfId="39027" xr:uid="{32022F16-CC12-4302-8AA5-310BFC6FE075}"/>
    <cellStyle name="Percent 2 15" xfId="4995" xr:uid="{00000000-0005-0000-0000-0000AA130000}"/>
    <cellStyle name="Percent 2 15 2" xfId="10515" xr:uid="{00000000-0005-0000-0000-0000F3200000}"/>
    <cellStyle name="Percent 2 15 2 2" xfId="43004" xr:uid="{1B4BB996-E48F-418D-8413-8F9BA3B346C9}"/>
    <cellStyle name="Percent 2 15 3" xfId="8351" xr:uid="{00000000-0005-0000-0000-0000D90F0000}"/>
    <cellStyle name="Percent 2 15 4" xfId="39028" xr:uid="{B7B5B094-9C74-4CF6-AD50-A5FEA36D2C2C}"/>
    <cellStyle name="Percent 2 16" xfId="4996" xr:uid="{00000000-0005-0000-0000-0000AB130000}"/>
    <cellStyle name="Percent 2 16 2" xfId="10516" xr:uid="{00000000-0005-0000-0000-0000F4200000}"/>
    <cellStyle name="Percent 2 16 2 2" xfId="43005" xr:uid="{C8D28E88-32DF-4939-A267-AD1BC167BC67}"/>
    <cellStyle name="Percent 2 16 3" xfId="8352" xr:uid="{00000000-0005-0000-0000-0000DA0F0000}"/>
    <cellStyle name="Percent 2 16 4" xfId="39029" xr:uid="{CC6CE93F-77F3-4DBC-89B4-796F18992C17}"/>
    <cellStyle name="Percent 2 17" xfId="4997" xr:uid="{00000000-0005-0000-0000-0000AC130000}"/>
    <cellStyle name="Percent 2 17 2" xfId="10517" xr:uid="{00000000-0005-0000-0000-0000F5200000}"/>
    <cellStyle name="Percent 2 17 2 2" xfId="43006" xr:uid="{05E56C22-0FD1-4AC4-A59E-5CB5BE3AF6A1}"/>
    <cellStyle name="Percent 2 17 3" xfId="8353" xr:uid="{00000000-0005-0000-0000-0000DB0F0000}"/>
    <cellStyle name="Percent 2 17 4" xfId="39030" xr:uid="{B568419F-13DE-4989-A4CD-037D12649D97}"/>
    <cellStyle name="Percent 2 18" xfId="4998" xr:uid="{00000000-0005-0000-0000-0000AD130000}"/>
    <cellStyle name="Percent 2 18 2" xfId="10518" xr:uid="{00000000-0005-0000-0000-0000F6200000}"/>
    <cellStyle name="Percent 2 18 2 2" xfId="43007" xr:uid="{4380679E-5B42-4E0E-9EC5-D054112E6AC1}"/>
    <cellStyle name="Percent 2 18 3" xfId="8356" xr:uid="{00000000-0005-0000-0000-0000DC0F0000}"/>
    <cellStyle name="Percent 2 18 3 2" xfId="41133" xr:uid="{02530FC2-513D-4254-ACFD-C0E2A8B80E63}"/>
    <cellStyle name="Percent 2 18 4" xfId="16321" xr:uid="{CB1130D5-8560-4554-9C62-FBDEF1D16F5A}"/>
    <cellStyle name="Percent 2 18 5" xfId="39031" xr:uid="{9437BDE6-A8A6-4DD9-8855-A5C1ED4F87BA}"/>
    <cellStyle name="Percent 2 19" xfId="4999" xr:uid="{00000000-0005-0000-0000-0000AE130000}"/>
    <cellStyle name="Percent 2 19 2" xfId="10519" xr:uid="{00000000-0005-0000-0000-0000F7200000}"/>
    <cellStyle name="Percent 2 19 2 2" xfId="43008" xr:uid="{E6C77EBB-2175-4063-8BBB-4AFD239E9737}"/>
    <cellStyle name="Percent 2 19 3" xfId="8357" xr:uid="{00000000-0005-0000-0000-0000DD0F0000}"/>
    <cellStyle name="Percent 2 19 4" xfId="39032" xr:uid="{406B91B9-5E80-4904-9CBE-A2FA8DA21806}"/>
    <cellStyle name="Percent 2 2" xfId="5000" xr:uid="{00000000-0005-0000-0000-0000AF130000}"/>
    <cellStyle name="Percent 2 2 10" xfId="13657" xr:uid="{15B74C63-970A-4352-86E7-79AB832AD2E4}"/>
    <cellStyle name="Percent 2 2 11" xfId="39033" xr:uid="{89653FED-3219-4F2D-BBD2-87A751772002}"/>
    <cellStyle name="Percent 2 2 2" xfId="5001" xr:uid="{00000000-0005-0000-0000-0000B0130000}"/>
    <cellStyle name="Percent 2 2 2 2" xfId="10521" xr:uid="{00000000-0005-0000-0000-0000F9200000}"/>
    <cellStyle name="Percent 2 2 2 2 2" xfId="43010" xr:uid="{16B1E55D-0E3A-41D9-A0AC-24C2CDC44FD7}"/>
    <cellStyle name="Percent 2 2 2 3" xfId="8359" xr:uid="{00000000-0005-0000-0000-0000DF0F0000}"/>
    <cellStyle name="Percent 2 2 2 4" xfId="39034" xr:uid="{74032038-836A-4602-8CD6-59603872A12B}"/>
    <cellStyle name="Percent 2 2 3" xfId="5002" xr:uid="{00000000-0005-0000-0000-0000B1130000}"/>
    <cellStyle name="Percent 2 2 3 2" xfId="10522" xr:uid="{00000000-0005-0000-0000-0000FA200000}"/>
    <cellStyle name="Percent 2 2 3 2 2" xfId="43011" xr:uid="{CF5B451F-92D0-42F3-A9DB-AD0ADA7C85DB}"/>
    <cellStyle name="Percent 2 2 3 3" xfId="8360" xr:uid="{00000000-0005-0000-0000-0000E00F0000}"/>
    <cellStyle name="Percent 2 2 3 4" xfId="39035" xr:uid="{CA231A61-6F7A-4E3D-91FD-215407BB8498}"/>
    <cellStyle name="Percent 2 2 4" xfId="5003" xr:uid="{00000000-0005-0000-0000-0000B2130000}"/>
    <cellStyle name="Percent 2 2 4 2" xfId="5004" xr:uid="{00000000-0005-0000-0000-0000B3130000}"/>
    <cellStyle name="Percent 2 2 4 2 2" xfId="5005" xr:uid="{00000000-0005-0000-0000-0000B4130000}"/>
    <cellStyle name="Percent 2 2 4 2 2 2" xfId="5006" xr:uid="{00000000-0005-0000-0000-0000B5130000}"/>
    <cellStyle name="Percent 2 2 4 2 2 2 2" xfId="10526" xr:uid="{00000000-0005-0000-0000-0000FE200000}"/>
    <cellStyle name="Percent 2 2 4 2 2 2 2 2" xfId="43015" xr:uid="{8380E5F4-3373-4E47-80B5-14DD87A736AA}"/>
    <cellStyle name="Percent 2 2 4 2 2 2 3" xfId="8366" xr:uid="{00000000-0005-0000-0000-0000E40F0000}"/>
    <cellStyle name="Percent 2 2 4 2 2 2 3 2" xfId="41140" xr:uid="{2A9B0150-5B5E-4FFA-B72C-F518E6F9CE0E}"/>
    <cellStyle name="Percent 2 2 4 2 2 2 4" xfId="16326" xr:uid="{4C805CC2-92E4-4826-81B1-498F121DFBE1}"/>
    <cellStyle name="Percent 2 2 4 2 2 2 5" xfId="39039" xr:uid="{900EA92B-88DF-4042-B1DF-12178FEC50CF}"/>
    <cellStyle name="Percent 2 2 4 2 2 3" xfId="10525" xr:uid="{00000000-0005-0000-0000-0000FD200000}"/>
    <cellStyle name="Percent 2 2 4 2 2 3 2" xfId="43014" xr:uid="{CBFE5768-7517-440C-81F6-4C3CE7FF9C0F}"/>
    <cellStyle name="Percent 2 2 4 2 2 4" xfId="8364" xr:uid="{00000000-0005-0000-0000-0000E30F0000}"/>
    <cellStyle name="Percent 2 2 4 2 2 4 2" xfId="41138" xr:uid="{183AE1C5-76AE-4D6C-A6AC-CC242123E07E}"/>
    <cellStyle name="Percent 2 2 4 2 2 5" xfId="16325" xr:uid="{3B182A57-3BD2-4ADC-9D7F-E88CDB1B6F76}"/>
    <cellStyle name="Percent 2 2 4 2 2 6" xfId="39038" xr:uid="{41BEBC51-B41F-409A-BBC5-572FBE4BE1AC}"/>
    <cellStyle name="Percent 2 2 4 2 3" xfId="5007" xr:uid="{00000000-0005-0000-0000-0000B6130000}"/>
    <cellStyle name="Percent 2 2 4 2 3 2" xfId="10527" xr:uid="{00000000-0005-0000-0000-0000FF200000}"/>
    <cellStyle name="Percent 2 2 4 2 3 2 2" xfId="43016" xr:uid="{2C55B553-5CCD-47CE-B338-D6BCE362E871}"/>
    <cellStyle name="Percent 2 2 4 2 3 3" xfId="8367" xr:uid="{00000000-0005-0000-0000-0000E50F0000}"/>
    <cellStyle name="Percent 2 2 4 2 3 3 2" xfId="41141" xr:uid="{0189D602-7D4A-40D8-9862-629D59C79EE8}"/>
    <cellStyle name="Percent 2 2 4 2 3 4" xfId="16327" xr:uid="{4011467B-AA85-413C-9463-5D5019434E03}"/>
    <cellStyle name="Percent 2 2 4 2 3 5" xfId="39040" xr:uid="{051BEA62-9CDF-40FA-A1B7-381E24A7D1CC}"/>
    <cellStyle name="Percent 2 2 4 2 4" xfId="10524" xr:uid="{00000000-0005-0000-0000-0000FC200000}"/>
    <cellStyle name="Percent 2 2 4 2 4 2" xfId="43013" xr:uid="{A34F6C77-FAF0-4E9C-B13F-CCDD024D047E}"/>
    <cellStyle name="Percent 2 2 4 2 5" xfId="8362" xr:uid="{00000000-0005-0000-0000-0000E20F0000}"/>
    <cellStyle name="Percent 2 2 4 2 5 2" xfId="41136" xr:uid="{6A50B963-562A-471D-BA57-C933E732C5C8}"/>
    <cellStyle name="Percent 2 2 4 2 6" xfId="16324" xr:uid="{38C96BFF-085A-473F-9AD3-5DEEB647EC81}"/>
    <cellStyle name="Percent 2 2 4 2 7" xfId="39037" xr:uid="{AB0D595E-3580-49B9-B7B1-C21CC04F6AF7}"/>
    <cellStyle name="Percent 2 2 4 3" xfId="5008" xr:uid="{00000000-0005-0000-0000-0000B7130000}"/>
    <cellStyle name="Percent 2 2 4 3 2" xfId="5009" xr:uid="{00000000-0005-0000-0000-0000B8130000}"/>
    <cellStyle name="Percent 2 2 4 3 2 2" xfId="10529" xr:uid="{00000000-0005-0000-0000-000001210000}"/>
    <cellStyle name="Percent 2 2 4 3 2 2 2" xfId="43018" xr:uid="{694A3F8C-CB76-4DB1-9979-6D9A9A2B3952}"/>
    <cellStyle name="Percent 2 2 4 3 2 3" xfId="8370" xr:uid="{00000000-0005-0000-0000-0000E70F0000}"/>
    <cellStyle name="Percent 2 2 4 3 2 3 2" xfId="41144" xr:uid="{ADC521BA-8AD3-4D41-8FD7-81D78D785FDD}"/>
    <cellStyle name="Percent 2 2 4 3 2 4" xfId="16329" xr:uid="{8AFEB23B-6597-47B8-83E2-86FF300F2A66}"/>
    <cellStyle name="Percent 2 2 4 3 2 5" xfId="39042" xr:uid="{6B9344A7-9BFF-4511-89E4-FCF82AA94D08}"/>
    <cellStyle name="Percent 2 2 4 3 3" xfId="10528" xr:uid="{00000000-0005-0000-0000-000000210000}"/>
    <cellStyle name="Percent 2 2 4 3 3 2" xfId="43017" xr:uid="{2F9F3CFE-5AB3-4A4C-B4C6-1FFF61A87CD5}"/>
    <cellStyle name="Percent 2 2 4 3 4" xfId="8369" xr:uid="{00000000-0005-0000-0000-0000E60F0000}"/>
    <cellStyle name="Percent 2 2 4 3 4 2" xfId="41143" xr:uid="{12D8FF33-DCFB-4BF4-9550-56BAF5D1F160}"/>
    <cellStyle name="Percent 2 2 4 3 5" xfId="16328" xr:uid="{E808E000-156C-486B-A9F4-B8A2368DA701}"/>
    <cellStyle name="Percent 2 2 4 3 6" xfId="39041" xr:uid="{068CBBF5-3044-4F02-B57D-DA1B8847D8AC}"/>
    <cellStyle name="Percent 2 2 4 4" xfId="5010" xr:uid="{00000000-0005-0000-0000-0000B9130000}"/>
    <cellStyle name="Percent 2 2 4 4 2" xfId="10530" xr:uid="{00000000-0005-0000-0000-000002210000}"/>
    <cellStyle name="Percent 2 2 4 4 2 2" xfId="43019" xr:uid="{95BA4F6A-1FEC-4C04-AED6-8A82D0EB9F39}"/>
    <cellStyle name="Percent 2 2 4 4 3" xfId="8371" xr:uid="{00000000-0005-0000-0000-0000E80F0000}"/>
    <cellStyle name="Percent 2 2 4 4 3 2" xfId="41145" xr:uid="{0EA2C9D1-69FE-442D-9839-A9037222BA39}"/>
    <cellStyle name="Percent 2 2 4 4 4" xfId="16330" xr:uid="{00E4BA52-CD00-4AE5-A956-234F25B5F9B7}"/>
    <cellStyle name="Percent 2 2 4 4 5" xfId="39043" xr:uid="{B82B65BE-632A-4B03-87AA-84FE5B414A4C}"/>
    <cellStyle name="Percent 2 2 4 5" xfId="10523" xr:uid="{00000000-0005-0000-0000-0000FB200000}"/>
    <cellStyle name="Percent 2 2 4 5 2" xfId="43012" xr:uid="{BE062BFD-5CD8-4234-91BA-27E47FE19E48}"/>
    <cellStyle name="Percent 2 2 4 6" xfId="8361" xr:uid="{00000000-0005-0000-0000-0000E10F0000}"/>
    <cellStyle name="Percent 2 2 4 6 2" xfId="41135" xr:uid="{EE43724E-A8FA-4FD9-BB53-FE78DE8ECA69}"/>
    <cellStyle name="Percent 2 2 4 7" xfId="16323" xr:uid="{2E46E1F0-F08C-4C97-95F9-1E75C0762292}"/>
    <cellStyle name="Percent 2 2 4 8" xfId="39036" xr:uid="{7772760C-CF39-4C5A-BE14-9E1FD1CBD07C}"/>
    <cellStyle name="Percent 2 2 5" xfId="5011" xr:uid="{00000000-0005-0000-0000-0000BA130000}"/>
    <cellStyle name="Percent 2 2 5 2" xfId="10531" xr:uid="{00000000-0005-0000-0000-000003210000}"/>
    <cellStyle name="Percent 2 2 5 2 2" xfId="43020" xr:uid="{DD9C548D-07B7-42FA-867F-D1F7E9AD93F7}"/>
    <cellStyle name="Percent 2 2 5 3" xfId="8372" xr:uid="{00000000-0005-0000-0000-0000E90F0000}"/>
    <cellStyle name="Percent 2 2 5 4" xfId="39044" xr:uid="{0B9D2962-2D51-4A63-93A5-4BFA452E9D07}"/>
    <cellStyle name="Percent 2 2 6" xfId="5012" xr:uid="{00000000-0005-0000-0000-0000BB130000}"/>
    <cellStyle name="Percent 2 2 6 2" xfId="10532" xr:uid="{00000000-0005-0000-0000-000004210000}"/>
    <cellStyle name="Percent 2 2 6 2 2" xfId="43021" xr:uid="{630A4620-A360-4262-97F8-D0A8523C2F7E}"/>
    <cellStyle name="Percent 2 2 6 3" xfId="8373" xr:uid="{00000000-0005-0000-0000-0000EA0F0000}"/>
    <cellStyle name="Percent 2 2 6 4" xfId="39045" xr:uid="{BC4E358C-DEFF-489A-A10E-B0E7F30E3D0F}"/>
    <cellStyle name="Percent 2 2 7" xfId="5013" xr:uid="{00000000-0005-0000-0000-0000BC130000}"/>
    <cellStyle name="Percent 2 2 7 2" xfId="10533" xr:uid="{00000000-0005-0000-0000-000005210000}"/>
    <cellStyle name="Percent 2 2 7 2 2" xfId="43022" xr:uid="{79AC4D0E-5982-477E-9DD5-FCD8E395FA04}"/>
    <cellStyle name="Percent 2 2 7 3" xfId="16322" xr:uid="{C517E28F-2646-4A88-B07B-CB750C9ECF36}"/>
    <cellStyle name="Percent 2 2 7 4" xfId="39046" xr:uid="{8A3B63F8-925B-4E10-B8C2-3B5D947A73C8}"/>
    <cellStyle name="Percent 2 2 8" xfId="10520" xr:uid="{00000000-0005-0000-0000-0000F8200000}"/>
    <cellStyle name="Percent 2 2 8 2" xfId="43009" xr:uid="{2AB658F0-8D7E-4719-8431-B1CA83B1B1A4}"/>
    <cellStyle name="Percent 2 2 9" xfId="8358" xr:uid="{00000000-0005-0000-0000-0000DE0F0000}"/>
    <cellStyle name="Percent 2 20" xfId="10502" xr:uid="{00000000-0005-0000-0000-0000E6200000}"/>
    <cellStyle name="Percent 2 20 2" xfId="8332" xr:uid="{00000000-0005-0000-0000-0000CC0F0000}"/>
    <cellStyle name="Percent 2 20 3" xfId="24394" xr:uid="{F8E0F59C-D095-4A0F-84F1-5CB617CE0DEB}"/>
    <cellStyle name="Percent 2 20 4" xfId="42991" xr:uid="{3EDDDAD5-D7B8-471F-80AE-B01009D1549A}"/>
    <cellStyle name="Percent 2 21" xfId="12961" xr:uid="{00000000-0005-0000-0000-000009000000}"/>
    <cellStyle name="Percent 2 22" xfId="39015" xr:uid="{1C478363-6ED9-4527-9978-D19118AE3D37}"/>
    <cellStyle name="Percent 2 3" xfId="5014" xr:uid="{00000000-0005-0000-0000-0000BD130000}"/>
    <cellStyle name="Percent 2 3 2" xfId="5015" xr:uid="{00000000-0005-0000-0000-0000BE130000}"/>
    <cellStyle name="Percent 2 3 2 2" xfId="10535" xr:uid="{00000000-0005-0000-0000-000007210000}"/>
    <cellStyle name="Percent 2 3 2 2 2" xfId="18486" xr:uid="{03B8BE5F-63E5-426F-8DDB-D88755E929D4}"/>
    <cellStyle name="Percent 2 3 2 2 3" xfId="17757" xr:uid="{5F162326-A4DC-4EA5-94A5-00F6243A814B}"/>
    <cellStyle name="Percent 2 3 2 2 4" xfId="43024" xr:uid="{D04B189C-71E9-4978-B2CC-81E99234EF57}"/>
    <cellStyle name="Percent 2 3 2 3" xfId="9366" xr:uid="{00000000-0005-0000-0000-000051240000}"/>
    <cellStyle name="Percent 2 3 2 3 2" xfId="18657" xr:uid="{CF97393E-C21C-4629-A72E-F025CA3FC454}"/>
    <cellStyle name="Percent 2 3 2 4" xfId="17489" xr:uid="{439AAC3E-AE67-4ECE-8CCE-66F86119DAF3}"/>
    <cellStyle name="Percent 2 3 2 5" xfId="16332" xr:uid="{ACC5B9EA-9C14-48FA-9A33-DD03560D2160}"/>
    <cellStyle name="Percent 2 3 2 6" xfId="39048" xr:uid="{10F3C08A-72D8-4E50-A299-19043D49F9A8}"/>
    <cellStyle name="Percent 2 3 3" xfId="10534" xr:uid="{00000000-0005-0000-0000-000006210000}"/>
    <cellStyle name="Percent 2 3 3 2" xfId="18545" xr:uid="{33A01E62-CF7E-408C-80C8-993FD864536F}"/>
    <cellStyle name="Percent 2 3 3 3" xfId="17670" xr:uid="{B2196160-042A-42FF-AC21-7F95C57EF6E0}"/>
    <cellStyle name="Percent 2 3 3 4" xfId="43023" xr:uid="{D54F3BF3-8FC0-4CA9-81C8-C62B8F428C53}"/>
    <cellStyle name="Percent 2 3 4" xfId="8374" xr:uid="{00000000-0005-0000-0000-0000EB0F0000}"/>
    <cellStyle name="Percent 2 3 4 2" xfId="23718" xr:uid="{8CB6A5AC-AF5F-4FDC-B95A-48FCFF1FF225}"/>
    <cellStyle name="Percent 2 3 4 3" xfId="18714" xr:uid="{D63FD409-7990-4CF7-AA86-DF84C8254DA2}"/>
    <cellStyle name="Percent 2 3 5" xfId="18235" xr:uid="{0A8DCBF3-4EE8-41F9-8DC9-627BF2ACB9A3}"/>
    <cellStyle name="Percent 2 3 5 2" xfId="24536" xr:uid="{421D2CF7-3240-4351-A386-43E7380DE631}"/>
    <cellStyle name="Percent 2 3 6" xfId="13658" xr:uid="{3F5A802D-4CB8-41E7-AF8B-662E6E6186A4}"/>
    <cellStyle name="Percent 2 3 7" xfId="39047" xr:uid="{5EAEB7A6-6199-439C-B62B-279E018DAE17}"/>
    <cellStyle name="Percent 2 4" xfId="5016" xr:uid="{00000000-0005-0000-0000-0000BF130000}"/>
    <cellStyle name="Percent 2 4 2" xfId="10536" xr:uid="{00000000-0005-0000-0000-000008210000}"/>
    <cellStyle name="Percent 2 4 2 2" xfId="18510" xr:uid="{6702ECD0-FA09-4A7F-A090-041ADAA97F71}"/>
    <cellStyle name="Percent 2 4 2 3" xfId="17723" xr:uid="{2E5083A7-9411-441F-B9CD-E955E783B3C9}"/>
    <cellStyle name="Percent 2 4 2 4" xfId="43025" xr:uid="{4C87EC64-56D4-44D9-9084-6850B5DA09AC}"/>
    <cellStyle name="Percent 2 4 3" xfId="8376" xr:uid="{00000000-0005-0000-0000-0000EC0F0000}"/>
    <cellStyle name="Percent 2 4 3 2" xfId="23719" xr:uid="{D18E1F6D-E514-4A40-BFC7-7040545F512B}"/>
    <cellStyle name="Percent 2 4 3 3" xfId="18682" xr:uid="{912B4C56-26E1-47F7-95D1-5D5A2501CDF2}"/>
    <cellStyle name="Percent 2 4 4" xfId="18236" xr:uid="{4C6D8B83-C996-41A5-A377-9247F262AFC7}"/>
    <cellStyle name="Percent 2 4 4 2" xfId="24565" xr:uid="{7B69F952-C97A-4F49-A615-A207E10AE842}"/>
    <cellStyle name="Percent 2 4 5" xfId="17460" xr:uid="{126D398A-4926-4E52-89A3-9E7E4DE3B617}"/>
    <cellStyle name="Percent 2 4 6" xfId="39049" xr:uid="{7B07707D-6140-4ED5-84DA-A0DB29F6A25A}"/>
    <cellStyle name="Percent 2 5" xfId="5017" xr:uid="{00000000-0005-0000-0000-0000C0130000}"/>
    <cellStyle name="Percent 2 5 10" xfId="39050" xr:uid="{834E8F53-4E58-43A5-85E1-1BE86957BD64}"/>
    <cellStyle name="Percent 2 5 2" xfId="5018" xr:uid="{00000000-0005-0000-0000-0000C1130000}"/>
    <cellStyle name="Percent 2 5 2 2" xfId="5019" xr:uid="{00000000-0005-0000-0000-0000C2130000}"/>
    <cellStyle name="Percent 2 5 2 2 2" xfId="5020" xr:uid="{00000000-0005-0000-0000-0000C3130000}"/>
    <cellStyle name="Percent 2 5 2 2 2 2" xfId="5021" xr:uid="{00000000-0005-0000-0000-0000C4130000}"/>
    <cellStyle name="Percent 2 5 2 2 2 2 2" xfId="10541" xr:uid="{00000000-0005-0000-0000-00000D210000}"/>
    <cellStyle name="Percent 2 5 2 2 2 2 2 2" xfId="43030" xr:uid="{F1ABCA7E-EDAB-4AEE-9D46-2A50C7313062}"/>
    <cellStyle name="Percent 2 5 2 2 2 2 3" xfId="8383" xr:uid="{00000000-0005-0000-0000-0000F10F0000}"/>
    <cellStyle name="Percent 2 5 2 2 2 2 3 2" xfId="41154" xr:uid="{40EA53DF-D25F-493A-B699-9BA7C4291F78}"/>
    <cellStyle name="Percent 2 5 2 2 2 2 4" xfId="16337" xr:uid="{B4273BAE-2BE4-4997-96F1-E2C83944DECE}"/>
    <cellStyle name="Percent 2 5 2 2 2 2 5" xfId="39054" xr:uid="{561F8C41-68C0-4D0A-9BAF-1302B86AFFF2}"/>
    <cellStyle name="Percent 2 5 2 2 2 3" xfId="10540" xr:uid="{00000000-0005-0000-0000-00000C210000}"/>
    <cellStyle name="Percent 2 5 2 2 2 3 2" xfId="43029" xr:uid="{4EADCC68-444B-4FEA-A96C-8C87F76119A6}"/>
    <cellStyle name="Percent 2 5 2 2 2 4" xfId="8382" xr:uid="{00000000-0005-0000-0000-0000F00F0000}"/>
    <cellStyle name="Percent 2 5 2 2 2 4 2" xfId="41153" xr:uid="{55D4B367-9E15-4458-8044-3A05920CD1D6}"/>
    <cellStyle name="Percent 2 5 2 2 2 5" xfId="16336" xr:uid="{70753BA3-2FC4-4CFA-B457-6F1C7652C18C}"/>
    <cellStyle name="Percent 2 5 2 2 2 6" xfId="39053" xr:uid="{44843CE9-2EA7-4E1E-9A01-9E9FD8231DA0}"/>
    <cellStyle name="Percent 2 5 2 2 3" xfId="5022" xr:uid="{00000000-0005-0000-0000-0000C5130000}"/>
    <cellStyle name="Percent 2 5 2 2 3 2" xfId="10542" xr:uid="{00000000-0005-0000-0000-00000E210000}"/>
    <cellStyle name="Percent 2 5 2 2 3 2 2" xfId="43031" xr:uid="{D67E335C-EF3E-4C30-BB15-A2333EA82CE7}"/>
    <cellStyle name="Percent 2 5 2 2 3 3" xfId="8384" xr:uid="{00000000-0005-0000-0000-0000F20F0000}"/>
    <cellStyle name="Percent 2 5 2 2 3 3 2" xfId="41155" xr:uid="{A4772BB8-5081-4996-A5FE-4860A96A3D80}"/>
    <cellStyle name="Percent 2 5 2 2 3 4" xfId="16338" xr:uid="{830C5AC8-B421-46BC-867B-4D2CDBE5CBCF}"/>
    <cellStyle name="Percent 2 5 2 2 3 5" xfId="39055" xr:uid="{2397E464-122F-42AF-A876-E76466D10BED}"/>
    <cellStyle name="Percent 2 5 2 2 4" xfId="10539" xr:uid="{00000000-0005-0000-0000-00000B210000}"/>
    <cellStyle name="Percent 2 5 2 2 4 2" xfId="43028" xr:uid="{B9BAA9E7-018A-4473-A5D8-47835F1BCA26}"/>
    <cellStyle name="Percent 2 5 2 2 5" xfId="8380" xr:uid="{00000000-0005-0000-0000-0000EF0F0000}"/>
    <cellStyle name="Percent 2 5 2 2 5 2" xfId="41151" xr:uid="{DFA920E8-2AF4-43C8-8502-914CA9B410D6}"/>
    <cellStyle name="Percent 2 5 2 2 6" xfId="16335" xr:uid="{B89D7235-B0FA-42E6-8080-5F40A1D26FDA}"/>
    <cellStyle name="Percent 2 5 2 2 7" xfId="39052" xr:uid="{957FEC51-5F20-4AAD-9018-495C27EEBF02}"/>
    <cellStyle name="Percent 2 5 2 3" xfId="5023" xr:uid="{00000000-0005-0000-0000-0000C6130000}"/>
    <cellStyle name="Percent 2 5 2 3 2" xfId="5024" xr:uid="{00000000-0005-0000-0000-0000C7130000}"/>
    <cellStyle name="Percent 2 5 2 3 2 2" xfId="10544" xr:uid="{00000000-0005-0000-0000-000010210000}"/>
    <cellStyle name="Percent 2 5 2 3 2 2 2" xfId="43033" xr:uid="{2EB0890A-0D0C-45FC-B173-C43C45603B4E}"/>
    <cellStyle name="Percent 2 5 2 3 2 3" xfId="8388" xr:uid="{00000000-0005-0000-0000-0000F40F0000}"/>
    <cellStyle name="Percent 2 5 2 3 2 3 2" xfId="41159" xr:uid="{C3E70663-AAB2-440E-A530-AC4BE90F5C39}"/>
    <cellStyle name="Percent 2 5 2 3 2 4" xfId="16340" xr:uid="{42F36996-AA11-4C90-9439-BB067E63B5FA}"/>
    <cellStyle name="Percent 2 5 2 3 2 5" xfId="39057" xr:uid="{CD0F54CA-FAA0-4CAC-B903-55816A114552}"/>
    <cellStyle name="Percent 2 5 2 3 3" xfId="10543" xr:uid="{00000000-0005-0000-0000-00000F210000}"/>
    <cellStyle name="Percent 2 5 2 3 3 2" xfId="43032" xr:uid="{09B5A125-80F4-4FA2-8482-7D139F7D0D07}"/>
    <cellStyle name="Percent 2 5 2 3 4" xfId="8387" xr:uid="{00000000-0005-0000-0000-0000F30F0000}"/>
    <cellStyle name="Percent 2 5 2 3 4 2" xfId="41158" xr:uid="{00802A2D-A619-499A-A523-1199D58CD61E}"/>
    <cellStyle name="Percent 2 5 2 3 5" xfId="16339" xr:uid="{4682BD48-5D8A-491E-A458-AA6675385DB2}"/>
    <cellStyle name="Percent 2 5 2 3 6" xfId="39056" xr:uid="{BD5833A0-DD60-4ADD-82BC-EC48F5A9890D}"/>
    <cellStyle name="Percent 2 5 2 4" xfId="5025" xr:uid="{00000000-0005-0000-0000-0000C8130000}"/>
    <cellStyle name="Percent 2 5 2 4 2" xfId="10545" xr:uid="{00000000-0005-0000-0000-000011210000}"/>
    <cellStyle name="Percent 2 5 2 4 2 2" xfId="43034" xr:uid="{27B6194B-5C5A-44FF-B2A2-18EBA46CC277}"/>
    <cellStyle name="Percent 2 5 2 4 3" xfId="8389" xr:uid="{00000000-0005-0000-0000-0000F50F0000}"/>
    <cellStyle name="Percent 2 5 2 4 3 2" xfId="41160" xr:uid="{208D3141-C7F3-4D9C-B898-D7DA81BEDA14}"/>
    <cellStyle name="Percent 2 5 2 4 4" xfId="16341" xr:uid="{51EE2D5B-EDAC-4980-B3E2-AD8539BA8A5B}"/>
    <cellStyle name="Percent 2 5 2 4 5" xfId="39058" xr:uid="{E988AFAE-1262-4DCC-BB58-FD0D2A2DA751}"/>
    <cellStyle name="Percent 2 5 2 5" xfId="10538" xr:uid="{00000000-0005-0000-0000-00000A210000}"/>
    <cellStyle name="Percent 2 5 2 5 2" xfId="18238" xr:uid="{E55FF9F0-5E7D-45A5-85A6-D872386C91D9}"/>
    <cellStyle name="Percent 2 5 2 5 3" xfId="43027" xr:uid="{AAC3DDEE-35D3-48D8-8DF5-0C3AD9D59447}"/>
    <cellStyle name="Percent 2 5 2 6" xfId="8378" xr:uid="{00000000-0005-0000-0000-0000EE0F0000}"/>
    <cellStyle name="Percent 2 5 2 6 2" xfId="24708" xr:uid="{13F37EAA-D327-496E-9B30-1BCB8622A491}"/>
    <cellStyle name="Percent 2 5 2 7" xfId="16334" xr:uid="{051132B4-B134-47DB-86EC-12AC04A087CD}"/>
    <cellStyle name="Percent 2 5 2 8" xfId="39051" xr:uid="{9C79B69E-651E-4E69-8E1E-7E9351D5C54B}"/>
    <cellStyle name="Percent 2 5 3" xfId="5026" xr:uid="{00000000-0005-0000-0000-0000C9130000}"/>
    <cellStyle name="Percent 2 5 3 2" xfId="5027" xr:uid="{00000000-0005-0000-0000-0000CA130000}"/>
    <cellStyle name="Percent 2 5 3 2 2" xfId="5028" xr:uid="{00000000-0005-0000-0000-0000CB130000}"/>
    <cellStyle name="Percent 2 5 3 2 2 2" xfId="5029" xr:uid="{00000000-0005-0000-0000-0000CC130000}"/>
    <cellStyle name="Percent 2 5 3 2 2 2 2" xfId="10549" xr:uid="{00000000-0005-0000-0000-000015210000}"/>
    <cellStyle name="Percent 2 5 3 2 2 2 2 2" xfId="43038" xr:uid="{FC2C62AE-380D-4FE5-8534-CBDDD8ED1A03}"/>
    <cellStyle name="Percent 2 5 3 2 2 2 3" xfId="8393" xr:uid="{00000000-0005-0000-0000-0000F90F0000}"/>
    <cellStyle name="Percent 2 5 3 2 2 2 3 2" xfId="41164" xr:uid="{B28F44FD-4A1A-4BF2-B3AE-57A3E4312F16}"/>
    <cellStyle name="Percent 2 5 3 2 2 2 4" xfId="16345" xr:uid="{6B532685-45EF-4DB7-834E-4EEC1CAC3F8B}"/>
    <cellStyle name="Percent 2 5 3 2 2 2 5" xfId="39062" xr:uid="{12D0E8C6-A929-41DE-B9E8-66B933365EAD}"/>
    <cellStyle name="Percent 2 5 3 2 2 3" xfId="10548" xr:uid="{00000000-0005-0000-0000-000014210000}"/>
    <cellStyle name="Percent 2 5 3 2 2 3 2" xfId="43037" xr:uid="{76321DAC-5E4B-489A-9D20-8E7BB2345EB6}"/>
    <cellStyle name="Percent 2 5 3 2 2 4" xfId="8392" xr:uid="{00000000-0005-0000-0000-0000F80F0000}"/>
    <cellStyle name="Percent 2 5 3 2 2 4 2" xfId="41163" xr:uid="{8F0EB8BF-1A9C-49F6-BFCA-4C92BD7BE7B3}"/>
    <cellStyle name="Percent 2 5 3 2 2 5" xfId="16344" xr:uid="{53411742-8F4F-4189-BAF5-1A73E426D1AC}"/>
    <cellStyle name="Percent 2 5 3 2 2 6" xfId="39061" xr:uid="{91A06FA6-61FB-48D9-92F7-B234880587F2}"/>
    <cellStyle name="Percent 2 5 3 2 3" xfId="5030" xr:uid="{00000000-0005-0000-0000-0000CD130000}"/>
    <cellStyle name="Percent 2 5 3 2 3 2" xfId="10550" xr:uid="{00000000-0005-0000-0000-000016210000}"/>
    <cellStyle name="Percent 2 5 3 2 3 2 2" xfId="43039" xr:uid="{217A0B63-E8AD-4630-9FE2-BD8B73439E3C}"/>
    <cellStyle name="Percent 2 5 3 2 3 3" xfId="8398" xr:uid="{00000000-0005-0000-0000-0000FA0F0000}"/>
    <cellStyle name="Percent 2 5 3 2 3 3 2" xfId="41169" xr:uid="{276E1888-BA87-42BD-8A94-83100A4D336E}"/>
    <cellStyle name="Percent 2 5 3 2 3 4" xfId="16346" xr:uid="{E7275E38-DAC4-41EE-97B1-95B801DE3169}"/>
    <cellStyle name="Percent 2 5 3 2 3 5" xfId="39063" xr:uid="{414D69D2-3A11-48F6-8590-B0FCCB63D9B4}"/>
    <cellStyle name="Percent 2 5 3 2 4" xfId="10547" xr:uid="{00000000-0005-0000-0000-000013210000}"/>
    <cellStyle name="Percent 2 5 3 2 4 2" xfId="43036" xr:uid="{997E4634-BA2D-479B-84D9-02469FC6D446}"/>
    <cellStyle name="Percent 2 5 3 2 5" xfId="8391" xr:uid="{00000000-0005-0000-0000-0000F70F0000}"/>
    <cellStyle name="Percent 2 5 3 2 5 2" xfId="41162" xr:uid="{A78B525B-9FB0-4254-8A4F-D9B55E04B1A8}"/>
    <cellStyle name="Percent 2 5 3 2 6" xfId="16343" xr:uid="{11EBC93C-B00F-4515-A18C-B991293888E7}"/>
    <cellStyle name="Percent 2 5 3 2 7" xfId="39060" xr:uid="{E5044007-6B96-4B2F-9A4C-B72B8F92A634}"/>
    <cellStyle name="Percent 2 5 3 3" xfId="5031" xr:uid="{00000000-0005-0000-0000-0000CE130000}"/>
    <cellStyle name="Percent 2 5 3 3 2" xfId="5032" xr:uid="{00000000-0005-0000-0000-0000CF130000}"/>
    <cellStyle name="Percent 2 5 3 3 2 2" xfId="10552" xr:uid="{00000000-0005-0000-0000-000018210000}"/>
    <cellStyle name="Percent 2 5 3 3 2 2 2" xfId="43041" xr:uid="{8EAA9AFC-ED01-4B88-ADD4-E0DB4F4450F5}"/>
    <cellStyle name="Percent 2 5 3 3 2 3" xfId="8400" xr:uid="{00000000-0005-0000-0000-0000FC0F0000}"/>
    <cellStyle name="Percent 2 5 3 3 2 3 2" xfId="41171" xr:uid="{9D94621E-432A-427F-9F80-5923417657FA}"/>
    <cellStyle name="Percent 2 5 3 3 2 4" xfId="16348" xr:uid="{8A93EF4F-80FD-426C-811A-5D237DB0CE38}"/>
    <cellStyle name="Percent 2 5 3 3 2 5" xfId="39065" xr:uid="{30321ED3-5913-4A7B-98A6-BFD05BD65BDC}"/>
    <cellStyle name="Percent 2 5 3 3 3" xfId="10551" xr:uid="{00000000-0005-0000-0000-000017210000}"/>
    <cellStyle name="Percent 2 5 3 3 3 2" xfId="43040" xr:uid="{227CB454-3E64-4FB2-AE29-D45E67DC66E5}"/>
    <cellStyle name="Percent 2 5 3 3 4" xfId="8399" xr:uid="{00000000-0005-0000-0000-0000FB0F0000}"/>
    <cellStyle name="Percent 2 5 3 3 4 2" xfId="41170" xr:uid="{B17837CF-B1E6-4AD0-BF1B-DB0C7E3A69E9}"/>
    <cellStyle name="Percent 2 5 3 3 5" xfId="16347" xr:uid="{8756293F-1F78-4F90-AC47-20FF6EB22176}"/>
    <cellStyle name="Percent 2 5 3 3 6" xfId="39064" xr:uid="{06BFF6CE-7097-4E38-9A80-A300AB194741}"/>
    <cellStyle name="Percent 2 5 3 4" xfId="5033" xr:uid="{00000000-0005-0000-0000-0000D0130000}"/>
    <cellStyle name="Percent 2 5 3 4 2" xfId="10553" xr:uid="{00000000-0005-0000-0000-000019210000}"/>
    <cellStyle name="Percent 2 5 3 4 2 2" xfId="43042" xr:uid="{2927754E-7F99-4B2A-B462-6ACB55C2CA31}"/>
    <cellStyle name="Percent 2 5 3 4 3" xfId="8401" xr:uid="{00000000-0005-0000-0000-0000FD0F0000}"/>
    <cellStyle name="Percent 2 5 3 4 3 2" xfId="41172" xr:uid="{44A38E7A-4CEF-4277-B0D7-3CAAD47EF8E0}"/>
    <cellStyle name="Percent 2 5 3 4 4" xfId="16349" xr:uid="{E893D7FC-2EA2-4CB3-8CCF-6E65F8259BFE}"/>
    <cellStyle name="Percent 2 5 3 4 5" xfId="39066" xr:uid="{06025C4A-5AF8-4D68-99B9-FEEFF887CE19}"/>
    <cellStyle name="Percent 2 5 3 5" xfId="10546" xr:uid="{00000000-0005-0000-0000-000012210000}"/>
    <cellStyle name="Percent 2 5 3 5 2" xfId="43035" xr:uid="{8A2D964D-AEF4-4A2A-83E6-9FDD797CC682}"/>
    <cellStyle name="Percent 2 5 3 6" xfId="8390" xr:uid="{00000000-0005-0000-0000-0000F60F0000}"/>
    <cellStyle name="Percent 2 5 3 6 2" xfId="41161" xr:uid="{E5F7ACA4-C7F8-4D07-8FDC-C0518B4BC365}"/>
    <cellStyle name="Percent 2 5 3 7" xfId="16342" xr:uid="{C9CB36DE-8E58-439D-933E-786AE9032D3F}"/>
    <cellStyle name="Percent 2 5 3 8" xfId="39059" xr:uid="{2F5508F6-443C-4754-B5CA-BC3464B08CBC}"/>
    <cellStyle name="Percent 2 5 4" xfId="5034" xr:uid="{00000000-0005-0000-0000-0000D1130000}"/>
    <cellStyle name="Percent 2 5 4 2" xfId="5035" xr:uid="{00000000-0005-0000-0000-0000D2130000}"/>
    <cellStyle name="Percent 2 5 4 2 2" xfId="5036" xr:uid="{00000000-0005-0000-0000-0000D3130000}"/>
    <cellStyle name="Percent 2 5 4 2 2 2" xfId="10556" xr:uid="{00000000-0005-0000-0000-00001C210000}"/>
    <cellStyle name="Percent 2 5 4 2 2 2 2" xfId="43045" xr:uid="{AF7AD33D-43B4-4041-8E9D-37C73ED8E0C0}"/>
    <cellStyle name="Percent 2 5 4 2 2 3" xfId="8404" xr:uid="{00000000-0005-0000-0000-000000100000}"/>
    <cellStyle name="Percent 2 5 4 2 2 3 2" xfId="41175" xr:uid="{AB910360-4866-40CB-8F3B-30106509F1A9}"/>
    <cellStyle name="Percent 2 5 4 2 2 4" xfId="16352" xr:uid="{8E84F9B2-8358-47A8-BD95-FBEB6DB59AC7}"/>
    <cellStyle name="Percent 2 5 4 2 2 5" xfId="39069" xr:uid="{5C637EFC-B82C-44C8-87B9-22C17F22AF05}"/>
    <cellStyle name="Percent 2 5 4 2 3" xfId="10555" xr:uid="{00000000-0005-0000-0000-00001B210000}"/>
    <cellStyle name="Percent 2 5 4 2 3 2" xfId="43044" xr:uid="{E396D56A-C6CB-455E-A97C-4F0C59573EAD}"/>
    <cellStyle name="Percent 2 5 4 2 4" xfId="8403" xr:uid="{00000000-0005-0000-0000-0000FF0F0000}"/>
    <cellStyle name="Percent 2 5 4 2 4 2" xfId="41174" xr:uid="{EF3E26A2-4488-4D85-B4E3-B08E72235AB9}"/>
    <cellStyle name="Percent 2 5 4 2 5" xfId="16351" xr:uid="{82EEBB1A-15E2-4D4F-A82C-93A463CCE687}"/>
    <cellStyle name="Percent 2 5 4 2 6" xfId="39068" xr:uid="{B033C269-239D-4C4C-B314-C1797F553FA5}"/>
    <cellStyle name="Percent 2 5 4 3" xfId="5037" xr:uid="{00000000-0005-0000-0000-0000D4130000}"/>
    <cellStyle name="Percent 2 5 4 3 2" xfId="10557" xr:uid="{00000000-0005-0000-0000-00001D210000}"/>
    <cellStyle name="Percent 2 5 4 3 2 2" xfId="43046" xr:uid="{4366843E-3C42-498B-B5DE-713205E5E705}"/>
    <cellStyle name="Percent 2 5 4 3 3" xfId="8405" xr:uid="{00000000-0005-0000-0000-000001100000}"/>
    <cellStyle name="Percent 2 5 4 3 3 2" xfId="41176" xr:uid="{8A46705F-E7DF-442D-AEE7-E584730F62A3}"/>
    <cellStyle name="Percent 2 5 4 3 4" xfId="16353" xr:uid="{C5B21D86-0AAA-4699-A670-0473B70D4526}"/>
    <cellStyle name="Percent 2 5 4 3 5" xfId="39070" xr:uid="{E7BBBEF7-DC7D-43C8-9EDF-82B8ABAFB495}"/>
    <cellStyle name="Percent 2 5 4 4" xfId="10554" xr:uid="{00000000-0005-0000-0000-00001A210000}"/>
    <cellStyle name="Percent 2 5 4 4 2" xfId="43043" xr:uid="{A55DBFA4-AE28-4F06-92A1-9951483FAB1C}"/>
    <cellStyle name="Percent 2 5 4 5" xfId="8402" xr:uid="{00000000-0005-0000-0000-0000FE0F0000}"/>
    <cellStyle name="Percent 2 5 4 5 2" xfId="41173" xr:uid="{C439D861-FAE3-4277-AE1B-2CBD1F3B7268}"/>
    <cellStyle name="Percent 2 5 4 6" xfId="16350" xr:uid="{F0371706-9D6A-488E-B41F-460090BE9821}"/>
    <cellStyle name="Percent 2 5 4 7" xfId="39067" xr:uid="{C487C70D-2052-4D46-BE69-EDF37B4CB488}"/>
    <cellStyle name="Percent 2 5 5" xfId="5038" xr:uid="{00000000-0005-0000-0000-0000D5130000}"/>
    <cellStyle name="Percent 2 5 5 2" xfId="5039" xr:uid="{00000000-0005-0000-0000-0000D6130000}"/>
    <cellStyle name="Percent 2 5 5 2 2" xfId="10559" xr:uid="{00000000-0005-0000-0000-00001F210000}"/>
    <cellStyle name="Percent 2 5 5 2 2 2" xfId="43048" xr:uid="{A9C70C03-AE12-4F59-8CEA-85F05454155B}"/>
    <cellStyle name="Percent 2 5 5 2 3" xfId="8409" xr:uid="{00000000-0005-0000-0000-000003100000}"/>
    <cellStyle name="Percent 2 5 5 2 3 2" xfId="41180" xr:uid="{1667E7DB-5CC9-48CF-90FE-06102BD17C8A}"/>
    <cellStyle name="Percent 2 5 5 2 4" xfId="16355" xr:uid="{5D65556F-CA6B-4D99-BB79-2D08FA66C539}"/>
    <cellStyle name="Percent 2 5 5 2 5" xfId="39072" xr:uid="{5F00F60C-CACE-4A6B-A075-870473D7244E}"/>
    <cellStyle name="Percent 2 5 5 3" xfId="10558" xr:uid="{00000000-0005-0000-0000-00001E210000}"/>
    <cellStyle name="Percent 2 5 5 3 2" xfId="43047" xr:uid="{0063A0E5-9D83-4675-AB62-F0278644F457}"/>
    <cellStyle name="Percent 2 5 5 4" xfId="8406" xr:uid="{00000000-0005-0000-0000-000002100000}"/>
    <cellStyle name="Percent 2 5 5 4 2" xfId="41177" xr:uid="{428877FF-2BD8-4738-A44D-E2530717A855}"/>
    <cellStyle name="Percent 2 5 5 5" xfId="16354" xr:uid="{FFB5A697-9848-4379-8D78-4A90A8379BD7}"/>
    <cellStyle name="Percent 2 5 5 6" xfId="39071" xr:uid="{6303834D-1E6A-4D46-BA1C-4AB88ADFB7B7}"/>
    <cellStyle name="Percent 2 5 6" xfId="5040" xr:uid="{00000000-0005-0000-0000-0000D7130000}"/>
    <cellStyle name="Percent 2 5 6 2" xfId="10560" xr:uid="{00000000-0005-0000-0000-000020210000}"/>
    <cellStyle name="Percent 2 5 6 2 2" xfId="43049" xr:uid="{045BCE04-2CB9-4DE5-A867-E09FFDE09031}"/>
    <cellStyle name="Percent 2 5 6 3" xfId="8410" xr:uid="{00000000-0005-0000-0000-000004100000}"/>
    <cellStyle name="Percent 2 5 6 3 2" xfId="41181" xr:uid="{6B6BC6F8-FA4E-454F-BD46-8CA16AD27CC4}"/>
    <cellStyle name="Percent 2 5 6 4" xfId="16356" xr:uid="{88762C85-1683-4332-A969-727F82516CC2}"/>
    <cellStyle name="Percent 2 5 6 5" xfId="39073" xr:uid="{8926CEE1-0B5F-43B8-9479-DA508C3D1A96}"/>
    <cellStyle name="Percent 2 5 7" xfId="10537" xr:uid="{00000000-0005-0000-0000-000009210000}"/>
    <cellStyle name="Percent 2 5 7 2" xfId="18237" xr:uid="{52248B67-4447-43C2-AA46-B222834E8EF2}"/>
    <cellStyle name="Percent 2 5 7 3" xfId="43026" xr:uid="{8A2F8F74-716B-4602-B099-30500BE53260}"/>
    <cellStyle name="Percent 2 5 8" xfId="8377" xr:uid="{00000000-0005-0000-0000-0000ED0F0000}"/>
    <cellStyle name="Percent 2 5 8 2" xfId="24629" xr:uid="{A9D70B85-4CF2-4B9B-98A0-6AF0369B201C}"/>
    <cellStyle name="Percent 2 5 9" xfId="16333" xr:uid="{8C94F3CB-2A20-461F-9C2B-E893DDC1B76A}"/>
    <cellStyle name="Percent 2 6" xfId="5041" xr:uid="{00000000-0005-0000-0000-0000D8130000}"/>
    <cellStyle name="Percent 2 6 10" xfId="39074" xr:uid="{54400C27-7B5E-4EDD-BE5A-A9E9E9393D7F}"/>
    <cellStyle name="Percent 2 6 2" xfId="5042" xr:uid="{00000000-0005-0000-0000-0000D9130000}"/>
    <cellStyle name="Percent 2 6 2 2" xfId="5043" xr:uid="{00000000-0005-0000-0000-0000DA130000}"/>
    <cellStyle name="Percent 2 6 2 2 2" xfId="5044" xr:uid="{00000000-0005-0000-0000-0000DB130000}"/>
    <cellStyle name="Percent 2 6 2 2 2 2" xfId="5045" xr:uid="{00000000-0005-0000-0000-0000DC130000}"/>
    <cellStyle name="Percent 2 6 2 2 2 2 2" xfId="10565" xr:uid="{00000000-0005-0000-0000-000025210000}"/>
    <cellStyle name="Percent 2 6 2 2 2 2 2 2" xfId="43054" xr:uid="{C696D8C3-B30F-48DA-8ADE-18C941F5586A}"/>
    <cellStyle name="Percent 2 6 2 2 2 2 3" xfId="8416" xr:uid="{00000000-0005-0000-0000-000009100000}"/>
    <cellStyle name="Percent 2 6 2 2 2 2 3 2" xfId="41186" xr:uid="{770DE8BA-7079-4589-9D19-E846AF5DB31D}"/>
    <cellStyle name="Percent 2 6 2 2 2 2 4" xfId="16361" xr:uid="{C93E77BF-3320-4672-9A24-ED008A91E2FA}"/>
    <cellStyle name="Percent 2 6 2 2 2 2 5" xfId="39078" xr:uid="{9D3558BD-665F-4F4B-BF56-CC32F8C67C39}"/>
    <cellStyle name="Percent 2 6 2 2 2 3" xfId="10564" xr:uid="{00000000-0005-0000-0000-000024210000}"/>
    <cellStyle name="Percent 2 6 2 2 2 3 2" xfId="43053" xr:uid="{4AE7B55E-D839-4682-BBE5-E39B760C5789}"/>
    <cellStyle name="Percent 2 6 2 2 2 4" xfId="8415" xr:uid="{00000000-0005-0000-0000-000008100000}"/>
    <cellStyle name="Percent 2 6 2 2 2 4 2" xfId="41185" xr:uid="{7D443783-0BA3-4C37-93DF-1F87DAD6147D}"/>
    <cellStyle name="Percent 2 6 2 2 2 5" xfId="16360" xr:uid="{83956502-8999-4CFA-855A-D11EE9C1720C}"/>
    <cellStyle name="Percent 2 6 2 2 2 6" xfId="39077" xr:uid="{9C6291F1-9E40-4370-B603-DF4B69D679B5}"/>
    <cellStyle name="Percent 2 6 2 2 3" xfId="5046" xr:uid="{00000000-0005-0000-0000-0000DD130000}"/>
    <cellStyle name="Percent 2 6 2 2 3 2" xfId="10566" xr:uid="{00000000-0005-0000-0000-000026210000}"/>
    <cellStyle name="Percent 2 6 2 2 3 2 2" xfId="43055" xr:uid="{2F4A59B1-3178-4F43-B8F4-56CC35682E2C}"/>
    <cellStyle name="Percent 2 6 2 2 3 3" xfId="8417" xr:uid="{00000000-0005-0000-0000-00000A100000}"/>
    <cellStyle name="Percent 2 6 2 2 3 3 2" xfId="41187" xr:uid="{CDBA3DB5-FF86-42B3-80F8-052ED112626B}"/>
    <cellStyle name="Percent 2 6 2 2 3 4" xfId="16362" xr:uid="{A23D1171-D6F9-4A96-B710-80AA93159807}"/>
    <cellStyle name="Percent 2 6 2 2 3 5" xfId="39079" xr:uid="{F15D91CD-7995-44FF-A4CF-A1C586DF6F59}"/>
    <cellStyle name="Percent 2 6 2 2 4" xfId="10563" xr:uid="{00000000-0005-0000-0000-000023210000}"/>
    <cellStyle name="Percent 2 6 2 2 4 2" xfId="43052" xr:uid="{1430ED04-CCFC-45E6-9A13-B1B03C547A49}"/>
    <cellStyle name="Percent 2 6 2 2 5" xfId="8414" xr:uid="{00000000-0005-0000-0000-000007100000}"/>
    <cellStyle name="Percent 2 6 2 2 5 2" xfId="41184" xr:uid="{F00D115A-D4AD-4A27-94B3-82B33734FEEB}"/>
    <cellStyle name="Percent 2 6 2 2 6" xfId="16359" xr:uid="{B561DE83-6A38-4BC7-8A9A-C89085757FF8}"/>
    <cellStyle name="Percent 2 6 2 2 7" xfId="39076" xr:uid="{4B541725-94C9-4F89-BA76-6EEF1BFF5056}"/>
    <cellStyle name="Percent 2 6 2 3" xfId="5047" xr:uid="{00000000-0005-0000-0000-0000DE130000}"/>
    <cellStyle name="Percent 2 6 2 3 2" xfId="5048" xr:uid="{00000000-0005-0000-0000-0000DF130000}"/>
    <cellStyle name="Percent 2 6 2 3 2 2" xfId="10568" xr:uid="{00000000-0005-0000-0000-000028210000}"/>
    <cellStyle name="Percent 2 6 2 3 2 2 2" xfId="43057" xr:uid="{0CA23F5E-9ED7-49B6-8F8B-C06B0124378A}"/>
    <cellStyle name="Percent 2 6 2 3 2 3" xfId="8419" xr:uid="{00000000-0005-0000-0000-00000C100000}"/>
    <cellStyle name="Percent 2 6 2 3 2 3 2" xfId="41189" xr:uid="{E2FF8445-9F64-42CC-A53E-1E7A903A1A39}"/>
    <cellStyle name="Percent 2 6 2 3 2 4" xfId="16364" xr:uid="{F7BF2798-166B-420F-927B-8D82CBAFA94C}"/>
    <cellStyle name="Percent 2 6 2 3 2 5" xfId="39081" xr:uid="{AABB3996-CE08-4D5D-93F6-38723917871F}"/>
    <cellStyle name="Percent 2 6 2 3 3" xfId="10567" xr:uid="{00000000-0005-0000-0000-000027210000}"/>
    <cellStyle name="Percent 2 6 2 3 3 2" xfId="43056" xr:uid="{BF0ADCC7-A23B-40CB-911A-3B06F5060470}"/>
    <cellStyle name="Percent 2 6 2 3 4" xfId="8418" xr:uid="{00000000-0005-0000-0000-00000B100000}"/>
    <cellStyle name="Percent 2 6 2 3 4 2" xfId="41188" xr:uid="{5CE15C5C-290D-45C7-893A-26EDFC9B8F52}"/>
    <cellStyle name="Percent 2 6 2 3 5" xfId="16363" xr:uid="{C31A0D7D-0EE3-473C-9131-C395BFA519FD}"/>
    <cellStyle name="Percent 2 6 2 3 6" xfId="39080" xr:uid="{3DE181AD-EB4B-4690-9861-98F48DB5F7E9}"/>
    <cellStyle name="Percent 2 6 2 4" xfId="5049" xr:uid="{00000000-0005-0000-0000-0000E0130000}"/>
    <cellStyle name="Percent 2 6 2 4 2" xfId="10569" xr:uid="{00000000-0005-0000-0000-000029210000}"/>
    <cellStyle name="Percent 2 6 2 4 2 2" xfId="43058" xr:uid="{7D2BA03B-0B2D-4C38-9930-51AB5A0D7083}"/>
    <cellStyle name="Percent 2 6 2 4 3" xfId="8420" xr:uid="{00000000-0005-0000-0000-00000D100000}"/>
    <cellStyle name="Percent 2 6 2 4 3 2" xfId="41190" xr:uid="{7022280E-5CFC-4105-BE4B-A10BCFB4DE35}"/>
    <cellStyle name="Percent 2 6 2 4 4" xfId="16365" xr:uid="{F0F17E94-0481-4EAA-A696-7E5AFD3BBD1C}"/>
    <cellStyle name="Percent 2 6 2 4 5" xfId="39082" xr:uid="{4F16EE12-DF85-4375-9853-B74D6D2F3C9B}"/>
    <cellStyle name="Percent 2 6 2 5" xfId="10562" xr:uid="{00000000-0005-0000-0000-000022210000}"/>
    <cellStyle name="Percent 2 6 2 5 2" xfId="43051" xr:uid="{E6907449-2D25-4498-83AF-07CEDEB5735C}"/>
    <cellStyle name="Percent 2 6 2 6" xfId="8413" xr:uid="{00000000-0005-0000-0000-000006100000}"/>
    <cellStyle name="Percent 2 6 2 6 2" xfId="41183" xr:uid="{A80BCBF5-6677-48A5-95D3-FC5DCD9D9E64}"/>
    <cellStyle name="Percent 2 6 2 7" xfId="16358" xr:uid="{C9054AED-524E-426E-8419-453405204EE5}"/>
    <cellStyle name="Percent 2 6 2 8" xfId="39075" xr:uid="{7803948B-9028-49C1-9763-2D2214EA9BDF}"/>
    <cellStyle name="Percent 2 6 3" xfId="5050" xr:uid="{00000000-0005-0000-0000-0000E1130000}"/>
    <cellStyle name="Percent 2 6 3 2" xfId="5051" xr:uid="{00000000-0005-0000-0000-0000E2130000}"/>
    <cellStyle name="Percent 2 6 3 2 2" xfId="5052" xr:uid="{00000000-0005-0000-0000-0000E3130000}"/>
    <cellStyle name="Percent 2 6 3 2 2 2" xfId="5053" xr:uid="{00000000-0005-0000-0000-0000E4130000}"/>
    <cellStyle name="Percent 2 6 3 2 2 2 2" xfId="10573" xr:uid="{00000000-0005-0000-0000-00002D210000}"/>
    <cellStyle name="Percent 2 6 3 2 2 2 2 2" xfId="43062" xr:uid="{D018E6DF-BDD3-44E3-8377-13D56EB7D468}"/>
    <cellStyle name="Percent 2 6 3 2 2 2 3" xfId="8427" xr:uid="{00000000-0005-0000-0000-000011100000}"/>
    <cellStyle name="Percent 2 6 3 2 2 2 3 2" xfId="41197" xr:uid="{79B0A34E-AD7B-4D2F-A8CA-E3F417A837EE}"/>
    <cellStyle name="Percent 2 6 3 2 2 2 4" xfId="16369" xr:uid="{3346B1DD-55BC-4174-9C9A-A7BBE4BA4127}"/>
    <cellStyle name="Percent 2 6 3 2 2 2 5" xfId="39086" xr:uid="{B3DCCF9D-F3C4-41E0-AD5D-B136F6447BF1}"/>
    <cellStyle name="Percent 2 6 3 2 2 3" xfId="10572" xr:uid="{00000000-0005-0000-0000-00002C210000}"/>
    <cellStyle name="Percent 2 6 3 2 2 3 2" xfId="43061" xr:uid="{9C14410F-CE62-4B28-82E3-F46067E62CB8}"/>
    <cellStyle name="Percent 2 6 3 2 2 4" xfId="8426" xr:uid="{00000000-0005-0000-0000-000010100000}"/>
    <cellStyle name="Percent 2 6 3 2 2 4 2" xfId="41196" xr:uid="{2109B1EC-7E3A-4429-86F2-8CF79A1D46A7}"/>
    <cellStyle name="Percent 2 6 3 2 2 5" xfId="16368" xr:uid="{3AECB383-7C1C-4957-9236-4951B9D5270E}"/>
    <cellStyle name="Percent 2 6 3 2 2 6" xfId="39085" xr:uid="{A876D3E8-8001-46E2-8331-DF7031CE5471}"/>
    <cellStyle name="Percent 2 6 3 2 3" xfId="5054" xr:uid="{00000000-0005-0000-0000-0000E5130000}"/>
    <cellStyle name="Percent 2 6 3 2 3 2" xfId="10574" xr:uid="{00000000-0005-0000-0000-00002E210000}"/>
    <cellStyle name="Percent 2 6 3 2 3 2 2" xfId="43063" xr:uid="{332F6916-6008-4C43-9B4D-DB2E3BDC28E8}"/>
    <cellStyle name="Percent 2 6 3 2 3 3" xfId="8428" xr:uid="{00000000-0005-0000-0000-000012100000}"/>
    <cellStyle name="Percent 2 6 3 2 3 3 2" xfId="41198" xr:uid="{4860F758-2802-49CA-B119-1935FD868A0B}"/>
    <cellStyle name="Percent 2 6 3 2 3 4" xfId="16370" xr:uid="{9B634DC2-DF6B-4842-94A8-D1AFD12AF05C}"/>
    <cellStyle name="Percent 2 6 3 2 3 5" xfId="39087" xr:uid="{CE10CA68-E14F-4178-9C22-F6369F2CA3A7}"/>
    <cellStyle name="Percent 2 6 3 2 4" xfId="10571" xr:uid="{00000000-0005-0000-0000-00002B210000}"/>
    <cellStyle name="Percent 2 6 3 2 4 2" xfId="43060" xr:uid="{FE36C361-0E73-4117-A84A-7E3763CDBC5C}"/>
    <cellStyle name="Percent 2 6 3 2 5" xfId="8424" xr:uid="{00000000-0005-0000-0000-00000F100000}"/>
    <cellStyle name="Percent 2 6 3 2 5 2" xfId="41194" xr:uid="{FA97B73E-9B54-457A-AA3D-5666129F9AE8}"/>
    <cellStyle name="Percent 2 6 3 2 6" xfId="16367" xr:uid="{A865FC0D-227F-4B3C-928A-60BF3D128FE7}"/>
    <cellStyle name="Percent 2 6 3 2 7" xfId="39084" xr:uid="{191CE5FC-17CD-4F7A-8B4E-ECE1177F746B}"/>
    <cellStyle name="Percent 2 6 3 3" xfId="5055" xr:uid="{00000000-0005-0000-0000-0000E6130000}"/>
    <cellStyle name="Percent 2 6 3 3 2" xfId="5056" xr:uid="{00000000-0005-0000-0000-0000E7130000}"/>
    <cellStyle name="Percent 2 6 3 3 2 2" xfId="10576" xr:uid="{00000000-0005-0000-0000-000030210000}"/>
    <cellStyle name="Percent 2 6 3 3 2 2 2" xfId="43065" xr:uid="{7C7C4016-320B-44C8-A14A-92DC181AE259}"/>
    <cellStyle name="Percent 2 6 3 3 2 3" xfId="8430" xr:uid="{00000000-0005-0000-0000-000014100000}"/>
    <cellStyle name="Percent 2 6 3 3 2 3 2" xfId="41200" xr:uid="{1AEED7D5-0918-4AAB-A957-F2993609D916}"/>
    <cellStyle name="Percent 2 6 3 3 2 4" xfId="16372" xr:uid="{5852593B-2F11-4B35-B855-2C9C2FADC927}"/>
    <cellStyle name="Percent 2 6 3 3 2 5" xfId="39089" xr:uid="{120EC015-4667-457D-86D6-9AF250FB2039}"/>
    <cellStyle name="Percent 2 6 3 3 3" xfId="10575" xr:uid="{00000000-0005-0000-0000-00002F210000}"/>
    <cellStyle name="Percent 2 6 3 3 3 2" xfId="43064" xr:uid="{4579AAE2-7949-4209-92B5-7E06C56E6C44}"/>
    <cellStyle name="Percent 2 6 3 3 4" xfId="8429" xr:uid="{00000000-0005-0000-0000-000013100000}"/>
    <cellStyle name="Percent 2 6 3 3 4 2" xfId="41199" xr:uid="{DD4A8A12-F961-4F58-A7CC-48440E62FC66}"/>
    <cellStyle name="Percent 2 6 3 3 5" xfId="16371" xr:uid="{F96729D7-033C-46C9-87C9-EA10EAC8B6D7}"/>
    <cellStyle name="Percent 2 6 3 3 6" xfId="39088" xr:uid="{D0646AD3-85D6-4A71-BC39-9A4817DEF6FB}"/>
    <cellStyle name="Percent 2 6 3 4" xfId="5057" xr:uid="{00000000-0005-0000-0000-0000E8130000}"/>
    <cellStyle name="Percent 2 6 3 4 2" xfId="10577" xr:uid="{00000000-0005-0000-0000-000031210000}"/>
    <cellStyle name="Percent 2 6 3 4 2 2" xfId="43066" xr:uid="{71D1F1AE-93AF-4312-B23C-4D79E0FA04EF}"/>
    <cellStyle name="Percent 2 6 3 4 3" xfId="8432" xr:uid="{00000000-0005-0000-0000-000015100000}"/>
    <cellStyle name="Percent 2 6 3 4 3 2" xfId="41202" xr:uid="{D2CD4CBA-6510-4C70-9D7C-BF93A565D94B}"/>
    <cellStyle name="Percent 2 6 3 4 4" xfId="16373" xr:uid="{46ED8F1E-C094-4AC5-9C72-60D7F4535D4D}"/>
    <cellStyle name="Percent 2 6 3 4 5" xfId="39090" xr:uid="{09CB8B18-2AB8-40F7-85AD-025781CFD6DE}"/>
    <cellStyle name="Percent 2 6 3 5" xfId="10570" xr:uid="{00000000-0005-0000-0000-00002A210000}"/>
    <cellStyle name="Percent 2 6 3 5 2" xfId="43059" xr:uid="{BCD66072-AB96-44DE-9DFA-64F3211009D3}"/>
    <cellStyle name="Percent 2 6 3 6" xfId="8423" xr:uid="{00000000-0005-0000-0000-00000E100000}"/>
    <cellStyle name="Percent 2 6 3 6 2" xfId="41193" xr:uid="{701EB11D-1CCD-4593-B9D2-10B8DFC72CF0}"/>
    <cellStyle name="Percent 2 6 3 7" xfId="16366" xr:uid="{8A622C7C-DDFA-4A78-9F26-9D3C8AD839FD}"/>
    <cellStyle name="Percent 2 6 3 8" xfId="39083" xr:uid="{75F693C8-7D37-4366-A436-24D95AC5F23C}"/>
    <cellStyle name="Percent 2 6 4" xfId="5058" xr:uid="{00000000-0005-0000-0000-0000E9130000}"/>
    <cellStyle name="Percent 2 6 4 2" xfId="5059" xr:uid="{00000000-0005-0000-0000-0000EA130000}"/>
    <cellStyle name="Percent 2 6 4 2 2" xfId="5060" xr:uid="{00000000-0005-0000-0000-0000EB130000}"/>
    <cellStyle name="Percent 2 6 4 2 2 2" xfId="10580" xr:uid="{00000000-0005-0000-0000-000034210000}"/>
    <cellStyle name="Percent 2 6 4 2 2 2 2" xfId="43069" xr:uid="{8CCEA838-5F37-4B78-8D77-5AA65B3987FE}"/>
    <cellStyle name="Percent 2 6 4 2 2 3" xfId="8435" xr:uid="{00000000-0005-0000-0000-000018100000}"/>
    <cellStyle name="Percent 2 6 4 2 2 3 2" xfId="41205" xr:uid="{5163826E-78DE-4103-BDC3-77BC3EDD9995}"/>
    <cellStyle name="Percent 2 6 4 2 2 4" xfId="16376" xr:uid="{5C12AD85-9BAA-421B-A678-4680DA1FE580}"/>
    <cellStyle name="Percent 2 6 4 2 2 5" xfId="39093" xr:uid="{E069692C-F8A6-42E5-B582-C22A27AA2185}"/>
    <cellStyle name="Percent 2 6 4 2 3" xfId="10579" xr:uid="{00000000-0005-0000-0000-000033210000}"/>
    <cellStyle name="Percent 2 6 4 2 3 2" xfId="43068" xr:uid="{0263E7C1-519E-487C-AC43-FADC9730B828}"/>
    <cellStyle name="Percent 2 6 4 2 4" xfId="8434" xr:uid="{00000000-0005-0000-0000-000017100000}"/>
    <cellStyle name="Percent 2 6 4 2 4 2" xfId="41204" xr:uid="{8279E096-52C2-47EC-9B44-CD2A02DFDB33}"/>
    <cellStyle name="Percent 2 6 4 2 5" xfId="16375" xr:uid="{12161B70-4E11-47AE-8D61-12F89CA2B4A8}"/>
    <cellStyle name="Percent 2 6 4 2 6" xfId="39092" xr:uid="{05BDB0A9-03A4-4891-A565-6C6D8352F459}"/>
    <cellStyle name="Percent 2 6 4 3" xfId="5061" xr:uid="{00000000-0005-0000-0000-0000EC130000}"/>
    <cellStyle name="Percent 2 6 4 3 2" xfId="10581" xr:uid="{00000000-0005-0000-0000-000035210000}"/>
    <cellStyle name="Percent 2 6 4 3 2 2" xfId="43070" xr:uid="{C3919CF6-CE5C-44D1-AC6D-724D0A0547C2}"/>
    <cellStyle name="Percent 2 6 4 3 3" xfId="8436" xr:uid="{00000000-0005-0000-0000-000019100000}"/>
    <cellStyle name="Percent 2 6 4 3 3 2" xfId="41206" xr:uid="{37CB26B4-B4B9-4D82-97FE-778685736782}"/>
    <cellStyle name="Percent 2 6 4 3 4" xfId="16377" xr:uid="{78E863D2-450F-409D-97D8-CE76BDCA4650}"/>
    <cellStyle name="Percent 2 6 4 3 5" xfId="39094" xr:uid="{0E4D8164-559F-410B-80D5-0DA40DA1AEF9}"/>
    <cellStyle name="Percent 2 6 4 4" xfId="10578" xr:uid="{00000000-0005-0000-0000-000032210000}"/>
    <cellStyle name="Percent 2 6 4 4 2" xfId="43067" xr:uid="{5D224B71-7197-4ACB-A994-A8C1C7AFF772}"/>
    <cellStyle name="Percent 2 6 4 5" xfId="8433" xr:uid="{00000000-0005-0000-0000-000016100000}"/>
    <cellStyle name="Percent 2 6 4 5 2" xfId="41203" xr:uid="{05A8B799-19C0-44D0-A849-9779AD66FE9B}"/>
    <cellStyle name="Percent 2 6 4 6" xfId="16374" xr:uid="{F28EFAD4-B313-44F4-A77E-10800E9DC481}"/>
    <cellStyle name="Percent 2 6 4 7" xfId="39091" xr:uid="{5F0AD5AC-01F0-4D06-9266-DB1E5175626C}"/>
    <cellStyle name="Percent 2 6 5" xfId="5062" xr:uid="{00000000-0005-0000-0000-0000ED130000}"/>
    <cellStyle name="Percent 2 6 5 2" xfId="5063" xr:uid="{00000000-0005-0000-0000-0000EE130000}"/>
    <cellStyle name="Percent 2 6 5 2 2" xfId="10583" xr:uid="{00000000-0005-0000-0000-000037210000}"/>
    <cellStyle name="Percent 2 6 5 2 2 2" xfId="43072" xr:uid="{F8334934-3096-43AD-8959-6D48F08710D1}"/>
    <cellStyle name="Percent 2 6 5 2 3" xfId="8441" xr:uid="{00000000-0005-0000-0000-00001B100000}"/>
    <cellStyle name="Percent 2 6 5 2 3 2" xfId="41211" xr:uid="{2701D18D-12DD-4A8A-B3B8-4A183FDD0136}"/>
    <cellStyle name="Percent 2 6 5 2 4" xfId="16379" xr:uid="{61BBDE24-4790-4424-828F-708B9058B9AB}"/>
    <cellStyle name="Percent 2 6 5 2 5" xfId="39096" xr:uid="{AA1D01D5-7F71-4010-BC85-9F75B55D45EB}"/>
    <cellStyle name="Percent 2 6 5 3" xfId="10582" xr:uid="{00000000-0005-0000-0000-000036210000}"/>
    <cellStyle name="Percent 2 6 5 3 2" xfId="43071" xr:uid="{3B6810A8-94B2-44A1-8D13-04E04A68979E}"/>
    <cellStyle name="Percent 2 6 5 4" xfId="8437" xr:uid="{00000000-0005-0000-0000-00001A100000}"/>
    <cellStyle name="Percent 2 6 5 4 2" xfId="41207" xr:uid="{7A8585D9-E319-4471-9613-8E2DCAFD90B7}"/>
    <cellStyle name="Percent 2 6 5 5" xfId="16378" xr:uid="{50ACD06C-D922-42E2-9D90-BC02791260A1}"/>
    <cellStyle name="Percent 2 6 5 6" xfId="39095" xr:uid="{075437AE-B240-49B8-83B4-E279CE2FDBFA}"/>
    <cellStyle name="Percent 2 6 6" xfId="5064" xr:uid="{00000000-0005-0000-0000-0000EF130000}"/>
    <cellStyle name="Percent 2 6 6 2" xfId="10584" xr:uid="{00000000-0005-0000-0000-000038210000}"/>
    <cellStyle name="Percent 2 6 6 2 2" xfId="43073" xr:uid="{B5378A6F-191A-4F33-91A4-E91FC222120B}"/>
    <cellStyle name="Percent 2 6 6 3" xfId="8443" xr:uid="{00000000-0005-0000-0000-00001C100000}"/>
    <cellStyle name="Percent 2 6 6 3 2" xfId="41213" xr:uid="{2199C268-A79E-47C1-9DAB-86267D9F1A5F}"/>
    <cellStyle name="Percent 2 6 6 4" xfId="16380" xr:uid="{DFD5E961-3A30-41DD-A254-235509CBDF67}"/>
    <cellStyle name="Percent 2 6 6 5" xfId="39097" xr:uid="{C5D43F46-D57C-4B6F-A6CA-511354882976}"/>
    <cellStyle name="Percent 2 6 7" xfId="10561" xr:uid="{00000000-0005-0000-0000-000021210000}"/>
    <cellStyle name="Percent 2 6 7 2" xfId="18239" xr:uid="{6850E198-2A3A-4F0E-BE39-CCA0FDDC7005}"/>
    <cellStyle name="Percent 2 6 7 3" xfId="43050" xr:uid="{EC8E2CC9-458E-496F-A9AA-4FDAB69D772F}"/>
    <cellStyle name="Percent 2 6 8" xfId="8412" xr:uid="{00000000-0005-0000-0000-000005100000}"/>
    <cellStyle name="Percent 2 6 8 2" xfId="24643" xr:uid="{F9CD6472-FE34-4494-9614-91BCFDED663E}"/>
    <cellStyle name="Percent 2 6 9" xfId="16357" xr:uid="{E98C15D8-7191-4D88-99E9-A6CFCF28EC8F}"/>
    <cellStyle name="Percent 2 7" xfId="5065" xr:uid="{00000000-0005-0000-0000-0000F0130000}"/>
    <cellStyle name="Percent 2 7 10" xfId="39098" xr:uid="{9D22C670-CCA2-4C25-94F5-1E2B784D0573}"/>
    <cellStyle name="Percent 2 7 2" xfId="5066" xr:uid="{00000000-0005-0000-0000-0000F1130000}"/>
    <cellStyle name="Percent 2 7 2 2" xfId="10586" xr:uid="{00000000-0005-0000-0000-00003A210000}"/>
    <cellStyle name="Percent 2 7 2 2 2" xfId="43075" xr:uid="{39427C23-6F4C-443C-82E9-E03687675A14}"/>
    <cellStyle name="Percent 2 7 2 3" xfId="8445" xr:uid="{00000000-0005-0000-0000-00001E100000}"/>
    <cellStyle name="Percent 2 7 2 4" xfId="39099" xr:uid="{1D0F4D20-C3D2-4186-8F32-6E5C13E1E059}"/>
    <cellStyle name="Percent 2 7 3" xfId="5067" xr:uid="{00000000-0005-0000-0000-0000F2130000}"/>
    <cellStyle name="Percent 2 7 3 2" xfId="10587" xr:uid="{00000000-0005-0000-0000-00003B210000}"/>
    <cellStyle name="Percent 2 7 3 2 2" xfId="43076" xr:uid="{0047D656-4023-4FE9-A4F9-E2CE79D550FB}"/>
    <cellStyle name="Percent 2 7 3 3" xfId="8446" xr:uid="{00000000-0005-0000-0000-00001F100000}"/>
    <cellStyle name="Percent 2 7 3 4" xfId="39100" xr:uid="{D50B7E30-2BDB-4984-B599-15DC6F8483A0}"/>
    <cellStyle name="Percent 2 7 4" xfId="5068" xr:uid="{00000000-0005-0000-0000-0000F3130000}"/>
    <cellStyle name="Percent 2 7 4 2" xfId="5069" xr:uid="{00000000-0005-0000-0000-0000F4130000}"/>
    <cellStyle name="Percent 2 7 4 2 2" xfId="5070" xr:uid="{00000000-0005-0000-0000-0000F5130000}"/>
    <cellStyle name="Percent 2 7 4 2 2 2" xfId="10590" xr:uid="{00000000-0005-0000-0000-00003E210000}"/>
    <cellStyle name="Percent 2 7 4 2 2 2 2" xfId="43079" xr:uid="{E9C146E9-721E-47C1-9B1A-84BFE4211605}"/>
    <cellStyle name="Percent 2 7 4 2 2 3" xfId="8449" xr:uid="{00000000-0005-0000-0000-000022100000}"/>
    <cellStyle name="Percent 2 7 4 2 2 3 2" xfId="41218" xr:uid="{F8C52B28-D4A0-4F14-9759-1C03C8C3633F}"/>
    <cellStyle name="Percent 2 7 4 2 2 4" xfId="16386" xr:uid="{0EC19757-A1E5-4DB6-A62C-4E8B62B75F8E}"/>
    <cellStyle name="Percent 2 7 4 2 2 5" xfId="39103" xr:uid="{8FA2D744-D69D-42A9-A480-6D3E8B1AFF2C}"/>
    <cellStyle name="Percent 2 7 4 2 3" xfId="10589" xr:uid="{00000000-0005-0000-0000-00003D210000}"/>
    <cellStyle name="Percent 2 7 4 2 3 2" xfId="43078" xr:uid="{8C1AA4B2-5F7A-4928-B262-4E9C9EDE6F75}"/>
    <cellStyle name="Percent 2 7 4 2 4" xfId="8448" xr:uid="{00000000-0005-0000-0000-000021100000}"/>
    <cellStyle name="Percent 2 7 4 2 4 2" xfId="41217" xr:uid="{4B050F14-2731-4E7B-86DC-3CECBE92DBD7}"/>
    <cellStyle name="Percent 2 7 4 2 5" xfId="16385" xr:uid="{1A358771-4414-4365-B862-57EE5C69E08A}"/>
    <cellStyle name="Percent 2 7 4 2 6" xfId="39102" xr:uid="{6441028F-69A6-44A6-9B09-CB3AE130110F}"/>
    <cellStyle name="Percent 2 7 4 3" xfId="5071" xr:uid="{00000000-0005-0000-0000-0000F6130000}"/>
    <cellStyle name="Percent 2 7 4 3 2" xfId="10591" xr:uid="{00000000-0005-0000-0000-00003F210000}"/>
    <cellStyle name="Percent 2 7 4 3 2 2" xfId="43080" xr:uid="{90B0EA7E-AF16-4F3B-B2E5-7E8B240EEB8F}"/>
    <cellStyle name="Percent 2 7 4 3 3" xfId="8450" xr:uid="{00000000-0005-0000-0000-000023100000}"/>
    <cellStyle name="Percent 2 7 4 3 3 2" xfId="41219" xr:uid="{E4AC9DA8-1395-4DB2-8F82-0C41A5D36DD9}"/>
    <cellStyle name="Percent 2 7 4 3 4" xfId="16387" xr:uid="{DD5731B0-2EB0-416C-81C8-DB187538A7A4}"/>
    <cellStyle name="Percent 2 7 4 3 5" xfId="39104" xr:uid="{E6E325F2-47C2-47B1-9584-EF0FD1489B0D}"/>
    <cellStyle name="Percent 2 7 4 4" xfId="10588" xr:uid="{00000000-0005-0000-0000-00003C210000}"/>
    <cellStyle name="Percent 2 7 4 4 2" xfId="43077" xr:uid="{D237BFBB-9E3B-4A87-94C5-83D90F1588F4}"/>
    <cellStyle name="Percent 2 7 4 5" xfId="8447" xr:uid="{00000000-0005-0000-0000-000020100000}"/>
    <cellStyle name="Percent 2 7 4 5 2" xfId="41216" xr:uid="{3DC58ADB-6CF9-46E2-B0B4-733C4B91982D}"/>
    <cellStyle name="Percent 2 7 4 6" xfId="16384" xr:uid="{5511D595-E41F-43F4-9EF7-E46DE812E36A}"/>
    <cellStyle name="Percent 2 7 4 7" xfId="39101" xr:uid="{860D8506-099D-473A-B2BA-B3B070CBF7B1}"/>
    <cellStyle name="Percent 2 7 5" xfId="5072" xr:uid="{00000000-0005-0000-0000-0000F7130000}"/>
    <cellStyle name="Percent 2 7 5 2" xfId="5073" xr:uid="{00000000-0005-0000-0000-0000F8130000}"/>
    <cellStyle name="Percent 2 7 5 2 2" xfId="10593" xr:uid="{00000000-0005-0000-0000-000041210000}"/>
    <cellStyle name="Percent 2 7 5 2 2 2" xfId="43082" xr:uid="{EC5DCE5C-D648-4C66-AC9B-DA4C4F357B98}"/>
    <cellStyle name="Percent 2 7 5 2 3" xfId="8452" xr:uid="{00000000-0005-0000-0000-000025100000}"/>
    <cellStyle name="Percent 2 7 5 2 3 2" xfId="41221" xr:uid="{F2DF95AA-38FF-45E6-88C0-4267B3767263}"/>
    <cellStyle name="Percent 2 7 5 2 4" xfId="16389" xr:uid="{93823395-BD82-473B-A860-E1A50ECA8ABF}"/>
    <cellStyle name="Percent 2 7 5 2 5" xfId="39106" xr:uid="{76C33A2A-C8D6-45FC-9FE7-997171F278A4}"/>
    <cellStyle name="Percent 2 7 5 3" xfId="10592" xr:uid="{00000000-0005-0000-0000-000040210000}"/>
    <cellStyle name="Percent 2 7 5 3 2" xfId="43081" xr:uid="{EFC19D4F-3D50-4CED-B4B3-8A15254D4540}"/>
    <cellStyle name="Percent 2 7 5 4" xfId="8451" xr:uid="{00000000-0005-0000-0000-000024100000}"/>
    <cellStyle name="Percent 2 7 5 4 2" xfId="41220" xr:uid="{CA4A1D04-3224-4923-B6E2-A9B243BBC937}"/>
    <cellStyle name="Percent 2 7 5 5" xfId="16388" xr:uid="{C2851AFC-C9BC-4F41-8922-AD806CFD11E6}"/>
    <cellStyle name="Percent 2 7 5 6" xfId="39105" xr:uid="{1EE65671-C981-4084-96BF-13DC98FE94AA}"/>
    <cellStyle name="Percent 2 7 6" xfId="5074" xr:uid="{00000000-0005-0000-0000-0000F9130000}"/>
    <cellStyle name="Percent 2 7 6 2" xfId="10594" xr:uid="{00000000-0005-0000-0000-000042210000}"/>
    <cellStyle name="Percent 2 7 6 2 2" xfId="43083" xr:uid="{0C042350-8994-4C8B-9404-879E5CBD058E}"/>
    <cellStyle name="Percent 2 7 6 3" xfId="8453" xr:uid="{00000000-0005-0000-0000-000026100000}"/>
    <cellStyle name="Percent 2 7 6 3 2" xfId="41222" xr:uid="{EFCDCEF6-F557-40F3-BDF2-303810ABC8CD}"/>
    <cellStyle name="Percent 2 7 6 4" xfId="16390" xr:uid="{F67315EE-5836-4F11-AC27-8EFFA2717ED9}"/>
    <cellStyle name="Percent 2 7 6 5" xfId="39107" xr:uid="{6FBD3F92-A862-42C3-9559-FF35CE6371FE}"/>
    <cellStyle name="Percent 2 7 7" xfId="10585" xr:uid="{00000000-0005-0000-0000-000039210000}"/>
    <cellStyle name="Percent 2 7 7 2" xfId="43074" xr:uid="{1AA36EC4-06FC-4AB6-AF25-058B7CB94FEB}"/>
    <cellStyle name="Percent 2 7 8" xfId="8444" xr:uid="{00000000-0005-0000-0000-00001D100000}"/>
    <cellStyle name="Percent 2 7 8 2" xfId="41214" xr:uid="{0A478C9E-6DD4-4020-8B0E-C80C3DE32E9C}"/>
    <cellStyle name="Percent 2 7 9" xfId="16381" xr:uid="{F161A556-A8CD-49A4-94EA-407221A1FD07}"/>
    <cellStyle name="Percent 2 8" xfId="5075" xr:uid="{00000000-0005-0000-0000-0000FA130000}"/>
    <cellStyle name="Percent 2 8 2" xfId="5076" xr:uid="{00000000-0005-0000-0000-0000FB130000}"/>
    <cellStyle name="Percent 2 8 2 2" xfId="5077" xr:uid="{00000000-0005-0000-0000-0000FC130000}"/>
    <cellStyle name="Percent 2 8 2 2 2" xfId="5078" xr:uid="{00000000-0005-0000-0000-0000FD130000}"/>
    <cellStyle name="Percent 2 8 2 2 2 2" xfId="10598" xr:uid="{00000000-0005-0000-0000-000046210000}"/>
    <cellStyle name="Percent 2 8 2 2 2 2 2" xfId="43087" xr:uid="{645E5854-150F-431A-971C-437E36690879}"/>
    <cellStyle name="Percent 2 8 2 2 2 3" xfId="8459" xr:uid="{00000000-0005-0000-0000-00002A100000}"/>
    <cellStyle name="Percent 2 8 2 2 2 3 2" xfId="41228" xr:uid="{85FE72E7-7DAB-4D19-AA92-7F437B8AB282}"/>
    <cellStyle name="Percent 2 8 2 2 2 4" xfId="16394" xr:uid="{976BDFBA-3AB5-409F-BC3B-399A0392CCC2}"/>
    <cellStyle name="Percent 2 8 2 2 2 5" xfId="39111" xr:uid="{1953365A-5AF5-4549-BDBB-4CEC5B89307C}"/>
    <cellStyle name="Percent 2 8 2 2 3" xfId="10597" xr:uid="{00000000-0005-0000-0000-000045210000}"/>
    <cellStyle name="Percent 2 8 2 2 3 2" xfId="43086" xr:uid="{CF5F791C-3A6C-4CD3-9115-671138C888C7}"/>
    <cellStyle name="Percent 2 8 2 2 4" xfId="8458" xr:uid="{00000000-0005-0000-0000-000029100000}"/>
    <cellStyle name="Percent 2 8 2 2 4 2" xfId="41227" xr:uid="{4271D808-EDC5-4730-980F-E4CF47062DC2}"/>
    <cellStyle name="Percent 2 8 2 2 5" xfId="16393" xr:uid="{7F2CDD9B-1CD3-4F16-AA69-C59EC41BA472}"/>
    <cellStyle name="Percent 2 8 2 2 6" xfId="39110" xr:uid="{E5EC5FC5-9879-4979-BF8A-A05A32566229}"/>
    <cellStyle name="Percent 2 8 2 3" xfId="5079" xr:uid="{00000000-0005-0000-0000-0000FE130000}"/>
    <cellStyle name="Percent 2 8 2 3 2" xfId="10599" xr:uid="{00000000-0005-0000-0000-000047210000}"/>
    <cellStyle name="Percent 2 8 2 3 2 2" xfId="43088" xr:uid="{F9901031-5DBC-449A-A037-559356AC0E84}"/>
    <cellStyle name="Percent 2 8 2 3 3" xfId="8463" xr:uid="{00000000-0005-0000-0000-00002B100000}"/>
    <cellStyle name="Percent 2 8 2 3 3 2" xfId="41232" xr:uid="{864A554F-F6A8-44AA-94AE-517A22CE3C83}"/>
    <cellStyle name="Percent 2 8 2 3 4" xfId="16395" xr:uid="{26D09495-393E-48D7-AB38-A43DE1C6737F}"/>
    <cellStyle name="Percent 2 8 2 3 5" xfId="39112" xr:uid="{9D4ECC3E-AADD-4CAD-BD32-3F86479AEAB1}"/>
    <cellStyle name="Percent 2 8 2 4" xfId="10596" xr:uid="{00000000-0005-0000-0000-000044210000}"/>
    <cellStyle name="Percent 2 8 2 4 2" xfId="43085" xr:uid="{10DF76A8-BD2D-4B40-9E14-521A0002AA9C}"/>
    <cellStyle name="Percent 2 8 2 5" xfId="8457" xr:uid="{00000000-0005-0000-0000-000028100000}"/>
    <cellStyle name="Percent 2 8 2 5 2" xfId="41226" xr:uid="{97306263-D41C-4F38-AB2D-8F88005DF1A4}"/>
    <cellStyle name="Percent 2 8 2 6" xfId="16392" xr:uid="{F80CBB5E-6949-475B-8667-5CBC28D6BD7C}"/>
    <cellStyle name="Percent 2 8 2 7" xfId="39109" xr:uid="{4FBEE6BC-6488-48A0-BC75-C8D1699AB4CC}"/>
    <cellStyle name="Percent 2 8 3" xfId="5080" xr:uid="{00000000-0005-0000-0000-0000FF130000}"/>
    <cellStyle name="Percent 2 8 3 2" xfId="5081" xr:uid="{00000000-0005-0000-0000-000000140000}"/>
    <cellStyle name="Percent 2 8 3 2 2" xfId="10601" xr:uid="{00000000-0005-0000-0000-000049210000}"/>
    <cellStyle name="Percent 2 8 3 2 2 2" xfId="43090" xr:uid="{4AF05A81-3778-444D-9941-4D82C780341D}"/>
    <cellStyle name="Percent 2 8 3 2 3" xfId="8465" xr:uid="{00000000-0005-0000-0000-00002D100000}"/>
    <cellStyle name="Percent 2 8 3 2 3 2" xfId="41234" xr:uid="{2C526E08-3ED2-4745-B160-9EB35662AE33}"/>
    <cellStyle name="Percent 2 8 3 2 4" xfId="16397" xr:uid="{4B522E12-D766-4211-A598-2CBBBA22BF2E}"/>
    <cellStyle name="Percent 2 8 3 2 5" xfId="39114" xr:uid="{D5BD4337-BC4D-4DC4-A442-8C236CF93994}"/>
    <cellStyle name="Percent 2 8 3 3" xfId="10600" xr:uid="{00000000-0005-0000-0000-000048210000}"/>
    <cellStyle name="Percent 2 8 3 3 2" xfId="43089" xr:uid="{939B6B51-290D-4BA5-92BF-B1A14FC048ED}"/>
    <cellStyle name="Percent 2 8 3 4" xfId="8464" xr:uid="{00000000-0005-0000-0000-00002C100000}"/>
    <cellStyle name="Percent 2 8 3 4 2" xfId="41233" xr:uid="{2C660DAF-6489-4BAB-AA28-DEF91595F282}"/>
    <cellStyle name="Percent 2 8 3 5" xfId="16396" xr:uid="{C79C2841-03B1-4D3B-AB84-CFA6A825A3F8}"/>
    <cellStyle name="Percent 2 8 3 6" xfId="39113" xr:uid="{930A21F3-421C-4657-9E7A-7D413130A99B}"/>
    <cellStyle name="Percent 2 8 4" xfId="5082" xr:uid="{00000000-0005-0000-0000-000001140000}"/>
    <cellStyle name="Percent 2 8 4 2" xfId="10602" xr:uid="{00000000-0005-0000-0000-00004A210000}"/>
    <cellStyle name="Percent 2 8 4 2 2" xfId="43091" xr:uid="{D20CC62B-4230-425F-B1DC-A262513AF0B9}"/>
    <cellStyle name="Percent 2 8 4 3" xfId="8467" xr:uid="{00000000-0005-0000-0000-00002E100000}"/>
    <cellStyle name="Percent 2 8 4 3 2" xfId="41236" xr:uid="{40CA278D-9C9B-4B21-AACD-75CCD447B7FB}"/>
    <cellStyle name="Percent 2 8 4 4" xfId="16398" xr:uid="{CC0A4DA6-6C32-4ADC-BAA2-45BE27FAFA8D}"/>
    <cellStyle name="Percent 2 8 4 5" xfId="39115" xr:uid="{E13E4224-B572-458C-9B35-50F2CEFD2639}"/>
    <cellStyle name="Percent 2 8 5" xfId="10595" xr:uid="{00000000-0005-0000-0000-000043210000}"/>
    <cellStyle name="Percent 2 8 5 2" xfId="43084" xr:uid="{4B8EDC27-710F-4B0E-BC76-0E9E85C04B6C}"/>
    <cellStyle name="Percent 2 8 6" xfId="8456" xr:uid="{00000000-0005-0000-0000-000027100000}"/>
    <cellStyle name="Percent 2 8 6 2" xfId="41225" xr:uid="{A54412DA-FE1A-464A-ACB7-AAA7229D64CD}"/>
    <cellStyle name="Percent 2 8 7" xfId="16391" xr:uid="{1873B06B-D49C-4202-80AD-6C9F60930659}"/>
    <cellStyle name="Percent 2 8 8" xfId="39108" xr:uid="{2FC04F94-607C-4C79-8A2B-F2C0784BA9C1}"/>
    <cellStyle name="Percent 2 9" xfId="5083" xr:uid="{00000000-0005-0000-0000-000002140000}"/>
    <cellStyle name="Percent 2 9 2" xfId="10603" xr:uid="{00000000-0005-0000-0000-00004B210000}"/>
    <cellStyle name="Percent 2 9 2 2" xfId="43092" xr:uid="{02CFEE4F-9323-4934-ADC7-CD740DF0A61D}"/>
    <cellStyle name="Percent 2 9 3" xfId="8468" xr:uid="{00000000-0005-0000-0000-00002F100000}"/>
    <cellStyle name="Percent 2 9 4" xfId="39116" xr:uid="{88E4670A-571E-4419-A09D-967A15F5A087}"/>
    <cellStyle name="Percent 20" xfId="20422" xr:uid="{41D983B0-1246-433B-8147-D0739EE37F91}"/>
    <cellStyle name="Percent 21" xfId="19720" xr:uid="{77BF8A4A-1217-49F5-AACE-A17457BF2E2D}"/>
    <cellStyle name="Percent 22" xfId="20575" xr:uid="{3453F0DD-9176-48B3-A363-A78E33E18224}"/>
    <cellStyle name="Percent 23" xfId="20833" xr:uid="{4A653C8B-158D-46B5-9A1E-D0A8F10769CB}"/>
    <cellStyle name="Percent 24" xfId="21436" xr:uid="{51503C44-7DB7-4C14-855A-D5764A823F24}"/>
    <cellStyle name="Percent 25" xfId="19577" xr:uid="{74BC844A-8689-4496-9D0C-87F2A7B3C328}"/>
    <cellStyle name="Percent 26" xfId="19614" xr:uid="{B8A2CBF5-1240-4F9D-A37B-13AFECDBEF60}"/>
    <cellStyle name="Percent 27" xfId="20200" xr:uid="{B9BDE114-C0CC-4ADA-8B95-38891F350D3E}"/>
    <cellStyle name="Percent 28" xfId="20056" xr:uid="{207CF965-AF99-4E4C-BAAC-2AB1C5C15C0C}"/>
    <cellStyle name="Percent 29" xfId="20278" xr:uid="{AE271D27-0C45-42B2-86B0-30087DFB33E1}"/>
    <cellStyle name="Percent 3" xfId="5084" xr:uid="{00000000-0005-0000-0000-000003140000}"/>
    <cellStyle name="Percent 3 2" xfId="5085" xr:uid="{00000000-0005-0000-0000-000004140000}"/>
    <cellStyle name="Percent 3 2 2" xfId="5086" xr:uid="{00000000-0005-0000-0000-000005140000}"/>
    <cellStyle name="Percent 3 2 2 2" xfId="5087" xr:uid="{00000000-0005-0000-0000-000006140000}"/>
    <cellStyle name="Percent 3 2 2 2 2" xfId="10607" xr:uid="{00000000-0005-0000-0000-00004F210000}"/>
    <cellStyle name="Percent 3 2 2 2 2 2" xfId="18476" xr:uid="{87C0BB55-A6A4-4658-BF22-C91AA1DEADC2}"/>
    <cellStyle name="Percent 3 2 2 2 2 3" xfId="17769" xr:uid="{EB5EF55F-F128-4A28-BEEB-C4579916EB76}"/>
    <cellStyle name="Percent 3 2 2 2 2 4" xfId="43096" xr:uid="{785FFC24-F459-4BEC-99C0-0FB4BF4B9A5A}"/>
    <cellStyle name="Percent 3 2 2 2 3" xfId="8473" xr:uid="{00000000-0005-0000-0000-000033100000}"/>
    <cellStyle name="Percent 3 2 2 2 3 2" xfId="18242" xr:uid="{FF4657E3-F8DC-4DF9-B0E7-C56A959718D5}"/>
    <cellStyle name="Percent 3 2 2 2 4" xfId="24591" xr:uid="{A6F447E0-03E8-4AF1-AD6E-1AC1F1C5A3E1}"/>
    <cellStyle name="Percent 3 2 2 2 5" xfId="16402" xr:uid="{9AABD5EA-26D8-4E7B-B607-62C223213CA0}"/>
    <cellStyle name="Percent 3 2 2 2 6" xfId="39120" xr:uid="{100F2A6D-04FD-447E-B3D8-49271CC3AB91}"/>
    <cellStyle name="Percent 3 2 2 3" xfId="10606" xr:uid="{00000000-0005-0000-0000-00004E210000}"/>
    <cellStyle name="Percent 3 2 2 3 2" xfId="18525" xr:uid="{A9038D86-F6BB-4DE7-8B65-D4FB6155F2E1}"/>
    <cellStyle name="Percent 3 2 2 3 3" xfId="17697" xr:uid="{175F37CC-131A-4964-A67A-AAD6A87EA31A}"/>
    <cellStyle name="Percent 3 2 2 3 4" xfId="43095" xr:uid="{B214C5E5-32F3-476F-B59C-B0985AF6A9F8}"/>
    <cellStyle name="Percent 3 2 2 4" xfId="8472" xr:uid="{00000000-0005-0000-0000-000032100000}"/>
    <cellStyle name="Percent 3 2 2 4 2" xfId="18241" xr:uid="{C299E45A-2045-4E7D-BC6F-E0B79C1873C6}"/>
    <cellStyle name="Percent 3 2 2 5" xfId="24549" xr:uid="{7D9871C4-EAC1-4C31-BA72-B6ABD1F6E667}"/>
    <cellStyle name="Percent 3 2 2 6" xfId="16401" xr:uid="{FCFAEE13-BDDF-4096-A4A1-C95660320EE5}"/>
    <cellStyle name="Percent 3 2 2 7" xfId="39119" xr:uid="{E66E2B97-E0BC-4ED5-8D80-E220425EE647}"/>
    <cellStyle name="Percent 3 2 3" xfId="5088" xr:uid="{00000000-0005-0000-0000-000007140000}"/>
    <cellStyle name="Percent 3 2 3 2" xfId="10608" xr:uid="{00000000-0005-0000-0000-000050210000}"/>
    <cellStyle name="Percent 3 2 3 2 2" xfId="18500" xr:uid="{E0E2C4F4-8844-472C-9F4B-F29CC39B2FCC}"/>
    <cellStyle name="Percent 3 2 3 2 3" xfId="17735" xr:uid="{F4D36AD9-1BDE-4503-A039-E623DE8902DA}"/>
    <cellStyle name="Percent 3 2 3 2 4" xfId="43097" xr:uid="{60CC56F0-E910-4CEB-B6C6-142031A5AFEA}"/>
    <cellStyle name="Percent 3 2 3 3" xfId="8474" xr:uid="{00000000-0005-0000-0000-000034100000}"/>
    <cellStyle name="Percent 3 2 3 3 2" xfId="18243" xr:uid="{5C872EE1-F185-4027-9A61-BC203EE00471}"/>
    <cellStyle name="Percent 3 2 3 4" xfId="24571" xr:uid="{FD35D4AD-CA5B-470B-ACC4-89851ED135FE}"/>
    <cellStyle name="Percent 3 2 3 5" xfId="16403" xr:uid="{C1B95F10-FB8C-4D4F-9632-0F0EE0A8B340}"/>
    <cellStyle name="Percent 3 2 3 6" xfId="39121" xr:uid="{80977A3A-4E8E-4EC8-AA98-EEC2EB988936}"/>
    <cellStyle name="Percent 3 2 4" xfId="5089" xr:uid="{00000000-0005-0000-0000-000008140000}"/>
    <cellStyle name="Percent 3 2 4 2" xfId="10609" xr:uid="{00000000-0005-0000-0000-000051210000}"/>
    <cellStyle name="Percent 3 2 4 2 2" xfId="18406" xr:uid="{B3678E0B-227B-4662-AEB7-F649A83AA44C}"/>
    <cellStyle name="Percent 3 2 4 2 3" xfId="17872" xr:uid="{CCA4BB80-7069-4893-AAEB-F8BEA7C1EFE0}"/>
    <cellStyle name="Percent 3 2 4 2 4" xfId="43098" xr:uid="{81476F8B-DEE0-4853-A473-E87C931F6719}"/>
    <cellStyle name="Percent 3 2 4 3" xfId="8475" xr:uid="{00000000-0005-0000-0000-000035100000}"/>
    <cellStyle name="Percent 3 2 4 3 2" xfId="23720" xr:uid="{560414EA-4BB1-4B15-8513-59FA5F488ECC}"/>
    <cellStyle name="Percent 3 2 4 3 3" xfId="18581" xr:uid="{3F840FE5-700E-4CF0-AC44-4E228D489F45}"/>
    <cellStyle name="Percent 3 2 4 4" xfId="18244" xr:uid="{D6013E43-B3DD-481E-B0BF-3491AE3A9D5D}"/>
    <cellStyle name="Percent 3 2 4 4 2" xfId="24630" xr:uid="{CFD1FD2B-4CDC-49D9-83B8-946115280FD0}"/>
    <cellStyle name="Percent 3 2 4 5" xfId="17613" xr:uid="{DF9FC13B-CE3D-455F-AA72-62DFDFD7FBB9}"/>
    <cellStyle name="Percent 3 2 4 6" xfId="39122" xr:uid="{0963504C-858C-489B-88F9-ECFDAC68BDE5}"/>
    <cellStyle name="Percent 3 2 5" xfId="10605" xr:uid="{00000000-0005-0000-0000-00004D210000}"/>
    <cellStyle name="Percent 3 2 5 2" xfId="18558" xr:uid="{1FCD1C3C-8E0F-4A57-9B41-B10B3AFF737A}"/>
    <cellStyle name="Percent 3 2 5 3" xfId="17647" xr:uid="{D74AF164-A128-4A91-A474-A1FC20BE8EA4}"/>
    <cellStyle name="Percent 3 2 5 4" xfId="43094" xr:uid="{8876C617-C86E-4D86-8D9A-CF87490B5DD0}"/>
    <cellStyle name="Percent 3 2 6" xfId="8470" xr:uid="{00000000-0005-0000-0000-000031100000}"/>
    <cellStyle name="Percent 3 2 6 2" xfId="18240" xr:uid="{4BB1CA69-6CA4-43AB-A924-0187493F6672}"/>
    <cellStyle name="Percent 3 2 7" xfId="24504" xr:uid="{023F8D37-E1AD-4DD1-B1B6-4CF82AEF5616}"/>
    <cellStyle name="Percent 3 2 8" xfId="13660" xr:uid="{42DA930A-6480-48FA-963E-37AD45C53EE2}"/>
    <cellStyle name="Percent 3 2 9" xfId="39118" xr:uid="{B80289E3-2D44-4113-8617-A305D0A26DF6}"/>
    <cellStyle name="Percent 3 3" xfId="5090" xr:uid="{00000000-0005-0000-0000-000009140000}"/>
    <cellStyle name="Percent 3 3 2" xfId="10610" xr:uid="{00000000-0005-0000-0000-000052210000}"/>
    <cellStyle name="Percent 3 3 2 2" xfId="43099" xr:uid="{EC02C0EC-CB8D-4ED6-8EB4-30A6A07A8A91}"/>
    <cellStyle name="Percent 3 3 3" xfId="8476" xr:uid="{00000000-0005-0000-0000-000036100000}"/>
    <cellStyle name="Percent 3 3 4" xfId="39123" xr:uid="{B3661866-DEBD-49E9-8661-B1F40C3E83A5}"/>
    <cellStyle name="Percent 3 4" xfId="5091" xr:uid="{00000000-0005-0000-0000-00000A140000}"/>
    <cellStyle name="Percent 3 4 2" xfId="10611" xr:uid="{00000000-0005-0000-0000-000053210000}"/>
    <cellStyle name="Percent 3 4 2 2" xfId="43100" xr:uid="{A09611D5-3929-49CF-98EE-45BF19EC876D}"/>
    <cellStyle name="Percent 3 4 3" xfId="8479" xr:uid="{00000000-0005-0000-0000-000037100000}"/>
    <cellStyle name="Percent 3 4 4" xfId="39124" xr:uid="{45ABF6AC-BF49-4CFC-9A3F-0CF42806FBFE}"/>
    <cellStyle name="Percent 3 5" xfId="5092" xr:uid="{00000000-0005-0000-0000-00000B140000}"/>
    <cellStyle name="Percent 3 5 2" xfId="10612" xr:uid="{00000000-0005-0000-0000-000054210000}"/>
    <cellStyle name="Percent 3 5 2 2" xfId="43101" xr:uid="{18D35924-3C55-4CD1-BE68-0FB8E78F7F18}"/>
    <cellStyle name="Percent 3 5 3" xfId="16400" xr:uid="{B5A147E9-604C-4061-A202-5F631669C669}"/>
    <cellStyle name="Percent 3 5 4" xfId="39125" xr:uid="{EF149E89-74A8-4B19-9353-A19E3E2B7BEF}"/>
    <cellStyle name="Percent 3 6" xfId="10604" xr:uid="{00000000-0005-0000-0000-00004C210000}"/>
    <cellStyle name="Percent 3 6 2" xfId="43093" xr:uid="{703E718A-EB29-4131-B553-72908793D1CD}"/>
    <cellStyle name="Percent 3 7" xfId="8469" xr:uid="{00000000-0005-0000-0000-000030100000}"/>
    <cellStyle name="Percent 3 8" xfId="13659" xr:uid="{84C5B1A8-9352-4A9F-8EE5-BA61EBEB0C87}"/>
    <cellStyle name="Percent 3 9" xfId="39117" xr:uid="{F999FA2B-D4C5-43DD-A58C-42E9887C5C05}"/>
    <cellStyle name="Percent 30" xfId="19290" xr:uid="{690051FD-94FD-49B6-835D-A5449D3995C5}"/>
    <cellStyle name="Percent 31" xfId="21730" xr:uid="{FB4F60DE-5787-403A-A64A-440F6F88C878}"/>
    <cellStyle name="Percent 32" xfId="21345" xr:uid="{01B828AA-72CF-4CDC-A97D-14FE4403CD5C}"/>
    <cellStyle name="Percent 33" xfId="22025" xr:uid="{C029CFC1-10E5-4881-9890-8DF946874AD7}"/>
    <cellStyle name="Percent 34" xfId="21391" xr:uid="{53F92AAA-782A-4F92-826E-7C685FD57C73}"/>
    <cellStyle name="Percent 35" xfId="20485" xr:uid="{046E532C-4A9D-4883-B66D-04A1F1E2C761}"/>
    <cellStyle name="Percent 36" xfId="20031" xr:uid="{56B40F6C-DCF7-46B7-843B-2F34C7D2196B}"/>
    <cellStyle name="Percent 37" xfId="22443" xr:uid="{0422B53E-8298-4EF9-ACFF-455309F31359}"/>
    <cellStyle name="Percent 38" xfId="21346" xr:uid="{C2019E97-ED01-414F-B98F-2DB0EAAE6940}"/>
    <cellStyle name="Percent 39" xfId="20156" xr:uid="{FC1AECD1-2124-4EEE-9BA2-281F6FF0B5EA}"/>
    <cellStyle name="Percent 4" xfId="5093" xr:uid="{00000000-0005-0000-0000-00000C140000}"/>
    <cellStyle name="Percent 4 2" xfId="5094" xr:uid="{00000000-0005-0000-0000-00000D140000}"/>
    <cellStyle name="Percent 4 2 2" xfId="5095" xr:uid="{00000000-0005-0000-0000-00000E140000}"/>
    <cellStyle name="Percent 4 2 2 2" xfId="5096" xr:uid="{00000000-0005-0000-0000-00000F140000}"/>
    <cellStyle name="Percent 4 2 2 2 2" xfId="10616" xr:uid="{00000000-0005-0000-0000-000058210000}"/>
    <cellStyle name="Percent 4 2 2 2 2 2" xfId="17770" xr:uid="{EEB4DD87-C21B-48D5-9ED2-647527272E1E}"/>
    <cellStyle name="Percent 4 2 2 2 2 2 2" xfId="18475" xr:uid="{7BC23D8B-0659-4EA5-95DC-74CDAFE0AD17}"/>
    <cellStyle name="Percent 4 2 2 2 2 3" xfId="18647" xr:uid="{641F6B89-C813-4761-A7C6-200D40072456}"/>
    <cellStyle name="Percent 4 2 2 2 2 4" xfId="17501" xr:uid="{F3B52659-8B5C-4551-8149-C0BBBB6BB72F}"/>
    <cellStyle name="Percent 4 2 2 2 2 5" xfId="43105" xr:uid="{D1632D71-2399-4FAE-8FC6-8518C60B9BF0}"/>
    <cellStyle name="Percent 4 2 2 2 3" xfId="17698" xr:uid="{CBF2E50F-B5D4-49BE-9D24-22041ACB34ED}"/>
    <cellStyle name="Percent 4 2 2 2 3 2" xfId="18524" xr:uid="{2D0CA9A4-3951-4954-9046-A28CABDE25F6}"/>
    <cellStyle name="Percent 4 2 2 2 4" xfId="18331" xr:uid="{19077505-F45C-4B8B-8E02-34817E24F043}"/>
    <cellStyle name="Percent 4 2 2 2 5" xfId="17315" xr:uid="{40119DFB-646C-495D-817B-F094DF057D38}"/>
    <cellStyle name="Percent 4 2 2 2 6" xfId="39129" xr:uid="{FCDBBB51-CECF-4F33-97FD-391BEC81924E}"/>
    <cellStyle name="Percent 4 2 2 3" xfId="10615" xr:uid="{00000000-0005-0000-0000-000057210000}"/>
    <cellStyle name="Percent 4 2 2 3 2" xfId="17736" xr:uid="{16760D6F-425F-488E-8C99-BA127FCFFBFE}"/>
    <cellStyle name="Percent 4 2 2 3 2 2" xfId="18499" xr:uid="{22AADD6E-3200-40AE-8402-1F805DCF9D9C}"/>
    <cellStyle name="Percent 4 2 2 3 3" xfId="18670" xr:uid="{FD6B235A-3EF6-414B-9824-37269CDE7B34}"/>
    <cellStyle name="Percent 4 2 2 3 4" xfId="17472" xr:uid="{702E9F37-1320-4545-BA6C-A404F520B40A}"/>
    <cellStyle name="Percent 4 2 2 3 5" xfId="43104" xr:uid="{73AFC12E-C4B7-4ED0-8024-8FB61C62296A}"/>
    <cellStyle name="Percent 4 2 2 4" xfId="8482" xr:uid="{00000000-0005-0000-0000-00003A100000}"/>
    <cellStyle name="Percent 4 2 2 4 2" xfId="17873" xr:uid="{01B24EE3-CA4A-434F-85F8-AC7DA9D9D1CD}"/>
    <cellStyle name="Percent 4 2 2 4 2 2" xfId="18405" xr:uid="{61E8B987-6D4E-421A-8393-46759017F1F1}"/>
    <cellStyle name="Percent 4 2 2 4 3" xfId="18580" xr:uid="{E197A43C-C9C4-4E73-B2BF-21F101926E10}"/>
    <cellStyle name="Percent 4 2 2 4 4" xfId="17614" xr:uid="{7DCED9FB-CCA9-4DA5-973D-8A0ECD2FE447}"/>
    <cellStyle name="Percent 4 2 2 5" xfId="17648" xr:uid="{B44E3576-6517-4E17-A4F0-9B19CCACC6F8}"/>
    <cellStyle name="Percent 4 2 2 5 2" xfId="18557" xr:uid="{E590DC7E-92F6-4634-A5F1-1566000303ED}"/>
    <cellStyle name="Percent 4 2 2 6" xfId="18246" xr:uid="{535BC931-671A-4F94-8993-DDFCC0B30D93}"/>
    <cellStyle name="Percent 4 2 2 6 2" xfId="23721" xr:uid="{A6884E89-F84E-49A1-B2F9-E77C9546F96C}"/>
    <cellStyle name="Percent 4 2 2 7" xfId="24507" xr:uid="{02F5CC72-EBEE-48B0-B1FD-2A4F8443D656}"/>
    <cellStyle name="Percent 4 2 2 8" xfId="16406" xr:uid="{88B48AA9-CCEF-465C-A56B-DF90A9893CDF}"/>
    <cellStyle name="Percent 4 2 2 9" xfId="39128" xr:uid="{242F0720-C86E-4B1D-83E5-B1BAAF179B2A}"/>
    <cellStyle name="Percent 4 2 3" xfId="5097" xr:uid="{00000000-0005-0000-0000-000010140000}"/>
    <cellStyle name="Percent 4 2 3 2" xfId="10617" xr:uid="{00000000-0005-0000-0000-000059210000}"/>
    <cellStyle name="Percent 4 2 3 2 2" xfId="43106" xr:uid="{B561FF74-988C-4800-97A7-4C61C2CAC3CB}"/>
    <cellStyle name="Percent 4 2 3 3" xfId="8483" xr:uid="{00000000-0005-0000-0000-00003B100000}"/>
    <cellStyle name="Percent 4 2 3 4" xfId="39130" xr:uid="{B6FED55F-4490-45CB-AB59-7629BAA0CE3C}"/>
    <cellStyle name="Percent 4 2 4" xfId="10614" xr:uid="{00000000-0005-0000-0000-000056210000}"/>
    <cellStyle name="Percent 4 2 4 2" xfId="18245" xr:uid="{7C03AF76-69C2-4BB2-85DF-58C9486C27F1}"/>
    <cellStyle name="Percent 4 2 4 3" xfId="43103" xr:uid="{97B71D44-4835-4A20-BC06-CA2D2553B8D9}"/>
    <cellStyle name="Percent 4 2 5" xfId="8481" xr:uid="{00000000-0005-0000-0000-000039100000}"/>
    <cellStyle name="Percent 4 2 6" xfId="16405" xr:uid="{C4B40DBD-50EA-43A7-BD13-03145A5AE830}"/>
    <cellStyle name="Percent 4 2 7" xfId="39127" xr:uid="{714598F3-DEEC-44AD-96D6-1FAF69E6A4C2}"/>
    <cellStyle name="Percent 4 3" xfId="5098" xr:uid="{00000000-0005-0000-0000-000011140000}"/>
    <cellStyle name="Percent 4 3 2" xfId="5099" xr:uid="{00000000-0005-0000-0000-000012140000}"/>
    <cellStyle name="Percent 4 3 2 2" xfId="5100" xr:uid="{00000000-0005-0000-0000-000013140000}"/>
    <cellStyle name="Percent 4 3 2 2 2" xfId="10620" xr:uid="{00000000-0005-0000-0000-00005C210000}"/>
    <cellStyle name="Percent 4 3 2 2 2 2" xfId="43109" xr:uid="{FE5F485D-8472-4BE6-ACA4-6008A4B9308A}"/>
    <cellStyle name="Percent 4 3 2 2 3" xfId="8490" xr:uid="{00000000-0005-0000-0000-00003E100000}"/>
    <cellStyle name="Percent 4 3 2 2 3 2" xfId="41247" xr:uid="{28A50139-68C7-4958-95C3-6110D5FC8099}"/>
    <cellStyle name="Percent 4 3 2 2 4" xfId="16409" xr:uid="{E7EF941F-FD89-4169-B4A4-6BB5D803F2B6}"/>
    <cellStyle name="Percent 4 3 2 2 5" xfId="39133" xr:uid="{F3A5E720-5070-4971-B62F-7921376E02E3}"/>
    <cellStyle name="Percent 4 3 2 3" xfId="10619" xr:uid="{00000000-0005-0000-0000-00005B210000}"/>
    <cellStyle name="Percent 4 3 2 3 2" xfId="43108" xr:uid="{D75ADC19-5348-49A4-8E82-5728F133A4AF}"/>
    <cellStyle name="Percent 4 3 2 4" xfId="8488" xr:uid="{00000000-0005-0000-0000-00003D100000}"/>
    <cellStyle name="Percent 4 3 2 4 2" xfId="41245" xr:uid="{C61AD6F6-4FF8-4C6A-92F9-4C9433F76678}"/>
    <cellStyle name="Percent 4 3 2 5" xfId="16408" xr:uid="{25600870-9C67-4ED1-A8A7-42E347DA6818}"/>
    <cellStyle name="Percent 4 3 2 6" xfId="39132" xr:uid="{2173B5D8-99AA-447A-8EAE-D8F1569EDB50}"/>
    <cellStyle name="Percent 4 3 3" xfId="5101" xr:uid="{00000000-0005-0000-0000-000014140000}"/>
    <cellStyle name="Percent 4 3 3 2" xfId="10621" xr:uid="{00000000-0005-0000-0000-00005D210000}"/>
    <cellStyle name="Percent 4 3 3 2 2" xfId="43110" xr:uid="{4500C761-FB99-4168-8565-07FC87B839D5}"/>
    <cellStyle name="Percent 4 3 3 3" xfId="8491" xr:uid="{00000000-0005-0000-0000-00003F100000}"/>
    <cellStyle name="Percent 4 3 3 3 2" xfId="41248" xr:uid="{A634F13D-2F74-4354-A0B5-8A41FB1C9591}"/>
    <cellStyle name="Percent 4 3 3 4" xfId="16410" xr:uid="{7FB1F6D4-1E56-4A18-A2B6-D717BEFEBE09}"/>
    <cellStyle name="Percent 4 3 3 5" xfId="39134" xr:uid="{1929B856-780F-47CA-8DBB-F4BFE8BBA308}"/>
    <cellStyle name="Percent 4 3 4" xfId="5102" xr:uid="{00000000-0005-0000-0000-000015140000}"/>
    <cellStyle name="Percent 4 3 4 2" xfId="10622" xr:uid="{00000000-0005-0000-0000-00005E210000}"/>
    <cellStyle name="Percent 4 3 4 2 2" xfId="43111" xr:uid="{994DA5E9-7510-4E39-BCE4-98A3459B8AF8}"/>
    <cellStyle name="Percent 4 3 4 3" xfId="17316" xr:uid="{C7DCB3D1-B834-4FEC-8F76-99199A14CAF7}"/>
    <cellStyle name="Percent 4 3 4 4" xfId="39135" xr:uid="{C8B9C187-CBD4-44CA-9881-0984C27120F8}"/>
    <cellStyle name="Percent 4 3 5" xfId="10618" xr:uid="{00000000-0005-0000-0000-00005A210000}"/>
    <cellStyle name="Percent 4 3 5 2" xfId="18247" xr:uid="{1DDB9DC9-CFE4-43E2-AF96-9AB2F573AAAB}"/>
    <cellStyle name="Percent 4 3 5 3" xfId="43107" xr:uid="{ED068A16-5271-4676-A82D-8365025F82BE}"/>
    <cellStyle name="Percent 4 3 6" xfId="8484" xr:uid="{00000000-0005-0000-0000-00003C100000}"/>
    <cellStyle name="Percent 4 3 7" xfId="16407" xr:uid="{9F7190FA-A0FD-4E92-9FD3-C9112C798E7C}"/>
    <cellStyle name="Percent 4 3 8" xfId="39131" xr:uid="{74B11F44-FCE6-424D-A87A-6C5504D70953}"/>
    <cellStyle name="Percent 4 4" xfId="5103" xr:uid="{00000000-0005-0000-0000-000016140000}"/>
    <cellStyle name="Percent 4 4 2" xfId="10623" xr:uid="{00000000-0005-0000-0000-00005F210000}"/>
    <cellStyle name="Percent 4 4 2 2" xfId="43112" xr:uid="{0FB6DBA6-87FA-485B-B307-9AB7D85E64FC}"/>
    <cellStyle name="Percent 4 4 3" xfId="8494" xr:uid="{00000000-0005-0000-0000-000040100000}"/>
    <cellStyle name="Percent 4 4 4" xfId="39136" xr:uid="{066B0016-1AC1-4BB3-B49C-8EC68EAD56F1}"/>
    <cellStyle name="Percent 4 5" xfId="10613" xr:uid="{00000000-0005-0000-0000-000055210000}"/>
    <cellStyle name="Percent 4 5 2" xfId="43102" xr:uid="{0EBDE795-140C-4D8A-ACDE-9FE821C0E7C4}"/>
    <cellStyle name="Percent 4 6" xfId="8480" xr:uid="{00000000-0005-0000-0000-000038100000}"/>
    <cellStyle name="Percent 4 7" xfId="39126" xr:uid="{9BA4675B-7848-4997-A201-A0698EF7D697}"/>
    <cellStyle name="Percent 40" xfId="20808" xr:uid="{CAB72DDC-E195-4303-92FB-9E34F5D0A000}"/>
    <cellStyle name="Percent 41" xfId="21630" xr:uid="{93DCF5FC-D5DD-435F-B43B-46DAA948E300}"/>
    <cellStyle name="Percent 42" xfId="20268" xr:uid="{2A537491-21C0-4C37-BEF8-89E79FEEECB5}"/>
    <cellStyle name="Percent 43" xfId="20340" xr:uid="{048EDD05-2EAC-4C70-8868-6762C302503B}"/>
    <cellStyle name="Percent 44" xfId="22118" xr:uid="{B2A7517C-A0F1-49D2-AEE3-3269940AEBFE}"/>
    <cellStyle name="Percent 45" xfId="22241" xr:uid="{88F9868B-9E8F-4507-AB59-8F4856DEE39B}"/>
    <cellStyle name="Percent 46" xfId="20638" xr:uid="{47547927-F3A4-4983-AB12-4C4E5986EBE4}"/>
    <cellStyle name="Percent 47" xfId="19743" xr:uid="{E06F67FF-72E4-41F0-BFCB-0280791C928C}"/>
    <cellStyle name="Percent 48" xfId="21609" xr:uid="{1B823583-D0B9-497D-8697-32995FC4233C}"/>
    <cellStyle name="Percent 49" xfId="20911" xr:uid="{355F2987-4731-4877-8515-133979DD3578}"/>
    <cellStyle name="Percent 5" xfId="5104" xr:uid="{00000000-0005-0000-0000-000017140000}"/>
    <cellStyle name="Percent 5 2" xfId="5105" xr:uid="{00000000-0005-0000-0000-000018140000}"/>
    <cellStyle name="Percent 5 2 2" xfId="5106" xr:uid="{00000000-0005-0000-0000-000019140000}"/>
    <cellStyle name="Percent 5 2 2 2" xfId="5107" xr:uid="{00000000-0005-0000-0000-00001A140000}"/>
    <cellStyle name="Percent 5 2 2 2 2" xfId="10627" xr:uid="{00000000-0005-0000-0000-000063210000}"/>
    <cellStyle name="Percent 5 2 2 2 2 2" xfId="17771" xr:uid="{A9E973B6-21EE-4948-A5E8-5A0782AA0D00}"/>
    <cellStyle name="Percent 5 2 2 2 2 2 2" xfId="18474" xr:uid="{C1F2CE00-BCAD-4CF2-83B0-BD41AFA3E19E}"/>
    <cellStyle name="Percent 5 2 2 2 2 3" xfId="18646" xr:uid="{898F066A-255B-4C28-A85E-0253C3AEC0EC}"/>
    <cellStyle name="Percent 5 2 2 2 2 4" xfId="17502" xr:uid="{69B87B2F-70BC-42C3-97B8-D9423C1E3A69}"/>
    <cellStyle name="Percent 5 2 2 2 2 5" xfId="43116" xr:uid="{EF05CE09-DD3B-4A0B-AFB6-1DE0BB629890}"/>
    <cellStyle name="Percent 5 2 2 2 3" xfId="8499" xr:uid="{00000000-0005-0000-0000-000044100000}"/>
    <cellStyle name="Percent 5 2 2 2 3 2" xfId="18523" xr:uid="{254481E9-32B8-48E8-B53D-D4088D6EEF77}"/>
    <cellStyle name="Percent 5 2 2 2 3 3" xfId="17699" xr:uid="{265A8688-88B4-4F02-BECD-9A4A2C3BF114}"/>
    <cellStyle name="Percent 5 2 2 2 4" xfId="18250" xr:uid="{BB63FA53-0309-4098-807F-600FB7A946B7}"/>
    <cellStyle name="Percent 5 2 2 2 5" xfId="24550" xr:uid="{6ACE5022-1B61-43E8-BABA-CC86AB2D751D}"/>
    <cellStyle name="Percent 5 2 2 2 6" xfId="16413" xr:uid="{40342644-BE5A-41D4-A08D-CC466FF5D701}"/>
    <cellStyle name="Percent 5 2 2 2 7" xfId="39140" xr:uid="{AF2BE6F6-4835-476C-89B6-1525D40948BD}"/>
    <cellStyle name="Percent 5 2 2 3" xfId="10626" xr:uid="{00000000-0005-0000-0000-000062210000}"/>
    <cellStyle name="Percent 5 2 2 3 2" xfId="17737" xr:uid="{B8714E60-5B21-46F1-AAA3-3C5F5557A873}"/>
    <cellStyle name="Percent 5 2 2 3 2 2" xfId="18498" xr:uid="{BEF3A25C-EF92-4B49-B2B1-4B83912B15D3}"/>
    <cellStyle name="Percent 5 2 2 3 3" xfId="18669" xr:uid="{86276DC7-D2F5-40DC-8748-E9D0AB40C4F1}"/>
    <cellStyle name="Percent 5 2 2 3 4" xfId="17473" xr:uid="{D8D78227-1737-42C8-9545-340BD59FEFC5}"/>
    <cellStyle name="Percent 5 2 2 3 5" xfId="43115" xr:uid="{AAAC5CB6-9B67-4302-817E-5C91BAE87A0E}"/>
    <cellStyle name="Percent 5 2 2 4" xfId="8497" xr:uid="{00000000-0005-0000-0000-000043100000}"/>
    <cellStyle name="Percent 5 2 2 4 2" xfId="17874" xr:uid="{BE61704F-DBA9-424B-B1DE-37543D5536EE}"/>
    <cellStyle name="Percent 5 2 2 4 2 2" xfId="18404" xr:uid="{9372E297-C92B-464A-BB4D-2AF5F908A012}"/>
    <cellStyle name="Percent 5 2 2 4 3" xfId="18579" xr:uid="{0060ADC5-0844-4E61-8A47-10C40CFE1B8A}"/>
    <cellStyle name="Percent 5 2 2 4 4" xfId="17615" xr:uid="{96C7455D-90B4-413D-8136-CEF42642177D}"/>
    <cellStyle name="Percent 5 2 2 5" xfId="17649" xr:uid="{D4556248-3BC9-44F0-A535-D86B346A1763}"/>
    <cellStyle name="Percent 5 2 2 5 2" xfId="18556" xr:uid="{3DC79607-C8B3-45A3-9A13-E7D3F35B588E}"/>
    <cellStyle name="Percent 5 2 2 6" xfId="18249" xr:uid="{E5CBDDEF-F751-4DA5-8303-9D83BF70A714}"/>
    <cellStyle name="Percent 5 2 2 7" xfId="24512" xr:uid="{D556F5FC-41D7-42AD-BACF-BB8CA6CCEA63}"/>
    <cellStyle name="Percent 5 2 2 8" xfId="16412" xr:uid="{FBA77D73-502C-4070-BF3D-A15D4E5E6423}"/>
    <cellStyle name="Percent 5 2 2 9" xfId="39139" xr:uid="{214258E5-5DD2-44AB-BD77-A4A401C7F638}"/>
    <cellStyle name="Percent 5 2 3" xfId="5108" xr:uid="{00000000-0005-0000-0000-00001B140000}"/>
    <cellStyle name="Percent 5 2 3 2" xfId="5109" xr:uid="{00000000-0005-0000-0000-00001C140000}"/>
    <cellStyle name="Percent 5 2 3 2 2" xfId="10629" xr:uid="{00000000-0005-0000-0000-000065210000}"/>
    <cellStyle name="Percent 5 2 3 2 2 2" xfId="43118" xr:uid="{3150BC9E-4683-4304-B71B-ADDE8A1F7AB7}"/>
    <cellStyle name="Percent 5 2 3 2 3" xfId="17318" xr:uid="{F83006A7-8EB9-41D0-825A-F09A5384703F}"/>
    <cellStyle name="Percent 5 2 3 2 4" xfId="39142" xr:uid="{CDCB6DD5-A102-4DAE-B340-FF0FD40194F9}"/>
    <cellStyle name="Percent 5 2 3 3" xfId="10628" xr:uid="{00000000-0005-0000-0000-000064210000}"/>
    <cellStyle name="Percent 5 2 3 3 2" xfId="18251" xr:uid="{2254BD81-CB33-456A-BA3C-A296C31BE6C4}"/>
    <cellStyle name="Percent 5 2 3 3 3" xfId="43117" xr:uid="{CA00574E-9472-481F-A16E-6444DF28BE72}"/>
    <cellStyle name="Percent 5 2 3 4" xfId="8500" xr:uid="{00000000-0005-0000-0000-000045100000}"/>
    <cellStyle name="Percent 5 2 3 5" xfId="16414" xr:uid="{41E25A01-1C0C-4983-8C23-AA9BF96F49F4}"/>
    <cellStyle name="Percent 5 2 3 6" xfId="39141" xr:uid="{0D920F7D-CBC3-456F-8B0A-88F66873A049}"/>
    <cellStyle name="Percent 5 2 4" xfId="5110" xr:uid="{00000000-0005-0000-0000-00001D140000}"/>
    <cellStyle name="Percent 5 2 4 2" xfId="10630" xr:uid="{00000000-0005-0000-0000-000066210000}"/>
    <cellStyle name="Percent 5 2 4 2 2" xfId="43119" xr:uid="{69143B31-5571-4F1E-B765-5B4E4781F200}"/>
    <cellStyle name="Percent 5 2 4 3" xfId="17317" xr:uid="{3CA4B4EC-FF01-4235-9B12-8AA59E44F1FD}"/>
    <cellStyle name="Percent 5 2 4 4" xfId="39143" xr:uid="{A45CD405-BC8A-4357-A9BD-BCB3DC2EE36D}"/>
    <cellStyle name="Percent 5 2 5" xfId="10625" xr:uid="{00000000-0005-0000-0000-000061210000}"/>
    <cellStyle name="Percent 5 2 5 2" xfId="18248" xr:uid="{E97506FA-C4C6-40DF-AD27-51E4FD15C790}"/>
    <cellStyle name="Percent 5 2 5 3" xfId="43114" xr:uid="{8EAEDBCD-F685-4117-9DF5-9D6D0CF3725B}"/>
    <cellStyle name="Percent 5 2 6" xfId="8495" xr:uid="{00000000-0005-0000-0000-000042100000}"/>
    <cellStyle name="Percent 5 2 7" xfId="16411" xr:uid="{2DB567E6-1084-4309-8018-D44E3118A3DE}"/>
    <cellStyle name="Percent 5 2 8" xfId="39138" xr:uid="{5088948D-4AA1-4E8B-A51A-8E51CDF3D00F}"/>
    <cellStyle name="Percent 5 3" xfId="5565" xr:uid="{00000000-0005-0000-0000-00001E140000}"/>
    <cellStyle name="Percent 5 4" xfId="10624" xr:uid="{00000000-0005-0000-0000-000060210000}"/>
    <cellStyle name="Percent 5 4 2" xfId="43113" xr:uid="{0C1F7004-DD6C-45C0-AB67-B0A0F8A7FE19}"/>
    <cellStyle name="Percent 5 5" xfId="39137" xr:uid="{16C9CD24-9658-45D4-A44D-85D74AC684EB}"/>
    <cellStyle name="Percent 50" xfId="22867" xr:uid="{A5D13DC9-A73A-467D-BC30-22B40D01D627}"/>
    <cellStyle name="Percent 51" xfId="18953" xr:uid="{045960B4-3F3A-4166-9AB1-37D62063DDAE}"/>
    <cellStyle name="Percent 52" xfId="19693" xr:uid="{179849CD-DBED-4F5A-A338-4CD12163384F}"/>
    <cellStyle name="Percent 53" xfId="22309" xr:uid="{3644A46F-9FE2-45B9-B0EF-94080B8D568A}"/>
    <cellStyle name="Percent 54" xfId="13619" xr:uid="{5E307D60-7BC6-42F9-AD5E-1E0667525E22}"/>
    <cellStyle name="Percent 55" xfId="39548" xr:uid="{11A2A0EE-45FE-44BD-B561-A253527EED26}"/>
    <cellStyle name="Percent 56" xfId="39551" xr:uid="{8AD4DDFF-220A-4FF7-B705-8A6BB2BD7DCD}"/>
    <cellStyle name="Percent 57" xfId="48602" xr:uid="{3AFD92D2-2A83-44EF-9BFD-7E0D44E3A82E}"/>
    <cellStyle name="Percent 58" xfId="46155" xr:uid="{AE59FE34-20F0-41EE-9070-BF73E74D2399}"/>
    <cellStyle name="Percent 59" xfId="47745" xr:uid="{DC52A209-20BE-47B6-A3C1-957F04736389}"/>
    <cellStyle name="Percent 6" xfId="5111" xr:uid="{00000000-0005-0000-0000-00001F140000}"/>
    <cellStyle name="Percent 6 2" xfId="5112" xr:uid="{00000000-0005-0000-0000-000020140000}"/>
    <cellStyle name="Percent 6 2 2" xfId="5113" xr:uid="{00000000-0005-0000-0000-000021140000}"/>
    <cellStyle name="Percent 6 2 2 2" xfId="5114" xr:uid="{00000000-0005-0000-0000-000022140000}"/>
    <cellStyle name="Percent 6 2 2 2 2" xfId="10634" xr:uid="{00000000-0005-0000-0000-00006A210000}"/>
    <cellStyle name="Percent 6 2 2 2 2 2" xfId="18473" xr:uid="{15C93CEA-E601-43F9-A6E7-D2839BED1100}"/>
    <cellStyle name="Percent 6 2 2 2 2 3" xfId="17772" xr:uid="{BEA422B3-5F8F-418C-829F-F241196AF607}"/>
    <cellStyle name="Percent 6 2 2 2 2 4" xfId="43123" xr:uid="{F175A0A3-4B6B-4D93-B746-14BA11B501B9}"/>
    <cellStyle name="Percent 6 2 2 2 3" xfId="8505" xr:uid="{00000000-0005-0000-0000-000049100000}"/>
    <cellStyle name="Percent 6 2 2 2 3 2" xfId="18255" xr:uid="{DE5D1A59-7AB3-4B9D-8930-816385B5E0F4}"/>
    <cellStyle name="Percent 6 2 2 2 4" xfId="24592" xr:uid="{1A4C1BCC-F44E-4BEC-8531-3B75053A77E0}"/>
    <cellStyle name="Percent 6 2 2 2 5" xfId="16418" xr:uid="{E9BF901B-561E-4E45-8C74-25D0A68E0739}"/>
    <cellStyle name="Percent 6 2 2 2 6" xfId="39147" xr:uid="{0BE99D59-2194-4265-8DF4-4AC640941890}"/>
    <cellStyle name="Percent 6 2 2 3" xfId="10633" xr:uid="{00000000-0005-0000-0000-000069210000}"/>
    <cellStyle name="Percent 6 2 2 3 2" xfId="18522" xr:uid="{B08C4940-F26C-454F-B283-BE57F0BFAF2C}"/>
    <cellStyle name="Percent 6 2 2 3 3" xfId="17700" xr:uid="{158BDCBA-93DB-4F81-926B-2B3B8A0FE0CC}"/>
    <cellStyle name="Percent 6 2 2 3 4" xfId="43122" xr:uid="{13F09DC9-6EB8-405E-994B-8B6298D7AB0B}"/>
    <cellStyle name="Percent 6 2 2 4" xfId="8503" xr:uid="{00000000-0005-0000-0000-000048100000}"/>
    <cellStyle name="Percent 6 2 2 4 2" xfId="18254" xr:uid="{95B21E72-EA64-4272-AA6D-D8CB9142E628}"/>
    <cellStyle name="Percent 6 2 2 5" xfId="24551" xr:uid="{116B4F2A-DCED-435D-B919-FADFFE35BB92}"/>
    <cellStyle name="Percent 6 2 2 6" xfId="16417" xr:uid="{20CA35EA-1676-43A1-B2C2-9F7256E69CA6}"/>
    <cellStyle name="Percent 6 2 2 7" xfId="39146" xr:uid="{37EBE202-D807-4402-AF27-C4D4074EF7E1}"/>
    <cellStyle name="Percent 6 2 3" xfId="5115" xr:uid="{00000000-0005-0000-0000-000023140000}"/>
    <cellStyle name="Percent 6 2 3 2" xfId="10635" xr:uid="{00000000-0005-0000-0000-00006B210000}"/>
    <cellStyle name="Percent 6 2 3 2 2" xfId="18497" xr:uid="{B0847D19-42BE-4F16-B14A-DAA4B2483BD4}"/>
    <cellStyle name="Percent 6 2 3 2 3" xfId="17738" xr:uid="{16B5917C-0EEA-451A-8368-9551D4E9780F}"/>
    <cellStyle name="Percent 6 2 3 2 4" xfId="43124" xr:uid="{77822C1A-EDBB-478A-ADCE-E7DAB79AA1D2}"/>
    <cellStyle name="Percent 6 2 3 3" xfId="8507" xr:uid="{00000000-0005-0000-0000-00004A100000}"/>
    <cellStyle name="Percent 6 2 3 3 2" xfId="18256" xr:uid="{6202CDA3-FF1B-434C-84D2-D084A5EADD6C}"/>
    <cellStyle name="Percent 6 2 3 4" xfId="24572" xr:uid="{6D46E3F1-4CC6-41A0-9702-56548B0104EC}"/>
    <cellStyle name="Percent 6 2 3 5" xfId="16419" xr:uid="{B5E8629E-EB7C-4E54-873E-1A56C8AECBA3}"/>
    <cellStyle name="Percent 6 2 3 6" xfId="39148" xr:uid="{6C5C2424-FAB7-44AE-9ACA-5F957B54872A}"/>
    <cellStyle name="Percent 6 2 4" xfId="10632" xr:uid="{00000000-0005-0000-0000-000068210000}"/>
    <cellStyle name="Percent 6 2 4 2" xfId="17875" xr:uid="{D5993FB9-B46D-47A8-8FF0-28B577055210}"/>
    <cellStyle name="Percent 6 2 4 2 2" xfId="18403" xr:uid="{CDF5FE60-81A9-4803-8B9F-028EF546D3A9}"/>
    <cellStyle name="Percent 6 2 4 3" xfId="18578" xr:uid="{00FAD03E-AE0D-458E-A17F-76F2988DE683}"/>
    <cellStyle name="Percent 6 2 4 4" xfId="17616" xr:uid="{7E947975-EA11-41FA-8C90-8481C0934120}"/>
    <cellStyle name="Percent 6 2 4 5" xfId="43121" xr:uid="{A8090A86-6610-412F-9C92-1F9FCAD207E2}"/>
    <cellStyle name="Percent 6 2 5" xfId="8502" xr:uid="{00000000-0005-0000-0000-000047100000}"/>
    <cellStyle name="Percent 6 2 5 2" xfId="18555" xr:uid="{B99A29D8-CA8E-4EB7-B697-00328289C355}"/>
    <cellStyle name="Percent 6 2 5 3" xfId="17650" xr:uid="{F1FD3ABC-A964-4F7B-BBB8-4C64A6BB31C5}"/>
    <cellStyle name="Percent 6 2 6" xfId="18253" xr:uid="{D3B68EDF-0319-4233-9778-B74464E2C68B}"/>
    <cellStyle name="Percent 6 2 7" xfId="24513" xr:uid="{40DCCD4B-D356-4FF7-9E55-52D0A8880E82}"/>
    <cellStyle name="Percent 6 2 8" xfId="16416" xr:uid="{FE3248FE-460A-44AD-9AAA-9919B7DE56DB}"/>
    <cellStyle name="Percent 6 2 9" xfId="39145" xr:uid="{9B44D8E0-AFFD-4E43-BE1E-157F2C56F99F}"/>
    <cellStyle name="Percent 6 3" xfId="5116" xr:uid="{00000000-0005-0000-0000-000024140000}"/>
    <cellStyle name="Percent 6 3 2" xfId="5117" xr:uid="{00000000-0005-0000-0000-000025140000}"/>
    <cellStyle name="Percent 6 3 2 2" xfId="5118" xr:uid="{00000000-0005-0000-0000-000026140000}"/>
    <cellStyle name="Percent 6 3 2 2 2" xfId="10638" xr:uid="{00000000-0005-0000-0000-00006E210000}"/>
    <cellStyle name="Percent 6 3 2 2 2 2" xfId="43127" xr:uid="{72728523-5A7A-4AB1-8A97-F94B3B55313B}"/>
    <cellStyle name="Percent 6 3 2 2 3" xfId="8512" xr:uid="{00000000-0005-0000-0000-00004D100000}"/>
    <cellStyle name="Percent 6 3 2 2 3 2" xfId="41262" xr:uid="{7A41F410-3AD8-48E4-A7CB-72A4CEA20349}"/>
    <cellStyle name="Percent 6 3 2 2 4" xfId="16422" xr:uid="{3BDFA74E-5D64-4320-9810-E1B2B92FF5E2}"/>
    <cellStyle name="Percent 6 3 2 2 5" xfId="39151" xr:uid="{B5528E70-5AE6-41B4-AC43-391FE0CC5413}"/>
    <cellStyle name="Percent 6 3 2 3" xfId="10637" xr:uid="{00000000-0005-0000-0000-00006D210000}"/>
    <cellStyle name="Percent 6 3 2 3 2" xfId="43126" xr:uid="{8E399AB9-C243-4A86-8167-4A16020A66D2}"/>
    <cellStyle name="Percent 6 3 2 4" xfId="8510" xr:uid="{00000000-0005-0000-0000-00004C100000}"/>
    <cellStyle name="Percent 6 3 2 4 2" xfId="41260" xr:uid="{746DAC9A-8327-4BCD-B4F4-509DE4CC0E57}"/>
    <cellStyle name="Percent 6 3 2 5" xfId="16421" xr:uid="{F36F0437-7FC9-4A9E-80C4-C307CE146D2B}"/>
    <cellStyle name="Percent 6 3 2 6" xfId="39150" xr:uid="{47915BC3-7AF2-448A-AD21-E2F21AC74F23}"/>
    <cellStyle name="Percent 6 3 3" xfId="5119" xr:uid="{00000000-0005-0000-0000-000027140000}"/>
    <cellStyle name="Percent 6 3 3 2" xfId="10639" xr:uid="{00000000-0005-0000-0000-00006F210000}"/>
    <cellStyle name="Percent 6 3 3 2 2" xfId="43128" xr:uid="{B010370C-1651-4085-B779-D07C28C2A414}"/>
    <cellStyle name="Percent 6 3 3 3" xfId="8513" xr:uid="{00000000-0005-0000-0000-00004E100000}"/>
    <cellStyle name="Percent 6 3 3 3 2" xfId="41263" xr:uid="{50DBF84E-9F42-4C00-8FDA-577CAA828E5D}"/>
    <cellStyle name="Percent 6 3 3 4" xfId="16423" xr:uid="{F81258A8-3C53-4A74-A467-9286A7833CBE}"/>
    <cellStyle name="Percent 6 3 3 5" xfId="39152" xr:uid="{4BAAA47A-5E7F-4747-9249-1A34C5D63F75}"/>
    <cellStyle name="Percent 6 3 4" xfId="5120" xr:uid="{00000000-0005-0000-0000-000028140000}"/>
    <cellStyle name="Percent 6 3 4 2" xfId="10640" xr:uid="{00000000-0005-0000-0000-000070210000}"/>
    <cellStyle name="Percent 6 3 4 2 2" xfId="43129" xr:uid="{53CF3EC3-D4E7-4CAC-A3C2-B691CB286F01}"/>
    <cellStyle name="Percent 6 3 4 3" xfId="17320" xr:uid="{4F6D4716-5F12-4BB3-ACD7-F88D178DEF13}"/>
    <cellStyle name="Percent 6 3 4 4" xfId="39153" xr:uid="{EEF5AAFB-D60A-4286-8F8A-557DAA91E405}"/>
    <cellStyle name="Percent 6 3 5" xfId="10636" xr:uid="{00000000-0005-0000-0000-00006C210000}"/>
    <cellStyle name="Percent 6 3 5 2" xfId="18257" xr:uid="{2E4D4BC5-3224-47EE-96FB-13602C4CAA80}"/>
    <cellStyle name="Percent 6 3 5 3" xfId="43125" xr:uid="{C55DAAA3-540D-4CCA-97BE-0B4570E7C267}"/>
    <cellStyle name="Percent 6 3 6" xfId="8509" xr:uid="{00000000-0005-0000-0000-00004B100000}"/>
    <cellStyle name="Percent 6 3 7" xfId="16420" xr:uid="{E162A43D-EA0A-4CA8-9695-0F39AF7EE52D}"/>
    <cellStyle name="Percent 6 3 8" xfId="39149" xr:uid="{5815555A-005F-40C2-A62B-74EDE8E153C6}"/>
    <cellStyle name="Percent 6 4" xfId="5121" xr:uid="{00000000-0005-0000-0000-000029140000}"/>
    <cellStyle name="Percent 6 4 2" xfId="10641" xr:uid="{00000000-0005-0000-0000-000071210000}"/>
    <cellStyle name="Percent 6 4 2 2" xfId="43130" xr:uid="{DCA3DD0F-F62E-4BF7-9CDD-110860633E34}"/>
    <cellStyle name="Percent 6 4 3" xfId="8501" xr:uid="{00000000-0005-0000-0000-000046100000}"/>
    <cellStyle name="Percent 6 4 4" xfId="39154" xr:uid="{79BFB62F-B7BF-4266-8499-80E8FFC15F8E}"/>
    <cellStyle name="Percent 6 5" xfId="10631" xr:uid="{00000000-0005-0000-0000-000067210000}"/>
    <cellStyle name="Percent 6 5 2" xfId="18252" xr:uid="{F8679E6D-91B6-4CEC-9D06-612593A4F22D}"/>
    <cellStyle name="Percent 6 5 3" xfId="43120" xr:uid="{6E4799FB-6C61-4678-BE13-44FCD2BBDB8B}"/>
    <cellStyle name="Percent 6 6" xfId="12960" xr:uid="{00000000-0005-0000-0000-00000B000000}"/>
    <cellStyle name="Percent 6 6 2" xfId="45430" xr:uid="{B2B52B8E-9151-4581-AAFE-8067AB8B5535}"/>
    <cellStyle name="Percent 6 7" xfId="16415" xr:uid="{F47A835A-A5BA-4DB7-A7EB-FAD149A7E0E2}"/>
    <cellStyle name="Percent 6 8" xfId="39144" xr:uid="{453BFF4D-AD20-4B81-8497-4E11F158648B}"/>
    <cellStyle name="Percent 60" xfId="40321" xr:uid="{FBB52795-666E-4EE3-803E-332B7C33BEED}"/>
    <cellStyle name="Percent 61" xfId="15095" xr:uid="{76E5D1BB-B5BE-494E-9FD5-7606B3E8762B}"/>
    <cellStyle name="Percent 62" xfId="40319" xr:uid="{03743174-9F3C-4C7A-B46F-E8C5541D46C5}"/>
    <cellStyle name="Percent 7" xfId="5122" xr:uid="{00000000-0005-0000-0000-00002A140000}"/>
    <cellStyle name="Percent 7 2" xfId="5123" xr:uid="{00000000-0005-0000-0000-00002B140000}"/>
    <cellStyle name="Percent 7 2 2" xfId="5124" xr:uid="{00000000-0005-0000-0000-00002C140000}"/>
    <cellStyle name="Percent 7 2 2 2" xfId="5125" xr:uid="{00000000-0005-0000-0000-00002D140000}"/>
    <cellStyle name="Percent 7 2 2 2 2" xfId="10645" xr:uid="{00000000-0005-0000-0000-000075210000}"/>
    <cellStyle name="Percent 7 2 2 2 2 2" xfId="18261" xr:uid="{E23D157E-9C83-415F-B158-699D680C2604}"/>
    <cellStyle name="Percent 7 2 2 2 2 3" xfId="43134" xr:uid="{F185373B-30B1-4FE2-943E-80FA27A351FA}"/>
    <cellStyle name="Percent 7 2 2 2 3" xfId="8522" xr:uid="{00000000-0005-0000-0000-000052100000}"/>
    <cellStyle name="Percent 7 2 2 2 3 2" xfId="24684" xr:uid="{7E8D7C34-670D-4581-A070-BF8600ABFBD1}"/>
    <cellStyle name="Percent 7 2 2 2 4" xfId="16427" xr:uid="{6F1F3EEA-AAE6-4F1C-AA77-7699AF775598}"/>
    <cellStyle name="Percent 7 2 2 2 5" xfId="39158" xr:uid="{49D6841E-C802-4C7F-B042-D37CC8363EB9}"/>
    <cellStyle name="Percent 7 2 2 3" xfId="10644" xr:uid="{00000000-0005-0000-0000-000074210000}"/>
    <cellStyle name="Percent 7 2 2 3 2" xfId="18260" xr:uid="{81F8A2E9-109C-4311-8CFC-3A44CB7F352C}"/>
    <cellStyle name="Percent 7 2 2 3 3" xfId="43133" xr:uid="{3034CBFF-73B7-4D8D-8D4D-D31120AEFAC0}"/>
    <cellStyle name="Percent 7 2 2 4" xfId="8517" xr:uid="{00000000-0005-0000-0000-000051100000}"/>
    <cellStyle name="Percent 7 2 2 4 2" xfId="24593" xr:uid="{33461138-5E1B-4130-839C-A156EA04777E}"/>
    <cellStyle name="Percent 7 2 2 5" xfId="16426" xr:uid="{29A66F17-625F-403B-B4F9-45B58444D419}"/>
    <cellStyle name="Percent 7 2 2 6" xfId="39157" xr:uid="{B94AB736-C75B-4B88-AA04-AF27E8C88CD5}"/>
    <cellStyle name="Percent 7 2 3" xfId="5126" xr:uid="{00000000-0005-0000-0000-00002E140000}"/>
    <cellStyle name="Percent 7 2 3 2" xfId="10646" xr:uid="{00000000-0005-0000-0000-000076210000}"/>
    <cellStyle name="Percent 7 2 3 2 2" xfId="18262" xr:uid="{068DFC95-4C61-4E79-A8DF-4E8FE0939E28}"/>
    <cellStyle name="Percent 7 2 3 2 3" xfId="43135" xr:uid="{A4352094-AF6E-4D90-A3D6-43E0A97FF44E}"/>
    <cellStyle name="Percent 7 2 3 3" xfId="8523" xr:uid="{00000000-0005-0000-0000-000053100000}"/>
    <cellStyle name="Percent 7 2 3 3 2" xfId="24661" xr:uid="{5E2F5708-28E7-4D2B-91E2-205EADCC9F18}"/>
    <cellStyle name="Percent 7 2 3 4" xfId="16428" xr:uid="{E02AD5D2-90BB-4AC1-A9F4-63DBE0ED1CFD}"/>
    <cellStyle name="Percent 7 2 3 5" xfId="39159" xr:uid="{8DF573AC-B166-4319-8CAF-F60B784F198A}"/>
    <cellStyle name="Percent 7 2 4" xfId="10643" xr:uid="{00000000-0005-0000-0000-000073210000}"/>
    <cellStyle name="Percent 7 2 4 2" xfId="18259" xr:uid="{CD1B34B1-696F-40C4-A96D-780BC73D7326}"/>
    <cellStyle name="Percent 7 2 4 3" xfId="43132" xr:uid="{B79166EA-BA85-4971-9B70-A50238F7158C}"/>
    <cellStyle name="Percent 7 2 5" xfId="8516" xr:uid="{00000000-0005-0000-0000-000050100000}"/>
    <cellStyle name="Percent 7 2 5 2" xfId="24552" xr:uid="{0CD32901-419F-4F25-950C-89B970504263}"/>
    <cellStyle name="Percent 7 2 6" xfId="16425" xr:uid="{8A099388-BEB4-4ED5-ABDD-746385ACCA44}"/>
    <cellStyle name="Percent 7 2 7" xfId="39156" xr:uid="{712F73C6-E24C-4B0A-A782-4B8EA42B6B1F}"/>
    <cellStyle name="Percent 7 3" xfId="5127" xr:uid="{00000000-0005-0000-0000-00002F140000}"/>
    <cellStyle name="Percent 7 3 2" xfId="5128" xr:uid="{00000000-0005-0000-0000-000030140000}"/>
    <cellStyle name="Percent 7 3 2 2" xfId="10648" xr:uid="{00000000-0005-0000-0000-000078210000}"/>
    <cellStyle name="Percent 7 3 2 2 2" xfId="18264" xr:uid="{AED55228-9E56-427A-AB5C-904BD32956BB}"/>
    <cellStyle name="Percent 7 3 2 2 3" xfId="43137" xr:uid="{1124858E-95C0-4231-A1B8-002FC355F971}"/>
    <cellStyle name="Percent 7 3 2 3" xfId="8527" xr:uid="{00000000-0005-0000-0000-000055100000}"/>
    <cellStyle name="Percent 7 3 2 3 2" xfId="24673" xr:uid="{CB61D4F3-EE40-4491-BE89-013BE3A24375}"/>
    <cellStyle name="Percent 7 3 2 4" xfId="16430" xr:uid="{994754CE-F838-4772-9991-FB54D8076919}"/>
    <cellStyle name="Percent 7 3 2 5" xfId="39161" xr:uid="{62E86A61-14CD-4454-B19D-F80E6013B49F}"/>
    <cellStyle name="Percent 7 3 3" xfId="10647" xr:uid="{00000000-0005-0000-0000-000077210000}"/>
    <cellStyle name="Percent 7 3 3 2" xfId="18263" xr:uid="{0F693AEB-344A-4765-A47F-730373CA6F36}"/>
    <cellStyle name="Percent 7 3 3 3" xfId="43136" xr:uid="{CCB55153-2517-468B-8F16-A6D77BF87A2A}"/>
    <cellStyle name="Percent 7 3 4" xfId="8524" xr:uid="{00000000-0005-0000-0000-000054100000}"/>
    <cellStyle name="Percent 7 3 4 2" xfId="24573" xr:uid="{2EED4BD8-4CBD-4412-A174-8D217F00D9E2}"/>
    <cellStyle name="Percent 7 3 5" xfId="16429" xr:uid="{F471CBE8-8652-4762-9F71-3B7EECDF2A58}"/>
    <cellStyle name="Percent 7 3 6" xfId="39160" xr:uid="{287C83BE-B073-48AA-886F-5E7F0DE46153}"/>
    <cellStyle name="Percent 7 4" xfId="5129" xr:uid="{00000000-0005-0000-0000-000031140000}"/>
    <cellStyle name="Percent 7 4 2" xfId="10649" xr:uid="{00000000-0005-0000-0000-000079210000}"/>
    <cellStyle name="Percent 7 4 2 2" xfId="18402" xr:uid="{6AF705D9-AF48-4F90-BFA8-A5DAB96CF787}"/>
    <cellStyle name="Percent 7 4 2 3" xfId="17876" xr:uid="{FF54EEAD-9D6C-4A8D-9318-1F595C36046C}"/>
    <cellStyle name="Percent 7 4 2 4" xfId="43138" xr:uid="{B83C35DB-2F30-437D-8BBB-82D9C6DE6C57}"/>
    <cellStyle name="Percent 7 4 3" xfId="8529" xr:uid="{00000000-0005-0000-0000-000056100000}"/>
    <cellStyle name="Percent 7 4 3 2" xfId="18265" xr:uid="{29B85411-4E6E-49F8-91C3-DA15BDEFBC70}"/>
    <cellStyle name="Percent 7 4 4" xfId="24631" xr:uid="{DFB77C89-2169-4D82-9F40-26024D8FC810}"/>
    <cellStyle name="Percent 7 4 5" xfId="16431" xr:uid="{694DDA32-BBD2-4018-A8B4-964F644EEFE4}"/>
    <cellStyle name="Percent 7 4 6" xfId="39162" xr:uid="{6FFC5D6F-ADDE-45B9-BE0B-AE6C6627B058}"/>
    <cellStyle name="Percent 7 5" xfId="10642" xr:uid="{00000000-0005-0000-0000-000072210000}"/>
    <cellStyle name="Percent 7 5 2" xfId="18554" xr:uid="{BC5D2868-E1F3-4C4F-A71C-8C544E9B53DD}"/>
    <cellStyle name="Percent 7 5 3" xfId="17651" xr:uid="{E6875829-7FF0-4D51-B447-25F9899A1DC4}"/>
    <cellStyle name="Percent 7 5 4" xfId="43131" xr:uid="{1B0C2407-016A-4D30-90CF-5794C4F7884E}"/>
    <cellStyle name="Percent 7 6" xfId="8514" xr:uid="{00000000-0005-0000-0000-00004F100000}"/>
    <cellStyle name="Percent 7 6 2" xfId="18258" xr:uid="{7AB38CE9-0188-459E-BB53-E316411721E0}"/>
    <cellStyle name="Percent 7 7" xfId="24515" xr:uid="{583DB4B6-8177-4C0F-BAF4-0704DCEA451C}"/>
    <cellStyle name="Percent 7 8" xfId="16424" xr:uid="{316B74EA-1E10-40FA-A1AA-9C825BEA819F}"/>
    <cellStyle name="Percent 7 9" xfId="39155" xr:uid="{4CFF3135-FD60-475D-9FCC-F11FFC45727F}"/>
    <cellStyle name="Percent 8" xfId="5130" xr:uid="{00000000-0005-0000-0000-000032140000}"/>
    <cellStyle name="Percent 8 2" xfId="10650" xr:uid="{00000000-0005-0000-0000-00007A210000}"/>
    <cellStyle name="Percent 8 2 2" xfId="17503" xr:uid="{573716BA-5558-493B-B23E-3DB16E8B24B9}"/>
    <cellStyle name="Percent 8 2 2 2" xfId="17773" xr:uid="{4FFB1CB7-C53C-4C3B-B7EB-A805DFBD0602}"/>
    <cellStyle name="Percent 8 2 2 2 2" xfId="18472" xr:uid="{37EC3BD0-464F-49D4-85CC-8457B374326B}"/>
    <cellStyle name="Percent 8 2 2 3" xfId="18645" xr:uid="{E2322086-915C-4295-8783-ED6C5165BE08}"/>
    <cellStyle name="Percent 8 2 3" xfId="17701" xr:uid="{627A1A73-B004-4092-9D04-45601E41450E}"/>
    <cellStyle name="Percent 8 2 3 2" xfId="18521" xr:uid="{B1A3E6F1-1D1C-41ED-B391-8AB7C2E07600}"/>
    <cellStyle name="Percent 8 2 4" xfId="18704" xr:uid="{CF97582E-30FA-4B2F-BCFB-49AC4F8E2091}"/>
    <cellStyle name="Percent 8 2 5" xfId="17439" xr:uid="{6F1C919C-B34D-466E-A051-397D56466A93}"/>
    <cellStyle name="Percent 8 2 6" xfId="43139" xr:uid="{5A5B23F8-CDB3-491C-9E9C-A18FC5B23537}"/>
    <cellStyle name="Percent 8 3" xfId="8533" xr:uid="{00000000-0005-0000-0000-000057100000}"/>
    <cellStyle name="Percent 8 3 2" xfId="17739" xr:uid="{1A1F379C-0545-4937-A7B7-9A4210D78B75}"/>
    <cellStyle name="Percent 8 3 2 2" xfId="18496" xr:uid="{B267BB64-E226-4967-8472-08AB314966E7}"/>
    <cellStyle name="Percent 8 3 3" xfId="18668" xr:uid="{213793C8-B2F5-4FAF-8629-5178C79B018F}"/>
    <cellStyle name="Percent 8 3 4" xfId="17474" xr:uid="{5686B051-3B03-4ED6-9FF1-203F2904B812}"/>
    <cellStyle name="Percent 8 4" xfId="17617" xr:uid="{EB0C0790-CA39-49D0-B978-B22F546B39E7}"/>
    <cellStyle name="Percent 8 4 2" xfId="17877" xr:uid="{28EEF277-C3AA-4856-A2FD-A06DF67A847B}"/>
    <cellStyle name="Percent 8 4 2 2" xfId="18401" xr:uid="{BCC56571-1A8F-47CA-AFAA-D70185011564}"/>
    <cellStyle name="Percent 8 4 3" xfId="18577" xr:uid="{D5AFCC48-B79E-4DD4-A82C-A52EDFBC67BE}"/>
    <cellStyle name="Percent 8 5" xfId="17652" xr:uid="{10EED6BD-E0E4-48C3-A992-2CDBD07B7320}"/>
    <cellStyle name="Percent 8 5 2" xfId="18553" xr:uid="{2A6A9387-A144-40FD-B727-8C326486FCCE}"/>
    <cellStyle name="Percent 8 6" xfId="18266" xr:uid="{3DA5229F-F5D8-41B7-9823-CB0CD55568A8}"/>
    <cellStyle name="Percent 8 7" xfId="24516" xr:uid="{3DDA2658-1513-479B-A4D6-A3B74B08ED7B}"/>
    <cellStyle name="Percent 8 8" xfId="16432" xr:uid="{8F2C3797-9B98-4764-986B-A0AAF9D30F8A}"/>
    <cellStyle name="Percent 8 9" xfId="39163" xr:uid="{CB27C2BD-91F3-4944-B1C2-2E408F3595F1}"/>
    <cellStyle name="Percent 9" xfId="5131" xr:uid="{00000000-0005-0000-0000-000033140000}"/>
    <cellStyle name="Percent 9 2" xfId="10651" xr:uid="{00000000-0005-0000-0000-00007B210000}"/>
    <cellStyle name="Percent 9 2 2" xfId="17515" xr:uid="{177B6FC3-A83A-4E5C-8F2F-8F8C36074DE2}"/>
    <cellStyle name="Percent 9 2 2 2" xfId="17785" xr:uid="{BA8B3683-8497-4C65-BEF0-7C5068AD75BB}"/>
    <cellStyle name="Percent 9 2 2 2 2" xfId="18470" xr:uid="{FE717896-B2D5-415B-910C-9CDADD83D021}"/>
    <cellStyle name="Percent 9 2 2 3" xfId="18642" xr:uid="{AA6B31F1-5DE9-4422-B6EE-FEDA25E96A93}"/>
    <cellStyle name="Percent 9 2 3" xfId="17716" xr:uid="{CAF78FD5-C18D-486E-A1D5-5CBCE0E369D4}"/>
    <cellStyle name="Percent 9 2 3 2" xfId="18517" xr:uid="{550CF59B-83FE-416A-A91B-D9E85852CC80}"/>
    <cellStyle name="Percent 9 2 4" xfId="18691" xr:uid="{ADB9D2CD-5746-4CDF-8BFA-D35C298EDE21}"/>
    <cellStyle name="Percent 9 2 5" xfId="17451" xr:uid="{790D64A8-C2E6-4348-9528-0214A17782AE}"/>
    <cellStyle name="Percent 9 2 6" xfId="43140" xr:uid="{ED2CA404-9E7F-4D41-B96C-68C1FCE313DA}"/>
    <cellStyle name="Percent 9 3" xfId="8535" xr:uid="{00000000-0005-0000-0000-000058100000}"/>
    <cellStyle name="Percent 9 3 2" xfId="17750" xr:uid="{12738861-75D1-4C69-99BF-2E586A281FEC}"/>
    <cellStyle name="Percent 9 3 2 2" xfId="18493" xr:uid="{B1740B33-0475-41C9-8BCA-799CBE890868}"/>
    <cellStyle name="Percent 9 3 3" xfId="18663" xr:uid="{B194E73E-6398-45B6-B3F3-DE46FD4F9524}"/>
    <cellStyle name="Percent 9 3 4" xfId="17483" xr:uid="{9BBD98A8-020C-4A52-BC03-067963DA6098}"/>
    <cellStyle name="Percent 9 4" xfId="17583" xr:uid="{46BD9866-6145-43C9-8B7F-1DAD475D37BB}"/>
    <cellStyle name="Percent 9 4 2" xfId="17854" xr:uid="{6CF6F8B0-5295-4741-B567-EEEA19B25EA0}"/>
    <cellStyle name="Percent 9 4 2 2" xfId="18420" xr:uid="{63F97BB0-DB24-4371-AAA0-609AD4529E79}"/>
    <cellStyle name="Percent 9 4 3" xfId="18599" xr:uid="{2E97CFB7-E3CC-4437-8DF8-6BE09DD5CF0A}"/>
    <cellStyle name="Percent 9 5" xfId="17664" xr:uid="{8ACF757D-1C7F-41BA-9E52-6A1AF3EE6FFC}"/>
    <cellStyle name="Percent 9 5 2" xfId="18551" xr:uid="{A54FE6D7-0353-4AE0-BB38-E5338FBA61F1}"/>
    <cellStyle name="Percent 9 6" xfId="18267" xr:uid="{43145AF6-EBCE-41F6-8626-E6FBC4287091}"/>
    <cellStyle name="Percent 9 7" xfId="24528" xr:uid="{C7AE2C29-5AD9-44DE-ACE9-B281604F2DC7}"/>
    <cellStyle name="Percent 9 8" xfId="16433" xr:uid="{3D731E1F-AE20-4E7C-B22C-289FB6165CCD}"/>
    <cellStyle name="Percent 9 9" xfId="39164" xr:uid="{DB5C75B5-368D-454A-A711-A671FD3BF368}"/>
    <cellStyle name="Percent Hard" xfId="5132" xr:uid="{00000000-0005-0000-0000-000034140000}"/>
    <cellStyle name="Percent Hard 2" xfId="10652" xr:uid="{00000000-0005-0000-0000-00007C210000}"/>
    <cellStyle name="Percent Hard 2 2" xfId="43141" xr:uid="{AFE2A3A9-A377-4DD4-AB44-907FED2D9A91}"/>
    <cellStyle name="Percent Hard 3" xfId="8536" xr:uid="{00000000-0005-0000-0000-000059100000}"/>
    <cellStyle name="Percent Hard 4" xfId="39165" xr:uid="{8B281F0B-CFB3-4735-A9D8-A8D2E04A6FA9}"/>
    <cellStyle name="percentage" xfId="5133" xr:uid="{00000000-0005-0000-0000-000035140000}"/>
    <cellStyle name="percentage 2" xfId="10653" xr:uid="{00000000-0005-0000-0000-00007D210000}"/>
    <cellStyle name="percentage 2 2" xfId="43142" xr:uid="{27FDC36A-732B-40BC-8E49-91FF27C338E9}"/>
    <cellStyle name="percentage 3" xfId="8537" xr:uid="{00000000-0005-0000-0000-00005A100000}"/>
    <cellStyle name="percentage 4" xfId="39166" xr:uid="{B2BA7894-75C7-4E0A-BFDC-4DA4AD2DCB43}"/>
    <cellStyle name="PercentChange" xfId="5134" xr:uid="{00000000-0005-0000-0000-000036140000}"/>
    <cellStyle name="PercentChange 2" xfId="10654" xr:uid="{00000000-0005-0000-0000-00007E210000}"/>
    <cellStyle name="PercentChange 2 2" xfId="43143" xr:uid="{C2EF247B-9C55-4C2B-A00F-95F87D29CA72}"/>
    <cellStyle name="PercentChange 3" xfId="8538" xr:uid="{00000000-0005-0000-0000-00005B100000}"/>
    <cellStyle name="PercentChange 4" xfId="39167" xr:uid="{DF4C7CC0-EA9C-4868-B86A-B2637AF7DD95}"/>
    <cellStyle name="PLAN1" xfId="5135" xr:uid="{00000000-0005-0000-0000-000037140000}"/>
    <cellStyle name="PLAN1 2" xfId="10655" xr:uid="{00000000-0005-0000-0000-00007F210000}"/>
    <cellStyle name="PLAN1 2 2" xfId="43144" xr:uid="{0C3A2C57-429C-42FA-B0F5-E29516005362}"/>
    <cellStyle name="PLAN1 3" xfId="8540" xr:uid="{00000000-0005-0000-0000-00005C100000}"/>
    <cellStyle name="PLAN1 4" xfId="39168" xr:uid="{546FAF37-0AC1-4B06-8F84-9D146B57F666}"/>
    <cellStyle name="Porcentaje" xfId="5136" xr:uid="{00000000-0005-0000-0000-000038140000}"/>
    <cellStyle name="Porcentaje 2" xfId="10656" xr:uid="{00000000-0005-0000-0000-000080210000}"/>
    <cellStyle name="Porcentaje 2 2" xfId="43145" xr:uid="{F25E0A6C-DDB1-419E-BC2B-F560946D513A}"/>
    <cellStyle name="Porcentaje 3" xfId="8541" xr:uid="{00000000-0005-0000-0000-00005D100000}"/>
    <cellStyle name="Porcentaje 4" xfId="39169" xr:uid="{C095B065-EB49-4A8B-8343-8679F4F5A870}"/>
    <cellStyle name="Pourcentage_Profit &amp; Loss" xfId="5137" xr:uid="{00000000-0005-0000-0000-000039140000}"/>
    <cellStyle name="PrePop Currency (0)" xfId="5138" xr:uid="{00000000-0005-0000-0000-00003A140000}"/>
    <cellStyle name="PrePop Currency (0) 2" xfId="10657" xr:uid="{00000000-0005-0000-0000-000082210000}"/>
    <cellStyle name="PrePop Currency (0) 2 2" xfId="43146" xr:uid="{6020A697-3132-42A3-94FD-35E1F917A57E}"/>
    <cellStyle name="PrePop Currency (0) 3" xfId="8544" xr:uid="{00000000-0005-0000-0000-00005F100000}"/>
    <cellStyle name="PrePop Currency (0) 4" xfId="39170" xr:uid="{65ADDBD9-55D3-4D06-9E46-FBD2FD15A14E}"/>
    <cellStyle name="PrePop Currency (2)" xfId="5139" xr:uid="{00000000-0005-0000-0000-00003B140000}"/>
    <cellStyle name="PrePop Currency (2) 2" xfId="10658" xr:uid="{00000000-0005-0000-0000-000083210000}"/>
    <cellStyle name="PrePop Currency (2) 2 2" xfId="43147" xr:uid="{52681505-3ACB-4052-BD7B-28D824AB2BDC}"/>
    <cellStyle name="PrePop Currency (2) 3" xfId="8546" xr:uid="{00000000-0005-0000-0000-000060100000}"/>
    <cellStyle name="PrePop Currency (2) 4" xfId="39171" xr:uid="{A16C896D-C729-4861-B785-24C3C21A9024}"/>
    <cellStyle name="PrePop Units (0)" xfId="5140" xr:uid="{00000000-0005-0000-0000-00003C140000}"/>
    <cellStyle name="PrePop Units (0) 2" xfId="10659" xr:uid="{00000000-0005-0000-0000-000084210000}"/>
    <cellStyle name="PrePop Units (0) 2 2" xfId="43148" xr:uid="{8CE03E90-E638-474C-A1F8-D809855816B6}"/>
    <cellStyle name="PrePop Units (0) 3" xfId="8548" xr:uid="{00000000-0005-0000-0000-000061100000}"/>
    <cellStyle name="PrePop Units (0) 4" xfId="39172" xr:uid="{5C19A7E4-2B7D-42DD-A2DA-B92C386C13CE}"/>
    <cellStyle name="PrePop Units (1)" xfId="5141" xr:uid="{00000000-0005-0000-0000-00003D140000}"/>
    <cellStyle name="PrePop Units (1) 2" xfId="10660" xr:uid="{00000000-0005-0000-0000-000085210000}"/>
    <cellStyle name="PrePop Units (1) 2 2" xfId="43149" xr:uid="{58D66A09-D926-4437-B1BD-A7D37A5FB4FE}"/>
    <cellStyle name="PrePop Units (1) 3" xfId="8549" xr:uid="{00000000-0005-0000-0000-000062100000}"/>
    <cellStyle name="PrePop Units (1) 4" xfId="39173" xr:uid="{F2CD8F3A-0F00-46C4-8204-76633CB0BFE5}"/>
    <cellStyle name="PrePop Units (2)" xfId="5142" xr:uid="{00000000-0005-0000-0000-00003E140000}"/>
    <cellStyle name="PrePop Units (2) 2" xfId="10661" xr:uid="{00000000-0005-0000-0000-000086210000}"/>
    <cellStyle name="PrePop Units (2) 2 2" xfId="43150" xr:uid="{3580B425-C20E-4D79-A85C-0C26B8DC79D0}"/>
    <cellStyle name="PrePop Units (2) 3" xfId="8550" xr:uid="{00000000-0005-0000-0000-000063100000}"/>
    <cellStyle name="PrePop Units (2) 4" xfId="39174" xr:uid="{913FF740-A72A-4BF6-AD6F-52F905859426}"/>
    <cellStyle name="Procenten" xfId="5143" xr:uid="{00000000-0005-0000-0000-00003F140000}"/>
    <cellStyle name="Procenten 2" xfId="10662" xr:uid="{00000000-0005-0000-0000-000087210000}"/>
    <cellStyle name="Procenten 2 2" xfId="43151" xr:uid="{80AB440D-FC26-438C-9D98-764DAAF83F51}"/>
    <cellStyle name="Procenten 3" xfId="8555" xr:uid="{00000000-0005-0000-0000-000064100000}"/>
    <cellStyle name="Procenten 4" xfId="39175" xr:uid="{0E76B696-9D75-47EC-97F0-831E42F6CC71}"/>
    <cellStyle name="Procenten estimate" xfId="5144" xr:uid="{00000000-0005-0000-0000-000040140000}"/>
    <cellStyle name="Procenten estimate 2" xfId="10663" xr:uid="{00000000-0005-0000-0000-000088210000}"/>
    <cellStyle name="Procenten estimate 2 2" xfId="43152" xr:uid="{C43187D9-4A6D-47B2-B1E0-29467CC46E60}"/>
    <cellStyle name="Procenten estimate 3" xfId="8556" xr:uid="{00000000-0005-0000-0000-000065100000}"/>
    <cellStyle name="Procenten estimate 4" xfId="39176" xr:uid="{2D2A8C7B-E272-431C-A6BD-B72CBAE7484D}"/>
    <cellStyle name="Procenten_EMI" xfId="5145" xr:uid="{00000000-0005-0000-0000-000041140000}"/>
    <cellStyle name="Profit figure" xfId="5146" xr:uid="{00000000-0005-0000-0000-000042140000}"/>
    <cellStyle name="Profit figure 2" xfId="10664" xr:uid="{00000000-0005-0000-0000-00008A210000}"/>
    <cellStyle name="Profit figure 2 2" xfId="43153" xr:uid="{D75F91DA-3D9E-447A-824A-068DBEA6C480}"/>
    <cellStyle name="Profit figure 3" xfId="8558" xr:uid="{00000000-0005-0000-0000-000067100000}"/>
    <cellStyle name="Profit figure 4" xfId="39177" xr:uid="{5AA2D69C-4A9E-4EAF-944C-E5FF5C984711}"/>
    <cellStyle name="Protected" xfId="5147" xr:uid="{00000000-0005-0000-0000-000043140000}"/>
    <cellStyle name="Protected 2" xfId="10665" xr:uid="{00000000-0005-0000-0000-00008B210000}"/>
    <cellStyle name="Protected 2 2" xfId="43154" xr:uid="{8F86866F-8D45-451A-AC45-1A810174C762}"/>
    <cellStyle name="Protected 3" xfId="8560" xr:uid="{00000000-0005-0000-0000-000068100000}"/>
    <cellStyle name="Protected 4" xfId="39178" xr:uid="{DAEBA9C7-28CC-480B-9489-BDBCC575B024}"/>
    <cellStyle name="ProtectedDates" xfId="5148" xr:uid="{00000000-0005-0000-0000-000044140000}"/>
    <cellStyle name="ProtectedDates 2" xfId="10666" xr:uid="{00000000-0005-0000-0000-00008C210000}"/>
    <cellStyle name="ProtectedDates 2 2" xfId="43155" xr:uid="{9D1D5CB9-C43C-40EE-BBF4-D38FABEF694A}"/>
    <cellStyle name="ProtectedDates 3" xfId="8563" xr:uid="{00000000-0005-0000-0000-000069100000}"/>
    <cellStyle name="ProtectedDates 4" xfId="39179" xr:uid="{E2ECD287-D6C6-4CDB-94CB-8A488C7DF14A}"/>
    <cellStyle name="PSChar" xfId="5149" xr:uid="{00000000-0005-0000-0000-000045140000}"/>
    <cellStyle name="PSChar 2" xfId="10667" xr:uid="{00000000-0005-0000-0000-00008D210000}"/>
    <cellStyle name="PSChar 2 2" xfId="43156" xr:uid="{1439B3F4-EDB1-4FCA-BF86-A6D0AD0C0E19}"/>
    <cellStyle name="PSChar 3" xfId="8565" xr:uid="{00000000-0005-0000-0000-00006A100000}"/>
    <cellStyle name="PSChar 4" xfId="39180" xr:uid="{9D377943-A3E2-457D-A04C-B60570055AC1}"/>
    <cellStyle name="PSDate" xfId="5150" xr:uid="{00000000-0005-0000-0000-000046140000}"/>
    <cellStyle name="PSDate 2" xfId="10668" xr:uid="{00000000-0005-0000-0000-00008E210000}"/>
    <cellStyle name="PSDate 2 2" xfId="43157" xr:uid="{0064F0A2-C83A-4831-B384-DE7BFDE02436}"/>
    <cellStyle name="PSDate 3" xfId="8567" xr:uid="{00000000-0005-0000-0000-00006B100000}"/>
    <cellStyle name="PSDate 4" xfId="39181" xr:uid="{87C2F734-6E29-4D88-BC1E-4A18CD754B1B}"/>
    <cellStyle name="PSDec" xfId="5151" xr:uid="{00000000-0005-0000-0000-000047140000}"/>
    <cellStyle name="PSDec 2" xfId="10669" xr:uid="{00000000-0005-0000-0000-00008F210000}"/>
    <cellStyle name="PSDec 2 2" xfId="43158" xr:uid="{670FB616-4625-439D-B8E8-F03F96087D64}"/>
    <cellStyle name="PSDec 3" xfId="8569" xr:uid="{00000000-0005-0000-0000-00006C100000}"/>
    <cellStyle name="PSDec 4" xfId="39182" xr:uid="{B6669F46-6F29-40AF-94EF-8B92EFC441D2}"/>
    <cellStyle name="PSHeading" xfId="5152" xr:uid="{00000000-0005-0000-0000-000048140000}"/>
    <cellStyle name="PSHeading 2" xfId="10670" xr:uid="{00000000-0005-0000-0000-000090210000}"/>
    <cellStyle name="PSHeading 2 2" xfId="9310" xr:uid="{00000000-0005-0000-0000-00006D100000}"/>
    <cellStyle name="PSHeading 2 3" xfId="43159" xr:uid="{3A0CDCE2-7CBA-4066-8765-57C99DE7C5DB}"/>
    <cellStyle name="PSHeading 3" xfId="8571" xr:uid="{00000000-0005-0000-0000-00006D100000}"/>
    <cellStyle name="PSHeading 4" xfId="39183" xr:uid="{80C3C16B-DBB0-4E6A-B1D1-6A7A45537524}"/>
    <cellStyle name="PSInt" xfId="5153" xr:uid="{00000000-0005-0000-0000-000049140000}"/>
    <cellStyle name="PSInt 2" xfId="10671" xr:uid="{00000000-0005-0000-0000-000091210000}"/>
    <cellStyle name="PSInt 2 2" xfId="43160" xr:uid="{E4861E1C-B71B-4F3C-8E77-16F3108B10A3}"/>
    <cellStyle name="PSInt 3" xfId="8576" xr:uid="{00000000-0005-0000-0000-00006E100000}"/>
    <cellStyle name="PSInt 4" xfId="39184" xr:uid="{EA263E07-4AAE-46A6-B735-B1768EC77F57}"/>
    <cellStyle name="PSSpacer" xfId="5154" xr:uid="{00000000-0005-0000-0000-00004A140000}"/>
    <cellStyle name="PSSpacer 2" xfId="10672" xr:uid="{00000000-0005-0000-0000-000092210000}"/>
    <cellStyle name="PSSpacer 2 2" xfId="43161" xr:uid="{2A600ED9-1811-421B-84D4-5E953B9BABF3}"/>
    <cellStyle name="PSSpacer 3" xfId="8577" xr:uid="{00000000-0005-0000-0000-00006F100000}"/>
    <cellStyle name="PSSpacer 4" xfId="39185" xr:uid="{E1610332-E221-4A6E-9551-134CAA979FC3}"/>
    <cellStyle name="RatioX" xfId="5155" xr:uid="{00000000-0005-0000-0000-00004B140000}"/>
    <cellStyle name="RatioX 2" xfId="10673" xr:uid="{00000000-0005-0000-0000-000093210000}"/>
    <cellStyle name="RatioX 2 2" xfId="43162" xr:uid="{4306504C-2264-4FEA-A75F-077DAC3F9D7E}"/>
    <cellStyle name="RatioX 3" xfId="8579" xr:uid="{00000000-0005-0000-0000-000070100000}"/>
    <cellStyle name="RatioX 4" xfId="39186" xr:uid="{1AC46C18-D303-4F6C-9E78-42B173F597F5}"/>
    <cellStyle name="Red font" xfId="5156" xr:uid="{00000000-0005-0000-0000-00004C140000}"/>
    <cellStyle name="Red font 2" xfId="10674" xr:uid="{00000000-0005-0000-0000-000094210000}"/>
    <cellStyle name="Red font 2 2" xfId="43163" xr:uid="{19CE1CE4-B5DA-496A-8B62-A3581093D661}"/>
    <cellStyle name="Red font 3" xfId="8580" xr:uid="{00000000-0005-0000-0000-000071100000}"/>
    <cellStyle name="Red font 4" xfId="39187" xr:uid="{125751FE-08CC-4235-89E0-CB72B33B41E6}"/>
    <cellStyle name="ref" xfId="5157" xr:uid="{00000000-0005-0000-0000-00004D140000}"/>
    <cellStyle name="ref 2" xfId="10675" xr:uid="{00000000-0005-0000-0000-000095210000}"/>
    <cellStyle name="ref 2 2" xfId="43164" xr:uid="{A1979D09-F1B2-4FFC-9374-C6C3894EC00B}"/>
    <cellStyle name="ref 3" xfId="8582" xr:uid="{00000000-0005-0000-0000-000072100000}"/>
    <cellStyle name="ref 4" xfId="39188" xr:uid="{4B12C503-8581-41A3-88A3-07958E752960}"/>
    <cellStyle name="Right" xfId="5158" xr:uid="{00000000-0005-0000-0000-00004E140000}"/>
    <cellStyle name="Right 2" xfId="10676" xr:uid="{00000000-0005-0000-0000-000096210000}"/>
    <cellStyle name="Right 2 2" xfId="43165" xr:uid="{25D2BA5C-FFDD-4FF8-BCB4-BDC1A5D7879A}"/>
    <cellStyle name="Right 3" xfId="8583" xr:uid="{00000000-0005-0000-0000-000073100000}"/>
    <cellStyle name="Right 4" xfId="39189" xr:uid="{47607C1D-E9D1-426F-B90B-94083ECEA64E}"/>
    <cellStyle name="Salomon Logo" xfId="5159" xr:uid="{00000000-0005-0000-0000-00004F140000}"/>
    <cellStyle name="Salomon Logo 2" xfId="10677" xr:uid="{00000000-0005-0000-0000-000097210000}"/>
    <cellStyle name="Salomon Logo 2 2" xfId="23722" xr:uid="{C7FB9D2A-CC10-4DFE-9D43-ED78360DED04}"/>
    <cellStyle name="Salomon Logo 2 3" xfId="43166" xr:uid="{A7700C65-8C56-45E6-BAE5-B38EDFE0DDC0}"/>
    <cellStyle name="Salomon Logo 3" xfId="8584" xr:uid="{00000000-0005-0000-0000-000074100000}"/>
    <cellStyle name="Salomon Logo 4" xfId="39190" xr:uid="{798F385C-8A16-46C5-9563-D909B4DCB4D8}"/>
    <cellStyle name="ScripFactor" xfId="5160" xr:uid="{00000000-0005-0000-0000-000050140000}"/>
    <cellStyle name="ScripFactor 2" xfId="10678" xr:uid="{00000000-0005-0000-0000-000098210000}"/>
    <cellStyle name="ScripFactor 2 2" xfId="43167" xr:uid="{1F0D792B-BF04-4A64-8BA7-B3C5D897171D}"/>
    <cellStyle name="ScripFactor 3" xfId="8587" xr:uid="{00000000-0005-0000-0000-000075100000}"/>
    <cellStyle name="ScripFactor 4" xfId="39191" xr:uid="{F188D1E3-5041-4EF8-9FEB-F23D7DA9A1C2}"/>
    <cellStyle name="SectionHeading" xfId="5161" xr:uid="{00000000-0005-0000-0000-000051140000}"/>
    <cellStyle name="SectionHeading 2" xfId="10679" xr:uid="{00000000-0005-0000-0000-000099210000}"/>
    <cellStyle name="SectionHeading 2 2" xfId="9311" xr:uid="{00000000-0005-0000-0000-000076100000}"/>
    <cellStyle name="SectionHeading 2 2 2" xfId="41834" xr:uid="{1EE96D1B-021D-4DD3-A3CF-E955F543C3F3}"/>
    <cellStyle name="SectionHeading 2 2 3" xfId="47167" xr:uid="{A14F7A30-C2EB-4388-967E-ADC4D106ED3B}"/>
    <cellStyle name="SectionHeading 2 2 4" xfId="37711" xr:uid="{642E7079-78EE-475A-A9AA-BF9552EEBA15}"/>
    <cellStyle name="SectionHeading 2 2 5" xfId="40475" xr:uid="{CCE27132-060D-4642-A168-6AAA4E0AE581}"/>
    <cellStyle name="SectionHeading 2 2 6" xfId="15074" xr:uid="{A6977191-57B2-4371-A966-76293A6330FD}"/>
    <cellStyle name="SectionHeading 2 2 7" xfId="37975" xr:uid="{82B02D76-BAD8-436C-889D-44652123121F}"/>
    <cellStyle name="SectionHeading 2 3" xfId="18780" xr:uid="{5AC87971-E073-4DCB-AC52-3B5F738666C7}"/>
    <cellStyle name="SectionHeading 2 4" xfId="43168" xr:uid="{8E85F2FF-FCF0-4810-8246-985727864393}"/>
    <cellStyle name="SectionHeading 3" xfId="9377" xr:uid="{00000000-0005-0000-0000-0000DC240000}"/>
    <cellStyle name="SectionHeading 3 2" xfId="23455" xr:uid="{EA5FCB09-18FB-4399-AF3A-085E6C9BD9F4}"/>
    <cellStyle name="SectionHeading 3 3" xfId="41884" xr:uid="{55300CA6-5912-45B2-AA06-9A67330759D1}"/>
    <cellStyle name="SectionHeading 3 4" xfId="47198" xr:uid="{20A6F59E-AA4E-45F1-AB0A-0EEC853EA474}"/>
    <cellStyle name="SectionHeading 3 5" xfId="37728" xr:uid="{90D6526D-553B-416B-8A15-25448148FBD1}"/>
    <cellStyle name="SectionHeading 3 6" xfId="15161" xr:uid="{2E43C031-D95B-45CC-87FD-B9BF4A9B36D8}"/>
    <cellStyle name="SectionHeading 3 7" xfId="47734" xr:uid="{37124D9D-3868-4F98-8E40-7617B6F879E1}"/>
    <cellStyle name="SectionHeading 3 8" xfId="15187" xr:uid="{3F76CC6F-6C09-48CA-89DD-6BB62DB0B6F5}"/>
    <cellStyle name="SectionHeading 4" xfId="8589" xr:uid="{00000000-0005-0000-0000-000076100000}"/>
    <cellStyle name="SectionHeading 4 2" xfId="41318" xr:uid="{73BA82F0-E96F-4C6F-97CD-7205EAB92939}"/>
    <cellStyle name="SectionHeading 4 3" xfId="46911" xr:uid="{5F95E9FE-4959-4018-98CE-6B8C02719D49}"/>
    <cellStyle name="SectionHeading 4 4" xfId="46642" xr:uid="{EBFE2457-848A-4825-8A96-1D3D7D2CF302}"/>
    <cellStyle name="SectionHeading 4 5" xfId="46529" xr:uid="{F1947B4C-4294-4BF9-86F6-5EED617CA124}"/>
    <cellStyle name="SectionHeading 4 6" xfId="47083" xr:uid="{BC0FF571-2A6C-4DD2-889E-A74877A00D1B}"/>
    <cellStyle name="SectionHeading 4 7" xfId="46191" xr:uid="{F6460775-E3D7-4CC7-B70A-340F3B4A5C81}"/>
    <cellStyle name="SectionHeading 5" xfId="16442" xr:uid="{5C5EEA93-52BA-408E-8164-D5A4BC28146B}"/>
    <cellStyle name="SectionHeading 6" xfId="39192" xr:uid="{D567C350-1998-49A2-9FA6-7D4215A796C1}"/>
    <cellStyle name="Shade" xfId="5162" xr:uid="{00000000-0005-0000-0000-000052140000}"/>
    <cellStyle name="Shade 2" xfId="10680" xr:uid="{00000000-0005-0000-0000-00009A210000}"/>
    <cellStyle name="Shade 2 2" xfId="43169" xr:uid="{8951B65E-D089-4271-A99B-456C735CF5C3}"/>
    <cellStyle name="Shade 3" xfId="8591" xr:uid="{00000000-0005-0000-0000-000077100000}"/>
    <cellStyle name="Shade 4" xfId="39193" xr:uid="{9B1A2348-39C9-4E1C-BD02-3D779EC720D9}"/>
    <cellStyle name="Shaded" xfId="5163" xr:uid="{00000000-0005-0000-0000-000053140000}"/>
    <cellStyle name="Shaded 2" xfId="10681" xr:uid="{00000000-0005-0000-0000-00009B210000}"/>
    <cellStyle name="Shaded 2 2" xfId="43170" xr:uid="{8A35DC03-BCB3-4D50-AA4A-48701803F4E6}"/>
    <cellStyle name="Shaded 3" xfId="8592" xr:uid="{00000000-0005-0000-0000-000078100000}"/>
    <cellStyle name="Shaded 4" xfId="39194" xr:uid="{06BFF4FE-5ABF-487E-B374-335A0D3B1B9D}"/>
    <cellStyle name="Single Accounting" xfId="5164" xr:uid="{00000000-0005-0000-0000-000054140000}"/>
    <cellStyle name="Single Accounting 2" xfId="5165" xr:uid="{00000000-0005-0000-0000-000055140000}"/>
    <cellStyle name="Single Accounting 2 2" xfId="10683" xr:uid="{00000000-0005-0000-0000-00009D210000}"/>
    <cellStyle name="Single Accounting 2 2 2" xfId="43172" xr:uid="{1D3D7C31-0386-4D34-A4B1-290EA49CBD5A}"/>
    <cellStyle name="Single Accounting 2 3" xfId="17321" xr:uid="{CC9B99C6-7F0A-4405-A86F-0B1F75F760B0}"/>
    <cellStyle name="Single Accounting 2 4" xfId="39196" xr:uid="{6B52E143-4A7C-4ED2-88A2-76D3807D1A4A}"/>
    <cellStyle name="Single Accounting 3" xfId="10682" xr:uid="{00000000-0005-0000-0000-00009C210000}"/>
    <cellStyle name="Single Accounting 3 2" xfId="43171" xr:uid="{5B8B5445-C3B1-4F79-9F48-3959EB09AB58}"/>
    <cellStyle name="Single Accounting 4" xfId="8593" xr:uid="{00000000-0005-0000-0000-000079100000}"/>
    <cellStyle name="Single Accounting 5" xfId="16444" xr:uid="{F497A070-B290-443E-AEB2-63319F4DE135}"/>
    <cellStyle name="Single Accounting 6" xfId="39195" xr:uid="{6F25A485-6F81-4248-9E02-A09C29508C3C}"/>
    <cellStyle name="SingleLineAcctgn" xfId="5166" xr:uid="{00000000-0005-0000-0000-000056140000}"/>
    <cellStyle name="SingleLineAcctgn 2" xfId="5167" xr:uid="{00000000-0005-0000-0000-000057140000}"/>
    <cellStyle name="SingleLineAcctgn 2 2" xfId="10685" xr:uid="{00000000-0005-0000-0000-00009F210000}"/>
    <cellStyle name="SingleLineAcctgn 2 2 2" xfId="43174" xr:uid="{0D55875E-57DB-44BC-9B9F-D584B68B07AC}"/>
    <cellStyle name="SingleLineAcctgn 2 3" xfId="17322" xr:uid="{DDF4B1B6-8E41-4461-B2A5-CE6AAFCC59DC}"/>
    <cellStyle name="SingleLineAcctgn 2 4" xfId="39198" xr:uid="{EB011063-DBE9-4459-A085-1DE384BEEA4A}"/>
    <cellStyle name="SingleLineAcctgn 3" xfId="10684" xr:uid="{00000000-0005-0000-0000-00009E210000}"/>
    <cellStyle name="SingleLineAcctgn 3 2" xfId="43173" xr:uid="{8468C913-950D-4334-8037-C2405176559C}"/>
    <cellStyle name="SingleLineAcctgn 4" xfId="8594" xr:uid="{00000000-0005-0000-0000-00007A100000}"/>
    <cellStyle name="SingleLineAcctgn 5" xfId="16445" xr:uid="{B6FA782E-7515-4621-BD4D-1AC2A6B0F670}"/>
    <cellStyle name="SingleLineAcctgn 6" xfId="39197" xr:uid="{DD28FCE3-BED3-4141-ADF3-144FFE630050}"/>
    <cellStyle name="SingleLinePercent" xfId="5168" xr:uid="{00000000-0005-0000-0000-000058140000}"/>
    <cellStyle name="SingleLinePercent 2" xfId="10686" xr:uid="{00000000-0005-0000-0000-0000A0210000}"/>
    <cellStyle name="SingleLinePercent 2 2" xfId="43175" xr:uid="{6E26BBF2-8D45-4399-9AF2-48830245920E}"/>
    <cellStyle name="SingleLinePercent 3" xfId="8595" xr:uid="{00000000-0005-0000-0000-00007B100000}"/>
    <cellStyle name="SingleLinePercent 4" xfId="39199" xr:uid="{DAB3A570-49CE-403C-A018-333E4E62ADBB}"/>
    <cellStyle name="Source Superscript" xfId="5169" xr:uid="{00000000-0005-0000-0000-000059140000}"/>
    <cellStyle name="Source Superscript 2" xfId="10687" xr:uid="{00000000-0005-0000-0000-0000A1210000}"/>
    <cellStyle name="Source Superscript 2 2" xfId="43176" xr:uid="{853BEB1C-420F-4D63-A5FA-12ADD1078BCD}"/>
    <cellStyle name="Source Superscript 3" xfId="8603" xr:uid="{00000000-0005-0000-0000-00007C100000}"/>
    <cellStyle name="Source Superscript 4" xfId="39200" xr:uid="{040FD68F-5211-49F0-8535-0C5F061ED711}"/>
    <cellStyle name="Source Text" xfId="5170" xr:uid="{00000000-0005-0000-0000-00005A140000}"/>
    <cellStyle name="Source Text 2" xfId="10688" xr:uid="{00000000-0005-0000-0000-0000A2210000}"/>
    <cellStyle name="Source Text 2 2" xfId="43177" xr:uid="{2B713E8B-8C9F-4E86-87BE-560AAD6CA74D}"/>
    <cellStyle name="Source Text 3" xfId="8605" xr:uid="{00000000-0005-0000-0000-00007D100000}"/>
    <cellStyle name="Source Text 4" xfId="39201" xr:uid="{71FEA479-3C8E-4F58-AB42-5477719DE2DA}"/>
    <cellStyle name="ssp " xfId="5171" xr:uid="{00000000-0005-0000-0000-00005B140000}"/>
    <cellStyle name="ssp  2" xfId="10689" xr:uid="{00000000-0005-0000-0000-0000A3210000}"/>
    <cellStyle name="ssp  2 2" xfId="9312" xr:uid="{00000000-0005-0000-0000-00007E100000}"/>
    <cellStyle name="ssp  2 3" xfId="43178" xr:uid="{77D15C3A-D513-4A30-B30D-8E7387E489D6}"/>
    <cellStyle name="ssp  3" xfId="9378" xr:uid="{00000000-0005-0000-0000-0000E4240000}"/>
    <cellStyle name="ssp  4" xfId="8608" xr:uid="{00000000-0005-0000-0000-00007E100000}"/>
    <cellStyle name="ssp  5" xfId="39202" xr:uid="{F6F8D362-F34B-440B-AAD9-664BBC93195D}"/>
    <cellStyle name="Standard" xfId="5172" xr:uid="{00000000-0005-0000-0000-00005C140000}"/>
    <cellStyle name="Standard 2" xfId="10690" xr:uid="{00000000-0005-0000-0000-0000A4210000}"/>
    <cellStyle name="Standard 2 2" xfId="43179" xr:uid="{73779FFE-9FEB-448B-9405-9D9CE8817B07}"/>
    <cellStyle name="Standard 3" xfId="8613" xr:uid="{00000000-0005-0000-0000-00007F100000}"/>
    <cellStyle name="Standard 4" xfId="39203" xr:uid="{9FCAB6A9-20B5-41F3-A942-E189480AABC8}"/>
    <cellStyle name="Style 1" xfId="5173" xr:uid="{00000000-0005-0000-0000-00005D140000}"/>
    <cellStyle name="Style 1 2" xfId="5174" xr:uid="{00000000-0005-0000-0000-00005E140000}"/>
    <cellStyle name="Style 1 2 2" xfId="10692" xr:uid="{00000000-0005-0000-0000-0000A6210000}"/>
    <cellStyle name="Style 1 2 2 2" xfId="43181" xr:uid="{CF6A9B6A-B83F-4F67-A94C-2AF610A34449}"/>
    <cellStyle name="Style 1 2 3" xfId="17323" xr:uid="{93C4B39A-3D2C-4BC9-B058-BF4550715A7E}"/>
    <cellStyle name="Style 1 2 4" xfId="39205" xr:uid="{A74081AB-503B-4CA9-B52B-195E3BEED21E}"/>
    <cellStyle name="Style 1 3" xfId="10691" xr:uid="{00000000-0005-0000-0000-0000A5210000}"/>
    <cellStyle name="Style 1 3 2" xfId="18821" xr:uid="{21DF0783-2044-4DC8-9506-D7D182E7BDB6}"/>
    <cellStyle name="Style 1 3 3" xfId="43180" xr:uid="{A91AEFF0-612A-4400-8266-322D3B3330AA}"/>
    <cellStyle name="Style 1 4" xfId="8615" xr:uid="{00000000-0005-0000-0000-000080100000}"/>
    <cellStyle name="Style 1 4 2" xfId="18268" xr:uid="{51998A94-3227-4B43-9277-BC7A06411645}"/>
    <cellStyle name="Style 1 5" xfId="17404" xr:uid="{A42AB142-64D1-4246-B56A-1BCC800DD56D}"/>
    <cellStyle name="Style 1 6" xfId="16448" xr:uid="{C1EDCEED-0A5B-4961-9B3B-2DD46FAD647B}"/>
    <cellStyle name="Style 1 7" xfId="39204" xr:uid="{1C021BDF-8329-4058-A62D-89C4E37911B6}"/>
    <cellStyle name="Style 10" xfId="5175" xr:uid="{00000000-0005-0000-0000-00005F140000}"/>
    <cellStyle name="Style 10 2" xfId="10693" xr:uid="{00000000-0005-0000-0000-0000A7210000}"/>
    <cellStyle name="Style 10 2 2" xfId="43182" xr:uid="{B30563B9-7103-4781-89FF-7BF274431BC0}"/>
    <cellStyle name="Style 10 3" xfId="8618" xr:uid="{00000000-0005-0000-0000-000081100000}"/>
    <cellStyle name="Style 10 4" xfId="39206" xr:uid="{3AEC230E-310B-4EDD-88E7-2A9128C16D61}"/>
    <cellStyle name="Style 100" xfId="5176" xr:uid="{00000000-0005-0000-0000-000060140000}"/>
    <cellStyle name="Style 100 2" xfId="10694" xr:uid="{00000000-0005-0000-0000-0000A8210000}"/>
    <cellStyle name="Style 100 2 2" xfId="43183" xr:uid="{1774137A-4EF8-4F02-9029-357A618B2A7E}"/>
    <cellStyle name="Style 100 3" xfId="8620" xr:uid="{00000000-0005-0000-0000-000082100000}"/>
    <cellStyle name="Style 100 4" xfId="39207" xr:uid="{0C0CBF9D-6070-4E37-A843-EFFA4C783D7C}"/>
    <cellStyle name="Style 101" xfId="5177" xr:uid="{00000000-0005-0000-0000-000061140000}"/>
    <cellStyle name="Style 101 2" xfId="10695" xr:uid="{00000000-0005-0000-0000-0000A9210000}"/>
    <cellStyle name="Style 101 2 2" xfId="43184" xr:uid="{C411C97C-C041-453D-A228-331145AE914F}"/>
    <cellStyle name="Style 101 3" xfId="8624" xr:uid="{00000000-0005-0000-0000-000083100000}"/>
    <cellStyle name="Style 101 4" xfId="39208" xr:uid="{C8AB9BC9-8545-4F10-8DC4-7C023A9E2C92}"/>
    <cellStyle name="Style 102" xfId="5178" xr:uid="{00000000-0005-0000-0000-000062140000}"/>
    <cellStyle name="Style 102 2" xfId="10696" xr:uid="{00000000-0005-0000-0000-0000AA210000}"/>
    <cellStyle name="Style 102 2 2" xfId="43185" xr:uid="{6A3D28FB-2957-43C0-BCF1-44F38AFD4DE2}"/>
    <cellStyle name="Style 102 3" xfId="8625" xr:uid="{00000000-0005-0000-0000-000084100000}"/>
    <cellStyle name="Style 102 4" xfId="39209" xr:uid="{D7A249B3-C44E-4B2E-B5DA-B0605A7DED05}"/>
    <cellStyle name="Style 103" xfId="5179" xr:uid="{00000000-0005-0000-0000-000063140000}"/>
    <cellStyle name="Style 103 2" xfId="10697" xr:uid="{00000000-0005-0000-0000-0000AB210000}"/>
    <cellStyle name="Style 103 2 2" xfId="43186" xr:uid="{71E0F3F5-4933-4734-99F9-5C44000B843B}"/>
    <cellStyle name="Style 103 3" xfId="8628" xr:uid="{00000000-0005-0000-0000-000085100000}"/>
    <cellStyle name="Style 103 4" xfId="39210" xr:uid="{1791C3B8-F11B-4D24-BCE5-7955CA953595}"/>
    <cellStyle name="Style 104" xfId="5180" xr:uid="{00000000-0005-0000-0000-000064140000}"/>
    <cellStyle name="Style 104 2" xfId="10698" xr:uid="{00000000-0005-0000-0000-0000AC210000}"/>
    <cellStyle name="Style 104 2 2" xfId="43187" xr:uid="{D9B133D1-1923-4DBD-B3E9-81CC6537816B}"/>
    <cellStyle name="Style 104 3" xfId="8629" xr:uid="{00000000-0005-0000-0000-000086100000}"/>
    <cellStyle name="Style 104 4" xfId="39211" xr:uid="{CFD2D221-ED58-4196-9FA6-1DE5576B0C89}"/>
    <cellStyle name="Style 105" xfId="5181" xr:uid="{00000000-0005-0000-0000-000065140000}"/>
    <cellStyle name="Style 105 2" xfId="10699" xr:uid="{00000000-0005-0000-0000-0000AD210000}"/>
    <cellStyle name="Style 105 2 2" xfId="43188" xr:uid="{467B2DBF-5A8F-4138-ACA8-DF7F017BE4EA}"/>
    <cellStyle name="Style 105 3" xfId="8630" xr:uid="{00000000-0005-0000-0000-000087100000}"/>
    <cellStyle name="Style 105 4" xfId="39212" xr:uid="{E3CDF583-5E4C-432D-9519-FCCC65A1BA2F}"/>
    <cellStyle name="Style 106" xfId="5182" xr:uid="{00000000-0005-0000-0000-000066140000}"/>
    <cellStyle name="Style 106 2" xfId="10700" xr:uid="{00000000-0005-0000-0000-0000AE210000}"/>
    <cellStyle name="Style 106 2 2" xfId="43189" xr:uid="{7C727E29-A6C5-442C-AFD5-4941E1146913}"/>
    <cellStyle name="Style 106 3" xfId="8634" xr:uid="{00000000-0005-0000-0000-000088100000}"/>
    <cellStyle name="Style 106 4" xfId="39213" xr:uid="{95261B03-8443-42BC-95F7-5D554B2054BC}"/>
    <cellStyle name="Style 107" xfId="5183" xr:uid="{00000000-0005-0000-0000-000067140000}"/>
    <cellStyle name="Style 107 2" xfId="10701" xr:uid="{00000000-0005-0000-0000-0000AF210000}"/>
    <cellStyle name="Style 107 2 2" xfId="43190" xr:uid="{8C451EB2-3A5A-4018-B9A3-DFFF6354D422}"/>
    <cellStyle name="Style 107 3" xfId="8635" xr:uid="{00000000-0005-0000-0000-000089100000}"/>
    <cellStyle name="Style 107 4" xfId="39214" xr:uid="{9D868EEA-EC63-42D4-B630-38FB5C2CD2C8}"/>
    <cellStyle name="Style 108" xfId="5184" xr:uid="{00000000-0005-0000-0000-000068140000}"/>
    <cellStyle name="Style 108 2" xfId="10702" xr:uid="{00000000-0005-0000-0000-0000B0210000}"/>
    <cellStyle name="Style 108 2 2" xfId="43191" xr:uid="{0D32F18B-C6C5-44FF-A826-A029F48AF078}"/>
    <cellStyle name="Style 108 3" xfId="8636" xr:uid="{00000000-0005-0000-0000-00008A100000}"/>
    <cellStyle name="Style 108 4" xfId="39215" xr:uid="{6E2DC394-22F4-4B3C-9FD2-3BCEF00B89DE}"/>
    <cellStyle name="Style 109" xfId="5185" xr:uid="{00000000-0005-0000-0000-000069140000}"/>
    <cellStyle name="Style 109 2" xfId="10703" xr:uid="{00000000-0005-0000-0000-0000B1210000}"/>
    <cellStyle name="Style 109 2 2" xfId="43192" xr:uid="{B269D8FD-95B1-4566-B9F1-DBB8768E81CF}"/>
    <cellStyle name="Style 109 3" xfId="8638" xr:uid="{00000000-0005-0000-0000-00008B100000}"/>
    <cellStyle name="Style 109 4" xfId="39216" xr:uid="{F313DAE9-F11A-4C1E-8425-18FFC790DDA6}"/>
    <cellStyle name="Style 11" xfId="5186" xr:uid="{00000000-0005-0000-0000-00006A140000}"/>
    <cellStyle name="Style 11 2" xfId="10704" xr:uid="{00000000-0005-0000-0000-0000B2210000}"/>
    <cellStyle name="Style 11 2 2" xfId="43193" xr:uid="{744BAA02-9585-46F5-97F8-D922E09E19A0}"/>
    <cellStyle name="Style 11 3" xfId="8641" xr:uid="{00000000-0005-0000-0000-00008C100000}"/>
    <cellStyle name="Style 11 4" xfId="39217" xr:uid="{3B65E2AB-2FD5-441F-97B7-5CFDF9EE42EF}"/>
    <cellStyle name="Style 110" xfId="5187" xr:uid="{00000000-0005-0000-0000-00006B140000}"/>
    <cellStyle name="Style 110 2" xfId="10705" xr:uid="{00000000-0005-0000-0000-0000B3210000}"/>
    <cellStyle name="Style 110 2 2" xfId="43194" xr:uid="{9AE17468-4701-4968-AE6C-450DC03038FE}"/>
    <cellStyle name="Style 110 3" xfId="8642" xr:uid="{00000000-0005-0000-0000-00008D100000}"/>
    <cellStyle name="Style 110 4" xfId="39218" xr:uid="{0F165608-6E2B-4382-98E6-70594E9EF211}"/>
    <cellStyle name="Style 111" xfId="5188" xr:uid="{00000000-0005-0000-0000-00006C140000}"/>
    <cellStyle name="Style 111 2" xfId="10706" xr:uid="{00000000-0005-0000-0000-0000B4210000}"/>
    <cellStyle name="Style 111 2 2" xfId="43195" xr:uid="{55526F2B-02DE-4292-B02F-3CD253EA13A0}"/>
    <cellStyle name="Style 111 3" xfId="8643" xr:uid="{00000000-0005-0000-0000-00008E100000}"/>
    <cellStyle name="Style 111 4" xfId="39219" xr:uid="{3C076243-0295-4639-B241-7E3593D889E7}"/>
    <cellStyle name="Style 112" xfId="5189" xr:uid="{00000000-0005-0000-0000-00006D140000}"/>
    <cellStyle name="Style 112 2" xfId="10707" xr:uid="{00000000-0005-0000-0000-0000B5210000}"/>
    <cellStyle name="Style 112 2 2" xfId="43196" xr:uid="{BDD53507-0D14-45C1-A357-7DAA406682F2}"/>
    <cellStyle name="Style 112 3" xfId="8644" xr:uid="{00000000-0005-0000-0000-00008F100000}"/>
    <cellStyle name="Style 112 4" xfId="39220" xr:uid="{C6D293B1-4329-4BA8-A6D4-99B1DB9CCF0D}"/>
    <cellStyle name="Style 113" xfId="5190" xr:uid="{00000000-0005-0000-0000-00006E140000}"/>
    <cellStyle name="Style 113 2" xfId="10708" xr:uid="{00000000-0005-0000-0000-0000B6210000}"/>
    <cellStyle name="Style 113 2 2" xfId="43197" xr:uid="{50558C78-BBE7-4BD3-B7A4-E57BD37F5213}"/>
    <cellStyle name="Style 113 3" xfId="8648" xr:uid="{00000000-0005-0000-0000-000090100000}"/>
    <cellStyle name="Style 113 4" xfId="39221" xr:uid="{3CE4C5E0-B7FE-4F44-973E-E303184B64CA}"/>
    <cellStyle name="Style 114" xfId="5191" xr:uid="{00000000-0005-0000-0000-00006F140000}"/>
    <cellStyle name="Style 114 2" xfId="10709" xr:uid="{00000000-0005-0000-0000-0000B7210000}"/>
    <cellStyle name="Style 114 2 2" xfId="43198" xr:uid="{48F95F98-414B-4F9F-BC7E-1EFDA2F552A2}"/>
    <cellStyle name="Style 114 3" xfId="8649" xr:uid="{00000000-0005-0000-0000-000091100000}"/>
    <cellStyle name="Style 114 4" xfId="39222" xr:uid="{E4989D1B-8986-4C7E-B2C1-D24DAAAACC17}"/>
    <cellStyle name="Style 115" xfId="5192" xr:uid="{00000000-0005-0000-0000-000070140000}"/>
    <cellStyle name="Style 115 2" xfId="10710" xr:uid="{00000000-0005-0000-0000-0000B8210000}"/>
    <cellStyle name="Style 115 2 2" xfId="43199" xr:uid="{98519ED7-411B-455B-9375-1C49B66F69E7}"/>
    <cellStyle name="Style 115 3" xfId="8650" xr:uid="{00000000-0005-0000-0000-000092100000}"/>
    <cellStyle name="Style 115 4" xfId="39223" xr:uid="{10BE1C33-AC93-4BBE-AA57-57A18644DBD9}"/>
    <cellStyle name="Style 116" xfId="5193" xr:uid="{00000000-0005-0000-0000-000071140000}"/>
    <cellStyle name="Style 116 2" xfId="10711" xr:uid="{00000000-0005-0000-0000-0000B9210000}"/>
    <cellStyle name="Style 116 2 2" xfId="43200" xr:uid="{4CBE121A-CA0F-40F7-AB81-1E909D33908C}"/>
    <cellStyle name="Style 116 3" xfId="8651" xr:uid="{00000000-0005-0000-0000-000093100000}"/>
    <cellStyle name="Style 116 4" xfId="39224" xr:uid="{2DB6261E-5276-4092-9764-ED0C3D870627}"/>
    <cellStyle name="Style 117" xfId="5194" xr:uid="{00000000-0005-0000-0000-000072140000}"/>
    <cellStyle name="Style 117 2" xfId="10712" xr:uid="{00000000-0005-0000-0000-0000BA210000}"/>
    <cellStyle name="Style 117 2 2" xfId="43201" xr:uid="{9014E9D1-81C7-42AD-8C0F-FC6933FC6FCA}"/>
    <cellStyle name="Style 117 3" xfId="8654" xr:uid="{00000000-0005-0000-0000-000094100000}"/>
    <cellStyle name="Style 117 4" xfId="39225" xr:uid="{45A977E0-248D-4628-A32C-C8636DFA5C5E}"/>
    <cellStyle name="Style 118" xfId="5195" xr:uid="{00000000-0005-0000-0000-000073140000}"/>
    <cellStyle name="Style 118 2" xfId="10713" xr:uid="{00000000-0005-0000-0000-0000BB210000}"/>
    <cellStyle name="Style 118 2 2" xfId="43202" xr:uid="{807D6242-4916-47C6-817E-3AEA2F009584}"/>
    <cellStyle name="Style 118 3" xfId="8655" xr:uid="{00000000-0005-0000-0000-000095100000}"/>
    <cellStyle name="Style 118 4" xfId="39226" xr:uid="{4C69C1A3-D427-4239-8C0C-540A62A312ED}"/>
    <cellStyle name="Style 119" xfId="5196" xr:uid="{00000000-0005-0000-0000-000074140000}"/>
    <cellStyle name="Style 119 2" xfId="10714" xr:uid="{00000000-0005-0000-0000-0000BC210000}"/>
    <cellStyle name="Style 119 2 2" xfId="43203" xr:uid="{0242CDCD-2747-4CFC-A9D5-705A7A3878E6}"/>
    <cellStyle name="Style 119 3" xfId="8658" xr:uid="{00000000-0005-0000-0000-000096100000}"/>
    <cellStyle name="Style 119 4" xfId="39227" xr:uid="{3139F3A9-057E-4C0B-A534-EBE5D7F84156}"/>
    <cellStyle name="Style 12" xfId="5197" xr:uid="{00000000-0005-0000-0000-000075140000}"/>
    <cellStyle name="Style 12 2" xfId="10715" xr:uid="{00000000-0005-0000-0000-0000BD210000}"/>
    <cellStyle name="Style 12 2 2" xfId="43204" xr:uid="{65CDD157-2990-4118-8CB9-3C8C25AF0DA9}"/>
    <cellStyle name="Style 12 3" xfId="8661" xr:uid="{00000000-0005-0000-0000-000097100000}"/>
    <cellStyle name="Style 12 4" xfId="39228" xr:uid="{7D160E19-2BE3-408B-BFA9-ADA35EC8CAF7}"/>
    <cellStyle name="Style 120" xfId="5198" xr:uid="{00000000-0005-0000-0000-000076140000}"/>
    <cellStyle name="Style 120 2" xfId="10716" xr:uid="{00000000-0005-0000-0000-0000BE210000}"/>
    <cellStyle name="Style 120 2 2" xfId="43205" xr:uid="{B524A234-793C-496F-A23C-F2DCF138A8FC}"/>
    <cellStyle name="Style 120 3" xfId="8663" xr:uid="{00000000-0005-0000-0000-000098100000}"/>
    <cellStyle name="Style 120 4" xfId="39229" xr:uid="{5647F229-0D87-4A48-8D7C-72F27C5B91E6}"/>
    <cellStyle name="Style 121" xfId="5199" xr:uid="{00000000-0005-0000-0000-000077140000}"/>
    <cellStyle name="Style 121 2" xfId="10717" xr:uid="{00000000-0005-0000-0000-0000BF210000}"/>
    <cellStyle name="Style 121 2 2" xfId="43206" xr:uid="{61FEE308-B67E-4B7D-BD52-9B7BBB1D90DF}"/>
    <cellStyle name="Style 121 3" xfId="8666" xr:uid="{00000000-0005-0000-0000-000099100000}"/>
    <cellStyle name="Style 121 4" xfId="39230" xr:uid="{E85C09B4-9FF8-498B-8E17-05ED8E33C301}"/>
    <cellStyle name="Style 122" xfId="5200" xr:uid="{00000000-0005-0000-0000-000078140000}"/>
    <cellStyle name="Style 122 2" xfId="10718" xr:uid="{00000000-0005-0000-0000-0000C0210000}"/>
    <cellStyle name="Style 122 2 2" xfId="43207" xr:uid="{78CABA82-CBA6-4806-B0F9-A08317410EEF}"/>
    <cellStyle name="Style 122 3" xfId="8670" xr:uid="{00000000-0005-0000-0000-00009A100000}"/>
    <cellStyle name="Style 122 4" xfId="39231" xr:uid="{D8C271F2-8CC2-4229-B98C-FAD865F14031}"/>
    <cellStyle name="Style 123" xfId="5201" xr:uid="{00000000-0005-0000-0000-000079140000}"/>
    <cellStyle name="Style 123 2" xfId="10719" xr:uid="{00000000-0005-0000-0000-0000C1210000}"/>
    <cellStyle name="Style 123 2 2" xfId="43208" xr:uid="{0115E7D9-AE03-40D8-96A5-3021A7C9F2E7}"/>
    <cellStyle name="Style 123 3" xfId="8676" xr:uid="{00000000-0005-0000-0000-00009B100000}"/>
    <cellStyle name="Style 123 4" xfId="39232" xr:uid="{A2F8AD2F-4010-411F-A7A1-EA041D8BBA0B}"/>
    <cellStyle name="Style 124" xfId="5202" xr:uid="{00000000-0005-0000-0000-00007A140000}"/>
    <cellStyle name="Style 124 2" xfId="10720" xr:uid="{00000000-0005-0000-0000-0000C2210000}"/>
    <cellStyle name="Style 124 2 2" xfId="43209" xr:uid="{58696E95-7FB8-46F3-AA0B-0666D30B26A1}"/>
    <cellStyle name="Style 124 3" xfId="8678" xr:uid="{00000000-0005-0000-0000-00009C100000}"/>
    <cellStyle name="Style 124 4" xfId="39233" xr:uid="{1FD475EE-5065-452C-A326-48931B2BF599}"/>
    <cellStyle name="Style 125" xfId="5203" xr:uid="{00000000-0005-0000-0000-00007B140000}"/>
    <cellStyle name="Style 125 2" xfId="10721" xr:uid="{00000000-0005-0000-0000-0000C3210000}"/>
    <cellStyle name="Style 125 2 2" xfId="43210" xr:uid="{5743801F-578C-4C5D-A40B-EC12F2EA1936}"/>
    <cellStyle name="Style 125 3" xfId="8681" xr:uid="{00000000-0005-0000-0000-00009D100000}"/>
    <cellStyle name="Style 125 4" xfId="39234" xr:uid="{E20652D9-AA1F-41E9-B34A-D2953B9FEF4C}"/>
    <cellStyle name="Style 126" xfId="5204" xr:uid="{00000000-0005-0000-0000-00007C140000}"/>
    <cellStyle name="Style 126 2" xfId="10722" xr:uid="{00000000-0005-0000-0000-0000C4210000}"/>
    <cellStyle name="Style 126 2 2" xfId="43211" xr:uid="{E6E6D309-8313-4B1D-8122-E0FDEBF33BC6}"/>
    <cellStyle name="Style 126 3" xfId="8683" xr:uid="{00000000-0005-0000-0000-00009E100000}"/>
    <cellStyle name="Style 126 4" xfId="39235" xr:uid="{064BB210-B9DA-4553-A1E0-52849EAEA610}"/>
    <cellStyle name="Style 127" xfId="5205" xr:uid="{00000000-0005-0000-0000-00007D140000}"/>
    <cellStyle name="Style 127 2" xfId="10723" xr:uid="{00000000-0005-0000-0000-0000C5210000}"/>
    <cellStyle name="Style 127 2 2" xfId="43212" xr:uid="{B44A0A1B-8A8F-46EC-AE6F-A9912D29C769}"/>
    <cellStyle name="Style 127 3" xfId="8684" xr:uid="{00000000-0005-0000-0000-00009F100000}"/>
    <cellStyle name="Style 127 4" xfId="39236" xr:uid="{6B603575-F955-431D-A443-C83736190DD8}"/>
    <cellStyle name="Style 128" xfId="5206" xr:uid="{00000000-0005-0000-0000-00007E140000}"/>
    <cellStyle name="Style 128 2" xfId="10724" xr:uid="{00000000-0005-0000-0000-0000C6210000}"/>
    <cellStyle name="Style 128 2 2" xfId="43213" xr:uid="{EE26F5DE-4060-4872-98ED-85B6C9787D58}"/>
    <cellStyle name="Style 128 3" xfId="8692" xr:uid="{00000000-0005-0000-0000-0000A0100000}"/>
    <cellStyle name="Style 128 4" xfId="39237" xr:uid="{1B5D1396-9E1B-4268-8CD0-A8A41C3399A0}"/>
    <cellStyle name="Style 129" xfId="5207" xr:uid="{00000000-0005-0000-0000-00007F140000}"/>
    <cellStyle name="Style 129 2" xfId="10725" xr:uid="{00000000-0005-0000-0000-0000C7210000}"/>
    <cellStyle name="Style 129 2 2" xfId="43214" xr:uid="{C80A4C39-3C14-45E9-A945-8DAA6009DF81}"/>
    <cellStyle name="Style 129 3" xfId="8693" xr:uid="{00000000-0005-0000-0000-0000A1100000}"/>
    <cellStyle name="Style 129 4" xfId="39238" xr:uid="{9399B10B-7451-40BF-BD4F-5D140B88CC15}"/>
    <cellStyle name="Style 13" xfId="5208" xr:uid="{00000000-0005-0000-0000-000080140000}"/>
    <cellStyle name="Style 13 2" xfId="10726" xr:uid="{00000000-0005-0000-0000-0000C8210000}"/>
    <cellStyle name="Style 13 2 2" xfId="43215" xr:uid="{2914C0BA-B165-424F-956F-7EDFC2FC6181}"/>
    <cellStyle name="Style 13 3" xfId="8694" xr:uid="{00000000-0005-0000-0000-0000A2100000}"/>
    <cellStyle name="Style 13 4" xfId="39239" xr:uid="{47F7FF23-9CBB-4352-993B-3459B9DF4F43}"/>
    <cellStyle name="Style 130" xfId="5209" xr:uid="{00000000-0005-0000-0000-000081140000}"/>
    <cellStyle name="Style 130 2" xfId="10727" xr:uid="{00000000-0005-0000-0000-0000C9210000}"/>
    <cellStyle name="Style 130 2 2" xfId="43216" xr:uid="{1F297E4E-EE97-4496-B333-C03253EAE4C2}"/>
    <cellStyle name="Style 130 3" xfId="8695" xr:uid="{00000000-0005-0000-0000-0000A3100000}"/>
    <cellStyle name="Style 130 4" xfId="39240" xr:uid="{BB60EC08-744A-4E18-812C-46F600C5079E}"/>
    <cellStyle name="Style 131" xfId="5210" xr:uid="{00000000-0005-0000-0000-000082140000}"/>
    <cellStyle name="Style 131 2" xfId="10728" xr:uid="{00000000-0005-0000-0000-0000CA210000}"/>
    <cellStyle name="Style 131 2 2" xfId="43217" xr:uid="{2344567D-CFD1-4AA6-AE28-70884A10AF21}"/>
    <cellStyle name="Style 131 3" xfId="8696" xr:uid="{00000000-0005-0000-0000-0000A4100000}"/>
    <cellStyle name="Style 131 4" xfId="39241" xr:uid="{1C254A35-EE58-4EA4-A7BC-15AAF14C3631}"/>
    <cellStyle name="Style 132" xfId="5211" xr:uid="{00000000-0005-0000-0000-000083140000}"/>
    <cellStyle name="Style 132 2" xfId="10729" xr:uid="{00000000-0005-0000-0000-0000CB210000}"/>
    <cellStyle name="Style 132 2 2" xfId="43218" xr:uid="{9A9B0CA2-DE08-4EC0-B4DD-1382237CAAC3}"/>
    <cellStyle name="Style 132 3" xfId="8697" xr:uid="{00000000-0005-0000-0000-0000A5100000}"/>
    <cellStyle name="Style 132 4" xfId="39242" xr:uid="{3D7BCEFD-2706-4A0F-8810-954348AB29AC}"/>
    <cellStyle name="Style 133" xfId="5212" xr:uid="{00000000-0005-0000-0000-000084140000}"/>
    <cellStyle name="Style 133 2" xfId="10730" xr:uid="{00000000-0005-0000-0000-0000CC210000}"/>
    <cellStyle name="Style 133 2 2" xfId="43219" xr:uid="{E025FA97-39CA-4234-AEBD-2F5D7142903A}"/>
    <cellStyle name="Style 133 3" xfId="8699" xr:uid="{00000000-0005-0000-0000-0000A6100000}"/>
    <cellStyle name="Style 133 4" xfId="39243" xr:uid="{B2C16E6F-880B-4FD2-A24D-B83293C76012}"/>
    <cellStyle name="Style 134" xfId="5213" xr:uid="{00000000-0005-0000-0000-000085140000}"/>
    <cellStyle name="Style 134 2" xfId="10731" xr:uid="{00000000-0005-0000-0000-0000CD210000}"/>
    <cellStyle name="Style 134 2 2" xfId="43220" xr:uid="{674F73A9-29B8-46DF-8A40-ACFC541E0266}"/>
    <cellStyle name="Style 134 3" xfId="8704" xr:uid="{00000000-0005-0000-0000-0000A7100000}"/>
    <cellStyle name="Style 134 4" xfId="39244" xr:uid="{EC2C2D46-8DF6-467A-A3ED-FF9F2C3E4332}"/>
    <cellStyle name="Style 135" xfId="5214" xr:uid="{00000000-0005-0000-0000-000086140000}"/>
    <cellStyle name="Style 135 2" xfId="10732" xr:uid="{00000000-0005-0000-0000-0000CE210000}"/>
    <cellStyle name="Style 135 2 2" xfId="43221" xr:uid="{022F1DC2-E645-459D-BA40-B74835A20431}"/>
    <cellStyle name="Style 135 3" xfId="8711" xr:uid="{00000000-0005-0000-0000-0000A8100000}"/>
    <cellStyle name="Style 135 4" xfId="39245" xr:uid="{A640FE06-3B42-4ECA-9800-5CA09CEA866D}"/>
    <cellStyle name="Style 136" xfId="5215" xr:uid="{00000000-0005-0000-0000-000087140000}"/>
    <cellStyle name="Style 136 2" xfId="10733" xr:uid="{00000000-0005-0000-0000-0000CF210000}"/>
    <cellStyle name="Style 136 2 2" xfId="43222" xr:uid="{A51FE2CC-995F-4C8C-BFAF-3049624B6213}"/>
    <cellStyle name="Style 136 3" xfId="8713" xr:uid="{00000000-0005-0000-0000-0000A9100000}"/>
    <cellStyle name="Style 136 4" xfId="39246" xr:uid="{CC120277-076E-486F-AD87-45E91DA7D534}"/>
    <cellStyle name="Style 137" xfId="5216" xr:uid="{00000000-0005-0000-0000-000088140000}"/>
    <cellStyle name="Style 137 2" xfId="10734" xr:uid="{00000000-0005-0000-0000-0000D0210000}"/>
    <cellStyle name="Style 137 2 2" xfId="43223" xr:uid="{1F7C6373-9DBA-4CF7-8DF3-2EF7E498EA1F}"/>
    <cellStyle name="Style 137 3" xfId="8714" xr:uid="{00000000-0005-0000-0000-0000AA100000}"/>
    <cellStyle name="Style 137 4" xfId="39247" xr:uid="{45FD2439-E32E-4677-966B-FD81E7F1E32F}"/>
    <cellStyle name="Style 138" xfId="5217" xr:uid="{00000000-0005-0000-0000-000089140000}"/>
    <cellStyle name="Style 138 2" xfId="10735" xr:uid="{00000000-0005-0000-0000-0000D1210000}"/>
    <cellStyle name="Style 138 2 2" xfId="43224" xr:uid="{00673189-013F-45BB-80FD-6B2FFA7C9E2E}"/>
    <cellStyle name="Style 138 3" xfId="8715" xr:uid="{00000000-0005-0000-0000-0000AB100000}"/>
    <cellStyle name="Style 138 4" xfId="39248" xr:uid="{352E68A4-EC0B-4E0E-BE92-3837495FE975}"/>
    <cellStyle name="Style 139" xfId="5218" xr:uid="{00000000-0005-0000-0000-00008A140000}"/>
    <cellStyle name="Style 139 2" xfId="10736" xr:uid="{00000000-0005-0000-0000-0000D2210000}"/>
    <cellStyle name="Style 139 2 2" xfId="43225" xr:uid="{439D6DD7-B15C-4FA0-98E1-434FF861DCC8}"/>
    <cellStyle name="Style 139 3" xfId="8716" xr:uid="{00000000-0005-0000-0000-0000AC100000}"/>
    <cellStyle name="Style 139 4" xfId="39249" xr:uid="{F9830FF1-711B-406A-9C12-0FEC4F5C8FB2}"/>
    <cellStyle name="Style 14" xfId="5219" xr:uid="{00000000-0005-0000-0000-00008B140000}"/>
    <cellStyle name="Style 14 2" xfId="10737" xr:uid="{00000000-0005-0000-0000-0000D3210000}"/>
    <cellStyle name="Style 14 2 2" xfId="43226" xr:uid="{F9A03AF2-D9F1-48DE-9908-B5CD08EB5452}"/>
    <cellStyle name="Style 14 3" xfId="8717" xr:uid="{00000000-0005-0000-0000-0000AD100000}"/>
    <cellStyle name="Style 14 4" xfId="39250" xr:uid="{65FCE138-9D5F-4180-9C56-0DF37CA79664}"/>
    <cellStyle name="Style 140" xfId="5220" xr:uid="{00000000-0005-0000-0000-00008C140000}"/>
    <cellStyle name="Style 140 2" xfId="10738" xr:uid="{00000000-0005-0000-0000-0000D4210000}"/>
    <cellStyle name="Style 140 2 2" xfId="43227" xr:uid="{6D56A393-B7C5-43F2-9CF9-B9F0D97D4B51}"/>
    <cellStyle name="Style 140 3" xfId="8721" xr:uid="{00000000-0005-0000-0000-0000AE100000}"/>
    <cellStyle name="Style 140 4" xfId="39251" xr:uid="{9B0E1630-A66A-4925-94A3-06C477DFA6A4}"/>
    <cellStyle name="Style 141" xfId="5221" xr:uid="{00000000-0005-0000-0000-00008D140000}"/>
    <cellStyle name="Style 141 2" xfId="10739" xr:uid="{00000000-0005-0000-0000-0000D5210000}"/>
    <cellStyle name="Style 141 2 2" xfId="43228" xr:uid="{5130BE90-C6C4-4789-8CD4-503F1361B2B0}"/>
    <cellStyle name="Style 141 3" xfId="8727" xr:uid="{00000000-0005-0000-0000-0000AF100000}"/>
    <cellStyle name="Style 141 4" xfId="39252" xr:uid="{157A4C19-113A-474D-857E-B23167EE039B}"/>
    <cellStyle name="Style 142" xfId="5222" xr:uid="{00000000-0005-0000-0000-00008E140000}"/>
    <cellStyle name="Style 142 2" xfId="10740" xr:uid="{00000000-0005-0000-0000-0000D6210000}"/>
    <cellStyle name="Style 142 2 2" xfId="43229" xr:uid="{247DFE45-8773-4A7D-A0B1-FB101DF36533}"/>
    <cellStyle name="Style 142 3" xfId="8729" xr:uid="{00000000-0005-0000-0000-0000B0100000}"/>
    <cellStyle name="Style 142 4" xfId="39253" xr:uid="{1D95EE62-D011-499D-A136-D4BFB750A266}"/>
    <cellStyle name="Style 143" xfId="5223" xr:uid="{00000000-0005-0000-0000-00008F140000}"/>
    <cellStyle name="Style 143 2" xfId="10741" xr:uid="{00000000-0005-0000-0000-0000D7210000}"/>
    <cellStyle name="Style 143 2 2" xfId="43230" xr:uid="{F0866BC5-336A-4BD5-B08E-2BEF88F3EC7B}"/>
    <cellStyle name="Style 143 3" xfId="8732" xr:uid="{00000000-0005-0000-0000-0000B1100000}"/>
    <cellStyle name="Style 143 4" xfId="39254" xr:uid="{EF5033E3-8545-4E5C-9FD8-27EFDBCF3328}"/>
    <cellStyle name="Style 144" xfId="5224" xr:uid="{00000000-0005-0000-0000-000090140000}"/>
    <cellStyle name="Style 144 2" xfId="10742" xr:uid="{00000000-0005-0000-0000-0000D8210000}"/>
    <cellStyle name="Style 144 2 2" xfId="43231" xr:uid="{0128D7FC-7B3A-40D3-A969-B640D5D605AF}"/>
    <cellStyle name="Style 144 3" xfId="8734" xr:uid="{00000000-0005-0000-0000-0000B2100000}"/>
    <cellStyle name="Style 144 4" xfId="39255" xr:uid="{0B951437-B930-4C2E-93FB-69A5B6757A06}"/>
    <cellStyle name="Style 145" xfId="5225" xr:uid="{00000000-0005-0000-0000-000091140000}"/>
    <cellStyle name="Style 145 2" xfId="10743" xr:uid="{00000000-0005-0000-0000-0000D9210000}"/>
    <cellStyle name="Style 145 2 2" xfId="43232" xr:uid="{0A98D87E-8117-4AFD-8503-6108B0BC3DA1}"/>
    <cellStyle name="Style 145 3" xfId="8735" xr:uid="{00000000-0005-0000-0000-0000B3100000}"/>
    <cellStyle name="Style 145 4" xfId="39256" xr:uid="{59A7D2B1-04F8-42C5-80AA-FE77C90452E9}"/>
    <cellStyle name="Style 146" xfId="5226" xr:uid="{00000000-0005-0000-0000-000092140000}"/>
    <cellStyle name="Style 146 2" xfId="10744" xr:uid="{00000000-0005-0000-0000-0000DA210000}"/>
    <cellStyle name="Style 146 2 2" xfId="43233" xr:uid="{C7260ABF-2546-4BCF-B4CC-BF90C7F06A88}"/>
    <cellStyle name="Style 146 3" xfId="8736" xr:uid="{00000000-0005-0000-0000-0000B4100000}"/>
    <cellStyle name="Style 146 4" xfId="39257" xr:uid="{8739DDEA-AF67-4D6F-B993-CB8D2AB2E880}"/>
    <cellStyle name="Style 147" xfId="5227" xr:uid="{00000000-0005-0000-0000-000093140000}"/>
    <cellStyle name="Style 147 2" xfId="10745" xr:uid="{00000000-0005-0000-0000-0000DB210000}"/>
    <cellStyle name="Style 147 2 2" xfId="43234" xr:uid="{459491EF-7B47-4C04-AB8E-A326192A724F}"/>
    <cellStyle name="Style 147 3" xfId="8737" xr:uid="{00000000-0005-0000-0000-0000B5100000}"/>
    <cellStyle name="Style 147 4" xfId="39258" xr:uid="{BCDFD31B-F218-4508-A672-C834D55100A2}"/>
    <cellStyle name="Style 148" xfId="5228" xr:uid="{00000000-0005-0000-0000-000094140000}"/>
    <cellStyle name="Style 148 2" xfId="10746" xr:uid="{00000000-0005-0000-0000-0000DC210000}"/>
    <cellStyle name="Style 148 2 2" xfId="43235" xr:uid="{D7F17CA2-1316-476B-9863-4CB3EAE86B72}"/>
    <cellStyle name="Style 148 3" xfId="8738" xr:uid="{00000000-0005-0000-0000-0000B6100000}"/>
    <cellStyle name="Style 148 4" xfId="39259" xr:uid="{3A2282BC-F920-45D1-8280-AAA23FF87E8A}"/>
    <cellStyle name="Style 149" xfId="5229" xr:uid="{00000000-0005-0000-0000-000095140000}"/>
    <cellStyle name="Style 149 2" xfId="10747" xr:uid="{00000000-0005-0000-0000-0000DD210000}"/>
    <cellStyle name="Style 149 2 2" xfId="43236" xr:uid="{7C25F7ED-823F-4ECC-925A-EFC292A82FC7}"/>
    <cellStyle name="Style 149 3" xfId="8739" xr:uid="{00000000-0005-0000-0000-0000B7100000}"/>
    <cellStyle name="Style 149 4" xfId="39260" xr:uid="{52231B5C-B4B8-4F5C-9DC9-E0B02ECCAB78}"/>
    <cellStyle name="Style 15" xfId="5230" xr:uid="{00000000-0005-0000-0000-000096140000}"/>
    <cellStyle name="Style 15 2" xfId="10748" xr:uid="{00000000-0005-0000-0000-0000DE210000}"/>
    <cellStyle name="Style 15 2 2" xfId="43237" xr:uid="{DA6B791B-EBF0-445F-81D7-695889983D48}"/>
    <cellStyle name="Style 15 3" xfId="8740" xr:uid="{00000000-0005-0000-0000-0000B8100000}"/>
    <cellStyle name="Style 15 4" xfId="39261" xr:uid="{D879F9F9-5A61-42B6-A9D8-8F91642C66A4}"/>
    <cellStyle name="Style 150" xfId="5231" xr:uid="{00000000-0005-0000-0000-000097140000}"/>
    <cellStyle name="Style 150 2" xfId="10749" xr:uid="{00000000-0005-0000-0000-0000DF210000}"/>
    <cellStyle name="Style 150 2 2" xfId="43238" xr:uid="{67AB9721-1357-4791-BD68-34FDD884D45F}"/>
    <cellStyle name="Style 150 3" xfId="8741" xr:uid="{00000000-0005-0000-0000-0000B9100000}"/>
    <cellStyle name="Style 150 4" xfId="39262" xr:uid="{2C97C8CE-E4EB-4802-949D-EE1BE159373B}"/>
    <cellStyle name="Style 151" xfId="5232" xr:uid="{00000000-0005-0000-0000-000098140000}"/>
    <cellStyle name="Style 151 2" xfId="10750" xr:uid="{00000000-0005-0000-0000-0000E0210000}"/>
    <cellStyle name="Style 151 2 2" xfId="43239" xr:uid="{17A4E583-FED5-40AA-8701-B559E1468F6D}"/>
    <cellStyle name="Style 151 3" xfId="8742" xr:uid="{00000000-0005-0000-0000-0000BA100000}"/>
    <cellStyle name="Style 151 4" xfId="39263" xr:uid="{B774C2B1-47ED-44A6-B4B9-CB02DD4DA0E2}"/>
    <cellStyle name="Style 152" xfId="5233" xr:uid="{00000000-0005-0000-0000-000099140000}"/>
    <cellStyle name="Style 152 2" xfId="10751" xr:uid="{00000000-0005-0000-0000-0000E1210000}"/>
    <cellStyle name="Style 152 2 2" xfId="43240" xr:uid="{DD2078FD-ABFF-46E7-9377-6D7CEC1176DB}"/>
    <cellStyle name="Style 152 3" xfId="8747" xr:uid="{00000000-0005-0000-0000-0000BB100000}"/>
    <cellStyle name="Style 152 4" xfId="39264" xr:uid="{3A0690DF-D283-44E9-B319-89D33C2526A6}"/>
    <cellStyle name="Style 153" xfId="5234" xr:uid="{00000000-0005-0000-0000-00009A140000}"/>
    <cellStyle name="Style 153 2" xfId="10752" xr:uid="{00000000-0005-0000-0000-0000E2210000}"/>
    <cellStyle name="Style 153 2 2" xfId="43241" xr:uid="{2C458DC2-C654-44A9-A4F1-E8C167EEC488}"/>
    <cellStyle name="Style 153 3" xfId="8750" xr:uid="{00000000-0005-0000-0000-0000BC100000}"/>
    <cellStyle name="Style 153 4" xfId="39265" xr:uid="{34EAC4C4-E9CF-4CC4-A37D-81C8E337A307}"/>
    <cellStyle name="Style 154" xfId="5235" xr:uid="{00000000-0005-0000-0000-00009B140000}"/>
    <cellStyle name="Style 154 2" xfId="10753" xr:uid="{00000000-0005-0000-0000-0000E3210000}"/>
    <cellStyle name="Style 154 2 2" xfId="43242" xr:uid="{F30B4198-99CC-40C5-97B7-9D80F00E6578}"/>
    <cellStyle name="Style 154 3" xfId="8751" xr:uid="{00000000-0005-0000-0000-0000BD100000}"/>
    <cellStyle name="Style 154 4" xfId="39266" xr:uid="{DFE7277C-A998-448C-9FD5-02BC0D5E6196}"/>
    <cellStyle name="Style 155" xfId="5236" xr:uid="{00000000-0005-0000-0000-00009C140000}"/>
    <cellStyle name="Style 155 2" xfId="10754" xr:uid="{00000000-0005-0000-0000-0000E4210000}"/>
    <cellStyle name="Style 155 2 2" xfId="43243" xr:uid="{49C1696E-B79C-40B5-9B50-6E4A148866C2}"/>
    <cellStyle name="Style 155 3" xfId="8753" xr:uid="{00000000-0005-0000-0000-0000BE100000}"/>
    <cellStyle name="Style 155 4" xfId="39267" xr:uid="{A139500E-2E7E-44F6-B707-C17492885F20}"/>
    <cellStyle name="Style 156" xfId="5237" xr:uid="{00000000-0005-0000-0000-00009D140000}"/>
    <cellStyle name="Style 156 2" xfId="10755" xr:uid="{00000000-0005-0000-0000-0000E5210000}"/>
    <cellStyle name="Style 156 2 2" xfId="43244" xr:uid="{05AA34EE-EE48-4442-869F-78FC48E137DF}"/>
    <cellStyle name="Style 156 3" xfId="8768" xr:uid="{00000000-0005-0000-0000-0000BF100000}"/>
    <cellStyle name="Style 156 4" xfId="39268" xr:uid="{6DFF1FA7-222B-48F1-9609-DF8F2CCE989F}"/>
    <cellStyle name="Style 157" xfId="5238" xr:uid="{00000000-0005-0000-0000-00009E140000}"/>
    <cellStyle name="Style 157 2" xfId="10756" xr:uid="{00000000-0005-0000-0000-0000E6210000}"/>
    <cellStyle name="Style 157 2 2" xfId="43245" xr:uid="{E6CF821E-1BB1-4B4E-BA58-89C7CADCEE55}"/>
    <cellStyle name="Style 157 3" xfId="8769" xr:uid="{00000000-0005-0000-0000-0000C0100000}"/>
    <cellStyle name="Style 157 4" xfId="39269" xr:uid="{F269917F-1528-49D7-B5CA-B6D508E82A65}"/>
    <cellStyle name="Style 158" xfId="5239" xr:uid="{00000000-0005-0000-0000-00009F140000}"/>
    <cellStyle name="Style 158 2" xfId="10757" xr:uid="{00000000-0005-0000-0000-0000E7210000}"/>
    <cellStyle name="Style 158 2 2" xfId="43246" xr:uid="{194D88AF-8F71-431F-B429-3D51BDEB08D9}"/>
    <cellStyle name="Style 158 3" xfId="8770" xr:uid="{00000000-0005-0000-0000-0000C1100000}"/>
    <cellStyle name="Style 158 4" xfId="39270" xr:uid="{2F652106-7649-4F97-99BA-08CCF00A6B07}"/>
    <cellStyle name="Style 159" xfId="5240" xr:uid="{00000000-0005-0000-0000-0000A0140000}"/>
    <cellStyle name="Style 159 2" xfId="10758" xr:uid="{00000000-0005-0000-0000-0000E8210000}"/>
    <cellStyle name="Style 159 2 2" xfId="43247" xr:uid="{F2FB761A-17ED-4944-8C05-44B4FFDB3239}"/>
    <cellStyle name="Style 159 3" xfId="8771" xr:uid="{00000000-0005-0000-0000-0000C2100000}"/>
    <cellStyle name="Style 159 4" xfId="39271" xr:uid="{1F6B4EC5-EE10-40BA-9AA3-9B33DADA000D}"/>
    <cellStyle name="Style 16" xfId="5241" xr:uid="{00000000-0005-0000-0000-0000A1140000}"/>
    <cellStyle name="Style 16 2" xfId="10759" xr:uid="{00000000-0005-0000-0000-0000E9210000}"/>
    <cellStyle name="Style 16 2 2" xfId="43248" xr:uid="{BB75718F-1230-413C-8F2B-EF37F54BC053}"/>
    <cellStyle name="Style 16 3" xfId="8772" xr:uid="{00000000-0005-0000-0000-0000C3100000}"/>
    <cellStyle name="Style 16 4" xfId="39272" xr:uid="{B389823F-9242-4055-B0CE-9A096D6884D2}"/>
    <cellStyle name="Style 160" xfId="5242" xr:uid="{00000000-0005-0000-0000-0000A2140000}"/>
    <cellStyle name="Style 160 2" xfId="10760" xr:uid="{00000000-0005-0000-0000-0000EA210000}"/>
    <cellStyle name="Style 160 2 2" xfId="43249" xr:uid="{6E71E290-DF28-432A-9A20-AE2F353C9905}"/>
    <cellStyle name="Style 160 3" xfId="8773" xr:uid="{00000000-0005-0000-0000-0000C4100000}"/>
    <cellStyle name="Style 160 4" xfId="39273" xr:uid="{DD9BE307-5395-40DA-9F96-FFAE20BF6640}"/>
    <cellStyle name="Style 161" xfId="5243" xr:uid="{00000000-0005-0000-0000-0000A3140000}"/>
    <cellStyle name="Style 161 2" xfId="10761" xr:uid="{00000000-0005-0000-0000-0000EB210000}"/>
    <cellStyle name="Style 161 2 2" xfId="43250" xr:uid="{C59FE0E8-1C5D-4FDE-AB45-AFBED7259492}"/>
    <cellStyle name="Style 161 3" xfId="8775" xr:uid="{00000000-0005-0000-0000-0000C5100000}"/>
    <cellStyle name="Style 161 4" xfId="39274" xr:uid="{AC1999CF-833C-4338-9032-8B499E279E81}"/>
    <cellStyle name="Style 162" xfId="5244" xr:uid="{00000000-0005-0000-0000-0000A4140000}"/>
    <cellStyle name="Style 162 2" xfId="10762" xr:uid="{00000000-0005-0000-0000-0000EC210000}"/>
    <cellStyle name="Style 162 2 2" xfId="43251" xr:uid="{C90C20E3-51F2-4A90-868E-4AC3BDA8881B}"/>
    <cellStyle name="Style 162 3" xfId="8780" xr:uid="{00000000-0005-0000-0000-0000C6100000}"/>
    <cellStyle name="Style 162 4" xfId="39275" xr:uid="{7328C5BE-27F9-4E99-BD62-4ADE3B8D6391}"/>
    <cellStyle name="Style 163" xfId="5245" xr:uid="{00000000-0005-0000-0000-0000A5140000}"/>
    <cellStyle name="Style 163 2" xfId="10763" xr:uid="{00000000-0005-0000-0000-0000ED210000}"/>
    <cellStyle name="Style 163 2 2" xfId="43252" xr:uid="{0DAFC940-99C1-4779-B272-EAB937DBABEA}"/>
    <cellStyle name="Style 163 3" xfId="8782" xr:uid="{00000000-0005-0000-0000-0000C7100000}"/>
    <cellStyle name="Style 163 4" xfId="39276" xr:uid="{E7691217-00CC-4249-AB5D-92BD7119AB5B}"/>
    <cellStyle name="Style 164" xfId="5246" xr:uid="{00000000-0005-0000-0000-0000A6140000}"/>
    <cellStyle name="Style 164 2" xfId="10764" xr:uid="{00000000-0005-0000-0000-0000EE210000}"/>
    <cellStyle name="Style 164 2 2" xfId="43253" xr:uid="{4E092E6C-5CAB-4A34-AD97-910FEB1B84E3}"/>
    <cellStyle name="Style 164 3" xfId="8783" xr:uid="{00000000-0005-0000-0000-0000C8100000}"/>
    <cellStyle name="Style 164 4" xfId="39277" xr:uid="{EBB2A3C0-1685-4CC4-B5D2-FE7F1479F148}"/>
    <cellStyle name="Style 165" xfId="5247" xr:uid="{00000000-0005-0000-0000-0000A7140000}"/>
    <cellStyle name="Style 165 2" xfId="10765" xr:uid="{00000000-0005-0000-0000-0000EF210000}"/>
    <cellStyle name="Style 165 2 2" xfId="43254" xr:uid="{E40A4EE7-30AC-4F16-B14B-9556942CCE85}"/>
    <cellStyle name="Style 165 3" xfId="8784" xr:uid="{00000000-0005-0000-0000-0000C9100000}"/>
    <cellStyle name="Style 165 4" xfId="39278" xr:uid="{E2C3D813-4474-482C-8D3B-17945A69C6E2}"/>
    <cellStyle name="Style 166" xfId="5248" xr:uid="{00000000-0005-0000-0000-0000A8140000}"/>
    <cellStyle name="Style 166 2" xfId="10766" xr:uid="{00000000-0005-0000-0000-0000F0210000}"/>
    <cellStyle name="Style 166 2 2" xfId="43255" xr:uid="{A3CCB755-F56D-4DBF-9F1F-EB5568AE0ED7}"/>
    <cellStyle name="Style 166 3" xfId="8785" xr:uid="{00000000-0005-0000-0000-0000CA100000}"/>
    <cellStyle name="Style 166 4" xfId="39279" xr:uid="{416D0DD3-B78F-467A-9CA2-B9EC064EEB05}"/>
    <cellStyle name="Style 167" xfId="5249" xr:uid="{00000000-0005-0000-0000-0000A9140000}"/>
    <cellStyle name="Style 167 2" xfId="10767" xr:uid="{00000000-0005-0000-0000-0000F1210000}"/>
    <cellStyle name="Style 167 2 2" xfId="43256" xr:uid="{437EE306-B868-44A6-B8C1-6861B58DEEBA}"/>
    <cellStyle name="Style 167 3" xfId="8787" xr:uid="{00000000-0005-0000-0000-0000CB100000}"/>
    <cellStyle name="Style 167 4" xfId="39280" xr:uid="{8BF0EAB2-DDD0-49A0-9FA9-294376443689}"/>
    <cellStyle name="Style 168" xfId="5250" xr:uid="{00000000-0005-0000-0000-0000AA140000}"/>
    <cellStyle name="Style 168 2" xfId="5251" xr:uid="{00000000-0005-0000-0000-0000AB140000}"/>
    <cellStyle name="Style 168 2 2" xfId="10769" xr:uid="{00000000-0005-0000-0000-0000F3210000}"/>
    <cellStyle name="Style 168 2 2 2" xfId="43258" xr:uid="{885132C6-E254-4027-B372-E110EC7C47E9}"/>
    <cellStyle name="Style 168 2 3" xfId="17324" xr:uid="{F13397EF-D24A-43E8-91FD-E6101DD82E3A}"/>
    <cellStyle name="Style 168 2 4" xfId="39282" xr:uid="{1D691879-1570-4A10-83D2-E1A512BFA64C}"/>
    <cellStyle name="Style 168 3" xfId="10768" xr:uid="{00000000-0005-0000-0000-0000F2210000}"/>
    <cellStyle name="Style 168 3 2" xfId="43257" xr:uid="{51E68143-7F84-4223-8954-A3BF764CC719}"/>
    <cellStyle name="Style 168 4" xfId="8788" xr:uid="{00000000-0005-0000-0000-0000CC100000}"/>
    <cellStyle name="Style 168 5" xfId="16472" xr:uid="{2D697AF0-B364-47B2-830A-463C5DDDC843}"/>
    <cellStyle name="Style 168 6" xfId="39281" xr:uid="{C65A1BD4-FDD4-4596-866D-01E5600B9D80}"/>
    <cellStyle name="Style 169" xfId="5252" xr:uid="{00000000-0005-0000-0000-0000AC140000}"/>
    <cellStyle name="Style 169 2" xfId="10770" xr:uid="{00000000-0005-0000-0000-0000F4210000}"/>
    <cellStyle name="Style 169 2 2" xfId="43259" xr:uid="{41DE5E60-3B9A-4624-9E00-48C8C7699995}"/>
    <cellStyle name="Style 169 3" xfId="8789" xr:uid="{00000000-0005-0000-0000-0000CD100000}"/>
    <cellStyle name="Style 169 4" xfId="39283" xr:uid="{C63FD5D5-D526-4E06-A641-EF18688C4416}"/>
    <cellStyle name="Style 17" xfId="5253" xr:uid="{00000000-0005-0000-0000-0000AD140000}"/>
    <cellStyle name="Style 17 2" xfId="10771" xr:uid="{00000000-0005-0000-0000-0000F5210000}"/>
    <cellStyle name="Style 17 2 2" xfId="43260" xr:uid="{8D2C4C17-1F47-4D0A-ACE0-F02303A89282}"/>
    <cellStyle name="Style 17 3" xfId="8790" xr:uid="{00000000-0005-0000-0000-0000CE100000}"/>
    <cellStyle name="Style 17 4" xfId="39284" xr:uid="{3B244422-4C1E-42DC-B446-B82E8290C83A}"/>
    <cellStyle name="Style 170" xfId="5254" xr:uid="{00000000-0005-0000-0000-0000AE140000}"/>
    <cellStyle name="Style 170 2" xfId="10772" xr:uid="{00000000-0005-0000-0000-0000F6210000}"/>
    <cellStyle name="Style 170 2 2" xfId="43261" xr:uid="{D49CB1F9-6573-4338-9900-53838E086943}"/>
    <cellStyle name="Style 170 3" xfId="8793" xr:uid="{00000000-0005-0000-0000-0000CF100000}"/>
    <cellStyle name="Style 170 4" xfId="39285" xr:uid="{48406AA8-E0CA-46F1-894D-7772ABC3AB41}"/>
    <cellStyle name="Style 171" xfId="5255" xr:uid="{00000000-0005-0000-0000-0000AF140000}"/>
    <cellStyle name="Style 171 2" xfId="10773" xr:uid="{00000000-0005-0000-0000-0000F7210000}"/>
    <cellStyle name="Style 171 2 2" xfId="43262" xr:uid="{E4E50ED8-2A2E-430D-A22D-FBFEC7263283}"/>
    <cellStyle name="Style 171 3" xfId="8796" xr:uid="{00000000-0005-0000-0000-0000D0100000}"/>
    <cellStyle name="Style 171 4" xfId="39286" xr:uid="{35DD7780-48B2-442B-AB8B-59BD06D190DD}"/>
    <cellStyle name="Style 172" xfId="5256" xr:uid="{00000000-0005-0000-0000-0000B0140000}"/>
    <cellStyle name="Style 172 2" xfId="10774" xr:uid="{00000000-0005-0000-0000-0000F8210000}"/>
    <cellStyle name="Style 172 2 2" xfId="43263" xr:uid="{E956C887-3253-46F2-8D65-D198CB765A48}"/>
    <cellStyle name="Style 172 3" xfId="8797" xr:uid="{00000000-0005-0000-0000-0000D1100000}"/>
    <cellStyle name="Style 172 4" xfId="39287" xr:uid="{C9D5E782-550A-42D7-8B50-7DA8DCF5FBF3}"/>
    <cellStyle name="Style 173" xfId="5257" xr:uid="{00000000-0005-0000-0000-0000B1140000}"/>
    <cellStyle name="Style 173 2" xfId="10775" xr:uid="{00000000-0005-0000-0000-0000F9210000}"/>
    <cellStyle name="Style 173 2 2" xfId="43264" xr:uid="{0A78CB99-32EC-4936-BA15-F0F83C41194D}"/>
    <cellStyle name="Style 173 3" xfId="8798" xr:uid="{00000000-0005-0000-0000-0000D2100000}"/>
    <cellStyle name="Style 173 4" xfId="39288" xr:uid="{1D0B89EE-3736-4F17-838D-DEFCE2CD303B}"/>
    <cellStyle name="Style 174" xfId="5258" xr:uid="{00000000-0005-0000-0000-0000B2140000}"/>
    <cellStyle name="Style 174 2" xfId="10776" xr:uid="{00000000-0005-0000-0000-0000FA210000}"/>
    <cellStyle name="Style 174 2 2" xfId="43265" xr:uid="{862BA544-A3C7-4E6D-990F-BA8AF0563241}"/>
    <cellStyle name="Style 174 3" xfId="8799" xr:uid="{00000000-0005-0000-0000-0000D3100000}"/>
    <cellStyle name="Style 174 4" xfId="39289" xr:uid="{0936ADC2-90F8-4F32-B689-834FC7A136DF}"/>
    <cellStyle name="Style 175" xfId="5259" xr:uid="{00000000-0005-0000-0000-0000B3140000}"/>
    <cellStyle name="Style 175 2" xfId="10777" xr:uid="{00000000-0005-0000-0000-0000FB210000}"/>
    <cellStyle name="Style 175 2 2" xfId="43266" xr:uid="{F81317D4-2E94-4486-B8D8-DBA269CD5D6A}"/>
    <cellStyle name="Style 175 3" xfId="8800" xr:uid="{00000000-0005-0000-0000-0000D4100000}"/>
    <cellStyle name="Style 175 4" xfId="39290" xr:uid="{A1FA5581-34A5-462B-A2AC-951773E9A163}"/>
    <cellStyle name="Style 176" xfId="5260" xr:uid="{00000000-0005-0000-0000-0000B4140000}"/>
    <cellStyle name="Style 176 2" xfId="10778" xr:uid="{00000000-0005-0000-0000-0000FC210000}"/>
    <cellStyle name="Style 176 2 2" xfId="43267" xr:uid="{329F46A7-4AAD-4090-8FF0-C39EC8297C02}"/>
    <cellStyle name="Style 176 3" xfId="8801" xr:uid="{00000000-0005-0000-0000-0000D5100000}"/>
    <cellStyle name="Style 176 4" xfId="39291" xr:uid="{F175DE48-F3B2-41C5-B76A-C3D0536F3895}"/>
    <cellStyle name="Style 177" xfId="5261" xr:uid="{00000000-0005-0000-0000-0000B5140000}"/>
    <cellStyle name="Style 177 2" xfId="10779" xr:uid="{00000000-0005-0000-0000-0000FD210000}"/>
    <cellStyle name="Style 177 2 2" xfId="43268" xr:uid="{F75616E4-58CA-47AC-BAA8-BD3159E65008}"/>
    <cellStyle name="Style 177 3" xfId="8803" xr:uid="{00000000-0005-0000-0000-0000D6100000}"/>
    <cellStyle name="Style 177 4" xfId="39292" xr:uid="{3F1A7396-06C2-4458-8656-62628D94ECB9}"/>
    <cellStyle name="Style 178" xfId="5262" xr:uid="{00000000-0005-0000-0000-0000B6140000}"/>
    <cellStyle name="Style 178 2" xfId="10780" xr:uid="{00000000-0005-0000-0000-0000FE210000}"/>
    <cellStyle name="Style 178 2 2" xfId="43269" xr:uid="{60C89E7A-9EBF-4686-AAED-6FEABC7912E0}"/>
    <cellStyle name="Style 178 3" xfId="8805" xr:uid="{00000000-0005-0000-0000-0000D7100000}"/>
    <cellStyle name="Style 178 4" xfId="39293" xr:uid="{0F0BB613-C347-446D-99EB-D985189F00D1}"/>
    <cellStyle name="Style 179" xfId="5263" xr:uid="{00000000-0005-0000-0000-0000B7140000}"/>
    <cellStyle name="Style 179 2" xfId="10781" xr:uid="{00000000-0005-0000-0000-0000FF210000}"/>
    <cellStyle name="Style 179 2 2" xfId="43270" xr:uid="{94010214-1916-4EDA-912F-08E0ED29290B}"/>
    <cellStyle name="Style 179 3" xfId="8806" xr:uid="{00000000-0005-0000-0000-0000D8100000}"/>
    <cellStyle name="Style 179 4" xfId="39294" xr:uid="{AA56AA6B-DF36-43E5-A6F1-4101D232404C}"/>
    <cellStyle name="Style 18" xfId="5264" xr:uid="{00000000-0005-0000-0000-0000B8140000}"/>
    <cellStyle name="Style 18 2" xfId="10782" xr:uid="{00000000-0005-0000-0000-000000220000}"/>
    <cellStyle name="Style 18 2 2" xfId="43271" xr:uid="{E72E1C4B-AD24-40BE-AE13-8C3A456B7E4C}"/>
    <cellStyle name="Style 18 3" xfId="8808" xr:uid="{00000000-0005-0000-0000-0000D9100000}"/>
    <cellStyle name="Style 18 4" xfId="39295" xr:uid="{F7901660-A64C-4739-934A-9003714740A8}"/>
    <cellStyle name="Style 180" xfId="5265" xr:uid="{00000000-0005-0000-0000-0000B9140000}"/>
    <cellStyle name="Style 180 2" xfId="10783" xr:uid="{00000000-0005-0000-0000-000001220000}"/>
    <cellStyle name="Style 180 2 2" xfId="43272" xr:uid="{734F8383-199E-4AAC-BA7A-EADAF8B24D1E}"/>
    <cellStyle name="Style 180 3" xfId="8831" xr:uid="{00000000-0005-0000-0000-0000DA100000}"/>
    <cellStyle name="Style 180 4" xfId="39296" xr:uid="{5B8C76E7-3EAB-42F6-A985-FF2959CE5ABE}"/>
    <cellStyle name="Style 181" xfId="5266" xr:uid="{00000000-0005-0000-0000-0000BA140000}"/>
    <cellStyle name="Style 181 2" xfId="10784" xr:uid="{00000000-0005-0000-0000-000002220000}"/>
    <cellStyle name="Style 181 2 2" xfId="43273" xr:uid="{48BDD79B-415F-47F4-8F1F-6A55CE29AFF8}"/>
    <cellStyle name="Style 181 3" xfId="8832" xr:uid="{00000000-0005-0000-0000-0000DB100000}"/>
    <cellStyle name="Style 181 4" xfId="39297" xr:uid="{39091BD8-2A00-487D-9983-575742623EB5}"/>
    <cellStyle name="Style 182" xfId="5267" xr:uid="{00000000-0005-0000-0000-0000BB140000}"/>
    <cellStyle name="Style 182 2" xfId="10785" xr:uid="{00000000-0005-0000-0000-000003220000}"/>
    <cellStyle name="Style 182 2 2" xfId="43274" xr:uid="{A2B55BA6-D246-4648-AF80-5102BB8D6068}"/>
    <cellStyle name="Style 182 3" xfId="8833" xr:uid="{00000000-0005-0000-0000-0000DC100000}"/>
    <cellStyle name="Style 182 4" xfId="39298" xr:uid="{540DDCC4-2397-4A76-9278-DCF43C775EF4}"/>
    <cellStyle name="Style 183" xfId="5268" xr:uid="{00000000-0005-0000-0000-0000BC140000}"/>
    <cellStyle name="Style 183 2" xfId="10786" xr:uid="{00000000-0005-0000-0000-000004220000}"/>
    <cellStyle name="Style 183 2 2" xfId="43275" xr:uid="{D765B63F-1128-4C08-8D7D-881DF987C873}"/>
    <cellStyle name="Style 183 3" xfId="8835" xr:uid="{00000000-0005-0000-0000-0000DD100000}"/>
    <cellStyle name="Style 183 4" xfId="39299" xr:uid="{55200E1D-2BE7-40C0-9063-5935863C8364}"/>
    <cellStyle name="Style 184" xfId="5269" xr:uid="{00000000-0005-0000-0000-0000BD140000}"/>
    <cellStyle name="Style 184 2" xfId="10787" xr:uid="{00000000-0005-0000-0000-000005220000}"/>
    <cellStyle name="Style 184 2 2" xfId="43276" xr:uid="{966A7C96-E50A-4281-95C5-ABC079D1A7BC}"/>
    <cellStyle name="Style 184 3" xfId="8837" xr:uid="{00000000-0005-0000-0000-0000DE100000}"/>
    <cellStyle name="Style 184 4" xfId="39300" xr:uid="{13D99BA0-22BA-43BF-B38C-655D6BA46B02}"/>
    <cellStyle name="Style 185" xfId="5270" xr:uid="{00000000-0005-0000-0000-0000BE140000}"/>
    <cellStyle name="Style 185 2" xfId="10788" xr:uid="{00000000-0005-0000-0000-000006220000}"/>
    <cellStyle name="Style 185 2 2" xfId="43277" xr:uid="{6135E9D2-4412-4298-A50B-3A85F11DAF4A}"/>
    <cellStyle name="Style 185 3" xfId="8838" xr:uid="{00000000-0005-0000-0000-0000DF100000}"/>
    <cellStyle name="Style 185 4" xfId="39301" xr:uid="{1283AB91-0801-48BE-A43A-877AB8499D15}"/>
    <cellStyle name="Style 186" xfId="5271" xr:uid="{00000000-0005-0000-0000-0000BF140000}"/>
    <cellStyle name="Style 186 2" xfId="10789" xr:uid="{00000000-0005-0000-0000-000007220000}"/>
    <cellStyle name="Style 186 2 2" xfId="43278" xr:uid="{6745C639-C7B5-4CCF-BC18-D0FDE38D5492}"/>
    <cellStyle name="Style 186 3" xfId="8839" xr:uid="{00000000-0005-0000-0000-0000E0100000}"/>
    <cellStyle name="Style 186 4" xfId="39302" xr:uid="{2CA67874-E2C7-45FC-A0E2-667CA8DDC036}"/>
    <cellStyle name="Style 187" xfId="5272" xr:uid="{00000000-0005-0000-0000-0000C0140000}"/>
    <cellStyle name="Style 187 2" xfId="10790" xr:uid="{00000000-0005-0000-0000-000008220000}"/>
    <cellStyle name="Style 187 2 2" xfId="43279" xr:uid="{2AFEFD99-A98B-4BAA-A7DA-BFF13F5E6612}"/>
    <cellStyle name="Style 187 3" xfId="8842" xr:uid="{00000000-0005-0000-0000-0000E1100000}"/>
    <cellStyle name="Style 187 4" xfId="39303" xr:uid="{3064EF6F-B6BD-44D7-9186-7780EC9C5BFD}"/>
    <cellStyle name="Style 188" xfId="5273" xr:uid="{00000000-0005-0000-0000-0000C1140000}"/>
    <cellStyle name="Style 188 2" xfId="10791" xr:uid="{00000000-0005-0000-0000-000009220000}"/>
    <cellStyle name="Style 188 2 2" xfId="43280" xr:uid="{4F443BF7-2CA4-4811-9DDB-E2136994B703}"/>
    <cellStyle name="Style 188 3" xfId="8843" xr:uid="{00000000-0005-0000-0000-0000E2100000}"/>
    <cellStyle name="Style 188 4" xfId="39304" xr:uid="{0A10849F-6EFB-43C0-BBFC-0CBD1C94B510}"/>
    <cellStyle name="Style 189" xfId="5274" xr:uid="{00000000-0005-0000-0000-0000C2140000}"/>
    <cellStyle name="Style 189 2" xfId="10792" xr:uid="{00000000-0005-0000-0000-00000A220000}"/>
    <cellStyle name="Style 189 2 2" xfId="43281" xr:uid="{8564E335-502D-42A7-AC86-8ADA93F79787}"/>
    <cellStyle name="Style 189 3" xfId="8844" xr:uid="{00000000-0005-0000-0000-0000E3100000}"/>
    <cellStyle name="Style 189 4" xfId="39305" xr:uid="{FE08E49D-F155-4E3D-9558-93CE429960FC}"/>
    <cellStyle name="Style 19" xfId="5275" xr:uid="{00000000-0005-0000-0000-0000C3140000}"/>
    <cellStyle name="Style 19 2" xfId="10793" xr:uid="{00000000-0005-0000-0000-00000B220000}"/>
    <cellStyle name="Style 19 2 2" xfId="43282" xr:uid="{7A63A8FA-86E6-4018-8C2D-C908911B86EE}"/>
    <cellStyle name="Style 19 3" xfId="8850" xr:uid="{00000000-0005-0000-0000-0000E4100000}"/>
    <cellStyle name="Style 19 4" xfId="39306" xr:uid="{93D7190B-4A25-457E-8588-4FAB42BDDD79}"/>
    <cellStyle name="Style 190" xfId="5276" xr:uid="{00000000-0005-0000-0000-0000C4140000}"/>
    <cellStyle name="Style 190 2" xfId="10794" xr:uid="{00000000-0005-0000-0000-00000C220000}"/>
    <cellStyle name="Style 190 2 2" xfId="43283" xr:uid="{27DCC858-0DCD-47FE-A6C4-D7527B6077C2}"/>
    <cellStyle name="Style 190 3" xfId="8851" xr:uid="{00000000-0005-0000-0000-0000E5100000}"/>
    <cellStyle name="Style 190 4" xfId="39307" xr:uid="{83283484-A2E4-41B1-8454-F01AB5B89D22}"/>
    <cellStyle name="Style 191" xfId="5277" xr:uid="{00000000-0005-0000-0000-0000C5140000}"/>
    <cellStyle name="Style 191 2" xfId="10795" xr:uid="{00000000-0005-0000-0000-00000D220000}"/>
    <cellStyle name="Style 191 2 2" xfId="43284" xr:uid="{D74671E4-7080-46F5-8F34-715EC6D99686}"/>
    <cellStyle name="Style 191 3" xfId="8852" xr:uid="{00000000-0005-0000-0000-0000E6100000}"/>
    <cellStyle name="Style 191 4" xfId="39308" xr:uid="{CFFD5139-95BF-4CCE-8DB3-9A80FF2A0927}"/>
    <cellStyle name="Style 192" xfId="5278" xr:uid="{00000000-0005-0000-0000-0000C6140000}"/>
    <cellStyle name="Style 192 2" xfId="10796" xr:uid="{00000000-0005-0000-0000-00000E220000}"/>
    <cellStyle name="Style 192 2 2" xfId="43285" xr:uid="{CAE6A7B3-0818-4B42-AC41-A602876191EC}"/>
    <cellStyle name="Style 192 3" xfId="8853" xr:uid="{00000000-0005-0000-0000-0000E7100000}"/>
    <cellStyle name="Style 192 4" xfId="39309" xr:uid="{7F1341F5-B4F6-4499-A526-F19BA6EA60FC}"/>
    <cellStyle name="Style 193" xfId="5279" xr:uid="{00000000-0005-0000-0000-0000C7140000}"/>
    <cellStyle name="Style 193 2" xfId="10797" xr:uid="{00000000-0005-0000-0000-00000F220000}"/>
    <cellStyle name="Style 193 2 2" xfId="43286" xr:uid="{7DAC88DA-06C7-401F-A6B1-852CC517695F}"/>
    <cellStyle name="Style 193 3" xfId="8855" xr:uid="{00000000-0005-0000-0000-0000E8100000}"/>
    <cellStyle name="Style 193 4" xfId="39310" xr:uid="{EBA38836-91D8-495E-9AC6-7460A1DD6C90}"/>
    <cellStyle name="Style 194" xfId="5280" xr:uid="{00000000-0005-0000-0000-0000C8140000}"/>
    <cellStyle name="Style 194 2" xfId="10798" xr:uid="{00000000-0005-0000-0000-000010220000}"/>
    <cellStyle name="Style 194 2 2" xfId="43287" xr:uid="{D431C118-B4E3-4619-B4D3-BFDEEAD3AA06}"/>
    <cellStyle name="Style 194 3" xfId="8856" xr:uid="{00000000-0005-0000-0000-0000E9100000}"/>
    <cellStyle name="Style 194 4" xfId="39311" xr:uid="{8F55E644-E4B0-4061-B052-C3B426F961FC}"/>
    <cellStyle name="Style 195" xfId="5281" xr:uid="{00000000-0005-0000-0000-0000C9140000}"/>
    <cellStyle name="Style 195 2" xfId="10799" xr:uid="{00000000-0005-0000-0000-000011220000}"/>
    <cellStyle name="Style 195 2 2" xfId="43288" xr:uid="{106DB7A0-0E97-4788-A02B-5D51BF873D9A}"/>
    <cellStyle name="Style 195 3" xfId="8858" xr:uid="{00000000-0005-0000-0000-0000EA100000}"/>
    <cellStyle name="Style 195 4" xfId="39312" xr:uid="{AA00D2B1-749C-4EC0-8AEB-15A5F7EF3780}"/>
    <cellStyle name="Style 196" xfId="5282" xr:uid="{00000000-0005-0000-0000-0000CA140000}"/>
    <cellStyle name="Style 196 2" xfId="10800" xr:uid="{00000000-0005-0000-0000-000012220000}"/>
    <cellStyle name="Style 196 2 2" xfId="43289" xr:uid="{543C18F5-A5E0-463F-8F83-16026C27EB22}"/>
    <cellStyle name="Style 196 3" xfId="8859" xr:uid="{00000000-0005-0000-0000-0000EB100000}"/>
    <cellStyle name="Style 196 4" xfId="39313" xr:uid="{8F7D3FBC-4552-448B-8D26-7BC57314223F}"/>
    <cellStyle name="Style 197" xfId="5283" xr:uid="{00000000-0005-0000-0000-0000CB140000}"/>
    <cellStyle name="Style 197 2" xfId="10801" xr:uid="{00000000-0005-0000-0000-000013220000}"/>
    <cellStyle name="Style 197 2 2" xfId="43290" xr:uid="{8E1EA90A-656E-4AC8-B230-92B487DD92E3}"/>
    <cellStyle name="Style 197 3" xfId="8861" xr:uid="{00000000-0005-0000-0000-0000EC100000}"/>
    <cellStyle name="Style 197 4" xfId="39314" xr:uid="{967F8F5F-2BE8-48AC-B19E-2E2D32C2748D}"/>
    <cellStyle name="Style 198" xfId="5284" xr:uid="{00000000-0005-0000-0000-0000CC140000}"/>
    <cellStyle name="Style 198 2" xfId="10802" xr:uid="{00000000-0005-0000-0000-000014220000}"/>
    <cellStyle name="Style 198 2 2" xfId="43291" xr:uid="{B14F59CC-ED7D-41AD-920D-2408D2220940}"/>
    <cellStyle name="Style 198 3" xfId="8862" xr:uid="{00000000-0005-0000-0000-0000ED100000}"/>
    <cellStyle name="Style 198 4" xfId="39315" xr:uid="{2A430A71-D3BA-4BEF-869C-960BA076DA0F}"/>
    <cellStyle name="Style 199" xfId="5285" xr:uid="{00000000-0005-0000-0000-0000CD140000}"/>
    <cellStyle name="Style 199 2" xfId="10803" xr:uid="{00000000-0005-0000-0000-000015220000}"/>
    <cellStyle name="Style 199 2 2" xfId="43292" xr:uid="{F18577FD-E14D-4F00-8873-328A0340E9D9}"/>
    <cellStyle name="Style 199 3" xfId="8863" xr:uid="{00000000-0005-0000-0000-0000EE100000}"/>
    <cellStyle name="Style 199 4" xfId="39316" xr:uid="{72629852-A6DE-4C3B-B699-533FB174186C}"/>
    <cellStyle name="Style 2" xfId="5286" xr:uid="{00000000-0005-0000-0000-0000CE140000}"/>
    <cellStyle name="Style 2 2" xfId="5287" xr:uid="{00000000-0005-0000-0000-0000CF140000}"/>
    <cellStyle name="Style 2 2 2" xfId="10805" xr:uid="{00000000-0005-0000-0000-000017220000}"/>
    <cellStyle name="Style 2 2 2 2" xfId="43294" xr:uid="{5FC21B0C-37CE-4A3C-A9FB-33E92DC2B85D}"/>
    <cellStyle name="Style 2 2 3" xfId="17325" xr:uid="{13F27BCB-7210-438E-8E44-887A0F68CDDF}"/>
    <cellStyle name="Style 2 2 4" xfId="39318" xr:uid="{FE66B896-8B09-4AAB-A1FA-A7C49C312521}"/>
    <cellStyle name="Style 2 3" xfId="10804" xr:uid="{00000000-0005-0000-0000-000016220000}"/>
    <cellStyle name="Style 2 3 2" xfId="43293" xr:uid="{7365768F-4197-4668-903F-7FA8EFDB686A}"/>
    <cellStyle name="Style 2 4" xfId="8864" xr:uid="{00000000-0005-0000-0000-0000EF100000}"/>
    <cellStyle name="Style 2 5" xfId="16482" xr:uid="{594743FE-D2DA-4EC3-BB95-A82B7FBB83DB}"/>
    <cellStyle name="Style 2 6" xfId="39317" xr:uid="{09C87475-9B01-4247-8C14-1D7F93E5133E}"/>
    <cellStyle name="Style 20" xfId="5288" xr:uid="{00000000-0005-0000-0000-0000D0140000}"/>
    <cellStyle name="Style 20 2" xfId="10806" xr:uid="{00000000-0005-0000-0000-000018220000}"/>
    <cellStyle name="Style 20 2 2" xfId="43295" xr:uid="{2E6D1825-D697-40F0-B1E1-C59565928275}"/>
    <cellStyle name="Style 20 3" xfId="8865" xr:uid="{00000000-0005-0000-0000-0000F0100000}"/>
    <cellStyle name="Style 20 4" xfId="39319" xr:uid="{5C83F4E2-0C28-45F9-9C50-0E230961FF07}"/>
    <cellStyle name="Style 200" xfId="5289" xr:uid="{00000000-0005-0000-0000-0000D1140000}"/>
    <cellStyle name="Style 200 2" xfId="10807" xr:uid="{00000000-0005-0000-0000-000019220000}"/>
    <cellStyle name="Style 200 2 2" xfId="43296" xr:uid="{DDDFF1BC-1521-450F-A5FD-B99A86586B51}"/>
    <cellStyle name="Style 200 3" xfId="8868" xr:uid="{00000000-0005-0000-0000-0000F1100000}"/>
    <cellStyle name="Style 200 4" xfId="39320" xr:uid="{76777B2C-BCFC-4CE5-B369-136D65B57049}"/>
    <cellStyle name="Style 201" xfId="5290" xr:uid="{00000000-0005-0000-0000-0000D2140000}"/>
    <cellStyle name="Style 201 2" xfId="10808" xr:uid="{00000000-0005-0000-0000-00001A220000}"/>
    <cellStyle name="Style 201 2 2" xfId="43297" xr:uid="{D1AB3EA6-5036-4B8E-8B5C-1E5F9B72AC57}"/>
    <cellStyle name="Style 201 3" xfId="8869" xr:uid="{00000000-0005-0000-0000-0000F2100000}"/>
    <cellStyle name="Style 201 4" xfId="39321" xr:uid="{8B149A8A-1E2D-4A1B-B48E-26CDD1BD47A7}"/>
    <cellStyle name="Style 202" xfId="5291" xr:uid="{00000000-0005-0000-0000-0000D3140000}"/>
    <cellStyle name="Style 202 2" xfId="10809" xr:uid="{00000000-0005-0000-0000-00001B220000}"/>
    <cellStyle name="Style 202 2 2" xfId="43298" xr:uid="{10488006-9E0C-4F20-AC42-4F73FC2B05DA}"/>
    <cellStyle name="Style 202 3" xfId="8870" xr:uid="{00000000-0005-0000-0000-0000F3100000}"/>
    <cellStyle name="Style 202 4" xfId="39322" xr:uid="{269FA253-6D4D-408C-8A62-D56B3003E669}"/>
    <cellStyle name="Style 203" xfId="5292" xr:uid="{00000000-0005-0000-0000-0000D4140000}"/>
    <cellStyle name="Style 203 2" xfId="10810" xr:uid="{00000000-0005-0000-0000-00001C220000}"/>
    <cellStyle name="Style 203 2 2" xfId="43299" xr:uid="{FC2D9680-F77C-4113-9557-04975C9355F0}"/>
    <cellStyle name="Style 203 3" xfId="8872" xr:uid="{00000000-0005-0000-0000-0000F4100000}"/>
    <cellStyle name="Style 203 4" xfId="39323" xr:uid="{4397A676-DCB9-4514-A25F-ED53B2EBA1C4}"/>
    <cellStyle name="Style 204" xfId="5293" xr:uid="{00000000-0005-0000-0000-0000D5140000}"/>
    <cellStyle name="Style 204 2" xfId="10811" xr:uid="{00000000-0005-0000-0000-00001D220000}"/>
    <cellStyle name="Style 204 2 2" xfId="43300" xr:uid="{FE0CB6BF-35FD-4418-BA3D-11BDF1290677}"/>
    <cellStyle name="Style 204 3" xfId="8897" xr:uid="{00000000-0005-0000-0000-0000F5100000}"/>
    <cellStyle name="Style 204 4" xfId="39324" xr:uid="{8582DF03-2F56-42DF-A8CF-AD5763907883}"/>
    <cellStyle name="Style 205" xfId="5294" xr:uid="{00000000-0005-0000-0000-0000D6140000}"/>
    <cellStyle name="Style 205 2" xfId="10812" xr:uid="{00000000-0005-0000-0000-00001E220000}"/>
    <cellStyle name="Style 205 2 2" xfId="43301" xr:uid="{F2047B50-4369-4FBE-B609-A39DA6352A81}"/>
    <cellStyle name="Style 205 3" xfId="8898" xr:uid="{00000000-0005-0000-0000-0000F6100000}"/>
    <cellStyle name="Style 205 4" xfId="39325" xr:uid="{491FECED-487B-427C-93CD-B8A7E1A790BB}"/>
    <cellStyle name="Style 206" xfId="5295" xr:uid="{00000000-0005-0000-0000-0000D7140000}"/>
    <cellStyle name="Style 206 2" xfId="10813" xr:uid="{00000000-0005-0000-0000-00001F220000}"/>
    <cellStyle name="Style 206 2 2" xfId="43302" xr:uid="{5CBF734B-9D39-4379-A3A3-28E5F5498EF6}"/>
    <cellStyle name="Style 206 3" xfId="8902" xr:uid="{00000000-0005-0000-0000-0000F7100000}"/>
    <cellStyle name="Style 206 4" xfId="39326" xr:uid="{CD7EA8C1-6420-4109-97E2-B217C8F46B59}"/>
    <cellStyle name="Style 207" xfId="5296" xr:uid="{00000000-0005-0000-0000-0000D8140000}"/>
    <cellStyle name="Style 207 2" xfId="10814" xr:uid="{00000000-0005-0000-0000-000020220000}"/>
    <cellStyle name="Style 207 2 2" xfId="43303" xr:uid="{66F5AB0A-5F04-4E9E-8202-C391D8B96535}"/>
    <cellStyle name="Style 207 3" xfId="8904" xr:uid="{00000000-0005-0000-0000-0000F8100000}"/>
    <cellStyle name="Style 207 4" xfId="39327" xr:uid="{EB3A2C35-ED03-47F0-846C-18D5F3621436}"/>
    <cellStyle name="Style 208" xfId="5297" xr:uid="{00000000-0005-0000-0000-0000D9140000}"/>
    <cellStyle name="Style 208 2" xfId="10815" xr:uid="{00000000-0005-0000-0000-000021220000}"/>
    <cellStyle name="Style 208 2 2" xfId="43304" xr:uid="{9D023BE2-1DB4-4D46-8552-8E6A027038C8}"/>
    <cellStyle name="Style 208 3" xfId="8911" xr:uid="{00000000-0005-0000-0000-0000F9100000}"/>
    <cellStyle name="Style 208 4" xfId="39328" xr:uid="{D2428C37-0DED-4E2D-9C8A-FCC815C91320}"/>
    <cellStyle name="Style 209" xfId="5298" xr:uid="{00000000-0005-0000-0000-0000DA140000}"/>
    <cellStyle name="Style 209 2" xfId="10816" xr:uid="{00000000-0005-0000-0000-000022220000}"/>
    <cellStyle name="Style 209 2 2" xfId="43305" xr:uid="{7B8C7F4F-3556-459F-87D1-51C6E758E4BA}"/>
    <cellStyle name="Style 209 3" xfId="8912" xr:uid="{00000000-0005-0000-0000-0000FA100000}"/>
    <cellStyle name="Style 209 4" xfId="39329" xr:uid="{D35BDC3D-EA69-4A1E-B899-42FF0DDA7E8D}"/>
    <cellStyle name="Style 21" xfId="5299" xr:uid="{00000000-0005-0000-0000-0000DB140000}"/>
    <cellStyle name="Style 21 2" xfId="5300" xr:uid="{00000000-0005-0000-0000-0000DC140000}"/>
    <cellStyle name="Style 21 2 10" xfId="39331" xr:uid="{306E94B9-5E21-472D-A078-EC5D3263862D}"/>
    <cellStyle name="Style 21 2 2" xfId="10818" xr:uid="{00000000-0005-0000-0000-000024220000}"/>
    <cellStyle name="Style 21 2 2 2" xfId="17794" xr:uid="{A6EF76FE-2907-4980-A7A8-1316DC30E461}"/>
    <cellStyle name="Style 21 2 2 2 2" xfId="23561" xr:uid="{2A8B2890-5177-4EAD-900C-19C25BDF0724}"/>
    <cellStyle name="Style 21 2 2 3" xfId="23102" xr:uid="{D30758BA-B0D6-4A15-AC53-B3B15C150BA2}"/>
    <cellStyle name="Style 21 2 2 4" xfId="17523" xr:uid="{78D65A6A-04DB-4344-91A3-0A6AD1597117}"/>
    <cellStyle name="Style 21 2 2 5" xfId="43307" xr:uid="{74B3E24C-AA2B-4D14-9DE5-C277E98C58E9}"/>
    <cellStyle name="Style 21 2 3" xfId="8926" xr:uid="{00000000-0005-0000-0000-0000FC100000}"/>
    <cellStyle name="Style 21 2 3 2" xfId="17774" xr:uid="{5E0E77A1-D7B0-4624-BADE-08450522830C}"/>
    <cellStyle name="Style 21 2 3 2 2" xfId="23574" xr:uid="{F20F46A3-65C9-4247-A359-428946F925CC}"/>
    <cellStyle name="Style 21 2 3 3" xfId="23108" xr:uid="{1DA48F7E-0B54-40DE-8CE1-E7748266AD40}"/>
    <cellStyle name="Style 21 2 3 4" xfId="17504" xr:uid="{3F8839D3-79C1-443E-9214-5A64E4563184}"/>
    <cellStyle name="Style 21 2 4" xfId="17702" xr:uid="{080C8238-1EA4-4600-8000-B1F68CEED2AB}"/>
    <cellStyle name="Style 21 2 4 2" xfId="23063" xr:uid="{AC29909D-6EA2-455A-9E26-8D59AC160B93}"/>
    <cellStyle name="Style 21 2 5" xfId="18703" xr:uid="{6F9FC765-4FD7-4C41-A7CA-21522F1A0D8D}"/>
    <cellStyle name="Style 21 2 5 2" xfId="23723" xr:uid="{8114C306-CDB7-4A21-AAD7-A25FA00E802E}"/>
    <cellStyle name="Style 21 2 6" xfId="18269" xr:uid="{7E876D48-85CF-4541-9677-08B0A220F5B7}"/>
    <cellStyle name="Style 21 2 6 2" xfId="27157" xr:uid="{708DF4EF-069C-42CF-89E4-C693F54841E5}"/>
    <cellStyle name="Style 21 2 6 2 2" xfId="33998" xr:uid="{EEE5BD3A-D1B6-4CFF-9999-8ECA26F99459}"/>
    <cellStyle name="Style 21 2 6 3" xfId="29234" xr:uid="{8466C55C-6B23-4AC9-BF5B-075196C9B394}"/>
    <cellStyle name="Style 21 2 6 3 2" xfId="36079" xr:uid="{305BC57F-B1AC-4F40-B6C5-B38E499A6CBA}"/>
    <cellStyle name="Style 21 2 6 4" xfId="24557" xr:uid="{44C2F01F-50D3-4096-A5A8-CF7E618DB14D}"/>
    <cellStyle name="Style 21 2 6 5" xfId="31316" xr:uid="{1503AAF7-D96A-4AB0-9924-20C77CEB93D2}"/>
    <cellStyle name="Style 21 2 7" xfId="17440" xr:uid="{5EAD038C-CB9E-44B3-BD43-A578E6174486}"/>
    <cellStyle name="Style 21 2 7 2" xfId="26565" xr:uid="{7C6EA958-D36D-49D4-8B74-A08648A01D0E}"/>
    <cellStyle name="Style 21 2 7 2 2" xfId="33405" xr:uid="{9E5E24F3-656C-4F2A-9A6E-9387D5068599}"/>
    <cellStyle name="Style 21 2 7 3" xfId="26120" xr:uid="{EF1134FD-28A1-4FB0-BD19-A2B3FA53CCCF}"/>
    <cellStyle name="Style 21 2 7 3 2" xfId="32948" xr:uid="{6FA5C16C-33FA-4FC1-B3C0-1BD21A97EBA3}"/>
    <cellStyle name="Style 21 2 7 4" xfId="23947" xr:uid="{16BBC192-82E8-4BC9-BF2A-320DD62A7D6C}"/>
    <cellStyle name="Style 21 2 7 5" xfId="23242" xr:uid="{D5735EF2-025D-4B93-B252-7922AE3D038A}"/>
    <cellStyle name="Style 21 2 8" xfId="25453" xr:uid="{7A51C20B-B8E9-4BE9-99B9-FCC88CD0C3F4}"/>
    <cellStyle name="Style 21 2 8 2" xfId="28120" xr:uid="{7DB3144A-5C8C-421A-9511-42A95830A530}"/>
    <cellStyle name="Style 21 2 8 2 2" xfId="34965" xr:uid="{FDA021B7-0B32-432A-8D2C-B414E671F8EC}"/>
    <cellStyle name="Style 21 2 8 3" xfId="30201" xr:uid="{ADE77435-E334-44A0-90E4-2DE97DAEFE23}"/>
    <cellStyle name="Style 21 2 8 3 2" xfId="37046" xr:uid="{2015B13A-2E09-4D5A-ABF2-CE7AB1EA4DA6}"/>
    <cellStyle name="Style 21 2 8 4" xfId="32283" xr:uid="{A23A142D-4933-4E40-A167-09C2CD4ED8EF}"/>
    <cellStyle name="Style 21 2 9" xfId="23127" xr:uid="{B2BF33DE-16A8-4B02-AC9D-5B52C4B3E1CA}"/>
    <cellStyle name="Style 21 3" xfId="5301" xr:uid="{00000000-0005-0000-0000-0000DD140000}"/>
    <cellStyle name="Style 21 3 2" xfId="10819" xr:uid="{00000000-0005-0000-0000-000025220000}"/>
    <cellStyle name="Style 21 3 2 2" xfId="23585" xr:uid="{D4F40FFB-CE21-41E1-A281-00DAD9BE90DE}"/>
    <cellStyle name="Style 21 3 2 3" xfId="17740" xr:uid="{288B0B23-D7E6-46C7-93C9-2C639E250EC0}"/>
    <cellStyle name="Style 21 3 2 4" xfId="43308" xr:uid="{34D9923A-210A-4EB7-A729-A2E013D0D852}"/>
    <cellStyle name="Style 21 3 3" xfId="9313" xr:uid="{00000000-0005-0000-0000-0000FB100000}"/>
    <cellStyle name="Style 21 3 3 2" xfId="23683" xr:uid="{03048F20-1B60-44BB-ABA5-7A1A625577D7}"/>
    <cellStyle name="Style 21 3 3 3" xfId="41836" xr:uid="{904639CF-F328-4043-9BB6-97C5A04E5C9F}"/>
    <cellStyle name="Style 21 3 3 4" xfId="47169" xr:uid="{FFB17C57-A00C-4E27-A64E-361ACAB3B16A}"/>
    <cellStyle name="Style 21 3 3 5" xfId="37712" xr:uid="{6D5CF998-717A-4D5E-B521-EE46FDDC03D5}"/>
    <cellStyle name="Style 21 3 3 6" xfId="46696" xr:uid="{FE636B12-4A34-418A-8AA0-7EE6EAF98FD6}"/>
    <cellStyle name="Style 21 3 3 7" xfId="40407" xr:uid="{C67A8D05-CDD5-49D4-8019-BDCA3DC5A46B}"/>
    <cellStyle name="Style 21 3 3 8" xfId="15672" xr:uid="{1A7C57A5-9F55-4585-BC1B-41B76A428D53}"/>
    <cellStyle name="Style 21 3 4" xfId="16488" xr:uid="{8B9F68B2-E0DD-4C1C-B4F1-62ED8BE67045}"/>
    <cellStyle name="Style 21 3 5" xfId="39332" xr:uid="{3FF6C787-A7B1-459D-9297-BFEBA251AC49}"/>
    <cellStyle name="Style 21 4" xfId="10817" xr:uid="{00000000-0005-0000-0000-000023220000}"/>
    <cellStyle name="Style 21 4 2" xfId="9379" xr:uid="{00000000-0005-0000-0000-000061250000}"/>
    <cellStyle name="Style 21 4 2 2" xfId="23536" xr:uid="{EE7481D8-FF61-4488-A5D3-2C9D30EB60D2}"/>
    <cellStyle name="Style 21 4 2 3" xfId="17878" xr:uid="{6751CA89-270B-4EDC-AE7D-3D122FF217C8}"/>
    <cellStyle name="Style 21 4 2 4" xfId="41885" xr:uid="{405DE4A8-9EA8-46C4-A1F6-1BB41B80F14F}"/>
    <cellStyle name="Style 21 4 2 5" xfId="46505" xr:uid="{75A69721-6DAF-4063-811F-BED25CE2C112}"/>
    <cellStyle name="Style 21 4 2 6" xfId="46947" xr:uid="{7F5EE592-3F9A-45D3-AD17-D279941354A6}"/>
    <cellStyle name="Style 21 4 2 7" xfId="15300" xr:uid="{6183DF45-D60C-45D7-BA8B-0502B4B1FCA0}"/>
    <cellStyle name="Style 21 4 2 8" xfId="49566" xr:uid="{F8F16D1B-D241-41A5-A4DE-1A4DD4C07328}"/>
    <cellStyle name="Style 21 4 3" xfId="23607" xr:uid="{F4EA9935-FC82-4C47-BFE2-B4AF591CC63D}"/>
    <cellStyle name="Style 21 4 4" xfId="17618" xr:uid="{F11CE91A-54BB-4D94-B14B-A683EC86EB99}"/>
    <cellStyle name="Style 21 4 5" xfId="43306" xr:uid="{DA4547E9-66CE-4566-AEC4-1645B6B2DCFE}"/>
    <cellStyle name="Style 21 5" xfId="8925" xr:uid="{00000000-0005-0000-0000-0000FB100000}"/>
    <cellStyle name="Style 21 5 2" xfId="23089" xr:uid="{01B361A6-94BB-4C77-9A47-8148895862E7}"/>
    <cellStyle name="Style 21 5 3" xfId="17653" xr:uid="{01F7689A-7157-4B62-A5E6-13D2F90BA999}"/>
    <cellStyle name="Style 21 5 4" xfId="41570" xr:uid="{25EEB584-A723-4960-98FA-9D5AB2E9C520}"/>
    <cellStyle name="Style 21 5 5" xfId="37643" xr:uid="{B7409D29-8AFC-4BA1-BAAF-898F6EE50EE8}"/>
    <cellStyle name="Style 21 5 6" xfId="15238" xr:uid="{5C4FB191-CA19-496D-A344-EAA3600FA643}"/>
    <cellStyle name="Style 21 5 7" xfId="40328" xr:uid="{B75C4B48-4694-40AF-A6D8-3B781C8024AA}"/>
    <cellStyle name="Style 21 5 8" xfId="49399" xr:uid="{0C93EE21-345C-443E-A53C-C5AD2E07CB10}"/>
    <cellStyle name="Style 21 6" xfId="13612" xr:uid="{08980FAF-D1D2-44F5-AC5E-CFF7816688F8}"/>
    <cellStyle name="Style 21 7" xfId="39330" xr:uid="{D2436D98-D8D6-46A3-8D23-3F6FBF2A3E36}"/>
    <cellStyle name="Style 22" xfId="5302" xr:uid="{00000000-0005-0000-0000-0000DE140000}"/>
    <cellStyle name="Style 22 10" xfId="39333" xr:uid="{4E784FAA-4957-4511-A963-494D6E79C3D3}"/>
    <cellStyle name="Style 22 2" xfId="5303" xr:uid="{00000000-0005-0000-0000-0000DF140000}"/>
    <cellStyle name="Style 22 2 2" xfId="5304" xr:uid="{00000000-0005-0000-0000-0000E0140000}"/>
    <cellStyle name="Style 22 2 2 10" xfId="39335" xr:uid="{52A89F12-2F52-46FE-9337-0E6326CCFD0B}"/>
    <cellStyle name="Style 22 2 2 2" xfId="5305" xr:uid="{00000000-0005-0000-0000-0000E1140000}"/>
    <cellStyle name="Style 22 2 2 2 2" xfId="10823" xr:uid="{00000000-0005-0000-0000-000029220000}"/>
    <cellStyle name="Style 22 2 2 2 2 2" xfId="18449" xr:uid="{58A2EA34-C7A3-43F5-8D8E-9BECFB801530}"/>
    <cellStyle name="Style 22 2 2 2 2 3" xfId="18807" xr:uid="{4EF66326-9199-47DF-B08E-FE7A21D05DFE}"/>
    <cellStyle name="Style 22 2 2 2 2 4" xfId="23179" xr:uid="{D27E7B30-6A74-4F1F-85E0-078159AAC073}"/>
    <cellStyle name="Style 22 2 2 2 2 5" xfId="17815" xr:uid="{27EE64C9-0CD2-421A-A5ED-2485F0EA4212}"/>
    <cellStyle name="Style 22 2 2 2 2 6" xfId="43312" xr:uid="{A0B2F80E-64F3-451A-BD26-F82BEE01CD00}"/>
    <cellStyle name="Style 22 2 2 2 3" xfId="18625" xr:uid="{63D2D323-C66A-42A9-B287-FC0D01621FF9}"/>
    <cellStyle name="Style 22 2 2 2 4" xfId="18307" xr:uid="{A5F832DD-2A97-4BC3-8F04-6A1C0FB4E43E}"/>
    <cellStyle name="Style 22 2 2 2 5" xfId="17544" xr:uid="{70A5A599-304A-4F2D-AA74-1E44A5F1A0DB}"/>
    <cellStyle name="Style 22 2 2 2 6" xfId="23658" xr:uid="{35B3177D-8D53-41A4-A5F0-DEAF832D4978}"/>
    <cellStyle name="Style 22 2 2 2 7" xfId="16584" xr:uid="{24F4513D-DCC5-4C80-A14A-A37CB587630A}"/>
    <cellStyle name="Style 22 2 2 2 8" xfId="39336" xr:uid="{C8309BF3-6324-4261-B012-B07C8C8256FD}"/>
    <cellStyle name="Style 22 2 2 3" xfId="10822" xr:uid="{00000000-0005-0000-0000-000028220000}"/>
    <cellStyle name="Style 22 2 2 3 2" xfId="17776" xr:uid="{024A8B49-945F-4225-A26F-D8C77094F08E}"/>
    <cellStyle name="Style 22 2 2 3 2 2" xfId="23572" xr:uid="{B398B271-0DD0-46DB-8D17-3656127218E9}"/>
    <cellStyle name="Style 22 2 2 3 3" xfId="18644" xr:uid="{68B7B42F-124B-4C50-AB4E-998016B5DCE9}"/>
    <cellStyle name="Style 22 2 2 3 4" xfId="18827" xr:uid="{E0DD0AF1-7747-478A-B85C-CE1BE1D72D9B}"/>
    <cellStyle name="Style 22 2 2 3 5" xfId="23107" xr:uid="{6566C15E-B432-4216-87FB-0C6045D38304}"/>
    <cellStyle name="Style 22 2 2 3 6" xfId="17506" xr:uid="{FB84CBCB-BC5B-41C7-82AE-6D2296F33EC4}"/>
    <cellStyle name="Style 22 2 2 3 7" xfId="43311" xr:uid="{23C7AD3F-C457-4DC7-9F7F-62F32C01A39F}"/>
    <cellStyle name="Style 22 2 2 4" xfId="9315" xr:uid="{00000000-0005-0000-0000-0000FE100000}"/>
    <cellStyle name="Style 22 2 2 4 2" xfId="23061" xr:uid="{46233F04-2087-4A19-9796-E080CB1EA173}"/>
    <cellStyle name="Style 22 2 2 4 3" xfId="17704" xr:uid="{87518745-3883-45E5-8DE6-E237E1158602}"/>
    <cellStyle name="Style 22 2 2 4 4" xfId="41838" xr:uid="{EAD5FED5-D4F5-40BA-B954-618901285DC8}"/>
    <cellStyle name="Style 22 2 2 4 5" xfId="46520" xr:uid="{519A9342-EC60-4489-A81F-001015967C8D}"/>
    <cellStyle name="Style 22 2 2 4 6" xfId="46315" xr:uid="{08297FFF-338F-4FD2-A9D5-9207B2E1FBF6}"/>
    <cellStyle name="Style 22 2 2 4 7" xfId="48771" xr:uid="{ED98C58B-7888-46D9-AE88-D2628520AD49}"/>
    <cellStyle name="Style 22 2 2 4 8" xfId="47541" xr:uid="{666735E1-AC0D-4D53-B38A-2DB4A552ACE4}"/>
    <cellStyle name="Style 22 2 2 5" xfId="18701" xr:uid="{3B0B0EED-8CDE-425A-BEB2-53F60AC9B53C}"/>
    <cellStyle name="Style 22 2 2 5 2" xfId="27422" xr:uid="{ACC23199-E272-466F-B382-7D468804AE32}"/>
    <cellStyle name="Style 22 2 2 5 2 2" xfId="34266" xr:uid="{B660B2B0-A65F-43D6-AD84-1DD534E66D67}"/>
    <cellStyle name="Style 22 2 2 5 3" xfId="29502" xr:uid="{E1505EE9-2DD8-4561-BF16-E03532DB96AA}"/>
    <cellStyle name="Style 22 2 2 5 3 2" xfId="36347" xr:uid="{D815B3AD-CA67-4273-ACA6-9CFC1A0CC34C}"/>
    <cellStyle name="Style 22 2 2 5 4" xfId="24770" xr:uid="{6AE9CE7D-5646-48D3-8C26-EA8ED8083514}"/>
    <cellStyle name="Style 22 2 2 5 5" xfId="31584" xr:uid="{3A4B8AB4-B04B-4977-A707-3F91FA845801}"/>
    <cellStyle name="Style 22 2 2 6" xfId="18333" xr:uid="{231E28D8-9737-4AFF-9DC2-3EC072EB3ACE}"/>
    <cellStyle name="Style 22 2 2 6 2" xfId="27852" xr:uid="{AEB6ED20-3DD6-453F-A13D-6452279AB3E5}"/>
    <cellStyle name="Style 22 2 2 6 2 2" xfId="34697" xr:uid="{473AE192-09D7-4E87-A42F-67182DE20BDC}"/>
    <cellStyle name="Style 22 2 2 6 3" xfId="29933" xr:uid="{8809855C-ACF5-4E34-A722-09D1172A1CE3}"/>
    <cellStyle name="Style 22 2 2 6 3 2" xfId="36778" xr:uid="{422668A8-39F6-4E20-AEF1-AC46087F29FA}"/>
    <cellStyle name="Style 22 2 2 6 4" xfId="25180" xr:uid="{AB898E12-8614-4283-992B-4900F2581000}"/>
    <cellStyle name="Style 22 2 2 6 5" xfId="32015" xr:uid="{211C156B-0BC1-4669-8554-D9C9A85A5FDB}"/>
    <cellStyle name="Style 22 2 2 7" xfId="17442" xr:uid="{B48F15D7-0F9D-4E14-B4E2-AC804C790C7B}"/>
    <cellStyle name="Style 22 2 2 7 2" xfId="28249" xr:uid="{C9E6A77C-AFF7-460D-8BB6-94574C24A3BE}"/>
    <cellStyle name="Style 22 2 2 7 2 2" xfId="35094" xr:uid="{F624F989-CF28-49E7-8B07-D0D25C42E996}"/>
    <cellStyle name="Style 22 2 2 7 3" xfId="30330" xr:uid="{CD11D381-A24D-475B-BAF6-0480A2C5277D}"/>
    <cellStyle name="Style 22 2 2 7 3 2" xfId="37175" xr:uid="{71ADC18E-D539-4A4E-A93E-2002623BA0FC}"/>
    <cellStyle name="Style 22 2 2 7 4" xfId="25582" xr:uid="{8D8E0329-CB77-4B5B-81D7-00045454AEB2}"/>
    <cellStyle name="Style 22 2 2 7 5" xfId="32412" xr:uid="{D4918FA3-EC9B-4672-8DC1-B6115C103686}"/>
    <cellStyle name="Style 22 2 2 8" xfId="23125" xr:uid="{CE6BB339-C1A2-4E73-A716-A0FE8DA63042}"/>
    <cellStyle name="Style 22 2 2 9" xfId="17333" xr:uid="{49DD6990-6298-46B0-8A72-30AFA051A281}"/>
    <cellStyle name="Style 22 2 3" xfId="5306" xr:uid="{00000000-0005-0000-0000-0000E2140000}"/>
    <cellStyle name="Style 22 2 3 2" xfId="10824" xr:uid="{00000000-0005-0000-0000-00002A220000}"/>
    <cellStyle name="Style 22 2 3 2 2" xfId="23583" xr:uid="{6D5D9FD7-BA5D-46D8-80BE-A58C8196215F}"/>
    <cellStyle name="Style 22 2 3 2 3" xfId="17742" xr:uid="{F9581AEE-A736-45C7-B580-01B59A089831}"/>
    <cellStyle name="Style 22 2 3 2 4" xfId="43313" xr:uid="{43B4A6E8-28DA-4856-8B2B-8BF5F97F19D3}"/>
    <cellStyle name="Style 22 2 3 3" xfId="9382" xr:uid="{00000000-0005-0000-0000-000064250000}"/>
    <cellStyle name="Style 22 2 3 3 2" xfId="23682" xr:uid="{18F1ABB3-08B2-4D7D-BEDF-9E3F344ADBAF}"/>
    <cellStyle name="Style 22 2 3 3 3" xfId="41888" xr:uid="{8D2E8055-F762-4DF7-AE4D-D302D687B00E}"/>
    <cellStyle name="Style 22 2 3 3 4" xfId="47200" xr:uid="{866D65C3-3EE2-40C3-9298-8FC26C9A8E0A}"/>
    <cellStyle name="Style 22 2 3 3 5" xfId="37729" xr:uid="{E52F1316-4CA4-45E7-B436-0D88EDD69D92}"/>
    <cellStyle name="Style 22 2 3 3 6" xfId="47380" xr:uid="{5786EC7B-66DE-426A-8CBB-08B10C2A2305}"/>
    <cellStyle name="Style 22 2 3 3 7" xfId="40278" xr:uid="{AB8C8308-A64A-4C94-97F1-7054DA805258}"/>
    <cellStyle name="Style 22 2 3 3 8" xfId="16451" xr:uid="{44A0F8E4-1B63-4F05-8188-059C00A8DF15}"/>
    <cellStyle name="Style 22 2 3 4" xfId="17326" xr:uid="{F3F20703-AB2C-42B1-93EC-2BBFAFE0B178}"/>
    <cellStyle name="Style 22 2 3 5" xfId="39337" xr:uid="{D0EAE9A0-2D9B-460B-A9EC-864F96F40A45}"/>
    <cellStyle name="Style 22 2 4" xfId="10821" xr:uid="{00000000-0005-0000-0000-000027220000}"/>
    <cellStyle name="Style 22 2 4 2" xfId="17880" xr:uid="{20266CE4-81DB-4238-8DA5-65FBEDEC5B3F}"/>
    <cellStyle name="Style 22 2 4 2 2" xfId="24716" xr:uid="{EC684542-9495-4EBF-A0C0-0A78F1171C7C}"/>
    <cellStyle name="Style 22 2 4 3" xfId="23605" xr:uid="{12331217-B9C8-48DB-ADEF-B5438AEF9E5D}"/>
    <cellStyle name="Style 22 2 4 4" xfId="17620" xr:uid="{3446FAE4-E249-48D4-925E-7C2C82BC60B4}"/>
    <cellStyle name="Style 22 2 4 5" xfId="43310" xr:uid="{E524EC5B-0DC3-4C0E-9A9C-7CBB2E9D4E6E}"/>
    <cellStyle name="Style 22 2 5" xfId="8929" xr:uid="{00000000-0005-0000-0000-0000FE100000}"/>
    <cellStyle name="Style 22 2 5 2" xfId="23087" xr:uid="{236C123E-648B-4955-AB88-06D9B325099D}"/>
    <cellStyle name="Style 22 2 5 3" xfId="17655" xr:uid="{BD9AA6A8-DFC6-4688-B716-114471D221C1}"/>
    <cellStyle name="Style 22 2 5 4" xfId="41573" xr:uid="{5FFB10BA-3B69-44D1-AADA-A9547681AD25}"/>
    <cellStyle name="Style 22 2 5 5" xfId="48093" xr:uid="{E1F2CE53-B700-4476-B10F-CF36674434E0}"/>
    <cellStyle name="Style 22 2 5 6" xfId="47548" xr:uid="{B834B633-11FF-40D5-8286-436CFF935479}"/>
    <cellStyle name="Style 22 2 5 7" xfId="48037" xr:uid="{51018A07-9E36-4A64-A9E4-C13F097D9D49}"/>
    <cellStyle name="Style 22 2 5 8" xfId="40406" xr:uid="{0E625A09-5038-459E-AAED-6F426FDABF7D}"/>
    <cellStyle name="Style 22 2 6" xfId="18270" xr:uid="{14D4A2CE-E897-4AEE-B648-999FF1CB8871}"/>
    <cellStyle name="Style 22 2 7" xfId="16490" xr:uid="{E590BFF6-1083-4850-925E-E47BCF371273}"/>
    <cellStyle name="Style 22 2 8" xfId="39334" xr:uid="{5C806FBC-D139-4E44-9D40-E669B16A529E}"/>
    <cellStyle name="Style 22 3" xfId="5307" xr:uid="{00000000-0005-0000-0000-0000E3140000}"/>
    <cellStyle name="Style 22 3 2" xfId="5308" xr:uid="{00000000-0005-0000-0000-0000E4140000}"/>
    <cellStyle name="Style 22 3 2 10" xfId="39339" xr:uid="{B11CC33C-BBA2-4C4B-80D4-504185FDAC96}"/>
    <cellStyle name="Style 22 3 2 2" xfId="10826" xr:uid="{00000000-0005-0000-0000-00002C220000}"/>
    <cellStyle name="Style 22 3 2 2 2" xfId="17816" xr:uid="{EE9A0B6F-3F10-449E-B1A9-B1C06B29508D}"/>
    <cellStyle name="Style 22 3 2 2 2 2" xfId="23177" xr:uid="{16B4B08A-3437-41F1-AAC3-94CEF62CD97C}"/>
    <cellStyle name="Style 22 3 2 2 3" xfId="23657" xr:uid="{5216136D-73CD-47F8-A826-A03AC59E6390}"/>
    <cellStyle name="Style 22 3 2 2 4" xfId="17545" xr:uid="{A3BA9405-E6D5-4D93-A566-3F4685BF675C}"/>
    <cellStyle name="Style 22 3 2 2 5" xfId="43315" xr:uid="{6B01A182-12C8-409B-B25B-66C96D88EE9B}"/>
    <cellStyle name="Style 22 3 2 3" xfId="9316" xr:uid="{00000000-0005-0000-0000-0000FF100000}"/>
    <cellStyle name="Style 22 3 2 3 2" xfId="17777" xr:uid="{CFC60F5F-D563-460B-83B3-7E42BCCFA087}"/>
    <cellStyle name="Style 22 3 2 3 2 2" xfId="23571" xr:uid="{3FE235F0-5F4D-4B2B-AD7C-7B1A39602E3B}"/>
    <cellStyle name="Style 22 3 2 3 3" xfId="23675" xr:uid="{C6EEB2E9-080B-45F1-A3AD-00C6AF31A875}"/>
    <cellStyle name="Style 22 3 2 3 4" xfId="17507" xr:uid="{EE71DA2F-987C-4D1B-A682-17CD32A55D9E}"/>
    <cellStyle name="Style 22 3 2 3 5" xfId="41839" xr:uid="{0A1B29AB-6479-404C-B543-C2BD3903D7EA}"/>
    <cellStyle name="Style 22 3 2 3 6" xfId="46525" xr:uid="{FEFF5569-C80C-483D-87C4-A6B2DFE1C87B}"/>
    <cellStyle name="Style 22 3 2 3 7" xfId="14153" xr:uid="{C2B3DD01-83D5-40D7-A2C7-07CDF001653E}"/>
    <cellStyle name="Style 22 3 2 3 8" xfId="46186" xr:uid="{EBA550B1-C308-4944-841D-0EAE22C78433}"/>
    <cellStyle name="Style 22 3 2 3 9" xfId="49353" xr:uid="{2A666EB5-120D-4C21-A7A1-EEA702BF38D0}"/>
    <cellStyle name="Style 22 3 2 4" xfId="17705" xr:uid="{016FD7C5-55A9-4F0B-B7FD-F40277FF1D0C}"/>
    <cellStyle name="Style 22 3 2 4 2" xfId="23593" xr:uid="{6950FC7D-145D-45BC-BE7A-1D6485F592D8}"/>
    <cellStyle name="Style 22 3 2 5" xfId="18700" xr:uid="{92AE6EB9-2329-44C7-A6EA-61E0471645D0}"/>
    <cellStyle name="Style 22 3 2 5 2" xfId="27720" xr:uid="{255331BB-DCBE-45C7-983D-FE23E46EE0D9}"/>
    <cellStyle name="Style 22 3 2 5 2 2" xfId="34565" xr:uid="{39C9FD5F-F1A7-4830-8CF7-53F482169B9A}"/>
    <cellStyle name="Style 22 3 2 5 3" xfId="29801" xr:uid="{D08091CE-8918-4FEE-BAD9-8B43C7A59A57}"/>
    <cellStyle name="Style 22 3 2 5 3 2" xfId="36646" xr:uid="{2347B6DD-012F-4FF8-9DF5-ABFE0F60E6AE}"/>
    <cellStyle name="Style 22 3 2 5 4" xfId="25048" xr:uid="{133F30D5-27A6-4316-AFC0-26F4AC01A476}"/>
    <cellStyle name="Style 22 3 2 5 5" xfId="31883" xr:uid="{15C9E11A-044A-4BB1-9D88-837B9278134B}"/>
    <cellStyle name="Style 22 3 2 6" xfId="25067" xr:uid="{4BCF3A53-4173-49E6-BB66-C1E00005AFBF}"/>
    <cellStyle name="Style 22 3 2 6 2" xfId="27739" xr:uid="{7E24F686-9536-4666-AF9E-449D82D7CAE5}"/>
    <cellStyle name="Style 22 3 2 6 2 2" xfId="34584" xr:uid="{B394002C-C13D-43EB-B43B-608AFE62BC9E}"/>
    <cellStyle name="Style 22 3 2 6 3" xfId="29820" xr:uid="{77207A88-CC4C-43A8-A2D9-AB56182D0814}"/>
    <cellStyle name="Style 22 3 2 6 3 2" xfId="36665" xr:uid="{38CAF719-14AA-410F-8C9F-5709CC0ED94D}"/>
    <cellStyle name="Style 22 3 2 6 4" xfId="31902" xr:uid="{22682CC8-7C06-4FF3-A69D-0399A691A5C7}"/>
    <cellStyle name="Style 22 3 2 7" xfId="24607" xr:uid="{476F370B-2755-4351-9D72-D9B985158067}"/>
    <cellStyle name="Style 22 3 2 7 2" xfId="27203" xr:uid="{059A7711-10A9-4069-9E6C-014E1C2464FA}"/>
    <cellStyle name="Style 22 3 2 7 2 2" xfId="34044" xr:uid="{ACFA8752-9E52-47F5-8A43-E3E6970795EE}"/>
    <cellStyle name="Style 22 3 2 7 3" xfId="29280" xr:uid="{42999B5B-5545-44DB-8507-0B9628651332}"/>
    <cellStyle name="Style 22 3 2 7 3 2" xfId="36125" xr:uid="{0F912DA0-0840-4A51-8D66-A6EC464E1C46}"/>
    <cellStyle name="Style 22 3 2 7 4" xfId="31362" xr:uid="{178793E6-83E8-4F5A-AB73-01C9B51B5D74}"/>
    <cellStyle name="Style 22 3 2 8" xfId="23124" xr:uid="{9AEE605A-330E-440A-B872-A7B55F520C36}"/>
    <cellStyle name="Style 22 3 2 9" xfId="17327" xr:uid="{769E5180-93D4-4FF7-8B0F-4646FFE0776D}"/>
    <cellStyle name="Style 22 3 3" xfId="10825" xr:uid="{00000000-0005-0000-0000-00002B220000}"/>
    <cellStyle name="Style 22 3 3 2" xfId="9383" xr:uid="{00000000-0005-0000-0000-000065250000}"/>
    <cellStyle name="Style 22 3 3 2 2" xfId="23056" xr:uid="{139041F6-3D1C-4868-A9A5-CB9A4D1DA1FB}"/>
    <cellStyle name="Style 22 3 3 2 3" xfId="17743" xr:uid="{CB47BC2E-39C6-4747-9C56-C8B7CDE8DD3A}"/>
    <cellStyle name="Style 22 3 3 2 4" xfId="41889" xr:uid="{C1CC6759-E7D5-46E8-A974-05AEF354BF1A}"/>
    <cellStyle name="Style 22 3 3 2 5" xfId="48134" xr:uid="{CDD52B38-D41D-4CAD-94B4-3E5452B6BD43}"/>
    <cellStyle name="Style 22 3 3 2 6" xfId="46313" xr:uid="{2D5CB1C4-E2ED-4E13-B2B3-6336C37F0476}"/>
    <cellStyle name="Style 22 3 3 2 7" xfId="46419" xr:uid="{5A097C78-777D-422F-A025-A2883AA52488}"/>
    <cellStyle name="Style 22 3 3 2 8" xfId="49565" xr:uid="{573606AD-5636-4B51-B830-5E1BDD4EC108}"/>
    <cellStyle name="Style 22 3 3 3" xfId="23112" xr:uid="{ACF2288B-32D4-4124-A259-A5DC2CD0F6F4}"/>
    <cellStyle name="Style 22 3 3 4" xfId="17475" xr:uid="{9C33435D-CAE6-4CE2-A77B-93591674938B}"/>
    <cellStyle name="Style 22 3 3 5" xfId="43314" xr:uid="{42922DA4-E73C-4981-8AFF-7B17F5AFD8BE}"/>
    <cellStyle name="Style 22 3 4" xfId="8931" xr:uid="{00000000-0005-0000-0000-0000FF100000}"/>
    <cellStyle name="Style 22 3 4 2" xfId="17881" xr:uid="{D8C13EC1-09F5-4345-B97E-50C234BF8EDE}"/>
    <cellStyle name="Style 22 3 4 2 2" xfId="23190" xr:uid="{65BF2947-6708-4304-BE1A-E01240825684}"/>
    <cellStyle name="Style 22 3 4 3" xfId="23604" xr:uid="{7D896B69-D032-4B4F-8860-41699E08DDA1}"/>
    <cellStyle name="Style 22 3 4 4" xfId="17621" xr:uid="{33D1F036-6131-438E-89FB-EC0CDBB59940}"/>
    <cellStyle name="Style 22 3 4 5" xfId="41575" xr:uid="{52C75C42-1662-48E5-AEE3-8673B0271E9A}"/>
    <cellStyle name="Style 22 3 4 6" xfId="46588" xr:uid="{FFDD679B-8E37-4407-8B09-47DEDD336E25}"/>
    <cellStyle name="Style 22 3 4 7" xfId="15480" xr:uid="{101CF021-691F-4B80-B6C1-CFBEF76CE870}"/>
    <cellStyle name="Style 22 3 4 8" xfId="47303" xr:uid="{21627E8F-31C5-4BB3-8C75-66146C04F7F7}"/>
    <cellStyle name="Style 22 3 4 9" xfId="49483" xr:uid="{7149CB4B-7B26-4BF0-9C28-E479EB7C50A0}"/>
    <cellStyle name="Style 22 3 5" xfId="17656" xr:uid="{340E3C40-D32A-4F05-A728-3343B410B8B6}"/>
    <cellStyle name="Style 22 3 5 2" xfId="23086" xr:uid="{47E47261-B566-47CE-8C47-85653090542C}"/>
    <cellStyle name="Style 22 3 6" xfId="18271" xr:uid="{A58A7C8D-4567-4546-B9F6-21B1CA8767A7}"/>
    <cellStyle name="Style 22 3 7" xfId="16491" xr:uid="{E636BAA5-2A1D-4FAE-B90D-1EC035FEBD40}"/>
    <cellStyle name="Style 22 3 8" xfId="39338" xr:uid="{BDAE3042-E0B8-4D5D-AB92-C17B916E228E}"/>
    <cellStyle name="Style 22 4" xfId="5309" xr:uid="{00000000-0005-0000-0000-0000E5140000}"/>
    <cellStyle name="Style 22 4 10" xfId="39340" xr:uid="{C5572D2B-99AC-4926-B000-4EF768F161CB}"/>
    <cellStyle name="Style 22 4 2" xfId="10827" xr:uid="{00000000-0005-0000-0000-00002D220000}"/>
    <cellStyle name="Style 22 4 2 2" xfId="17793" xr:uid="{2D8F75B3-4F7B-4889-8CCB-2718B1D723E0}"/>
    <cellStyle name="Style 22 4 2 2 2" xfId="23562" xr:uid="{F0B19480-CC1C-4499-9A7E-371985A71D1D}"/>
    <cellStyle name="Style 22 4 2 3" xfId="23172" xr:uid="{8E3A9811-6981-42C6-8F6B-C142B68582C2}"/>
    <cellStyle name="Style 22 4 2 4" xfId="17522" xr:uid="{F069EEE0-6A12-46AA-9104-C33E420A8190}"/>
    <cellStyle name="Style 22 4 2 5" xfId="43316" xr:uid="{504BBAA8-8A23-442E-BEB2-9ED726D0F586}"/>
    <cellStyle name="Style 22 4 3" xfId="8932" xr:uid="{00000000-0005-0000-0000-000000110000}"/>
    <cellStyle name="Style 22 4 3 2" xfId="17775" xr:uid="{C9045723-C241-4FF5-BB34-93D39B4E080E}"/>
    <cellStyle name="Style 22 4 3 2 2" xfId="23573" xr:uid="{F23A2D71-249B-4718-AC72-4B8556CC9292}"/>
    <cellStyle name="Style 22 4 3 3" xfId="23676" xr:uid="{A12CFB0A-E585-4C8F-A28D-8A5BA3D0D836}"/>
    <cellStyle name="Style 22 4 3 4" xfId="17505" xr:uid="{43A31ABC-AC37-4E11-A850-60C04D2C5C14}"/>
    <cellStyle name="Style 22 4 4" xfId="17703" xr:uid="{3381ECF7-B078-4256-931F-274E57F0D2E7}"/>
    <cellStyle name="Style 22 4 4 2" xfId="23062" xr:uid="{C46C770A-AC90-47D2-963B-02A76627E6D0}"/>
    <cellStyle name="Style 22 4 5" xfId="18702" xr:uid="{DE0B4425-FA69-417F-A4A2-D11142BC8D1F}"/>
    <cellStyle name="Style 22 4 5 2" xfId="23724" xr:uid="{32095863-264D-404B-9EB3-F768110328DD}"/>
    <cellStyle name="Style 22 4 6" xfId="18272" xr:uid="{CA4F44A3-F549-4F5E-B735-557A0A0E9667}"/>
    <cellStyle name="Style 22 4 6 2" xfId="27865" xr:uid="{220AF07B-2367-4ED8-B233-3AADF2731B73}"/>
    <cellStyle name="Style 22 4 6 2 2" xfId="34710" xr:uid="{D73C2728-430C-4AD4-9D83-9AB8738C3731}"/>
    <cellStyle name="Style 22 4 6 3" xfId="29946" xr:uid="{202B0966-DF88-42FD-B875-DC47ADB8A0D6}"/>
    <cellStyle name="Style 22 4 6 3 2" xfId="36791" xr:uid="{E036F618-B4D7-4EEE-9554-F9D8254471D6}"/>
    <cellStyle name="Style 22 4 6 4" xfId="25193" xr:uid="{C205F026-9B2C-4B08-81B2-0FBA372ACE54}"/>
    <cellStyle name="Style 22 4 6 5" xfId="32028" xr:uid="{71A02A3D-6BD5-45F1-BE53-F6678CA6B346}"/>
    <cellStyle name="Style 22 4 7" xfId="17441" xr:uid="{FF814A45-03F9-4474-83FB-8C1144E63103}"/>
    <cellStyle name="Style 22 4 7 2" xfId="27463" xr:uid="{F44267B4-2438-454C-B3EE-C2B0A3DC869F}"/>
    <cellStyle name="Style 22 4 7 2 2" xfId="34307" xr:uid="{A088A184-2438-46C9-B101-808A7C0FAB38}"/>
    <cellStyle name="Style 22 4 7 3" xfId="29543" xr:uid="{7258B472-9BBF-40DB-8F3C-701B49AD8796}"/>
    <cellStyle name="Style 22 4 7 3 2" xfId="36388" xr:uid="{7F53E208-6CD7-4A5C-B4A0-5818E4E2CA9E}"/>
    <cellStyle name="Style 22 4 7 4" xfId="24807" xr:uid="{10FAE9FC-46BA-469A-BE39-AF0D1FB7759D}"/>
    <cellStyle name="Style 22 4 7 5" xfId="31625" xr:uid="{5BDCD6A5-8AF7-4322-8009-3F2B30A72543}"/>
    <cellStyle name="Style 22 4 8" xfId="24083" xr:uid="{1455C525-BD35-4487-A840-B7D44BC2CBCA}"/>
    <cellStyle name="Style 22 4 8 2" xfId="26696" xr:uid="{9AFDD213-2C0F-44BA-9B7D-AF7B8CBA1EB9}"/>
    <cellStyle name="Style 22 4 8 2 2" xfId="33536" xr:uid="{49E922E2-11AB-444C-AE29-B53D43BC9D90}"/>
    <cellStyle name="Style 22 4 8 3" xfId="28772" xr:uid="{F0377FFC-D901-4FF5-95B1-62969C4F059E}"/>
    <cellStyle name="Style 22 4 8 3 2" xfId="35617" xr:uid="{EC58DC89-0C00-455A-AF0A-E9309D3758A5}"/>
    <cellStyle name="Style 22 4 8 4" xfId="30854" xr:uid="{D1FC4427-E791-48AA-A781-3FA18BCD1EF2}"/>
    <cellStyle name="Style 22 4 9" xfId="23126" xr:uid="{8927B94B-A42E-4801-ACB0-99420FB34F99}"/>
    <cellStyle name="Style 22 5" xfId="5310" xr:uid="{00000000-0005-0000-0000-0000E6140000}"/>
    <cellStyle name="Style 22 5 2" xfId="10828" xr:uid="{00000000-0005-0000-0000-00002E220000}"/>
    <cellStyle name="Style 22 5 2 2" xfId="23584" xr:uid="{E4E752A5-B55B-442A-8E29-478B0F7893AB}"/>
    <cellStyle name="Style 22 5 2 3" xfId="17741" xr:uid="{C535FC0C-C731-44C7-989B-EC1A3664D150}"/>
    <cellStyle name="Style 22 5 2 4" xfId="43317" xr:uid="{D33F711F-CC12-4709-8A7B-0C850BC699BD}"/>
    <cellStyle name="Style 22 5 3" xfId="9314" xr:uid="{00000000-0005-0000-0000-0000FD100000}"/>
    <cellStyle name="Style 22 5 3 2" xfId="23113" xr:uid="{2D933B2B-1CA2-45C6-B974-8B6C7CC0657F}"/>
    <cellStyle name="Style 22 5 3 3" xfId="41837" xr:uid="{EE85B695-4A1E-4BB9-8C2E-EA4F5DCAA03E}"/>
    <cellStyle name="Style 22 5 3 4" xfId="47170" xr:uid="{CF4F5289-9744-4C9C-A6F1-506F5439C440}"/>
    <cellStyle name="Style 22 5 3 5" xfId="48126" xr:uid="{1CFEFB34-8E6F-4D05-8B36-A52520322959}"/>
    <cellStyle name="Style 22 5 3 6" xfId="48685" xr:uid="{E3AD957A-9451-430D-8847-A5DDAC56D1C3}"/>
    <cellStyle name="Style 22 5 3 7" xfId="48875" xr:uid="{429A7FDE-635D-41CA-8F87-39667E588FE1}"/>
    <cellStyle name="Style 22 5 3 8" xfId="49531" xr:uid="{3B4F8371-53C8-4BCC-A921-8A33988C619B}"/>
    <cellStyle name="Style 22 5 4" xfId="17332" xr:uid="{E2547705-95E5-4F70-B1DC-D04BF4519454}"/>
    <cellStyle name="Style 22 5 5" xfId="39341" xr:uid="{3ABB01B2-AE47-4102-9383-C8CDBB1DF777}"/>
    <cellStyle name="Style 22 6" xfId="5311" xr:uid="{00000000-0005-0000-0000-0000E7140000}"/>
    <cellStyle name="Style 22 6 2" xfId="10829" xr:uid="{00000000-0005-0000-0000-00002F220000}"/>
    <cellStyle name="Style 22 6 2 2" xfId="23183" xr:uid="{9BF370FA-ECC3-4C34-B909-5B4054B739EE}"/>
    <cellStyle name="Style 22 6 2 3" xfId="17879" xr:uid="{31A52AE3-F65B-468D-8FB5-02458F475382}"/>
    <cellStyle name="Style 22 6 2 4" xfId="43318" xr:uid="{62674D42-9990-40E5-B97F-63B603940BC0}"/>
    <cellStyle name="Style 22 6 3" xfId="9380" xr:uid="{00000000-0005-0000-0000-000063250000}"/>
    <cellStyle name="Style 22 6 3 2" xfId="18829" xr:uid="{6D87E453-ED40-45ED-AF2C-F0692D476E72}"/>
    <cellStyle name="Style 22 6 3 3" xfId="41886" xr:uid="{1C3033AE-5CFA-4B78-9056-922F0400BA70}"/>
    <cellStyle name="Style 22 6 3 4" xfId="46506" xr:uid="{30405422-C151-452E-AAA9-65312468ADBE}"/>
    <cellStyle name="Style 22 6 3 5" xfId="16626" xr:uid="{CE815614-CEB1-47A3-A104-2F28452A2E7D}"/>
    <cellStyle name="Style 22 6 3 6" xfId="15174" xr:uid="{F6D883EA-56B3-43C9-BFFC-6BBC97A0980B}"/>
    <cellStyle name="Style 22 6 3 7" xfId="48151" xr:uid="{5CCD10EA-1021-48DD-B899-85B0542F2017}"/>
    <cellStyle name="Style 22 6 4" xfId="18782" xr:uid="{62500A42-5F80-467B-BBA9-34C6FB1ABB9E}"/>
    <cellStyle name="Style 22 6 5" xfId="17619" xr:uid="{BAB19DA8-174D-4A68-9BE1-E290A3DA6C9B}"/>
    <cellStyle name="Style 22 6 6" xfId="23606" xr:uid="{8032A170-D2F0-4E7F-B239-D0B7AD38EC32}"/>
    <cellStyle name="Style 22 6 7" xfId="16489" xr:uid="{3759E67E-2C7A-4744-AA72-A9F2046D34FA}"/>
    <cellStyle name="Style 22 6 8" xfId="39342" xr:uid="{C5830650-BDAE-4B2E-8F3B-C8D6CB90756F}"/>
    <cellStyle name="Style 22 7" xfId="10820" xr:uid="{00000000-0005-0000-0000-000026220000}"/>
    <cellStyle name="Style 22 7 2" xfId="23088" xr:uid="{2D86F631-8C25-4DC4-9895-DCC17DFACFC8}"/>
    <cellStyle name="Style 22 7 3" xfId="17654" xr:uid="{57F05512-79CC-471B-8C82-ECF3AD054C36}"/>
    <cellStyle name="Style 22 7 4" xfId="43309" xr:uid="{5B53D22B-6DF3-4D36-B047-005022E539C7}"/>
    <cellStyle name="Style 22 8" xfId="8928" xr:uid="{00000000-0005-0000-0000-0000FD100000}"/>
    <cellStyle name="Style 22 8 2" xfId="41572" xr:uid="{3055CB7A-7F94-4E4D-9048-F779142B8E01}"/>
    <cellStyle name="Style 22 8 3" xfId="47035" xr:uid="{7398077F-74D1-409C-BAE6-59414E9232DF}"/>
    <cellStyle name="Style 22 8 4" xfId="37644" xr:uid="{D82F9C29-5603-44A6-BD0D-8EF84EC560FA}"/>
    <cellStyle name="Style 22 8 5" xfId="47547" xr:uid="{7866C956-241E-4FD1-B0E3-E6ED46DCEDC8}"/>
    <cellStyle name="Style 22 8 6" xfId="40122" xr:uid="{CA35F060-8D3D-4F64-B8FB-2CA6C68CCECD}"/>
    <cellStyle name="Style 22 8 7" xfId="37908" xr:uid="{E4BCD07E-FC74-4809-A627-752338358AA6}"/>
    <cellStyle name="Style 22 9" xfId="13613" xr:uid="{D52CA3EB-248B-4078-88AA-A4C244F041EE}"/>
    <cellStyle name="Style 23" xfId="5312" xr:uid="{00000000-0005-0000-0000-0000E8140000}"/>
    <cellStyle name="Style 23 2" xfId="5313" xr:uid="{00000000-0005-0000-0000-0000E9140000}"/>
    <cellStyle name="Style 23 2 2" xfId="5314" xr:uid="{00000000-0005-0000-0000-0000EA140000}"/>
    <cellStyle name="Style 23 2 2 10" xfId="39345" xr:uid="{6728DB59-90A1-410F-A365-42B724DC2AC0}"/>
    <cellStyle name="Style 23 2 2 2" xfId="10832" xr:uid="{00000000-0005-0000-0000-000032220000}"/>
    <cellStyle name="Style 23 2 2 2 2" xfId="9325" xr:uid="{00000000-0005-0000-0000-00006A250000}"/>
    <cellStyle name="Style 23 2 2 2 2 2" xfId="23557" xr:uid="{C186CB41-74E2-4FD2-A401-8B2C9DDE3665}"/>
    <cellStyle name="Style 23 2 2 2 2 3" xfId="17818" xr:uid="{56F82A38-5AF5-4A35-BC8A-85FB872FC039}"/>
    <cellStyle name="Style 23 2 2 2 2 4" xfId="41847" xr:uid="{26F85109-2F48-41E3-B465-8B82BC981141}"/>
    <cellStyle name="Style 23 2 2 2 2 5" xfId="46522" xr:uid="{9058CED8-EB00-46A6-A13B-2853939987FC}"/>
    <cellStyle name="Style 23 2 2 2 2 6" xfId="16583" xr:uid="{620163F9-E40C-4D59-B99B-755734737026}"/>
    <cellStyle name="Style 23 2 2 2 2 7" xfId="40622" xr:uid="{B5C3729B-6990-4CE4-8BED-550BCFD7303A}"/>
    <cellStyle name="Style 23 2 2 2 2 8" xfId="17369" xr:uid="{5BFC6399-1D4E-4FE1-98D0-773D5FD9F02D}"/>
    <cellStyle name="Style 23 2 2 2 3" xfId="23655" xr:uid="{12246021-FA65-4B39-ADBA-6B9EB7CE0FA6}"/>
    <cellStyle name="Style 23 2 2 2 4" xfId="17547" xr:uid="{ACEDBE25-820D-4209-9E83-F036FB0A026A}"/>
    <cellStyle name="Style 23 2 2 2 5" xfId="43321" xr:uid="{2637C5FB-22F1-434A-9571-F61A8F76AF68}"/>
    <cellStyle name="Style 23 2 2 3" xfId="9504" xr:uid="{00000000-0005-0000-0000-00006B250000}"/>
    <cellStyle name="Style 23 2 2 3 2" xfId="17779" xr:uid="{6A1A6E3B-091C-445F-8C34-044F1D524B35}"/>
    <cellStyle name="Style 23 2 2 3 2 2" xfId="23569" xr:uid="{B0D22880-7379-4629-BC0D-380201BB76DD}"/>
    <cellStyle name="Style 23 2 2 3 3" xfId="23674" xr:uid="{1ADF23FD-F705-4140-9E0B-59933D098CF1}"/>
    <cellStyle name="Style 23 2 2 3 4" xfId="17509" xr:uid="{9D4F4965-DD0C-4919-B673-5974FE4276EA}"/>
    <cellStyle name="Style 23 2 2 3 5" xfId="41993" xr:uid="{295DCDFD-9AEF-43E4-A3CF-AAB50E1B082F}"/>
    <cellStyle name="Style 23 2 2 3 6" xfId="46478" xr:uid="{E15C382A-769C-496B-AF9F-EB20542270C3}"/>
    <cellStyle name="Style 23 2 2 3 7" xfId="16070" xr:uid="{FCF9D757-F216-4A22-A0ED-1552C0E42323}"/>
    <cellStyle name="Style 23 2 2 3 8" xfId="16536" xr:uid="{8C876BAC-2F4D-456A-AD5D-C7133517478A}"/>
    <cellStyle name="Style 23 2 2 3 9" xfId="16443" xr:uid="{416E5CED-B2DC-44DA-AB1C-067F9193ECFE}"/>
    <cellStyle name="Style 23 2 2 4" xfId="9338" xr:uid="{00000000-0005-0000-0000-000069250000}"/>
    <cellStyle name="Style 23 2 2 4 2" xfId="23592" xr:uid="{8407468E-507A-4D1B-A7C7-E3C8DE0DB515}"/>
    <cellStyle name="Style 23 2 2 4 3" xfId="17707" xr:uid="{B67036CB-B8C0-4537-A2A3-F80F34D6A0B2}"/>
    <cellStyle name="Style 23 2 2 4 4" xfId="41859" xr:uid="{FCC7C860-14A3-4BCE-A510-B68BD27639B7}"/>
    <cellStyle name="Style 23 2 2 4 5" xfId="48127" xr:uid="{655E1EE0-4A9E-4F2A-BA43-E0B89609A1E8}"/>
    <cellStyle name="Style 23 2 2 4 6" xfId="47381" xr:uid="{D1ACCCE7-E1CC-453E-8CE8-C126C64F4DE1}"/>
    <cellStyle name="Style 23 2 2 4 7" xfId="46237" xr:uid="{1BD75F3D-BB7A-4767-BFDF-26B6DECBB431}"/>
    <cellStyle name="Style 23 2 2 4 8" xfId="40108" xr:uid="{C0C1EE44-63F8-4AB1-959E-BD76E9983BC9}"/>
    <cellStyle name="Style 23 2 2 5" xfId="9318" xr:uid="{00000000-0005-0000-0000-000002110000}"/>
    <cellStyle name="Style 23 2 2 5 10" xfId="15149" xr:uid="{6C9AB4A0-4684-4842-9F51-E2E80E1601ED}"/>
    <cellStyle name="Style 23 2 2 5 2" xfId="26390" xr:uid="{F2C57845-7623-43E9-80CB-DAF1DCC85ED9}"/>
    <cellStyle name="Style 23 2 2 5 2 2" xfId="33230" xr:uid="{DB79C46F-41F1-4E00-AB0E-43BF73201A35}"/>
    <cellStyle name="Style 23 2 2 5 3" xfId="26291" xr:uid="{6DF490FD-2C1F-4ADC-9AE7-B6AE45EBE36F}"/>
    <cellStyle name="Style 23 2 2 5 3 2" xfId="33119" xr:uid="{7B2861BA-D011-4B2B-A51A-654A881DD4C1}"/>
    <cellStyle name="Style 23 2 2 5 4" xfId="23777" xr:uid="{1C7ABBE1-318B-4EAD-82D3-DC35091E430D}"/>
    <cellStyle name="Style 23 2 2 5 5" xfId="23413" xr:uid="{BADD0537-3D0A-48B2-AE3B-4619E883C167}"/>
    <cellStyle name="Style 23 2 2 5 6" xfId="18698" xr:uid="{A6092393-547A-4CA3-BAE0-3F0F67A4B36D}"/>
    <cellStyle name="Style 23 2 2 5 7" xfId="48124" xr:uid="{B0A1A2CC-8DA3-4196-ACC6-7360848E9158}"/>
    <cellStyle name="Style 23 2 2 5 8" xfId="47290" xr:uid="{975434DE-156B-49EE-BFD1-0D5F0DBDC308}"/>
    <cellStyle name="Style 23 2 2 5 9" xfId="47485" xr:uid="{D94ED30C-F438-4152-B45F-7081FC295C8A}"/>
    <cellStyle name="Style 23 2 2 6" xfId="23762" xr:uid="{AC237ED6-308D-44BD-9C36-9CFF07375D0A}"/>
    <cellStyle name="Style 23 2 2 6 2" xfId="26373" xr:uid="{8443B30E-8249-423C-985E-17E4E22E1EB7}"/>
    <cellStyle name="Style 23 2 2 6 2 2" xfId="33212" xr:uid="{C77E21B9-83A1-41A2-B919-1BDE3FA53A35}"/>
    <cellStyle name="Style 23 2 2 6 3" xfId="26309" xr:uid="{7232F678-D196-4FDD-A8A8-EA3A8053B8F5}"/>
    <cellStyle name="Style 23 2 2 6 3 2" xfId="33137" xr:uid="{C7CD377E-049C-4EDD-8835-912DAB5A2848}"/>
    <cellStyle name="Style 23 2 2 6 4" xfId="23431" xr:uid="{B914D171-2B2A-4549-B245-FE31C775C19E}"/>
    <cellStyle name="Style 23 2 2 7" xfId="23892" xr:uid="{7C909133-A747-4632-89B3-F9BB618C0E24}"/>
    <cellStyle name="Style 23 2 2 7 2" xfId="26510" xr:uid="{0EEC1800-42C8-4B6C-81C6-FC2288467191}"/>
    <cellStyle name="Style 23 2 2 7 2 2" xfId="33350" xr:uid="{F02C2F91-884A-4B2D-8940-FEB1E2F21C1F}"/>
    <cellStyle name="Style 23 2 2 7 3" xfId="26174" xr:uid="{B631BFE3-EE5A-4B8D-9EEB-C09DC859ABD8}"/>
    <cellStyle name="Style 23 2 2 7 3 2" xfId="33002" xr:uid="{00C29AC8-89A5-4DD2-AD8F-EDBA4D1EB9B1}"/>
    <cellStyle name="Style 23 2 2 7 4" xfId="23296" xr:uid="{4C577EB9-6A5E-4801-B703-7C17859C32BC}"/>
    <cellStyle name="Style 23 2 2 8" xfId="23122" xr:uid="{99977EBC-3C51-4089-8265-E59E938F9B65}"/>
    <cellStyle name="Style 23 2 2 9" xfId="13662" xr:uid="{AC4A2069-15CA-492A-B68A-1EE0197A1F45}"/>
    <cellStyle name="Style 23 2 3" xfId="10831" xr:uid="{00000000-0005-0000-0000-000031220000}"/>
    <cellStyle name="Style 23 2 3 2" xfId="9344" xr:uid="{00000000-0005-0000-0000-000068250000}"/>
    <cellStyle name="Style 23 2 3 2 2" xfId="23581" xr:uid="{1417EC2D-9FC8-4C76-8ABB-E71795A806E9}"/>
    <cellStyle name="Style 23 2 3 2 3" xfId="17744" xr:uid="{23E42016-C7CD-4DB7-B4A3-100ADABD9C52}"/>
    <cellStyle name="Style 23 2 3 2 4" xfId="41863" xr:uid="{277F5222-3F50-4BBB-AA5F-B13126A68BA0}"/>
    <cellStyle name="Style 23 2 3 2 5" xfId="46513" xr:uid="{473CDCAF-5794-4B9A-B088-95A1467B6EAC}"/>
    <cellStyle name="Style 23 2 3 2 6" xfId="37912" xr:uid="{E306435E-D33E-4387-9C2A-7C0C669E1B4F}"/>
    <cellStyle name="Style 23 2 3 2 7" xfId="37810" xr:uid="{71EFFDEB-94A4-40EE-8A66-9C53E4D545E4}"/>
    <cellStyle name="Style 23 2 3 2 8" xfId="49682" xr:uid="{62C2C24A-F5B5-4917-979F-10B599880455}"/>
    <cellStyle name="Style 23 2 3 3" xfId="23111" xr:uid="{ABB1BBF5-CE60-43E7-A6E2-98F06B492AB3}"/>
    <cellStyle name="Style 23 2 3 4" xfId="17476" xr:uid="{A2E08B93-7143-40DC-9033-C4157A1B1991}"/>
    <cellStyle name="Style 23 2 3 5" xfId="43320" xr:uid="{35437ECC-AF1E-46A9-AA5F-D188A663D812}"/>
    <cellStyle name="Style 23 2 4" xfId="8936" xr:uid="{00000000-0005-0000-0000-000002110000}"/>
    <cellStyle name="Style 23 2 4 2" xfId="17883" xr:uid="{551D6042-2E89-4BFA-893F-E1EA2AD6918D}"/>
    <cellStyle name="Style 23 2 4 2 2" xfId="23042" xr:uid="{17A0291C-FB34-470A-991A-033089BFC758}"/>
    <cellStyle name="Style 23 2 4 3" xfId="23602" xr:uid="{303BC766-04F0-4AD3-8E79-A9C73334A357}"/>
    <cellStyle name="Style 23 2 4 4" xfId="17623" xr:uid="{51984EE9-DAC2-4909-8B30-6DB2F1E1D74B}"/>
    <cellStyle name="Style 23 2 4 5" xfId="41580" xr:uid="{4A95A49C-F22B-4697-A941-ED6E1ABBA110}"/>
    <cellStyle name="Style 23 2 4 6" xfId="46587" xr:uid="{2EFEB378-0826-4333-B5AB-816B9C6BDFAB}"/>
    <cellStyle name="Style 23 2 4 7" xfId="46325" xr:uid="{1ED2313E-3F14-416F-B200-009073C4127B}"/>
    <cellStyle name="Style 23 2 4 8" xfId="40099" xr:uid="{3B9A8D67-4E89-4DE3-BCD9-92DE58EAD7BE}"/>
    <cellStyle name="Style 23 2 4 9" xfId="13946" xr:uid="{0B934686-2CAA-4AA9-AF27-5388BE9D643E}"/>
    <cellStyle name="Style 23 2 5" xfId="17658" xr:uid="{8BE2C1DA-A348-4AC6-81C6-6E90FF2D90A7}"/>
    <cellStyle name="Style 23 2 5 2" xfId="23084" xr:uid="{72383AF6-6546-481F-B7AD-4CFE34E37F54}"/>
    <cellStyle name="Style 23 2 6" xfId="13661" xr:uid="{8AF75B50-0ACA-4962-8EC8-FBB4B5545018}"/>
    <cellStyle name="Style 23 2 7" xfId="39344" xr:uid="{05977EE6-0377-4C7E-BA73-3655100AD461}"/>
    <cellStyle name="Style 23 3" xfId="5315" xr:uid="{00000000-0005-0000-0000-0000EB140000}"/>
    <cellStyle name="Style 23 3 10" xfId="13663" xr:uid="{A2D65A28-1588-4D72-9E27-19060BC9B22B}"/>
    <cellStyle name="Style 23 3 11" xfId="39346" xr:uid="{D317C7BC-7EE8-4E61-B63F-9476FCDEFCBD}"/>
    <cellStyle name="Style 23 3 2" xfId="5316" xr:uid="{00000000-0005-0000-0000-0000EC140000}"/>
    <cellStyle name="Style 23 3 2 2" xfId="10834" xr:uid="{00000000-0005-0000-0000-000034220000}"/>
    <cellStyle name="Style 23 3 2 2 2" xfId="23169" xr:uid="{DBAA998F-C70F-46FB-B152-B122D3EF0AD5}"/>
    <cellStyle name="Style 23 3 2 2 3" xfId="17817" xr:uid="{94DFF5DB-C3D0-47D4-8751-063F321FA9AE}"/>
    <cellStyle name="Style 23 3 2 2 4" xfId="43323" xr:uid="{99F78BCE-B33A-4F5E-B6F4-9BB92BFF1B2B}"/>
    <cellStyle name="Style 23 3 2 3" xfId="9326" xr:uid="{00000000-0005-0000-0000-00006D250000}"/>
    <cellStyle name="Style 23 3 2 3 2" xfId="17546" xr:uid="{32BBE792-85F5-4756-8FB7-BB8C4305B73B}"/>
    <cellStyle name="Style 23 3 2 3 3" xfId="41848" xr:uid="{198773FD-6846-40AB-9576-16C62A336228}"/>
    <cellStyle name="Style 23 3 2 3 4" xfId="37716" xr:uid="{13B1EFF9-04F4-4B6B-BF14-6DB53EA5C732}"/>
    <cellStyle name="Style 23 3 2 3 5" xfId="47379" xr:uid="{7BB694B4-C8F2-40EC-A4D0-D03198D30413}"/>
    <cellStyle name="Style 23 3 2 3 6" xfId="47883" xr:uid="{F415C244-C6C2-4B22-AF20-45361CD9DDAA}"/>
    <cellStyle name="Style 23 3 2 3 7" xfId="49380" xr:uid="{0BFF92C5-4263-4C3F-96E2-95D0D6BE5CDB}"/>
    <cellStyle name="Style 23 3 2 4" xfId="23656" xr:uid="{3D1AA278-49C0-44F7-A97D-A3796D912F11}"/>
    <cellStyle name="Style 23 3 2 5" xfId="16492" xr:uid="{7D769CB9-B298-4424-B53A-D19C96F651EA}"/>
    <cellStyle name="Style 23 3 2 6" xfId="39347" xr:uid="{04E5AFFB-5C39-4510-8D60-7038E7A95830}"/>
    <cellStyle name="Style 23 3 3" xfId="10833" xr:uid="{00000000-0005-0000-0000-000033220000}"/>
    <cellStyle name="Style 23 3 3 2" xfId="9505" xr:uid="{00000000-0005-0000-0000-00006E250000}"/>
    <cellStyle name="Style 23 3 3 2 2" xfId="23570" xr:uid="{9B3D07A7-BC44-4868-BCFE-71B939AE5367}"/>
    <cellStyle name="Style 23 3 3 2 3" xfId="17778" xr:uid="{E95297CF-AAB3-41A8-931B-FC8AB7C7512D}"/>
    <cellStyle name="Style 23 3 3 2 4" xfId="41994" xr:uid="{5E3A3380-DC83-494D-A22F-69EC3A7FDC70}"/>
    <cellStyle name="Style 23 3 3 2 5" xfId="46481" xr:uid="{A155BDAF-1F57-4D59-88ED-5654D71B674A}"/>
    <cellStyle name="Style 23 3 3 2 6" xfId="46927" xr:uid="{3565F199-F155-4A0A-BF9F-75E58B8F6618}"/>
    <cellStyle name="Style 23 3 3 2 7" xfId="41788" xr:uid="{98008D22-F59B-4524-B34E-826BAA35F424}"/>
    <cellStyle name="Style 23 3 3 2 8" xfId="47894" xr:uid="{E070163A-6C99-4348-834A-D9D3E981B787}"/>
    <cellStyle name="Style 23 3 3 3" xfId="23106" xr:uid="{E6B46E4B-EF34-46C8-8469-604A91BE54B4}"/>
    <cellStyle name="Style 23 3 3 4" xfId="17508" xr:uid="{65EC92D0-30D6-4C26-9E01-4DD04E7B5751}"/>
    <cellStyle name="Style 23 3 3 5" xfId="43322" xr:uid="{210F9311-3D96-45A2-B5F5-1D9795D63CAE}"/>
    <cellStyle name="Style 23 3 4" xfId="9337" xr:uid="{00000000-0005-0000-0000-00006C250000}"/>
    <cellStyle name="Style 23 3 4 2" xfId="23060" xr:uid="{233E9105-A806-41C2-943A-55D3864F7F22}"/>
    <cellStyle name="Style 23 3 4 3" xfId="17706" xr:uid="{8ACE84BB-6C15-4812-9E3E-6DC66E2354A8}"/>
    <cellStyle name="Style 23 3 4 4" xfId="41858" xr:uid="{17286FEA-7ECF-4F88-A50A-589849133DB4}"/>
    <cellStyle name="Style 23 3 4 5" xfId="37721" xr:uid="{1B81FC40-A800-4E75-BC77-8C473E50E771}"/>
    <cellStyle name="Style 23 3 4 6" xfId="14152" xr:uid="{365C2113-9D6F-4528-BC90-6057C98DDFFA}"/>
    <cellStyle name="Style 23 3 4 7" xfId="46088" xr:uid="{81C45141-A14B-4B66-B966-39A4D7FE0EAC}"/>
    <cellStyle name="Style 23 3 4 8" xfId="46963" xr:uid="{EA75FE7E-81FD-4920-B8EF-F747085CD619}"/>
    <cellStyle name="Style 23 3 5" xfId="8937" xr:uid="{00000000-0005-0000-0000-000003110000}"/>
    <cellStyle name="Style 23 3 5 2" xfId="23725" xr:uid="{9FDE1D86-61DC-476A-AA2A-6727AD13CEA4}"/>
    <cellStyle name="Style 23 3 5 3" xfId="18699" xr:uid="{E229CD09-C63D-41EF-9FE8-6CC1D8A78D25}"/>
    <cellStyle name="Style 23 3 6" xfId="18273" xr:uid="{95F3F27E-6F6F-4A75-81B2-448613C16935}"/>
    <cellStyle name="Style 23 3 6 2" xfId="27838" xr:uid="{2CD5F1D5-9A29-4AC4-8B0E-BAD9FD25C9B1}"/>
    <cellStyle name="Style 23 3 6 2 2" xfId="34683" xr:uid="{3A94D1C9-4D0B-44F6-AB62-E2F9AD88DF38}"/>
    <cellStyle name="Style 23 3 6 3" xfId="29919" xr:uid="{268C6557-21A6-407E-96F4-0A65029CE633}"/>
    <cellStyle name="Style 23 3 6 3 2" xfId="36764" xr:uid="{C29D2BBD-4181-4D41-BDCB-621D5B03522A}"/>
    <cellStyle name="Style 23 3 6 4" xfId="25166" xr:uid="{580E8202-54D0-43D8-AFB1-89D74553CA6C}"/>
    <cellStyle name="Style 23 3 6 5" xfId="32001" xr:uid="{3C419892-4935-4289-8134-C030EE2055D3}"/>
    <cellStyle name="Style 23 3 7" xfId="24937" xr:uid="{390E48AF-69CA-4D4D-B6B7-FBED5CAABD29}"/>
    <cellStyle name="Style 23 3 7 2" xfId="27607" xr:uid="{20274B5F-C852-41DA-853B-DC6FB8C00C4B}"/>
    <cellStyle name="Style 23 3 7 2 2" xfId="34451" xr:uid="{CE1CF79B-6D4E-4C77-B7DA-6023B43AF040}"/>
    <cellStyle name="Style 23 3 7 3" xfId="29687" xr:uid="{37A216FE-F537-40F6-AA8B-DAAFA177D5CB}"/>
    <cellStyle name="Style 23 3 7 3 2" xfId="36532" xr:uid="{01A2DF79-71E8-4FA8-B31E-147C42CC1775}"/>
    <cellStyle name="Style 23 3 7 4" xfId="31769" xr:uid="{C4B6130D-0163-4431-9408-FCA6404E4B3F}"/>
    <cellStyle name="Style 23 3 8" xfId="24369" xr:uid="{40CD841B-803C-4E7F-A6AE-6B2E6E347FDD}"/>
    <cellStyle name="Style 23 3 8 2" xfId="26976" xr:uid="{0D58FE6D-EE4C-4106-8446-7C6395169F79}"/>
    <cellStyle name="Style 23 3 8 2 2" xfId="33816" xr:uid="{02E5675C-E153-423A-867C-8B253A2949FC}"/>
    <cellStyle name="Style 23 3 8 3" xfId="29052" xr:uid="{1B9DC5C5-77A5-44C2-AAD4-B145AF5EF2AF}"/>
    <cellStyle name="Style 23 3 8 3 2" xfId="35897" xr:uid="{059983A1-55FE-4AD0-B31C-D10DE209DF4B}"/>
    <cellStyle name="Style 23 3 8 4" xfId="31134" xr:uid="{9CC0746F-776A-4B33-A6B5-76B160A63C9C}"/>
    <cellStyle name="Style 23 3 9" xfId="23123" xr:uid="{15A6A926-D9CF-4991-A0DF-D85D2F89D94B}"/>
    <cellStyle name="Style 23 4" xfId="5317" xr:uid="{00000000-0005-0000-0000-0000ED140000}"/>
    <cellStyle name="Style 23 4 2" xfId="5318" xr:uid="{00000000-0005-0000-0000-0000EE140000}"/>
    <cellStyle name="Style 23 4 2 2" xfId="10836" xr:uid="{00000000-0005-0000-0000-000036220000}"/>
    <cellStyle name="Style 23 4 2 2 2" xfId="23582" xr:uid="{9A999CD1-3A87-4F88-BC1D-CC43EFCF2E12}"/>
    <cellStyle name="Style 23 4 2 2 3" xfId="43325" xr:uid="{D1DDCB70-2039-4451-863E-47567D69FDAA}"/>
    <cellStyle name="Style 23 4 2 3" xfId="17336" xr:uid="{501ECFB8-ECDF-4D68-B386-75EF5614FE71}"/>
    <cellStyle name="Style 23 4 2 4" xfId="39349" xr:uid="{0B875FDB-D32C-4992-A307-6974AADC45AF}"/>
    <cellStyle name="Style 23 4 3" xfId="10835" xr:uid="{00000000-0005-0000-0000-000035220000}"/>
    <cellStyle name="Style 23 4 3 2" xfId="23681" xr:uid="{4DC303F9-793D-40E1-8983-274BF011CBD7}"/>
    <cellStyle name="Style 23 4 3 3" xfId="43324" xr:uid="{6D092213-D7E2-495B-96AB-33598B9DF108}"/>
    <cellStyle name="Style 23 4 4" xfId="9317" xr:uid="{00000000-0005-0000-0000-000001110000}"/>
    <cellStyle name="Style 23 4 4 2" xfId="41840" xr:uid="{A5E9BC41-9203-4BDB-8CE9-06083716DBB9}"/>
    <cellStyle name="Style 23 4 4 3" xfId="47172" xr:uid="{80FE28DE-829B-4640-886D-A0FBF1FBEDC8}"/>
    <cellStyle name="Style 23 4 4 4" xfId="37713" xr:uid="{D573AEB4-650E-4BBC-945B-24A843195927}"/>
    <cellStyle name="Style 23 4 4 5" xfId="46318" xr:uid="{FEE73945-0DD8-45BB-A0E0-9B70AD44A89A}"/>
    <cellStyle name="Style 23 4 4 6" xfId="49404" xr:uid="{5C8FD1EA-7B1A-475F-98D5-6DB16C7771B7}"/>
    <cellStyle name="Style 23 4 4 7" xfId="46671" xr:uid="{D2EFCDF8-920F-4F99-85AC-56EB234CA4FD}"/>
    <cellStyle name="Style 23 4 5" xfId="13669" xr:uid="{EFEB6A21-10E1-4B6B-9A15-BEE9EF1E282B}"/>
    <cellStyle name="Style 23 4 6" xfId="39348" xr:uid="{091222F8-E3F1-4E25-8D5E-1D1538932945}"/>
    <cellStyle name="Style 23 5" xfId="10830" xr:uid="{00000000-0005-0000-0000-000030220000}"/>
    <cellStyle name="Style 23 5 2" xfId="9345" xr:uid="{00000000-0005-0000-0000-000067250000}"/>
    <cellStyle name="Style 23 5 2 2" xfId="23182" xr:uid="{98D0DD39-7B89-4F5A-818C-F24DD7CA0C77}"/>
    <cellStyle name="Style 23 5 2 3" xfId="17882" xr:uid="{8745F17E-52B3-445C-850C-760FA60D4FFF}"/>
    <cellStyle name="Style 23 5 2 4" xfId="41864" xr:uid="{C56AA9D3-7F26-40DE-93AC-894E5DDA957B}"/>
    <cellStyle name="Style 23 5 2 5" xfId="46516" xr:uid="{55080160-9C31-4301-9E45-4C2EBCD6568B}"/>
    <cellStyle name="Style 23 5 2 6" xfId="47291" xr:uid="{8250DD98-E587-41A6-909A-E8B5FC4E5C01}"/>
    <cellStyle name="Style 23 5 2 7" xfId="48410" xr:uid="{B73E0CB2-5FFE-4896-B9A5-56DEF7D78BA2}"/>
    <cellStyle name="Style 23 5 2 8" xfId="48914" xr:uid="{A8A9740F-0312-4E2C-99C6-50A24B2B9AC6}"/>
    <cellStyle name="Style 23 5 3" xfId="23603" xr:uid="{C4BC961F-5188-4C86-A056-8DEF7F0FE568}"/>
    <cellStyle name="Style 23 5 4" xfId="17622" xr:uid="{6E65443B-94B2-4051-9E57-6A33C5BEEE15}"/>
    <cellStyle name="Style 23 5 5" xfId="43319" xr:uid="{A57439C8-9A6F-453F-9FB4-D8B1692D2200}"/>
    <cellStyle name="Style 23 6" xfId="8934" xr:uid="{00000000-0005-0000-0000-000001110000}"/>
    <cellStyle name="Style 23 6 2" xfId="23085" xr:uid="{E3B5559A-117B-441C-9EB4-F6751026852A}"/>
    <cellStyle name="Style 23 6 3" xfId="17657" xr:uid="{813761DE-A840-4BB3-B580-A32121A1862A}"/>
    <cellStyle name="Style 23 6 4" xfId="41578" xr:uid="{209B1E88-BFA2-4070-AE28-BD049A93954D}"/>
    <cellStyle name="Style 23 6 5" xfId="48094" xr:uid="{62BD7F75-9FFB-41F6-8037-5D0B9AB64978}"/>
    <cellStyle name="Style 23 6 6" xfId="15237" xr:uid="{B7D773DD-DB6E-4830-A17F-780494F5B68B}"/>
    <cellStyle name="Style 23 6 7" xfId="37693" xr:uid="{867D1953-8886-431A-A088-A97A4B8BD906}"/>
    <cellStyle name="Style 23 6 8" xfId="48272" xr:uid="{8DDF6814-58B4-479B-9CC1-C0B73D0B45CA}"/>
    <cellStyle name="Style 23 7" xfId="13614" xr:uid="{6E924FF7-57FD-43B2-8423-9F897CD7EDE4}"/>
    <cellStyle name="Style 23 8" xfId="39343" xr:uid="{83C49F5A-8026-4D4C-AF57-B5DE7F2EB5E1}"/>
    <cellStyle name="Style 24" xfId="5319" xr:uid="{00000000-0005-0000-0000-0000EF140000}"/>
    <cellStyle name="Style 24 2" xfId="5320" xr:uid="{00000000-0005-0000-0000-0000F0140000}"/>
    <cellStyle name="Style 24 2 10" xfId="39351" xr:uid="{E38450F9-CD00-4565-BB9D-117C1737C6D2}"/>
    <cellStyle name="Style 24 2 2" xfId="10838" xr:uid="{00000000-0005-0000-0000-000038220000}"/>
    <cellStyle name="Style 24 2 2 2" xfId="17819" xr:uid="{0D9D9C3D-9AD9-4FDD-89C9-2715BA405A4C}"/>
    <cellStyle name="Style 24 2 2 2 2" xfId="23053" xr:uid="{C5478CDA-E560-4C4E-9969-C13F560D2F27}"/>
    <cellStyle name="Style 24 2 2 3" xfId="23654" xr:uid="{8838711C-1F84-410D-AAB1-39F8F33C19F7}"/>
    <cellStyle name="Style 24 2 2 4" xfId="17548" xr:uid="{4DAA854F-900E-466A-A73D-8DBA14952C6F}"/>
    <cellStyle name="Style 24 2 2 5" xfId="43327" xr:uid="{232F3501-AC79-420E-AE8E-22A530628E14}"/>
    <cellStyle name="Style 24 2 3" xfId="8945" xr:uid="{00000000-0005-0000-0000-000005110000}"/>
    <cellStyle name="Style 24 2 3 2" xfId="17780" xr:uid="{D89CA053-384A-496E-910B-8DC858EB35F9}"/>
    <cellStyle name="Style 24 2 3 2 2" xfId="23568" xr:uid="{B79BA875-85EC-4608-BF12-215BB7E4FF7E}"/>
    <cellStyle name="Style 24 2 3 3" xfId="23105" xr:uid="{8E5F0717-00AC-4D31-8D4B-1F6A315247BA}"/>
    <cellStyle name="Style 24 2 3 4" xfId="17510" xr:uid="{2A842E34-29B8-4807-8171-A547025BF82F}"/>
    <cellStyle name="Style 24 2 4" xfId="17708" xr:uid="{C65D37DA-CE8A-46F5-ADB0-F0B0D285240C}"/>
    <cellStyle name="Style 24 2 4 2" xfId="23059" xr:uid="{7A2A443A-2378-4A94-9B1D-BFA7B034D95F}"/>
    <cellStyle name="Style 24 2 5" xfId="18697" xr:uid="{ADE90C04-E69F-4019-8991-FFC3727ED6C4}"/>
    <cellStyle name="Style 24 2 5 2" xfId="23726" xr:uid="{EEAD2A47-D89C-4CFD-AD61-680FF061B9C4}"/>
    <cellStyle name="Style 24 2 6" xfId="18274" xr:uid="{F8A90E8D-B78A-40FB-894B-31EA29154179}"/>
    <cellStyle name="Style 24 2 6 2" xfId="27922" xr:uid="{FF231A36-AC70-44E7-A9C8-20FCEB368001}"/>
    <cellStyle name="Style 24 2 6 2 2" xfId="34767" xr:uid="{76252431-FE3F-4650-8E6A-BC8C8DE12210}"/>
    <cellStyle name="Style 24 2 6 3" xfId="30003" xr:uid="{B6B1BEF4-BF75-48FB-AF54-9ED05C0D82D1}"/>
    <cellStyle name="Style 24 2 6 3 2" xfId="36848" xr:uid="{071186F2-98E3-45C7-BA70-F960E94CC642}"/>
    <cellStyle name="Style 24 2 6 4" xfId="25251" xr:uid="{2F3528E0-6219-4609-826F-2FAD21F84E1D}"/>
    <cellStyle name="Style 24 2 6 5" xfId="32085" xr:uid="{AE3B5830-5841-4E6C-8054-70FBF15AB745}"/>
    <cellStyle name="Style 24 2 7" xfId="17443" xr:uid="{7606292E-00B5-44D1-90BB-BC8B7EC9190E}"/>
    <cellStyle name="Style 24 2 7 2" xfId="28081" xr:uid="{16AEE41D-60EF-46BD-9F1F-CB1D8BAE53F3}"/>
    <cellStyle name="Style 24 2 7 2 2" xfId="34926" xr:uid="{50961A3A-ED78-4494-8248-5088140D0CD5}"/>
    <cellStyle name="Style 24 2 7 3" xfId="30162" xr:uid="{1EB112C1-4903-4BD8-9B40-ABBB2FFF3BF4}"/>
    <cellStyle name="Style 24 2 7 3 2" xfId="37007" xr:uid="{FF4E282E-062E-4EB6-B935-4859B33FD345}"/>
    <cellStyle name="Style 24 2 7 4" xfId="25414" xr:uid="{3B387903-5DD3-4A05-8220-A532B090A8ED}"/>
    <cellStyle name="Style 24 2 7 5" xfId="32244" xr:uid="{61F67B00-D981-4E0F-926D-2C3E3C3FD7F7}"/>
    <cellStyle name="Style 24 2 8" xfId="25475" xr:uid="{455CDDE8-E159-46C3-8B56-BFAC502F6A39}"/>
    <cellStyle name="Style 24 2 8 2" xfId="28142" xr:uid="{A0B46443-AB55-4B9C-BAF1-0BCB2B3AFAE4}"/>
    <cellStyle name="Style 24 2 8 2 2" xfId="34987" xr:uid="{CF17AD7E-51D8-4F9E-9B52-AD4101279AA3}"/>
    <cellStyle name="Style 24 2 8 3" xfId="30223" xr:uid="{546608F8-411A-43AB-8522-97BE3E4356DE}"/>
    <cellStyle name="Style 24 2 8 3 2" xfId="37068" xr:uid="{FF40C02D-596D-4E92-9C3D-FD207E9AE6B0}"/>
    <cellStyle name="Style 24 2 8 4" xfId="32305" xr:uid="{BF347098-0D3E-4610-AEC2-F35599C2298E}"/>
    <cellStyle name="Style 24 2 9" xfId="23121" xr:uid="{41B70753-748D-4242-BBBA-D166430CF02E}"/>
    <cellStyle name="Style 24 3" xfId="5321" xr:uid="{00000000-0005-0000-0000-0000F1140000}"/>
    <cellStyle name="Style 24 3 2" xfId="10839" xr:uid="{00000000-0005-0000-0000-000039220000}"/>
    <cellStyle name="Style 24 3 2 2" xfId="23580" xr:uid="{5E1C1FBD-928C-4914-A1AD-9801E8F2BAEC}"/>
    <cellStyle name="Style 24 3 2 3" xfId="17745" xr:uid="{475C62DD-8CE1-4D89-B6DE-8FD8A1A622D3}"/>
    <cellStyle name="Style 24 3 2 4" xfId="43328" xr:uid="{102337B1-157E-4841-A2D7-2F952FC4BB1D}"/>
    <cellStyle name="Style 24 3 3" xfId="8948" xr:uid="{00000000-0005-0000-0000-000006110000}"/>
    <cellStyle name="Style 24 3 3 2" xfId="23727" xr:uid="{B7953816-25AB-40FA-84D1-3AC0883D87F4}"/>
    <cellStyle name="Style 24 3 3 3" xfId="18667" xr:uid="{092A77E6-132D-43C7-A201-4A32D2A74E00}"/>
    <cellStyle name="Style 24 3 4" xfId="18275" xr:uid="{B744A03C-864B-4767-AFC6-1166821D4027}"/>
    <cellStyle name="Style 24 3 5" xfId="17477" xr:uid="{C7FE3C3B-96E9-4A2B-86DE-1DB34ED484DF}"/>
    <cellStyle name="Style 24 3 6" xfId="23680" xr:uid="{0B864FC8-2115-4B5A-9609-5A18722836F6}"/>
    <cellStyle name="Style 24 3 7" xfId="39352" xr:uid="{5515A15F-52D5-4F32-9E95-91A96705138E}"/>
    <cellStyle name="Style 24 4" xfId="5322" xr:uid="{00000000-0005-0000-0000-0000F2140000}"/>
    <cellStyle name="Style 24 4 2" xfId="10840" xr:uid="{00000000-0005-0000-0000-00003A220000}"/>
    <cellStyle name="Style 24 4 2 2" xfId="23041" xr:uid="{DF0CFE14-4866-4C0B-B3FB-795260B977D3}"/>
    <cellStyle name="Style 24 4 2 3" xfId="17884" xr:uid="{17B3A085-B67B-43FC-843A-8F33201F9D3B}"/>
    <cellStyle name="Style 24 4 2 4" xfId="43329" xr:uid="{7DC66A3D-0D19-4CC7-8731-7D2955B390D2}"/>
    <cellStyle name="Style 24 4 3" xfId="8949" xr:uid="{00000000-0005-0000-0000-000007110000}"/>
    <cellStyle name="Style 24 4 3 2" xfId="23728" xr:uid="{8D7CEBDF-73D4-404F-93D7-CC01E5E6658C}"/>
    <cellStyle name="Style 24 4 3 3" xfId="18576" xr:uid="{A51B8039-E8D5-4EA0-B990-40DDC0074F33}"/>
    <cellStyle name="Style 24 4 4" xfId="18276" xr:uid="{9ADDAC84-9C7A-433A-ABDD-72945D0D209E}"/>
    <cellStyle name="Style 24 4 5" xfId="17624" xr:uid="{D4559CD0-51EF-4A5A-B7C6-83B8B2A5BB3E}"/>
    <cellStyle name="Style 24 4 6" xfId="23601" xr:uid="{A87FD890-B651-426B-9721-0F7626F73018}"/>
    <cellStyle name="Style 24 4 7" xfId="39353" xr:uid="{99C638F2-F069-4904-899B-997F6EC3052F}"/>
    <cellStyle name="Style 24 5" xfId="10837" xr:uid="{00000000-0005-0000-0000-000037220000}"/>
    <cellStyle name="Style 24 5 2" xfId="9319" xr:uid="{00000000-0005-0000-0000-000004110000}"/>
    <cellStyle name="Style 24 5 2 2" xfId="23083" xr:uid="{5C5E4AB1-DE22-4752-A8C2-A655DD77885C}"/>
    <cellStyle name="Style 24 5 2 3" xfId="41841" xr:uid="{0E06C46D-F23C-4168-B981-F5DB86584EC0}"/>
    <cellStyle name="Style 24 5 2 4" xfId="47173" xr:uid="{11D31B22-E5FA-4B83-8167-72CD499B45FA}"/>
    <cellStyle name="Style 24 5 2 5" xfId="46523" xr:uid="{4A1447DC-9001-49B4-A3A8-8278DBBBBA11}"/>
    <cellStyle name="Style 24 5 2 6" xfId="48429" xr:uid="{F8F6711D-81B6-44E5-8D8F-4E64AF40067A}"/>
    <cellStyle name="Style 24 5 2 7" xfId="49409" xr:uid="{8D214D49-C44F-48F6-AA74-4F1E1C5C2EE3}"/>
    <cellStyle name="Style 24 5 2 8" xfId="15139" xr:uid="{862EE2E6-D2A7-4B13-B71F-9C49F20715E9}"/>
    <cellStyle name="Style 24 5 3" xfId="17659" xr:uid="{B9BD1E09-FBDD-42A1-8E73-BDA43452ACD1}"/>
    <cellStyle name="Style 24 5 4" xfId="43326" xr:uid="{AEBD92FE-D294-477B-B040-9567BE32CACB}"/>
    <cellStyle name="Style 24 6" xfId="9385" xr:uid="{00000000-0005-0000-0000-00006F250000}"/>
    <cellStyle name="Style 24 6 2" xfId="41890" xr:uid="{1A49345E-CE32-4339-99F5-0D5143706938}"/>
    <cellStyle name="Style 24 6 3" xfId="47202" xr:uid="{ACA54F5E-C1C2-4CF4-981F-1EE5DADBF971}"/>
    <cellStyle name="Style 24 6 4" xfId="46504" xr:uid="{B478DA67-67AD-498B-A015-DA9113ADB724}"/>
    <cellStyle name="Style 24 6 5" xfId="48446" xr:uid="{15ED1419-8B40-4CEB-A158-727AE9A0BB6C}"/>
    <cellStyle name="Style 24 6 6" xfId="48858" xr:uid="{A8394F5C-57B9-4ADB-A84B-E9D410B9F4B5}"/>
    <cellStyle name="Style 24 6 7" xfId="48296" xr:uid="{E4384782-BF71-4BCC-ABC2-8D91A72BD613}"/>
    <cellStyle name="Style 24 7" xfId="8944" xr:uid="{00000000-0005-0000-0000-000004110000}"/>
    <cellStyle name="Style 24 7 2" xfId="41588" xr:uid="{38474E6B-2DA1-45A0-928C-F31ED0D29E4F}"/>
    <cellStyle name="Style 24 7 3" xfId="47040" xr:uid="{BABD2AD1-E605-4A71-B4D5-C8D22779B32B}"/>
    <cellStyle name="Style 24 7 4" xfId="48095" xr:uid="{9C7206FD-354F-4D7E-B462-053E8FEEDBE0}"/>
    <cellStyle name="Style 24 7 5" xfId="46706" xr:uid="{B71ABEEF-157A-404A-BA19-710053D03672}"/>
    <cellStyle name="Style 24 7 6" xfId="47887" xr:uid="{A666B051-3483-4C39-9809-07DE776BB297}"/>
    <cellStyle name="Style 24 7 7" xfId="48487" xr:uid="{97984DE9-537D-4DD3-97C5-8CE77B410BAB}"/>
    <cellStyle name="Style 24 8" xfId="16493" xr:uid="{5BCC21F7-BA2D-4F27-BD60-CB101A05F153}"/>
    <cellStyle name="Style 24 9" xfId="39350" xr:uid="{A29F7FC6-033B-4636-849D-645F4E4F2A3C}"/>
    <cellStyle name="Style 25" xfId="5323" xr:uid="{00000000-0005-0000-0000-0000F3140000}"/>
    <cellStyle name="Style 25 2" xfId="5324" xr:uid="{00000000-0005-0000-0000-0000F4140000}"/>
    <cellStyle name="Style 25 2 2" xfId="10842" xr:uid="{00000000-0005-0000-0000-00003C220000}"/>
    <cellStyle name="Style 25 2 2 10" xfId="43331" xr:uid="{0D8133CF-E6C0-45ED-8C1F-7BB3E8CEA29A}"/>
    <cellStyle name="Style 25 2 2 2" xfId="9321" xr:uid="{00000000-0005-0000-0000-000009110000}"/>
    <cellStyle name="Style 25 2 2 2 2" xfId="17821" xr:uid="{77105586-89FC-464E-BE34-481E46E281AE}"/>
    <cellStyle name="Style 25 2 2 2 2 2" xfId="23052" xr:uid="{ED4BA332-84F3-433B-9759-E5A8FE2DC851}"/>
    <cellStyle name="Style 25 2 2 2 3" xfId="23652" xr:uid="{B4B73E2E-4ED5-4139-A0AF-7931F8D19277}"/>
    <cellStyle name="Style 25 2 2 2 4" xfId="17550" xr:uid="{3771B492-8927-4B64-9B65-E7EC6C768824}"/>
    <cellStyle name="Style 25 2 2 2 5" xfId="41843" xr:uid="{110D07E2-5992-4A55-AFD9-EF016BE8FE16}"/>
    <cellStyle name="Style 25 2 2 2 6" xfId="37714" xr:uid="{3EBD81C6-1FE9-4884-ADD0-C5B96394655D}"/>
    <cellStyle name="Style 25 2 2 2 7" xfId="16624" xr:uid="{3DFC4510-6F34-425F-A990-C62299462D4F}"/>
    <cellStyle name="Style 25 2 2 2 8" xfId="15657" xr:uid="{0E4F5962-6417-4883-A178-D48903FCBF18}"/>
    <cellStyle name="Style 25 2 2 2 9" xfId="49396" xr:uid="{489BF6B5-839A-4351-B43C-D15EBF37D6E0}"/>
    <cellStyle name="Style 25 2 2 3" xfId="17512" xr:uid="{C34023E7-8E6D-4E90-AA15-FA74AE8DEE8A}"/>
    <cellStyle name="Style 25 2 2 3 2" xfId="17782" xr:uid="{4806C82E-F1D5-48BB-9498-91BB7D59C8B4}"/>
    <cellStyle name="Style 25 2 2 3 2 2" xfId="23566" xr:uid="{EB9CA949-E78C-4409-8D3B-889D8CCFADAF}"/>
    <cellStyle name="Style 25 2 2 3 3" xfId="23104" xr:uid="{55474F36-16BC-4163-A16E-EC84A4F58803}"/>
    <cellStyle name="Style 25 2 2 4" xfId="17710" xr:uid="{D54FD5DF-8AFC-479A-974A-8EB69E927571}"/>
    <cellStyle name="Style 25 2 2 4 2" xfId="23058" xr:uid="{8579002C-27D1-4C2E-9390-061A241A4F85}"/>
    <cellStyle name="Style 25 2 2 5" xfId="18695" xr:uid="{DD2D0329-E5B4-4D5D-93A2-3AD697C2495F}"/>
    <cellStyle name="Style 25 2 2 5 2" xfId="27421" xr:uid="{56735CD1-4670-41DF-B40C-162651773C6A}"/>
    <cellStyle name="Style 25 2 2 5 2 2" xfId="34265" xr:uid="{09326126-3829-413E-8232-125B076B30AB}"/>
    <cellStyle name="Style 25 2 2 5 3" xfId="29501" xr:uid="{D5115489-659B-4DE3-8FFD-FD154021A382}"/>
    <cellStyle name="Style 25 2 2 5 3 2" xfId="36346" xr:uid="{79B47B2A-1DB5-44C2-9460-C89D11DC11E1}"/>
    <cellStyle name="Style 25 2 2 5 4" xfId="24769" xr:uid="{69D37071-32FC-41CF-9218-0E808478C21F}"/>
    <cellStyle name="Style 25 2 2 5 5" xfId="31583" xr:uid="{031AC42A-BAD9-4013-9F5F-2EB65F163006}"/>
    <cellStyle name="Style 25 2 2 6" xfId="25370" xr:uid="{9F3C6025-CDDB-45C4-8268-BA392F61E61B}"/>
    <cellStyle name="Style 25 2 2 6 2" xfId="28037" xr:uid="{BE54EFF7-4D9F-4A13-893B-39A07D4E4FF1}"/>
    <cellStyle name="Style 25 2 2 6 2 2" xfId="34882" xr:uid="{F30BCE28-9A90-45BC-80F2-5FFE1250105E}"/>
    <cellStyle name="Style 25 2 2 6 3" xfId="30118" xr:uid="{07759FCB-61D1-43DF-86FA-40A8690E1599}"/>
    <cellStyle name="Style 25 2 2 6 3 2" xfId="36963" xr:uid="{6179CDEF-D458-438B-B413-B44A501711FB}"/>
    <cellStyle name="Style 25 2 2 6 4" xfId="32200" xr:uid="{9F36464C-9F04-4B43-86BE-93D22EFAC2A5}"/>
    <cellStyle name="Style 25 2 2 7" xfId="25512" xr:uid="{03A0D706-985C-4E35-944A-C4480F41C9CC}"/>
    <cellStyle name="Style 25 2 2 7 2" xfId="28179" xr:uid="{48D2632A-2FB1-4542-9792-8332931AB7A3}"/>
    <cellStyle name="Style 25 2 2 7 2 2" xfId="35024" xr:uid="{B8B24DC8-4446-47AA-9F06-78818482EE90}"/>
    <cellStyle name="Style 25 2 2 7 3" xfId="30260" xr:uid="{2C91CC47-2239-4E0F-9C45-9D8E91D3D32F}"/>
    <cellStyle name="Style 25 2 2 7 3 2" xfId="37105" xr:uid="{2DDA9494-5360-47CA-B9F6-E2995F6FF4E7}"/>
    <cellStyle name="Style 25 2 2 7 4" xfId="32342" xr:uid="{C8A9D492-01DF-492C-8CC6-A0EDBDFB8EDF}"/>
    <cellStyle name="Style 25 2 2 8" xfId="23119" xr:uid="{C3FD4A27-034D-453C-A14A-B5FC1A43C8E2}"/>
    <cellStyle name="Style 25 2 2 9" xfId="17445" xr:uid="{6A22AA16-8C8A-4ACF-91BA-651A2E97A6A1}"/>
    <cellStyle name="Style 25 2 3" xfId="9387" xr:uid="{00000000-0005-0000-0000-000074250000}"/>
    <cellStyle name="Style 25 2 3 2" xfId="17747" xr:uid="{DE3FFA20-5838-491D-AFEC-506DA70E6D18}"/>
    <cellStyle name="Style 25 2 3 2 2" xfId="23578" xr:uid="{A0541032-AAC4-4959-9AFE-63CB37D3DDDC}"/>
    <cellStyle name="Style 25 2 3 3" xfId="23679" xr:uid="{8F8BEA78-724B-4C75-A308-1A3EEC31DF6A}"/>
    <cellStyle name="Style 25 2 3 4" xfId="17479" xr:uid="{AA5176DF-079F-40C8-911A-86DF2F5FFA02}"/>
    <cellStyle name="Style 25 2 3 5" xfId="41892" xr:uid="{F8982556-A78D-4B13-A074-F7F1616617DF}"/>
    <cellStyle name="Style 25 2 3 6" xfId="48133" xr:uid="{D7A4E932-AFD1-405A-B003-ECD7406CDAF8}"/>
    <cellStyle name="Style 25 2 3 7" xfId="47155" xr:uid="{133A7622-44D0-46F3-BDC5-9BA64534F3D0}"/>
    <cellStyle name="Style 25 2 3 8" xfId="49047" xr:uid="{604AD821-A389-408E-A728-6D8CFCE6F954}"/>
    <cellStyle name="Style 25 2 3 9" xfId="13623" xr:uid="{DB444411-8793-4578-8FB8-42ED36D225C1}"/>
    <cellStyle name="Style 25 2 4" xfId="8952" xr:uid="{00000000-0005-0000-0000-000009110000}"/>
    <cellStyle name="Style 25 2 4 2" xfId="17886" xr:uid="{F1F05E02-6CD2-4518-9E7B-D34B936FE10E}"/>
    <cellStyle name="Style 25 2 4 2 2" xfId="23039" xr:uid="{3BD5C37B-8878-4BAD-8448-A160335CB403}"/>
    <cellStyle name="Style 25 2 4 3" xfId="23599" xr:uid="{69488016-2748-4D25-B0EE-CFD9A5FA85E5}"/>
    <cellStyle name="Style 25 2 4 4" xfId="17626" xr:uid="{C069297D-5802-4549-9A39-E55070481FD8}"/>
    <cellStyle name="Style 25 2 4 5" xfId="41593" xr:uid="{42EF998B-9C2C-4DBA-AFA2-4BCDD25698DF}"/>
    <cellStyle name="Style 25 2 4 6" xfId="37649" xr:uid="{5EA31FC6-6642-43A1-84FF-BCD87367D065}"/>
    <cellStyle name="Style 25 2 4 7" xfId="47036" xr:uid="{403A7D3D-2AF1-44B7-A96B-13AC9EC75532}"/>
    <cellStyle name="Style 25 2 4 8" xfId="48135" xr:uid="{5B6F04F9-A603-4C62-9BC6-4E3ED93AB0EB}"/>
    <cellStyle name="Style 25 2 4 9" xfId="47190" xr:uid="{1B5DEB60-CC47-4657-B1CC-5EB460DE5ABA}"/>
    <cellStyle name="Style 25 2 5" xfId="17661" xr:uid="{33E2F94E-8D6A-48D8-892C-6D93582A98ED}"/>
    <cellStyle name="Style 25 2 5 2" xfId="23081" xr:uid="{BE285CE5-19CC-4046-AFA6-045E4787A4CE}"/>
    <cellStyle name="Style 25 2 6" xfId="16496" xr:uid="{F8EF74BA-CA3F-4E66-870D-24296B290E8E}"/>
    <cellStyle name="Style 25 2 7" xfId="39355" xr:uid="{DE03E875-D25B-4EBF-AB03-781F1037300E}"/>
    <cellStyle name="Style 25 3" xfId="5325" xr:uid="{00000000-0005-0000-0000-0000F5140000}"/>
    <cellStyle name="Style 25 3 10" xfId="39356" xr:uid="{904B94A8-BC46-422B-ABCF-DE795AEB678B}"/>
    <cellStyle name="Style 25 3 2" xfId="10843" xr:uid="{00000000-0005-0000-0000-00003D220000}"/>
    <cellStyle name="Style 25 3 2 2" xfId="17820" xr:uid="{4908DA5C-7957-4647-AD98-5982D6C50700}"/>
    <cellStyle name="Style 25 3 2 2 2" xfId="23556" xr:uid="{13EDFC42-663C-48E4-81A6-125AE0A468B4}"/>
    <cellStyle name="Style 25 3 2 3" xfId="23653" xr:uid="{F553C890-A0D1-43A6-B6BD-330BA5D51779}"/>
    <cellStyle name="Style 25 3 2 4" xfId="17549" xr:uid="{C10C571C-A9CD-4D0A-881D-62C5676E13B6}"/>
    <cellStyle name="Style 25 3 2 5" xfId="43332" xr:uid="{9E384C00-FC41-48AE-949F-80E69212D1F1}"/>
    <cellStyle name="Style 25 3 3" xfId="8954" xr:uid="{00000000-0005-0000-0000-00000A110000}"/>
    <cellStyle name="Style 25 3 3 2" xfId="17781" xr:uid="{3B63170F-8B1D-4832-879F-658986C3A039}"/>
    <cellStyle name="Style 25 3 3 2 2" xfId="23567" xr:uid="{9C28CB3C-06BA-4C0A-8EFE-7B6B097CFD3D}"/>
    <cellStyle name="Style 25 3 3 3" xfId="23673" xr:uid="{14025C64-7D99-4B17-B8F2-C25F50C9E78A}"/>
    <cellStyle name="Style 25 3 3 4" xfId="17511" xr:uid="{6ABB4F77-F279-4F61-9022-94B92BF47677}"/>
    <cellStyle name="Style 25 3 4" xfId="17709" xr:uid="{A292D49D-049E-41E4-A5B8-3CA39503929D}"/>
    <cellStyle name="Style 25 3 4 2" xfId="23591" xr:uid="{CEF854D3-8471-4138-8D09-AE26ACFDCDBD}"/>
    <cellStyle name="Style 25 3 5" xfId="18696" xr:uid="{0748E4F4-BC9D-4B5E-AF33-CFC58EE2E7FF}"/>
    <cellStyle name="Style 25 3 5 2" xfId="23730" xr:uid="{2B6AA6DA-DEB4-4BBD-8DB1-D77E2FC634A2}"/>
    <cellStyle name="Style 25 3 6" xfId="18277" xr:uid="{ACE0D4C0-E2DA-4165-9440-26C72CA2D41A}"/>
    <cellStyle name="Style 25 3 6 2" xfId="27584" xr:uid="{659F5F8E-9366-4E5F-8100-42A3A0470270}"/>
    <cellStyle name="Style 25 3 6 2 2" xfId="34428" xr:uid="{02DF339C-210D-4781-B44E-2F532D1A7BEA}"/>
    <cellStyle name="Style 25 3 6 3" xfId="29664" xr:uid="{26F1C074-1715-4F75-B3C2-0EABA0033E4A}"/>
    <cellStyle name="Style 25 3 6 3 2" xfId="36509" xr:uid="{3C887AB7-447E-4BAF-B09A-21351A959A1F}"/>
    <cellStyle name="Style 25 3 6 4" xfId="24915" xr:uid="{259D341A-CEAD-411A-BE59-5C4295DFC325}"/>
    <cellStyle name="Style 25 3 6 5" xfId="31746" xr:uid="{212E2C30-50DB-4980-B62E-C36D379A1075}"/>
    <cellStyle name="Style 25 3 7" xfId="17444" xr:uid="{5C0D001E-1044-42E6-8349-52DECF148CA6}"/>
    <cellStyle name="Style 25 3 7 2" xfId="27602" xr:uid="{7CDD2176-1348-4F3B-9F82-32B0A3EF6791}"/>
    <cellStyle name="Style 25 3 7 2 2" xfId="34446" xr:uid="{6B066EE4-9CCD-4364-AB41-069B0A4494D5}"/>
    <cellStyle name="Style 25 3 7 3" xfId="29682" xr:uid="{423F4798-F376-4104-B07C-3071665C8F5C}"/>
    <cellStyle name="Style 25 3 7 3 2" xfId="36527" xr:uid="{861469C2-0A27-46FC-81E4-0CD191F2A87F}"/>
    <cellStyle name="Style 25 3 7 4" xfId="24932" xr:uid="{8B8BDEA1-9ED5-461B-9416-708107B3822C}"/>
    <cellStyle name="Style 25 3 7 5" xfId="31764" xr:uid="{453F3AD0-C67A-42BD-94EC-1F0C45BD305F}"/>
    <cellStyle name="Style 25 3 8" xfId="25455" xr:uid="{8ACF3C4A-AE63-4480-B5E9-D3AE1D5B7FFF}"/>
    <cellStyle name="Style 25 3 8 2" xfId="28122" xr:uid="{949DDA46-03D4-477C-BFE4-A04032567516}"/>
    <cellStyle name="Style 25 3 8 2 2" xfId="34967" xr:uid="{319124A8-3D9B-47C4-9781-96544FFCE1E0}"/>
    <cellStyle name="Style 25 3 8 3" xfId="30203" xr:uid="{2D7C463E-BAFE-482D-AFD5-3A8EBA95854A}"/>
    <cellStyle name="Style 25 3 8 3 2" xfId="37048" xr:uid="{1F5B30B2-844F-49FA-B443-FCCE54B66B9D}"/>
    <cellStyle name="Style 25 3 8 4" xfId="32285" xr:uid="{2F50625F-6566-4AE0-AB4C-44A0FDC80EF0}"/>
    <cellStyle name="Style 25 3 9" xfId="23120" xr:uid="{AD48B443-00B7-42AA-8E2C-042414C9CF7A}"/>
    <cellStyle name="Style 25 4" xfId="5326" xr:uid="{00000000-0005-0000-0000-0000F6140000}"/>
    <cellStyle name="Style 25 4 2" xfId="10844" xr:uid="{00000000-0005-0000-0000-00003E220000}"/>
    <cellStyle name="Style 25 4 2 2" xfId="18495" xr:uid="{D300790B-74F8-4033-9532-FB2B3725E092}"/>
    <cellStyle name="Style 25 4 2 3" xfId="18824" xr:uid="{3F4EB611-8232-4D32-B761-7A4CCE5C9B9C}"/>
    <cellStyle name="Style 25 4 2 4" xfId="23579" xr:uid="{3BC04A4F-7399-475C-88B7-861E759EB3AB}"/>
    <cellStyle name="Style 25 4 2 5" xfId="17746" xr:uid="{B2CC8887-1BE6-4E53-80E2-806973A21F6F}"/>
    <cellStyle name="Style 25 4 2 6" xfId="43333" xr:uid="{D8FADC55-2C07-48C6-9B10-3760CD468FB8}"/>
    <cellStyle name="Style 25 4 3" xfId="9320" xr:uid="{00000000-0005-0000-0000-000008110000}"/>
    <cellStyle name="Style 25 4 3 2" xfId="18666" xr:uid="{792ACFB2-7613-4DF7-A95F-150C56C016B4}"/>
    <cellStyle name="Style 25 4 3 3" xfId="41842" xr:uid="{76E1600A-46C5-4C8D-B401-379D3A7DBE31}"/>
    <cellStyle name="Style 25 4 3 4" xfId="47174" xr:uid="{D73B8670-6BC4-4BD9-93E8-D34FAA0B198B}"/>
    <cellStyle name="Style 25 4 3 5" xfId="46524" xr:uid="{33D33E52-D00E-4020-B9C6-CEC21DB9C314}"/>
    <cellStyle name="Style 25 4 3 6" xfId="47113" xr:uid="{2E360B14-1FDF-4CF9-8469-89A3489D6981}"/>
    <cellStyle name="Style 25 4 3 7" xfId="40101" xr:uid="{F2D237A7-FFB9-4A77-B995-B8BE6FCB2D4D}"/>
    <cellStyle name="Style 25 4 3 8" xfId="40411" xr:uid="{80B4CB29-33E8-405D-8E9C-8A15A7C760E7}"/>
    <cellStyle name="Style 25 4 4" xfId="18332" xr:uid="{E5B75E1E-D329-4558-A199-4988DD24DED1}"/>
    <cellStyle name="Style 25 4 5" xfId="17478" xr:uid="{A1C3B649-604E-45BC-BF68-D5A893BE44F0}"/>
    <cellStyle name="Style 25 4 6" xfId="23110" xr:uid="{538B2251-188F-4726-8DF4-C67CD9D679DF}"/>
    <cellStyle name="Style 25 4 7" xfId="17328" xr:uid="{271F2224-CC52-436B-9EC8-3CC4707E5CC8}"/>
    <cellStyle name="Style 25 4 8" xfId="39357" xr:uid="{79E215A0-6E91-41CC-8D1D-C6012137A0EC}"/>
    <cellStyle name="Style 25 5" xfId="10841" xr:uid="{00000000-0005-0000-0000-00003B220000}"/>
    <cellStyle name="Style 25 5 2" xfId="9386" xr:uid="{00000000-0005-0000-0000-000073250000}"/>
    <cellStyle name="Style 25 5 2 2" xfId="23040" xr:uid="{6F35F065-1419-4B0F-9204-71F40165CAF4}"/>
    <cellStyle name="Style 25 5 2 3" xfId="17885" xr:uid="{6783A87A-6474-4C4F-A35B-D24DD353EE42}"/>
    <cellStyle name="Style 25 5 2 4" xfId="41891" xr:uid="{AFA83720-934E-42D0-8375-003EAE3831B6}"/>
    <cellStyle name="Style 25 5 2 5" xfId="47203" xr:uid="{D57C68FE-6E8C-4137-AE06-F8FCABC6216B}"/>
    <cellStyle name="Style 25 5 2 6" xfId="37730" xr:uid="{5A8D6CCA-9CBE-44DB-9572-A02D701F1F66}"/>
    <cellStyle name="Style 25 5 2 7" xfId="47876" xr:uid="{95F50FE9-AE22-42A2-B771-A7B55203813E}"/>
    <cellStyle name="Style 25 5 2 8" xfId="47616" xr:uid="{3AA170C2-7618-4686-B944-E3F16F4C0CC9}"/>
    <cellStyle name="Style 25 5 2 9" xfId="38001" xr:uid="{36BFD411-0337-4E98-8824-AFFC00692AB2}"/>
    <cellStyle name="Style 25 5 3" xfId="23600" xr:uid="{59BF0F62-5CA3-46E7-9520-B406C0980C98}"/>
    <cellStyle name="Style 25 5 4" xfId="17625" xr:uid="{630F994C-167C-44E5-AF70-705544C92CE5}"/>
    <cellStyle name="Style 25 5 5" xfId="43330" xr:uid="{08CBD6F9-A0E6-4F6F-BBD2-E4BD37472DD8}"/>
    <cellStyle name="Style 25 6" xfId="8950" xr:uid="{00000000-0005-0000-0000-000008110000}"/>
    <cellStyle name="Style 25 6 2" xfId="23082" xr:uid="{EA7F5F03-82CE-4062-A4D7-1FEAB001DEDF}"/>
    <cellStyle name="Style 25 6 3" xfId="17660" xr:uid="{61054A3D-78F0-443D-A6B8-A49E83F16CB7}"/>
    <cellStyle name="Style 25 6 4" xfId="41591" xr:uid="{BDF60398-334A-45C3-80B1-5FF482255B91}"/>
    <cellStyle name="Style 25 6 5" xfId="47042" xr:uid="{CE23EC06-74BA-4715-9E9A-12E7152FEC76}"/>
    <cellStyle name="Style 25 6 6" xfId="46585" xr:uid="{C4CA6CBC-E1C1-4A65-A54D-8FA032C99A60}"/>
    <cellStyle name="Style 25 6 7" xfId="47546" xr:uid="{04280532-3AC7-4FF1-A87C-1CBFC8A7F9C2}"/>
    <cellStyle name="Style 25 6 8" xfId="48402" xr:uid="{D42D43B4-D4BC-4915-BA97-8DCD83E2C75E}"/>
    <cellStyle name="Style 25 6 9" xfId="49341" xr:uid="{957E6D0E-8381-44F2-84C8-DA59211912A9}"/>
    <cellStyle name="Style 25 7" xfId="23729" xr:uid="{CA89898E-3AC3-4A20-9AA3-B8C8DBA80AC8}"/>
    <cellStyle name="Style 25 7 2" xfId="23454" xr:uid="{746737DA-C398-4F97-A03D-D50BAA55E286}"/>
    <cellStyle name="Style 25 8" xfId="16495" xr:uid="{E4C92B82-2923-48BA-8C48-8E184E25FCC0}"/>
    <cellStyle name="Style 25 9" xfId="39354" xr:uid="{F032705A-C477-4ACF-A1F0-81E7A9EC7ECA}"/>
    <cellStyle name="Style 26" xfId="5327" xr:uid="{00000000-0005-0000-0000-0000F7140000}"/>
    <cellStyle name="Style 26 2" xfId="5328" xr:uid="{00000000-0005-0000-0000-0000F8140000}"/>
    <cellStyle name="Style 26 2 10" xfId="39359" xr:uid="{E738448D-AA02-44F2-AAA7-DA6006E0775E}"/>
    <cellStyle name="Style 26 2 2" xfId="10846" xr:uid="{00000000-0005-0000-0000-000040220000}"/>
    <cellStyle name="Style 26 2 2 2" xfId="17822" xr:uid="{EB80D51C-AE7A-4D1A-99E2-0B4F96053D5A}"/>
    <cellStyle name="Style 26 2 2 2 2" xfId="23555" xr:uid="{B587938B-5424-4800-8EBE-01BB22AF38CC}"/>
    <cellStyle name="Style 26 2 2 3" xfId="23651" xr:uid="{C4A30E2A-BEC0-435D-A426-53F07ADC79E2}"/>
    <cellStyle name="Style 26 2 2 4" xfId="17551" xr:uid="{FCCB4B0C-F477-44B6-88DE-5B57C14D2407}"/>
    <cellStyle name="Style 26 2 2 5" xfId="43335" xr:uid="{FCD4045F-5176-4DD8-82D9-AAD21F8A13FD}"/>
    <cellStyle name="Style 26 2 3" xfId="8956" xr:uid="{00000000-0005-0000-0000-00000C110000}"/>
    <cellStyle name="Style 26 2 3 2" xfId="17783" xr:uid="{E94DD607-2CA2-423C-BAD8-D9038D4BF191}"/>
    <cellStyle name="Style 26 2 3 2 2" xfId="23565" xr:uid="{C6381FF4-33BD-4BCA-8913-D1765E022B4B}"/>
    <cellStyle name="Style 26 2 3 3" xfId="23672" xr:uid="{C350DED5-974F-4D15-8FE4-9D7DB1F3D309}"/>
    <cellStyle name="Style 26 2 3 4" xfId="17513" xr:uid="{0F663013-3627-473C-B4B8-51742E408136}"/>
    <cellStyle name="Style 26 2 4" xfId="17711" xr:uid="{BBDB166A-E887-4328-B8F0-E0D41B2F67DD}"/>
    <cellStyle name="Style 26 2 4 2" xfId="23590" xr:uid="{15EC3D47-003B-4AB2-A6D6-14B522DE38AE}"/>
    <cellStyle name="Style 26 2 5" xfId="18694" xr:uid="{069F904A-311C-40B0-AD8F-E1617D232999}"/>
    <cellStyle name="Style 26 2 5 2" xfId="23731" xr:uid="{035D9678-2DF6-433C-9B5B-D1016E4F386F}"/>
    <cellStyle name="Style 26 2 6" xfId="18278" xr:uid="{FC344AE9-B7F6-4BE4-AB37-011E8BA6E73B}"/>
    <cellStyle name="Style 26 2 6 2" xfId="27601" xr:uid="{781BD68B-E63E-4D27-AB19-91EA55CB494D}"/>
    <cellStyle name="Style 26 2 6 2 2" xfId="34445" xr:uid="{7999B7AA-9DE2-48A1-BBD5-C5784216735C}"/>
    <cellStyle name="Style 26 2 6 3" xfId="29681" xr:uid="{DC99F7DD-16FA-4BD2-AA29-556E6F8DECC8}"/>
    <cellStyle name="Style 26 2 6 3 2" xfId="36526" xr:uid="{8C907CA0-0680-4275-B366-3B4B891D903A}"/>
    <cellStyle name="Style 26 2 6 4" xfId="24931" xr:uid="{68D535FE-2E3A-409B-B87D-02FA7CF2C9A4}"/>
    <cellStyle name="Style 26 2 6 5" xfId="31763" xr:uid="{896A1B76-5962-4A12-BFBD-FA9D13160871}"/>
    <cellStyle name="Style 26 2 7" xfId="17446" xr:uid="{91E7DBD9-5B93-4CF2-BC53-6F0DC9903ACF}"/>
    <cellStyle name="Style 26 2 7 2" xfId="27992" xr:uid="{E3B3D2A0-E258-4505-8486-2A1DE199D449}"/>
    <cellStyle name="Style 26 2 7 2 2" xfId="34837" xr:uid="{CAC58477-478F-4F1E-9B2B-81840DA7FC01}"/>
    <cellStyle name="Style 26 2 7 3" xfId="30073" xr:uid="{F7BAB01F-4EA2-4F92-BACE-6DD99CCC9339}"/>
    <cellStyle name="Style 26 2 7 3 2" xfId="36918" xr:uid="{2FEEFB30-2EBF-4EE3-91F3-A5553342E49F}"/>
    <cellStyle name="Style 26 2 7 4" xfId="25323" xr:uid="{190ED5BB-8E97-4B11-972F-CF5FAAEE6E4E}"/>
    <cellStyle name="Style 26 2 7 5" xfId="32155" xr:uid="{B0459D8E-425D-4F67-B6F6-FAA90C8104C5}"/>
    <cellStyle name="Style 26 2 8" xfId="24645" xr:uid="{BEBE639B-7162-4117-94DA-30C07C4A333B}"/>
    <cellStyle name="Style 26 2 8 2" xfId="27252" xr:uid="{C17F1803-697B-4FC3-BCAC-C37BE72A5F92}"/>
    <cellStyle name="Style 26 2 8 2 2" xfId="34096" xr:uid="{10A28BEA-8372-4FA7-9B6D-A35B806B827B}"/>
    <cellStyle name="Style 26 2 8 3" xfId="29332" xr:uid="{6E38F70C-1C90-46E4-9C5E-4B69E6D221B0}"/>
    <cellStyle name="Style 26 2 8 3 2" xfId="36177" xr:uid="{25A4F4AF-E67D-4AE6-AF65-1C55BF2320CC}"/>
    <cellStyle name="Style 26 2 8 4" xfId="31414" xr:uid="{BDB0BAAC-9168-4E69-A7BE-C5B35780917C}"/>
    <cellStyle name="Style 26 2 9" xfId="23118" xr:uid="{5E56705C-C246-4BBA-8174-7F3BA212E699}"/>
    <cellStyle name="Style 26 3" xfId="5329" xr:uid="{00000000-0005-0000-0000-0000F9140000}"/>
    <cellStyle name="Style 26 3 2" xfId="10847" xr:uid="{00000000-0005-0000-0000-000041220000}"/>
    <cellStyle name="Style 26 3 2 2" xfId="23577" xr:uid="{210B19CC-FA9A-4EA9-8D40-26EF535083E3}"/>
    <cellStyle name="Style 26 3 2 3" xfId="17748" xr:uid="{B91FBFB2-B66D-4FF8-96A7-C372FCFE533D}"/>
    <cellStyle name="Style 26 3 2 4" xfId="43336" xr:uid="{7B7E63FA-994D-40BE-AC13-EDF984BFB40C}"/>
    <cellStyle name="Style 26 3 3" xfId="8957" xr:uid="{00000000-0005-0000-0000-00000D110000}"/>
    <cellStyle name="Style 26 3 3 2" xfId="23732" xr:uid="{0B59EE40-03F3-466F-8BC5-B7A7C97D3EB6}"/>
    <cellStyle name="Style 26 3 3 3" xfId="18665" xr:uid="{6982949D-4C0B-435E-8F5F-297D6DBAA73C}"/>
    <cellStyle name="Style 26 3 4" xfId="18279" xr:uid="{7D0D7375-96DC-43A5-803E-D1235ED66136}"/>
    <cellStyle name="Style 26 3 5" xfId="17480" xr:uid="{321C27FB-8202-42A0-881F-92F16AB64444}"/>
    <cellStyle name="Style 26 3 6" xfId="23109" xr:uid="{2759C43C-E9A4-4C73-BB35-03FAEBBF1D67}"/>
    <cellStyle name="Style 26 3 7" xfId="39360" xr:uid="{C8D8F04C-4930-4C1E-8490-E3050CA5C240}"/>
    <cellStyle name="Style 26 4" xfId="5330" xr:uid="{00000000-0005-0000-0000-0000FA140000}"/>
    <cellStyle name="Style 26 4 2" xfId="10848" xr:uid="{00000000-0005-0000-0000-000042220000}"/>
    <cellStyle name="Style 26 4 2 2" xfId="23038" xr:uid="{C8325867-9EE3-4349-A0EC-5F14486083DB}"/>
    <cellStyle name="Style 26 4 2 3" xfId="17887" xr:uid="{9D34D26B-A7A7-4AF5-A523-1AC360B52834}"/>
    <cellStyle name="Style 26 4 2 4" xfId="43337" xr:uid="{D40F6BB0-D6D1-4881-9A08-080B63F049D0}"/>
    <cellStyle name="Style 26 4 3" xfId="8958" xr:uid="{00000000-0005-0000-0000-00000E110000}"/>
    <cellStyle name="Style 26 4 3 2" xfId="23733" xr:uid="{CF7E5A78-EB1E-469C-AE0B-7C4DA8DF9103}"/>
    <cellStyle name="Style 26 4 3 3" xfId="18575" xr:uid="{4215563B-3EA4-425A-874F-B64D01D00230}"/>
    <cellStyle name="Style 26 4 4" xfId="18280" xr:uid="{76503C9E-A1CA-420E-B433-C8AEF7C731F8}"/>
    <cellStyle name="Style 26 4 5" xfId="17627" xr:uid="{22D625A4-CF9B-42DC-BB47-E6A563DC6B86}"/>
    <cellStyle name="Style 26 4 6" xfId="23598" xr:uid="{8B482FD5-EC3C-4F5D-A36E-7DBA07AD9F71}"/>
    <cellStyle name="Style 26 4 7" xfId="39361" xr:uid="{AE03E9A9-276B-4225-9E63-43FF9F43AF02}"/>
    <cellStyle name="Style 26 5" xfId="10845" xr:uid="{00000000-0005-0000-0000-00003F220000}"/>
    <cellStyle name="Style 26 5 2" xfId="9322" xr:uid="{00000000-0005-0000-0000-00000B110000}"/>
    <cellStyle name="Style 26 5 2 2" xfId="23080" xr:uid="{AFA63A46-3756-41BE-89E0-0955CA55C604}"/>
    <cellStyle name="Style 26 5 2 3" xfId="41844" xr:uid="{8F4B62FA-A776-473A-AA1C-1CFC82B0064E}"/>
    <cellStyle name="Style 26 5 2 4" xfId="47176" xr:uid="{9E2D9D82-E781-41FF-9F95-5A7EC0756D54}"/>
    <cellStyle name="Style 26 5 2 5" xfId="37715" xr:uid="{F4886F9D-D0B3-43F2-921F-9F2BA193C281}"/>
    <cellStyle name="Style 26 5 2 6" xfId="15484" xr:uid="{538B27C9-90B2-4D77-AC2A-9B73DB1FD189}"/>
    <cellStyle name="Style 26 5 2 7" xfId="48400" xr:uid="{DD50FC3B-1487-4B71-9033-C629589548F9}"/>
    <cellStyle name="Style 26 5 2 8" xfId="49648" xr:uid="{6C4725DB-AF32-4F61-8BF5-FA643B3C2B64}"/>
    <cellStyle name="Style 26 5 3" xfId="17662" xr:uid="{11C19CAA-A4B7-457D-9F30-5BD6CAE07F68}"/>
    <cellStyle name="Style 26 5 4" xfId="43334" xr:uid="{BB79F6E8-C399-498B-9D18-CDA2DFA45364}"/>
    <cellStyle name="Style 26 6" xfId="9394" xr:uid="{00000000-0005-0000-0000-000076250000}"/>
    <cellStyle name="Style 26 6 2" xfId="41899" xr:uid="{E78F3C69-C239-4C45-B5D9-A3960EEE98C6}"/>
    <cellStyle name="Style 26 6 3" xfId="47205" xr:uid="{C965EDA7-1B15-4441-B4C8-9CAAFD071AFE}"/>
    <cellStyle name="Style 26 6 4" xfId="46499" xr:uid="{7C999CBB-A574-4B11-AE49-6B9F9854FF34}"/>
    <cellStyle name="Style 26 6 5" xfId="47944" xr:uid="{97B82C79-C6F7-4C45-A0DE-2159C0604002}"/>
    <cellStyle name="Style 26 6 6" xfId="46975" xr:uid="{043952EA-7387-4E62-8689-49506B34731A}"/>
    <cellStyle name="Style 26 6 7" xfId="48687" xr:uid="{95148632-AE58-4252-A815-BDB30ABAB6DA}"/>
    <cellStyle name="Style 26 7" xfId="8955" xr:uid="{00000000-0005-0000-0000-00000B110000}"/>
    <cellStyle name="Style 26 7 2" xfId="41595" xr:uid="{ACBACDA8-3F28-4671-992B-91D6ECF02C82}"/>
    <cellStyle name="Style 26 7 3" xfId="47043" xr:uid="{E1891D89-D917-4604-9358-1291F9685F35}"/>
    <cellStyle name="Style 26 7 4" xfId="46583" xr:uid="{AE637F31-F691-4BB4-85F7-58FE9CECC6C5}"/>
    <cellStyle name="Style 26 7 5" xfId="47384" xr:uid="{E1479E20-DC39-4AFB-8DAC-1ACB47D85119}"/>
    <cellStyle name="Style 26 7 6" xfId="40924" xr:uid="{659C7FDA-242F-4DDD-ACB2-975F717D6A5A}"/>
    <cellStyle name="Style 26 7 7" xfId="48375" xr:uid="{EC8405AA-2645-47B6-A310-F76A74B4161D}"/>
    <cellStyle name="Style 26 8" xfId="16497" xr:uid="{31DE274E-AA4B-4B96-BF82-9C0131634F24}"/>
    <cellStyle name="Style 26 9" xfId="39358" xr:uid="{137EEA5C-067D-4824-90B7-1FB08B977CBD}"/>
    <cellStyle name="Style 27" xfId="5331" xr:uid="{00000000-0005-0000-0000-0000FB140000}"/>
    <cellStyle name="Style 27 2" xfId="10849" xr:uid="{00000000-0005-0000-0000-000043220000}"/>
    <cellStyle name="Style 27 2 2" xfId="43338" xr:uid="{1D691783-8985-4CDA-8A5E-C6AFB62D5930}"/>
    <cellStyle name="Style 27 3" xfId="8959" xr:uid="{00000000-0005-0000-0000-00000F110000}"/>
    <cellStyle name="Style 27 4" xfId="39362" xr:uid="{60336E43-2B77-4A9F-A45F-B756BA8FC8AD}"/>
    <cellStyle name="Style 28" xfId="5332" xr:uid="{00000000-0005-0000-0000-0000FC140000}"/>
    <cellStyle name="Style 28 2" xfId="10850" xr:uid="{00000000-0005-0000-0000-000044220000}"/>
    <cellStyle name="Style 28 2 2" xfId="43339" xr:uid="{CE536708-152F-4380-A1D7-9C3779C78FF2}"/>
    <cellStyle name="Style 28 3" xfId="8960" xr:uid="{00000000-0005-0000-0000-000010110000}"/>
    <cellStyle name="Style 28 4" xfId="39363" xr:uid="{D5B92E73-E98D-41E2-8909-C0F361D50569}"/>
    <cellStyle name="Style 29" xfId="5333" xr:uid="{00000000-0005-0000-0000-0000FD140000}"/>
    <cellStyle name="Style 29 2" xfId="10851" xr:uid="{00000000-0005-0000-0000-000045220000}"/>
    <cellStyle name="Style 29 2 2" xfId="43340" xr:uid="{0EF49FB1-106E-49B9-8440-2F4FFE759963}"/>
    <cellStyle name="Style 29 3" xfId="8961" xr:uid="{00000000-0005-0000-0000-000011110000}"/>
    <cellStyle name="Style 29 4" xfId="39364" xr:uid="{7133267E-9600-4200-ABD7-12691F4A84E6}"/>
    <cellStyle name="Style 3" xfId="5334" xr:uid="{00000000-0005-0000-0000-0000FE140000}"/>
    <cellStyle name="Style 3 2" xfId="10852" xr:uid="{00000000-0005-0000-0000-000046220000}"/>
    <cellStyle name="Style 3 2 2" xfId="43341" xr:uid="{C508F140-A0E0-444D-AD7F-9D05B1B0ABAF}"/>
    <cellStyle name="Style 3 3" xfId="8962" xr:uid="{00000000-0005-0000-0000-000012110000}"/>
    <cellStyle name="Style 3 4" xfId="39365" xr:uid="{B95C789B-E554-40FB-90DB-72F39588B4D1}"/>
    <cellStyle name="Style 30" xfId="5335" xr:uid="{00000000-0005-0000-0000-0000FF140000}"/>
    <cellStyle name="Style 30 2" xfId="10853" xr:uid="{00000000-0005-0000-0000-000047220000}"/>
    <cellStyle name="Style 30 2 2" xfId="43342" xr:uid="{0D33BA36-808A-4E05-8FAA-CB2A93B13012}"/>
    <cellStyle name="Style 30 3" xfId="8978" xr:uid="{00000000-0005-0000-0000-000013110000}"/>
    <cellStyle name="Style 30 4" xfId="39366" xr:uid="{D7A1A49D-F3D2-4753-BF7E-5D7A6A72D137}"/>
    <cellStyle name="Style 31" xfId="5336" xr:uid="{00000000-0005-0000-0000-000000150000}"/>
    <cellStyle name="Style 31 2" xfId="10854" xr:uid="{00000000-0005-0000-0000-000048220000}"/>
    <cellStyle name="Style 31 2 2" xfId="43343" xr:uid="{AEA40D52-1CD4-4793-92E3-4B1798C05404}"/>
    <cellStyle name="Style 31 3" xfId="8981" xr:uid="{00000000-0005-0000-0000-000014110000}"/>
    <cellStyle name="Style 31 4" xfId="39367" xr:uid="{A2DF2A1C-811A-4D2B-BD56-649394BA2ED0}"/>
    <cellStyle name="Style 32" xfId="5337" xr:uid="{00000000-0005-0000-0000-000001150000}"/>
    <cellStyle name="Style 32 2" xfId="10855" xr:uid="{00000000-0005-0000-0000-000049220000}"/>
    <cellStyle name="Style 32 2 2" xfId="43344" xr:uid="{F1915F74-B8B2-44AD-AAC9-385E4952A48C}"/>
    <cellStyle name="Style 32 3" xfId="8989" xr:uid="{00000000-0005-0000-0000-000015110000}"/>
    <cellStyle name="Style 32 4" xfId="39368" xr:uid="{2B4F044C-5A20-4742-B865-007D275A7850}"/>
    <cellStyle name="Style 33" xfId="5338" xr:uid="{00000000-0005-0000-0000-000002150000}"/>
    <cellStyle name="Style 33 2" xfId="10856" xr:uid="{00000000-0005-0000-0000-00004A220000}"/>
    <cellStyle name="Style 33 2 2" xfId="43345" xr:uid="{4EB8BF67-1653-4CD9-ACFD-97358066CABE}"/>
    <cellStyle name="Style 33 3" xfId="8990" xr:uid="{00000000-0005-0000-0000-000016110000}"/>
    <cellStyle name="Style 33 4" xfId="39369" xr:uid="{C540B355-35A8-46B6-9142-8DCFF03FE51F}"/>
    <cellStyle name="Style 34" xfId="5339" xr:uid="{00000000-0005-0000-0000-000003150000}"/>
    <cellStyle name="Style 34 2" xfId="10857" xr:uid="{00000000-0005-0000-0000-00004B220000}"/>
    <cellStyle name="Style 34 2 2" xfId="43346" xr:uid="{A8D26019-2A7E-440F-BF6C-DFA14DD9131B}"/>
    <cellStyle name="Style 34 3" xfId="8991" xr:uid="{00000000-0005-0000-0000-000017110000}"/>
    <cellStyle name="Style 34 4" xfId="39370" xr:uid="{79E9D5F9-7F55-407B-B008-AC700DC11183}"/>
    <cellStyle name="Style 35" xfId="5340" xr:uid="{00000000-0005-0000-0000-000004150000}"/>
    <cellStyle name="Style 35 2" xfId="10858" xr:uid="{00000000-0005-0000-0000-00004C220000}"/>
    <cellStyle name="Style 35 2 2" xfId="43347" xr:uid="{43E890DF-2DF6-4333-8277-DA4602149FE5}"/>
    <cellStyle name="Style 35 3" xfId="8992" xr:uid="{00000000-0005-0000-0000-000018110000}"/>
    <cellStyle name="Style 35 4" xfId="39371" xr:uid="{AAD35FDD-1C14-41FD-9661-520225860FFA}"/>
    <cellStyle name="Style 36" xfId="5341" xr:uid="{00000000-0005-0000-0000-000005150000}"/>
    <cellStyle name="Style 36 2" xfId="10859" xr:uid="{00000000-0005-0000-0000-00004D220000}"/>
    <cellStyle name="Style 36 2 2" xfId="43348" xr:uid="{1D0C188D-ED8E-4A62-9DD5-F6D435D45288}"/>
    <cellStyle name="Style 36 3" xfId="8993" xr:uid="{00000000-0005-0000-0000-000019110000}"/>
    <cellStyle name="Style 36 4" xfId="39372" xr:uid="{35E34409-78BD-4AD2-A2D6-BFC4D8675C0A}"/>
    <cellStyle name="Style 37" xfId="5342" xr:uid="{00000000-0005-0000-0000-000006150000}"/>
    <cellStyle name="Style 37 2" xfId="10860" xr:uid="{00000000-0005-0000-0000-00004E220000}"/>
    <cellStyle name="Style 37 2 2" xfId="43349" xr:uid="{F1F083B4-603D-476F-81E8-9ECA55FD0301}"/>
    <cellStyle name="Style 37 3" xfId="8994" xr:uid="{00000000-0005-0000-0000-00001A110000}"/>
    <cellStyle name="Style 37 4" xfId="39373" xr:uid="{1B9872A9-7600-46DB-B8EE-8443FDADB94F}"/>
    <cellStyle name="Style 38" xfId="5343" xr:uid="{00000000-0005-0000-0000-000007150000}"/>
    <cellStyle name="Style 38 2" xfId="10861" xr:uid="{00000000-0005-0000-0000-00004F220000}"/>
    <cellStyle name="Style 38 2 2" xfId="43350" xr:uid="{70E7CCFD-498D-49CB-A60C-3F1FB491BCFF}"/>
    <cellStyle name="Style 38 3" xfId="8995" xr:uid="{00000000-0005-0000-0000-00001B110000}"/>
    <cellStyle name="Style 38 4" xfId="39374" xr:uid="{A2CF749B-785C-4A19-92D9-94ACE65B6BA2}"/>
    <cellStyle name="Style 39" xfId="5344" xr:uid="{00000000-0005-0000-0000-000008150000}"/>
    <cellStyle name="Style 39 2" xfId="10862" xr:uid="{00000000-0005-0000-0000-000050220000}"/>
    <cellStyle name="Style 39 2 2" xfId="43351" xr:uid="{671C33BF-C82A-46B5-88BF-E49F61700D6C}"/>
    <cellStyle name="Style 39 3" xfId="8996" xr:uid="{00000000-0005-0000-0000-00001C110000}"/>
    <cellStyle name="Style 39 4" xfId="39375" xr:uid="{635D7EB4-836E-42F3-BF88-8062F72E8479}"/>
    <cellStyle name="Style 4" xfId="5345" xr:uid="{00000000-0005-0000-0000-000009150000}"/>
    <cellStyle name="Style 4 2" xfId="10863" xr:uid="{00000000-0005-0000-0000-000051220000}"/>
    <cellStyle name="Style 4 2 2" xfId="43352" xr:uid="{B73104FD-DCA1-49E7-AADE-78E3BE8D08CB}"/>
    <cellStyle name="Style 4 3" xfId="8997" xr:uid="{00000000-0005-0000-0000-00001D110000}"/>
    <cellStyle name="Style 4 4" xfId="39376" xr:uid="{20CB844D-03F7-4C60-B295-C1EF14621CEF}"/>
    <cellStyle name="Style 40" xfId="5346" xr:uid="{00000000-0005-0000-0000-00000A150000}"/>
    <cellStyle name="Style 40 2" xfId="10864" xr:uid="{00000000-0005-0000-0000-000052220000}"/>
    <cellStyle name="Style 40 2 2" xfId="43353" xr:uid="{D702263E-DDBF-4886-B332-AC75B475F8C3}"/>
    <cellStyle name="Style 40 3" xfId="9012" xr:uid="{00000000-0005-0000-0000-00001E110000}"/>
    <cellStyle name="Style 40 4" xfId="39377" xr:uid="{0DBDCC0C-D3D3-4B63-BA50-9AC50344C312}"/>
    <cellStyle name="Style 41" xfId="5347" xr:uid="{00000000-0005-0000-0000-00000B150000}"/>
    <cellStyle name="Style 41 2" xfId="10865" xr:uid="{00000000-0005-0000-0000-000053220000}"/>
    <cellStyle name="Style 41 2 2" xfId="43354" xr:uid="{752FF20A-F38F-4FFB-85F6-5240B40222B2}"/>
    <cellStyle name="Style 41 3" xfId="9013" xr:uid="{00000000-0005-0000-0000-00001F110000}"/>
    <cellStyle name="Style 41 4" xfId="39378" xr:uid="{29308816-6F61-4C99-81CB-5AFEFDB4167C}"/>
    <cellStyle name="Style 42" xfId="5348" xr:uid="{00000000-0005-0000-0000-00000C150000}"/>
    <cellStyle name="Style 42 2" xfId="10866" xr:uid="{00000000-0005-0000-0000-000054220000}"/>
    <cellStyle name="Style 42 2 2" xfId="43355" xr:uid="{7BEA1FAB-73E1-4516-B4BE-A364FBA21463}"/>
    <cellStyle name="Style 42 3" xfId="9014" xr:uid="{00000000-0005-0000-0000-000020110000}"/>
    <cellStyle name="Style 42 4" xfId="39379" xr:uid="{9404914E-3CB7-4279-A03B-1B0FC9FE0A49}"/>
    <cellStyle name="Style 43" xfId="5349" xr:uid="{00000000-0005-0000-0000-00000D150000}"/>
    <cellStyle name="Style 43 2" xfId="10867" xr:uid="{00000000-0005-0000-0000-000055220000}"/>
    <cellStyle name="Style 43 2 2" xfId="43356" xr:uid="{2014D696-1A91-476D-8CBB-43AA3157F33F}"/>
    <cellStyle name="Style 43 3" xfId="9015" xr:uid="{00000000-0005-0000-0000-000021110000}"/>
    <cellStyle name="Style 43 4" xfId="39380" xr:uid="{5329CD59-9A45-46E8-BA90-7BBB9DFF4F4B}"/>
    <cellStyle name="Style 44" xfId="5350" xr:uid="{00000000-0005-0000-0000-00000E150000}"/>
    <cellStyle name="Style 44 2" xfId="10868" xr:uid="{00000000-0005-0000-0000-000056220000}"/>
    <cellStyle name="Style 44 2 2" xfId="43357" xr:uid="{3F45ACFE-D882-4EC0-8153-E3303E268E07}"/>
    <cellStyle name="Style 44 3" xfId="9016" xr:uid="{00000000-0005-0000-0000-000022110000}"/>
    <cellStyle name="Style 44 4" xfId="39381" xr:uid="{AD2CF46D-1FF5-4734-956B-A9A47AE428A1}"/>
    <cellStyle name="Style 45" xfId="5351" xr:uid="{00000000-0005-0000-0000-00000F150000}"/>
    <cellStyle name="Style 45 2" xfId="10869" xr:uid="{00000000-0005-0000-0000-000057220000}"/>
    <cellStyle name="Style 45 2 2" xfId="43358" xr:uid="{9D29694A-A69C-4187-89DC-4E96D87F881F}"/>
    <cellStyle name="Style 45 3" xfId="9018" xr:uid="{00000000-0005-0000-0000-000023110000}"/>
    <cellStyle name="Style 45 4" xfId="39382" xr:uid="{99CA0BA9-E710-4957-BBBA-DC16A2DF1B96}"/>
    <cellStyle name="Style 46" xfId="5352" xr:uid="{00000000-0005-0000-0000-000010150000}"/>
    <cellStyle name="Style 46 2" xfId="10870" xr:uid="{00000000-0005-0000-0000-000058220000}"/>
    <cellStyle name="Style 46 2 2" xfId="43359" xr:uid="{59F5CAC1-7DBF-43CD-90BC-F4E64F1F52C7}"/>
    <cellStyle name="Style 46 3" xfId="9019" xr:uid="{00000000-0005-0000-0000-000024110000}"/>
    <cellStyle name="Style 46 4" xfId="39383" xr:uid="{739CF2ED-7860-4A31-AEA2-447E94408A07}"/>
    <cellStyle name="Style 47" xfId="5353" xr:uid="{00000000-0005-0000-0000-000011150000}"/>
    <cellStyle name="Style 47 2" xfId="10871" xr:uid="{00000000-0005-0000-0000-000059220000}"/>
    <cellStyle name="Style 47 2 2" xfId="43360" xr:uid="{0E97E697-613D-4B3F-86B7-716440198000}"/>
    <cellStyle name="Style 47 3" xfId="9020" xr:uid="{00000000-0005-0000-0000-000025110000}"/>
    <cellStyle name="Style 47 4" xfId="39384" xr:uid="{A5F6F225-B249-4383-A958-87748914CEAC}"/>
    <cellStyle name="Style 48" xfId="5354" xr:uid="{00000000-0005-0000-0000-000012150000}"/>
    <cellStyle name="Style 48 2" xfId="10872" xr:uid="{00000000-0005-0000-0000-00005A220000}"/>
    <cellStyle name="Style 48 2 2" xfId="43361" xr:uid="{BFAB88F3-F2FF-4E45-B69A-E61D5E02F95B}"/>
    <cellStyle name="Style 48 3" xfId="9021" xr:uid="{00000000-0005-0000-0000-000026110000}"/>
    <cellStyle name="Style 48 4" xfId="39385" xr:uid="{755068AF-0B04-4B4F-B118-84648D8D5243}"/>
    <cellStyle name="Style 49" xfId="5355" xr:uid="{00000000-0005-0000-0000-000013150000}"/>
    <cellStyle name="Style 49 2" xfId="10873" xr:uid="{00000000-0005-0000-0000-00005B220000}"/>
    <cellStyle name="Style 49 2 2" xfId="43362" xr:uid="{795AD3F3-F7C3-4D3F-807F-C66C8F6929E3}"/>
    <cellStyle name="Style 49 3" xfId="9022" xr:uid="{00000000-0005-0000-0000-000027110000}"/>
    <cellStyle name="Style 49 4" xfId="39386" xr:uid="{9EC5DAD7-9686-4BFC-8588-5DE82C8484E1}"/>
    <cellStyle name="Style 5" xfId="5356" xr:uid="{00000000-0005-0000-0000-000014150000}"/>
    <cellStyle name="Style 5 2" xfId="5357" xr:uid="{00000000-0005-0000-0000-000015150000}"/>
    <cellStyle name="Style 5 2 2" xfId="10875" xr:uid="{00000000-0005-0000-0000-00005D220000}"/>
    <cellStyle name="Style 5 2 2 2" xfId="43364" xr:uid="{60C24A7E-77FA-4D4F-8BF4-340C7F9030B1}"/>
    <cellStyle name="Style 5 2 3" xfId="17329" xr:uid="{B173EB9A-6896-46D6-8EE3-B1C37C19AD8D}"/>
    <cellStyle name="Style 5 2 4" xfId="39388" xr:uid="{3025A0A2-4BFA-408B-B01B-7AC70F4FD41F}"/>
    <cellStyle name="Style 5 3" xfId="10874" xr:uid="{00000000-0005-0000-0000-00005C220000}"/>
    <cellStyle name="Style 5 3 2" xfId="43363" xr:uid="{1D266F52-98A6-4A97-998B-4ADCDA990EDB}"/>
    <cellStyle name="Style 5 4" xfId="9023" xr:uid="{00000000-0005-0000-0000-000028110000}"/>
    <cellStyle name="Style 5 5" xfId="16507" xr:uid="{E62E2365-E3B0-42C9-959D-724001F9517F}"/>
    <cellStyle name="Style 5 6" xfId="39387" xr:uid="{B09F38B5-0A22-4BDB-8E44-FCFB5A70EF9E}"/>
    <cellStyle name="Style 50" xfId="5358" xr:uid="{00000000-0005-0000-0000-000016150000}"/>
    <cellStyle name="Style 50 2" xfId="10876" xr:uid="{00000000-0005-0000-0000-00005E220000}"/>
    <cellStyle name="Style 50 2 2" xfId="43365" xr:uid="{3D376144-46A1-4B3F-B6BE-B2311C72D262}"/>
    <cellStyle name="Style 50 3" xfId="9024" xr:uid="{00000000-0005-0000-0000-000029110000}"/>
    <cellStyle name="Style 50 4" xfId="39389" xr:uid="{5C1E5C08-AF8C-41BF-9CB0-BFD9766D3F71}"/>
    <cellStyle name="Style 51" xfId="5359" xr:uid="{00000000-0005-0000-0000-000017150000}"/>
    <cellStyle name="Style 51 2" xfId="10877" xr:uid="{00000000-0005-0000-0000-00005F220000}"/>
    <cellStyle name="Style 51 2 2" xfId="43366" xr:uid="{D26E90CF-C253-46D5-94D4-5F99D1ABC76D}"/>
    <cellStyle name="Style 51 3" xfId="9025" xr:uid="{00000000-0005-0000-0000-00002A110000}"/>
    <cellStyle name="Style 51 4" xfId="39390" xr:uid="{D59188DB-1397-4073-BD5C-DD248F6739BD}"/>
    <cellStyle name="Style 52" xfId="5360" xr:uid="{00000000-0005-0000-0000-000018150000}"/>
    <cellStyle name="Style 52 2" xfId="10878" xr:uid="{00000000-0005-0000-0000-000060220000}"/>
    <cellStyle name="Style 52 2 2" xfId="43367" xr:uid="{786FDFB0-F21F-45C0-9F85-6A039A38923C}"/>
    <cellStyle name="Style 52 3" xfId="9028" xr:uid="{00000000-0005-0000-0000-00002B110000}"/>
    <cellStyle name="Style 52 4" xfId="39391" xr:uid="{7254BD06-A5DE-4047-9C46-042995E33FA0}"/>
    <cellStyle name="Style 53" xfId="5361" xr:uid="{00000000-0005-0000-0000-000019150000}"/>
    <cellStyle name="Style 53 2" xfId="10879" xr:uid="{00000000-0005-0000-0000-000061220000}"/>
    <cellStyle name="Style 53 2 2" xfId="43368" xr:uid="{AB934929-5B77-4A67-BD9E-45CAD817A068}"/>
    <cellStyle name="Style 53 3" xfId="9029" xr:uid="{00000000-0005-0000-0000-00002C110000}"/>
    <cellStyle name="Style 53 4" xfId="39392" xr:uid="{D8517D89-9A3C-4C0D-B97D-55AE4841BFB1}"/>
    <cellStyle name="Style 54" xfId="5362" xr:uid="{00000000-0005-0000-0000-00001A150000}"/>
    <cellStyle name="Style 54 2" xfId="10880" xr:uid="{00000000-0005-0000-0000-000062220000}"/>
    <cellStyle name="Style 54 2 2" xfId="43369" xr:uid="{2BC5F002-4167-4D1C-9AA9-F1E9FAC6C556}"/>
    <cellStyle name="Style 54 3" xfId="9031" xr:uid="{00000000-0005-0000-0000-00002D110000}"/>
    <cellStyle name="Style 54 4" xfId="39393" xr:uid="{DADF0098-135F-4DF4-A3B4-07D3DB101A6F}"/>
    <cellStyle name="Style 55" xfId="5363" xr:uid="{00000000-0005-0000-0000-00001B150000}"/>
    <cellStyle name="Style 55 2" xfId="10881" xr:uid="{00000000-0005-0000-0000-000063220000}"/>
    <cellStyle name="Style 55 2 2" xfId="43370" xr:uid="{CA626697-6178-4471-B32A-1BD4AF0B67AC}"/>
    <cellStyle name="Style 55 3" xfId="9032" xr:uid="{00000000-0005-0000-0000-00002E110000}"/>
    <cellStyle name="Style 55 4" xfId="39394" xr:uid="{9B3367D5-336A-4577-AC87-97F021748099}"/>
    <cellStyle name="Style 56" xfId="5364" xr:uid="{00000000-0005-0000-0000-00001C150000}"/>
    <cellStyle name="Style 56 2" xfId="10882" xr:uid="{00000000-0005-0000-0000-000064220000}"/>
    <cellStyle name="Style 56 2 2" xfId="43371" xr:uid="{F224B03F-195E-456F-926D-4365A8905772}"/>
    <cellStyle name="Style 56 3" xfId="9034" xr:uid="{00000000-0005-0000-0000-00002F110000}"/>
    <cellStyle name="Style 56 4" xfId="39395" xr:uid="{ED9C7FA4-DBBF-4168-92A3-FF41FAEB3948}"/>
    <cellStyle name="Style 57" xfId="5365" xr:uid="{00000000-0005-0000-0000-00001D150000}"/>
    <cellStyle name="Style 57 2" xfId="10883" xr:uid="{00000000-0005-0000-0000-000065220000}"/>
    <cellStyle name="Style 57 2 2" xfId="43372" xr:uid="{6AA7EBF4-B04A-4CC6-85C7-7831665DEB31}"/>
    <cellStyle name="Style 57 3" xfId="9035" xr:uid="{00000000-0005-0000-0000-000030110000}"/>
    <cellStyle name="Style 57 4" xfId="39396" xr:uid="{5CB21878-D63C-4F3A-A72F-CB754D5313B4}"/>
    <cellStyle name="Style 58" xfId="5366" xr:uid="{00000000-0005-0000-0000-00001E150000}"/>
    <cellStyle name="Style 58 2" xfId="10884" xr:uid="{00000000-0005-0000-0000-000066220000}"/>
    <cellStyle name="Style 58 2 2" xfId="43373" xr:uid="{A5AE2E78-7D9E-41EB-B892-67F72D3D9CFE}"/>
    <cellStyle name="Style 58 3" xfId="9042" xr:uid="{00000000-0005-0000-0000-000031110000}"/>
    <cellStyle name="Style 58 4" xfId="39397" xr:uid="{191EED50-2690-4FFE-BB70-1DDA219DFADB}"/>
    <cellStyle name="Style 59" xfId="5367" xr:uid="{00000000-0005-0000-0000-00001F150000}"/>
    <cellStyle name="Style 59 2" xfId="10885" xr:uid="{00000000-0005-0000-0000-000067220000}"/>
    <cellStyle name="Style 59 2 2" xfId="43374" xr:uid="{2BAD5FD6-F416-4728-B576-C7417BD9F8F2}"/>
    <cellStyle name="Style 59 3" xfId="9043" xr:uid="{00000000-0005-0000-0000-000032110000}"/>
    <cellStyle name="Style 59 4" xfId="39398" xr:uid="{2A46198B-2DC0-4E64-B2DC-48E2F8D19B5F}"/>
    <cellStyle name="Style 6" xfId="5368" xr:uid="{00000000-0005-0000-0000-000020150000}"/>
    <cellStyle name="Style 6 2" xfId="10886" xr:uid="{00000000-0005-0000-0000-000068220000}"/>
    <cellStyle name="Style 6 2 2" xfId="43375" xr:uid="{B1073F32-633E-4E93-A507-DAEC4D9E01F4}"/>
    <cellStyle name="Style 6 3" xfId="9054" xr:uid="{00000000-0005-0000-0000-000033110000}"/>
    <cellStyle name="Style 6 4" xfId="39399" xr:uid="{0261A69B-3D10-430D-98D7-C70919BE1B51}"/>
    <cellStyle name="Style 60" xfId="5369" xr:uid="{00000000-0005-0000-0000-000021150000}"/>
    <cellStyle name="Style 60 2" xfId="10887" xr:uid="{00000000-0005-0000-0000-000069220000}"/>
    <cellStyle name="Style 60 2 2" xfId="43376" xr:uid="{D12D2068-74E7-4FD2-93AC-EF7EF209361E}"/>
    <cellStyle name="Style 60 3" xfId="9055" xr:uid="{00000000-0005-0000-0000-000034110000}"/>
    <cellStyle name="Style 60 4" xfId="39400" xr:uid="{CEE0EB71-17AD-477F-AFAD-411772556DF8}"/>
    <cellStyle name="Style 61" xfId="5370" xr:uid="{00000000-0005-0000-0000-000022150000}"/>
    <cellStyle name="Style 61 2" xfId="10888" xr:uid="{00000000-0005-0000-0000-00006A220000}"/>
    <cellStyle name="Style 61 2 2" xfId="43377" xr:uid="{1A4C16E3-C3C4-4AFC-AA9F-C547923354A3}"/>
    <cellStyle name="Style 61 3" xfId="9057" xr:uid="{00000000-0005-0000-0000-000035110000}"/>
    <cellStyle name="Style 61 4" xfId="39401" xr:uid="{12ACADE9-E611-412D-8F51-07FBE17E7B25}"/>
    <cellStyle name="Style 62" xfId="5371" xr:uid="{00000000-0005-0000-0000-000023150000}"/>
    <cellStyle name="Style 62 2" xfId="10889" xr:uid="{00000000-0005-0000-0000-00006B220000}"/>
    <cellStyle name="Style 62 2 2" xfId="43378" xr:uid="{E7031DE2-C1BB-49F1-8424-DEAA0F32259F}"/>
    <cellStyle name="Style 62 3" xfId="9059" xr:uid="{00000000-0005-0000-0000-000036110000}"/>
    <cellStyle name="Style 62 4" xfId="39402" xr:uid="{B4B04C23-9196-48DD-AE40-ABFBDE22323F}"/>
    <cellStyle name="Style 63" xfId="5372" xr:uid="{00000000-0005-0000-0000-000024150000}"/>
    <cellStyle name="Style 63 2" xfId="10890" xr:uid="{00000000-0005-0000-0000-00006C220000}"/>
    <cellStyle name="Style 63 2 2" xfId="43379" xr:uid="{56D04F02-D470-498F-B630-8E50639AD4A4}"/>
    <cellStyle name="Style 63 3" xfId="9065" xr:uid="{00000000-0005-0000-0000-000037110000}"/>
    <cellStyle name="Style 63 4" xfId="39403" xr:uid="{6EDCF089-612F-4D98-B1EB-C13D92395773}"/>
    <cellStyle name="Style 64" xfId="5373" xr:uid="{00000000-0005-0000-0000-000025150000}"/>
    <cellStyle name="Style 64 2" xfId="10891" xr:uid="{00000000-0005-0000-0000-00006D220000}"/>
    <cellStyle name="Style 64 2 2" xfId="43380" xr:uid="{9269BD6B-AA40-4668-A117-A11ECCFBAA2B}"/>
    <cellStyle name="Style 64 3" xfId="9066" xr:uid="{00000000-0005-0000-0000-000038110000}"/>
    <cellStyle name="Style 64 4" xfId="39404" xr:uid="{2DB33CCA-C525-4803-8E71-B78BA61F1691}"/>
    <cellStyle name="Style 65" xfId="5374" xr:uid="{00000000-0005-0000-0000-000026150000}"/>
    <cellStyle name="Style 65 2" xfId="10892" xr:uid="{00000000-0005-0000-0000-00006E220000}"/>
    <cellStyle name="Style 65 2 2" xfId="43381" xr:uid="{4C468BF2-1F40-4C73-BCBD-3A9012874436}"/>
    <cellStyle name="Style 65 3" xfId="9067" xr:uid="{00000000-0005-0000-0000-000039110000}"/>
    <cellStyle name="Style 65 4" xfId="39405" xr:uid="{4098A5BA-CFD0-4AC7-81EB-4227563C512B}"/>
    <cellStyle name="Style 66" xfId="5375" xr:uid="{00000000-0005-0000-0000-000027150000}"/>
    <cellStyle name="Style 66 2" xfId="10893" xr:uid="{00000000-0005-0000-0000-00006F220000}"/>
    <cellStyle name="Style 66 2 2" xfId="43382" xr:uid="{C1C82CF2-1E7D-488E-BAE7-11CE969DBEA7}"/>
    <cellStyle name="Style 66 3" xfId="9068" xr:uid="{00000000-0005-0000-0000-00003A110000}"/>
    <cellStyle name="Style 66 4" xfId="39406" xr:uid="{C5758B55-4CD8-497C-B475-4E70E0B52BCC}"/>
    <cellStyle name="Style 67" xfId="5376" xr:uid="{00000000-0005-0000-0000-000028150000}"/>
    <cellStyle name="Style 67 2" xfId="10894" xr:uid="{00000000-0005-0000-0000-000070220000}"/>
    <cellStyle name="Style 67 2 2" xfId="43383" xr:uid="{5F202FCB-345A-4C4E-A73F-784B3EC961AF}"/>
    <cellStyle name="Style 67 3" xfId="9069" xr:uid="{00000000-0005-0000-0000-00003B110000}"/>
    <cellStyle name="Style 67 4" xfId="39407" xr:uid="{BEE24FDB-4881-4E8C-9DEC-9D3BB40E14AB}"/>
    <cellStyle name="Style 68" xfId="5377" xr:uid="{00000000-0005-0000-0000-000029150000}"/>
    <cellStyle name="Style 68 2" xfId="10895" xr:uid="{00000000-0005-0000-0000-000071220000}"/>
    <cellStyle name="Style 68 2 2" xfId="43384" xr:uid="{67D98CC5-8E0F-4910-B92A-EE49ED6D370D}"/>
    <cellStyle name="Style 68 3" xfId="9070" xr:uid="{00000000-0005-0000-0000-00003C110000}"/>
    <cellStyle name="Style 68 4" xfId="39408" xr:uid="{D0B5E509-0307-4640-8985-1E1038050CAF}"/>
    <cellStyle name="Style 69" xfId="5378" xr:uid="{00000000-0005-0000-0000-00002A150000}"/>
    <cellStyle name="Style 69 2" xfId="10896" xr:uid="{00000000-0005-0000-0000-000072220000}"/>
    <cellStyle name="Style 69 2 2" xfId="43385" xr:uid="{3BB69878-C130-4BF6-AB7B-71EA12D60760}"/>
    <cellStyle name="Style 69 3" xfId="9071" xr:uid="{00000000-0005-0000-0000-00003D110000}"/>
    <cellStyle name="Style 69 4" xfId="39409" xr:uid="{642032AF-A7C9-4E7F-82EA-F191D97055F9}"/>
    <cellStyle name="Style 7" xfId="5379" xr:uid="{00000000-0005-0000-0000-00002B150000}"/>
    <cellStyle name="Style 7 2" xfId="10897" xr:uid="{00000000-0005-0000-0000-000073220000}"/>
    <cellStyle name="Style 7 2 2" xfId="43386" xr:uid="{8C4B814B-4E01-4AB0-A2CD-7DB1DF8A80F4}"/>
    <cellStyle name="Style 7 3" xfId="9072" xr:uid="{00000000-0005-0000-0000-00003E110000}"/>
    <cellStyle name="Style 7 4" xfId="39410" xr:uid="{A752F513-95FE-4C9A-9EA9-B2E49A1ABFB1}"/>
    <cellStyle name="Style 70" xfId="5380" xr:uid="{00000000-0005-0000-0000-00002C150000}"/>
    <cellStyle name="Style 70 2" xfId="10898" xr:uid="{00000000-0005-0000-0000-000074220000}"/>
    <cellStyle name="Style 70 2 2" xfId="43387" xr:uid="{AE85E3B0-95FA-453A-A230-3BFC45D01A19}"/>
    <cellStyle name="Style 70 3" xfId="9073" xr:uid="{00000000-0005-0000-0000-00003F110000}"/>
    <cellStyle name="Style 70 4" xfId="39411" xr:uid="{57FBCC22-9A5D-4073-B3CD-5F683B77837B}"/>
    <cellStyle name="Style 71" xfId="5381" xr:uid="{00000000-0005-0000-0000-00002D150000}"/>
    <cellStyle name="Style 71 2" xfId="10899" xr:uid="{00000000-0005-0000-0000-000075220000}"/>
    <cellStyle name="Style 71 2 2" xfId="43388" xr:uid="{AD30EE1D-1C08-40B7-B3D9-A17B90158D24}"/>
    <cellStyle name="Style 71 3" xfId="9074" xr:uid="{00000000-0005-0000-0000-000040110000}"/>
    <cellStyle name="Style 71 4" xfId="39412" xr:uid="{AB4BD1C1-AB4E-4857-BBD7-3EC4845E0488}"/>
    <cellStyle name="Style 72" xfId="5382" xr:uid="{00000000-0005-0000-0000-00002E150000}"/>
    <cellStyle name="Style 72 2" xfId="10900" xr:uid="{00000000-0005-0000-0000-000076220000}"/>
    <cellStyle name="Style 72 2 2" xfId="43389" xr:uid="{4DD8ADD5-2BCA-4069-817E-29C2EEDB4723}"/>
    <cellStyle name="Style 72 3" xfId="9075" xr:uid="{00000000-0005-0000-0000-000041110000}"/>
    <cellStyle name="Style 72 4" xfId="39413" xr:uid="{8186A401-2F2A-4E31-A2A9-6CB8CBC695EC}"/>
    <cellStyle name="Style 73" xfId="5383" xr:uid="{00000000-0005-0000-0000-00002F150000}"/>
    <cellStyle name="Style 73 2" xfId="10901" xr:uid="{00000000-0005-0000-0000-000077220000}"/>
    <cellStyle name="Style 73 2 2" xfId="43390" xr:uid="{C106709E-1A50-4E6F-AE76-5F3189214AE6}"/>
    <cellStyle name="Style 73 3" xfId="9076" xr:uid="{00000000-0005-0000-0000-000042110000}"/>
    <cellStyle name="Style 73 4" xfId="39414" xr:uid="{8F891E19-3548-4D24-A565-7A788D64C7F4}"/>
    <cellStyle name="Style 74" xfId="5384" xr:uid="{00000000-0005-0000-0000-000030150000}"/>
    <cellStyle name="Style 74 2" xfId="10902" xr:uid="{00000000-0005-0000-0000-000078220000}"/>
    <cellStyle name="Style 74 2 2" xfId="43391" xr:uid="{8BBE13DE-0C40-46F9-B08C-B55946902972}"/>
    <cellStyle name="Style 74 3" xfId="9077" xr:uid="{00000000-0005-0000-0000-000043110000}"/>
    <cellStyle name="Style 74 4" xfId="39415" xr:uid="{8714197D-7CA3-4E85-A6F4-8ADBA919964D}"/>
    <cellStyle name="Style 75" xfId="5385" xr:uid="{00000000-0005-0000-0000-000031150000}"/>
    <cellStyle name="Style 75 2" xfId="10903" xr:uid="{00000000-0005-0000-0000-000079220000}"/>
    <cellStyle name="Style 75 2 2" xfId="43392" xr:uid="{0BC3C84D-B1DC-4336-A6EE-2C3E7D6692A3}"/>
    <cellStyle name="Style 75 3" xfId="9078" xr:uid="{00000000-0005-0000-0000-000044110000}"/>
    <cellStyle name="Style 75 4" xfId="39416" xr:uid="{F0851E44-BC2A-4B02-82EF-F43A33B786C1}"/>
    <cellStyle name="Style 76" xfId="5386" xr:uid="{00000000-0005-0000-0000-000032150000}"/>
    <cellStyle name="Style 76 2" xfId="10904" xr:uid="{00000000-0005-0000-0000-00007A220000}"/>
    <cellStyle name="Style 76 2 2" xfId="43393" xr:uid="{83BBEFE5-094D-4CE4-95B4-6913783E64F2}"/>
    <cellStyle name="Style 76 3" xfId="9079" xr:uid="{00000000-0005-0000-0000-000045110000}"/>
    <cellStyle name="Style 76 4" xfId="39417" xr:uid="{A79A4555-E0A6-4582-BA04-299CA9891458}"/>
    <cellStyle name="Style 77" xfId="5387" xr:uid="{00000000-0005-0000-0000-000033150000}"/>
    <cellStyle name="Style 77 2" xfId="10905" xr:uid="{00000000-0005-0000-0000-00007B220000}"/>
    <cellStyle name="Style 77 2 2" xfId="43394" xr:uid="{AF596E3D-7A93-4130-A0A7-0574B82A49FC}"/>
    <cellStyle name="Style 77 3" xfId="9080" xr:uid="{00000000-0005-0000-0000-000046110000}"/>
    <cellStyle name="Style 77 4" xfId="39418" xr:uid="{740A0018-39C6-49F8-B6F3-D132FF93581F}"/>
    <cellStyle name="Style 78" xfId="5388" xr:uid="{00000000-0005-0000-0000-000034150000}"/>
    <cellStyle name="Style 78 2" xfId="10906" xr:uid="{00000000-0005-0000-0000-00007C220000}"/>
    <cellStyle name="Style 78 2 2" xfId="43395" xr:uid="{B87079CC-6E3C-46E1-B773-D99DDB42770B}"/>
    <cellStyle name="Style 78 3" xfId="9082" xr:uid="{00000000-0005-0000-0000-000047110000}"/>
    <cellStyle name="Style 78 4" xfId="39419" xr:uid="{13646BA4-A7AF-4936-94A5-F5168152FA19}"/>
    <cellStyle name="Style 79" xfId="5389" xr:uid="{00000000-0005-0000-0000-000035150000}"/>
    <cellStyle name="Style 79 2" xfId="10907" xr:uid="{00000000-0005-0000-0000-00007D220000}"/>
    <cellStyle name="Style 79 2 2" xfId="43396" xr:uid="{3ACF9643-8E77-4CAD-92D1-B4A9FDCA718C}"/>
    <cellStyle name="Style 79 3" xfId="9083" xr:uid="{00000000-0005-0000-0000-000048110000}"/>
    <cellStyle name="Style 79 4" xfId="39420" xr:uid="{B0C19B8B-9059-4812-9E5D-80FD9981B22F}"/>
    <cellStyle name="Style 8" xfId="5390" xr:uid="{00000000-0005-0000-0000-000036150000}"/>
    <cellStyle name="Style 8 2" xfId="10908" xr:uid="{00000000-0005-0000-0000-00007E220000}"/>
    <cellStyle name="Style 8 2 2" xfId="43397" xr:uid="{49DD8BFE-E1EA-4346-9B50-B27FA3769C83}"/>
    <cellStyle name="Style 8 3" xfId="9084" xr:uid="{00000000-0005-0000-0000-000049110000}"/>
    <cellStyle name="Style 8 4" xfId="39421" xr:uid="{EA0317B7-6688-4072-9E13-A303E78C681B}"/>
    <cellStyle name="Style 80" xfId="5391" xr:uid="{00000000-0005-0000-0000-000037150000}"/>
    <cellStyle name="Style 80 2" xfId="10909" xr:uid="{00000000-0005-0000-0000-00007F220000}"/>
    <cellStyle name="Style 80 2 2" xfId="43398" xr:uid="{30B8F4D8-EB81-4485-AD6D-786A546B9C87}"/>
    <cellStyle name="Style 80 3" xfId="9101" xr:uid="{00000000-0005-0000-0000-00004A110000}"/>
    <cellStyle name="Style 80 4" xfId="39422" xr:uid="{2B80F88B-412A-4789-B139-516456689C5F}"/>
    <cellStyle name="Style 81" xfId="5392" xr:uid="{00000000-0005-0000-0000-000038150000}"/>
    <cellStyle name="Style 81 2" xfId="10910" xr:uid="{00000000-0005-0000-0000-000080220000}"/>
    <cellStyle name="Style 81 2 2" xfId="43399" xr:uid="{C6697080-0944-4261-95B4-D73E9679CDF0}"/>
    <cellStyle name="Style 81 3" xfId="9102" xr:uid="{00000000-0005-0000-0000-00004B110000}"/>
    <cellStyle name="Style 81 4" xfId="39423" xr:uid="{B4E45EB1-0578-4189-9CF3-D3AAF658DB8B}"/>
    <cellStyle name="Style 82" xfId="5393" xr:uid="{00000000-0005-0000-0000-000039150000}"/>
    <cellStyle name="Style 82 2" xfId="10911" xr:uid="{00000000-0005-0000-0000-000081220000}"/>
    <cellStyle name="Style 82 2 2" xfId="43400" xr:uid="{148F4F58-D185-4D2E-9B11-BC1BEA7019D4}"/>
    <cellStyle name="Style 82 3" xfId="9104" xr:uid="{00000000-0005-0000-0000-00004C110000}"/>
    <cellStyle name="Style 82 4" xfId="39424" xr:uid="{E365AD13-64F1-4077-82A7-BF4D7E99F26C}"/>
    <cellStyle name="Style 83" xfId="5394" xr:uid="{00000000-0005-0000-0000-00003A150000}"/>
    <cellStyle name="Style 83 2" xfId="10912" xr:uid="{00000000-0005-0000-0000-000082220000}"/>
    <cellStyle name="Style 83 2 2" xfId="43401" xr:uid="{8C2C1DF6-3393-4AB9-9A48-6E4AF657DD34}"/>
    <cellStyle name="Style 83 3" xfId="9107" xr:uid="{00000000-0005-0000-0000-00004D110000}"/>
    <cellStyle name="Style 83 4" xfId="39425" xr:uid="{3D263815-7C2A-4407-9C9D-ED96DC84D9E3}"/>
    <cellStyle name="Style 84" xfId="5395" xr:uid="{00000000-0005-0000-0000-00003B150000}"/>
    <cellStyle name="Style 84 2" xfId="10913" xr:uid="{00000000-0005-0000-0000-000083220000}"/>
    <cellStyle name="Style 84 2 2" xfId="43402" xr:uid="{40B746B9-002B-4BC5-BA17-5F9A0125129E}"/>
    <cellStyle name="Style 84 3" xfId="9113" xr:uid="{00000000-0005-0000-0000-00004E110000}"/>
    <cellStyle name="Style 84 4" xfId="39426" xr:uid="{32CE68E1-162D-4737-B81B-27DD0B364933}"/>
    <cellStyle name="Style 85" xfId="5396" xr:uid="{00000000-0005-0000-0000-00003C150000}"/>
    <cellStyle name="Style 85 2" xfId="10914" xr:uid="{00000000-0005-0000-0000-000084220000}"/>
    <cellStyle name="Style 85 2 2" xfId="43403" xr:uid="{F79F3FA2-0207-49FC-BA44-5E2D7B98EFF3}"/>
    <cellStyle name="Style 85 3" xfId="9114" xr:uid="{00000000-0005-0000-0000-00004F110000}"/>
    <cellStyle name="Style 85 4" xfId="39427" xr:uid="{EA8584C7-FF11-4EFC-A0D0-1D9B36AC7AAF}"/>
    <cellStyle name="Style 86" xfId="5397" xr:uid="{00000000-0005-0000-0000-00003D150000}"/>
    <cellStyle name="Style 86 2" xfId="10915" xr:uid="{00000000-0005-0000-0000-000085220000}"/>
    <cellStyle name="Style 86 2 2" xfId="43404" xr:uid="{FF47E033-1B42-4D35-AB9B-996A2BCAE79D}"/>
    <cellStyle name="Style 86 3" xfId="9115" xr:uid="{00000000-0005-0000-0000-000050110000}"/>
    <cellStyle name="Style 86 4" xfId="39428" xr:uid="{0C50DE60-9842-4027-B4C7-351CC27C46D5}"/>
    <cellStyle name="Style 87" xfId="5398" xr:uid="{00000000-0005-0000-0000-00003E150000}"/>
    <cellStyle name="Style 87 2" xfId="10916" xr:uid="{00000000-0005-0000-0000-000086220000}"/>
    <cellStyle name="Style 87 2 2" xfId="43405" xr:uid="{6AAF323D-DCB9-4098-B0C6-998058DBA037}"/>
    <cellStyle name="Style 87 3" xfId="9116" xr:uid="{00000000-0005-0000-0000-000051110000}"/>
    <cellStyle name="Style 87 4" xfId="39429" xr:uid="{AADEDB2B-155C-41CE-999E-826782072435}"/>
    <cellStyle name="Style 88" xfId="5399" xr:uid="{00000000-0005-0000-0000-00003F150000}"/>
    <cellStyle name="Style 88 2" xfId="10917" xr:uid="{00000000-0005-0000-0000-000087220000}"/>
    <cellStyle name="Style 88 2 2" xfId="43406" xr:uid="{F1834473-C19B-41CE-93C8-1BE1790D9343}"/>
    <cellStyle name="Style 88 3" xfId="9117" xr:uid="{00000000-0005-0000-0000-000052110000}"/>
    <cellStyle name="Style 88 4" xfId="39430" xr:uid="{01BA1877-E218-4878-BE4F-5A1220A9A6E3}"/>
    <cellStyle name="Style 89" xfId="5400" xr:uid="{00000000-0005-0000-0000-000040150000}"/>
    <cellStyle name="Style 89 2" xfId="10918" xr:uid="{00000000-0005-0000-0000-000088220000}"/>
    <cellStyle name="Style 89 2 2" xfId="43407" xr:uid="{E6D59376-A46B-4CBE-93E4-5CB51D9805A1}"/>
    <cellStyle name="Style 89 3" xfId="9118" xr:uid="{00000000-0005-0000-0000-000053110000}"/>
    <cellStyle name="Style 89 4" xfId="39431" xr:uid="{373D8886-1C5F-4E15-871B-0A611E430C54}"/>
    <cellStyle name="Style 9" xfId="5401" xr:uid="{00000000-0005-0000-0000-000041150000}"/>
    <cellStyle name="Style 9 2" xfId="10919" xr:uid="{00000000-0005-0000-0000-000089220000}"/>
    <cellStyle name="Style 9 2 2" xfId="43408" xr:uid="{AB853196-8585-4E09-BA74-B6812B680486}"/>
    <cellStyle name="Style 9 3" xfId="9132" xr:uid="{00000000-0005-0000-0000-000054110000}"/>
    <cellStyle name="Style 9 4" xfId="39432" xr:uid="{56B5C6BD-1D4C-4EB8-8FF2-88A92DAC7475}"/>
    <cellStyle name="Style 90" xfId="5402" xr:uid="{00000000-0005-0000-0000-000042150000}"/>
    <cellStyle name="Style 90 2" xfId="10920" xr:uid="{00000000-0005-0000-0000-00008A220000}"/>
    <cellStyle name="Style 90 2 2" xfId="43409" xr:uid="{F12401B3-CD12-4BE5-9E02-214099E0A460}"/>
    <cellStyle name="Style 90 3" xfId="9134" xr:uid="{00000000-0005-0000-0000-000055110000}"/>
    <cellStyle name="Style 90 4" xfId="39433" xr:uid="{D4414F19-DDD6-4F60-A018-59CF948BC70D}"/>
    <cellStyle name="Style 91" xfId="5403" xr:uid="{00000000-0005-0000-0000-000043150000}"/>
    <cellStyle name="Style 91 2" xfId="10921" xr:uid="{00000000-0005-0000-0000-00008B220000}"/>
    <cellStyle name="Style 91 2 2" xfId="43410" xr:uid="{46932262-C5AA-4FF1-A4CC-3F8E24092361}"/>
    <cellStyle name="Style 91 3" xfId="9135" xr:uid="{00000000-0005-0000-0000-000056110000}"/>
    <cellStyle name="Style 91 4" xfId="39434" xr:uid="{70611D3D-056A-478F-90EC-5AEC45188DEB}"/>
    <cellStyle name="Style 92" xfId="5404" xr:uid="{00000000-0005-0000-0000-000044150000}"/>
    <cellStyle name="Style 92 2" xfId="10922" xr:uid="{00000000-0005-0000-0000-00008C220000}"/>
    <cellStyle name="Style 92 2 2" xfId="43411" xr:uid="{3FE90E11-F014-480B-B6B6-ED56EF64E090}"/>
    <cellStyle name="Style 92 3" xfId="9136" xr:uid="{00000000-0005-0000-0000-000057110000}"/>
    <cellStyle name="Style 92 4" xfId="39435" xr:uid="{750D1BE0-F401-40B4-A839-46C9034EDAFF}"/>
    <cellStyle name="Style 93" xfId="5405" xr:uid="{00000000-0005-0000-0000-000045150000}"/>
    <cellStyle name="Style 93 2" xfId="10923" xr:uid="{00000000-0005-0000-0000-00008D220000}"/>
    <cellStyle name="Style 93 2 2" xfId="43412" xr:uid="{91BBF7D7-1CAE-41DC-9C42-4D22DDB77B20}"/>
    <cellStyle name="Style 93 3" xfId="9137" xr:uid="{00000000-0005-0000-0000-000058110000}"/>
    <cellStyle name="Style 93 4" xfId="39436" xr:uid="{2D432E23-1658-4267-81FD-0582D1E5D773}"/>
    <cellStyle name="Style 94" xfId="5406" xr:uid="{00000000-0005-0000-0000-000046150000}"/>
    <cellStyle name="Style 94 2" xfId="10924" xr:uid="{00000000-0005-0000-0000-00008E220000}"/>
    <cellStyle name="Style 94 2 2" xfId="43413" xr:uid="{7DC0E221-49C3-4292-BAB1-7ECE380F5BF3}"/>
    <cellStyle name="Style 94 3" xfId="9138" xr:uid="{00000000-0005-0000-0000-000059110000}"/>
    <cellStyle name="Style 94 4" xfId="39437" xr:uid="{EB974288-6FED-45AD-BFD5-5E4795F072B4}"/>
    <cellStyle name="Style 95" xfId="5407" xr:uid="{00000000-0005-0000-0000-000047150000}"/>
    <cellStyle name="Style 95 2" xfId="10925" xr:uid="{00000000-0005-0000-0000-00008F220000}"/>
    <cellStyle name="Style 95 2 2" xfId="43414" xr:uid="{AAA492AB-C3E3-478B-BD1F-C5323742F43D}"/>
    <cellStyle name="Style 95 3" xfId="9139" xr:uid="{00000000-0005-0000-0000-00005A110000}"/>
    <cellStyle name="Style 95 4" xfId="39438" xr:uid="{90A891C0-F625-4B48-8263-4BE17391DF31}"/>
    <cellStyle name="Style 96" xfId="5408" xr:uid="{00000000-0005-0000-0000-000048150000}"/>
    <cellStyle name="Style 96 2" xfId="10926" xr:uid="{00000000-0005-0000-0000-000090220000}"/>
    <cellStyle name="Style 96 2 2" xfId="43415" xr:uid="{860E14D3-CB83-4BCD-BCC4-F84772A1343C}"/>
    <cellStyle name="Style 96 3" xfId="9140" xr:uid="{00000000-0005-0000-0000-00005B110000}"/>
    <cellStyle name="Style 96 4" xfId="39439" xr:uid="{A1DC6193-9287-4205-B98E-4F5185AC9149}"/>
    <cellStyle name="Style 97" xfId="5409" xr:uid="{00000000-0005-0000-0000-000049150000}"/>
    <cellStyle name="Style 97 2" xfId="10927" xr:uid="{00000000-0005-0000-0000-000091220000}"/>
    <cellStyle name="Style 97 2 2" xfId="43416" xr:uid="{DF9CA86A-DD60-4119-A3DD-282471488016}"/>
    <cellStyle name="Style 97 3" xfId="9142" xr:uid="{00000000-0005-0000-0000-00005C110000}"/>
    <cellStyle name="Style 97 4" xfId="39440" xr:uid="{BDFA60C8-FD48-44BA-8A3A-144ACDBDAD81}"/>
    <cellStyle name="Style 98" xfId="5410" xr:uid="{00000000-0005-0000-0000-00004A150000}"/>
    <cellStyle name="Style 98 2" xfId="10928" xr:uid="{00000000-0005-0000-0000-000092220000}"/>
    <cellStyle name="Style 98 2 2" xfId="43417" xr:uid="{45770186-99B9-4AA2-B772-77D79C105AFC}"/>
    <cellStyle name="Style 98 3" xfId="9143" xr:uid="{00000000-0005-0000-0000-00005D110000}"/>
    <cellStyle name="Style 98 4" xfId="39441" xr:uid="{85B91DC6-7A0F-4CF0-BEFC-8FBDD0B2135C}"/>
    <cellStyle name="Style 99" xfId="5411" xr:uid="{00000000-0005-0000-0000-00004B150000}"/>
    <cellStyle name="Style 99 2" xfId="10929" xr:uid="{00000000-0005-0000-0000-000093220000}"/>
    <cellStyle name="Style 99 2 2" xfId="43418" xr:uid="{24F941DB-54EE-449B-B57F-8785DC79CE17}"/>
    <cellStyle name="Style 99 3" xfId="9144" xr:uid="{00000000-0005-0000-0000-00005E110000}"/>
    <cellStyle name="Style 99 4" xfId="39442" xr:uid="{9E6F5D1D-0751-4ED1-BE43-84015FB5C8C7}"/>
    <cellStyle name="STYLE1" xfId="5412" xr:uid="{00000000-0005-0000-0000-00004C150000}"/>
    <cellStyle name="STYLE1 2" xfId="10930" xr:uid="{00000000-0005-0000-0000-000094220000}"/>
    <cellStyle name="STYLE1 2 2" xfId="43419" xr:uid="{3257E4BE-A7C7-4C4C-88BE-44524533C1B5}"/>
    <cellStyle name="STYLE1 3" xfId="9146" xr:uid="{00000000-0005-0000-0000-00005F110000}"/>
    <cellStyle name="STYLE1 4" xfId="39443" xr:uid="{20E6F4BB-C9BF-4ABD-A52C-54BF56704FC7}"/>
    <cellStyle name="STYLE2" xfId="5413" xr:uid="{00000000-0005-0000-0000-00004D150000}"/>
    <cellStyle name="STYLE2 2" xfId="10931" xr:uid="{00000000-0005-0000-0000-000095220000}"/>
    <cellStyle name="STYLE2 2 2" xfId="43420" xr:uid="{02250EE5-249A-40C5-B91D-E39837DF21F3}"/>
    <cellStyle name="STYLE2 3" xfId="9148" xr:uid="{00000000-0005-0000-0000-000060110000}"/>
    <cellStyle name="STYLE2 4" xfId="39444" xr:uid="{00984B40-3674-4154-BA0B-9BCCAACC878B}"/>
    <cellStyle name="STYLE3" xfId="5414" xr:uid="{00000000-0005-0000-0000-00004E150000}"/>
    <cellStyle name="STYLE3 2" xfId="10932" xr:uid="{00000000-0005-0000-0000-000096220000}"/>
    <cellStyle name="STYLE3 2 2" xfId="43421" xr:uid="{A74BD015-EE09-4888-A1A1-2967779F55AE}"/>
    <cellStyle name="STYLE3 3" xfId="9155" xr:uid="{00000000-0005-0000-0000-000061110000}"/>
    <cellStyle name="STYLE3 4" xfId="39445" xr:uid="{57B002D0-70C0-43F3-934E-2B769096642B}"/>
    <cellStyle name="Subhead" xfId="5415" xr:uid="{00000000-0005-0000-0000-00004F150000}"/>
    <cellStyle name="Subhead 2" xfId="10933" xr:uid="{00000000-0005-0000-0000-000097220000}"/>
    <cellStyle name="Subhead 2 2" xfId="43422" xr:uid="{08B61B07-9A9B-472E-9934-5F7AAD063048}"/>
    <cellStyle name="Subhead 3" xfId="9156" xr:uid="{00000000-0005-0000-0000-000062110000}"/>
    <cellStyle name="Subhead 4" xfId="39446" xr:uid="{717D9940-7107-4BC8-A33A-09658DC9BC38}"/>
    <cellStyle name="Subtotal_left" xfId="5416" xr:uid="{00000000-0005-0000-0000-000050150000}"/>
    <cellStyle name="SwitchCell" xfId="5417" xr:uid="{00000000-0005-0000-0000-000051150000}"/>
    <cellStyle name="SwitchCell 2" xfId="10934" xr:uid="{00000000-0005-0000-0000-000099220000}"/>
    <cellStyle name="SwitchCell 2 2" xfId="43423" xr:uid="{68A590A9-8C2E-4B20-9D99-B6A2CA3C6B66}"/>
    <cellStyle name="SwitchCell 3" xfId="9157" xr:uid="{00000000-0005-0000-0000-000064110000}"/>
    <cellStyle name="SwitchCell 4" xfId="39447" xr:uid="{B702D5BF-0AF3-4C5A-8EFC-B1552E85CCAB}"/>
    <cellStyle name="t" xfId="5418" xr:uid="{00000000-0005-0000-0000-000052150000}"/>
    <cellStyle name="t 2" xfId="10935" xr:uid="{00000000-0005-0000-0000-00009A220000}"/>
    <cellStyle name="t 2 2" xfId="43424" xr:uid="{7E99B092-AE48-443C-9607-431C7A3387C7}"/>
    <cellStyle name="t 3" xfId="9158" xr:uid="{00000000-0005-0000-0000-000065110000}"/>
    <cellStyle name="t 4" xfId="39448" xr:uid="{567303CF-1DC4-4584-B05F-DBF73352D8C6}"/>
    <cellStyle name="Table Col Head" xfId="5419" xr:uid="{00000000-0005-0000-0000-000053150000}"/>
    <cellStyle name="Table Col Head 2" xfId="10936" xr:uid="{00000000-0005-0000-0000-00009B220000}"/>
    <cellStyle name="Table Col Head 2 2" xfId="43425" xr:uid="{3BEB6893-6FBD-4007-8C78-1A3664071F9A}"/>
    <cellStyle name="Table Col Head 3" xfId="9159" xr:uid="{00000000-0005-0000-0000-000066110000}"/>
    <cellStyle name="Table Col Head 4" xfId="39449" xr:uid="{224BB739-69EE-4ECE-8F02-ED6E8C5879FB}"/>
    <cellStyle name="Table Head" xfId="5420" xr:uid="{00000000-0005-0000-0000-000054150000}"/>
    <cellStyle name="Table Head 2" xfId="10937" xr:uid="{00000000-0005-0000-0000-00009C220000}"/>
    <cellStyle name="Table Head 2 2" xfId="43426" xr:uid="{F1373F3E-5A62-4016-B614-9DE6D23FC3FA}"/>
    <cellStyle name="Table Head 3" xfId="9160" xr:uid="{00000000-0005-0000-0000-000067110000}"/>
    <cellStyle name="Table Head 4" xfId="39450" xr:uid="{A1D70FD5-A8E3-45E0-A80C-A25DCE3C7165}"/>
    <cellStyle name="Table Head Aligned" xfId="5421" xr:uid="{00000000-0005-0000-0000-000055150000}"/>
    <cellStyle name="Table Head Aligned 2" xfId="5422" xr:uid="{00000000-0005-0000-0000-000056150000}"/>
    <cellStyle name="Table Head Aligned 2 2" xfId="10939" xr:uid="{00000000-0005-0000-0000-00009E220000}"/>
    <cellStyle name="Table Head Aligned 2 2 2" xfId="43428" xr:uid="{590A030D-B5BD-401A-AA81-CF66B88E0851}"/>
    <cellStyle name="Table Head Aligned 2 3" xfId="9342" xr:uid="{00000000-0005-0000-0000-000068110000}"/>
    <cellStyle name="Table Head Aligned 2 4" xfId="39452" xr:uid="{6AD81E43-47B5-48D5-B60B-73EE9BF66448}"/>
    <cellStyle name="Table Head Aligned 3" xfId="10938" xr:uid="{00000000-0005-0000-0000-00009D220000}"/>
    <cellStyle name="Table Head Aligned 3 2" xfId="43427" xr:uid="{DBBCFE4D-F2C1-4172-93E4-244FE50F65CC}"/>
    <cellStyle name="Table Head Aligned 4" xfId="9161" xr:uid="{00000000-0005-0000-0000-000068110000}"/>
    <cellStyle name="Table Head Aligned 5" xfId="39451" xr:uid="{BB81C7CA-0404-4BE3-A063-F3E0376D06F1}"/>
    <cellStyle name="Table Head Blue" xfId="5423" xr:uid="{00000000-0005-0000-0000-000057150000}"/>
    <cellStyle name="Table Head Blue 2" xfId="10940" xr:uid="{00000000-0005-0000-0000-00009F220000}"/>
    <cellStyle name="Table Head Blue 2 2" xfId="23734" xr:uid="{327467ED-B070-4EB2-8B83-C6A0BC09E3AE}"/>
    <cellStyle name="Table Head Blue 2 3" xfId="43429" xr:uid="{87358C15-215C-4DC0-AC7F-BAEB3693AA3E}"/>
    <cellStyle name="Table Head Blue 3" xfId="9162" xr:uid="{00000000-0005-0000-0000-000069110000}"/>
    <cellStyle name="Table Head Blue 4" xfId="39453" xr:uid="{716A1308-A0CB-436D-868B-7BFC627D5103}"/>
    <cellStyle name="Table Head Green" xfId="5424" xr:uid="{00000000-0005-0000-0000-000058150000}"/>
    <cellStyle name="Table Head Green 2" xfId="5425" xr:uid="{00000000-0005-0000-0000-000059150000}"/>
    <cellStyle name="Table Head Green 2 2" xfId="10942" xr:uid="{00000000-0005-0000-0000-0000A1220000}"/>
    <cellStyle name="Table Head Green 2 2 2" xfId="43431" xr:uid="{AC32E22B-A788-4D63-91C7-841526DABF02}"/>
    <cellStyle name="Table Head Green 2 3" xfId="9343" xr:uid="{00000000-0005-0000-0000-00006A110000}"/>
    <cellStyle name="Table Head Green 2 4" xfId="39455" xr:uid="{8CDCD578-6E69-4777-B0F8-4D34B138B4BC}"/>
    <cellStyle name="Table Head Green 3" xfId="10941" xr:uid="{00000000-0005-0000-0000-0000A0220000}"/>
    <cellStyle name="Table Head Green 3 2" xfId="23735" xr:uid="{2D759A9C-B9B5-469C-9137-B722C96FFB92}"/>
    <cellStyle name="Table Head Green 3 3" xfId="43430" xr:uid="{76019197-4A97-4B66-A4C7-4ABDFCDF563A}"/>
    <cellStyle name="Table Head Green 4" xfId="9163" xr:uid="{00000000-0005-0000-0000-00006A110000}"/>
    <cellStyle name="Table Head Green 4 2" xfId="23453" xr:uid="{23F9C520-F29E-4814-9BC5-D7D484C82DDE}"/>
    <cellStyle name="Table Head Green 5" xfId="39454" xr:uid="{8C990865-1AF3-4B85-9F57-2770182447BF}"/>
    <cellStyle name="Table Head_Val_Sum_Graph" xfId="5426" xr:uid="{00000000-0005-0000-0000-00005A150000}"/>
    <cellStyle name="Table Sub Head" xfId="5427" xr:uid="{00000000-0005-0000-0000-00005B150000}"/>
    <cellStyle name="Table Sub Head 2" xfId="10943" xr:uid="{00000000-0005-0000-0000-0000A3220000}"/>
    <cellStyle name="Table Sub Head 2 2" xfId="43432" xr:uid="{686067C6-DF16-44DE-A1A8-C661B1873A9C}"/>
    <cellStyle name="Table Sub Head 3" xfId="9165" xr:uid="{00000000-0005-0000-0000-00006C110000}"/>
    <cellStyle name="Table Sub Head 4" xfId="39456" xr:uid="{FEA990B0-FF9F-4EF3-B71F-E6CFF04F1914}"/>
    <cellStyle name="Table Text" xfId="5428" xr:uid="{00000000-0005-0000-0000-00005C150000}"/>
    <cellStyle name="Table Text 2" xfId="10944" xr:uid="{00000000-0005-0000-0000-0000A4220000}"/>
    <cellStyle name="Table Text 2 2" xfId="43433" xr:uid="{9C21B11C-63F6-46DB-932C-BD207B7F5B1E}"/>
    <cellStyle name="Table Text 3" xfId="9166" xr:uid="{00000000-0005-0000-0000-00006D110000}"/>
    <cellStyle name="Table Text 4" xfId="39457" xr:uid="{5FAB722A-9953-42E5-AE79-1A08469D048F}"/>
    <cellStyle name="Table Title" xfId="5429" xr:uid="{00000000-0005-0000-0000-00005D150000}"/>
    <cellStyle name="Table Title 2" xfId="10945" xr:uid="{00000000-0005-0000-0000-0000A5220000}"/>
    <cellStyle name="Table Title 2 2" xfId="43434" xr:uid="{B1B79D9B-E0AC-4049-B5A4-1EB1F0B1C0AC}"/>
    <cellStyle name="Table Title 3" xfId="9167" xr:uid="{00000000-0005-0000-0000-00006E110000}"/>
    <cellStyle name="Table Title 4" xfId="39458" xr:uid="{630F7C87-4766-4BEB-BB03-711772898DA6}"/>
    <cellStyle name="Table Units" xfId="5430" xr:uid="{00000000-0005-0000-0000-00005E150000}"/>
    <cellStyle name="Table Units 2" xfId="10946" xr:uid="{00000000-0005-0000-0000-0000A6220000}"/>
    <cellStyle name="Table Units 2 2" xfId="43435" xr:uid="{9E86395B-9CE4-4A47-9588-9B4F26C4832B}"/>
    <cellStyle name="Table Units 3" xfId="9168" xr:uid="{00000000-0005-0000-0000-00006F110000}"/>
    <cellStyle name="Table Units 4" xfId="39459" xr:uid="{2A284088-ED37-4609-A8B8-659063423104}"/>
    <cellStyle name="Table_Header" xfId="5431" xr:uid="{00000000-0005-0000-0000-00005F150000}"/>
    <cellStyle name="TableBorder" xfId="5432" xr:uid="{00000000-0005-0000-0000-000060150000}"/>
    <cellStyle name="TableBorder 2" xfId="10947" xr:uid="{00000000-0005-0000-0000-0000A8220000}"/>
    <cellStyle name="TableBorder 2 2" xfId="9346" xr:uid="{00000000-0005-0000-0000-000071110000}"/>
    <cellStyle name="TableBorder 2 3" xfId="43436" xr:uid="{DA5DD193-C89F-42D2-BA6F-33AA6480F1FB}"/>
    <cellStyle name="TableBorder 3" xfId="9395" xr:uid="{00000000-0005-0000-0000-0000DE250000}"/>
    <cellStyle name="TableBorder 4" xfId="9170" xr:uid="{00000000-0005-0000-0000-000071110000}"/>
    <cellStyle name="TableBorder 5" xfId="39460" xr:uid="{5815E4AB-3CF9-4BA7-9D91-FD12047D0E15}"/>
    <cellStyle name="TableColumnHeader" xfId="5433" xr:uid="{00000000-0005-0000-0000-000061150000}"/>
    <cellStyle name="TableColumnHeader 10" xfId="20052" xr:uid="{FEEF3176-2610-4684-B9E8-6FC4A1AA87CB}"/>
    <cellStyle name="TableColumnHeader 11" xfId="20159" xr:uid="{7186D828-1EC6-4641-BDE6-49A74DDB0ED0}"/>
    <cellStyle name="TableColumnHeader 12" xfId="19598" xr:uid="{B2232965-29C4-4276-A085-7E6C8BDBA55C}"/>
    <cellStyle name="TableColumnHeader 13" xfId="21781" xr:uid="{84B37299-EE3C-470E-8CD9-DCBB999614CC}"/>
    <cellStyle name="TableColumnHeader 14" xfId="19491" xr:uid="{213CF640-26F6-4EE0-BC5A-D8336203D21D}"/>
    <cellStyle name="TableColumnHeader 15" xfId="21924" xr:uid="{DA45AE70-717E-4ABF-BE7B-D764F172E8CB}"/>
    <cellStyle name="TableColumnHeader 16" xfId="20622" xr:uid="{77996C62-CBFA-48CB-A8BF-3786A0826E11}"/>
    <cellStyle name="TableColumnHeader 17" xfId="21141" xr:uid="{5CC42ED2-E08E-4A54-B29C-D55743703938}"/>
    <cellStyle name="TableColumnHeader 18" xfId="22850" xr:uid="{53E05E21-3E6E-49B7-B7E5-34CEC45F6EF2}"/>
    <cellStyle name="TableColumnHeader 19" xfId="18281" xr:uid="{96DCC8E2-2143-404F-9ED4-DE1EE6ACD6DE}"/>
    <cellStyle name="TableColumnHeader 2" xfId="5434" xr:uid="{00000000-0005-0000-0000-000062150000}"/>
    <cellStyle name="TableColumnHeader 2 10" xfId="19020" xr:uid="{493589EE-388D-450F-8F3F-5B3B66762E4C}"/>
    <cellStyle name="TableColumnHeader 2 11" xfId="19350" xr:uid="{ABFB37DD-5A9D-488F-BEAE-ECF91FC5358E}"/>
    <cellStyle name="TableColumnHeader 2 12" xfId="20490" xr:uid="{025A9E8E-7689-43A1-A639-5EED637797D4}"/>
    <cellStyle name="TableColumnHeader 2 13" xfId="22195" xr:uid="{207CAFA2-F598-4ADC-8E98-8456D61EF307}"/>
    <cellStyle name="TableColumnHeader 2 14" xfId="22723" xr:uid="{E3737A5F-59C6-4165-8385-4A3F9885EDE5}"/>
    <cellStyle name="TableColumnHeader 2 15" xfId="20426" xr:uid="{431A0CCA-7A4B-43D9-B9C9-9665095776E8}"/>
    <cellStyle name="TableColumnHeader 2 16" xfId="22361" xr:uid="{A058198E-3938-4B2E-92C1-4B58B717E051}"/>
    <cellStyle name="TableColumnHeader 2 17" xfId="18282" xr:uid="{E480B6AE-550C-49CA-A5AF-78E849B5536D}"/>
    <cellStyle name="TableColumnHeader 2 18" xfId="33188" xr:uid="{DB0E61C1-1453-4268-B34E-78BDF14D8988}"/>
    <cellStyle name="TableColumnHeader 2 19" xfId="16533" xr:uid="{503B8F3B-A89B-4788-BF15-3E45E65BEA4E}"/>
    <cellStyle name="TableColumnHeader 2 2" xfId="10949" xr:uid="{00000000-0005-0000-0000-0000AA220000}"/>
    <cellStyle name="TableColumnHeader 2 2 10" xfId="19310" xr:uid="{129B34E4-E5B8-4229-9419-F1D20AFF2B27}"/>
    <cellStyle name="TableColumnHeader 2 2 11" xfId="20780" xr:uid="{6B5C6A0E-B4EC-4944-A1A7-ED849EDAE52F}"/>
    <cellStyle name="TableColumnHeader 2 2 12" xfId="22822" xr:uid="{AD8F7C12-43BA-49C7-8FDA-C801846F4D76}"/>
    <cellStyle name="TableColumnHeader 2 2 13" xfId="22353" xr:uid="{254E0CCF-B548-4818-88F2-05245F722B3F}"/>
    <cellStyle name="TableColumnHeader 2 2 14" xfId="22956" xr:uid="{0948A669-467A-4B01-AF9A-67551B6AFF49}"/>
    <cellStyle name="TableColumnHeader 2 2 15" xfId="22622" xr:uid="{EE33EA50-5669-45FB-AFD0-176D550CAF75}"/>
    <cellStyle name="TableColumnHeader 2 2 16" xfId="18784" xr:uid="{340164A9-CADA-47DE-BAD5-4A46D27582D4}"/>
    <cellStyle name="TableColumnHeader 2 2 17" xfId="43438" xr:uid="{FF808D24-359C-4CD0-9128-9BE1EAB0C7F0}"/>
    <cellStyle name="TableColumnHeader 2 2 2" xfId="9428" xr:uid="{00000000-0005-0000-0000-0000E0250000}"/>
    <cellStyle name="TableColumnHeader 2 2 2 2" xfId="19766" xr:uid="{C2BDA510-5483-47B2-BBAF-A610D2312D61}"/>
    <cellStyle name="TableColumnHeader 2 2 2 3" xfId="41918" xr:uid="{3DE6FF7F-1DB7-4595-B95B-ACEF28D44028}"/>
    <cellStyle name="TableColumnHeader 2 2 2 4" xfId="48138" xr:uid="{AF75B09C-98B7-4FEA-AC62-3E7C8719F161}"/>
    <cellStyle name="TableColumnHeader 2 2 2 5" xfId="47771" xr:uid="{A82B4477-0F01-46FB-BECF-4461CBAC211C}"/>
    <cellStyle name="TableColumnHeader 2 2 2 6" xfId="15500" xr:uid="{1321015E-22F2-474A-A37F-E974DC543FD9}"/>
    <cellStyle name="TableColumnHeader 2 2 2 7" xfId="47903" xr:uid="{0F20DF8F-6AC6-487B-B76A-954BB5325C3F}"/>
    <cellStyle name="TableColumnHeader 2 2 3" xfId="20730" xr:uid="{CDFA4783-F7B4-4F26-B038-544424E621EB}"/>
    <cellStyle name="TableColumnHeader 2 2 4" xfId="19446" xr:uid="{852595C5-742C-467C-B035-6CE5CCC9205E}"/>
    <cellStyle name="TableColumnHeader 2 2 5" xfId="19253" xr:uid="{0BF503FC-3970-4FE2-B5C2-7165801B4538}"/>
    <cellStyle name="TableColumnHeader 2 2 6" xfId="19166" xr:uid="{909CF2C8-C3B9-4887-8AC3-27FB99E3A6AB}"/>
    <cellStyle name="TableColumnHeader 2 2 7" xfId="21777" xr:uid="{D2414D17-21CE-4DDF-AD19-DAA3174D3B62}"/>
    <cellStyle name="TableColumnHeader 2 2 8" xfId="20392" xr:uid="{D5BE232D-8252-4C76-9B3B-48AE099E7376}"/>
    <cellStyle name="TableColumnHeader 2 2 9" xfId="22577" xr:uid="{A7229EAF-E59D-4870-92F6-E80D97544F31}"/>
    <cellStyle name="TableColumnHeader 2 20" xfId="39462" xr:uid="{7E3DD70E-5B2D-4386-B054-D4EDBAF7295F}"/>
    <cellStyle name="TableColumnHeader 2 3" xfId="9347" xr:uid="{00000000-0005-0000-0000-000072110000}"/>
    <cellStyle name="TableColumnHeader 2 3 2" xfId="19545" xr:uid="{CD3ABF95-726D-4963-8BC5-567BF6FBA39E}"/>
    <cellStyle name="TableColumnHeader 2 3 3" xfId="41865" xr:uid="{FD83EFE1-815E-4A92-BB3B-46BEBA2D666F}"/>
    <cellStyle name="TableColumnHeader 2 3 4" xfId="48128" xr:uid="{D45AD5FD-40FD-4FA2-AC6E-E6E53994FE21}"/>
    <cellStyle name="TableColumnHeader 2 3 5" xfId="48692" xr:uid="{84CDEE14-964D-4C37-A85B-BD8B8EBB3104}"/>
    <cellStyle name="TableColumnHeader 2 3 6" xfId="47671" xr:uid="{289EFF4A-CFF6-4D05-AEFB-762683ADB105}"/>
    <cellStyle name="TableColumnHeader 2 3 7" xfId="39593" xr:uid="{A623F6BD-18F4-4E07-97EA-081977AD2BF0}"/>
    <cellStyle name="TableColumnHeader 2 4" xfId="19560" xr:uid="{6C54AC79-B705-4F79-9231-476C1C25C50B}"/>
    <cellStyle name="TableColumnHeader 2 5" xfId="20186" xr:uid="{7C78BEE0-65F9-43A6-B9BD-812E600ABA7F}"/>
    <cellStyle name="TableColumnHeader 2 6" xfId="21878" xr:uid="{39BF7A1C-BDF0-4A7D-B1DA-E571E47BF31D}"/>
    <cellStyle name="TableColumnHeader 2 7" xfId="21851" xr:uid="{6097966C-040D-4535-BD22-4EABECE58B09}"/>
    <cellStyle name="TableColumnHeader 2 8" xfId="21867" xr:uid="{E3AD3BC5-496D-4566-8404-0E0E9006980F}"/>
    <cellStyle name="TableColumnHeader 2 9" xfId="21879" xr:uid="{781FD5CF-957B-4B90-B51E-1D313A91B997}"/>
    <cellStyle name="TableColumnHeader 20" xfId="23452" xr:uid="{8C152C29-B87D-4E9F-A045-45AAB20EAD8C}"/>
    <cellStyle name="TableColumnHeader 21" xfId="16532" xr:uid="{E39A954D-F6EE-4CF6-9A5C-763140CF115B}"/>
    <cellStyle name="TableColumnHeader 22" xfId="39461" xr:uid="{31326F0E-3FFC-4020-84B3-662698527FDF}"/>
    <cellStyle name="TableColumnHeader 3" xfId="5435" xr:uid="{00000000-0005-0000-0000-000063150000}"/>
    <cellStyle name="TableColumnHeader 3 10" xfId="20559" xr:uid="{0A1B43B4-32CF-41C6-BFEA-147EFA713EE3}"/>
    <cellStyle name="TableColumnHeader 3 11" xfId="22233" xr:uid="{C1EA6482-C4DF-4EF4-932E-8D9C85DF9D65}"/>
    <cellStyle name="TableColumnHeader 3 12" xfId="20254" xr:uid="{95294349-CA0B-4098-9215-75F46734D72E}"/>
    <cellStyle name="TableColumnHeader 3 13" xfId="19531" xr:uid="{2DB1B2FE-220C-4DED-BCCD-5F2CA9BA6C44}"/>
    <cellStyle name="TableColumnHeader 3 14" xfId="18933" xr:uid="{0C64EAE6-3D90-4BDF-BAFA-77AE7C55891B}"/>
    <cellStyle name="TableColumnHeader 3 15" xfId="19730" xr:uid="{C1AAB7BE-AC76-40A0-ADBE-D1CE5F8191E5}"/>
    <cellStyle name="TableColumnHeader 3 16" xfId="18989" xr:uid="{BA2F8B9B-A136-4E87-807F-FCD52467C72C}"/>
    <cellStyle name="TableColumnHeader 3 17" xfId="18283" xr:uid="{2FA07A00-7E75-4443-8DB6-853772B34760}"/>
    <cellStyle name="TableColumnHeader 3 18" xfId="26331" xr:uid="{1EDAED33-5682-4BD5-9F67-8BDB9E6D2B68}"/>
    <cellStyle name="TableColumnHeader 3 19" xfId="33159" xr:uid="{B23B7A05-8EFB-404B-A8BA-C6E5038077AE}"/>
    <cellStyle name="TableColumnHeader 3 2" xfId="10950" xr:uid="{00000000-0005-0000-0000-0000AB220000}"/>
    <cellStyle name="TableColumnHeader 3 2 10" xfId="21199" xr:uid="{1B00F516-EFC5-424C-A870-0374871F8CEC}"/>
    <cellStyle name="TableColumnHeader 3 2 11" xfId="19457" xr:uid="{160125B2-B278-4D89-925E-3921CE985B4E}"/>
    <cellStyle name="TableColumnHeader 3 2 12" xfId="22823" xr:uid="{9095AC7E-A397-43FF-AEA7-7DE6AC2C5DD4}"/>
    <cellStyle name="TableColumnHeader 3 2 13" xfId="21422" xr:uid="{45CB2769-D8E9-4907-A17D-5A09C5BFA97B}"/>
    <cellStyle name="TableColumnHeader 3 2 14" xfId="22957" xr:uid="{DC33ADFD-BEDF-4A03-981A-19048222F58D}"/>
    <cellStyle name="TableColumnHeader 3 2 15" xfId="22909" xr:uid="{C9A2E971-D26D-457D-87D3-0E30F5A088D0}"/>
    <cellStyle name="TableColumnHeader 3 2 16" xfId="18785" xr:uid="{65CBF780-4B33-4249-BF0A-587BE9C0E20E}"/>
    <cellStyle name="TableColumnHeader 3 2 17" xfId="43439" xr:uid="{4A053CAF-1C1E-4DF0-A423-2118895AF1E6}"/>
    <cellStyle name="TableColumnHeader 3 2 2" xfId="19765" xr:uid="{F3A59A77-6714-4C1B-BE03-BFD890B0B6E6}"/>
    <cellStyle name="TableColumnHeader 3 2 3" xfId="19957" xr:uid="{3763D84F-391D-42A2-B799-8FDEC5EB7049}"/>
    <cellStyle name="TableColumnHeader 3 2 4" xfId="20895" xr:uid="{225DAF19-BBE8-480D-ABD2-99E73946CD8B}"/>
    <cellStyle name="TableColumnHeader 3 2 5" xfId="20153" xr:uid="{A7B8C5F7-7766-488C-A612-CAC4E20D7849}"/>
    <cellStyle name="TableColumnHeader 3 2 6" xfId="19262" xr:uid="{7F54F74E-C949-49FC-A3D5-9221FBD89EB9}"/>
    <cellStyle name="TableColumnHeader 3 2 7" xfId="18963" xr:uid="{6EB555B9-5C82-4F31-8F46-C8EF91A7AA77}"/>
    <cellStyle name="TableColumnHeader 3 2 8" xfId="20626" xr:uid="{454A8875-EB48-4537-A34B-A3F8AAFF526C}"/>
    <cellStyle name="TableColumnHeader 3 2 9" xfId="22578" xr:uid="{2EF81084-A672-41FD-A74E-6050DAB6D50C}"/>
    <cellStyle name="TableColumnHeader 3 20" xfId="16534" xr:uid="{F53A83AF-CB73-4269-8F91-C2DCC889429F}"/>
    <cellStyle name="TableColumnHeader 3 21" xfId="39463" xr:uid="{25CFC821-5F93-45D0-98E4-AC7AC393FD3E}"/>
    <cellStyle name="TableColumnHeader 3 3" xfId="21366" xr:uid="{99F31057-D968-448F-A3B4-633C15A80511}"/>
    <cellStyle name="TableColumnHeader 3 4" xfId="20823" xr:uid="{3368FC34-A16F-4B64-B0DC-8A81EE7C8FC2}"/>
    <cellStyle name="TableColumnHeader 3 5" xfId="19624" xr:uid="{4190E6DF-922B-46A4-A20B-AC9202B2CACB}"/>
    <cellStyle name="TableColumnHeader 3 6" xfId="20454" xr:uid="{EB2B19B6-D788-4537-A470-CD2101875DE2}"/>
    <cellStyle name="TableColumnHeader 3 7" xfId="19287" xr:uid="{B8F1463E-9334-4AE1-88CE-01D2EB248E84}"/>
    <cellStyle name="TableColumnHeader 3 8" xfId="20704" xr:uid="{76747686-E58D-4AC8-8BC6-91A77B4AD50A}"/>
    <cellStyle name="TableColumnHeader 3 9" xfId="19207" xr:uid="{62863E83-25AC-4DA3-8D84-705E3CE09711}"/>
    <cellStyle name="TableColumnHeader 4" xfId="10948" xr:uid="{00000000-0005-0000-0000-0000A9220000}"/>
    <cellStyle name="TableColumnHeader 4 10" xfId="21208" xr:uid="{797DA26F-F056-4026-AB3C-F2FB54F294FE}"/>
    <cellStyle name="TableColumnHeader 4 11" xfId="20301" xr:uid="{CFA3CCBD-80B3-4E6D-9F07-4D5FD9BA43D2}"/>
    <cellStyle name="TableColumnHeader 4 12" xfId="22821" xr:uid="{095B8D39-90B9-4097-8315-A2373452E601}"/>
    <cellStyle name="TableColumnHeader 4 13" xfId="20591" xr:uid="{112BFA2F-B588-4717-9377-AF7003A6973F}"/>
    <cellStyle name="TableColumnHeader 4 14" xfId="22955" xr:uid="{5792AF35-E12A-4A53-87A8-3A0B3FE9FF3D}"/>
    <cellStyle name="TableColumnHeader 4 15" xfId="19225" xr:uid="{934318F4-90BC-479E-B2C0-31000A41AE81}"/>
    <cellStyle name="TableColumnHeader 4 16" xfId="18783" xr:uid="{C2326F77-BDE5-4D6C-9E64-3FFDD8211B8E}"/>
    <cellStyle name="TableColumnHeader 4 17" xfId="43437" xr:uid="{1C7C7125-E77C-47BE-BF46-DA1482E4F9B2}"/>
    <cellStyle name="TableColumnHeader 4 2" xfId="19767" xr:uid="{902C5509-86B4-431F-802F-96C3083AE921}"/>
    <cellStyle name="TableColumnHeader 4 3" xfId="19358" xr:uid="{3D38FDC0-69FE-41D4-8CD9-C09E33F51D13}"/>
    <cellStyle name="TableColumnHeader 4 4" xfId="21020" xr:uid="{026D3957-662A-461D-8313-48E6BC884560}"/>
    <cellStyle name="TableColumnHeader 4 5" xfId="19090" xr:uid="{C036A8E7-FB21-4E3F-9A9A-25EB468D7F9A}"/>
    <cellStyle name="TableColumnHeader 4 6" xfId="19901" xr:uid="{4AB6EA47-D4EC-4FEA-8350-43FEE2433286}"/>
    <cellStyle name="TableColumnHeader 4 7" xfId="20060" xr:uid="{3C31FFEF-92FF-48A5-AC88-5D20F179F522}"/>
    <cellStyle name="TableColumnHeader 4 8" xfId="19349" xr:uid="{875FD1A9-D1D0-4ED4-B74D-B9F00B158215}"/>
    <cellStyle name="TableColumnHeader 4 9" xfId="22576" xr:uid="{E119E61F-F7F2-458F-BA78-43B1D589A448}"/>
    <cellStyle name="TableColumnHeader 5" xfId="9171" xr:uid="{00000000-0005-0000-0000-000072110000}"/>
    <cellStyle name="TableColumnHeader 5 2" xfId="20232" xr:uid="{B8BCD97A-CEDA-41A8-B154-57B6C2F9F5F3}"/>
    <cellStyle name="TableColumnHeader 5 3" xfId="41754" xr:uid="{8914E379-6988-4D8A-9496-7ED11C300613}"/>
    <cellStyle name="TableColumnHeader 5 4" xfId="37686" xr:uid="{CC60FFA2-21AE-4FE3-A753-32E18CC0992B}"/>
    <cellStyle name="TableColumnHeader 5 5" xfId="40246" xr:uid="{5B6431F0-B7BC-4373-9BDE-27CD5159B5DD}"/>
    <cellStyle name="TableColumnHeader 5 6" xfId="47859" xr:uid="{3EEABE23-7892-4C9B-BD36-5E35F2AC2CBE}"/>
    <cellStyle name="TableColumnHeader 5 7" xfId="49090" xr:uid="{AC1CCD0E-2A02-4BA2-B58C-B3E86A137F84}"/>
    <cellStyle name="TableColumnHeader 6" xfId="20843" xr:uid="{C8AD735B-191E-470B-AC5C-30DCD1E0F2D1}"/>
    <cellStyle name="TableColumnHeader 7" xfId="19110" xr:uid="{28F4034C-C6CF-4470-B6A0-F511F2CFB1EB}"/>
    <cellStyle name="TableColumnHeader 8" xfId="20630" xr:uid="{49EAA45B-D5C9-4AEC-8448-CBA6C8B98021}"/>
    <cellStyle name="TableColumnHeader 9" xfId="22172" xr:uid="{52D6A335-BBDB-4FE1-9D43-D0C87D498A0A}"/>
    <cellStyle name="TableHeading" xfId="5436" xr:uid="{00000000-0005-0000-0000-000064150000}"/>
    <cellStyle name="TableHeading 2" xfId="10951" xr:uid="{00000000-0005-0000-0000-0000AC220000}"/>
    <cellStyle name="TableHeading 2 2" xfId="9348" xr:uid="{00000000-0005-0000-0000-000073110000}"/>
    <cellStyle name="TableHeading 2 3" xfId="43440" xr:uid="{1D2E1FCC-3B1B-41B9-ABC3-05C09261E3B5}"/>
    <cellStyle name="TableHeading 3" xfId="9396" xr:uid="{00000000-0005-0000-0000-0000E1250000}"/>
    <cellStyle name="TableHeading 4" xfId="9172" xr:uid="{00000000-0005-0000-0000-000073110000}"/>
    <cellStyle name="TableHeading 5" xfId="39464" xr:uid="{0C83BB2C-65B0-4ABF-9065-D61C03F18327}"/>
    <cellStyle name="TableHighlight" xfId="5437" xr:uid="{00000000-0005-0000-0000-000065150000}"/>
    <cellStyle name="TableHighlight 2" xfId="10952" xr:uid="{00000000-0005-0000-0000-0000AD220000}"/>
    <cellStyle name="TableHighlight 2 2" xfId="43441" xr:uid="{65845DE1-0B5F-4223-B26F-755B8FE70F4B}"/>
    <cellStyle name="TableHighlight 3" xfId="9173" xr:uid="{00000000-0005-0000-0000-000074110000}"/>
    <cellStyle name="TableHighlight 4" xfId="39465" xr:uid="{A7FB3795-DC66-42B9-8DCD-55790D4BE924}"/>
    <cellStyle name="TableNote" xfId="5438" xr:uid="{00000000-0005-0000-0000-000066150000}"/>
    <cellStyle name="TableNote 2" xfId="10953" xr:uid="{00000000-0005-0000-0000-0000AE220000}"/>
    <cellStyle name="TableNote 2 2" xfId="43442" xr:uid="{22986B80-AEE0-4BD9-9F13-0A7982265D7D}"/>
    <cellStyle name="TableNote 3" xfId="9174" xr:uid="{00000000-0005-0000-0000-000075110000}"/>
    <cellStyle name="TableNote 4" xfId="39466" xr:uid="{03B2CD83-BBBC-4412-AA26-F67482D8F620}"/>
    <cellStyle name="test a style" xfId="5439" xr:uid="{00000000-0005-0000-0000-000067150000}"/>
    <cellStyle name="test a style 2" xfId="5440" xr:uid="{00000000-0005-0000-0000-000068150000}"/>
    <cellStyle name="test a style 2 2" xfId="10955" xr:uid="{00000000-0005-0000-0000-0000B0220000}"/>
    <cellStyle name="test a style 2 2 2" xfId="9417" xr:uid="{00000000-0005-0000-0000-0000E5250000}"/>
    <cellStyle name="test a style 2 2 3" xfId="43444" xr:uid="{31CC7367-FB29-41B3-839B-D9476A498695}"/>
    <cellStyle name="test a style 2 3" xfId="9350" xr:uid="{00000000-0005-0000-0000-000076110000}"/>
    <cellStyle name="test a style 2 4" xfId="39468" xr:uid="{71FA763D-5770-4DC5-9BD5-8AE62524B94B}"/>
    <cellStyle name="test a style 3" xfId="10954" xr:uid="{00000000-0005-0000-0000-0000AF220000}"/>
    <cellStyle name="test a style 3 2" xfId="9397" xr:uid="{00000000-0005-0000-0000-0000E4250000}"/>
    <cellStyle name="test a style 3 3" xfId="43443" xr:uid="{A25064F5-9C26-49AB-9980-59F354918A65}"/>
    <cellStyle name="test a style 4" xfId="9175" xr:uid="{00000000-0005-0000-0000-000076110000}"/>
    <cellStyle name="test a style 5" xfId="39467" xr:uid="{F4D3FA0A-76D3-49D0-BA3E-3BCB123C4D50}"/>
    <cellStyle name="Text 1" xfId="5441" xr:uid="{00000000-0005-0000-0000-000069150000}"/>
    <cellStyle name="Text 1 2" xfId="10956" xr:uid="{00000000-0005-0000-0000-0000B1220000}"/>
    <cellStyle name="Text 1 2 2" xfId="43445" xr:uid="{67C1892E-943A-48A9-A93F-C8A022EDA57F}"/>
    <cellStyle name="Text 1 3" xfId="9177" xr:uid="{00000000-0005-0000-0000-000077110000}"/>
    <cellStyle name="Text 1 4" xfId="39469" xr:uid="{B27086DD-1314-4B8A-90A6-4C96A31DA660}"/>
    <cellStyle name="Text Head 1" xfId="5442" xr:uid="{00000000-0005-0000-0000-00006A150000}"/>
    <cellStyle name="Text Head 1 2" xfId="10957" xr:uid="{00000000-0005-0000-0000-0000B2220000}"/>
    <cellStyle name="Text Head 1 2 2" xfId="23736" xr:uid="{C653D088-A257-4BAE-9961-9EC7DEFDADE0}"/>
    <cellStyle name="Text Head 1 2 3" xfId="43446" xr:uid="{8A306F54-A948-4987-A8CA-3E441599718E}"/>
    <cellStyle name="Text Head 1 3" xfId="9178" xr:uid="{00000000-0005-0000-0000-000078110000}"/>
    <cellStyle name="Text Head 1 4" xfId="39470" xr:uid="{034B6F3F-5150-4BDA-94C5-F7342F4B32D5}"/>
    <cellStyle name="Text Indent A" xfId="5443" xr:uid="{00000000-0005-0000-0000-00006B150000}"/>
    <cellStyle name="Text Indent A 2" xfId="10958" xr:uid="{00000000-0005-0000-0000-0000B3220000}"/>
    <cellStyle name="Text Indent A 2 2" xfId="43447" xr:uid="{CBF1A2B7-AB84-4B4A-B7A2-AAD542F5DDE4}"/>
    <cellStyle name="Text Indent A 3" xfId="9179" xr:uid="{00000000-0005-0000-0000-000079110000}"/>
    <cellStyle name="Text Indent A 4" xfId="39471" xr:uid="{9B3AA0FF-406B-4F4D-9F34-6C4C42C6B8AE}"/>
    <cellStyle name="Text Indent B" xfId="5444" xr:uid="{00000000-0005-0000-0000-00006C150000}"/>
    <cellStyle name="Text Indent B 2" xfId="10959" xr:uid="{00000000-0005-0000-0000-0000B4220000}"/>
    <cellStyle name="Text Indent B 2 2" xfId="43448" xr:uid="{47FD452F-380E-47B0-AD0E-9F3FC9199BD2}"/>
    <cellStyle name="Text Indent B 3" xfId="9180" xr:uid="{00000000-0005-0000-0000-00007A110000}"/>
    <cellStyle name="Text Indent B 4" xfId="39472" xr:uid="{B0508B02-ADB8-4A30-A616-31F20F836E6D}"/>
    <cellStyle name="Text Indent C" xfId="5445" xr:uid="{00000000-0005-0000-0000-00006D150000}"/>
    <cellStyle name="Text Indent C 2" xfId="10960" xr:uid="{00000000-0005-0000-0000-0000B5220000}"/>
    <cellStyle name="Text Indent C 2 2" xfId="43449" xr:uid="{A28A4A2F-94BF-4294-8296-E95789AEBECF}"/>
    <cellStyle name="Text Indent C 3" xfId="9186" xr:uid="{00000000-0005-0000-0000-00007B110000}"/>
    <cellStyle name="Text Indent C 4" xfId="39473" xr:uid="{C1EE1DAF-FD71-4043-99F2-D4E141C2C503}"/>
    <cellStyle name="Text Wrap" xfId="5446" xr:uid="{00000000-0005-0000-0000-00006E150000}"/>
    <cellStyle name="Text Wrap 2" xfId="10961" xr:uid="{00000000-0005-0000-0000-0000B6220000}"/>
    <cellStyle name="Text Wrap 2 2" xfId="23737" xr:uid="{1E2C70CB-CBA0-4BDE-BFC8-C917B0D3CD66}"/>
    <cellStyle name="Text Wrap 2 3" xfId="43450" xr:uid="{1BC42899-52BD-4EBD-9933-F69CDD8F7B58}"/>
    <cellStyle name="Text Wrap 3" xfId="9187" xr:uid="{00000000-0005-0000-0000-00007C110000}"/>
    <cellStyle name="Text Wrap 4" xfId="39474" xr:uid="{5B2973EC-F675-47F7-A396-DD6E7D96141F}"/>
    <cellStyle name="Time" xfId="5447" xr:uid="{00000000-0005-0000-0000-00006F150000}"/>
    <cellStyle name="Time 2" xfId="10962" xr:uid="{00000000-0005-0000-0000-0000B7220000}"/>
    <cellStyle name="Time 2 2" xfId="43451" xr:uid="{CBA8FB43-2653-4D02-AEAC-F8DFA3518AEB}"/>
    <cellStyle name="Time 3" xfId="9188" xr:uid="{00000000-0005-0000-0000-00007D110000}"/>
    <cellStyle name="Time 4" xfId="39475" xr:uid="{B09827B1-904D-4112-83C5-0E6AC61E6E2E}"/>
    <cellStyle name="Times 10" xfId="5448" xr:uid="{00000000-0005-0000-0000-000070150000}"/>
    <cellStyle name="Times 10 2" xfId="10963" xr:uid="{00000000-0005-0000-0000-0000B8220000}"/>
    <cellStyle name="Times 10 2 2" xfId="43452" xr:uid="{96035E13-50CC-4DAE-8E5A-FC837B9C93EA}"/>
    <cellStyle name="Times 10 3" xfId="9189" xr:uid="{00000000-0005-0000-0000-00007E110000}"/>
    <cellStyle name="Times 10 4" xfId="39476" xr:uid="{84AA7930-D339-4B0F-B41E-FA0CB50F849C}"/>
    <cellStyle name="Times 12" xfId="5449" xr:uid="{00000000-0005-0000-0000-000071150000}"/>
    <cellStyle name="Times 12 2" xfId="10964" xr:uid="{00000000-0005-0000-0000-0000B9220000}"/>
    <cellStyle name="Times 12 2 2" xfId="43453" xr:uid="{6204D3ED-7A09-4D78-85FC-A2392C94D2E2}"/>
    <cellStyle name="Times 12 3" xfId="9190" xr:uid="{00000000-0005-0000-0000-00007F110000}"/>
    <cellStyle name="Times 12 4" xfId="39477" xr:uid="{E904C585-ACC2-4462-A059-38072A5B4F38}"/>
    <cellStyle name="Times New Roman" xfId="5450" xr:uid="{00000000-0005-0000-0000-000072150000}"/>
    <cellStyle name="Times New Roman 2" xfId="10965" xr:uid="{00000000-0005-0000-0000-0000BA220000}"/>
    <cellStyle name="Times New Roman 2 2" xfId="43454" xr:uid="{FF8D457E-7481-474B-A3DF-72C2339FDE7B}"/>
    <cellStyle name="Times New Roman 3" xfId="9191" xr:uid="{00000000-0005-0000-0000-000080110000}"/>
    <cellStyle name="Times New Roman 4" xfId="39478" xr:uid="{1095BFF5-3B31-4A33-A33C-36350617EF41}"/>
    <cellStyle name="Title 2" xfId="5451" xr:uid="{00000000-0005-0000-0000-000073150000}"/>
    <cellStyle name="Title 2 2" xfId="5452" xr:uid="{00000000-0005-0000-0000-000074150000}"/>
    <cellStyle name="Title 2 2 2" xfId="10967" xr:uid="{00000000-0005-0000-0000-0000BC220000}"/>
    <cellStyle name="Title 2 2 2 2" xfId="43456" xr:uid="{27B93D7D-7055-43C2-8216-86EC920E2BC2}"/>
    <cellStyle name="Title 2 2 3" xfId="9193" xr:uid="{00000000-0005-0000-0000-000082110000}"/>
    <cellStyle name="Title 2 2 4" xfId="39480" xr:uid="{44D2135E-5296-4F20-83B6-B892E5D782A4}"/>
    <cellStyle name="Title 2 3" xfId="10966" xr:uid="{00000000-0005-0000-0000-0000BB220000}"/>
    <cellStyle name="Title 2 3 2" xfId="43455" xr:uid="{179E2916-5006-4502-80D0-C89DB7A7515F}"/>
    <cellStyle name="Title 2 4" xfId="9192" xr:uid="{00000000-0005-0000-0000-000081110000}"/>
    <cellStyle name="Title 2 5" xfId="39479" xr:uid="{B78F5F98-9D8E-4F6A-AAE9-B16CB0F14AD4}"/>
    <cellStyle name="Title 3" xfId="5453" xr:uid="{00000000-0005-0000-0000-000075150000}"/>
    <cellStyle name="Title 3 2" xfId="10968" xr:uid="{00000000-0005-0000-0000-0000BD220000}"/>
    <cellStyle name="Title 3 2 2" xfId="43457" xr:uid="{40A230DC-B0BE-4B2A-BC86-B50F98F9E97D}"/>
    <cellStyle name="Title 3 3" xfId="9194" xr:uid="{00000000-0005-0000-0000-000083110000}"/>
    <cellStyle name="Title 3 4" xfId="39481" xr:uid="{93F027CF-4647-4964-B04E-BB27BD9DD27F}"/>
    <cellStyle name="Title 4" xfId="5562" xr:uid="{00000000-0005-0000-0000-000076150000}"/>
    <cellStyle name="title1" xfId="5454" xr:uid="{00000000-0005-0000-0000-000077150000}"/>
    <cellStyle name="title1 2" xfId="10969" xr:uid="{00000000-0005-0000-0000-0000BE220000}"/>
    <cellStyle name="title1 2 2" xfId="43458" xr:uid="{4FEBCBAE-0CFF-4D28-B54D-1EA491B6B533}"/>
    <cellStyle name="title1 3" xfId="9195" xr:uid="{00000000-0005-0000-0000-000084110000}"/>
    <cellStyle name="title1 4" xfId="39482" xr:uid="{09E4DDE4-5F92-432F-9211-8B00E593A565}"/>
    <cellStyle name="title2" xfId="5455" xr:uid="{00000000-0005-0000-0000-000078150000}"/>
    <cellStyle name="Title-2" xfId="5456" xr:uid="{00000000-0005-0000-0000-000079150000}"/>
    <cellStyle name="title2 10" xfId="12932" xr:uid="{00000000-0005-0000-0000-000006240000}"/>
    <cellStyle name="Title-2 10" xfId="12933" xr:uid="{00000000-0005-0000-0000-000007240000}"/>
    <cellStyle name="title2 10 2" xfId="45403" xr:uid="{16B518F1-3FC4-4024-ACAE-9ADA04DCBF5F}"/>
    <cellStyle name="Title-2 10 2" xfId="45404" xr:uid="{43994A48-6B28-4ABA-B5F1-E41B8B3425EA}"/>
    <cellStyle name="title2 10 3" xfId="48533" xr:uid="{8FD02FAD-4C58-4EFE-A89E-31C35C8DB848}"/>
    <cellStyle name="Title-2 10 3" xfId="48534" xr:uid="{5336995D-0673-4DF4-BFC5-EC6D0B999D9D}"/>
    <cellStyle name="title2 10 4" xfId="41680" xr:uid="{4E4CAD1D-C301-4DD5-B409-8C044FD75E94}"/>
    <cellStyle name="Title-2 10 4" xfId="41681" xr:uid="{DA16861D-AB47-46D6-810E-4FD91C07DC3D}"/>
    <cellStyle name="title2 10 5" xfId="49015" xr:uid="{A08C6E69-D264-493C-8553-865D039FC33E}"/>
    <cellStyle name="Title-2 10 5" xfId="49016" xr:uid="{136365ED-CB2E-4F5A-B52E-8D53813B5847}"/>
    <cellStyle name="title2 10 6" xfId="49244" xr:uid="{42F5D90B-809B-49B4-A85A-DCA2A7FD1D97}"/>
    <cellStyle name="Title-2 10 6" xfId="49245" xr:uid="{B94E10BB-39D9-4D46-84A2-387C38EA8381}"/>
    <cellStyle name="title2 10 7" xfId="49535" xr:uid="{FB284657-582C-4432-9023-BA650E020AD1}"/>
    <cellStyle name="Title-2 10 7" xfId="49536" xr:uid="{A6540B9A-F314-461D-B54D-9C27E4881664}"/>
    <cellStyle name="title2 10 8" xfId="49776" xr:uid="{D2E592C7-41E0-474F-A1C2-160B15D43A27}"/>
    <cellStyle name="Title-2 10 8" xfId="49777" xr:uid="{CE66182E-7D16-4854-930E-2619D7F18703}"/>
    <cellStyle name="title2 10 9" xfId="50129" xr:uid="{CA271388-F7CC-420B-AA34-FA7237B3C7AD}"/>
    <cellStyle name="Title-2 10 9" xfId="50130" xr:uid="{C633B2FE-6F10-4CC0-AF09-0040DECBD9B1}"/>
    <cellStyle name="title2 11" xfId="12935" xr:uid="{00000000-0005-0000-0000-000038240000}"/>
    <cellStyle name="Title-2 11" xfId="12936" xr:uid="{00000000-0005-0000-0000-000039240000}"/>
    <cellStyle name="title2 11 2" xfId="45406" xr:uid="{6EAFA6C8-0BE5-4BC7-B857-BB1652547254}"/>
    <cellStyle name="Title-2 11 2" xfId="45407" xr:uid="{7E151EE9-B702-44AC-9A81-5F996D065F0F}"/>
    <cellStyle name="title2 11 3" xfId="48535" xr:uid="{1C7D9E9A-CE8E-41C6-BF3D-D30D60FE87F0}"/>
    <cellStyle name="Title-2 11 3" xfId="48536" xr:uid="{3AD73084-5258-4E41-B519-E7D47E385781}"/>
    <cellStyle name="title2 11 4" xfId="41682" xr:uid="{D54ABE75-FA88-4003-9207-109E00AC6D20}"/>
    <cellStyle name="Title-2 11 4" xfId="41683" xr:uid="{1C77DAC3-F3E9-4336-BFF1-D500210A605C}"/>
    <cellStyle name="title2 11 5" xfId="49017" xr:uid="{9CA59158-FF76-4158-9516-1553D10290B5}"/>
    <cellStyle name="Title-2 11 5" xfId="49018" xr:uid="{123D1AAE-522D-4E7C-A652-61D60A5F8D49}"/>
    <cellStyle name="title2 11 6" xfId="49246" xr:uid="{BE07C822-D4E3-45B5-8407-F82EDB59570A}"/>
    <cellStyle name="Title-2 11 6" xfId="49247" xr:uid="{3315D7C4-0C3D-4658-8FC7-FB08F0E312E2}"/>
    <cellStyle name="title2 11 7" xfId="49537" xr:uid="{821AF955-C73B-40E6-8CFC-B27945240B42}"/>
    <cellStyle name="Title-2 11 7" xfId="49538" xr:uid="{D491E35D-C5BE-4E36-B217-0FFB07529BA2}"/>
    <cellStyle name="title2 11 8" xfId="49778" xr:uid="{39F5CBA2-2B58-407F-820D-5227905CE63C}"/>
    <cellStyle name="Title-2 11 8" xfId="49779" xr:uid="{FA185A76-DDE2-4E73-84B4-53AFF40A2600}"/>
    <cellStyle name="title2 11 9" xfId="50131" xr:uid="{7AFEED7D-DCFB-4F07-B4A7-D583F848E7C2}"/>
    <cellStyle name="Title-2 11 9" xfId="50132" xr:uid="{98E274EF-C923-4949-81B8-B52C11CDF6E0}"/>
    <cellStyle name="title2 12" xfId="12938" xr:uid="{00000000-0005-0000-0000-00006E240000}"/>
    <cellStyle name="Title-2 12" xfId="12939" xr:uid="{00000000-0005-0000-0000-00006F240000}"/>
    <cellStyle name="title2 12 2" xfId="45409" xr:uid="{21018D25-3928-488A-B7EF-0BFF13DA47A8}"/>
    <cellStyle name="Title-2 12 2" xfId="45410" xr:uid="{CE1F8A47-B2A1-42EA-93CF-0AE6EED4DC80}"/>
    <cellStyle name="title2 12 3" xfId="48537" xr:uid="{2BA4074D-661A-44B4-94C3-6E002E4537E2}"/>
    <cellStyle name="Title-2 12 3" xfId="48538" xr:uid="{4192280C-06CA-44D3-979B-20BE068CD14C}"/>
    <cellStyle name="title2 12 4" xfId="41684" xr:uid="{779B5508-E291-494D-91C3-5E715F7C01A1}"/>
    <cellStyle name="Title-2 12 4" xfId="41685" xr:uid="{B7408FB0-82D6-40E9-B022-5101BD943CCA}"/>
    <cellStyle name="title2 12 5" xfId="49019" xr:uid="{FC1DFCBE-6D66-4588-8F89-B19258B490F6}"/>
    <cellStyle name="Title-2 12 5" xfId="49020" xr:uid="{27DAF109-20DC-4CFE-AFCC-091D4E81C035}"/>
    <cellStyle name="title2 12 6" xfId="49248" xr:uid="{3EB602EC-007F-4AE3-9DF1-D57FA38E8FEB}"/>
    <cellStyle name="Title-2 12 6" xfId="49249" xr:uid="{BF4AD3DF-D496-462B-8114-62C1E39C0EA1}"/>
    <cellStyle name="title2 12 7" xfId="49539" xr:uid="{49CDA945-B456-480B-AEF7-CA4894B33424}"/>
    <cellStyle name="Title-2 12 7" xfId="49540" xr:uid="{2A73DCC6-2B97-4429-8B31-7E959EF1E4DE}"/>
    <cellStyle name="title2 12 8" xfId="49780" xr:uid="{62D49521-E960-483E-BBB3-DF98BD0D1DA4}"/>
    <cellStyle name="Title-2 12 8" xfId="49781" xr:uid="{03A755D8-C1EE-4A18-9D1D-18467131D77F}"/>
    <cellStyle name="title2 12 9" xfId="50133" xr:uid="{49814D40-FE1D-4E37-8B32-B9607776A90E}"/>
    <cellStyle name="Title-2 12 9" xfId="50134" xr:uid="{5E459CE7-E2B8-4F2D-A0F3-8D22CFE19050}"/>
    <cellStyle name="title2 13" xfId="12941" xr:uid="{00000000-0005-0000-0000-0000A8240000}"/>
    <cellStyle name="Title-2 13" xfId="12942" xr:uid="{00000000-0005-0000-0000-0000A9240000}"/>
    <cellStyle name="title2 13 2" xfId="45412" xr:uid="{34AD1349-9FE5-4DD5-8351-7C82D2825732}"/>
    <cellStyle name="Title-2 13 2" xfId="45413" xr:uid="{B962E736-3F87-445D-AD0B-7960DD348EB6}"/>
    <cellStyle name="title2 13 3" xfId="48539" xr:uid="{E2CE1E4A-9BCE-44DB-93FB-D30C15013F89}"/>
    <cellStyle name="Title-2 13 3" xfId="48540" xr:uid="{6D85AE4B-8CF4-4B94-8333-D76872DE8609}"/>
    <cellStyle name="title2 13 4" xfId="15693" xr:uid="{DCB3EAFA-70DC-44A5-BB78-9B03F1788313}"/>
    <cellStyle name="Title-2 13 4" xfId="41687" xr:uid="{8F64A3BC-71A2-469F-88E8-52E09DED2F11}"/>
    <cellStyle name="title2 13 5" xfId="49021" xr:uid="{DAF7C2C5-D6FD-4FE0-840C-0F51827FFB65}"/>
    <cellStyle name="Title-2 13 5" xfId="49022" xr:uid="{D09D926F-621A-4029-88F4-900D0CD76614}"/>
    <cellStyle name="title2 13 6" xfId="49250" xr:uid="{6D648B68-F913-42CA-9D19-C61EFCAFAFD2}"/>
    <cellStyle name="Title-2 13 6" xfId="49251" xr:uid="{441ACEAC-C96A-4F35-AA96-84D74FDA6F05}"/>
    <cellStyle name="title2 13 7" xfId="49541" xr:uid="{5AA2FA4E-ABE7-4345-BF92-59ABCED3CAD0}"/>
    <cellStyle name="Title-2 13 7" xfId="49542" xr:uid="{CC26A8E4-5B12-4E67-9D70-DFB9C418F9E6}"/>
    <cellStyle name="title2 13 8" xfId="49782" xr:uid="{984EEB0F-2A9A-4E46-8749-46A6B517E5B8}"/>
    <cellStyle name="Title-2 13 8" xfId="49783" xr:uid="{F628B07C-FD55-444C-A121-8562DBD39E09}"/>
    <cellStyle name="title2 13 9" xfId="50135" xr:uid="{4C6A770F-6C4A-4BF9-9454-037B21ED0C08}"/>
    <cellStyle name="Title-2 13 9" xfId="50136" xr:uid="{47903E33-360D-4E33-8AA4-535519615132}"/>
    <cellStyle name="title2 14" xfId="12944" xr:uid="{00000000-0005-0000-0000-0000E6240000}"/>
    <cellStyle name="Title-2 14" xfId="12945" xr:uid="{00000000-0005-0000-0000-0000E7240000}"/>
    <cellStyle name="title2 14 2" xfId="45415" xr:uid="{5CB9874D-3EA5-41FB-A0B8-767BA6E46D6A}"/>
    <cellStyle name="Title-2 14 2" xfId="45416" xr:uid="{36148A80-51BA-45F5-9A16-6762895D9CCD}"/>
    <cellStyle name="title2 14 3" xfId="48541" xr:uid="{3E4A411B-F04A-4B3B-B270-26B286CCE383}"/>
    <cellStyle name="Title-2 14 3" xfId="48542" xr:uid="{75BC80E0-CBDD-416C-901A-3C877EAFBD9E}"/>
    <cellStyle name="title2 14 4" xfId="41902" xr:uid="{56FF37E7-D76A-4E59-9BB1-478724C3B890}"/>
    <cellStyle name="Title-2 14 4" xfId="41704" xr:uid="{B571DE4A-F609-4F42-B43F-C4E003DF1F8F}"/>
    <cellStyle name="title2 14 5" xfId="49024" xr:uid="{20D25575-08DE-42AE-9BB2-2EA45F3BCB1E}"/>
    <cellStyle name="Title-2 14 5" xfId="49025" xr:uid="{29934D33-13AD-48D1-A99A-285779981F7D}"/>
    <cellStyle name="title2 14 6" xfId="49253" xr:uid="{FC87F742-BAF3-4521-A6BF-4A37C40E18EC}"/>
    <cellStyle name="Title-2 14 6" xfId="49254" xr:uid="{B281C89B-4DE1-4B69-B590-352567BF4CD1}"/>
    <cellStyle name="title2 14 7" xfId="49543" xr:uid="{35A14A2B-6000-484E-ABBC-3FC78967E5B0}"/>
    <cellStyle name="Title-2 14 7" xfId="49544" xr:uid="{6285BFBC-54BD-4187-A3B5-5A398275F660}"/>
    <cellStyle name="title2 14 8" xfId="49784" xr:uid="{988B1413-F9F0-46B3-8EC8-0DCEB014B988}"/>
    <cellStyle name="Title-2 14 8" xfId="49785" xr:uid="{234EB695-8217-46B3-9C29-981B499CAA99}"/>
    <cellStyle name="title2 14 9" xfId="50137" xr:uid="{71DECAE7-149D-44D8-A5BF-39D36909DACB}"/>
    <cellStyle name="Title-2 14 9" xfId="50138" xr:uid="{633811CD-BC06-413A-9E3C-1E5DF7A5E434}"/>
    <cellStyle name="title2 15" xfId="12947" xr:uid="{00000000-0005-0000-0000-000028250000}"/>
    <cellStyle name="Title-2 15" xfId="12948" xr:uid="{00000000-0005-0000-0000-000029250000}"/>
    <cellStyle name="title2 15 2" xfId="45418" xr:uid="{D8F063E0-D160-4FB3-AB28-061C8561011F}"/>
    <cellStyle name="Title-2 15 2" xfId="45419" xr:uid="{6E6FB8F3-F346-47BF-A02C-97DA6833FEE8}"/>
    <cellStyle name="title2 15 3" xfId="48544" xr:uid="{AFB10202-D9AF-4ABE-8462-15F055F850BC}"/>
    <cellStyle name="Title-2 15 3" xfId="48545" xr:uid="{5F200FA7-9188-4A28-9E64-82B5846CE5CC}"/>
    <cellStyle name="title2 15 4" xfId="41705" xr:uid="{39388098-DA63-4810-A92E-07E2D0B7202A}"/>
    <cellStyle name="Title-2 15 4" xfId="41707" xr:uid="{96701436-61FE-4C20-A5DC-A88B2164D84A}"/>
    <cellStyle name="title2 15 5" xfId="49027" xr:uid="{87F176C2-A2B8-45F5-B319-279D23A97052}"/>
    <cellStyle name="Title-2 15 5" xfId="49028" xr:uid="{7C63D297-91B5-46E1-B934-6DC31F202996}"/>
    <cellStyle name="title2 15 6" xfId="49256" xr:uid="{DD71E147-B79A-49B5-ADA9-ED9F39A863ED}"/>
    <cellStyle name="Title-2 15 6" xfId="49257" xr:uid="{D3072B53-CAE3-4262-B7D5-385CCD398BB1}"/>
    <cellStyle name="title2 15 7" xfId="49546" xr:uid="{12D315EB-2D68-412B-8011-71F16A7672D7}"/>
    <cellStyle name="Title-2 15 7" xfId="49547" xr:uid="{2A9D961A-3350-4EA3-B0DF-FD2802C305A1}"/>
    <cellStyle name="title2 15 8" xfId="49787" xr:uid="{19F0D25F-51DB-4BAA-826E-87F96CC47F3D}"/>
    <cellStyle name="Title-2 15 8" xfId="49788" xr:uid="{36981709-D097-4DD0-B573-72BF564E7043}"/>
    <cellStyle name="title2 15 9" xfId="50140" xr:uid="{ED7FC7EE-B0BE-4920-8F4B-4F4B2F8A2A1E}"/>
    <cellStyle name="Title-2 15 9" xfId="50141" xr:uid="{8E93BC20-AAE1-4EEB-9048-F74875AE2D2B}"/>
    <cellStyle name="title2 16" xfId="12949" xr:uid="{00000000-0005-0000-0000-00006E250000}"/>
    <cellStyle name="Title-2 16" xfId="12950" xr:uid="{00000000-0005-0000-0000-00006F250000}"/>
    <cellStyle name="title2 16 2" xfId="45420" xr:uid="{92A987DF-2C3E-472D-BD79-47F02AD0B554}"/>
    <cellStyle name="Title-2 16 2" xfId="45421" xr:uid="{19FAD289-B463-49BB-AD3F-82726896AF89}"/>
    <cellStyle name="title2 16 3" xfId="48546" xr:uid="{4073616B-D050-4163-936E-8B954C4C0A03}"/>
    <cellStyle name="Title-2 16 3" xfId="48547" xr:uid="{393126CB-AF8B-4456-AFA4-C24F5ABE61F3}"/>
    <cellStyle name="title2 16 4" xfId="15691" xr:uid="{2A2E2578-1922-4D40-893E-49E90535F2C1}"/>
    <cellStyle name="Title-2 16 4" xfId="41710" xr:uid="{7A308E11-261C-4D9D-A28C-941F31368788}"/>
    <cellStyle name="title2 16 5" xfId="49029" xr:uid="{203C0CEE-7A26-4343-8361-1570098DE92B}"/>
    <cellStyle name="Title-2 16 5" xfId="49030" xr:uid="{406934D6-6414-4C3A-945B-EA49C6700732}"/>
    <cellStyle name="title2 16 6" xfId="49258" xr:uid="{67D87FBA-DF96-4C9D-99B6-F593977B9E0B}"/>
    <cellStyle name="Title-2 16 6" xfId="49259" xr:uid="{AA81E12D-AC7C-4045-9C98-7A20D155B16D}"/>
    <cellStyle name="title2 16 7" xfId="49548" xr:uid="{B5A36912-4F2A-48DD-8CC0-B5F0DBE4F426}"/>
    <cellStyle name="Title-2 16 7" xfId="49549" xr:uid="{5BE2DB5E-11C7-43DE-8584-9570C72FC8F5}"/>
    <cellStyle name="title2 16 8" xfId="49789" xr:uid="{6835CED1-340C-4795-896B-C970F8BDA41D}"/>
    <cellStyle name="Title-2 16 8" xfId="49790" xr:uid="{A569F006-F237-440B-9233-131E91361ADE}"/>
    <cellStyle name="title2 16 9" xfId="50142" xr:uid="{887A5521-B172-43F0-859B-1E007317EF7A}"/>
    <cellStyle name="Title-2 16 9" xfId="50143" xr:uid="{AD665057-0CCD-404E-AA0C-365B608E3F24}"/>
    <cellStyle name="title2 17" xfId="12951" xr:uid="{00000000-0005-0000-0000-0000B8250000}"/>
    <cellStyle name="Title-2 17" xfId="12952" xr:uid="{00000000-0005-0000-0000-0000B9250000}"/>
    <cellStyle name="title2 17 2" xfId="45422" xr:uid="{989FCF9C-8F54-499C-AB31-DF38E493D5BC}"/>
    <cellStyle name="Title-2 17 2" xfId="45423" xr:uid="{15E12253-200C-4905-8CFC-6BCA5F9159D0}"/>
    <cellStyle name="title2 17 3" xfId="48548" xr:uid="{8F261F85-DE5B-45C6-BCE8-151721EE21B3}"/>
    <cellStyle name="Title-2 17 3" xfId="48549" xr:uid="{FB19E795-71DC-49F3-A72B-B3976AF16686}"/>
    <cellStyle name="title2 17 4" xfId="41716" xr:uid="{2530F462-C1EF-42AB-967B-91B1925066D4}"/>
    <cellStyle name="Title-2 17 4" xfId="15618" xr:uid="{3099E003-24CF-46CA-8C69-AD438816527A}"/>
    <cellStyle name="title2 17 5" xfId="49031" xr:uid="{51827C4F-FBE0-47A7-92F7-381A3DBC4C98}"/>
    <cellStyle name="Title-2 17 5" xfId="49032" xr:uid="{55D33D5C-E59F-4A73-8299-1500BDF52893}"/>
    <cellStyle name="title2 17 6" xfId="49260" xr:uid="{F4823771-978A-4925-9DC6-95785368B219}"/>
    <cellStyle name="Title-2 17 6" xfId="49261" xr:uid="{EEA8ABCF-FA63-45E8-964D-15C84AFE4813}"/>
    <cellStyle name="title2 17 7" xfId="49550" xr:uid="{A01FE816-5635-4DBF-96C1-BE527054EE98}"/>
    <cellStyle name="Title-2 17 7" xfId="49551" xr:uid="{3118EF00-D3BE-477E-A1DD-E29A318E8195}"/>
    <cellStyle name="title2 17 8" xfId="49791" xr:uid="{EA434153-ACF6-4B5E-BD4E-18DF78C8CDC8}"/>
    <cellStyle name="Title-2 17 8" xfId="49792" xr:uid="{1287886F-74F4-4F0B-BC13-DFAB60DD6974}"/>
    <cellStyle name="title2 17 9" xfId="50144" xr:uid="{B05E6D64-7439-4054-ABCA-3B17B7795406}"/>
    <cellStyle name="Title-2 17 9" xfId="50145" xr:uid="{27199FAF-983B-4812-A4B6-6AAA2C2F3DB1}"/>
    <cellStyle name="title2 18" xfId="12955" xr:uid="{00000000-0005-0000-0000-000006260000}"/>
    <cellStyle name="Title-2 18" xfId="12956" xr:uid="{00000000-0005-0000-0000-000007260000}"/>
    <cellStyle name="title2 18 2" xfId="45426" xr:uid="{2C677537-817B-4D21-9ECF-4084CEBBA74F}"/>
    <cellStyle name="Title-2 18 2" xfId="45427" xr:uid="{4AEB9BBF-9D23-47EA-A115-6E4C20BF2C6C}"/>
    <cellStyle name="title2 18 3" xfId="48551" xr:uid="{A2B54423-E4FF-407D-92D0-A46C4E7BAE6A}"/>
    <cellStyle name="Title-2 18 3" xfId="48552" xr:uid="{9BDBE282-974B-4E1B-BDDE-062E5A0C6A81}"/>
    <cellStyle name="title2 18 4" xfId="15690" xr:uid="{373D5FC0-8968-4AD0-BE32-6A8774332ABC}"/>
    <cellStyle name="Title-2 18 4" xfId="41717" xr:uid="{8EF2E827-A33F-4E47-A931-7BB55D6FE092}"/>
    <cellStyle name="title2 18 5" xfId="49035" xr:uid="{D0C277FB-5692-40C8-9802-6F17FC54BE3F}"/>
    <cellStyle name="Title-2 18 5" xfId="49036" xr:uid="{7D67B9DE-2213-4923-A593-324BC260266F}"/>
    <cellStyle name="title2 18 6" xfId="49262" xr:uid="{FFB3E838-FB72-4A2F-90FA-2B7887858E2D}"/>
    <cellStyle name="Title-2 18 6" xfId="49263" xr:uid="{877A0073-B781-432B-B3EA-21A9D9A65555}"/>
    <cellStyle name="title2 18 7" xfId="49552" xr:uid="{75FFAA8C-3562-491A-9073-F79ADA2B9A02}"/>
    <cellStyle name="Title-2 18 7" xfId="49553" xr:uid="{4A2D8E92-9B84-4BCF-9A4D-25FDC688A34C}"/>
    <cellStyle name="title2 18 8" xfId="49793" xr:uid="{0F70E859-BA17-426C-9B6C-C21926F0EC28}"/>
    <cellStyle name="Title-2 18 8" xfId="49794" xr:uid="{7C952534-9BEF-4B90-BB29-EE5E4C2A7633}"/>
    <cellStyle name="title2 18 9" xfId="50146" xr:uid="{F4BC660E-08F2-4BA9-9B13-FF2DA6F6713C}"/>
    <cellStyle name="Title-2 18 9" xfId="50147" xr:uid="{9428D634-F063-479E-8C65-CC07BA1BF5DF}"/>
    <cellStyle name="title2 19" xfId="12957" xr:uid="{00000000-0005-0000-0000-000058260000}"/>
    <cellStyle name="Title-2 19" xfId="12958" xr:uid="{00000000-0005-0000-0000-000059260000}"/>
    <cellStyle name="title2 19 2" xfId="45428" xr:uid="{577512E4-A4FE-421C-99F9-56B64EEA9047}"/>
    <cellStyle name="Title-2 19 2" xfId="45429" xr:uid="{C5FCFA17-52B2-424B-8FC2-647C2971F742}"/>
    <cellStyle name="title2 19 3" xfId="48553" xr:uid="{312AD178-55C8-450B-9578-C6433167A74E}"/>
    <cellStyle name="Title-2 19 3" xfId="48554" xr:uid="{C7CF8C7F-EFCC-4104-ACB4-177689EB15B8}"/>
    <cellStyle name="title2 19 4" xfId="15689" xr:uid="{07E6E5C2-A354-4C8D-BE8B-8B1CA2CF00C7}"/>
    <cellStyle name="Title-2 19 4" xfId="41718" xr:uid="{11510695-B876-413C-8690-67E4F0B197B8}"/>
    <cellStyle name="title2 19 5" xfId="49037" xr:uid="{BA8B069C-778B-48F5-B706-0DAFA20358A3}"/>
    <cellStyle name="Title-2 19 5" xfId="49038" xr:uid="{4F568217-86D6-4BD3-BAD3-606933E373AB}"/>
    <cellStyle name="title2 19 6" xfId="49264" xr:uid="{08839528-A435-4D1A-92F6-341B25BBACB6}"/>
    <cellStyle name="Title-2 19 6" xfId="49265" xr:uid="{1E8EDCA5-15F2-41F3-AD16-F7BF149C25A7}"/>
    <cellStyle name="title2 19 7" xfId="49554" xr:uid="{B779FA17-838B-4171-90AA-18137F38EDDE}"/>
    <cellStyle name="Title-2 19 7" xfId="49555" xr:uid="{0C87C8F2-D71C-499E-BE22-4EBAE00D8856}"/>
    <cellStyle name="title2 19 8" xfId="49795" xr:uid="{F304AE72-B050-4A44-ABBD-98F96F624169}"/>
    <cellStyle name="Title-2 19 8" xfId="49796" xr:uid="{2A2774D4-B35C-41CC-970E-8F07346F0E4C}"/>
    <cellStyle name="title2 19 9" xfId="50148" xr:uid="{0250C02B-C957-4061-9D79-1FE86D0F13B0}"/>
    <cellStyle name="Title-2 19 9" xfId="50149" xr:uid="{48352ED7-B55F-4B97-B6E1-4CB87E575F45}"/>
    <cellStyle name="title2 2" xfId="10970" xr:uid="{00000000-0005-0000-0000-0000BF220000}"/>
    <cellStyle name="Title-2 2" xfId="10971" xr:uid="{00000000-0005-0000-0000-0000C0220000}"/>
    <cellStyle name="title2 2 2" xfId="43459" xr:uid="{AEFC12E7-4493-40D9-9DD8-98E8AA899B14}"/>
    <cellStyle name="Title-2 2 2" xfId="43460" xr:uid="{CB49E86A-1F4A-4F9E-9C46-0FBFF3CB7720}"/>
    <cellStyle name="title2 2 3" xfId="47810" xr:uid="{9939C612-4B81-450B-A858-DE0DC48C38C3}"/>
    <cellStyle name="Title-2 2 3" xfId="47811" xr:uid="{71BBC9B3-9A5C-40D7-8F25-CBA814F1C4FF}"/>
    <cellStyle name="title2 2 4" xfId="48279" xr:uid="{EE4BF34F-4FD5-464C-BB30-41D970AA2CCD}"/>
    <cellStyle name="Title-2 2 4" xfId="46240" xr:uid="{E7722C90-A471-41A4-9EB6-4CC4DB5ECB49}"/>
    <cellStyle name="title2 2 5" xfId="47707" xr:uid="{D28AC3F4-0E6C-428A-B958-0322A40B32D6}"/>
    <cellStyle name="Title-2 2 5" xfId="41060" xr:uid="{6AB2246D-DC94-415E-8C59-185F332B4FAA}"/>
    <cellStyle name="title2 2 6" xfId="46677" xr:uid="{7C0467CA-139F-451C-B97C-65EEFC8E2D1A}"/>
    <cellStyle name="Title-2 2 6" xfId="47354" xr:uid="{A142ADC4-6B59-4390-BD76-CBE00F6D6DB6}"/>
    <cellStyle name="title2 2 7" xfId="47297" xr:uid="{0CF0F979-4327-4017-B46F-06457A64696D}"/>
    <cellStyle name="Title-2 2 7" xfId="38002" xr:uid="{F20262DA-49AE-4373-9BF8-C9E555615FAB}"/>
    <cellStyle name="title2 2 8" xfId="46980" xr:uid="{1B55EE62-701A-4FF2-AA58-90700C2A208B}"/>
    <cellStyle name="Title-2 2 8" xfId="37757" xr:uid="{DB77BF8A-7DA9-4F59-8ADE-795B0584438D}"/>
    <cellStyle name="title2 2 9" xfId="37794" xr:uid="{C82AEFB8-7212-4062-8420-29EDEB2ADDFD}"/>
    <cellStyle name="Title-2 2 9" xfId="46735" xr:uid="{FFDEB0A2-4009-4BD5-A82B-004C2BFB0C6E}"/>
    <cellStyle name="title2 20" xfId="12969" xr:uid="{00000000-0005-0000-0000-0000AE260000}"/>
    <cellStyle name="Title-2 20" xfId="12970" xr:uid="{00000000-0005-0000-0000-0000AF260000}"/>
    <cellStyle name="title2 20 2" xfId="45437" xr:uid="{7BBB6E82-1710-4DF8-B8CA-05DFC12D41C8}"/>
    <cellStyle name="Title-2 20 2" xfId="45438" xr:uid="{D40F7754-2EAF-4CF1-B71A-EBD5F6773051}"/>
    <cellStyle name="title2 20 3" xfId="48558" xr:uid="{D1B43EC1-F47A-42DA-B9C1-483250341E6B}"/>
    <cellStyle name="Title-2 20 3" xfId="48559" xr:uid="{9B70F8B7-ECBA-48B0-820E-BAEA5F6E2037}"/>
    <cellStyle name="title2 20 4" xfId="39555" xr:uid="{416DE504-CBA0-46D7-8FEC-FF4A241978D4}"/>
    <cellStyle name="Title-2 20 4" xfId="41734" xr:uid="{B377D145-B294-454F-B353-2EB62282333B}"/>
    <cellStyle name="title2 20 5" xfId="49041" xr:uid="{12F776CD-FEEF-450C-95CE-2F67D5FAE8CD}"/>
    <cellStyle name="Title-2 20 5" xfId="49042" xr:uid="{C0526CF3-3294-4A48-A6A0-94FDB24ECBEB}"/>
    <cellStyle name="title2 20 6" xfId="49267" xr:uid="{A6383438-FF20-4734-A1F4-59B94E021282}"/>
    <cellStyle name="Title-2 20 6" xfId="49268" xr:uid="{AA5ED2B8-E8D1-41E9-978A-DB5605F58024}"/>
    <cellStyle name="title2 20 7" xfId="49557" xr:uid="{B66C8C9F-2FF4-4DC8-BBC9-78753AE08A8F}"/>
    <cellStyle name="Title-2 20 7" xfId="49558" xr:uid="{2B579396-4888-469C-B688-68AEE566ED1B}"/>
    <cellStyle name="title2 20 8" xfId="49797" xr:uid="{F6000C2C-F73C-4DE6-963C-216D361DA90B}"/>
    <cellStyle name="Title-2 20 8" xfId="49798" xr:uid="{A5F51DE8-E8B7-4B2A-A377-6072289A8DEB}"/>
    <cellStyle name="title2 20 9" xfId="50150" xr:uid="{1DCE80B1-0CBC-427A-AD45-5D356475B635}"/>
    <cellStyle name="Title-2 20 9" xfId="50151" xr:uid="{C6006D3A-C84C-44BB-80E7-D1FF399DF60E}"/>
    <cellStyle name="title2 21" xfId="12971" xr:uid="{00000000-0005-0000-0000-000008270000}"/>
    <cellStyle name="Title-2 21" xfId="12972" xr:uid="{00000000-0005-0000-0000-000009270000}"/>
    <cellStyle name="title2 21 2" xfId="45439" xr:uid="{222BD074-857C-43D2-922A-B6E1236AC077}"/>
    <cellStyle name="Title-2 21 2" xfId="45440" xr:uid="{E88EDDB7-A9CC-4C24-9ECA-199CB16D1DDE}"/>
    <cellStyle name="title2 21 3" xfId="48560" xr:uid="{1399E92D-07AA-4411-A281-FD4B5EF604E9}"/>
    <cellStyle name="Title-2 21 3" xfId="48561" xr:uid="{4BD0B82E-F286-40A1-83F2-856827CC52AC}"/>
    <cellStyle name="title2 21 4" xfId="41735" xr:uid="{E5181BAE-06B3-43FB-9F5B-1E5072133CDB}"/>
    <cellStyle name="Title-2 21 4" xfId="15686" xr:uid="{3D004939-5AFD-442A-9FD4-21420C295BF3}"/>
    <cellStyle name="title2 21 5" xfId="49043" xr:uid="{DD4541B1-B955-48A8-AF01-8E4B2D9568F3}"/>
    <cellStyle name="Title-2 21 5" xfId="49044" xr:uid="{B63CA556-210E-4132-A0C6-69D0D55D8285}"/>
    <cellStyle name="title2 21 6" xfId="49269" xr:uid="{DD805EB3-21F2-4098-A315-F48C243A680D}"/>
    <cellStyle name="Title-2 21 6" xfId="49270" xr:uid="{3D9E6750-18BD-4980-B04E-D17C49BF378C}"/>
    <cellStyle name="title2 21 7" xfId="49559" xr:uid="{CC15C87F-04AC-4A76-89F0-D524602E6499}"/>
    <cellStyle name="Title-2 21 7" xfId="49560" xr:uid="{7E71BD11-DD3E-4491-B497-DC1AA8EF0C2A}"/>
    <cellStyle name="title2 21 8" xfId="49799" xr:uid="{6A920007-9705-4A83-A26F-F765B4916FE0}"/>
    <cellStyle name="Title-2 21 8" xfId="49800" xr:uid="{EED05741-4569-4B42-B03D-EEEF40344609}"/>
    <cellStyle name="title2 21 9" xfId="50152" xr:uid="{2346D885-0F1E-4A06-9AF5-E35CC94CD83E}"/>
    <cellStyle name="Title-2 21 9" xfId="50153" xr:uid="{55D61810-7961-4DA2-AFF9-953D308B3AC1}"/>
    <cellStyle name="title2 22" xfId="12976" xr:uid="{00000000-0005-0000-0000-000066270000}"/>
    <cellStyle name="Title-2 22" xfId="12977" xr:uid="{00000000-0005-0000-0000-000067270000}"/>
    <cellStyle name="title2 22 2" xfId="45444" xr:uid="{E975ED1A-C34D-4E8F-A3A5-EA4DAF5A0076}"/>
    <cellStyle name="Title-2 22 2" xfId="45445" xr:uid="{ADACAD2F-B438-4B8C-ADFB-ADB1E2161153}"/>
    <cellStyle name="title2 22 3" xfId="48563" xr:uid="{6F129423-E44E-457D-B9B7-413B51B6CB81}"/>
    <cellStyle name="Title-2 22 3" xfId="48564" xr:uid="{E4D44486-A21B-4114-96B5-526BE065A241}"/>
    <cellStyle name="title2 22 4" xfId="15688" xr:uid="{5311CC4B-B202-4647-96FE-84F240299AE6}"/>
    <cellStyle name="Title-2 22 4" xfId="41736" xr:uid="{B73FD378-3CE0-40CD-B9FD-B9640F40AB48}"/>
    <cellStyle name="title2 22 5" xfId="49045" xr:uid="{C04CAF10-06D3-4DBD-B79E-2E50B2561FFD}"/>
    <cellStyle name="Title-2 22 5" xfId="49046" xr:uid="{010246AD-88D5-4985-A415-5DA1DDEE42EF}"/>
    <cellStyle name="title2 22 6" xfId="49272" xr:uid="{E24FCF71-BAAC-4EF4-B79C-1EABF2287350}"/>
    <cellStyle name="Title-2 22 6" xfId="49273" xr:uid="{E44DEAA8-CE4A-4C44-BBB3-7B1EF4371CD3}"/>
    <cellStyle name="title2 22 7" xfId="49561" xr:uid="{5D26EF26-55A6-452F-A6F5-3459D46C4805}"/>
    <cellStyle name="Title-2 22 7" xfId="49562" xr:uid="{88ADBF8D-31CB-4EFE-BE1C-FADF29E48B38}"/>
    <cellStyle name="title2 22 8" xfId="49801" xr:uid="{274D821C-6BCC-4846-8B40-D7D7D7645BC9}"/>
    <cellStyle name="Title-2 22 8" xfId="49802" xr:uid="{74538E85-EB65-445B-9B47-9C6FE863123C}"/>
    <cellStyle name="title2 22 9" xfId="50154" xr:uid="{5EFBB8EA-E6C8-4ADC-AB53-4907FCAC7CB4}"/>
    <cellStyle name="Title-2 22 9" xfId="50155" xr:uid="{59B71287-0CCD-496D-9BC5-927B9330475C}"/>
    <cellStyle name="title2 23" xfId="12979" xr:uid="{00000000-0005-0000-0000-0000C8270000}"/>
    <cellStyle name="Title-2 23" xfId="12980" xr:uid="{00000000-0005-0000-0000-0000C9270000}"/>
    <cellStyle name="title2 23 2" xfId="45446" xr:uid="{9C1B2E2C-F503-4017-B3ED-818D0184FEF7}"/>
    <cellStyle name="Title-2 23 2" xfId="45447" xr:uid="{DEA1F437-EB90-439C-A9A1-4FB12EC14034}"/>
    <cellStyle name="title2 23 3" xfId="48565" xr:uid="{EA997854-DE64-4D0C-9101-DE083A06BFAE}"/>
    <cellStyle name="Title-2 23 3" xfId="48566" xr:uid="{D51D17BA-90E8-44A8-B634-895F733EE393}"/>
    <cellStyle name="title2 23 4" xfId="41737" xr:uid="{344DA0BE-3A17-48DC-9D4D-3B308DFA8A12}"/>
    <cellStyle name="Title-2 23 4" xfId="15677" xr:uid="{CBC57D70-532A-4689-96F6-A09D5355598B}"/>
    <cellStyle name="title2 23 5" xfId="49048" xr:uid="{D05D927F-89CC-4B48-9AEF-8D5D281C1548}"/>
    <cellStyle name="Title-2 23 5" xfId="49049" xr:uid="{89BDDE8C-F73D-4321-B740-93D5D5915971}"/>
    <cellStyle name="title2 23 6" xfId="49274" xr:uid="{E2C52645-D471-4FD2-AC09-7DD605EE7721}"/>
    <cellStyle name="Title-2 23 6" xfId="49275" xr:uid="{D2380086-CDA0-4021-B42E-F87B3E67B779}"/>
    <cellStyle name="title2 23 7" xfId="49563" xr:uid="{CCEA3A9E-308C-4566-AD6E-DEE5F8641ED5}"/>
    <cellStyle name="Title-2 23 7" xfId="49564" xr:uid="{6EA7FAD8-BB24-4584-959F-BF95FFE7FE67}"/>
    <cellStyle name="title2 23 8" xfId="49803" xr:uid="{66CC939E-269B-469F-95E2-A99C4B3C6F1E}"/>
    <cellStyle name="Title-2 23 8" xfId="49804" xr:uid="{56733CED-B551-435F-AFE2-E03C714CE05F}"/>
    <cellStyle name="title2 23 9" xfId="50156" xr:uid="{D729D19D-0F17-4696-B32B-3B075730EBE1}"/>
    <cellStyle name="Title-2 23 9" xfId="50157" xr:uid="{30AC33C5-1CBF-4448-9FE0-1325893F0F8A}"/>
    <cellStyle name="title2 24" xfId="9196" xr:uid="{00000000-0005-0000-0000-000085110000}"/>
    <cellStyle name="Title-2 24" xfId="9197" xr:uid="{00000000-0005-0000-0000-000086110000}"/>
    <cellStyle name="title2 25" xfId="13587" xr:uid="{00000000-0005-0000-0000-0000F1300000}"/>
    <cellStyle name="Title-2 25" xfId="13588" xr:uid="{00000000-0005-0000-0000-0000F2300000}"/>
    <cellStyle name="title2 25 2" xfId="46051" xr:uid="{C1534134-B860-483C-9578-34B762C55E5C}"/>
    <cellStyle name="Title-2 25 2" xfId="46052" xr:uid="{FCB9853F-7AAD-4685-9B15-17AA8C7B9E71}"/>
    <cellStyle name="title2 25 3" xfId="48795" xr:uid="{C9FED7F3-DB55-4F63-A240-DA4A6DEDAD0B}"/>
    <cellStyle name="Title-2 25 3" xfId="48796" xr:uid="{53BC1DE3-F4FB-470C-9364-0A8C1B485AEC}"/>
    <cellStyle name="title2 25 4" xfId="48957" xr:uid="{011D5D95-5120-49C8-A6B5-9EA81B198592}"/>
    <cellStyle name="Title-2 25 4" xfId="48958" xr:uid="{EFD41EC1-46DE-4313-B991-B727FE62CE77}"/>
    <cellStyle name="title2 25 5" xfId="49212" xr:uid="{A287794F-8310-4AFD-BA38-43A219098966}"/>
    <cellStyle name="Title-2 25 5" xfId="49213" xr:uid="{ACFC7AD9-CEC3-48FB-973C-ED39CC77F255}"/>
    <cellStyle name="title2 25 6" xfId="49410" xr:uid="{B5BA7149-6D81-4EF5-8656-4EEACDE53D46}"/>
    <cellStyle name="Title-2 25 6" xfId="49411" xr:uid="{21DAA0EF-FC3E-4AA9-B1CF-6BEFC458A9D3}"/>
    <cellStyle name="title2 25 7" xfId="49678" xr:uid="{42F10F7A-02D9-443B-8D29-B510255A8D16}"/>
    <cellStyle name="Title-2 25 7" xfId="49679" xr:uid="{D20EDC7D-538C-4E53-A7C5-573B16B1D401}"/>
    <cellStyle name="title2 25 8" xfId="49917" xr:uid="{9D6C08B0-1741-4538-AB96-EF571F0CBF67}"/>
    <cellStyle name="Title-2 25 8" xfId="49918" xr:uid="{54E59A28-6BB3-45EC-9D16-594B0D0B3578}"/>
    <cellStyle name="title2 25 9" xfId="50261" xr:uid="{ADEB819E-809E-4BC8-975C-0C4CFA31BECC}"/>
    <cellStyle name="Title-2 25 9" xfId="50262" xr:uid="{C38F0A6F-761C-4FEB-994F-CB0525CA03F9}"/>
    <cellStyle name="title2 26" xfId="13589" xr:uid="{00000000-0005-0000-0000-00005F310000}"/>
    <cellStyle name="Title-2 26" xfId="13590" xr:uid="{00000000-0005-0000-0000-000060310000}"/>
    <cellStyle name="title2 26 2" xfId="46053" xr:uid="{5D302B4E-970E-432F-A9F1-FA4E94774758}"/>
    <cellStyle name="Title-2 26 2" xfId="46054" xr:uid="{09D6215E-9E91-42E8-A16A-385F4E3A0D6E}"/>
    <cellStyle name="title2 26 3" xfId="48797" xr:uid="{88DA2E2F-6F43-4479-8AB2-CFACDA4F6FED}"/>
    <cellStyle name="Title-2 26 3" xfId="48798" xr:uid="{3F727E87-9054-4B51-87D3-9A29421C1E1B}"/>
    <cellStyle name="title2 26 4" xfId="48959" xr:uid="{8B09029B-5441-427E-A68F-C912D5E61AE0}"/>
    <cellStyle name="Title-2 26 4" xfId="48960" xr:uid="{8F5C4781-2EF1-4F01-8FFE-3D31734BB4A6}"/>
    <cellStyle name="title2 26 5" xfId="49214" xr:uid="{0226055C-FBA7-49EE-BD17-54CCCD186685}"/>
    <cellStyle name="Title-2 26 5" xfId="49215" xr:uid="{52FE3925-F59A-4847-AB37-94C00C18D7E4}"/>
    <cellStyle name="title2 26 6" xfId="49412" xr:uid="{516C496A-B154-41F7-82BA-3633A67BFA8F}"/>
    <cellStyle name="Title-2 26 6" xfId="49413" xr:uid="{7778620C-A3FF-4A1A-BF7D-C9B9FA783625}"/>
    <cellStyle name="title2 26 7" xfId="49680" xr:uid="{8D65F0B1-47BD-43B4-9482-597D1C9D2D88}"/>
    <cellStyle name="Title-2 26 7" xfId="49681" xr:uid="{5E874E53-140A-48B5-B7EF-50824D62E0E2}"/>
    <cellStyle name="title2 26 8" xfId="49919" xr:uid="{8DBF9CEE-FC55-4CF5-A013-6340E8D73D8F}"/>
    <cellStyle name="Title-2 26 8" xfId="49920" xr:uid="{1825BC39-CB08-4494-B72C-737214B9B0EF}"/>
    <cellStyle name="title2 26 9" xfId="50263" xr:uid="{899F6884-86AF-42F7-8CFC-15947F60A4BB}"/>
    <cellStyle name="Title-2 26 9" xfId="50264" xr:uid="{93DBE4CE-51AA-48FF-ACED-CE4B2B5E7991}"/>
    <cellStyle name="title2 27" xfId="13592" xr:uid="{00000000-0005-0000-0000-0000D1310000}"/>
    <cellStyle name="Title-2 27" xfId="13593" xr:uid="{00000000-0005-0000-0000-0000D2310000}"/>
    <cellStyle name="title2 27 2" xfId="46056" xr:uid="{E62FD55D-BEF7-4273-82DB-6C0AC8DF7262}"/>
    <cellStyle name="Title-2 27 2" xfId="46057" xr:uid="{4A28C263-78E5-4513-9C73-B12159F9B440}"/>
    <cellStyle name="title2 27 3" xfId="48799" xr:uid="{C76AA417-AD4F-4A26-A14C-DE15954CE6BF}"/>
    <cellStyle name="Title-2 27 3" xfId="48800" xr:uid="{987DA863-17C9-4AD7-A446-53737E603053}"/>
    <cellStyle name="title2 27 4" xfId="48962" xr:uid="{66F7C3D3-2DE9-42D5-893C-0BD9AB30C462}"/>
    <cellStyle name="Title-2 27 4" xfId="48963" xr:uid="{D3E3FFFD-0755-44D5-B9A9-F3D7479FD2AE}"/>
    <cellStyle name="title2 27 5" xfId="49216" xr:uid="{D22EF349-6A37-4509-8BDC-845132C44BC2}"/>
    <cellStyle name="Title-2 27 5" xfId="49217" xr:uid="{C64B82C8-385A-44C6-9BE1-9D0C33CD3661}"/>
    <cellStyle name="title2 27 6" xfId="49414" xr:uid="{FC7A64E5-8339-4D60-9803-56D1190733C9}"/>
    <cellStyle name="Title-2 27 6" xfId="49415" xr:uid="{3089071A-3281-49A8-845C-67E472B2F0A0}"/>
    <cellStyle name="title2 27 7" xfId="49683" xr:uid="{95B82529-6A42-4100-82C1-180DA4C046A3}"/>
    <cellStyle name="Title-2 27 7" xfId="49684" xr:uid="{F312B472-E0BE-45C1-9808-A603C374367B}"/>
    <cellStyle name="title2 27 8" xfId="49921" xr:uid="{CB594EC3-B871-40E3-844E-818FCD33A356}"/>
    <cellStyle name="Title-2 27 8" xfId="49922" xr:uid="{098ECA45-349C-4760-A0CC-8724E77D44C6}"/>
    <cellStyle name="title2 27 9" xfId="50265" xr:uid="{C67724CB-C430-4BD2-80E6-D5E0A6AC742E}"/>
    <cellStyle name="Title-2 27 9" xfId="50266" xr:uid="{76B9DE2D-D7C7-440B-B19E-23B470B1FCDE}"/>
    <cellStyle name="title2 28" xfId="13594" xr:uid="{00000000-0005-0000-0000-000047320000}"/>
    <cellStyle name="Title-2 28" xfId="13595" xr:uid="{00000000-0005-0000-0000-000048320000}"/>
    <cellStyle name="title2 28 2" xfId="46058" xr:uid="{EE717B4D-8C28-4D7B-A148-E7F231B26879}"/>
    <cellStyle name="Title-2 28 2" xfId="46059" xr:uid="{657D0210-CBEE-4105-B84E-D030EA6CD889}"/>
    <cellStyle name="title2 28 3" xfId="48801" xr:uid="{8A96A1D6-873E-4822-B794-FBEFAC695701}"/>
    <cellStyle name="Title-2 28 3" xfId="48802" xr:uid="{F6202EEB-FE6F-43D4-8A18-7604A1DAE80C}"/>
    <cellStyle name="title2 28 4" xfId="48964" xr:uid="{00629295-7E3B-4AE7-B61B-1F6AB20B88D5}"/>
    <cellStyle name="Title-2 28 4" xfId="48965" xr:uid="{E5FB82A5-D98B-472C-98A1-0660669011F7}"/>
    <cellStyle name="title2 28 5" xfId="49218" xr:uid="{C2FC38EA-E61E-4601-BB92-FE9E24A6729C}"/>
    <cellStyle name="Title-2 28 5" xfId="49219" xr:uid="{7DD0C995-C96B-4D87-B1BF-9E3BA88AC492}"/>
    <cellStyle name="title2 28 6" xfId="49416" xr:uid="{28982CAC-40F9-4E78-A4B1-2AFC63596268}"/>
    <cellStyle name="Title-2 28 6" xfId="49417" xr:uid="{3B6677DC-AB02-4677-B929-800DDB070AFA}"/>
    <cellStyle name="title2 28 7" xfId="49685" xr:uid="{1AD23031-9177-4EA6-A380-24F51AA618F3}"/>
    <cellStyle name="Title-2 28 7" xfId="49686" xr:uid="{CE7EDAB7-6AE6-4A96-B273-F910957B9E5B}"/>
    <cellStyle name="title2 28 8" xfId="49923" xr:uid="{6A4A5054-8BDA-4FE4-AAE8-668C3E238F66}"/>
    <cellStyle name="Title-2 28 8" xfId="49924" xr:uid="{70DBD65A-B66E-42E4-9764-6EC9F8816F28}"/>
    <cellStyle name="title2 28 9" xfId="50267" xr:uid="{57EB1E10-2AEE-4CCE-AD74-564F2E97E9AA}"/>
    <cellStyle name="Title-2 28 9" xfId="50268" xr:uid="{C79782F8-C884-4B57-A1F4-3C1CB69D0019}"/>
    <cellStyle name="title2 29" xfId="13596" xr:uid="{00000000-0005-0000-0000-0000C1320000}"/>
    <cellStyle name="Title-2 29" xfId="13597" xr:uid="{00000000-0005-0000-0000-0000C2320000}"/>
    <cellStyle name="title2 29 2" xfId="46060" xr:uid="{67699A30-DCA9-4DB1-9A92-AF5489DE1809}"/>
    <cellStyle name="Title-2 29 2" xfId="46061" xr:uid="{F31B44A7-413B-4163-A751-D75ED4DA3E09}"/>
    <cellStyle name="title2 29 3" xfId="48803" xr:uid="{3CBE0AA9-33B4-40B3-A7CF-07509C70BBB9}"/>
    <cellStyle name="Title-2 29 3" xfId="48804" xr:uid="{8926155A-B412-4DBD-97F3-681C79EBBF05}"/>
    <cellStyle name="title2 29 4" xfId="48966" xr:uid="{CF4C39E6-FBDD-4B08-AC7E-3A276FEF6A78}"/>
    <cellStyle name="Title-2 29 4" xfId="48967" xr:uid="{15D8B591-7D13-4EE1-9492-D2131D6B2799}"/>
    <cellStyle name="title2 29 5" xfId="49220" xr:uid="{321A25D3-94D0-4918-AC42-650D98A20562}"/>
    <cellStyle name="Title-2 29 5" xfId="49221" xr:uid="{871D3D87-EC5A-498A-AD1A-A1FA38680977}"/>
    <cellStyle name="title2 29 6" xfId="49418" xr:uid="{43E1B005-87C7-490C-A4F3-22A9B5D42B0F}"/>
    <cellStyle name="Title-2 29 6" xfId="49419" xr:uid="{FC221AD7-5704-44C2-A7F6-53384E7E6E79}"/>
    <cellStyle name="title2 29 7" xfId="49687" xr:uid="{6E0FC71A-CBAA-44BF-BA92-DDAA85A49071}"/>
    <cellStyle name="Title-2 29 7" xfId="49688" xr:uid="{03325DA6-2BFB-45EF-9707-CA7F930F15E4}"/>
    <cellStyle name="title2 29 8" xfId="49925" xr:uid="{851065BF-B7A6-4617-B6F4-3EDADBF2843F}"/>
    <cellStyle name="Title-2 29 8" xfId="49926" xr:uid="{9D4548E3-CF79-40DB-9477-0674FE0DF338}"/>
    <cellStyle name="title2 29 9" xfId="50269" xr:uid="{1BC6FAC3-3485-4F12-A746-449FB843A413}"/>
    <cellStyle name="Title-2 29 9" xfId="50270" xr:uid="{F4E98772-7C70-4EA1-AE2C-2F45FE7504F8}"/>
    <cellStyle name="title2 3" xfId="12910" xr:uid="{00000000-0005-0000-0000-000018230000}"/>
    <cellStyle name="Title-2 3" xfId="12911" xr:uid="{00000000-0005-0000-0000-000019230000}"/>
    <cellStyle name="title2 3 2" xfId="45381" xr:uid="{F5B972A1-C2FA-4817-BBD5-7EB3740CDD77}"/>
    <cellStyle name="Title-2 3 2" xfId="45382" xr:uid="{ACE56F45-29F1-4BFA-B2F3-12748A32DDA2}"/>
    <cellStyle name="title2 3 3" xfId="48516" xr:uid="{54D5A3BA-A677-42C2-B201-482B162B4FA5}"/>
    <cellStyle name="Title-2 3 3" xfId="48517" xr:uid="{E7549C4B-04F0-4969-B4A2-673BAB6F9257}"/>
    <cellStyle name="title2 3 4" xfId="15701" xr:uid="{038A578A-AB50-4040-98B9-BC691EDD298B}"/>
    <cellStyle name="Title-2 3 4" xfId="41667" xr:uid="{3C4C7497-EFAE-43DF-A460-12E00C0E3866}"/>
    <cellStyle name="title2 3 5" xfId="49000" xr:uid="{065CBF58-66B7-4F95-939A-2EAF7497F743}"/>
    <cellStyle name="Title-2 3 5" xfId="49001" xr:uid="{E522B58B-F35D-4E4F-858B-B6A98C42E377}"/>
    <cellStyle name="title2 3 6" xfId="48606" xr:uid="{B5C2442C-A706-493F-952F-DFEE55D992BD}"/>
    <cellStyle name="Title-2 3 6" xfId="46232" xr:uid="{7A010678-1CE4-4CA4-98DC-C6C941040A7C}"/>
    <cellStyle name="title2 3 7" xfId="49522" xr:uid="{0709A72E-1711-4B86-AB9D-D33E0574CBB5}"/>
    <cellStyle name="Title-2 3 7" xfId="49523" xr:uid="{02966863-759F-4EB3-BACA-EDEA5A7A33A3}"/>
    <cellStyle name="title2 3 8" xfId="49765" xr:uid="{869AC3D1-1FE9-4138-8EC3-1C9E7770C75B}"/>
    <cellStyle name="Title-2 3 8" xfId="49766" xr:uid="{93F76D12-B2A9-4C66-86BB-4E0CF3BCC0D2}"/>
    <cellStyle name="title2 3 9" xfId="50118" xr:uid="{18533859-3323-48B5-85B9-99023B388B33}"/>
    <cellStyle name="Title-2 3 9" xfId="50119" xr:uid="{626EDEF6-6A50-46F4-872C-FF7E39D5543E}"/>
    <cellStyle name="title2 30" xfId="13598" xr:uid="{00000000-0005-0000-0000-00003F330000}"/>
    <cellStyle name="Title-2 30" xfId="13599" xr:uid="{00000000-0005-0000-0000-000040330000}"/>
    <cellStyle name="title2 30 2" xfId="46062" xr:uid="{A827D8FB-95DD-4EBD-A132-E43213C0511D}"/>
    <cellStyle name="Title-2 30 2" xfId="46063" xr:uid="{3D35615C-EAD9-4E3E-8BA6-DEC4AE87403C}"/>
    <cellStyle name="title2 30 3" xfId="48805" xr:uid="{86A3D965-9688-4B4E-AD60-BE8F7103ACA1}"/>
    <cellStyle name="Title-2 30 3" xfId="48806" xr:uid="{ED4A677C-8D2A-419C-9782-AA8C22A1127F}"/>
    <cellStyle name="title2 30 4" xfId="48968" xr:uid="{FA788050-5E43-4E17-BAE3-A6FE941C5908}"/>
    <cellStyle name="Title-2 30 4" xfId="48969" xr:uid="{59311A94-EE01-43AB-930E-99F15F57C961}"/>
    <cellStyle name="title2 30 5" xfId="49222" xr:uid="{C4BEF906-B765-452A-934C-C6B1237581A0}"/>
    <cellStyle name="Title-2 30 5" xfId="49223" xr:uid="{F8A563F4-C75D-4610-991B-7B6456BC07B8}"/>
    <cellStyle name="title2 30 6" xfId="49420" xr:uid="{B06B37C9-DD43-4D7F-86BD-0FAEE79E592D}"/>
    <cellStyle name="Title-2 30 6" xfId="49421" xr:uid="{E9A7CBB8-9FC5-4EEE-8BB7-2A5F4B787522}"/>
    <cellStyle name="title2 30 7" xfId="49689" xr:uid="{C55EAC1B-B4FD-4FD2-A699-0844603978A5}"/>
    <cellStyle name="Title-2 30 7" xfId="49690" xr:uid="{4A817DE8-689B-44E6-B9EE-43E33AB8CBAF}"/>
    <cellStyle name="title2 30 8" xfId="49927" xr:uid="{94C62714-81E1-4AEE-AE47-4FD78B935103}"/>
    <cellStyle name="Title-2 30 8" xfId="49928" xr:uid="{DC12EC56-9B9A-4C07-A478-C9933A78B4CE}"/>
    <cellStyle name="title2 30 9" xfId="50271" xr:uid="{01691967-C954-47F9-AAAD-8F1D47D0225D}"/>
    <cellStyle name="Title-2 30 9" xfId="50272" xr:uid="{35EF7C55-024B-46ED-987E-869F89899E78}"/>
    <cellStyle name="title2 31" xfId="13600" xr:uid="{00000000-0005-0000-0000-0000C1330000}"/>
    <cellStyle name="Title-2 31" xfId="13601" xr:uid="{00000000-0005-0000-0000-0000C2330000}"/>
    <cellStyle name="title2 31 2" xfId="46064" xr:uid="{DE197957-699E-4FB4-B2E7-120A36ACD628}"/>
    <cellStyle name="Title-2 31 2" xfId="46065" xr:uid="{73582D49-D9CE-4384-B76A-798ABC72F8E0}"/>
    <cellStyle name="title2 31 3" xfId="48807" xr:uid="{1F24A120-1396-47B6-842A-61F0B6BAD18C}"/>
    <cellStyle name="Title-2 31 3" xfId="48808" xr:uid="{EDE869F1-F9FD-4151-B1BE-CF06A2AC16DD}"/>
    <cellStyle name="title2 31 4" xfId="48970" xr:uid="{A9CCFB92-C71C-4EA7-A143-B6928DFCA88C}"/>
    <cellStyle name="Title-2 31 4" xfId="48971" xr:uid="{C31D4123-6597-4868-BE6D-9357EB4654FC}"/>
    <cellStyle name="title2 31 5" xfId="49224" xr:uid="{9CD30631-75FD-43DC-8FFF-CE55B79DD681}"/>
    <cellStyle name="Title-2 31 5" xfId="49225" xr:uid="{C52CD18B-86F6-416B-9ABC-436EB1A1F5CF}"/>
    <cellStyle name="title2 31 6" xfId="49422" xr:uid="{661CED75-79CF-4B76-9151-5DD47A317071}"/>
    <cellStyle name="Title-2 31 6" xfId="49423" xr:uid="{D8C9A19C-B089-4CB7-97CB-6D8B74FF9D90}"/>
    <cellStyle name="title2 31 7" xfId="49691" xr:uid="{C4522070-C4F0-4F7D-8E1C-D369FF4E8FC8}"/>
    <cellStyle name="Title-2 31 7" xfId="49692" xr:uid="{CB3C087F-E327-4B31-BCB4-9D79FC1C1C88}"/>
    <cellStyle name="title2 31 8" xfId="49929" xr:uid="{673746FA-7963-49E5-9266-11F4084D836B}"/>
    <cellStyle name="Title-2 31 8" xfId="49930" xr:uid="{084636AD-3DBE-419F-9340-63B925B714BC}"/>
    <cellStyle name="title2 31 9" xfId="50273" xr:uid="{1FFC2735-9077-4307-A70B-EA40A6502A70}"/>
    <cellStyle name="Title-2 31 9" xfId="50274" xr:uid="{D9F3C002-C02A-473E-A3C5-5778407096B7}"/>
    <cellStyle name="title2 32" xfId="13602" xr:uid="{00000000-0005-0000-0000-000047340000}"/>
    <cellStyle name="Title-2 32" xfId="13603" xr:uid="{00000000-0005-0000-0000-000048340000}"/>
    <cellStyle name="title2 32 2" xfId="46066" xr:uid="{E4E17B0E-5173-4918-BF89-E4A004B3D6A1}"/>
    <cellStyle name="Title-2 32 2" xfId="46067" xr:uid="{0BFA15CF-E6DF-46B4-8B4C-33A4F5A32AB0}"/>
    <cellStyle name="title2 32 3" xfId="48809" xr:uid="{85A907A0-B9A2-4CC6-B5D8-9313536FE8FA}"/>
    <cellStyle name="Title-2 32 3" xfId="48810" xr:uid="{D1C8DE4D-3DA9-494E-AC92-2BB910F32526}"/>
    <cellStyle name="title2 32 4" xfId="48972" xr:uid="{D6A845CD-AC59-4E4A-A21C-9893E61BD574}"/>
    <cellStyle name="Title-2 32 4" xfId="48973" xr:uid="{13E579B3-6E7E-4E49-B9D7-880B00000245}"/>
    <cellStyle name="title2 32 5" xfId="49226" xr:uid="{DBA04F50-0EE5-4D72-8507-D48ACD70DC14}"/>
    <cellStyle name="Title-2 32 5" xfId="49227" xr:uid="{380E37E5-518A-420E-AA6D-73F835B5D2C2}"/>
    <cellStyle name="title2 32 6" xfId="49424" xr:uid="{71F7A051-E1B8-44BD-938F-31A6F83DBEDF}"/>
    <cellStyle name="Title-2 32 6" xfId="49425" xr:uid="{84AA9280-EFFC-4AAC-A1C3-26817CFE692B}"/>
    <cellStyle name="title2 32 7" xfId="49693" xr:uid="{7F465B39-1995-4D1A-840B-5FF6B7E6A8F9}"/>
    <cellStyle name="Title-2 32 7" xfId="49694" xr:uid="{08751F99-7862-46F0-882E-9CA2D280BFC8}"/>
    <cellStyle name="title2 32 8" xfId="49931" xr:uid="{3185E1E3-6523-4CE2-94EA-DF0C3621A4D0}"/>
    <cellStyle name="Title-2 32 8" xfId="49932" xr:uid="{89B2B279-00EC-444C-A1D2-41B86DC3E9FF}"/>
    <cellStyle name="title2 32 9" xfId="50275" xr:uid="{24B47D3C-AD47-440F-8E34-DA324F61F574}"/>
    <cellStyle name="Title-2 32 9" xfId="50276" xr:uid="{9D6ABB41-E9C5-428A-A0A9-750E7182B087}"/>
    <cellStyle name="title2 33" xfId="13604" xr:uid="{00000000-0005-0000-0000-0000D1340000}"/>
    <cellStyle name="Title-2 33" xfId="13605" xr:uid="{00000000-0005-0000-0000-0000D2340000}"/>
    <cellStyle name="title2 33 2" xfId="46068" xr:uid="{2127C38A-CD34-4AC1-9B6F-2963189892DC}"/>
    <cellStyle name="Title-2 33 2" xfId="46069" xr:uid="{42864ACF-EDCF-46C2-9F2B-1129B5DCA3FF}"/>
    <cellStyle name="title2 33 3" xfId="48811" xr:uid="{D69C95BE-7009-47C2-9664-91E337ED0E77}"/>
    <cellStyle name="Title-2 33 3" xfId="48812" xr:uid="{E43D94C9-F674-4EFE-8739-2B03AC3E9272}"/>
    <cellStyle name="title2 33 4" xfId="48974" xr:uid="{3E5B8223-17F3-43B5-B586-8DE450C1CFC9}"/>
    <cellStyle name="Title-2 33 4" xfId="48975" xr:uid="{9932A340-6FC7-4442-A56D-79759E38E389}"/>
    <cellStyle name="title2 33 5" xfId="49228" xr:uid="{455D9BE2-F242-4E38-A77B-47A88C320B17}"/>
    <cellStyle name="Title-2 33 5" xfId="49229" xr:uid="{124192C4-BB0B-4040-BF2C-81706442EED0}"/>
    <cellStyle name="title2 33 6" xfId="49426" xr:uid="{94E9AF2D-169C-4EF4-9760-4472EF48FD8B}"/>
    <cellStyle name="Title-2 33 6" xfId="49427" xr:uid="{623B24B3-9DAB-490D-835B-6B82B586F8B6}"/>
    <cellStyle name="title2 33 7" xfId="49695" xr:uid="{626BA779-DCBC-41E0-9821-3D1092C2A0D0}"/>
    <cellStyle name="Title-2 33 7" xfId="49696" xr:uid="{483D7042-86FB-4692-9653-AB1FCC954E97}"/>
    <cellStyle name="title2 33 8" xfId="49933" xr:uid="{5112AA30-9128-4EF9-9007-5B4DE3BAF202}"/>
    <cellStyle name="Title-2 33 8" xfId="49934" xr:uid="{AC7B8A20-DF99-480F-A5EA-1952252E3614}"/>
    <cellStyle name="title2 33 9" xfId="50277" xr:uid="{E20E5C0C-A98B-441F-8DD8-AA3F4DDC25A2}"/>
    <cellStyle name="Title-2 33 9" xfId="50278" xr:uid="{749B0CFF-5CC1-44B7-BD34-3BB3DAF2081E}"/>
    <cellStyle name="title2 34" xfId="13606" xr:uid="{00000000-0005-0000-0000-00005F350000}"/>
    <cellStyle name="Title-2 34" xfId="13607" xr:uid="{00000000-0005-0000-0000-000060350000}"/>
    <cellStyle name="title2 34 2" xfId="46070" xr:uid="{FF4DA7CD-5AD5-41D2-A4E0-E317D0743E66}"/>
    <cellStyle name="Title-2 34 2" xfId="46071" xr:uid="{5811B48B-27ED-4EC0-B3B7-1DE850661166}"/>
    <cellStyle name="title2 34 3" xfId="48813" xr:uid="{F42E35D5-418A-44F3-8C6D-1D4626AAE24E}"/>
    <cellStyle name="Title-2 34 3" xfId="48814" xr:uid="{8E86516E-0D3B-401D-ABAB-F086D34F79E5}"/>
    <cellStyle name="title2 34 4" xfId="48976" xr:uid="{678CAFC3-EBA8-4550-B07F-68FA2EC53C1E}"/>
    <cellStyle name="Title-2 34 4" xfId="48977" xr:uid="{A8B2D76D-3DAD-451C-9DB2-24883DCB0504}"/>
    <cellStyle name="title2 34 5" xfId="49230" xr:uid="{37C95A6F-458D-421E-8C41-65113F3D7B5D}"/>
    <cellStyle name="Title-2 34 5" xfId="49231" xr:uid="{C52206C0-0CC6-4C2A-9CC2-17D630093E73}"/>
    <cellStyle name="title2 34 6" xfId="49428" xr:uid="{6CF26AA8-BBA0-46CE-87D9-DAAE3373567E}"/>
    <cellStyle name="Title-2 34 6" xfId="49429" xr:uid="{C79A755A-E48F-4F9F-A1C4-C277E55976D3}"/>
    <cellStyle name="title2 34 7" xfId="49697" xr:uid="{A92ECD29-B05D-49E0-B1E1-43DA890034F7}"/>
    <cellStyle name="Title-2 34 7" xfId="49698" xr:uid="{D61AF005-BD99-43BA-BABD-B4B0D95DD042}"/>
    <cellStyle name="title2 34 8" xfId="49935" xr:uid="{E9878C04-405F-410A-87E9-19A879DE344F}"/>
    <cellStyle name="Title-2 34 8" xfId="49936" xr:uid="{5EA013C2-52B6-4A8B-9356-66F22F2EE194}"/>
    <cellStyle name="title2 34 9" xfId="50279" xr:uid="{3D81F5F8-0258-4BA3-84BD-BDC436DD4270}"/>
    <cellStyle name="Title-2 34 9" xfId="50280" xr:uid="{4407DF6E-0EC4-44A6-985E-7EC1E3731DC8}"/>
    <cellStyle name="title2 35" xfId="16539" xr:uid="{C7C73792-2A6A-444E-8A3A-737AACB8746F}"/>
    <cellStyle name="Title-2 35" xfId="16540" xr:uid="{66C1DA3B-9EDB-49A2-A71F-C3876C8E7CEC}"/>
    <cellStyle name="title2 36" xfId="39483" xr:uid="{9DBE904F-533D-4DD2-A8A1-194767A4615C}"/>
    <cellStyle name="Title-2 36" xfId="39484" xr:uid="{5861D28D-4895-4CE6-8B5E-0A0665D24658}"/>
    <cellStyle name="title2 37" xfId="15509" xr:uid="{75C35138-3B49-4183-862B-1BEFAE4D0F79}"/>
    <cellStyle name="Title-2 37" xfId="15510" xr:uid="{C8CEC0F9-2960-4244-ABD7-E590F1DA7642}"/>
    <cellStyle name="title2 38" xfId="48038" xr:uid="{B4062590-CD60-40B4-B27D-9C89A1CF310B}"/>
    <cellStyle name="Title-2 38" xfId="48598" xr:uid="{A96DDC5D-1681-401D-B829-3573B161AE19}"/>
    <cellStyle name="title2 39" xfId="46446" xr:uid="{E51D74EC-365F-4A16-BD69-3394DAE949FD}"/>
    <cellStyle name="Title-2 39" xfId="39587" xr:uid="{DFE8BD24-6DFD-487D-AE7A-30D0D765CAF1}"/>
    <cellStyle name="title2 4" xfId="9407" xr:uid="{00000000-0005-0000-0000-00002E230000}"/>
    <cellStyle name="Title-2 4" xfId="9408" xr:uid="{00000000-0005-0000-0000-00002F230000}"/>
    <cellStyle name="title2 4 2" xfId="41905" xr:uid="{EFA9697A-A965-44F1-9FBA-39F307ABBA4D}"/>
    <cellStyle name="Title-2 4 2" xfId="41906" xr:uid="{9968AB72-7374-4C85-9EC3-3486329CA3C1}"/>
    <cellStyle name="title2 4 3" xfId="47210" xr:uid="{669C3BA8-8705-4AAC-BDD7-02E3242D889C}"/>
    <cellStyle name="Title-2 4 3" xfId="47211" xr:uid="{852DA038-C1DC-4177-A634-6A996427AEF1}"/>
    <cellStyle name="title2 4 4" xfId="46500" xr:uid="{CFF603B4-158A-4874-8F40-A060E916EA0D}"/>
    <cellStyle name="Title-2 4 4" xfId="46501" xr:uid="{2D9B2AEB-1E5A-4A0A-90D8-22B2F556C335}"/>
    <cellStyle name="title2 4 5" xfId="47893" xr:uid="{74387CB3-0A92-4D18-B060-E51A11A480BF}"/>
    <cellStyle name="Title-2 4 5" xfId="40114" xr:uid="{0AA496EC-40DC-4958-936E-79A752BDAED8}"/>
    <cellStyle name="title2 4 6" xfId="40537" xr:uid="{64F69316-2B47-4D90-B910-5158A7C04090}"/>
    <cellStyle name="Title-2 4 6" xfId="48503" xr:uid="{5A5F5DF5-88BD-459F-981A-621014529AFB}"/>
    <cellStyle name="title2 4 7" xfId="48872" xr:uid="{FBC0A366-0F45-4CF5-9C4E-28FE141CB270}"/>
    <cellStyle name="Title-2 4 7" xfId="48926" xr:uid="{AAB7664E-F287-4463-91C2-BC2AFC350DAB}"/>
    <cellStyle name="title2 4 8" xfId="48067" xr:uid="{0B98DE43-A95D-4AA0-95BC-916F8018158C}"/>
    <cellStyle name="Title-2 4 8" xfId="47152" xr:uid="{9A947319-C4F1-440E-B09D-DEF0B6BBA94D}"/>
    <cellStyle name="title2 4 9" xfId="41807" xr:uid="{78B7EFBA-0875-4653-8988-A6F84B778C29}"/>
    <cellStyle name="Title-2 4 9" xfId="46323" xr:uid="{F48518CF-D505-4744-BCDD-3809577AEA73}"/>
    <cellStyle name="title2 40" xfId="16483" xr:uid="{067964CC-290F-4B78-B7F3-709632FFAE69}"/>
    <cellStyle name="Title-2 40" xfId="47073" xr:uid="{1777A3CE-16A3-484A-9A00-167A12462A0B}"/>
    <cellStyle name="title2 41" xfId="47339" xr:uid="{CAA9B83C-8D73-4E5A-BB0B-15524D6F8061}"/>
    <cellStyle name="Title-2 41" xfId="47750" xr:uid="{29474AB9-9383-4510-8434-7606F5EAD050}"/>
    <cellStyle name="title2 42" xfId="14948" xr:uid="{2449185E-A278-46FB-B2B3-E6867CD76118}"/>
    <cellStyle name="Title-2 42" xfId="16441" xr:uid="{962C3C30-D4F4-4456-B441-021C6F1EEFF0}"/>
    <cellStyle name="title2 43" xfId="49605" xr:uid="{86E21896-E24C-48D3-8CBF-07E8BF30160D}"/>
    <cellStyle name="Title-2 43" xfId="48636" xr:uid="{F4C8A3D8-5797-4BFF-812A-67BA5A13BC32}"/>
    <cellStyle name="title2 5" xfId="12913" xr:uid="{00000000-0005-0000-0000-000048230000}"/>
    <cellStyle name="Title-2 5" xfId="12914" xr:uid="{00000000-0005-0000-0000-000049230000}"/>
    <cellStyle name="title2 5 2" xfId="45384" xr:uid="{A86A9FFE-DA3B-4A9D-B299-71D9712B3A9C}"/>
    <cellStyle name="Title-2 5 2" xfId="45385" xr:uid="{9E4DC4C0-9DF8-4BD8-A135-DE24818EDD70}"/>
    <cellStyle name="title2 5 3" xfId="48518" xr:uid="{F81285DF-0057-462F-9ADD-CB1FE7969237}"/>
    <cellStyle name="Title-2 5 3" xfId="48519" xr:uid="{600BC45C-CD54-4902-B5B9-760703EE32E2}"/>
    <cellStyle name="title2 5 4" xfId="15700" xr:uid="{6EF47850-4721-4281-AF64-EC7C2E9C9B0D}"/>
    <cellStyle name="Title-2 5 4" xfId="41669" xr:uid="{72DC24A1-167D-479C-9594-B4B205F1662D}"/>
    <cellStyle name="title2 5 5" xfId="49002" xr:uid="{38A90F6D-1328-4833-B65A-38FB10956DC5}"/>
    <cellStyle name="Title-2 5 5" xfId="49003" xr:uid="{160C0C6C-2746-4784-A74B-FE4829B33630}"/>
    <cellStyle name="title2 5 6" xfId="49233" xr:uid="{FD8A3E4A-A96C-4869-A5F9-A9EA3FDBFCFF}"/>
    <cellStyle name="Title-2 5 6" xfId="49234" xr:uid="{6B02D85D-F8CF-4BAA-93FD-15D08F203B4C}"/>
    <cellStyle name="title2 5 7" xfId="49524" xr:uid="{B2C5F44D-818F-49B9-AACF-6A74DD3DD27E}"/>
    <cellStyle name="Title-2 5 7" xfId="49525" xr:uid="{EF37609B-5CF5-4161-92F0-772F5E21754D}"/>
    <cellStyle name="title2 5 8" xfId="49767" xr:uid="{391C2014-7430-46EC-91D7-182827D9729F}"/>
    <cellStyle name="Title-2 5 8" xfId="49768" xr:uid="{CBAFC2BE-A712-4F14-9084-A2294B30E29D}"/>
    <cellStyle name="title2 5 9" xfId="50120" xr:uid="{E5DC0F38-86F9-4AD8-9A6F-F2733AAE126A}"/>
    <cellStyle name="Title-2 5 9" xfId="50121" xr:uid="{C8D5FAD8-382E-4FFE-A2DA-31011AE00C3E}"/>
    <cellStyle name="title2 6" xfId="9478" xr:uid="{00000000-0005-0000-0000-000066230000}"/>
    <cellStyle name="Title-2 6" xfId="9479" xr:uid="{00000000-0005-0000-0000-000067230000}"/>
    <cellStyle name="title2 6 2" xfId="41967" xr:uid="{8DA090A3-5758-49A9-9880-F62B8BCB6936}"/>
    <cellStyle name="Title-2 6 2" xfId="41968" xr:uid="{5827D56A-6A3E-486D-8295-094696CE9A79}"/>
    <cellStyle name="title2 6 3" xfId="47235" xr:uid="{8ACA0A89-4762-4670-A33B-743A7F84AD29}"/>
    <cellStyle name="Title-2 6 3" xfId="47236" xr:uid="{53B9D55A-2095-422A-8DFD-B408ADD1EB31}"/>
    <cellStyle name="title2 6 4" xfId="46486" xr:uid="{F0BF1CC8-1922-4C1C-962E-8109B01D460A}"/>
    <cellStyle name="Title-2 6 4" xfId="46487" xr:uid="{6D1DE89C-9F2E-4A75-9803-6734A6DAEB5B}"/>
    <cellStyle name="title2 6 5" xfId="46790" xr:uid="{58DA5871-74A4-403C-9545-1364E2BD2D28}"/>
    <cellStyle name="Title-2 6 5" xfId="40119" xr:uid="{D66775CF-6120-4242-B730-76D36B5AD36C}"/>
    <cellStyle name="title2 6 6" xfId="47057" xr:uid="{6270820B-B507-4C74-A47E-969209444B5D}"/>
    <cellStyle name="Title-2 6 6" xfId="47877" xr:uid="{D5D22A77-B741-44BA-B857-EC2FB1A69E97}"/>
    <cellStyle name="title2 6 7" xfId="14910" xr:uid="{EABB46F5-850F-406D-8542-27822CC14F2C}"/>
    <cellStyle name="Title-2 6 7" xfId="41765" xr:uid="{F7996D57-A025-41D8-BFA3-7C647CCC2694}"/>
    <cellStyle name="title2 6 8" xfId="48453" xr:uid="{C094A217-FB18-4047-A495-0B50DC6255F1}"/>
    <cellStyle name="Title-2 6 8" xfId="38007" xr:uid="{86F84B5F-6F24-41FE-98FC-AA349F3D775E}"/>
    <cellStyle name="title2 6 9" xfId="37920" xr:uid="{B2C31629-CDE8-4763-BEF2-A5580545AFC4}"/>
    <cellStyle name="Title-2 6 9" xfId="15103" xr:uid="{7D7A0849-4297-4725-BE7D-089E98CCADF6}"/>
    <cellStyle name="title2 7" xfId="12916" xr:uid="{00000000-0005-0000-0000-000088230000}"/>
    <cellStyle name="Title-2 7" xfId="12917" xr:uid="{00000000-0005-0000-0000-000089230000}"/>
    <cellStyle name="title2 7 2" xfId="45387" xr:uid="{03ECA05B-B683-4226-A938-3BC2EE9FE783}"/>
    <cellStyle name="Title-2 7 2" xfId="45388" xr:uid="{F9E1A604-A5F1-4A1F-AC1A-6D26637B8B92}"/>
    <cellStyle name="title2 7 3" xfId="48521" xr:uid="{6B05DCF6-F375-4EC1-99A2-F0381E49BCDD}"/>
    <cellStyle name="Title-2 7 3" xfId="48522" xr:uid="{ABC3B88D-BF5C-409B-8611-41C8C11F69EC}"/>
    <cellStyle name="title2 7 4" xfId="41676" xr:uid="{5ED6C349-5CA0-430A-A712-4F3A52694FC6}"/>
    <cellStyle name="Title-2 7 4" xfId="41677" xr:uid="{74D5C93F-45D2-4EE7-BF0A-2F540F73E65A}"/>
    <cellStyle name="title2 7 5" xfId="49004" xr:uid="{EC69B427-1374-41C6-AC80-3993AC23FD31}"/>
    <cellStyle name="Title-2 7 5" xfId="49005" xr:uid="{F2A1CDA4-4F2F-4210-BD6E-53B31E05DF7B}"/>
    <cellStyle name="title2 7 6" xfId="49236" xr:uid="{85CAA20B-7AD6-447D-AAE8-BCFFAC3B9CC5}"/>
    <cellStyle name="Title-2 7 6" xfId="49237" xr:uid="{B46E7B39-3D1A-4A84-8238-BBE5A7D96397}"/>
    <cellStyle name="title2 7 7" xfId="49526" xr:uid="{E9E106EB-9DCB-440C-A548-05AE95678542}"/>
    <cellStyle name="Title-2 7 7" xfId="49527" xr:uid="{F32501BB-1BE4-4CDE-BA30-97CCBF0EBB37}"/>
    <cellStyle name="title2 7 8" xfId="49769" xr:uid="{C3761BC5-28EA-42B4-B0C0-58B189D6784B}"/>
    <cellStyle name="Title-2 7 8" xfId="49770" xr:uid="{D830CF7E-5405-4FCF-8018-43B775A9A837}"/>
    <cellStyle name="title2 7 9" xfId="50122" xr:uid="{0B2F9B6C-6E3A-455C-AF0D-13E90D742225}"/>
    <cellStyle name="Title-2 7 9" xfId="50123" xr:uid="{81FDC1E8-CB9C-4945-B1F1-4D75CAC5EE8B}"/>
    <cellStyle name="title2 8" xfId="12924" xr:uid="{00000000-0005-0000-0000-0000AE230000}"/>
    <cellStyle name="Title-2 8" xfId="12925" xr:uid="{00000000-0005-0000-0000-0000AF230000}"/>
    <cellStyle name="title2 8 2" xfId="45395" xr:uid="{C85BFEF5-A148-46D4-9A70-A27A15EB12A5}"/>
    <cellStyle name="Title-2 8 2" xfId="45396" xr:uid="{9A31F176-A74B-4E0E-996B-053A3820ED95}"/>
    <cellStyle name="title2 8 3" xfId="48526" xr:uid="{DF59191A-0A79-42D3-857C-28A290DE12FF}"/>
    <cellStyle name="Title-2 8 3" xfId="48527" xr:uid="{DDA3C9AB-0207-4FB3-AB8D-84FF22263048}"/>
    <cellStyle name="title2 8 4" xfId="41678" xr:uid="{EC453F97-9CF7-4F23-BBC4-2EA9493E99C1}"/>
    <cellStyle name="Title-2 8 4" xfId="15695" xr:uid="{F113E3E0-DF3F-4E48-B549-C1A9F89E2A3E}"/>
    <cellStyle name="title2 8 5" xfId="49009" xr:uid="{095011AA-0740-4D03-AEC3-F3CEE7708DF7}"/>
    <cellStyle name="Title-2 8 5" xfId="49010" xr:uid="{F7AE1BF6-3E48-4621-96F5-0426BC01962C}"/>
    <cellStyle name="title2 8 6" xfId="49238" xr:uid="{C0528AB6-95C1-4D7B-A66B-D22B872457BA}"/>
    <cellStyle name="Title-2 8 6" xfId="49239" xr:uid="{F79F98A1-99C1-4416-BCD8-06AFD16E1B5E}"/>
    <cellStyle name="title2 8 7" xfId="49528" xr:uid="{EA2F8047-3D1C-49FC-A37E-10C4D0D94B95}"/>
    <cellStyle name="Title-2 8 7" xfId="49529" xr:uid="{E61C82C8-0E06-4032-B33E-025EC6C0AFB4}"/>
    <cellStyle name="title2 8 8" xfId="49771" xr:uid="{0E2D4B02-5428-4FCE-9EEC-788C8E7B0CE6}"/>
    <cellStyle name="Title-2 8 8" xfId="49772" xr:uid="{009C99FB-499E-4626-917B-6169C4AD4054}"/>
    <cellStyle name="title2 8 9" xfId="50124" xr:uid="{442A5AA1-A9F7-4D67-B25C-BF6A49F58523}"/>
    <cellStyle name="Title-2 8 9" xfId="50125" xr:uid="{839BD7D8-7542-4652-9DFA-1EB1A531AFAA}"/>
    <cellStyle name="title2 9" xfId="12928" xr:uid="{00000000-0005-0000-0000-0000D8230000}"/>
    <cellStyle name="Title-2 9" xfId="12929" xr:uid="{00000000-0005-0000-0000-0000D9230000}"/>
    <cellStyle name="title2 9 2" xfId="45399" xr:uid="{2C15C683-BC74-41F3-AA8B-1A25FCD82DEF}"/>
    <cellStyle name="Title-2 9 2" xfId="45400" xr:uid="{D67BBDEE-D8C0-47E7-BA64-5D45F39E2F4B}"/>
    <cellStyle name="title2 9 3" xfId="48529" xr:uid="{52596013-F220-4646-BED7-850D1463731F}"/>
    <cellStyle name="Title-2 9 3" xfId="48530" xr:uid="{579E1059-1D66-4BB2-B889-264EC2C59D01}"/>
    <cellStyle name="title2 9 4" xfId="15696" xr:uid="{5B3C2D94-4B51-4E9D-B026-E8D075BB3D65}"/>
    <cellStyle name="Title-2 9 4" xfId="15697" xr:uid="{E03C0C3B-578B-4701-B985-B544D072EC49}"/>
    <cellStyle name="title2 9 5" xfId="49012" xr:uid="{B5388162-6607-43BF-8D09-289FC7D6AB92}"/>
    <cellStyle name="Title-2 9 5" xfId="49013" xr:uid="{83500054-F339-4F45-983A-D69E8E04D07F}"/>
    <cellStyle name="title2 9 6" xfId="49241" xr:uid="{83EDCF5A-9CD1-4337-A31D-2AC152F8D8F4}"/>
    <cellStyle name="Title-2 9 6" xfId="49242" xr:uid="{3581EEE6-D5E4-4074-AEC3-EC7BDE925C7C}"/>
    <cellStyle name="title2 9 7" xfId="49532" xr:uid="{715D2E21-CBFC-46B4-AAC5-68C1308FD4BF}"/>
    <cellStyle name="Title-2 9 7" xfId="49533" xr:uid="{746245CE-B29D-48EE-8582-E0144B6CCE0E}"/>
    <cellStyle name="title2 9 8" xfId="49774" xr:uid="{ABE9E5DA-BBDA-4592-AFF5-E7530EF0973A}"/>
    <cellStyle name="Title-2 9 8" xfId="49775" xr:uid="{82096F07-E62A-49BF-830A-A0E2D3FBF5B6}"/>
    <cellStyle name="title2 9 9" xfId="50127" xr:uid="{E2F8C515-FF76-4847-823F-E371E9BFF401}"/>
    <cellStyle name="Title-2 9 9" xfId="50128" xr:uid="{4F9B3C0F-7DE3-474E-8004-87F462482474}"/>
    <cellStyle name="Titles" xfId="5457" xr:uid="{00000000-0005-0000-0000-00007A150000}"/>
    <cellStyle name="Titles 2" xfId="10972" xr:uid="{00000000-0005-0000-0000-0000C1220000}"/>
    <cellStyle name="Titles 2 2" xfId="43461" xr:uid="{FB1D6C7F-7224-4BB0-93B6-4AD455E058C6}"/>
    <cellStyle name="Titles 3" xfId="9198" xr:uid="{00000000-0005-0000-0000-000087110000}"/>
    <cellStyle name="Titles 4" xfId="39485" xr:uid="{92CC40F3-BF95-4AFB-9FD2-F4F2CE25037F}"/>
    <cellStyle name="titre_col" xfId="5458" xr:uid="{00000000-0005-0000-0000-00007B150000}"/>
    <cellStyle name="TOC" xfId="5459" xr:uid="{00000000-0005-0000-0000-00007C150000}"/>
    <cellStyle name="TOC 2" xfId="10973" xr:uid="{00000000-0005-0000-0000-0000C3220000}"/>
    <cellStyle name="TOC 2 2" xfId="43462" xr:uid="{A8A36E7B-4E6C-446A-98E3-A4EBC6263A27}"/>
    <cellStyle name="TOC 3" xfId="9199" xr:uid="{00000000-0005-0000-0000-000089110000}"/>
    <cellStyle name="TOC 4" xfId="39486" xr:uid="{43C17100-8238-42C0-BACA-EB2DB5B06CC9}"/>
    <cellStyle name="Total" xfId="5542" builtinId="25" customBuiltin="1"/>
    <cellStyle name="Total 2" xfId="5460" xr:uid="{00000000-0005-0000-0000-00007E150000}"/>
    <cellStyle name="Total 2 10" xfId="5461" xr:uid="{00000000-0005-0000-0000-00007F150000}"/>
    <cellStyle name="Total 2 10 10" xfId="20682" xr:uid="{19F8C6E0-CA94-4125-9819-46171320ECD8}"/>
    <cellStyle name="Total 2 10 11" xfId="20274" xr:uid="{78BCCF1B-35CC-44D5-B0FA-39C1FA8D9BAF}"/>
    <cellStyle name="Total 2 10 12" xfId="22633" xr:uid="{F2F1B26F-A583-441D-98E4-D19B3308638F}"/>
    <cellStyle name="Total 2 10 13" xfId="20598" xr:uid="{14521A43-BA69-446D-929E-A36647682ABD}"/>
    <cellStyle name="Total 2 10 14" xfId="18852" xr:uid="{72B095CD-461E-43BB-98F9-2F214D7A6BA9}"/>
    <cellStyle name="Total 2 10 15" xfId="22862" xr:uid="{23768E80-7ACC-4F9E-A8F9-DE32BF40A042}"/>
    <cellStyle name="Total 2 10 16" xfId="21986" xr:uid="{CE8581ED-0940-4F32-8FAF-FD70E9C85625}"/>
    <cellStyle name="Total 2 10 17" xfId="22918" xr:uid="{B8258390-1E0E-4534-B4C4-FD8AA3D1394E}"/>
    <cellStyle name="Total 2 10 18" xfId="18285" xr:uid="{C1AB1FCA-CBB7-4F35-B7C7-BE7FC8E0ECA4}"/>
    <cellStyle name="Total 2 10 19" xfId="16544" xr:uid="{337BA979-C429-41E7-9279-7D0ECC02D1DB}"/>
    <cellStyle name="Total 2 10 2" xfId="5462" xr:uid="{00000000-0005-0000-0000-000080150000}"/>
    <cellStyle name="Total 2 10 2 2" xfId="10976" xr:uid="{00000000-0005-0000-0000-0000C6220000}"/>
    <cellStyle name="Total 2 10 2 2 2" xfId="43465" xr:uid="{5AE62B7F-B32E-42DE-B1CC-6E67B05AD9D0}"/>
    <cellStyle name="Total 2 10 2 3" xfId="16545" xr:uid="{B453EA8F-0F78-40F8-B4BB-0C484FC3A97A}"/>
    <cellStyle name="Total 2 10 2 4" xfId="39489" xr:uid="{742A4F2B-91C5-4034-8963-71A2DA3E86D1}"/>
    <cellStyle name="Total 2 10 20" xfId="39488" xr:uid="{F3972B70-627F-41AB-BA70-717E34E3F029}"/>
    <cellStyle name="Total 2 10 3" xfId="10975" xr:uid="{00000000-0005-0000-0000-0000C5220000}"/>
    <cellStyle name="Total 2 10 3 10" xfId="22421" xr:uid="{7DD0310B-54CF-41B7-9E25-EF086C60A932}"/>
    <cellStyle name="Total 2 10 3 11" xfId="21420" xr:uid="{96FE7404-AD88-408D-B177-8CCBBC7EBB3A}"/>
    <cellStyle name="Total 2 10 3 12" xfId="22825" xr:uid="{B900FA79-41CA-447C-8FB9-781DA5987CD1}"/>
    <cellStyle name="Total 2 10 3 13" xfId="20382" xr:uid="{E49258D7-0F04-483B-8091-0BAAB50771B2}"/>
    <cellStyle name="Total 2 10 3 14" xfId="22959" xr:uid="{20ED733F-0E31-44B7-83DF-3BF6E665607D}"/>
    <cellStyle name="Total 2 10 3 15" xfId="22348" xr:uid="{24F020A2-7BB0-4B3C-A47B-0806C4B1C526}"/>
    <cellStyle name="Total 2 10 3 16" xfId="18787" xr:uid="{CF47B972-54D1-4263-BD48-886F72B13082}"/>
    <cellStyle name="Total 2 10 3 17" xfId="43464" xr:uid="{35E73EFC-74D8-459D-A357-4B676131DD31}"/>
    <cellStyle name="Total 2 10 3 2" xfId="19763" xr:uid="{DB98904A-F6A5-4F42-9E5B-B5C96FD5895E}"/>
    <cellStyle name="Total 2 10 3 3" xfId="19340" xr:uid="{22BD4EB7-498E-4137-ABA0-79E0951F0CDD}"/>
    <cellStyle name="Total 2 10 3 4" xfId="20100" xr:uid="{5C14E89D-0466-4E30-B37D-2322E79A9E18}"/>
    <cellStyle name="Total 2 10 3 5" xfId="20457" xr:uid="{620ECF31-5428-4F82-A8B0-2F2A0F07A44F}"/>
    <cellStyle name="Total 2 10 3 6" xfId="21863" xr:uid="{95DDCD58-DC4F-4889-9A5B-6675FCC32357}"/>
    <cellStyle name="Total 2 10 3 7" xfId="19567" xr:uid="{C27892D6-C4A6-4B36-826A-697A7BD656AD}"/>
    <cellStyle name="Total 2 10 3 8" xfId="21353" xr:uid="{28BB397F-29DA-489A-A533-DB76F80E82B7}"/>
    <cellStyle name="Total 2 10 3 9" xfId="22580" xr:uid="{CC00405A-2707-4E2C-83C4-77DBAFE88FC5}"/>
    <cellStyle name="Total 2 10 4" xfId="9202" xr:uid="{00000000-0005-0000-0000-00008B110000}"/>
    <cellStyle name="Total 2 10 4 2" xfId="21770" xr:uid="{29EDD8EA-A3A1-4156-9ED5-679C8FF0D39E}"/>
    <cellStyle name="Total 2 10 5" xfId="20914" xr:uid="{7926E09C-218D-48D5-8AC0-A1FAA3EE1B89}"/>
    <cellStyle name="Total 2 10 6" xfId="19055" xr:uid="{2689C90E-A082-4C09-8CEC-CD89ACE913D9}"/>
    <cellStyle name="Total 2 10 7" xfId="19436" xr:uid="{826D4D20-46BC-4D2A-AE7D-A29C3D197334}"/>
    <cellStyle name="Total 2 10 8" xfId="19749" xr:uid="{1129AD97-868E-473E-B003-20FCC571F2C2}"/>
    <cellStyle name="Total 2 10 9" xfId="19286" xr:uid="{49165F69-E513-428A-9B58-03E1B35721D0}"/>
    <cellStyle name="Total 2 11" xfId="5463" xr:uid="{00000000-0005-0000-0000-000081150000}"/>
    <cellStyle name="Total 2 11 10" xfId="22366" xr:uid="{8A490AB3-350A-4769-9DC0-37D878F9A0F1}"/>
    <cellStyle name="Total 2 11 11" xfId="20995" xr:uid="{064C8251-FB42-4697-B8A2-7ED0DA16EBA9}"/>
    <cellStyle name="Total 2 11 12" xfId="21553" xr:uid="{5D8DC7FB-53E8-46AC-B657-33874A320886}"/>
    <cellStyle name="Total 2 11 13" xfId="20272" xr:uid="{FEE0613C-DFA0-428A-9A54-655B4D90EB8C}"/>
    <cellStyle name="Total 2 11 14" xfId="20360" xr:uid="{DD7F0945-7AC4-4081-A1B5-803FC01B51E1}"/>
    <cellStyle name="Total 2 11 15" xfId="22677" xr:uid="{55040ACD-800B-423C-B82D-E7D7C096EDAA}"/>
    <cellStyle name="Total 2 11 16" xfId="22859" xr:uid="{C75DEB9A-A39E-4EA9-A9FD-EA449F986733}"/>
    <cellStyle name="Total 2 11 17" xfId="18286" xr:uid="{6013C97A-6A4E-498D-97E3-6A2A2F61421D}"/>
    <cellStyle name="Total 2 11 18" xfId="23165" xr:uid="{FD8A9653-D0F1-40EA-926F-08D49362B16E}"/>
    <cellStyle name="Total 2 11 19" xfId="16546" xr:uid="{66CADBFC-DE11-4957-9C34-6C9F002235CC}"/>
    <cellStyle name="Total 2 11 2" xfId="10977" xr:uid="{00000000-0005-0000-0000-0000C7220000}"/>
    <cellStyle name="Total 2 11 2 10" xfId="20717" xr:uid="{596FF5BE-8431-4586-9F37-092E661E30D6}"/>
    <cellStyle name="Total 2 11 2 11" xfId="19269" xr:uid="{CA74A207-3CF0-4C43-B1EC-B08211391450}"/>
    <cellStyle name="Total 2 11 2 12" xfId="22826" xr:uid="{D35E2F61-B421-487C-88C6-84CF66A42CCA}"/>
    <cellStyle name="Total 2 11 2 13" xfId="20567" xr:uid="{C5344A32-670F-4E3C-AC59-B2594FC8E928}"/>
    <cellStyle name="Total 2 11 2 14" xfId="22960" xr:uid="{314D83C7-82A2-4130-BCD9-6FA245A8F8DB}"/>
    <cellStyle name="Total 2 11 2 15" xfId="22994" xr:uid="{891FD429-C638-47D0-B367-CD09F346DD3F}"/>
    <cellStyle name="Total 2 11 2 16" xfId="33189" xr:uid="{5FA779FE-D7FA-40AF-A3A6-D2045AAB16B5}"/>
    <cellStyle name="Total 2 11 2 17" xfId="18788" xr:uid="{7A524D57-CC81-458E-8F18-364B47F06C98}"/>
    <cellStyle name="Total 2 11 2 18" xfId="43466" xr:uid="{5BC69E6E-3262-4141-B06E-C5CDAA58D90C}"/>
    <cellStyle name="Total 2 11 2 2" xfId="9493" xr:uid="{00000000-0005-0000-0000-0000FB250000}"/>
    <cellStyle name="Total 2 11 2 2 2" xfId="19762" xr:uid="{23D750D0-1CAE-43A4-B552-3A084D36D0AE}"/>
    <cellStyle name="Total 2 11 2 2 3" xfId="41982" xr:uid="{C34A4D2A-6F0C-4E38-B78D-EF8A4C93195E}"/>
    <cellStyle name="Total 2 11 2 2 4" xfId="37745" xr:uid="{7295D8F1-C17C-4875-B000-AEB9074CAC91}"/>
    <cellStyle name="Total 2 11 2 2 5" xfId="47772" xr:uid="{27373DC4-5E7D-4FB7-955E-CFC5FA733559}"/>
    <cellStyle name="Total 2 11 2 2 6" xfId="47091" xr:uid="{B57D676F-7B99-4D93-A202-BEC967859552}"/>
    <cellStyle name="Total 2 11 2 2 7" xfId="46974" xr:uid="{F0C5F4A8-ED8F-4F4A-A4C7-1CC2FEABA5C2}"/>
    <cellStyle name="Total 2 11 2 3" xfId="19873" xr:uid="{8F785054-C267-4DC3-ADB1-A8D268D722C5}"/>
    <cellStyle name="Total 2 11 2 4" xfId="21621" xr:uid="{75B96E0E-E5E3-4FC7-9973-155525BAA504}"/>
    <cellStyle name="Total 2 11 2 5" xfId="20917" xr:uid="{51807207-3D01-4F94-A709-964A6AFADD16}"/>
    <cellStyle name="Total 2 11 2 6" xfId="22138" xr:uid="{0A4D864C-6C4D-4701-AA9C-C7A89BF18890}"/>
    <cellStyle name="Total 2 11 2 7" xfId="21188" xr:uid="{1D6BF6F8-6A63-452C-9E9E-AE32EB6CAAF6}"/>
    <cellStyle name="Total 2 11 2 8" xfId="19086" xr:uid="{E8C6C004-FE5F-476D-8AB0-F44CF2E27AD5}"/>
    <cellStyle name="Total 2 11 2 9" xfId="22581" xr:uid="{B060EA8F-A049-4BC1-B852-7FBEAB8281F9}"/>
    <cellStyle name="Total 2 11 20" xfId="39490" xr:uid="{F90BC337-9DDC-45A9-BA8F-CA9D2F1A0D41}"/>
    <cellStyle name="Total 2 11 3" xfId="9360" xr:uid="{00000000-0005-0000-0000-00008A110000}"/>
    <cellStyle name="Total 2 11 3 2" xfId="26330" xr:uid="{026AB8D7-6A70-41D8-BB94-84DC320EBEA4}"/>
    <cellStyle name="Total 2 11 3 3" xfId="33158" xr:uid="{ADDAD0BE-FA83-46B0-8C9D-DC4929860D88}"/>
    <cellStyle name="Total 2 11 3 4" xfId="20221" xr:uid="{1998716C-0027-4828-A130-64CC7CD8D5B8}"/>
    <cellStyle name="Total 2 11 3 5" xfId="41874" xr:uid="{CE1D8354-99DA-4D6C-9AB3-1736BA174631}"/>
    <cellStyle name="Total 2 11 3 6" xfId="37724" xr:uid="{BD18191D-C18A-4C47-BA09-4FAAA7C44580}"/>
    <cellStyle name="Total 2 11 3 7" xfId="48485" xr:uid="{09BB415F-59E8-49D8-A5B5-6E6C2B26700F}"/>
    <cellStyle name="Total 2 11 3 8" xfId="40262" xr:uid="{EF2DF085-7821-461E-A29D-379641B5B83B}"/>
    <cellStyle name="Total 2 11 3 9" xfId="48694" xr:uid="{14E0A64F-6ADC-4611-9691-5C9B92A99427}"/>
    <cellStyle name="Total 2 11 4" xfId="19561" xr:uid="{72A141BD-2C22-4B9B-ACD5-1DB0F22B881F}"/>
    <cellStyle name="Total 2 11 5" xfId="20580" xr:uid="{30A90E6F-9D30-4895-AA74-77F105F6F7DE}"/>
    <cellStyle name="Total 2 11 6" xfId="20062" xr:uid="{AC04EF65-CB8B-4CCC-9F10-BFB796F5E819}"/>
    <cellStyle name="Total 2 11 7" xfId="19475" xr:uid="{3F66A3E6-B054-4B5D-89FC-BF134CAC3FB5}"/>
    <cellStyle name="Total 2 11 8" xfId="22389" xr:uid="{5DAE7D21-C1E2-43A3-9826-F54764F165BB}"/>
    <cellStyle name="Total 2 11 9" xfId="20656" xr:uid="{DD5DA35B-78D5-4E24-A7E3-86E5F22666B2}"/>
    <cellStyle name="Total 2 12" xfId="5464" xr:uid="{00000000-0005-0000-0000-000082150000}"/>
    <cellStyle name="Total 2 12 10" xfId="22514" xr:uid="{578346A2-3D8B-4D2D-BD38-99F6ABE4AEA3}"/>
    <cellStyle name="Total 2 12 11" xfId="22080" xr:uid="{6DEF9F14-3F5B-4C4F-9723-D2C80E919CA1}"/>
    <cellStyle name="Total 2 12 12" xfId="22824" xr:uid="{974CDEEC-0F05-4A80-9EE2-8A4EB75C21CA}"/>
    <cellStyle name="Total 2 12 13" xfId="22776" xr:uid="{110AC099-30D4-4B73-A0A9-65BF18579BE8}"/>
    <cellStyle name="Total 2 12 14" xfId="22958" xr:uid="{26208C90-B7B4-4C17-9DC3-E22D66E91B3C}"/>
    <cellStyle name="Total 2 12 15" xfId="20963" xr:uid="{BD448AE7-EDE1-4FED-90A5-BF3634840BA7}"/>
    <cellStyle name="Total 2 12 16" xfId="18786" xr:uid="{0BB77660-8383-46D1-81C3-52C14B2895E9}"/>
    <cellStyle name="Total 2 12 17" xfId="31624" xr:uid="{CDF4226A-A4D4-4B28-AF21-81CA8B18298F}"/>
    <cellStyle name="Total 2 12 18" xfId="16543" xr:uid="{A64A4363-95F7-42AE-B8E6-9C428F46BB82}"/>
    <cellStyle name="Total 2 12 19" xfId="39491" xr:uid="{7EA0352A-39DE-4C5D-8B11-E963B6D75232}"/>
    <cellStyle name="Total 2 12 2" xfId="10978" xr:uid="{00000000-0005-0000-0000-0000C8220000}"/>
    <cellStyle name="Total 2 12 2 2" xfId="27462" xr:uid="{593AC2CD-6196-42BE-8724-434F5C5A1429}"/>
    <cellStyle name="Total 2 12 2 3" xfId="34306" xr:uid="{68C7B463-B124-4462-8F14-32EE4ED83865}"/>
    <cellStyle name="Total 2 12 2 4" xfId="19764" xr:uid="{A17F22BF-FF76-419E-8E2B-35C66C1B551E}"/>
    <cellStyle name="Total 2 12 2 5" xfId="43467" xr:uid="{E39EEF40-E675-4D38-94B5-BF070239E1A5}"/>
    <cellStyle name="Total 2 12 3" xfId="19868" xr:uid="{FCDFDA5B-E417-4BC7-8A42-9F1976617B12}"/>
    <cellStyle name="Total 2 12 3 2" xfId="29542" xr:uid="{0DA008DD-B7FC-48EF-9555-3B3A8367C611}"/>
    <cellStyle name="Total 2 12 3 3" xfId="36387" xr:uid="{A1B73779-333C-4110-A604-5E717CABACF7}"/>
    <cellStyle name="Total 2 12 4" xfId="21064" xr:uid="{67E4BAEC-9EEE-4263-8832-451FE23109E4}"/>
    <cellStyle name="Total 2 12 5" xfId="19120" xr:uid="{19BDB6A0-7F3B-4924-8746-C070A00B5586}"/>
    <cellStyle name="Total 2 12 6" xfId="19206" xr:uid="{C0A99494-9B2C-45A3-990F-9E894BB6ED40}"/>
    <cellStyle name="Total 2 12 7" xfId="20920" xr:uid="{DE647295-878C-4633-8309-6EE675885DE3}"/>
    <cellStyle name="Total 2 12 8" xfId="22384" xr:uid="{12E19108-A2DB-457B-901A-7C14AB880685}"/>
    <cellStyle name="Total 2 12 9" xfId="22579" xr:uid="{3D70F967-C0EE-42F8-923A-DD7FE1D7C411}"/>
    <cellStyle name="Total 2 13" xfId="10974" xr:uid="{00000000-0005-0000-0000-0000C4220000}"/>
    <cellStyle name="Total 2 13 10" xfId="18962" xr:uid="{02A46534-9358-42C2-AFC9-4CDEA34A06B9}"/>
    <cellStyle name="Total 2 13 11" xfId="21839" xr:uid="{288BD350-CC53-455B-B9F7-B0856C9F22D5}"/>
    <cellStyle name="Total 2 13 12" xfId="22291" xr:uid="{93853BC7-467C-407B-AB8F-7D090B3F1D43}"/>
    <cellStyle name="Total 2 13 13" xfId="22114" xr:uid="{905E152A-B1D4-412D-B3D8-A94387218BBB}"/>
    <cellStyle name="Total 2 13 14" xfId="21355" xr:uid="{69001941-6816-4BAA-96EF-2F4AC72EDC16}"/>
    <cellStyle name="Total 2 13 15" xfId="22347" xr:uid="{8D74C819-FC93-4193-A355-6FEF2C99A694}"/>
    <cellStyle name="Total 2 13 16" xfId="31735" xr:uid="{CE4CBA71-7F57-4F00-AA43-B145D12ECF35}"/>
    <cellStyle name="Total 2 13 17" xfId="18284" xr:uid="{F05C605D-4071-4483-BC4D-74E6697F4DA6}"/>
    <cellStyle name="Total 2 13 18" xfId="43463" xr:uid="{EBBE68DA-3E88-497F-97C3-5F638727CC4D}"/>
    <cellStyle name="Total 2 13 2" xfId="20226" xr:uid="{F4ACE7F8-795A-46DF-85D1-2E5767787193}"/>
    <cellStyle name="Total 2 13 2 2" xfId="27573" xr:uid="{FB3FF67C-4123-4FF6-A7BE-CCDB69C3630F}"/>
    <cellStyle name="Total 2 13 2 3" xfId="34417" xr:uid="{25A3603E-0D51-4649-AB81-EA96F96D41BB}"/>
    <cellStyle name="Total 2 13 3" xfId="19634" xr:uid="{4940216E-D18E-4A5B-B6F9-74418CC807DA}"/>
    <cellStyle name="Total 2 13 3 2" xfId="29653" xr:uid="{AF1DADC0-23D8-4F48-BE6A-742F5A10B008}"/>
    <cellStyle name="Total 2 13 3 3" xfId="36498" xr:uid="{7183DC06-E217-4217-952C-1223E7E35313}"/>
    <cellStyle name="Total 2 13 4" xfId="18972" xr:uid="{AD38B170-690A-487C-BC66-E6EC97BED75B}"/>
    <cellStyle name="Total 2 13 5" xfId="19049" xr:uid="{5269389B-D6E2-44B9-BFBC-C0D787C0A4C9}"/>
    <cellStyle name="Total 2 13 6" xfId="19324" xr:uid="{42CE2A13-9905-4B40-AF7A-2F2A677B0C3B}"/>
    <cellStyle name="Total 2 13 7" xfId="21490" xr:uid="{4611A640-C8C4-4D87-BB6C-FC098F6AE590}"/>
    <cellStyle name="Total 2 13 8" xfId="20649" xr:uid="{1E18E23A-CC79-4715-985B-10A247C8A729}"/>
    <cellStyle name="Total 2 13 9" xfId="22243" xr:uid="{88E75ECA-7056-4362-AAE7-58C8D8ECC66F}"/>
    <cellStyle name="Total 2 14" xfId="9200" xr:uid="{00000000-0005-0000-0000-00008A110000}"/>
    <cellStyle name="Total 2 14 10" xfId="48845" xr:uid="{9358EFAD-3908-4972-B199-5C7EAADB5871}"/>
    <cellStyle name="Total 2 14 11" xfId="14171" xr:uid="{41D0138B-BA27-4D12-8229-BD784E2E053D}"/>
    <cellStyle name="Total 2 14 2" xfId="27008" xr:uid="{331247E4-4C52-46B1-A620-11A8BAC91481}"/>
    <cellStyle name="Total 2 14 2 2" xfId="33848" xr:uid="{E2E8494F-07EC-4BF7-A464-AC9EA62E3B63}"/>
    <cellStyle name="Total 2 14 3" xfId="29084" xr:uid="{CFBF2464-A1D2-471C-9F73-B6F2C678D746}"/>
    <cellStyle name="Total 2 14 3 2" xfId="35929" xr:uid="{EC645DFA-4DAD-4641-8BD8-FB3D175E0B27}"/>
    <cellStyle name="Total 2 14 4" xfId="24390" xr:uid="{202FCFC9-599A-4BDB-86E9-08B46B8336BC}"/>
    <cellStyle name="Total 2 14 5" xfId="31166" xr:uid="{9CD76C59-1909-458F-A204-995C13FAD208}"/>
    <cellStyle name="Total 2 14 6" xfId="17405" xr:uid="{AE486011-E0E9-4417-8AA1-C0FC7D0C7572}"/>
    <cellStyle name="Total 2 14 7" xfId="41766" xr:uid="{52B7B159-B06A-4D19-B892-DCF0EEE30A0E}"/>
    <cellStyle name="Total 2 14 8" xfId="46544" xr:uid="{484EFC34-8513-4A00-8E7B-07BBFAAFD70C}"/>
    <cellStyle name="Total 2 14 9" xfId="48430" xr:uid="{71FAC71E-9EBB-4FC9-8C34-2DC0DF9E4EF0}"/>
    <cellStyle name="Total 2 15" xfId="24319" xr:uid="{44976742-1A62-4C25-8BCA-547F7B5A1DAC}"/>
    <cellStyle name="Total 2 15 2" xfId="26925" xr:uid="{895DC83B-539B-440F-82E4-2BE9C967D702}"/>
    <cellStyle name="Total 2 15 2 2" xfId="33765" xr:uid="{63784604-0C8D-41C7-8283-9A26F9231745}"/>
    <cellStyle name="Total 2 15 3" xfId="29001" xr:uid="{30471664-CFF7-4714-AD4B-AC419B32ED36}"/>
    <cellStyle name="Total 2 15 3 2" xfId="35846" xr:uid="{5C7DA194-C3A4-4ECC-99A5-2F7900B23E90}"/>
    <cellStyle name="Total 2 15 4" xfId="31083" xr:uid="{6B84187B-B8DA-4A7A-9DA7-314F832A5E47}"/>
    <cellStyle name="Total 2 16" xfId="25237" xr:uid="{42EC3AC6-A534-41F8-A009-B6D6DA411C0A}"/>
    <cellStyle name="Total 2 16 2" xfId="27908" xr:uid="{FE578834-6D3A-4C48-B84C-51C0BA41F0EF}"/>
    <cellStyle name="Total 2 16 2 2" xfId="34753" xr:uid="{47E33DD5-D532-4317-A147-E8A5553C647A}"/>
    <cellStyle name="Total 2 16 3" xfId="29989" xr:uid="{CDC796A7-F911-448E-B64E-B6B2311FA71D}"/>
    <cellStyle name="Total 2 16 3 2" xfId="36834" xr:uid="{FA421242-19BD-4B0B-A513-398DD582B969}"/>
    <cellStyle name="Total 2 16 4" xfId="32071" xr:uid="{A84B215D-E54B-49A1-A264-D96405559FB2}"/>
    <cellStyle name="Total 2 17" xfId="24740" xr:uid="{09E425DE-7EF5-4466-B650-527A3A3DA8E3}"/>
    <cellStyle name="Total 2 17 2" xfId="27389" xr:uid="{D255E730-210E-421C-8B52-C3D46404D0B4}"/>
    <cellStyle name="Total 2 17 2 2" xfId="34233" xr:uid="{FAC3D517-E1D1-48DB-8D12-F166B7D63DB0}"/>
    <cellStyle name="Total 2 17 3" xfId="29469" xr:uid="{3FACE83A-6ABA-4117-BBA3-9E46B285CF6F}"/>
    <cellStyle name="Total 2 17 3 2" xfId="36314" xr:uid="{F090C492-0D88-4D25-9419-4BF2A3890D9A}"/>
    <cellStyle name="Total 2 17 4" xfId="31551" xr:uid="{2568850B-711A-4F17-ABB2-1EED2A37939B}"/>
    <cellStyle name="Total 2 18" xfId="24714" xr:uid="{6020A87F-D617-4D8E-8048-5399FA5FD47A}"/>
    <cellStyle name="Total 2 18 2" xfId="27363" xr:uid="{988412E5-A764-49A2-8F14-0A1B343AABC7}"/>
    <cellStyle name="Total 2 18 2 2" xfId="34207" xr:uid="{D348DF25-4372-426E-B7BD-AEAAFB8D193B}"/>
    <cellStyle name="Total 2 18 3" xfId="29443" xr:uid="{4A8C9AF7-20ED-4D4A-AE05-5C1547909D5D}"/>
    <cellStyle name="Total 2 18 3 2" xfId="36288" xr:uid="{6B004EBE-A720-4CC1-8836-8C35F74174C4}"/>
    <cellStyle name="Total 2 18 4" xfId="31525" xr:uid="{5A455410-FD76-423E-B096-B135E9A4D8C7}"/>
    <cellStyle name="Total 2 19" xfId="23879" xr:uid="{43173CE3-E840-40B1-836A-D871AC342D0C}"/>
    <cellStyle name="Total 2 19 2" xfId="26497" xr:uid="{B974D293-705E-4562-B92A-6E874106EBB4}"/>
    <cellStyle name="Total 2 19 2 2" xfId="33337" xr:uid="{738B19D8-D707-486E-BFAB-8E010C206BF5}"/>
    <cellStyle name="Total 2 19 3" xfId="26187" xr:uid="{781B6174-3467-4F34-AEC0-4ED61A276901}"/>
    <cellStyle name="Total 2 19 3 2" xfId="33015" xr:uid="{B459CFF4-B94E-4FA2-99BD-C33C8AFE0090}"/>
    <cellStyle name="Total 2 19 4" xfId="23309" xr:uid="{7AC3BC5C-D996-48C2-8920-20C8A2C8DCAA}"/>
    <cellStyle name="Total 2 2" xfId="5465" xr:uid="{00000000-0005-0000-0000-000083150000}"/>
    <cellStyle name="Total 2 2 10" xfId="25412" xr:uid="{B70029CD-91D5-438B-AA6E-07F152FC2F31}"/>
    <cellStyle name="Total 2 2 10 2" xfId="28079" xr:uid="{E845D38F-7474-47A6-8F08-F81902C9212C}"/>
    <cellStyle name="Total 2 2 10 2 2" xfId="34924" xr:uid="{59A44B43-ABC0-4C93-8270-F0653233E969}"/>
    <cellStyle name="Total 2 2 10 3" xfId="30160" xr:uid="{437FC7AF-4492-4616-9DBA-0F3C1D2362A4}"/>
    <cellStyle name="Total 2 2 10 3 2" xfId="37005" xr:uid="{87A1981D-F449-43B8-A74E-54EEFF406F2B}"/>
    <cellStyle name="Total 2 2 10 4" xfId="32242" xr:uid="{DC75DF54-6AE1-4CB5-9415-530A3E16A0C1}"/>
    <cellStyle name="Total 2 2 11" xfId="25260" xr:uid="{0EA78F24-53B6-43E1-B399-DF9395660121}"/>
    <cellStyle name="Total 2 2 11 2" xfId="27931" xr:uid="{B733FBFF-CE06-45E8-92EC-79E91E6B7296}"/>
    <cellStyle name="Total 2 2 11 2 2" xfId="34776" xr:uid="{00016F50-7BA6-4E63-ABCD-011102D92633}"/>
    <cellStyle name="Total 2 2 11 3" xfId="30012" xr:uid="{0FFFCCE0-CEA3-4260-BC2F-090CC9EB7242}"/>
    <cellStyle name="Total 2 2 11 3 2" xfId="36857" xr:uid="{26A653CF-D747-4280-A037-545527CC5A0C}"/>
    <cellStyle name="Total 2 2 11 4" xfId="32094" xr:uid="{81B776F8-42FA-485E-8A20-06C1F242ACD9}"/>
    <cellStyle name="Total 2 2 12" xfId="23863" xr:uid="{FACF39B5-90C9-4DC5-8817-6DD1673F29D4}"/>
    <cellStyle name="Total 2 2 12 2" xfId="26482" xr:uid="{C3AA3518-5CD5-464D-9422-D549120ACB96}"/>
    <cellStyle name="Total 2 2 12 2 2" xfId="33322" xr:uid="{9EAA5552-D5A1-4948-B1B5-ED8C848C1DC8}"/>
    <cellStyle name="Total 2 2 12 3" xfId="26201" xr:uid="{0CDFFA01-32CC-4E39-9B75-F452FF2DA662}"/>
    <cellStyle name="Total 2 2 12 3 2" xfId="33029" xr:uid="{3A52E9D8-0686-41F6-9149-F1300F8A73C7}"/>
    <cellStyle name="Total 2 2 12 4" xfId="23323" xr:uid="{C9611027-3DC8-4D12-8533-9598E165E31D}"/>
    <cellStyle name="Total 2 2 13" xfId="25584" xr:uid="{C56EEF84-9E97-4486-BC98-77B5F5B81726}"/>
    <cellStyle name="Total 2 2 13 2" xfId="28251" xr:uid="{8B1B75F9-D951-40C2-9C17-0FF52BF54428}"/>
    <cellStyle name="Total 2 2 13 2 2" xfId="35096" xr:uid="{AC9DC677-9417-4D0B-8761-0459ABFB6655}"/>
    <cellStyle name="Total 2 2 13 3" xfId="30332" xr:uid="{24231BFB-8E55-405E-8D5C-AB3EF88F7DDA}"/>
    <cellStyle name="Total 2 2 13 3 2" xfId="37177" xr:uid="{BCEB7FE5-5F16-4462-AB66-63057FC0CB43}"/>
    <cellStyle name="Total 2 2 13 4" xfId="32414" xr:uid="{93DB05C3-77DE-42BF-A7DB-8FD6B3B594EA}"/>
    <cellStyle name="Total 2 2 14" xfId="24045" xr:uid="{F381EB3D-B0C4-44B3-9835-71A6B05D4BE4}"/>
    <cellStyle name="Total 2 2 14 2" xfId="26659" xr:uid="{464F6152-F4D5-4843-A771-D850B8ABF9E3}"/>
    <cellStyle name="Total 2 2 14 2 2" xfId="33499" xr:uid="{1C7D87B5-A90C-49C1-B660-042309ED1CAD}"/>
    <cellStyle name="Total 2 2 14 3" xfId="28735" xr:uid="{AED820D5-D4DA-408C-A668-9D59B8445D89}"/>
    <cellStyle name="Total 2 2 14 3 2" xfId="35580" xr:uid="{AB1D018D-7991-4205-AF11-DDC29F320000}"/>
    <cellStyle name="Total 2 2 14 4" xfId="30817" xr:uid="{653DEF8A-1F13-4041-92D5-0F248B2FC9B0}"/>
    <cellStyle name="Total 2 2 15" xfId="25681" xr:uid="{F7F45EC0-A58E-4931-BD31-928C89FA82AB}"/>
    <cellStyle name="Total 2 2 15 2" xfId="28348" xr:uid="{12C6BF9E-767F-463D-B38F-6E78CB1AD3D6}"/>
    <cellStyle name="Total 2 2 15 2 2" xfId="35193" xr:uid="{8F3E3E01-A39B-4B32-8713-91804DE37CC1}"/>
    <cellStyle name="Total 2 2 15 3" xfId="30429" xr:uid="{0F2E1C11-133D-4B3C-967F-AE8110B18DAA}"/>
    <cellStyle name="Total 2 2 15 3 2" xfId="37274" xr:uid="{6CF6631E-3E0A-4848-ABDB-F57D6D8A3D44}"/>
    <cellStyle name="Total 2 2 15 4" xfId="32511" xr:uid="{6C74C73E-7A1A-4184-ACA1-76C9B4B53A8D}"/>
    <cellStyle name="Total 2 2 16" xfId="24519" xr:uid="{D3DFC995-BDDB-4ADB-B028-05B1FD9F7544}"/>
    <cellStyle name="Total 2 2 16 2" xfId="27124" xr:uid="{66BDEB7B-CD74-4333-9B86-E0171E4B9D5F}"/>
    <cellStyle name="Total 2 2 16 2 2" xfId="33964" xr:uid="{6142FC4A-222E-4334-9F8E-C3A1056DC6A6}"/>
    <cellStyle name="Total 2 2 16 3" xfId="29200" xr:uid="{1A24DC1D-3539-49C0-9ABA-6ECE87103CDA}"/>
    <cellStyle name="Total 2 2 16 3 2" xfId="36045" xr:uid="{304889C3-574E-4319-8A5C-54B10A9B952E}"/>
    <cellStyle name="Total 2 2 16 4" xfId="31282" xr:uid="{692E7E8B-2564-40AC-9AE1-20E863A24A74}"/>
    <cellStyle name="Total 2 2 17" xfId="23771" xr:uid="{201FA7B5-37D7-4069-BEDE-67C1A4CF23D5}"/>
    <cellStyle name="Total 2 2 17 2" xfId="26382" xr:uid="{55148D88-14B0-4D48-8FCE-5D8E3B3C64BF}"/>
    <cellStyle name="Total 2 2 17 2 2" xfId="33221" xr:uid="{2C9A2062-ECB4-46B3-AFEA-F5C4A8850A0C}"/>
    <cellStyle name="Total 2 2 17 3" xfId="26300" xr:uid="{1A38478D-94AE-4CE6-9819-A802F46FCD6F}"/>
    <cellStyle name="Total 2 2 17 3 2" xfId="33128" xr:uid="{42D2EE3C-E190-4C97-8E68-DEBA7F1800D1}"/>
    <cellStyle name="Total 2 2 17 4" xfId="23422" xr:uid="{0E8D7F23-2131-47FE-AEEC-6B8A0DB12B71}"/>
    <cellStyle name="Total 2 2 18" xfId="23687" xr:uid="{2FBB7A4F-34A6-49DE-B646-770A93109E48}"/>
    <cellStyle name="Total 2 2 19" xfId="13666" xr:uid="{FF664B25-FE83-4021-9EFB-187C83A47815}"/>
    <cellStyle name="Total 2 2 2" xfId="5466" xr:uid="{00000000-0005-0000-0000-000084150000}"/>
    <cellStyle name="Total 2 2 2 10" xfId="25133" xr:uid="{6E65E281-0593-446D-A9C2-96B53F93D249}"/>
    <cellStyle name="Total 2 2 2 10 2" xfId="27805" xr:uid="{8BE55E28-AB00-42BB-A5AE-5FC1123CB5ED}"/>
    <cellStyle name="Total 2 2 2 10 2 2" xfId="34650" xr:uid="{D3839F77-CE47-4A41-B026-4554AF46127B}"/>
    <cellStyle name="Total 2 2 2 10 3" xfId="29886" xr:uid="{F9318915-6C85-4CC1-A43B-CCB502C50B7F}"/>
    <cellStyle name="Total 2 2 2 10 3 2" xfId="36731" xr:uid="{FC0AC012-B9E4-4929-8BF1-4C84E9EDF0AE}"/>
    <cellStyle name="Total 2 2 2 10 4" xfId="31968" xr:uid="{AD566C6D-D818-4E72-8D4A-A8040A0FA9F4}"/>
    <cellStyle name="Total 2 2 2 11" xfId="24272" xr:uid="{AE188B1A-22FF-480D-9FEF-77BB56A4C14A}"/>
    <cellStyle name="Total 2 2 2 11 2" xfId="26879" xr:uid="{8B37DA2D-2E7F-4B13-BDA3-5C035CB15CFF}"/>
    <cellStyle name="Total 2 2 2 11 2 2" xfId="33719" xr:uid="{8F7A8998-1CDE-40D5-8BDC-E566282A66AB}"/>
    <cellStyle name="Total 2 2 2 11 3" xfId="28955" xr:uid="{787BD7FB-ADA4-4742-A002-C60817214697}"/>
    <cellStyle name="Total 2 2 2 11 3 2" xfId="35800" xr:uid="{D4E879AA-AB25-4757-ABB4-A6C7EC61020D}"/>
    <cellStyle name="Total 2 2 2 11 4" xfId="31037" xr:uid="{C762C70B-AD09-4253-9BDE-4BB2C9CC7BF4}"/>
    <cellStyle name="Total 2 2 2 12" xfId="23798" xr:uid="{045C05DB-A528-470F-8912-BDDE4C175DE9}"/>
    <cellStyle name="Total 2 2 2 12 2" xfId="26412" xr:uid="{5485A438-2F39-4ABF-8130-0612DD1F0462}"/>
    <cellStyle name="Total 2 2 2 12 2 2" xfId="33252" xr:uid="{E07079F4-D61F-455F-A311-57EA97114C7A}"/>
    <cellStyle name="Total 2 2 2 12 3" xfId="26270" xr:uid="{3CFED8F8-9700-4C61-8ACE-5FB8B7FB0D3B}"/>
    <cellStyle name="Total 2 2 2 12 3 2" xfId="33098" xr:uid="{A7853FC3-28EB-4F10-B13B-43BF4FFF5D21}"/>
    <cellStyle name="Total 2 2 2 12 4" xfId="23392" xr:uid="{07DDCF09-F610-4EE5-9F24-AFFE771A7B4E}"/>
    <cellStyle name="Total 2 2 2 13" xfId="24265" xr:uid="{E00B9372-9AE3-4483-8ABE-A2F5184F430A}"/>
    <cellStyle name="Total 2 2 2 13 2" xfId="26872" xr:uid="{25865291-BF58-44BA-8798-F0EB73CED0E4}"/>
    <cellStyle name="Total 2 2 2 13 2 2" xfId="33712" xr:uid="{CC0286F4-ACAB-4863-BF60-918DA5154344}"/>
    <cellStyle name="Total 2 2 2 13 3" xfId="28948" xr:uid="{1A5CB79A-431F-4BE6-ACCA-013F053F672F}"/>
    <cellStyle name="Total 2 2 2 13 3 2" xfId="35793" xr:uid="{46C616F7-D85A-4CF2-B0D3-45F9ED95B4E7}"/>
    <cellStyle name="Total 2 2 2 13 4" xfId="31030" xr:uid="{755D9E27-3ABA-4621-8798-BE6FBB3CA44C}"/>
    <cellStyle name="Total 2 2 2 14" xfId="25595" xr:uid="{FA51D191-F43C-4203-8FCD-40AF904CB685}"/>
    <cellStyle name="Total 2 2 2 14 2" xfId="28262" xr:uid="{117B5297-CF9D-4D79-AF00-01CF99F57C32}"/>
    <cellStyle name="Total 2 2 2 14 2 2" xfId="35107" xr:uid="{B24A4BD8-7302-4E1D-A5C4-BE57C4E01737}"/>
    <cellStyle name="Total 2 2 2 14 3" xfId="30343" xr:uid="{CCE2208C-B586-4CA0-8861-BA5EF22E310C}"/>
    <cellStyle name="Total 2 2 2 14 3 2" xfId="37188" xr:uid="{E17813C2-36D6-492B-89E8-0B21B378B864}"/>
    <cellStyle name="Total 2 2 2 14 4" xfId="32425" xr:uid="{B29B474A-5526-4F0D-97C0-BD134FF3FC28}"/>
    <cellStyle name="Total 2 2 2 15" xfId="24662" xr:uid="{BF6B7AE4-E775-4230-9EBF-EE26F1323B53}"/>
    <cellStyle name="Total 2 2 2 15 2" xfId="27275" xr:uid="{52740F8F-AE27-4E9A-A489-808616DD37A0}"/>
    <cellStyle name="Total 2 2 2 15 2 2" xfId="34119" xr:uid="{787C3527-8FF4-4FCD-B43A-D8564D1022EA}"/>
    <cellStyle name="Total 2 2 2 15 3" xfId="29355" xr:uid="{289F26A4-715B-4A69-BBEB-F56342E2BDBB}"/>
    <cellStyle name="Total 2 2 2 15 3 2" xfId="36200" xr:uid="{F68B5665-7C10-467E-88D8-C06DC2FC8EB3}"/>
    <cellStyle name="Total 2 2 2 15 4" xfId="31437" xr:uid="{35178AE9-21FB-423C-A4D5-1F4B980DE555}"/>
    <cellStyle name="Total 2 2 2 16" xfId="24940" xr:uid="{CFCFE623-0212-4BA7-9C24-683FD9272737}"/>
    <cellStyle name="Total 2 2 2 16 2" xfId="27610" xr:uid="{326A8253-AFBB-4B1D-BB89-3C4CA0BC1525}"/>
    <cellStyle name="Total 2 2 2 16 2 2" xfId="34454" xr:uid="{5C6D8F58-441C-4B43-8C93-242B25637B4D}"/>
    <cellStyle name="Total 2 2 2 16 3" xfId="29690" xr:uid="{766B8C85-FEED-4EA6-8482-9095293AA869}"/>
    <cellStyle name="Total 2 2 2 16 3 2" xfId="36535" xr:uid="{10F62311-C94D-48F1-BDCA-0F6C3C6DEE1B}"/>
    <cellStyle name="Total 2 2 2 16 4" xfId="31772" xr:uid="{973CB342-FA57-4EC3-ACF6-E2566C4CAD3E}"/>
    <cellStyle name="Total 2 2 2 17" xfId="25428" xr:uid="{E8CD25D7-1424-4155-8C20-C5F2438D9429}"/>
    <cellStyle name="Total 2 2 2 17 2" xfId="28095" xr:uid="{D7440502-E641-4FFA-B624-BB939761106A}"/>
    <cellStyle name="Total 2 2 2 17 2 2" xfId="34940" xr:uid="{9B75EBFD-CE6D-463A-B590-D669C7C11339}"/>
    <cellStyle name="Total 2 2 2 17 3" xfId="30176" xr:uid="{719F3CE2-903F-430A-83D5-E4E67A6C45CF}"/>
    <cellStyle name="Total 2 2 2 17 3 2" xfId="37021" xr:uid="{C7D05676-2DC1-4BA7-B490-14848CD46528}"/>
    <cellStyle name="Total 2 2 2 17 4" xfId="32258" xr:uid="{547993DB-735E-4719-9F85-D19E03248621}"/>
    <cellStyle name="Total 2 2 2 18" xfId="23117" xr:uid="{FB5F7BEA-3B8A-4A46-A358-33E83FBF1EBB}"/>
    <cellStyle name="Total 2 2 2 19" xfId="13667" xr:uid="{21CCA0AF-400B-4250-B94E-A3A646DD6D50}"/>
    <cellStyle name="Total 2 2 2 2" xfId="5467" xr:uid="{00000000-0005-0000-0000-000085150000}"/>
    <cellStyle name="Total 2 2 2 2 10" xfId="24754" xr:uid="{9721EBBE-B0F9-4C80-84C1-9AF686395537}"/>
    <cellStyle name="Total 2 2 2 2 10 2" xfId="27408" xr:uid="{8C656BD1-FA52-4D00-8E4A-93D18644676F}"/>
    <cellStyle name="Total 2 2 2 2 10 2 2" xfId="34252" xr:uid="{8B39F7F5-0D80-42F8-823D-DBA3317C5AD0}"/>
    <cellStyle name="Total 2 2 2 2 10 3" xfId="29488" xr:uid="{24354E86-D301-42D9-BCD3-2A8A18BC100C}"/>
    <cellStyle name="Total 2 2 2 2 10 3 2" xfId="36333" xr:uid="{A0264D54-5293-4794-A248-DA54EC4EF011}"/>
    <cellStyle name="Total 2 2 2 2 10 4" xfId="31570" xr:uid="{5132AE9E-50B8-448F-A788-4107020F08C1}"/>
    <cellStyle name="Total 2 2 2 2 11" xfId="25244" xr:uid="{92920900-D7AA-4718-971D-06A7C87B852A}"/>
    <cellStyle name="Total 2 2 2 2 11 2" xfId="27915" xr:uid="{C5704D58-5093-46E8-AEB0-892BBBC58F26}"/>
    <cellStyle name="Total 2 2 2 2 11 2 2" xfId="34760" xr:uid="{2A6FF487-17F6-49AD-ABC2-F220A6225873}"/>
    <cellStyle name="Total 2 2 2 2 11 3" xfId="29996" xr:uid="{A65D0E03-D4F4-4A0E-8700-40FB0C8F32EF}"/>
    <cellStyle name="Total 2 2 2 2 11 3 2" xfId="36841" xr:uid="{29325B60-2519-455A-871C-6C835A60A754}"/>
    <cellStyle name="Total 2 2 2 2 11 4" xfId="32078" xr:uid="{50ED24D9-7CEB-4765-98A6-B16F045653E2}"/>
    <cellStyle name="Total 2 2 2 2 12" xfId="25567" xr:uid="{B8500457-A9A5-48C9-A069-283365C31C65}"/>
    <cellStyle name="Total 2 2 2 2 12 2" xfId="28234" xr:uid="{F25E5EC1-FE58-468C-9CA2-63057BF8BAAF}"/>
    <cellStyle name="Total 2 2 2 2 12 2 2" xfId="35079" xr:uid="{16A427CC-3933-4C52-AC78-A2077FB4813F}"/>
    <cellStyle name="Total 2 2 2 2 12 3" xfId="30315" xr:uid="{B3A92C15-D374-45F9-979A-B88D6621B934}"/>
    <cellStyle name="Total 2 2 2 2 12 3 2" xfId="37160" xr:uid="{589B8401-9B64-447A-B164-FE8309C9D7CA}"/>
    <cellStyle name="Total 2 2 2 2 12 4" xfId="32397" xr:uid="{E025DAE7-8718-4E11-9093-994425B9E4C0}"/>
    <cellStyle name="Total 2 2 2 2 13" xfId="24493" xr:uid="{057D4F4E-6380-419A-9E9F-ADDD0B5F3542}"/>
    <cellStyle name="Total 2 2 2 2 13 2" xfId="27104" xr:uid="{9BA08F6A-9202-491B-80C9-63E75418AE24}"/>
    <cellStyle name="Total 2 2 2 2 13 2 2" xfId="33944" xr:uid="{C5717FB2-DC0F-4FED-B604-B0A1E419A4FA}"/>
    <cellStyle name="Total 2 2 2 2 13 3" xfId="29180" xr:uid="{252B21F1-7FF4-4BBA-81C1-9A8E559BB020}"/>
    <cellStyle name="Total 2 2 2 2 13 3 2" xfId="36025" xr:uid="{263BB879-56CA-4B7F-80FC-AE81AE2BF5AF}"/>
    <cellStyle name="Total 2 2 2 2 13 4" xfId="31262" xr:uid="{B971EA4E-EC9A-4D8E-BD9F-139C4D04559C}"/>
    <cellStyle name="Total 2 2 2 2 14" xfId="25129" xr:uid="{0656DF53-817B-45E6-B9C3-7CBA6D55E87C}"/>
    <cellStyle name="Total 2 2 2 2 14 2" xfId="27801" xr:uid="{0378A919-C0D2-4230-AB7C-BEDD0D432068}"/>
    <cellStyle name="Total 2 2 2 2 14 2 2" xfId="34646" xr:uid="{F7C65BE4-BA65-4F5B-9E04-B2DDD3C97745}"/>
    <cellStyle name="Total 2 2 2 2 14 3" xfId="29882" xr:uid="{A3A350ED-740F-4891-A5A8-8AADADBAD78D}"/>
    <cellStyle name="Total 2 2 2 2 14 3 2" xfId="36727" xr:uid="{B5F0580A-3245-4CDF-83A4-524BDCBE8A5E}"/>
    <cellStyle name="Total 2 2 2 2 14 4" xfId="31964" xr:uid="{B268BC91-39E7-4500-B702-B7081C19E588}"/>
    <cellStyle name="Total 2 2 2 2 15" xfId="25719" xr:uid="{42BDBE5C-A2A5-457B-AC87-DAF1ECA5D652}"/>
    <cellStyle name="Total 2 2 2 2 15 2" xfId="28386" xr:uid="{B88EA75D-10DF-416C-BCA5-1813EC46F722}"/>
    <cellStyle name="Total 2 2 2 2 15 2 2" xfId="35231" xr:uid="{B7CC8D7C-3F3D-4024-9FEA-6EFF39FDC7D1}"/>
    <cellStyle name="Total 2 2 2 2 15 3" xfId="30467" xr:uid="{897D1DC0-4AB2-47E9-B511-3B28D93C2D99}"/>
    <cellStyle name="Total 2 2 2 2 15 3 2" xfId="37312" xr:uid="{988AE054-0C22-4823-AE9A-A18B8E0ED1C1}"/>
    <cellStyle name="Total 2 2 2 2 15 4" xfId="32549" xr:uid="{D9A69939-29E3-4F65-8C3F-341FF2273280}"/>
    <cellStyle name="Total 2 2 2 2 16" xfId="23588" xr:uid="{B0AE0473-7612-45C1-ACED-1260C3A91732}"/>
    <cellStyle name="Total 2 2 2 2 17" xfId="16549" xr:uid="{D69A4F39-9CF2-4732-A958-60D6F9750120}"/>
    <cellStyle name="Total 2 2 2 2 18" xfId="39494" xr:uid="{3491BE67-D106-4309-A3C4-AC2106185E50}"/>
    <cellStyle name="Total 2 2 2 2 2" xfId="10981" xr:uid="{00000000-0005-0000-0000-0000CB220000}"/>
    <cellStyle name="Total 2 2 2 2 2 10" xfId="18927" xr:uid="{ADE75896-BF81-4AD3-AF51-0701E7D24201}"/>
    <cellStyle name="Total 2 2 2 2 2 11" xfId="22194" xr:uid="{E76D9BC2-F238-4AD4-8AC8-E4062882B2DA}"/>
    <cellStyle name="Total 2 2 2 2 2 12" xfId="22829" xr:uid="{985B0958-4E66-41F1-B571-ED4F487A4FBF}"/>
    <cellStyle name="Total 2 2 2 2 2 13" xfId="19339" xr:uid="{C30B4D45-903A-43D9-91C9-A9FF6E89879D}"/>
    <cellStyle name="Total 2 2 2 2 2 14" xfId="22963" xr:uid="{41E3C40A-9B53-4CE1-A244-8C08926F4C74}"/>
    <cellStyle name="Total 2 2 2 2 2 15" xfId="22683" xr:uid="{11535AB2-7239-423D-96CD-935AFE752FBB}"/>
    <cellStyle name="Total 2 2 2 2 2 16" xfId="31446" xr:uid="{1B0AB5BD-5DD1-4854-8FD1-E0330590C6CF}"/>
    <cellStyle name="Total 2 2 2 2 2 17" xfId="18791" xr:uid="{69902C09-61A3-4525-B80A-64867F4E307F}"/>
    <cellStyle name="Total 2 2 2 2 2 18" xfId="43470" xr:uid="{81D695A1-F6EF-4DE2-9D22-A4CB7B129289}"/>
    <cellStyle name="Total 2 2 2 2 2 2" xfId="19759" xr:uid="{9B8578C8-28DA-4CDA-9236-EBD6F1ABA38D}"/>
    <cellStyle name="Total 2 2 2 2 2 2 2" xfId="27284" xr:uid="{96902D67-78A0-4A2B-8469-6BD4B1033F5C}"/>
    <cellStyle name="Total 2 2 2 2 2 2 3" xfId="34128" xr:uid="{4F21D294-DB23-41CA-80E3-9F1B2AABBD32}"/>
    <cellStyle name="Total 2 2 2 2 2 3" xfId="20044" xr:uid="{DA1F930D-6B67-46CC-97EA-899C706B39DB}"/>
    <cellStyle name="Total 2 2 2 2 2 3 2" xfId="29364" xr:uid="{924DA919-F5D9-4F01-A8BB-92E5C7951B8C}"/>
    <cellStyle name="Total 2 2 2 2 2 3 3" xfId="36209" xr:uid="{37A7724E-306E-4701-8840-1A6C5FB50DEA}"/>
    <cellStyle name="Total 2 2 2 2 2 4" xfId="19500" xr:uid="{A07D7A6C-E3FC-444C-A97A-834180450146}"/>
    <cellStyle name="Total 2 2 2 2 2 5" xfId="19619" xr:uid="{F6B21AF6-D890-4D99-9917-A5EC600D41B1}"/>
    <cellStyle name="Total 2 2 2 2 2 6" xfId="20998" xr:uid="{2EE9550F-39AE-41DF-9D26-34B0041E4977}"/>
    <cellStyle name="Total 2 2 2 2 2 7" xfId="20084" xr:uid="{E286D0A3-3E7F-4879-8A02-9668E03F88CA}"/>
    <cellStyle name="Total 2 2 2 2 2 8" xfId="21881" xr:uid="{C0FE8DA0-89F6-40BE-9C54-3F8703D4D4B0}"/>
    <cellStyle name="Total 2 2 2 2 2 9" xfId="22584" xr:uid="{C9642DC1-080D-4ABC-97E4-C74F69A4D5FA}"/>
    <cellStyle name="Total 2 2 2 2 3" xfId="9516" xr:uid="{00000000-0005-0000-0000-0000FE250000}"/>
    <cellStyle name="Total 2 2 2 2 3 10" xfId="21486" xr:uid="{01F1FD56-FD49-41B1-B968-714D8BB66E51}"/>
    <cellStyle name="Total 2 2 2 2 3 11" xfId="21731" xr:uid="{7536CF3A-5966-45E2-B691-85EC09494203}"/>
    <cellStyle name="Total 2 2 2 2 3 12" xfId="20944" xr:uid="{9E7A1A32-40B4-452B-99DD-498AE2862B0D}"/>
    <cellStyle name="Total 2 2 2 2 3 13" xfId="20384" xr:uid="{BE9051B1-D030-4512-8B27-E8A0F59D3E22}"/>
    <cellStyle name="Total 2 2 2 2 3 14" xfId="22399" xr:uid="{F89E3BD1-D38C-4886-9CFF-84D973BBB189}"/>
    <cellStyle name="Total 2 2 2 2 3 15" xfId="21400" xr:uid="{D86CAE64-999E-476A-B6FB-0C74B91776BB}"/>
    <cellStyle name="Total 2 2 2 2 3 16" xfId="31541" xr:uid="{A87ED864-7451-459D-8F84-E7EFA910C473}"/>
    <cellStyle name="Total 2 2 2 2 3 17" xfId="18289" xr:uid="{52CAC6F1-D5D3-4C3A-846B-5BD3130DE81C}"/>
    <cellStyle name="Total 2 2 2 2 3 18" xfId="42005" xr:uid="{F51EB3AB-C0D2-46D4-9696-FD3BBB482D12}"/>
    <cellStyle name="Total 2 2 2 2 3 19" xfId="37750" xr:uid="{AFCCA220-79A9-49BF-89B3-632870601AD8}"/>
    <cellStyle name="Total 2 2 2 2 3 2" xfId="20225" xr:uid="{2126EC40-EE30-4AD2-B0C1-3E97A0C8AF0D}"/>
    <cellStyle name="Total 2 2 2 2 3 2 2" xfId="27379" xr:uid="{D835F29F-54F5-4509-94E8-49DA91DBB996}"/>
    <cellStyle name="Total 2 2 2 2 3 2 3" xfId="34223" xr:uid="{818C2602-C209-46BC-BE2A-60929CE52E97}"/>
    <cellStyle name="Total 2 2 2 2 3 20" xfId="15785" xr:uid="{2A786468-AC77-4BB7-A335-188036D5D79F}"/>
    <cellStyle name="Total 2 2 2 2 3 21" xfId="40715" xr:uid="{A3BB2851-4118-424B-9264-BE57BA4B27CF}"/>
    <cellStyle name="Total 2 2 2 2 3 22" xfId="41647" xr:uid="{D8AF5C57-6EFB-4EF2-9902-7BA7245C9C94}"/>
    <cellStyle name="Total 2 2 2 2 3 3" xfId="21569" xr:uid="{2BA24302-6C99-40CE-8837-C0886F5F8872}"/>
    <cellStyle name="Total 2 2 2 2 3 3 2" xfId="29459" xr:uid="{6CF85776-FEA2-47D8-A4B7-8D1F59697611}"/>
    <cellStyle name="Total 2 2 2 2 3 3 3" xfId="36304" xr:uid="{459B0310-97F4-46FD-8F31-3BA0D7FA2C2A}"/>
    <cellStyle name="Total 2 2 2 2 3 4" xfId="19100" xr:uid="{01E5C59D-0799-4566-B193-B773277E9741}"/>
    <cellStyle name="Total 2 2 2 2 3 5" xfId="20707" xr:uid="{46A48B45-8F84-42A1-A375-3C9C6753E860}"/>
    <cellStyle name="Total 2 2 2 2 3 6" xfId="21423" xr:uid="{071A6AFC-4B2E-4E77-BE2A-1154136CC778}"/>
    <cellStyle name="Total 2 2 2 2 3 7" xfId="20065" xr:uid="{7170D108-F2A4-459E-B89D-869D51FAD41C}"/>
    <cellStyle name="Total 2 2 2 2 3 8" xfId="18919" xr:uid="{8FC3ABAF-4D66-44E2-B8C0-F468C908603B}"/>
    <cellStyle name="Total 2 2 2 2 3 9" xfId="20294" xr:uid="{71540962-35D3-430B-9597-C381211DE99A}"/>
    <cellStyle name="Total 2 2 2 2 4" xfId="17713" xr:uid="{5CFF800D-C7DF-45B9-A62D-77879927C31B}"/>
    <cellStyle name="Total 2 2 2 2 4 2" xfId="26391" xr:uid="{7FE6CF6F-2D0A-4C3E-A064-8BA89B44CDF4}"/>
    <cellStyle name="Total 2 2 2 2 4 2 2" xfId="33231" xr:uid="{93445DAF-6F62-4842-AEBF-C3963D677053}"/>
    <cellStyle name="Total 2 2 2 2 4 3" xfId="26290" xr:uid="{3485782F-9125-46A9-A787-C6676057C34A}"/>
    <cellStyle name="Total 2 2 2 2 4 3 2" xfId="33118" xr:uid="{4CF01558-FE3F-4C26-AE6B-65D04B4695C9}"/>
    <cellStyle name="Total 2 2 2 2 4 4" xfId="23778" xr:uid="{A63279CF-A87E-4AAA-A618-23EEBCE9AC5D}"/>
    <cellStyle name="Total 2 2 2 2 4 5" xfId="23412" xr:uid="{89DE1CD5-8F5F-4AC7-BC18-058BDBB84465}"/>
    <cellStyle name="Total 2 2 2 2 5" xfId="23859" xr:uid="{1BBB3E0A-96FF-4FF4-A8C6-E8B9A88D8E6F}"/>
    <cellStyle name="Total 2 2 2 2 5 2" xfId="26478" xr:uid="{A9E81246-3F6E-4B63-8BB6-2B06EB5E65CC}"/>
    <cellStyle name="Total 2 2 2 2 5 2 2" xfId="33318" xr:uid="{B11C02A8-2138-46F2-A861-7A9A14C45B00}"/>
    <cellStyle name="Total 2 2 2 2 5 3" xfId="26205" xr:uid="{85E0D96A-04D0-4227-9D0B-53A3155E53C6}"/>
    <cellStyle name="Total 2 2 2 2 5 3 2" xfId="33033" xr:uid="{AE74D523-9E24-48A9-8DF8-411B61A75E01}"/>
    <cellStyle name="Total 2 2 2 2 5 4" xfId="23327" xr:uid="{CCDD057E-6DF3-4166-8F56-49ABC344915A}"/>
    <cellStyle name="Total 2 2 2 2 6" xfId="25043" xr:uid="{E00951DF-204F-4375-9401-EDA54D38DE2D}"/>
    <cellStyle name="Total 2 2 2 2 6 2" xfId="27715" xr:uid="{10B2A10C-4AEC-4227-A116-AB164B0E8627}"/>
    <cellStyle name="Total 2 2 2 2 6 2 2" xfId="34560" xr:uid="{86484904-57D9-449C-A80E-93B86ADFFD0A}"/>
    <cellStyle name="Total 2 2 2 2 6 3" xfId="29796" xr:uid="{7319FC06-5DE1-4AC4-9196-DAAEE2543E1D}"/>
    <cellStyle name="Total 2 2 2 2 6 3 2" xfId="36641" xr:uid="{0B6CF57F-56B9-40A7-ADFC-4A0948069032}"/>
    <cellStyle name="Total 2 2 2 2 6 4" xfId="31878" xr:uid="{681D0F61-46AC-4F72-B005-6F56646A5D98}"/>
    <cellStyle name="Total 2 2 2 2 7" xfId="24815" xr:uid="{7CCDDBCC-ABD2-44FE-95C6-B01ACEA54755}"/>
    <cellStyle name="Total 2 2 2 2 7 2" xfId="27473" xr:uid="{B389216D-97E4-49B0-9129-F0660B99EE24}"/>
    <cellStyle name="Total 2 2 2 2 7 2 2" xfId="34317" xr:uid="{26D579CF-E9AC-4444-B731-8281949565E2}"/>
    <cellStyle name="Total 2 2 2 2 7 3" xfId="29553" xr:uid="{0372AE9B-D696-4FE1-81F9-F6B0AD7CD6A4}"/>
    <cellStyle name="Total 2 2 2 2 7 3 2" xfId="36398" xr:uid="{BE42F10D-C76F-480C-9A4E-9E204489F157}"/>
    <cellStyle name="Total 2 2 2 2 7 4" xfId="31635" xr:uid="{151C34F4-795C-4662-872F-7AB14F3C7686}"/>
    <cellStyle name="Total 2 2 2 2 8" xfId="23972" xr:uid="{B30DC845-A2A9-4B45-8250-55598DB5AB11}"/>
    <cellStyle name="Total 2 2 2 2 8 2" xfId="26589" xr:uid="{38D52A41-ACA2-41F5-928C-D0F9BBFD8E6C}"/>
    <cellStyle name="Total 2 2 2 2 8 2 2" xfId="33429" xr:uid="{C88B5D7F-D3AB-4BBF-B338-682A76DB52BD}"/>
    <cellStyle name="Total 2 2 2 2 8 3" xfId="26104" xr:uid="{8475FFFE-7FBF-44C2-B328-9712C771485E}"/>
    <cellStyle name="Total 2 2 2 2 8 3 2" xfId="32932" xr:uid="{C6502188-5A82-49D6-BCE5-CD2AD678BEF7}"/>
    <cellStyle name="Total 2 2 2 2 8 4" xfId="23226" xr:uid="{C2EB6377-B5AD-4422-90A4-C195BB7A80D9}"/>
    <cellStyle name="Total 2 2 2 2 9" xfId="25314" xr:uid="{E99C9E67-85A3-495F-8354-DB265724B51C}"/>
    <cellStyle name="Total 2 2 2 2 9 2" xfId="27984" xr:uid="{8AA4F24A-F843-41A6-9540-13535C5CD43F}"/>
    <cellStyle name="Total 2 2 2 2 9 2 2" xfId="34829" xr:uid="{1CD93A5A-DAB1-4ECD-A5AE-6DC6AC6DECA2}"/>
    <cellStyle name="Total 2 2 2 2 9 3" xfId="30065" xr:uid="{945118A6-2B76-4DCD-A040-3BDB9483B11B}"/>
    <cellStyle name="Total 2 2 2 2 9 3 2" xfId="36910" xr:uid="{7CEFE5BA-A5B3-4A94-AF5E-BDA534AFFED8}"/>
    <cellStyle name="Total 2 2 2 2 9 4" xfId="32147" xr:uid="{753A36FB-6447-4437-8CA8-E2850FAFA521}"/>
    <cellStyle name="Total 2 2 2 20" xfId="39493" xr:uid="{305EBBD9-56C8-44B4-B76D-1CCECBE744A1}"/>
    <cellStyle name="Total 2 2 2 3" xfId="5468" xr:uid="{00000000-0005-0000-0000-000086150000}"/>
    <cellStyle name="Total 2 2 2 3 2" xfId="10982" xr:uid="{00000000-0005-0000-0000-0000CC220000}"/>
    <cellStyle name="Total 2 2 2 3 2 2" xfId="43471" xr:uid="{2186A069-57F8-40BB-A634-2306CCB965B6}"/>
    <cellStyle name="Total 2 2 2 3 3" xfId="9329" xr:uid="{00000000-0005-0000-0000-0000FD250000}"/>
    <cellStyle name="Total 2 2 2 3 3 2" xfId="41850" xr:uid="{CACB0864-DFC4-45D7-BF79-7582F511EC1D}"/>
    <cellStyle name="Total 2 2 2 3 3 3" xfId="46521" xr:uid="{EAA73FC9-58FE-42BB-B736-AAC65D13E2AE}"/>
    <cellStyle name="Total 2 2 2 3 3 4" xfId="48465" xr:uid="{B641A124-2FDC-4FB1-9885-EC87278F5169}"/>
    <cellStyle name="Total 2 2 2 3 3 5" xfId="16438" xr:uid="{3E58CB02-9E6D-480D-8E3A-2077D749DE2C}"/>
    <cellStyle name="Total 2 2 2 3 3 6" xfId="49364" xr:uid="{9E1A4AE3-E670-4974-ACDD-B56F445F37A9}"/>
    <cellStyle name="Total 2 2 2 3 4" xfId="16550" xr:uid="{2B79572B-A521-45CE-9838-415A2B467A7D}"/>
    <cellStyle name="Total 2 2 2 3 5" xfId="39495" xr:uid="{B809E30A-C5DA-4FBC-B49F-EEA7CBD517BB}"/>
    <cellStyle name="Total 2 2 2 4" xfId="5469" xr:uid="{00000000-0005-0000-0000-000087150000}"/>
    <cellStyle name="Total 2 2 2 4 10" xfId="22471" xr:uid="{17C83231-BD01-464F-A099-C0A6005FB9D6}"/>
    <cellStyle name="Total 2 2 2 4 11" xfId="20145" xr:uid="{15B7A2E5-CF16-4D73-A33B-6AF77342FD29}"/>
    <cellStyle name="Total 2 2 2 4 12" xfId="22828" xr:uid="{6D89FDFC-C1CE-4A08-BA34-0394D79770A8}"/>
    <cellStyle name="Total 2 2 2 4 13" xfId="22735" xr:uid="{C83AAB04-36EA-4389-AD1B-9AD7E02D9DDA}"/>
    <cellStyle name="Total 2 2 2 4 14" xfId="22962" xr:uid="{9297942E-80DE-4349-86BE-60D3848399AF}"/>
    <cellStyle name="Total 2 2 2 4 15" xfId="18948" xr:uid="{E702ED8C-8DB0-4F0A-B757-AE11569C7BBF}"/>
    <cellStyle name="Total 2 2 2 4 16" xfId="18790" xr:uid="{45F23103-8F22-4406-A675-C8B861503FA2}"/>
    <cellStyle name="Total 2 2 2 4 17" xfId="31321" xr:uid="{9FCACEF6-BD26-492C-81CD-A559DA336B16}"/>
    <cellStyle name="Total 2 2 2 4 18" xfId="16548" xr:uid="{A2ABE47C-E77C-4AC3-90A5-1C4F43EA45C1}"/>
    <cellStyle name="Total 2 2 2 4 19" xfId="39496" xr:uid="{7CE3A5E6-025B-4E91-9DDC-2EAFE138C140}"/>
    <cellStyle name="Total 2 2 2 4 2" xfId="10983" xr:uid="{00000000-0005-0000-0000-0000CD220000}"/>
    <cellStyle name="Total 2 2 2 4 2 2" xfId="27162" xr:uid="{155E6B12-428C-44D2-8B97-6EA2611B294B}"/>
    <cellStyle name="Total 2 2 2 4 2 3" xfId="34003" xr:uid="{8D124C14-8D9B-46CF-8973-7FD514DC5BB9}"/>
    <cellStyle name="Total 2 2 2 4 2 4" xfId="19760" xr:uid="{49272F7F-2FA7-4777-92BD-9EBADC79685E}"/>
    <cellStyle name="Total 2 2 2 4 2 5" xfId="43472" xr:uid="{DB907281-DE5A-48FD-8BF3-705F8878D99B}"/>
    <cellStyle name="Total 2 2 2 4 3" xfId="19392" xr:uid="{4C4E33DB-58D7-4C10-B52B-CB73436501D6}"/>
    <cellStyle name="Total 2 2 2 4 3 2" xfId="29239" xr:uid="{B6A8C15D-486A-43E8-BD2E-A713A6B3F24A}"/>
    <cellStyle name="Total 2 2 2 4 3 3" xfId="36084" xr:uid="{55EE1A4F-0002-41F1-81C3-4878CA767544}"/>
    <cellStyle name="Total 2 2 2 4 4" xfId="20940" xr:uid="{D6CBFE87-0E7D-49C1-95FA-CA1E9E174734}"/>
    <cellStyle name="Total 2 2 2 4 5" xfId="21550" xr:uid="{F46F3182-D11F-4E6C-A122-EF2529E42BA8}"/>
    <cellStyle name="Total 2 2 2 4 6" xfId="19886" xr:uid="{F2662223-ACA1-40C8-9678-1DD36BF38A86}"/>
    <cellStyle name="Total 2 2 2 4 7" xfId="20735" xr:uid="{39C37492-0603-4AFD-A284-4D9F3A2EC020}"/>
    <cellStyle name="Total 2 2 2 4 8" xfId="21722" xr:uid="{FAB3F101-9B4A-49AD-99FE-1C1056BA0E23}"/>
    <cellStyle name="Total 2 2 2 4 9" xfId="22583" xr:uid="{94FAE7E1-8BF1-4EFF-AF62-2AC381950776}"/>
    <cellStyle name="Total 2 2 2 5" xfId="10980" xr:uid="{00000000-0005-0000-0000-0000CA220000}"/>
    <cellStyle name="Total 2 2 2 5 10" xfId="20596" xr:uid="{AAFFA77F-1B5E-4992-A28A-63E93A166ABC}"/>
    <cellStyle name="Total 2 2 2 5 11" xfId="22277" xr:uid="{8585AB47-6A0C-415E-8A68-1613BD19D127}"/>
    <cellStyle name="Total 2 2 2 5 12" xfId="21316" xr:uid="{8F421B1B-BC77-42E4-82DD-89B0105CE4AD}"/>
    <cellStyle name="Total 2 2 2 5 13" xfId="21890" xr:uid="{698BEA6A-B055-4B37-987A-1A470DC038FF}"/>
    <cellStyle name="Total 2 2 2 5 14" xfId="22734" xr:uid="{28075C37-8178-480D-876E-10A17BB125D2}"/>
    <cellStyle name="Total 2 2 2 5 15" xfId="20988" xr:uid="{D366CDB8-1946-45F8-A7AD-AC7AC86D4B31}"/>
    <cellStyle name="Total 2 2 2 5 16" xfId="31267" xr:uid="{4904DFF8-654B-4D4A-9FB3-44F7C0150E4D}"/>
    <cellStyle name="Total 2 2 2 5 17" xfId="18288" xr:uid="{D0D1A547-ECDE-42C2-A9FB-43708E569A1F}"/>
    <cellStyle name="Total 2 2 2 5 18" xfId="43469" xr:uid="{79081965-3500-4D88-B4F7-BF2C23BF8FA4}"/>
    <cellStyle name="Total 2 2 2 5 2" xfId="21365" xr:uid="{136A0E70-4B9E-4A15-8A2D-0E89B8AD762B}"/>
    <cellStyle name="Total 2 2 2 5 2 2" xfId="27109" xr:uid="{C7264ACB-194B-45FF-9A6F-5C08154A27C7}"/>
    <cellStyle name="Total 2 2 2 5 2 3" xfId="33949" xr:uid="{DD659925-C8F9-49B5-909D-1E8696FF2E81}"/>
    <cellStyle name="Total 2 2 2 5 3" xfId="20207" xr:uid="{82B0F9AA-3B91-41A5-A8A3-C0034429DFB5}"/>
    <cellStyle name="Total 2 2 2 5 3 2" xfId="29185" xr:uid="{1DB60475-C369-4C97-B993-D3B2769D4D41}"/>
    <cellStyle name="Total 2 2 2 5 3 3" xfId="36030" xr:uid="{EA0649C6-5EC9-41AC-83D3-B2B1D470FC37}"/>
    <cellStyle name="Total 2 2 2 5 4" xfId="19677" xr:uid="{E0FD27BE-CFBE-49FE-9981-2C336920FD23}"/>
    <cellStyle name="Total 2 2 2 5 5" xfId="20546" xr:uid="{B9EDB1B7-E00D-47AE-85D7-038624EFBC3E}"/>
    <cellStyle name="Total 2 2 2 5 6" xfId="20101" xr:uid="{CA9761C3-6EF2-483E-B396-5F192D3B0B72}"/>
    <cellStyle name="Total 2 2 2 5 7" xfId="19088" xr:uid="{8E69BDE3-5B4A-4572-B85A-7B1DF8733089}"/>
    <cellStyle name="Total 2 2 2 5 8" xfId="19126" xr:uid="{81B6047E-464F-44AB-AF18-AB2228A3B762}"/>
    <cellStyle name="Total 2 2 2 5 9" xfId="21298" xr:uid="{1BD6577E-FD9E-4600-A963-24AB9F98FEA2}"/>
    <cellStyle name="Total 2 2 2 6" xfId="9218" xr:uid="{00000000-0005-0000-0000-00008D110000}"/>
    <cellStyle name="Total 2 2 2 6 2" xfId="27637" xr:uid="{A887638C-657C-4B24-B095-3B11BFA02273}"/>
    <cellStyle name="Total 2 2 2 6 2 2" xfId="34482" xr:uid="{B20E1955-02AA-4FB8-95D4-4C8C1B7AE025}"/>
    <cellStyle name="Total 2 2 2 6 3" xfId="29718" xr:uid="{B7D99E1C-6153-46EE-8F2C-7DB4CA2D4B41}"/>
    <cellStyle name="Total 2 2 2 6 3 2" xfId="36563" xr:uid="{C9C4C7C7-9416-4971-9D09-048E212672F2}"/>
    <cellStyle name="Total 2 2 2 6 4" xfId="24967" xr:uid="{33E0B62B-34FF-4FBD-B08E-B91CAD668AD0}"/>
    <cellStyle name="Total 2 2 2 6 5" xfId="31800" xr:uid="{ED7A91E7-9191-4CA1-9E81-9F4A8152AC4B}"/>
    <cellStyle name="Total 2 2 2 6 6" xfId="17448" xr:uid="{50B068F3-6B3C-47A0-954C-ECE8A7B1219A}"/>
    <cellStyle name="Total 2 2 2 7" xfId="24755" xr:uid="{0A27907A-15B0-4D12-B453-05CE27263A34}"/>
    <cellStyle name="Total 2 2 2 7 2" xfId="27409" xr:uid="{74E4E4AD-D956-4635-A4AC-634D4A1F8275}"/>
    <cellStyle name="Total 2 2 2 7 2 2" xfId="34253" xr:uid="{A1525781-0F33-45EC-B6E5-CB93F4E52722}"/>
    <cellStyle name="Total 2 2 2 7 3" xfId="29489" xr:uid="{9C120FAC-44E7-4858-8C5F-14AED6C2A3BE}"/>
    <cellStyle name="Total 2 2 2 7 3 2" xfId="36334" xr:uid="{2D558767-2092-4E9A-B35A-8AEB34D7315E}"/>
    <cellStyle name="Total 2 2 2 7 4" xfId="31571" xr:uid="{CA3FCFE9-1320-49A3-BE95-C19631BF0CF7}"/>
    <cellStyle name="Total 2 2 2 8" xfId="25201" xr:uid="{89B5C056-07E5-449E-B4E2-9794764ABA12}"/>
    <cellStyle name="Total 2 2 2 8 2" xfId="27873" xr:uid="{FBE66D90-A990-40CD-A81C-CD3D0199E23A}"/>
    <cellStyle name="Total 2 2 2 8 2 2" xfId="34718" xr:uid="{D9D7C343-6EC1-407A-B2AA-E5BBADAB7EA2}"/>
    <cellStyle name="Total 2 2 2 8 3" xfId="29954" xr:uid="{8ECBE251-2042-4445-823E-7A8C2AC6E385}"/>
    <cellStyle name="Total 2 2 2 8 3 2" xfId="36799" xr:uid="{FF5703A2-0215-43D3-BCE4-A1DFD87B17C5}"/>
    <cellStyle name="Total 2 2 2 8 4" xfId="32036" xr:uid="{BEB5D803-32B3-48FF-9BCE-66F75D1808FD}"/>
    <cellStyle name="Total 2 2 2 9" xfId="23991" xr:uid="{D7094D26-D123-46B1-A282-A391401F7B5E}"/>
    <cellStyle name="Total 2 2 2 9 2" xfId="26608" xr:uid="{009CB0C3-2006-40DE-85FA-05B233105237}"/>
    <cellStyle name="Total 2 2 2 9 2 2" xfId="33448" xr:uid="{FFDE5EA2-018B-4A35-ABEA-E93A04FA2856}"/>
    <cellStyle name="Total 2 2 2 9 3" xfId="26085" xr:uid="{76BEC60A-8DD3-4AEC-903C-D06D0260129E}"/>
    <cellStyle name="Total 2 2 2 9 3 2" xfId="32913" xr:uid="{0682864B-2943-4BA9-A50A-0712A8E32D3C}"/>
    <cellStyle name="Total 2 2 2 9 4" xfId="23207" xr:uid="{DE3EB6A9-7819-4FB8-9A13-916B6973C527}"/>
    <cellStyle name="Total 2 2 20" xfId="39492" xr:uid="{AB8E8666-342A-4BBC-91CE-34CFEA94A3AD}"/>
    <cellStyle name="Total 2 2 3" xfId="5470" xr:uid="{00000000-0005-0000-0000-000088150000}"/>
    <cellStyle name="Total 2 2 3 10" xfId="24772" xr:uid="{21D503F5-F385-44B0-970E-56E0170CCF2A}"/>
    <cellStyle name="Total 2 2 3 10 2" xfId="27424" xr:uid="{8F58B238-C88E-4C7A-B8AF-560E9E0716F5}"/>
    <cellStyle name="Total 2 2 3 10 2 2" xfId="34268" xr:uid="{7EF5912C-4EC1-4164-8102-79E3BE35899E}"/>
    <cellStyle name="Total 2 2 3 10 3" xfId="29504" xr:uid="{EC79064F-C40F-4BB3-82FE-EED64C71A0AF}"/>
    <cellStyle name="Total 2 2 3 10 3 2" xfId="36349" xr:uid="{98EF2BD2-AB84-40DD-B1B8-85F21B8F3EFD}"/>
    <cellStyle name="Total 2 2 3 10 4" xfId="31586" xr:uid="{AB47C128-5255-46EF-9AAA-46EF3F2B884B}"/>
    <cellStyle name="Total 2 2 3 11" xfId="25450" xr:uid="{C7272132-0EFD-4C45-89FE-9B688A3FA8C9}"/>
    <cellStyle name="Total 2 2 3 11 2" xfId="28117" xr:uid="{016EA57C-694C-422C-9300-D31E4198D1FB}"/>
    <cellStyle name="Total 2 2 3 11 2 2" xfId="34962" xr:uid="{20CFB82C-C651-4C59-8DAC-E07AC1EE80FF}"/>
    <cellStyle name="Total 2 2 3 11 3" xfId="30198" xr:uid="{F25564F4-9648-4604-AA79-798B67A7EAA6}"/>
    <cellStyle name="Total 2 2 3 11 3 2" xfId="37043" xr:uid="{26E5E4C6-764C-40C2-8D2C-FEC84E56A6AC}"/>
    <cellStyle name="Total 2 2 3 11 4" xfId="32280" xr:uid="{EA177C23-C961-44F5-9A77-674B1F0DC4E3}"/>
    <cellStyle name="Total 2 2 3 12" xfId="23864" xr:uid="{F65A3748-2453-4813-9D71-FABEA20DD8CF}"/>
    <cellStyle name="Total 2 2 3 12 2" xfId="26483" xr:uid="{7B3F0758-CFCB-4736-A68F-97E62B069083}"/>
    <cellStyle name="Total 2 2 3 12 2 2" xfId="33323" xr:uid="{7F8DDEFD-11B7-47DE-BCD5-2BA8F0FE0548}"/>
    <cellStyle name="Total 2 2 3 12 3" xfId="26200" xr:uid="{9A3E6394-CCAD-4E2C-B682-4DC47896F304}"/>
    <cellStyle name="Total 2 2 3 12 3 2" xfId="33028" xr:uid="{76DDE77D-63F1-4448-B673-EC767C3935A2}"/>
    <cellStyle name="Total 2 2 3 12 4" xfId="23322" xr:uid="{C47526BE-00E1-4400-A0DD-550A77425575}"/>
    <cellStyle name="Total 2 2 3 13" xfId="23757" xr:uid="{03BCA91B-D5DA-4F75-97A1-92EA58713663}"/>
    <cellStyle name="Total 2 2 3 13 2" xfId="26368" xr:uid="{76FCBEAD-EAF2-487B-A285-FD44ECBDB429}"/>
    <cellStyle name="Total 2 2 3 13 2 2" xfId="33207" xr:uid="{77937B81-74DD-404B-85D2-4D06F1B3C0D7}"/>
    <cellStyle name="Total 2 2 3 13 3" xfId="26314" xr:uid="{979B493A-2EA1-4DBD-9C34-FA2857F656FE}"/>
    <cellStyle name="Total 2 2 3 13 3 2" xfId="33142" xr:uid="{F6F9524B-7ECA-4334-B364-42A7DCE4F39B}"/>
    <cellStyle name="Total 2 2 3 13 4" xfId="23436" xr:uid="{7F6A17E1-4A11-4C6B-B0EF-E121E3EF6A0E}"/>
    <cellStyle name="Total 2 2 3 14" xfId="24404" xr:uid="{C3BC7180-DC4A-463F-A379-723455BED444}"/>
    <cellStyle name="Total 2 2 3 14 2" xfId="27020" xr:uid="{8830B73B-FF34-4DC3-B726-C03C4E89AB43}"/>
    <cellStyle name="Total 2 2 3 14 2 2" xfId="33860" xr:uid="{567D7463-B73F-47BB-B28E-E844778284A1}"/>
    <cellStyle name="Total 2 2 3 14 3" xfId="29096" xr:uid="{10507EF1-691F-4F8E-BB85-54D0357C9BC1}"/>
    <cellStyle name="Total 2 2 3 14 3 2" xfId="35941" xr:uid="{A85BF593-04B8-47B0-9169-4FE1688AB0E6}"/>
    <cellStyle name="Total 2 2 3 14 4" xfId="31178" xr:uid="{8D276B5D-1709-40CC-A90C-F1A8EEFE2AD8}"/>
    <cellStyle name="Total 2 2 3 15" xfId="25858" xr:uid="{56D55B94-967B-4B91-B49C-3FB006BC63D0}"/>
    <cellStyle name="Total 2 2 3 15 2" xfId="28524" xr:uid="{15A903B9-8714-45C1-9D31-4F6930D6518D}"/>
    <cellStyle name="Total 2 2 3 15 2 2" xfId="35369" xr:uid="{93D162C6-0866-4D91-B210-BF4DC338F654}"/>
    <cellStyle name="Total 2 2 3 15 3" xfId="30605" xr:uid="{2C7EBE0D-E0CC-4E11-AD30-8872967893F9}"/>
    <cellStyle name="Total 2 2 3 15 3 2" xfId="37450" xr:uid="{0A1AC227-210C-4F97-B433-22163468C038}"/>
    <cellStyle name="Total 2 2 3 15 4" xfId="32687" xr:uid="{3988C6E5-A48B-4ED8-908B-DB458A821CEF}"/>
    <cellStyle name="Total 2 2 3 16" xfId="25800" xr:uid="{4E4C1F15-3FA5-4784-8EB5-FEB09EEAE660}"/>
    <cellStyle name="Total 2 2 3 16 2" xfId="28466" xr:uid="{EB28C989-137B-4678-B67A-184EE6D2D577}"/>
    <cellStyle name="Total 2 2 3 16 2 2" xfId="35311" xr:uid="{B5D273AA-6B5F-46BD-9BA6-5561498DAA3A}"/>
    <cellStyle name="Total 2 2 3 16 3" xfId="30547" xr:uid="{4F54086F-0CD8-4730-AA71-94906C448522}"/>
    <cellStyle name="Total 2 2 3 16 3 2" xfId="37392" xr:uid="{603D4D8C-830E-4637-BD97-30E9B969B04F}"/>
    <cellStyle name="Total 2 2 3 16 4" xfId="32629" xr:uid="{64F057D1-108F-46EE-B98C-400F483A2836}"/>
    <cellStyle name="Total 2 2 3 17" xfId="25891" xr:uid="{CCFE559C-24F0-4FCD-8D8A-DA6D30B69D6C}"/>
    <cellStyle name="Total 2 2 3 17 2" xfId="28557" xr:uid="{9A71E36C-A64D-4934-8D21-ACE2ACABDB5C}"/>
    <cellStyle name="Total 2 2 3 17 2 2" xfId="35402" xr:uid="{6904AD16-54FA-4946-8140-85293E6FE0CD}"/>
    <cellStyle name="Total 2 2 3 17 3" xfId="30638" xr:uid="{19361768-73AB-4C3B-A7D0-344506A1492A}"/>
    <cellStyle name="Total 2 2 3 17 3 2" xfId="37483" xr:uid="{EA38B0C0-0F98-465A-8EBF-0AC3D26C3246}"/>
    <cellStyle name="Total 2 2 3 17 4" xfId="32720" xr:uid="{57BF0731-ABAA-4394-8F6F-112149FC4EBD}"/>
    <cellStyle name="Total 2 2 3 18" xfId="23660" xr:uid="{7271702B-06AE-4B1C-983A-DDB9FD762235}"/>
    <cellStyle name="Total 2 2 3 19" xfId="16551" xr:uid="{7FDE96DC-956F-4357-8F33-772C7CBD818A}"/>
    <cellStyle name="Total 2 2 3 2" xfId="10984" xr:uid="{00000000-0005-0000-0000-0000CE220000}"/>
    <cellStyle name="Total 2 2 3 2 10" xfId="23951" xr:uid="{7A5DD52D-9F6D-4301-9964-C18AFBDA8960}"/>
    <cellStyle name="Total 2 2 3 2 10 2" xfId="26569" xr:uid="{45ADF437-D34A-4AE3-8E6C-91C671E26056}"/>
    <cellStyle name="Total 2 2 3 2 10 2 2" xfId="33409" xr:uid="{A269B8BE-AE77-44E5-A3C8-63845E37692C}"/>
    <cellStyle name="Total 2 2 3 2 10 3" xfId="26116" xr:uid="{70A53A53-3A06-49BC-BA73-68044F2104AD}"/>
    <cellStyle name="Total 2 2 3 2 10 3 2" xfId="32944" xr:uid="{451049D3-40C8-4591-8F3B-6F844DBC47C2}"/>
    <cellStyle name="Total 2 2 3 2 10 4" xfId="23238" xr:uid="{0A4FEB37-ADB1-4D12-88BD-D222319EA79A}"/>
    <cellStyle name="Total 2 2 3 2 11" xfId="24074" xr:uid="{248711AC-0409-4B04-889B-DE8B8F188AE1}"/>
    <cellStyle name="Total 2 2 3 2 11 2" xfId="26687" xr:uid="{A1CB5C8D-1DA0-40ED-8692-3ED9149EDA22}"/>
    <cellStyle name="Total 2 2 3 2 11 2 2" xfId="33527" xr:uid="{951B77DD-D3E2-4089-90E3-AC95B711B6F0}"/>
    <cellStyle name="Total 2 2 3 2 11 3" xfId="28763" xr:uid="{D41B2E14-06FA-46F0-9800-1ECEF7401FC2}"/>
    <cellStyle name="Total 2 2 3 2 11 3 2" xfId="35608" xr:uid="{DE8D110F-215E-4B57-9E64-058D8F426880}"/>
    <cellStyle name="Total 2 2 3 2 11 4" xfId="30845" xr:uid="{D1D134C1-D13D-4C4F-89AB-F433169C3F63}"/>
    <cellStyle name="Total 2 2 3 2 12" xfId="25676" xr:uid="{191D2EAB-AFCA-4B02-90CE-5160765B0ADD}"/>
    <cellStyle name="Total 2 2 3 2 12 2" xfId="28343" xr:uid="{27C6ADC5-A012-4F15-B2BF-B23BA0D69F79}"/>
    <cellStyle name="Total 2 2 3 2 12 2 2" xfId="35188" xr:uid="{C3AFCD47-6B83-4586-A721-FD3061E1C7FF}"/>
    <cellStyle name="Total 2 2 3 2 12 3" xfId="30424" xr:uid="{9E364575-C387-4866-9ECD-056535BA0068}"/>
    <cellStyle name="Total 2 2 3 2 12 3 2" xfId="37269" xr:uid="{42CB609A-4A5D-4878-A028-1A5D45BDCE11}"/>
    <cellStyle name="Total 2 2 3 2 12 4" xfId="32506" xr:uid="{92371852-D189-4065-9B23-2C7D36EA940E}"/>
    <cellStyle name="Total 2 2 3 2 13" xfId="25462" xr:uid="{B4B14B8E-5CE5-481D-A185-D09321E15F9C}"/>
    <cellStyle name="Total 2 2 3 2 13 2" xfId="28129" xr:uid="{1CC0C7DD-7821-4095-97F1-D03EE67A6FEE}"/>
    <cellStyle name="Total 2 2 3 2 13 2 2" xfId="34974" xr:uid="{84EE099E-4B6F-478C-9FA3-F067EDDB3981}"/>
    <cellStyle name="Total 2 2 3 2 13 3" xfId="30210" xr:uid="{86CF6C97-8296-4C18-968B-703623828008}"/>
    <cellStyle name="Total 2 2 3 2 13 3 2" xfId="37055" xr:uid="{16E78D2B-AE4B-47B5-8B38-31F3EA64120D}"/>
    <cellStyle name="Total 2 2 3 2 13 4" xfId="32292" xr:uid="{CA03FB05-6ED8-4BFD-8FAC-1B7F53CBB095}"/>
    <cellStyle name="Total 2 2 3 2 14" xfId="25910" xr:uid="{C744E20B-CC37-42C9-BB3E-801CABC3E6B3}"/>
    <cellStyle name="Total 2 2 3 2 14 2" xfId="28576" xr:uid="{4D6FC547-0319-4D73-A8BA-1D73CD1A0BE3}"/>
    <cellStyle name="Total 2 2 3 2 14 2 2" xfId="35421" xr:uid="{3DF134D4-A7D4-4F39-9C28-3622E4A27D22}"/>
    <cellStyle name="Total 2 2 3 2 14 3" xfId="30657" xr:uid="{FD83B7E4-ED2E-4C19-90D9-784000B7EF0D}"/>
    <cellStyle name="Total 2 2 3 2 14 3 2" xfId="37502" xr:uid="{767A3C02-A026-46EF-AB5B-15A8D620CB95}"/>
    <cellStyle name="Total 2 2 3 2 14 4" xfId="32739" xr:uid="{8556C24E-8D1E-4C38-9AF9-20E7BD36AC2E}"/>
    <cellStyle name="Total 2 2 3 2 15" xfId="25181" xr:uid="{620030AF-3BBA-411D-AA59-3E708C1CC588}"/>
    <cellStyle name="Total 2 2 3 2 15 2" xfId="27853" xr:uid="{5CC97D03-231A-4D31-B0D5-4A6CC7C37A08}"/>
    <cellStyle name="Total 2 2 3 2 15 2 2" xfId="34698" xr:uid="{D88A8D11-7BCD-479F-A393-3D67A8A27575}"/>
    <cellStyle name="Total 2 2 3 2 15 3" xfId="29934" xr:uid="{4B39C176-ED45-465F-A5EA-B10D135DEBDF}"/>
    <cellStyle name="Total 2 2 3 2 15 3 2" xfId="36779" xr:uid="{AE0C81DA-C5F1-4B83-91B2-1AACD19B59B7}"/>
    <cellStyle name="Total 2 2 3 2 15 4" xfId="32016" xr:uid="{66E47313-B129-4277-808D-C8E979495FEC}"/>
    <cellStyle name="Total 2 2 3 2 16" xfId="25827" xr:uid="{4BF72865-12FA-4E70-A91F-B1ED691030DE}"/>
    <cellStyle name="Total 2 2 3 2 16 2" xfId="28493" xr:uid="{1C370A53-4EC6-4CF3-9D28-090F58021952}"/>
    <cellStyle name="Total 2 2 3 2 16 2 2" xfId="35338" xr:uid="{629B854F-8519-463A-8E43-8DA3410089C4}"/>
    <cellStyle name="Total 2 2 3 2 16 3" xfId="30574" xr:uid="{420DC543-BC02-472F-B761-8892573FD6EE}"/>
    <cellStyle name="Total 2 2 3 2 16 3 2" xfId="37419" xr:uid="{01582EE2-6B8F-41D5-86E1-746369598643}"/>
    <cellStyle name="Total 2 2 3 2 16 4" xfId="32656" xr:uid="{2B7DB7CC-F715-4A79-AB1A-3E739E1B39B5}"/>
    <cellStyle name="Total 2 2 3 2 17" xfId="23626" xr:uid="{40728F63-3E26-43C2-A60E-2EAFC61DB069}"/>
    <cellStyle name="Total 2 2 3 2 18" xfId="17576" xr:uid="{CF232073-4589-419F-83C9-E932CE59DFED}"/>
    <cellStyle name="Total 2 2 3 2 19" xfId="43473" xr:uid="{83F5B5C8-CEC0-41F9-8DD5-A90E805D5636}"/>
    <cellStyle name="Total 2 2 3 2 2" xfId="9503" xr:uid="{00000000-0005-0000-0000-0000FF250000}"/>
    <cellStyle name="Total 2 2 3 2 2 10" xfId="25671" xr:uid="{1CF4534D-75CB-4C85-86A0-0DB3005F004C}"/>
    <cellStyle name="Total 2 2 3 2 2 10 2" xfId="28338" xr:uid="{E3F77BD6-F3F3-4EC8-81C5-EA7A6FD66D20}"/>
    <cellStyle name="Total 2 2 3 2 2 10 2 2" xfId="35183" xr:uid="{BF91EAF5-4893-4019-A693-001E0995FB90}"/>
    <cellStyle name="Total 2 2 3 2 2 10 3" xfId="30419" xr:uid="{ACDAD81D-D301-4333-ACBE-03E380DA1A15}"/>
    <cellStyle name="Total 2 2 3 2 2 10 3 2" xfId="37264" xr:uid="{F4F0208D-4B2B-4174-9AE9-C6E02F558D10}"/>
    <cellStyle name="Total 2 2 3 2 2 10 4" xfId="32501" xr:uid="{67002000-23AC-4398-9FC3-3826E07A5D39}"/>
    <cellStyle name="Total 2 2 3 2 2 11" xfId="25776" xr:uid="{9231F0C2-F019-41BD-A8C2-6CC21027D351}"/>
    <cellStyle name="Total 2 2 3 2 2 11 2" xfId="28442" xr:uid="{3939BBD1-D9D8-410D-9C4B-81CFED6A4F24}"/>
    <cellStyle name="Total 2 2 3 2 2 11 2 2" xfId="35287" xr:uid="{4BC7B5D8-7212-4BD9-8C96-497F27A13255}"/>
    <cellStyle name="Total 2 2 3 2 2 11 3" xfId="30523" xr:uid="{4B949C7C-830D-41C4-A869-E55AF790A4D6}"/>
    <cellStyle name="Total 2 2 3 2 2 11 3 2" xfId="37368" xr:uid="{BBEC170F-7134-4DB2-B80C-D7FAF2893B33}"/>
    <cellStyle name="Total 2 2 3 2 2 11 4" xfId="32605" xr:uid="{BF9D7576-771C-4AF5-919E-695DF36F1369}"/>
    <cellStyle name="Total 2 2 3 2 2 12" xfId="25853" xr:uid="{7918FF32-5E29-44EC-8C3C-3BE210BDA49F}"/>
    <cellStyle name="Total 2 2 3 2 2 12 2" xfId="28519" xr:uid="{A0B3920E-54E3-40E2-B657-2610E1EC9314}"/>
    <cellStyle name="Total 2 2 3 2 2 12 2 2" xfId="35364" xr:uid="{8759B570-DBA3-42BB-B5E4-7692CE9056CE}"/>
    <cellStyle name="Total 2 2 3 2 2 12 3" xfId="30600" xr:uid="{7A078E64-AC40-4D18-91A3-8956A9E796EC}"/>
    <cellStyle name="Total 2 2 3 2 2 12 3 2" xfId="37445" xr:uid="{32B0F857-C49B-4D69-9E6F-DCFD4D2CFD31}"/>
    <cellStyle name="Total 2 2 3 2 2 12 4" xfId="32682" xr:uid="{CDFC62DD-2BD7-4BEB-B137-2266023EC6D3}"/>
    <cellStyle name="Total 2 2 3 2 2 13" xfId="24015" xr:uid="{9FDE58C5-F116-47BD-B138-E9E9F9D1799E}"/>
    <cellStyle name="Total 2 2 3 2 2 13 2" xfId="26632" xr:uid="{C5A37BCE-D878-4B1D-B597-0539037017A2}"/>
    <cellStyle name="Total 2 2 3 2 2 13 2 2" xfId="33472" xr:uid="{08BF0715-BE95-4B4C-ABBF-4D4954D25096}"/>
    <cellStyle name="Total 2 2 3 2 2 13 3" xfId="28708" xr:uid="{E8167D19-1941-4106-ADCF-6B03A4B34918}"/>
    <cellStyle name="Total 2 2 3 2 2 13 3 2" xfId="35553" xr:uid="{5038D98B-94D8-44E3-BF52-C5CA4B566898}"/>
    <cellStyle name="Total 2 2 3 2 2 13 4" xfId="30790" xr:uid="{E361A074-14FE-4F78-BC10-17DB5B8EAF43}"/>
    <cellStyle name="Total 2 2 3 2 2 14" xfId="25981" xr:uid="{0AAA516D-1C58-41A6-ADC4-A19C529AB7D2}"/>
    <cellStyle name="Total 2 2 3 2 2 14 2" xfId="28647" xr:uid="{4021F400-B396-4868-BC01-AF2629103438}"/>
    <cellStyle name="Total 2 2 3 2 2 14 2 2" xfId="35492" xr:uid="{BFFAAE7A-08B9-42DC-BB4B-82083E39F0F3}"/>
    <cellStyle name="Total 2 2 3 2 2 14 3" xfId="30728" xr:uid="{7E860018-CEA2-4526-BFF9-F730A1C757F5}"/>
    <cellStyle name="Total 2 2 3 2 2 14 3 2" xfId="37573" xr:uid="{EEE5008D-4771-46E4-8FBA-BA8A6A429970}"/>
    <cellStyle name="Total 2 2 3 2 2 14 4" xfId="32810" xr:uid="{14FD1549-60F0-4F1B-962E-C050936FCCCD}"/>
    <cellStyle name="Total 2 2 3 2 2 15" xfId="26035" xr:uid="{62D93143-FF97-4C5F-A2D2-C5950C3E2BA7}"/>
    <cellStyle name="Total 2 2 3 2 2 15 2" xfId="28701" xr:uid="{319A9FE1-7982-4D87-9861-D541924C9409}"/>
    <cellStyle name="Total 2 2 3 2 2 15 2 2" xfId="35546" xr:uid="{412BEA1C-5597-4A9F-88ED-6CA81854BD74}"/>
    <cellStyle name="Total 2 2 3 2 2 15 3" xfId="30782" xr:uid="{920FE6D5-6B29-4156-8FD2-F735792095CD}"/>
    <cellStyle name="Total 2 2 3 2 2 15 3 2" xfId="37627" xr:uid="{D4B5BAE7-E79F-4AE4-A5B9-FC404E49D998}"/>
    <cellStyle name="Total 2 2 3 2 2 15 4" xfId="32864" xr:uid="{98A6350A-5DC0-4FA9-8539-FCBCCB4FB213}"/>
    <cellStyle name="Total 2 2 3 2 2 16" xfId="23539" xr:uid="{AADB57B8-87B0-43DE-9AAD-28A558CDF720}"/>
    <cellStyle name="Total 2 2 3 2 2 17" xfId="17847" xr:uid="{25989D76-F8FF-49F4-A766-09193E400167}"/>
    <cellStyle name="Total 2 2 3 2 2 18" xfId="41992" xr:uid="{223A4A70-FD35-4BD4-A242-452AF33F0363}"/>
    <cellStyle name="Total 2 2 3 2 2 19" xfId="48147" xr:uid="{AD245109-5F4F-483F-A7B5-A5860F4ABFB4}"/>
    <cellStyle name="Total 2 2 3 2 2 2" xfId="18427" xr:uid="{08F40DBB-80E1-43EA-B540-C7D97CECD06B}"/>
    <cellStyle name="Total 2 2 3 2 2 2 10" xfId="21689" xr:uid="{003C45E8-B238-4186-AE3B-8D6A70264ACC}"/>
    <cellStyle name="Total 2 2 3 2 2 2 11" xfId="21685" xr:uid="{AB0952A7-43E7-47B2-B318-B7785F96D421}"/>
    <cellStyle name="Total 2 2 3 2 2 2 12" xfId="21882" xr:uid="{24692D4C-C824-4781-B0EB-01FD1B119A80}"/>
    <cellStyle name="Total 2 2 3 2 2 2 13" xfId="22329" xr:uid="{1C279A6F-3814-4E1C-82E8-7C9D5DA39503}"/>
    <cellStyle name="Total 2 2 3 2 2 2 14" xfId="20910" xr:uid="{22D26DEE-73F3-4E51-9B12-AB350FEC1F9A}"/>
    <cellStyle name="Total 2 2 3 2 2 2 15" xfId="19355" xr:uid="{966E746C-D1BF-4C6D-8D12-7EBCF7E1FD0A}"/>
    <cellStyle name="Total 2 2 3 2 2 2 16" xfId="31515" xr:uid="{586C3E62-BD4C-43CA-AC2A-9BE1BE1F3804}"/>
    <cellStyle name="Total 2 2 3 2 2 2 2" xfId="19946" xr:uid="{B9161CE9-A1D4-4F6E-9A29-0F7395D4A16C}"/>
    <cellStyle name="Total 2 2 3 2 2 2 2 2" xfId="27353" xr:uid="{EA494E3A-7009-40F2-86DB-65C657381EE4}"/>
    <cellStyle name="Total 2 2 3 2 2 2 2 3" xfId="34197" xr:uid="{D644476D-A80E-4819-8B54-FFB75B762D71}"/>
    <cellStyle name="Total 2 2 3 2 2 2 3" xfId="20533" xr:uid="{CA67AF29-B670-46BC-BB5C-1C0F966622E6}"/>
    <cellStyle name="Total 2 2 3 2 2 2 3 2" xfId="29433" xr:uid="{0A2A651D-4A35-4425-91E3-40F3277A85D4}"/>
    <cellStyle name="Total 2 2 3 2 2 2 3 3" xfId="36278" xr:uid="{C7F278E7-B8CD-4857-BC13-E0240307B099}"/>
    <cellStyle name="Total 2 2 3 2 2 2 4" xfId="20027" xr:uid="{36C05414-13EA-4748-9B1E-AF47621D2092}"/>
    <cellStyle name="Total 2 2 3 2 2 2 5" xfId="20416" xr:uid="{410E1372-37FE-4FDB-AA06-DEAF04ACC660}"/>
    <cellStyle name="Total 2 2 3 2 2 2 6" xfId="20633" xr:uid="{50209182-C83F-480F-AD24-97FB4AA96B58}"/>
    <cellStyle name="Total 2 2 3 2 2 2 7" xfId="20424" xr:uid="{3A894E00-58F7-4213-A8F3-86B40313A61C}"/>
    <cellStyle name="Total 2 2 3 2 2 2 8" xfId="21177" xr:uid="{89CC60E8-FFEF-4086-AE1B-4C8D5BD82169}"/>
    <cellStyle name="Total 2 2 3 2 2 2 9" xfId="19416" xr:uid="{366F746D-A73D-45A2-8A8A-471A27EEB230}"/>
    <cellStyle name="Total 2 2 3 2 2 20" xfId="15801" xr:uid="{40469AD7-D690-4404-8180-9F169E2E2F76}"/>
    <cellStyle name="Total 2 2 3 2 2 21" xfId="14955" xr:uid="{7A2872D1-3CFE-4C15-B7CE-3083562BC58E}"/>
    <cellStyle name="Total 2 2 3 2 2 22" xfId="16609" xr:uid="{BFF72D8A-E5F4-4CC3-AD72-BD7EEC097756}"/>
    <cellStyle name="Total 2 2 3 2 2 3" xfId="24681" xr:uid="{9BF9B0BC-CA9D-4EF9-B380-2B7F14AE63AE}"/>
    <cellStyle name="Total 2 2 3 2 2 3 2" xfId="27296" xr:uid="{BFF9AF82-ECC7-41F4-8FE4-4D7AEBB49D5C}"/>
    <cellStyle name="Total 2 2 3 2 2 3 2 2" xfId="34140" xr:uid="{BE09BCAE-6518-4A0E-B88C-98E008BAF52E}"/>
    <cellStyle name="Total 2 2 3 2 2 3 3" xfId="29376" xr:uid="{997B0ACF-249A-4761-B5E4-FD04F15CC924}"/>
    <cellStyle name="Total 2 2 3 2 2 3 3 2" xfId="36221" xr:uid="{59C93EEC-F9DC-4FC5-BE59-2157A93E2DB5}"/>
    <cellStyle name="Total 2 2 3 2 2 3 4" xfId="31458" xr:uid="{7E80AA5C-9DA5-4653-A51F-51735F9048F0}"/>
    <cellStyle name="Total 2 2 3 2 2 4" xfId="24407" xr:uid="{03848D62-DBA8-4263-9D0B-1091B3DA8367}"/>
    <cellStyle name="Total 2 2 3 2 2 4 2" xfId="27024" xr:uid="{D26B0760-85ED-4BA4-AFD7-0FF179D1527A}"/>
    <cellStyle name="Total 2 2 3 2 2 4 2 2" xfId="33864" xr:uid="{E8D38CF5-4B7C-4D1A-A89E-8C8DF0CE14F8}"/>
    <cellStyle name="Total 2 2 3 2 2 4 3" xfId="29100" xr:uid="{1BA7701F-85D0-460B-B203-B20CEEF8CD32}"/>
    <cellStyle name="Total 2 2 3 2 2 4 3 2" xfId="35945" xr:uid="{B9E4B4F9-FAB9-41BE-88A3-C3A24CDAB645}"/>
    <cellStyle name="Total 2 2 3 2 2 4 4" xfId="31182" xr:uid="{ED5C30B5-FC6D-4E17-BE10-A9978D286005}"/>
    <cellStyle name="Total 2 2 3 2 2 5" xfId="25127" xr:uid="{9627C143-B6AA-40C5-A858-7C283E763441}"/>
    <cellStyle name="Total 2 2 3 2 2 5 2" xfId="27799" xr:uid="{2BD691BB-EA14-468A-BF69-03A3C86D906E}"/>
    <cellStyle name="Total 2 2 3 2 2 5 2 2" xfId="34644" xr:uid="{2531DD16-DDE1-47D0-9E53-F6DDAF5A0B0E}"/>
    <cellStyle name="Total 2 2 3 2 2 5 3" xfId="29880" xr:uid="{B3C5AD34-44EB-472F-9934-E42F616CE572}"/>
    <cellStyle name="Total 2 2 3 2 2 5 3 2" xfId="36725" xr:uid="{8B5464AE-67DF-4BE1-8251-BF0C0DC1093D}"/>
    <cellStyle name="Total 2 2 3 2 2 5 4" xfId="31962" xr:uid="{E5F4586B-6161-4530-9CBA-589966608D02}"/>
    <cellStyle name="Total 2 2 3 2 2 6" xfId="25059" xr:uid="{259C9C83-5A66-49D7-B6FB-FC83DD251BBC}"/>
    <cellStyle name="Total 2 2 3 2 2 6 2" xfId="27731" xr:uid="{7344A178-90AF-4D8F-B555-100291B92CB9}"/>
    <cellStyle name="Total 2 2 3 2 2 6 2 2" xfId="34576" xr:uid="{4C160E27-EAAF-4236-A3C9-7EC331003C67}"/>
    <cellStyle name="Total 2 2 3 2 2 6 3" xfId="29812" xr:uid="{F7B9C4B6-DE3B-4821-B1BA-00F584F2B50F}"/>
    <cellStyle name="Total 2 2 3 2 2 6 3 2" xfId="36657" xr:uid="{B9774B2B-BFD6-4D05-B528-5F0EB5874FFE}"/>
    <cellStyle name="Total 2 2 3 2 2 6 4" xfId="31894" xr:uid="{E6497672-A37F-477A-AFDB-9FEFE66854CE}"/>
    <cellStyle name="Total 2 2 3 2 2 7" xfId="23852" xr:uid="{F2EF0AC9-3F8C-4236-9B52-B991396D6F81}"/>
    <cellStyle name="Total 2 2 3 2 2 7 2" xfId="26471" xr:uid="{17D5F33C-0D9B-4AF7-89FD-3DDB24DBFCCD}"/>
    <cellStyle name="Total 2 2 3 2 2 7 2 2" xfId="33311" xr:uid="{5E8A6AD9-6D7A-44A5-91B3-0751EE631517}"/>
    <cellStyle name="Total 2 2 3 2 2 7 3" xfId="26212" xr:uid="{BB95AED8-7883-4392-A108-3DA195287274}"/>
    <cellStyle name="Total 2 2 3 2 2 7 3 2" xfId="33040" xr:uid="{1363D3E2-A2B7-48F9-8EF8-DF862DE9DC22}"/>
    <cellStyle name="Total 2 2 3 2 2 7 4" xfId="23334" xr:uid="{DB6B5442-003A-4ED8-BE6C-0748DF01DA0A}"/>
    <cellStyle name="Total 2 2 3 2 2 8" xfId="23828" xr:uid="{73937165-3648-4F3A-B395-5AF414E43C38}"/>
    <cellStyle name="Total 2 2 3 2 2 8 2" xfId="26447" xr:uid="{9A5BD83A-637D-4261-8FAB-FED3D322F986}"/>
    <cellStyle name="Total 2 2 3 2 2 8 2 2" xfId="33287" xr:uid="{CD0F7945-2A39-4825-A71A-2AF3320F4783}"/>
    <cellStyle name="Total 2 2 3 2 2 8 3" xfId="26236" xr:uid="{5BFB9842-11FD-4351-B298-7DADF4943598}"/>
    <cellStyle name="Total 2 2 3 2 2 8 3 2" xfId="33064" xr:uid="{A223685F-E9E1-4708-870D-E5F2ABEA2DC6}"/>
    <cellStyle name="Total 2 2 3 2 2 8 4" xfId="23358" xr:uid="{5CB80CF7-6A24-40B5-8342-7119704436B7}"/>
    <cellStyle name="Total 2 2 3 2 2 9" xfId="25491" xr:uid="{513709CA-4CFE-4D90-9466-640201589C5C}"/>
    <cellStyle name="Total 2 2 3 2 2 9 2" xfId="28158" xr:uid="{78E0C4E1-C82D-447B-AF25-093807ADEC61}"/>
    <cellStyle name="Total 2 2 3 2 2 9 2 2" xfId="35003" xr:uid="{59F9148B-44D5-4E7D-8C0E-3FDAEFABAD73}"/>
    <cellStyle name="Total 2 2 3 2 2 9 3" xfId="30239" xr:uid="{124ED175-9807-4025-90CB-1F7A710C478B}"/>
    <cellStyle name="Total 2 2 3 2 2 9 3 2" xfId="37084" xr:uid="{39104634-346E-4114-B336-EF44E84C4362}"/>
    <cellStyle name="Total 2 2 3 2 2 9 4" xfId="32321" xr:uid="{0F918B3A-A18D-4A97-BAD4-845FC7463610}"/>
    <cellStyle name="Total 2 2 3 2 3" xfId="18605" xr:uid="{8C272373-EF23-4926-A906-8F586DBDF90B}"/>
    <cellStyle name="Total 2 2 3 2 3 10" xfId="19356" xr:uid="{E527D819-EA74-4106-BB7F-3C9AE7C46C1B}"/>
    <cellStyle name="Total 2 2 3 2 3 11" xfId="20061" xr:uid="{9AFE0607-1F13-45E8-B79C-9A7C2D526093}"/>
    <cellStyle name="Total 2 2 3 2 3 12" xfId="22741" xr:uid="{C85572DE-5205-40E2-805F-43B50E0E9F03}"/>
    <cellStyle name="Total 2 2 3 2 3 13" xfId="21893" xr:uid="{A288B529-AA24-432E-A6B0-A07A59B857D0}"/>
    <cellStyle name="Total 2 2 3 2 3 14" xfId="22877" xr:uid="{C071A3A3-0EE4-4F85-A1D6-84C49FCDB338}"/>
    <cellStyle name="Total 2 2 3 2 3 15" xfId="22911" xr:uid="{25AA1D66-EC0A-4FD1-8A66-03E8EB9CC6EF}"/>
    <cellStyle name="Total 2 2 3 2 3 16" xfId="31387" xr:uid="{28883DB2-2890-459E-976F-B91C2A8EF8AB}"/>
    <cellStyle name="Total 2 2 3 2 3 2" xfId="19862" xr:uid="{EC62F575-3789-44B0-8F79-52974B01E380}"/>
    <cellStyle name="Total 2 2 3 2 3 2 2" xfId="27228" xr:uid="{9773CBC6-E87D-4EB8-A909-BD7BEDC25EAC}"/>
    <cellStyle name="Total 2 2 3 2 3 2 3" xfId="34069" xr:uid="{95E23BCD-3E58-4E2C-98E2-72420D441BC3}"/>
    <cellStyle name="Total 2 2 3 2 3 3" xfId="19609" xr:uid="{A01935E8-3E1F-49C4-B468-55517D1EDA6B}"/>
    <cellStyle name="Total 2 2 3 2 3 3 2" xfId="29305" xr:uid="{0F8FB487-46BA-4272-A59B-FFBC71BAE79B}"/>
    <cellStyle name="Total 2 2 3 2 3 3 3" xfId="36150" xr:uid="{FC2A6444-1718-47B7-B45E-4F4C82C86C8E}"/>
    <cellStyle name="Total 2 2 3 2 3 4" xfId="20902" xr:uid="{5922A0F7-532A-4960-B746-518C4E37045C}"/>
    <cellStyle name="Total 2 2 3 2 3 5" xfId="20958" xr:uid="{A32308EF-7470-4AC1-A6FA-92BD140699B2}"/>
    <cellStyle name="Total 2 2 3 2 3 6" xfId="20483" xr:uid="{2DEBB424-2C70-4322-A82B-CFDCE845F6CC}"/>
    <cellStyle name="Total 2 2 3 2 3 7" xfId="18843" xr:uid="{CF8CB884-672A-44B6-85D6-6C17A9486310}"/>
    <cellStyle name="Total 2 2 3 2 3 8" xfId="21985" xr:uid="{C17EA221-10A7-410D-9D4F-16062500FFEC}"/>
    <cellStyle name="Total 2 2 3 2 3 9" xfId="22478" xr:uid="{2394B5B5-5A84-497C-AC1B-B409B400BC5E}"/>
    <cellStyle name="Total 2 2 3 2 4" xfId="24667" xr:uid="{293E5D71-8706-4FBF-ABB6-A934B3A51A26}"/>
    <cellStyle name="Total 2 2 3 2 4 2" xfId="27280" xr:uid="{80D0A879-834E-416F-8363-81A58653688B}"/>
    <cellStyle name="Total 2 2 3 2 4 2 2" xfId="34124" xr:uid="{0C027233-9052-42C4-B71C-A184C688852B}"/>
    <cellStyle name="Total 2 2 3 2 4 3" xfId="29360" xr:uid="{B0BC59D9-89F7-4139-82DD-59B95AE05FB9}"/>
    <cellStyle name="Total 2 2 3 2 4 3 2" xfId="36205" xr:uid="{D2330E66-89ED-46DF-A09B-92A0FAE03B97}"/>
    <cellStyle name="Total 2 2 3 2 4 4" xfId="31442" xr:uid="{0AB2809A-7339-47D4-972E-8E8602D31BAB}"/>
    <cellStyle name="Total 2 2 3 2 5" xfId="24822" xr:uid="{4DB8D7A7-9E34-4A51-9649-BC08E508FDE7}"/>
    <cellStyle name="Total 2 2 3 2 5 2" xfId="27481" xr:uid="{FB461312-BBD4-4CA5-8A58-ADF28B5957EF}"/>
    <cellStyle name="Total 2 2 3 2 5 2 2" xfId="34325" xr:uid="{18F80C6E-D999-49BB-B797-2C091B78F3BF}"/>
    <cellStyle name="Total 2 2 3 2 5 3" xfId="29561" xr:uid="{E8D78976-0469-47A4-8146-DF1164C41F49}"/>
    <cellStyle name="Total 2 2 3 2 5 3 2" xfId="36406" xr:uid="{00037D80-A389-400C-AA0F-10BA351A39D4}"/>
    <cellStyle name="Total 2 2 3 2 5 4" xfId="31643" xr:uid="{AE79E21E-9764-4113-A68D-4F7A8985D4D4}"/>
    <cellStyle name="Total 2 2 3 2 6" xfId="24467" xr:uid="{1567FC0C-EE2D-4957-A27C-70EF44E704FF}"/>
    <cellStyle name="Total 2 2 3 2 6 2" xfId="27083" xr:uid="{AB9665BA-1CDB-45A3-8556-038F64FEB91B}"/>
    <cellStyle name="Total 2 2 3 2 6 2 2" xfId="33923" xr:uid="{B60545AE-B1BF-4DA3-8254-4B96D00A27CF}"/>
    <cellStyle name="Total 2 2 3 2 6 3" xfId="29159" xr:uid="{471E64D3-A279-428F-930C-2A9FCC577EF3}"/>
    <cellStyle name="Total 2 2 3 2 6 3 2" xfId="36004" xr:uid="{5B17E34D-1FD2-40E0-BB28-64EEB5E5B7D1}"/>
    <cellStyle name="Total 2 2 3 2 6 4" xfId="31241" xr:uid="{04707665-0F1B-4E5A-9985-A9E1331A5679}"/>
    <cellStyle name="Total 2 2 3 2 7" xfId="24874" xr:uid="{F8B3CAE7-3822-488F-B207-7EED986B22D6}"/>
    <cellStyle name="Total 2 2 3 2 7 2" xfId="27540" xr:uid="{FF9B2472-8E3E-40AA-9E28-60FC668AA503}"/>
    <cellStyle name="Total 2 2 3 2 7 2 2" xfId="34384" xr:uid="{47825D88-822E-425E-812E-E6402935A8E0}"/>
    <cellStyle name="Total 2 2 3 2 7 3" xfId="29620" xr:uid="{CAD9866A-4D82-4B0F-8C7E-386E4AC13F35}"/>
    <cellStyle name="Total 2 2 3 2 7 3 2" xfId="36465" xr:uid="{1798E3A1-2393-441A-9C5F-C044B611F2EF}"/>
    <cellStyle name="Total 2 2 3 2 7 4" xfId="31702" xr:uid="{F4C2F0B9-B313-4184-AFB6-C36B736EAEEE}"/>
    <cellStyle name="Total 2 2 3 2 8" xfId="23902" xr:uid="{3C8CC78A-01CE-4A95-A496-75D32BE5309E}"/>
    <cellStyle name="Total 2 2 3 2 8 2" xfId="26520" xr:uid="{72ECBDE4-E820-40DA-B889-CE35FCE75B5E}"/>
    <cellStyle name="Total 2 2 3 2 8 2 2" xfId="33360" xr:uid="{AA11BDDE-1309-4935-A7CE-14FA9836AC02}"/>
    <cellStyle name="Total 2 2 3 2 8 3" xfId="26164" xr:uid="{8DE0843B-72DE-4A4A-A3E4-C2BA903E2935}"/>
    <cellStyle name="Total 2 2 3 2 8 3 2" xfId="32992" xr:uid="{4AE4C310-2730-4795-BF66-4400EB7F2621}"/>
    <cellStyle name="Total 2 2 3 2 8 4" xfId="23286" xr:uid="{929D6631-DA23-40E1-A693-397A2844116F}"/>
    <cellStyle name="Total 2 2 3 2 9" xfId="24329" xr:uid="{74170241-A277-4AA4-91BE-EA12B28C6BF8}"/>
    <cellStyle name="Total 2 2 3 2 9 2" xfId="26935" xr:uid="{1209EAB3-557F-45D5-8495-09E9A481512A}"/>
    <cellStyle name="Total 2 2 3 2 9 2 2" xfId="33775" xr:uid="{3DE05198-2767-4642-9DFC-0FCEB418084A}"/>
    <cellStyle name="Total 2 2 3 2 9 3" xfId="29011" xr:uid="{47A53929-7F9F-4713-AC81-D5F9634124A3}"/>
    <cellStyle name="Total 2 2 3 2 9 3 2" xfId="35856" xr:uid="{027941DC-E08D-481D-9D58-21A67BF6DFAE}"/>
    <cellStyle name="Total 2 2 3 2 9 4" xfId="31093" xr:uid="{AF8A8507-028E-440B-B312-FD800F1EFD9C}"/>
    <cellStyle name="Total 2 2 3 20" xfId="39497" xr:uid="{DE231C5B-ED6F-43DC-B4CE-9E15DFA7CE22}"/>
    <cellStyle name="Total 2 2 3 3" xfId="9361" xr:uid="{00000000-0005-0000-0000-00008C110000}"/>
    <cellStyle name="Total 2 2 3 3 10" xfId="25644" xr:uid="{25FACCAF-7AC0-4FFD-B16C-7EB9D1F91F70}"/>
    <cellStyle name="Total 2 2 3 3 10 2" xfId="28311" xr:uid="{9778BE33-871E-40A9-9927-70CD9C815EB8}"/>
    <cellStyle name="Total 2 2 3 3 10 2 2" xfId="35156" xr:uid="{F1F4D342-8077-448F-ADBF-C3B4138A1FD5}"/>
    <cellStyle name="Total 2 2 3 3 10 3" xfId="30392" xr:uid="{BEA84801-6F8B-4BA7-96A4-DF7B60F1CBF0}"/>
    <cellStyle name="Total 2 2 3 3 10 3 2" xfId="37237" xr:uid="{D80327C1-B617-40BC-A667-8FA8A792B1C2}"/>
    <cellStyle name="Total 2 2 3 3 10 4" xfId="32474" xr:uid="{97FD83AA-6F15-4F76-A749-BF50EC032062}"/>
    <cellStyle name="Total 2 2 3 3 11" xfId="25749" xr:uid="{95E86E99-A5F7-4136-B5DD-456A29B803F6}"/>
    <cellStyle name="Total 2 2 3 3 11 2" xfId="28416" xr:uid="{26D9B4F0-FD69-4A2F-B883-180B05259D09}"/>
    <cellStyle name="Total 2 2 3 3 11 2 2" xfId="35261" xr:uid="{0C935F48-9674-4895-890C-885438C8C546}"/>
    <cellStyle name="Total 2 2 3 3 11 3" xfId="30497" xr:uid="{CD997780-F950-4D01-9F4F-7C21D9193DBE}"/>
    <cellStyle name="Total 2 2 3 3 11 3 2" xfId="37342" xr:uid="{4984C566-578E-4AFE-8AA4-CB3821281802}"/>
    <cellStyle name="Total 2 2 3 3 11 4" xfId="32579" xr:uid="{AE7E11DA-7D15-4026-BFE5-671E03A7BD92}"/>
    <cellStyle name="Total 2 2 3 3 12" xfId="25823" xr:uid="{E423153E-A5C9-4D9B-A684-B5BB4645E639}"/>
    <cellStyle name="Total 2 2 3 3 12 2" xfId="28489" xr:uid="{3206B673-A705-4DCB-AD4C-5F74184DAE84}"/>
    <cellStyle name="Total 2 2 3 3 12 2 2" xfId="35334" xr:uid="{060036CD-C10B-44C3-96B0-22FA3F03C7FB}"/>
    <cellStyle name="Total 2 2 3 3 12 3" xfId="30570" xr:uid="{ADD6A764-3CA8-40C8-B28E-19CA0C32EA26}"/>
    <cellStyle name="Total 2 2 3 3 12 3 2" xfId="37415" xr:uid="{E9F752B2-9A49-4EFB-AA89-CD7F711EC7FF}"/>
    <cellStyle name="Total 2 2 3 3 12 4" xfId="32652" xr:uid="{E4D95D0E-9807-4019-88F3-4B5D1FFDB18B}"/>
    <cellStyle name="Total 2 2 3 3 13" xfId="25597" xr:uid="{0E20894F-0D78-4FC9-9F2E-3003B31BF521}"/>
    <cellStyle name="Total 2 2 3 3 13 2" xfId="28264" xr:uid="{B7758659-5BD8-4375-8166-D9153B9801A2}"/>
    <cellStyle name="Total 2 2 3 3 13 2 2" xfId="35109" xr:uid="{86572E34-30FC-4D25-A2B0-90AFBF67AF29}"/>
    <cellStyle name="Total 2 2 3 3 13 3" xfId="30345" xr:uid="{F0FF1113-5551-4B8C-AD8A-1897F45EE531}"/>
    <cellStyle name="Total 2 2 3 3 13 3 2" xfId="37190" xr:uid="{653BFEAB-77A4-48E7-B9B6-A7F43323F42B}"/>
    <cellStyle name="Total 2 2 3 3 13 4" xfId="32427" xr:uid="{13335919-4AD8-4058-8B7D-F6C05A9BF441}"/>
    <cellStyle name="Total 2 2 3 3 14" xfId="25955" xr:uid="{0A35826F-00CA-4DAB-95D3-EA16A7B71875}"/>
    <cellStyle name="Total 2 2 3 3 14 2" xfId="28621" xr:uid="{BA64D602-620D-40CA-95A5-D39D4ADCCD73}"/>
    <cellStyle name="Total 2 2 3 3 14 2 2" xfId="35466" xr:uid="{092C0EC6-3F30-4C9B-B7DF-038677CBED01}"/>
    <cellStyle name="Total 2 2 3 3 14 3" xfId="30702" xr:uid="{62DCE977-08B3-4C4A-B660-D899F5E0ECC6}"/>
    <cellStyle name="Total 2 2 3 3 14 3 2" xfId="37547" xr:uid="{2A8CAF0C-EB65-46D7-9810-1CD5170ED065}"/>
    <cellStyle name="Total 2 2 3 3 14 4" xfId="32784" xr:uid="{FD666F59-DF49-425A-8C67-73BA50B5948B}"/>
    <cellStyle name="Total 2 2 3 3 15" xfId="26009" xr:uid="{9ACB3BE6-DE5C-40E9-96E2-3E432C0021FA}"/>
    <cellStyle name="Total 2 2 3 3 15 2" xfId="28675" xr:uid="{261301A5-9E0F-47DF-B294-4CB462E15F7B}"/>
    <cellStyle name="Total 2 2 3 3 15 2 2" xfId="35520" xr:uid="{23AC0BF9-C18F-487D-A951-DE1CD0892E5A}"/>
    <cellStyle name="Total 2 2 3 3 15 3" xfId="30756" xr:uid="{ED8EEE2B-039B-494F-AC7F-47B9174E082D}"/>
    <cellStyle name="Total 2 2 3 3 15 3 2" xfId="37601" xr:uid="{BE9D8245-A9FB-4B3C-B43E-533D3AACC114}"/>
    <cellStyle name="Total 2 2 3 3 15 4" xfId="32838" xr:uid="{5200BA38-FDB4-49A6-B552-A8BC56FE7F6D}"/>
    <cellStyle name="Total 2 2 3 3 16" xfId="24683" xr:uid="{6A6491B6-334B-42EA-A4A1-1384A446B1C2}"/>
    <cellStyle name="Total 2 2 3 3 17" xfId="17813" xr:uid="{E60AB265-C663-449D-8692-B9E1F3101545}"/>
    <cellStyle name="Total 2 2 3 3 18" xfId="41875" xr:uid="{815F5C07-8F62-4E50-8B2F-40A12C8B0657}"/>
    <cellStyle name="Total 2 2 3 3 19" xfId="37725" xr:uid="{28895D07-161C-4C79-9880-BCA220434E16}"/>
    <cellStyle name="Total 2 2 3 3 2" xfId="18451" xr:uid="{E0E55E5B-9260-47C3-9326-577E47619EC0}"/>
    <cellStyle name="Total 2 2 3 3 2 10" xfId="22204" xr:uid="{4AA53A08-3028-4F6F-83B7-6D2CC1B9EDE8}"/>
    <cellStyle name="Total 2 2 3 3 2 11" xfId="22010" xr:uid="{A35EF7C9-A32D-42AC-AF25-4E94E8A8CDCE}"/>
    <cellStyle name="Total 2 2 3 3 2 12" xfId="22320" xr:uid="{A61E3BA7-69D8-4B50-9A40-D7F1E2CFEB28}"/>
    <cellStyle name="Total 2 2 3 3 2 13" xfId="20368" xr:uid="{79B8E19A-EA35-4FC0-90D3-5D1A3E6C5C5C}"/>
    <cellStyle name="Total 2 2 3 3 2 14" xfId="20603" xr:uid="{19C5FB2D-843C-4E16-B3A5-E1DD1CB4346D}"/>
    <cellStyle name="Total 2 2 3 3 2 15" xfId="21310" xr:uid="{19F69F44-D80F-46A7-8DE5-CBCAD7731FDE}"/>
    <cellStyle name="Total 2 2 3 3 2 16" xfId="31486" xr:uid="{5CC5744B-B48D-443D-9B24-80202BC89854}"/>
    <cellStyle name="Total 2 2 3 3 2 2" xfId="19925" xr:uid="{C8FA18F8-1BD1-4DA6-A39F-3D0AA6179115}"/>
    <cellStyle name="Total 2 2 3 3 2 2 2" xfId="27324" xr:uid="{B32F8967-CF2E-48F6-9EF3-A482DD6C5A5F}"/>
    <cellStyle name="Total 2 2 3 3 2 2 3" xfId="34168" xr:uid="{991B4271-CC14-44C1-8D5E-E16BDEE3BC83}"/>
    <cellStyle name="Total 2 2 3 3 2 3" xfId="21075" xr:uid="{6879CC5D-2A93-4442-AC17-9717224F4CF5}"/>
    <cellStyle name="Total 2 2 3 3 2 3 2" xfId="29404" xr:uid="{BB9214F7-7CF3-4D81-ABF8-9223BE182FA4}"/>
    <cellStyle name="Total 2 2 3 3 2 3 3" xfId="36249" xr:uid="{90B5EB90-A2CA-4EAE-897C-28A02FC23EC3}"/>
    <cellStyle name="Total 2 2 3 3 2 4" xfId="18873" xr:uid="{E6FE9575-624B-47BE-8092-8AC3B4522D5B}"/>
    <cellStyle name="Total 2 2 3 3 2 5" xfId="20589" xr:uid="{43CDD5FC-310A-44F3-BB41-2C4CF731A22D}"/>
    <cellStyle name="Total 2 2 3 3 2 6" xfId="20992" xr:uid="{DF2938A0-A3F0-4524-AC19-F18357D43256}"/>
    <cellStyle name="Total 2 2 3 3 2 7" xfId="19376" xr:uid="{9E40DFCF-5A3C-4730-AEB8-5E00F9BFCFFE}"/>
    <cellStyle name="Total 2 2 3 3 2 8" xfId="20432" xr:uid="{14D05DF1-F726-4B35-8F62-4B11F7FDEAF1}"/>
    <cellStyle name="Total 2 2 3 3 2 9" xfId="21413" xr:uid="{C5FC0CBC-20A1-474C-87BC-5F301A927EAA}"/>
    <cellStyle name="Total 2 2 3 3 20" xfId="15536" xr:uid="{CB15559F-AF6E-428D-964F-A81348E4963F}"/>
    <cellStyle name="Total 2 2 3 3 21" xfId="47705" xr:uid="{E3FF78A7-A8E1-4D2E-B496-08ED1E08F1ED}"/>
    <cellStyle name="Total 2 2 3 3 22" xfId="47551" xr:uid="{A93828A6-0B93-4034-869A-5C2C080733C5}"/>
    <cellStyle name="Total 2 2 3 3 3" xfId="24951" xr:uid="{01AEF9BF-9FE1-4CC2-8D0D-608170B51DED}"/>
    <cellStyle name="Total 2 2 3 3 3 2" xfId="27621" xr:uid="{1F10BDB0-DDD4-4C68-A056-1CBA3F3C770C}"/>
    <cellStyle name="Total 2 2 3 3 3 2 2" xfId="34466" xr:uid="{851364D1-9525-43A3-89CA-CE43B2B166A4}"/>
    <cellStyle name="Total 2 2 3 3 3 3" xfId="29702" xr:uid="{F11AFA91-02B9-45E0-977B-422B30792DB6}"/>
    <cellStyle name="Total 2 2 3 3 3 3 2" xfId="36547" xr:uid="{B7BF64C1-4155-48A3-8F9F-B48B2E494734}"/>
    <cellStyle name="Total 2 2 3 3 3 4" xfId="31784" xr:uid="{5E6E5057-809F-4266-9C40-38D6928635DE}"/>
    <cellStyle name="Total 2 2 3 3 4" xfId="24670" xr:uid="{7252F718-1F77-4C05-B4C9-3170439BAE26}"/>
    <cellStyle name="Total 2 2 3 3 4 2" xfId="27286" xr:uid="{6368DF7C-6241-4374-839C-485D0F68AB32}"/>
    <cellStyle name="Total 2 2 3 3 4 2 2" xfId="34130" xr:uid="{7A50D5C5-84D1-4454-8ED3-61786FC3D968}"/>
    <cellStyle name="Total 2 2 3 3 4 3" xfId="29366" xr:uid="{FF93E681-F442-40A2-852A-5951F8E0D8A9}"/>
    <cellStyle name="Total 2 2 3 3 4 3 2" xfId="36211" xr:uid="{4D39120B-7DCF-4A0E-9110-9C93F4E67887}"/>
    <cellStyle name="Total 2 2 3 3 4 4" xfId="31448" xr:uid="{284C9C82-873E-4A23-9621-FFD7C80AB5A2}"/>
    <cellStyle name="Total 2 2 3 3 5" xfId="25097" xr:uid="{286F0BFE-D4B5-4005-9480-7F2489CBFE23}"/>
    <cellStyle name="Total 2 2 3 3 5 2" xfId="27769" xr:uid="{DCD31E80-201A-401A-BF1E-473080728E6A}"/>
    <cellStyle name="Total 2 2 3 3 5 2 2" xfId="34614" xr:uid="{F9226C90-1ABD-4ED0-A7F4-4A02C0A654A7}"/>
    <cellStyle name="Total 2 2 3 3 5 3" xfId="29850" xr:uid="{D03F9918-6844-4D03-8688-E8506E372F94}"/>
    <cellStyle name="Total 2 2 3 3 5 3 2" xfId="36695" xr:uid="{7F5260EB-7DF6-4311-BCBE-00418E7BBBA5}"/>
    <cellStyle name="Total 2 2 3 3 5 4" xfId="31932" xr:uid="{8370969E-C7F0-4A15-9B1E-A4EB9E8D0A60}"/>
    <cellStyle name="Total 2 2 3 3 6" xfId="23894" xr:uid="{16209F38-231B-4BC3-B604-AFCE196D6D72}"/>
    <cellStyle name="Total 2 2 3 3 6 2" xfId="26512" xr:uid="{0842A359-E124-422A-AEFF-99EAB8E851DC}"/>
    <cellStyle name="Total 2 2 3 3 6 2 2" xfId="33352" xr:uid="{B5174369-0A25-4946-B0B1-DC36EF263A7F}"/>
    <cellStyle name="Total 2 2 3 3 6 3" xfId="26172" xr:uid="{E6E5F809-4923-48F5-9A26-5794AA070735}"/>
    <cellStyle name="Total 2 2 3 3 6 3 2" xfId="33000" xr:uid="{B1AB7B50-6EFC-4F69-A46C-8A936E3F37A6}"/>
    <cellStyle name="Total 2 2 3 3 6 4" xfId="23294" xr:uid="{0862D859-BA1A-4445-A576-354F0EEBE864}"/>
    <cellStyle name="Total 2 2 3 3 7" xfId="24107" xr:uid="{FE3075F6-5592-4386-9E86-6215BC0AFD5E}"/>
    <cellStyle name="Total 2 2 3 3 7 2" xfId="26719" xr:uid="{010F539F-EC2A-439C-A804-BB51566319FB}"/>
    <cellStyle name="Total 2 2 3 3 7 2 2" xfId="33559" xr:uid="{DFBE3167-51F2-43BD-A56F-C11F0926DFA7}"/>
    <cellStyle name="Total 2 2 3 3 7 3" xfId="28795" xr:uid="{148AC7D0-669F-4202-83A0-14A87B8EC9BE}"/>
    <cellStyle name="Total 2 2 3 3 7 3 2" xfId="35640" xr:uid="{67A39033-F7DB-4E43-BC49-E41EACF8F8A8}"/>
    <cellStyle name="Total 2 2 3 3 7 4" xfId="30877" xr:uid="{103E310A-0FE0-4C7D-ACD8-3FBD1CB4282C}"/>
    <cellStyle name="Total 2 2 3 3 8" xfId="25504" xr:uid="{EB30D341-D0FB-4B17-999C-A8D773A83183}"/>
    <cellStyle name="Total 2 2 3 3 8 2" xfId="28171" xr:uid="{1F75A2BD-D948-4E12-BF77-E22DA90BEE99}"/>
    <cellStyle name="Total 2 2 3 3 8 2 2" xfId="35016" xr:uid="{12E45F3E-1E86-4766-AD97-F6FD50F2CF71}"/>
    <cellStyle name="Total 2 2 3 3 8 3" xfId="30252" xr:uid="{DAB14AE1-BDDB-468D-ACB5-B27488DAD8AC}"/>
    <cellStyle name="Total 2 2 3 3 8 3 2" xfId="37097" xr:uid="{58E36BB4-E331-44AB-B015-31A1A84EEF09}"/>
    <cellStyle name="Total 2 2 3 3 8 4" xfId="32334" xr:uid="{0FFFE946-2D45-4D96-8204-C2BFA69B1968}"/>
    <cellStyle name="Total 2 2 3 3 9" xfId="25364" xr:uid="{95FBCB50-A48A-467E-933A-484AB45CB98C}"/>
    <cellStyle name="Total 2 2 3 3 9 2" xfId="28031" xr:uid="{746F9C7A-D34E-49B6-ADD4-1340206E47C3}"/>
    <cellStyle name="Total 2 2 3 3 9 2 2" xfId="34876" xr:uid="{7A17CC6E-08E1-4F25-9568-711F58F4F779}"/>
    <cellStyle name="Total 2 2 3 3 9 3" xfId="30112" xr:uid="{9CF88837-16FD-4E52-BD6D-BA4CC651F87F}"/>
    <cellStyle name="Total 2 2 3 3 9 3 2" xfId="36957" xr:uid="{84AC510D-762C-47AD-A345-24C16960713A}"/>
    <cellStyle name="Total 2 2 3 3 9 4" xfId="32194" xr:uid="{C1BC82A8-B1F4-4886-8FBA-6DB505D6F890}"/>
    <cellStyle name="Total 2 2 3 4" xfId="18626" xr:uid="{F1DB7512-AEB6-43BE-B453-010073B0A053}"/>
    <cellStyle name="Total 2 2 3 4 10" xfId="20667" xr:uid="{5044E3C1-AC8E-4172-B292-145FC36C6A1F}"/>
    <cellStyle name="Total 2 2 3 4 11" xfId="21667" xr:uid="{E2DC7F59-9223-4ACE-956D-5B91A5E045ED}"/>
    <cellStyle name="Total 2 2 3 4 12" xfId="22761" xr:uid="{2845DBFD-3990-48C0-B0D2-D9C299DB7645}"/>
    <cellStyle name="Total 2 2 3 4 13" xfId="21151" xr:uid="{1B455122-D772-42B2-936E-7EB09C0ED680}"/>
    <cellStyle name="Total 2 2 3 4 14" xfId="22897" xr:uid="{1053F75E-2F47-4319-A04F-4A73A97B9D62}"/>
    <cellStyle name="Total 2 2 3 4 15" xfId="22912" xr:uid="{C641A582-679E-4C35-B496-44685E4BD33D}"/>
    <cellStyle name="Total 2 2 3 4 16" xfId="31360" xr:uid="{343F81A7-0C17-4966-B80A-C2CA5B2C4DA0}"/>
    <cellStyle name="Total 2 2 3 4 2" xfId="21276" xr:uid="{C40E6904-2316-4460-ABED-1FA8DAB74E3E}"/>
    <cellStyle name="Total 2 2 3 4 2 2" xfId="27201" xr:uid="{C174156C-469B-4A8F-AE04-68B993B684BF}"/>
    <cellStyle name="Total 2 2 3 4 2 3" xfId="34042" xr:uid="{B84B7829-080C-497D-9E49-FE39777DD82E}"/>
    <cellStyle name="Total 2 2 3 4 3" xfId="21809" xr:uid="{20938154-3FFD-4FF4-BB0F-7CFB2D2B1D9A}"/>
    <cellStyle name="Total 2 2 3 4 3 2" xfId="29278" xr:uid="{5C83FFD1-8A21-4DB8-8238-470DFE69855E}"/>
    <cellStyle name="Total 2 2 3 4 3 3" xfId="36123" xr:uid="{3E9925B0-BC4E-458B-B20C-2F4E59F31C8E}"/>
    <cellStyle name="Total 2 2 3 4 4" xfId="19265" xr:uid="{9D7D5C50-ACDA-448D-A28F-149148E989DC}"/>
    <cellStyle name="Total 2 2 3 4 5" xfId="20231" xr:uid="{7075675A-F8C8-4AB7-B7AE-20489D1C0ADF}"/>
    <cellStyle name="Total 2 2 3 4 6" xfId="20584" xr:uid="{797E6F4F-FFE9-47BD-9600-9612293EFACE}"/>
    <cellStyle name="Total 2 2 3 4 7" xfId="19237" xr:uid="{36A7F68F-32DB-4A3C-9E93-83B2CCCE8617}"/>
    <cellStyle name="Total 2 2 3 4 8" xfId="20556" xr:uid="{C16F5359-D7CE-4A6B-AF4B-124AE052B9B0}"/>
    <cellStyle name="Total 2 2 3 4 9" xfId="22498" xr:uid="{9B0724FF-A533-4EBE-BA77-6D6A10A2A5AC}"/>
    <cellStyle name="Total 2 2 3 5" xfId="18290" xr:uid="{3412762F-6040-4D52-B652-817B9573A135}"/>
    <cellStyle name="Total 2 2 3 5 2" xfId="27160" xr:uid="{DE42EE21-6FC9-4F54-8A9F-E2784D351BD6}"/>
    <cellStyle name="Total 2 2 3 5 2 2" xfId="34001" xr:uid="{9537B8E3-C913-4159-8329-766E5DD51035}"/>
    <cellStyle name="Total 2 2 3 5 3" xfId="29237" xr:uid="{5378429C-C191-4088-BF69-C48FA1A3A1C7}"/>
    <cellStyle name="Total 2 2 3 5 3 2" xfId="36082" xr:uid="{BEFFDF61-D883-497B-9E5C-A62CF0E56AA7}"/>
    <cellStyle name="Total 2 2 3 5 4" xfId="24559" xr:uid="{D10B2D8A-596C-463C-9A15-198DF1ED1A2E}"/>
    <cellStyle name="Total 2 2 3 5 5" xfId="31319" xr:uid="{03F0BE87-997D-494F-9E03-00EAD541C256}"/>
    <cellStyle name="Total 2 2 3 6" xfId="17542" xr:uid="{F2361ADC-2785-475E-8372-3CE4ACA905B7}"/>
    <cellStyle name="Total 2 2 3 6 2" xfId="27037" xr:uid="{2A99CDE0-9BBC-491B-B454-2E0B9AF068B9}"/>
    <cellStyle name="Total 2 2 3 6 2 2" xfId="33877" xr:uid="{D0720FC2-3B97-4AA9-8A54-0D636D0D5C56}"/>
    <cellStyle name="Total 2 2 3 6 3" xfId="29113" xr:uid="{395C0BE9-C0E7-4788-A867-3331D5F863E4}"/>
    <cellStyle name="Total 2 2 3 6 3 2" xfId="35958" xr:uid="{89BC90CE-BAB3-47F9-9EED-578CE42A0D51}"/>
    <cellStyle name="Total 2 2 3 6 4" xfId="24418" xr:uid="{8BF54E27-F88F-4AC5-A6F4-935EBAED9327}"/>
    <cellStyle name="Total 2 2 3 6 5" xfId="31195" xr:uid="{33D50C11-9CB4-4D34-9668-FA652F4BC327}"/>
    <cellStyle name="Total 2 2 3 7" xfId="24968" xr:uid="{150FA5D5-789B-42FE-8F03-6E8E241E940D}"/>
    <cellStyle name="Total 2 2 3 7 2" xfId="27638" xr:uid="{06CEDFF7-1110-4ADA-9417-C18587987B51}"/>
    <cellStyle name="Total 2 2 3 7 2 2" xfId="34483" xr:uid="{B1A65CEC-0617-467A-BDD5-AF4C89AF4C4E}"/>
    <cellStyle name="Total 2 2 3 7 3" xfId="29719" xr:uid="{BEFCE745-55DC-4263-9311-E57D576A548C}"/>
    <cellStyle name="Total 2 2 3 7 3 2" xfId="36564" xr:uid="{4EA11CDE-278E-4C40-BE48-E872DAC80302}"/>
    <cellStyle name="Total 2 2 3 7 4" xfId="31801" xr:uid="{23EDA9CB-28E7-40FE-BE6A-C3B59BC11914}"/>
    <cellStyle name="Total 2 2 3 8" xfId="25052" xr:uid="{BF5001DB-AD4E-4587-AB3F-E012EF8E03DF}"/>
    <cellStyle name="Total 2 2 3 8 2" xfId="27724" xr:uid="{8E13C920-B2DC-49C3-AAA5-5EEE597C1B69}"/>
    <cellStyle name="Total 2 2 3 8 2 2" xfId="34569" xr:uid="{93EC377A-42E3-453B-BA71-1025F29EF5E2}"/>
    <cellStyle name="Total 2 2 3 8 3" xfId="29805" xr:uid="{954E74DF-AF33-4D79-8156-D58FA4415A4B}"/>
    <cellStyle name="Total 2 2 3 8 3 2" xfId="36650" xr:uid="{F2EF0027-F6F8-4DC4-9C7C-B997464F2130}"/>
    <cellStyle name="Total 2 2 3 8 4" xfId="31887" xr:uid="{C7C2742E-CF84-4944-8900-F75C640AD3C8}"/>
    <cellStyle name="Total 2 2 3 9" xfId="23918" xr:uid="{DBA10191-9DF3-4DBF-A0D7-8A8A1FDD0EAB}"/>
    <cellStyle name="Total 2 2 3 9 2" xfId="26536" xr:uid="{6CED62A9-7E76-4572-A921-84F51D6C0773}"/>
    <cellStyle name="Total 2 2 3 9 2 2" xfId="33376" xr:uid="{0FED56F1-B665-4EC4-92AC-C4D14A59A046}"/>
    <cellStyle name="Total 2 2 3 9 3" xfId="26149" xr:uid="{0B011373-36B0-4AA8-B1A7-D3FCE9251AC8}"/>
    <cellStyle name="Total 2 2 3 9 3 2" xfId="32977" xr:uid="{A6C1A8BB-D2D9-4CB6-AC00-0AF7D26FDAD3}"/>
    <cellStyle name="Total 2 2 3 9 4" xfId="23271" xr:uid="{B793F793-98AC-4568-BAD4-4C8959E5E70F}"/>
    <cellStyle name="Total 2 2 4" xfId="5471" xr:uid="{00000000-0005-0000-0000-000089150000}"/>
    <cellStyle name="Total 2 2 4 10" xfId="23836" xr:uid="{9BF4FD27-D185-4AE0-9CB0-E55DC1D4288D}"/>
    <cellStyle name="Total 2 2 4 10 2" xfId="26455" xr:uid="{C91A5FDC-DDEB-44FF-AFAD-1AE14F464D2E}"/>
    <cellStyle name="Total 2 2 4 10 2 2" xfId="33295" xr:uid="{941389C4-A4B6-4442-ABA4-EDFF63D4826D}"/>
    <cellStyle name="Total 2 2 4 10 3" xfId="26228" xr:uid="{62E83104-8905-48A0-AF19-662EC8B6F7D8}"/>
    <cellStyle name="Total 2 2 4 10 3 2" xfId="33056" xr:uid="{D260C3ED-133F-42C7-8F43-055C4D547766}"/>
    <cellStyle name="Total 2 2 4 10 4" xfId="23350" xr:uid="{83572851-D26D-4B83-B21D-292B6E6BD7BA}"/>
    <cellStyle name="Total 2 2 4 11" xfId="25340" xr:uid="{3045D0BB-8089-48F2-A4E8-822D18C80463}"/>
    <cellStyle name="Total 2 2 4 11 2" xfId="28008" xr:uid="{328AF5DE-4BAE-44E8-9936-64A19F04B85B}"/>
    <cellStyle name="Total 2 2 4 11 2 2" xfId="34853" xr:uid="{FE1478F3-5489-42C3-9F3F-7828817F9BB5}"/>
    <cellStyle name="Total 2 2 4 11 3" xfId="30089" xr:uid="{F97AE317-A5B8-425F-A97D-EC3C93FBAB2B}"/>
    <cellStyle name="Total 2 2 4 11 3 2" xfId="36934" xr:uid="{8ADD964D-6867-4691-A86F-F33EE15A134D}"/>
    <cellStyle name="Total 2 2 4 11 4" xfId="32171" xr:uid="{B516F8B2-8434-458F-8ECD-CB0301F0F7E8}"/>
    <cellStyle name="Total 2 2 4 12" xfId="25185" xr:uid="{C14A7A28-D099-46D9-9136-A0CB1A05A78A}"/>
    <cellStyle name="Total 2 2 4 12 2" xfId="27857" xr:uid="{17BB268D-7AEB-4896-8CE6-3F605C1B139B}"/>
    <cellStyle name="Total 2 2 4 12 2 2" xfId="34702" xr:uid="{84E8B681-326C-49FE-A41B-B493FA936C4E}"/>
    <cellStyle name="Total 2 2 4 12 3" xfId="29938" xr:uid="{7AE151FB-0398-4168-A6D0-A3A6DE0C836E}"/>
    <cellStyle name="Total 2 2 4 12 3 2" xfId="36783" xr:uid="{2DC53FF6-AD3B-4978-813B-68DA7F709778}"/>
    <cellStyle name="Total 2 2 4 12 4" xfId="32020" xr:uid="{A4AC775C-3178-4ECF-9918-6713877B1A9F}"/>
    <cellStyle name="Total 2 2 4 13" xfId="25259" xr:uid="{D8FCAC4B-5B28-4C5C-B629-5845D4CACA3D}"/>
    <cellStyle name="Total 2 2 4 13 2" xfId="27930" xr:uid="{41898291-DE23-40B7-BB18-8D7265568695}"/>
    <cellStyle name="Total 2 2 4 13 2 2" xfId="34775" xr:uid="{6B2C93A6-3A87-456E-BA1A-7286234B60E4}"/>
    <cellStyle name="Total 2 2 4 13 3" xfId="30011" xr:uid="{2178E7A1-ADD3-4709-A27F-0014696977EF}"/>
    <cellStyle name="Total 2 2 4 13 3 2" xfId="36856" xr:uid="{179CD5D3-BCAE-4FFD-8BB0-EE811AE63D42}"/>
    <cellStyle name="Total 2 2 4 13 4" xfId="32093" xr:uid="{049C6C58-76E3-41C6-A286-0F40A125C3DA}"/>
    <cellStyle name="Total 2 2 4 14" xfId="25266" xr:uid="{F3EEA225-5677-44E0-A9D2-6B719D6660D2}"/>
    <cellStyle name="Total 2 2 4 14 2" xfId="27937" xr:uid="{575013EF-335D-4C82-B864-48D6F11202D9}"/>
    <cellStyle name="Total 2 2 4 14 2 2" xfId="34782" xr:uid="{AA530133-F3D3-4B83-982A-8EB2BB0C0AA0}"/>
    <cellStyle name="Total 2 2 4 14 3" xfId="30018" xr:uid="{ADE4362E-2E40-4202-A405-5F506119BBD2}"/>
    <cellStyle name="Total 2 2 4 14 3 2" xfId="36863" xr:uid="{CDBFA9CF-116D-4C5E-BAFB-DFA47CA4FF01}"/>
    <cellStyle name="Total 2 2 4 14 4" xfId="32100" xr:uid="{66BB57F6-C383-4009-8D69-8E3021E9368E}"/>
    <cellStyle name="Total 2 2 4 15" xfId="25239" xr:uid="{6BB7BA40-718A-4C49-A1CC-DCBF40CBEA22}"/>
    <cellStyle name="Total 2 2 4 15 2" xfId="27910" xr:uid="{3BFD52B9-E49D-4B16-BD9A-7AE71CEEA0ED}"/>
    <cellStyle name="Total 2 2 4 15 2 2" xfId="34755" xr:uid="{A7BC67D8-92BB-4CD8-8114-DE378E61C3C6}"/>
    <cellStyle name="Total 2 2 4 15 3" xfId="29991" xr:uid="{9B1086F9-2D51-4FC5-BD05-F81593396FE1}"/>
    <cellStyle name="Total 2 2 4 15 3 2" xfId="36836" xr:uid="{321731E1-5A0E-406D-BDF4-7D6EB828CE67}"/>
    <cellStyle name="Total 2 2 4 15 4" xfId="32073" xr:uid="{CF5E0AED-4662-4D14-B7CB-CA35412EDD32}"/>
    <cellStyle name="Total 2 2 4 16" xfId="23596" xr:uid="{946945D4-1E1E-4269-BCA1-9FD74E9F0AC0}"/>
    <cellStyle name="Total 2 2 4 17" xfId="16552" xr:uid="{F660CDE3-8A7E-4EB7-A36C-5A94997A33A2}"/>
    <cellStyle name="Total 2 2 4 18" xfId="39498" xr:uid="{8F8CBE73-E813-48C6-A558-CA4EDCB734DB}"/>
    <cellStyle name="Total 2 2 4 2" xfId="10985" xr:uid="{00000000-0005-0000-0000-0000CF220000}"/>
    <cellStyle name="Total 2 2 4 2 10" xfId="22463" xr:uid="{0DFFED3E-6833-4052-9F61-7A3AA4B1BB00}"/>
    <cellStyle name="Total 2 2 4 2 11" xfId="20321" xr:uid="{DE16C4DC-DCC8-4217-92E9-650A7F884D73}"/>
    <cellStyle name="Total 2 2 4 2 12" xfId="22830" xr:uid="{EE85C1B7-3D4C-4825-9CE8-986C32472017}"/>
    <cellStyle name="Total 2 2 4 2 13" xfId="22732" xr:uid="{BC7B1BE5-D7BB-4627-8C39-73E72A2E1200}"/>
    <cellStyle name="Total 2 2 4 2 14" xfId="22964" xr:uid="{A6AEBF70-352A-4884-887E-07A899D65415}"/>
    <cellStyle name="Total 2 2 4 2 15" xfId="19019" xr:uid="{1C9E6F4A-719F-4B3C-BF67-86C104DB84AA}"/>
    <cellStyle name="Total 2 2 4 2 16" xfId="31410" xr:uid="{7FF21914-9F68-4853-A214-74FC29D0829D}"/>
    <cellStyle name="Total 2 2 4 2 17" xfId="18792" xr:uid="{88DDAEC3-43DC-4400-8F39-7DDFC2C35B79}"/>
    <cellStyle name="Total 2 2 4 2 18" xfId="43474" xr:uid="{F18D2032-E9C2-47BD-AA81-6FF2D8420538}"/>
    <cellStyle name="Total 2 2 4 2 2" xfId="19758" xr:uid="{E0073F69-18E1-4E6C-AE9F-D1254800197D}"/>
    <cellStyle name="Total 2 2 4 2 2 2" xfId="27248" xr:uid="{D97422E9-E606-403F-AE34-F7F7A42C4601}"/>
    <cellStyle name="Total 2 2 4 2 2 3" xfId="34092" xr:uid="{945F27BE-89A4-4E57-AD66-96E429ECC080}"/>
    <cellStyle name="Total 2 2 4 2 3" xfId="20510" xr:uid="{CDB5AF04-2957-455E-8497-D357FB80E836}"/>
    <cellStyle name="Total 2 2 4 2 3 2" xfId="29328" xr:uid="{4C796462-31B9-44FF-B0D8-D4B6DC101599}"/>
    <cellStyle name="Total 2 2 4 2 3 3" xfId="36173" xr:uid="{56CAE1F1-DE2C-485E-8AF9-93E99D081A68}"/>
    <cellStyle name="Total 2 2 4 2 4" xfId="19179" xr:uid="{0FAE4F55-1B8C-43F4-B815-13AB3A30A436}"/>
    <cellStyle name="Total 2 2 4 2 5" xfId="19680" xr:uid="{E1197C76-EDE8-489E-BA6B-9D2DE6783F04}"/>
    <cellStyle name="Total 2 2 4 2 6" xfId="20366" xr:uid="{739EC2B7-436C-498C-BF85-F543C0305830}"/>
    <cellStyle name="Total 2 2 4 2 7" xfId="20259" xr:uid="{394A2C45-CA79-4119-8CA0-67D0312B8AE8}"/>
    <cellStyle name="Total 2 2 4 2 8" xfId="20608" xr:uid="{714894D1-957C-4ECB-B1E6-35084722736B}"/>
    <cellStyle name="Total 2 2 4 2 9" xfId="22585" xr:uid="{BFC1147B-27D3-4B01-85FC-81D605AF7DBE}"/>
    <cellStyle name="Total 2 2 4 3" xfId="18291" xr:uid="{9130AC17-509D-45D0-9C14-578F9486085A}"/>
    <cellStyle name="Total 2 2 4 3 10" xfId="20616" xr:uid="{78C3CF49-47BD-4914-BA0B-5E0A1F71E8BC}"/>
    <cellStyle name="Total 2 2 4 3 11" xfId="22447" xr:uid="{2245171E-03AB-4B17-9405-9E11675DA79D}"/>
    <cellStyle name="Total 2 2 4 3 12" xfId="19235" xr:uid="{5004865B-DC8E-4B0E-BB39-D2CDD4317D16}"/>
    <cellStyle name="Total 2 2 4 3 13" xfId="21665" xr:uid="{ACF09743-90B8-4440-9A60-B61FAF864691}"/>
    <cellStyle name="Total 2 2 4 3 14" xfId="19221" xr:uid="{4BB1CA6F-A685-4742-82EC-8AF2ED7CB8DE}"/>
    <cellStyle name="Total 2 2 4 3 15" xfId="21136" xr:uid="{A99D1477-013A-49AD-9597-EE86A17A6026}"/>
    <cellStyle name="Total 2 2 4 3 16" xfId="31695" xr:uid="{13D2F712-3453-4F2D-9FFB-326F405E91CC}"/>
    <cellStyle name="Total 2 2 4 3 2" xfId="19640" xr:uid="{799A3BDF-999C-4E90-B85F-A41E917DA6AC}"/>
    <cellStyle name="Total 2 2 4 3 2 2" xfId="27533" xr:uid="{8417CB75-612A-4849-BDC3-BCCAB40AC7DD}"/>
    <cellStyle name="Total 2 2 4 3 2 3" xfId="34377" xr:uid="{BED969CE-5EEC-4B56-83E4-F922D38D0EC8}"/>
    <cellStyle name="Total 2 2 4 3 3" xfId="20713" xr:uid="{33222F7A-3BEA-4464-AC1F-9344F54C5AC4}"/>
    <cellStyle name="Total 2 2 4 3 3 2" xfId="29613" xr:uid="{522E9931-2440-4D4E-8204-11F2CF30250D}"/>
    <cellStyle name="Total 2 2 4 3 3 3" xfId="36458" xr:uid="{AC4E3D10-09CE-4BDB-B69A-DCC49AE24A40}"/>
    <cellStyle name="Total 2 2 4 3 4" xfId="20054" xr:uid="{93ADE8AF-1021-47A9-B110-A3822F24992A}"/>
    <cellStyle name="Total 2 2 4 3 5" xfId="19315" xr:uid="{90F0009C-D6B3-470F-9BF7-0B40DDE508A3}"/>
    <cellStyle name="Total 2 2 4 3 6" xfId="22249" xr:uid="{FF6EF81A-C6CF-4ACE-B116-9D2F551FA498}"/>
    <cellStyle name="Total 2 2 4 3 7" xfId="22202" xr:uid="{51C31A96-6CA3-401A-AC2E-3FC1222D4CE0}"/>
    <cellStyle name="Total 2 2 4 3 8" xfId="19652" xr:uid="{0D10897B-2EBD-4700-B1FB-9A958E95067A}"/>
    <cellStyle name="Total 2 2 4 3 9" xfId="21480" xr:uid="{D51283EC-D8C4-4D0C-99C7-E1746BA817D1}"/>
    <cellStyle name="Total 2 2 4 4" xfId="17629" xr:uid="{C9E768FA-8BC2-44D5-AE77-4B00CF264F50}"/>
    <cellStyle name="Total 2 2 4 4 2" xfId="26897" xr:uid="{E33B6DEB-FE15-4860-B331-AF2BFF7CCE9C}"/>
    <cellStyle name="Total 2 2 4 4 2 2" xfId="33737" xr:uid="{0C10A856-213D-449F-A503-90C53EA1658F}"/>
    <cellStyle name="Total 2 2 4 4 3" xfId="28973" xr:uid="{1367A762-2A67-489F-A76B-6F44427A95E1}"/>
    <cellStyle name="Total 2 2 4 4 3 2" xfId="35818" xr:uid="{3D27D1AB-412E-476C-AC4B-721BFF253120}"/>
    <cellStyle name="Total 2 2 4 4 4" xfId="24290" xr:uid="{9DF0740F-587E-4E2D-ACEE-30D28B91DCEE}"/>
    <cellStyle name="Total 2 2 4 4 5" xfId="31055" xr:uid="{268103B4-6FA1-4242-9EF4-919DA137FEFF}"/>
    <cellStyle name="Total 2 2 4 5" xfId="24958" xr:uid="{DA9E73BE-0954-42AC-B49D-DA37F04E6741}"/>
    <cellStyle name="Total 2 2 4 5 2" xfId="27628" xr:uid="{0D8E9E6F-382A-48E1-BE44-3674ACDFCB23}"/>
    <cellStyle name="Total 2 2 4 5 2 2" xfId="34473" xr:uid="{968DCD74-5B07-4A21-9E62-964D22B1490A}"/>
    <cellStyle name="Total 2 2 4 5 3" xfId="29709" xr:uid="{B833A7B4-E4D4-42F0-85A4-04E245EDF837}"/>
    <cellStyle name="Total 2 2 4 5 3 2" xfId="36554" xr:uid="{4753DD48-855F-48A3-814F-28DEBF282323}"/>
    <cellStyle name="Total 2 2 4 5 4" xfId="31791" xr:uid="{EFD8F9E6-FA25-4E99-BE46-D29C69EF884F}"/>
    <cellStyle name="Total 2 2 4 6" xfId="24875" xr:uid="{A0C8ACDC-DEB5-40E4-9D19-AB8F0A64C10C}"/>
    <cellStyle name="Total 2 2 4 6 2" xfId="27541" xr:uid="{9392F14D-2564-4B1D-9816-6409188D174A}"/>
    <cellStyle name="Total 2 2 4 6 2 2" xfId="34385" xr:uid="{5DFD28DD-9299-4ACF-8097-544DF45514D4}"/>
    <cellStyle name="Total 2 2 4 6 3" xfId="29621" xr:uid="{C6501F59-11DD-4BAC-A7DD-79FA5C7D5B34}"/>
    <cellStyle name="Total 2 2 4 6 3 2" xfId="36466" xr:uid="{3F4FF5EA-5711-4165-958F-C8915AA82187}"/>
    <cellStyle name="Total 2 2 4 6 4" xfId="31703" xr:uid="{06C758DC-B45B-4D9A-AC66-DA17A2C8B562}"/>
    <cellStyle name="Total 2 2 4 7" xfId="25240" xr:uid="{2ED8C326-84B4-4DC7-A475-A00B16DFD138}"/>
    <cellStyle name="Total 2 2 4 7 2" xfId="27911" xr:uid="{0FD1D6F1-B865-493E-8D00-60764598E632}"/>
    <cellStyle name="Total 2 2 4 7 2 2" xfId="34756" xr:uid="{BD4820B0-A05E-42F2-994F-E9D5C4520C20}"/>
    <cellStyle name="Total 2 2 4 7 3" xfId="29992" xr:uid="{6E83F170-4D0D-46BF-BC55-B29E3C4C8473}"/>
    <cellStyle name="Total 2 2 4 7 3 2" xfId="36837" xr:uid="{6D0CF9F3-3480-4459-88AF-FA79F901B52C}"/>
    <cellStyle name="Total 2 2 4 7 4" xfId="32074" xr:uid="{19B06B26-8D1A-44FE-A6A3-3591337AD560}"/>
    <cellStyle name="Total 2 2 4 8" xfId="25447" xr:uid="{EC630E11-C1BB-4E8E-9DCC-5732067C49D6}"/>
    <cellStyle name="Total 2 2 4 8 2" xfId="28114" xr:uid="{A53E079D-140B-4985-A086-88256DBB54EB}"/>
    <cellStyle name="Total 2 2 4 8 2 2" xfId="34959" xr:uid="{F98518F3-7261-4726-AB07-A8ADC460C12A}"/>
    <cellStyle name="Total 2 2 4 8 3" xfId="30195" xr:uid="{BCAED861-BE37-425B-A760-80BA08C38E68}"/>
    <cellStyle name="Total 2 2 4 8 3 2" xfId="37040" xr:uid="{BC677A0B-6DEE-409C-8485-350ABADA8875}"/>
    <cellStyle name="Total 2 2 4 8 4" xfId="32277" xr:uid="{9F54AE99-EE03-44C3-8A66-23A91749B90B}"/>
    <cellStyle name="Total 2 2 4 9" xfId="25432" xr:uid="{F88BD0F2-2151-423F-A4EC-C758778F7B35}"/>
    <cellStyle name="Total 2 2 4 9 2" xfId="28099" xr:uid="{17587516-5B5D-4C4F-B386-4F80691D83A4}"/>
    <cellStyle name="Total 2 2 4 9 2 2" xfId="34944" xr:uid="{DCEA62A8-1F1A-4E5D-B008-C63A988DC0D7}"/>
    <cellStyle name="Total 2 2 4 9 3" xfId="30180" xr:uid="{FC3E1B87-30E0-4B6D-B334-9F973EFED7A2}"/>
    <cellStyle name="Total 2 2 4 9 3 2" xfId="37025" xr:uid="{CDD113EF-44FB-4BF4-B720-56E9FF5FADF7}"/>
    <cellStyle name="Total 2 2 4 9 4" xfId="32262" xr:uid="{36EB99A2-7E44-4507-82F2-5782EDC3F18E}"/>
    <cellStyle name="Total 2 2 5" xfId="5472" xr:uid="{00000000-0005-0000-0000-00008A150000}"/>
    <cellStyle name="Total 2 2 5 10" xfId="20803" xr:uid="{50EDC1E6-3644-47F4-B170-EC3E4E346BD5}"/>
    <cellStyle name="Total 2 2 5 11" xfId="22446" xr:uid="{E3DD14FD-56A7-44A7-83E0-20C9C4913F84}"/>
    <cellStyle name="Total 2 2 5 12" xfId="22459" xr:uid="{D63394F7-4340-4E1C-B5C3-80D864EDCD7C}"/>
    <cellStyle name="Total 2 2 5 13" xfId="20744" xr:uid="{A9FE2B96-9537-4609-8C77-E7A750E32DBE}"/>
    <cellStyle name="Total 2 2 5 14" xfId="22720" xr:uid="{92138CB9-F4C8-48E7-893D-D629C9D7AA47}"/>
    <cellStyle name="Total 2 2 5 15" xfId="22710" xr:uid="{D55B65F7-5CB8-4262-B78A-838775B15A6C}"/>
    <cellStyle name="Total 2 2 5 16" xfId="22420" xr:uid="{012434D5-8464-4223-AB42-BEFA900A755E}"/>
    <cellStyle name="Total 2 2 5 17" xfId="18292" xr:uid="{D170150A-F5CD-4649-A5FA-CA1D24F3583A}"/>
    <cellStyle name="Total 2 2 5 18" xfId="23164" xr:uid="{BB1385AF-4ECF-4EFF-8372-EFD1AFABBA97}"/>
    <cellStyle name="Total 2 2 5 19" xfId="16553" xr:uid="{E452E1A0-AEEB-4A09-9AF0-3AB5D4EB8C53}"/>
    <cellStyle name="Total 2 2 5 2" xfId="10986" xr:uid="{00000000-0005-0000-0000-0000D0220000}"/>
    <cellStyle name="Total 2 2 5 2 10" xfId="21509" xr:uid="{ADEFC91E-7801-41F6-B3F9-F309EFD8696B}"/>
    <cellStyle name="Total 2 2 5 2 11" xfId="19194" xr:uid="{DC4A2D16-6E7B-4431-995F-20DBE7C6EAE7}"/>
    <cellStyle name="Total 2 2 5 2 12" xfId="22831" xr:uid="{A6BEA29D-6C95-444C-BAE0-6863FF202EAE}"/>
    <cellStyle name="Total 2 2 5 2 13" xfId="19417" xr:uid="{AFB7D94A-1BA0-40A4-B6A0-6B9CB8200549}"/>
    <cellStyle name="Total 2 2 5 2 14" xfId="22965" xr:uid="{B5A03095-7316-46C8-A7C5-5E49E9896D00}"/>
    <cellStyle name="Total 2 2 5 2 15" xfId="22995" xr:uid="{0F40347D-D7F8-4B05-A61A-182501A3D610}"/>
    <cellStyle name="Total 2 2 5 2 16" xfId="33190" xr:uid="{5800DF7E-5A23-475B-B06C-7A782256AC59}"/>
    <cellStyle name="Total 2 2 5 2 17" xfId="18793" xr:uid="{71A4FC6D-70FC-4497-9738-BF05CE500439}"/>
    <cellStyle name="Total 2 2 5 2 18" xfId="43475" xr:uid="{14A4E0E7-6A4F-4611-BDF5-10066B5D8B4D}"/>
    <cellStyle name="Total 2 2 5 2 2" xfId="19757" xr:uid="{AA134633-1004-4E61-B5D9-3F747996C08E}"/>
    <cellStyle name="Total 2 2 5 2 3" xfId="19391" xr:uid="{D5A53645-245A-4D75-BA87-3FC4F33F3426}"/>
    <cellStyle name="Total 2 2 5 2 4" xfId="21834" xr:uid="{7726048C-5DA1-4B48-A296-4E1791989B2E}"/>
    <cellStyle name="Total 2 2 5 2 5" xfId="21864" xr:uid="{E95B32B6-4AE0-4170-8EA1-5C081B4A378C}"/>
    <cellStyle name="Total 2 2 5 2 6" xfId="20068" xr:uid="{D23EC9C8-5BEB-4057-8342-31266E1BC067}"/>
    <cellStyle name="Total 2 2 5 2 7" xfId="20714" xr:uid="{D4420C27-4479-4127-A0E0-3EF30F21C019}"/>
    <cellStyle name="Total 2 2 5 2 8" xfId="20897" xr:uid="{8671EBB5-746C-4607-9879-388A2461012D}"/>
    <cellStyle name="Total 2 2 5 2 9" xfId="22586" xr:uid="{AEA016AA-0E08-4680-8881-8F0D0CF55582}"/>
    <cellStyle name="Total 2 2 5 20" xfId="39499" xr:uid="{9CF1FF81-AE37-4EEC-BAEB-161B5E72C36E}"/>
    <cellStyle name="Total 2 2 5 3" xfId="20224" xr:uid="{C9E5C171-9B8A-4683-A73E-97C3C54868AF}"/>
    <cellStyle name="Total 2 2 5 3 2" xfId="26329" xr:uid="{C22E8079-2286-419A-89DE-5459A13F47FF}"/>
    <cellStyle name="Total 2 2 5 3 3" xfId="33157" xr:uid="{48D7F358-4B7E-47AF-AE15-6F697A112654}"/>
    <cellStyle name="Total 2 2 5 4" xfId="20491" xr:uid="{CA088C0A-8996-4A4A-AD9B-9D04C9F302D3}"/>
    <cellStyle name="Total 2 2 5 5" xfId="19208" xr:uid="{11C87B02-4DA5-4117-8D9F-109C9BEE748A}"/>
    <cellStyle name="Total 2 2 5 6" xfId="20810" xr:uid="{FA024A1A-0FE8-4DC7-8166-E204C4522232}"/>
    <cellStyle name="Total 2 2 5 7" xfId="20305" xr:uid="{A242CC67-F82D-4DED-BDAD-A480D966FA7B}"/>
    <cellStyle name="Total 2 2 5 8" xfId="22339" xr:uid="{0C176C1E-98DF-48F9-AC56-6AA24B1BDA3B}"/>
    <cellStyle name="Total 2 2 5 9" xfId="19241" xr:uid="{97B2528D-B4B1-4F9A-9509-43631AB4B1C4}"/>
    <cellStyle name="Total 2 2 6" xfId="5473" xr:uid="{00000000-0005-0000-0000-00008B150000}"/>
    <cellStyle name="Total 2 2 6 10" xfId="22306" xr:uid="{FD291BE9-B5C2-467E-A80A-882656DB8B4A}"/>
    <cellStyle name="Total 2 2 6 11" xfId="21424" xr:uid="{343F01CA-6989-44BF-B532-DEEDFC1E4E9F}"/>
    <cellStyle name="Total 2 2 6 12" xfId="22827" xr:uid="{EB000F7D-1AA6-4626-9FDC-70EF2AD9AF88}"/>
    <cellStyle name="Total 2 2 6 13" xfId="19058" xr:uid="{3E47620E-DF0E-43E1-BE5F-C362D931A994}"/>
    <cellStyle name="Total 2 2 6 14" xfId="22961" xr:uid="{54897B5E-AA4C-4574-891F-475137AB93EF}"/>
    <cellStyle name="Total 2 2 6 15" xfId="21562" xr:uid="{6124A7CD-D22A-4834-9DBF-A781D8FED49E}"/>
    <cellStyle name="Total 2 2 6 16" xfId="18789" xr:uid="{E17DA9C7-C5A5-448B-83C9-AB7A49403270}"/>
    <cellStyle name="Total 2 2 6 17" xfId="31855" xr:uid="{F15D6B09-49A4-457D-89B4-D07E54DAD01D}"/>
    <cellStyle name="Total 2 2 6 18" xfId="16547" xr:uid="{1EA50DA5-0699-4C82-86FC-13D42BC2FFFB}"/>
    <cellStyle name="Total 2 2 6 19" xfId="39500" xr:uid="{C7CBD0EF-D20C-409F-A4B3-DB8485C3C40A}"/>
    <cellStyle name="Total 2 2 6 2" xfId="10987" xr:uid="{00000000-0005-0000-0000-0000D1220000}"/>
    <cellStyle name="Total 2 2 6 2 2" xfId="27692" xr:uid="{E9F13A70-3896-479A-8477-840E162531CA}"/>
    <cellStyle name="Total 2 2 6 2 3" xfId="34537" xr:uid="{6AA0EFD0-8A2E-409A-B986-191B2995D750}"/>
    <cellStyle name="Total 2 2 6 2 4" xfId="19761" xr:uid="{EE15ECB6-0162-4B5F-A949-94B56C61D7DF}"/>
    <cellStyle name="Total 2 2 6 2 5" xfId="43476" xr:uid="{376ADA7A-7D96-4F43-B9E4-E205F2E21E72}"/>
    <cellStyle name="Total 2 2 6 3" xfId="20511" xr:uid="{6B259A95-B714-4EEF-B8E3-6EDE4CC809E3}"/>
    <cellStyle name="Total 2 2 6 3 2" xfId="29773" xr:uid="{041C3576-E48B-4CC0-964C-0055223B87E9}"/>
    <cellStyle name="Total 2 2 6 3 3" xfId="36618" xr:uid="{DC043044-8123-4C05-85E8-F725B24FFD6C}"/>
    <cellStyle name="Total 2 2 6 4" xfId="21522" xr:uid="{37CB2A77-1608-4F9A-8C49-0A1C972E8447}"/>
    <cellStyle name="Total 2 2 6 5" xfId="19636" xr:uid="{B79DBDE7-47FB-47DD-A8E1-265C1D731BD0}"/>
    <cellStyle name="Total 2 2 6 6" xfId="19465" xr:uid="{4232121F-B6F9-400D-8966-54AA75FCBD23}"/>
    <cellStyle name="Total 2 2 6 7" xfId="21610" xr:uid="{D12776DC-BCBC-4299-8913-84819CE03F6E}"/>
    <cellStyle name="Total 2 2 6 8" xfId="22379" xr:uid="{38E250EC-0B1B-41AD-A830-A1F1720B412F}"/>
    <cellStyle name="Total 2 2 6 9" xfId="22582" xr:uid="{D82591B1-5AF6-4803-807B-2C4F8471C35B}"/>
    <cellStyle name="Total 2 2 7" xfId="10979" xr:uid="{00000000-0005-0000-0000-0000C9220000}"/>
    <cellStyle name="Total 2 2 7 10" xfId="21167" xr:uid="{7F3940FE-1411-4442-A8B9-B3D5FBA6D0CD}"/>
    <cellStyle name="Total 2 2 7 11" xfId="21575" xr:uid="{45A33F48-2460-48B5-A559-224803090C4E}"/>
    <cellStyle name="Total 2 2 7 12" xfId="22409" xr:uid="{26A4ABE9-F983-4A77-9834-267649F0BDB8}"/>
    <cellStyle name="Total 2 2 7 13" xfId="21217" xr:uid="{73B0A92B-C108-4443-9F11-5399B1B71DE8}"/>
    <cellStyle name="Total 2 2 7 14" xfId="19447" xr:uid="{DB076ABC-4551-4B28-B7F1-F9C82926ED0A}"/>
    <cellStyle name="Total 2 2 7 15" xfId="22620" xr:uid="{502FCDF8-B2D7-4C5D-9F03-766D7069915D}"/>
    <cellStyle name="Total 2 2 7 16" xfId="31116" xr:uid="{EAD8F139-2450-46C9-9A40-63FFB911BDBD}"/>
    <cellStyle name="Total 2 2 7 17" xfId="18287" xr:uid="{02DFBE6A-B947-4872-8F2A-78C0AF394DDB}"/>
    <cellStyle name="Total 2 2 7 18" xfId="43468" xr:uid="{E3DAB34D-EDB3-4F3F-A1F6-D5DA845D8928}"/>
    <cellStyle name="Total 2 2 7 2" xfId="21361" xr:uid="{8AE360C3-D14F-4374-B747-F011150ADA42}"/>
    <cellStyle name="Total 2 2 7 2 2" xfId="26958" xr:uid="{FE7805F6-4A24-4F55-AB6B-D6DA75CC72DD}"/>
    <cellStyle name="Total 2 2 7 2 3" xfId="33798" xr:uid="{5DFC4BD4-C747-4E3A-AED1-94723234D92E}"/>
    <cellStyle name="Total 2 2 7 3" xfId="19714" xr:uid="{0B73A02F-293D-4869-8C5A-DD3FAD0519A5}"/>
    <cellStyle name="Total 2 2 7 3 2" xfId="29034" xr:uid="{1807272A-A4A7-4566-B8A2-589AB260FBF2}"/>
    <cellStyle name="Total 2 2 7 3 3" xfId="35879" xr:uid="{37617450-8269-4623-A8BF-A72817E13661}"/>
    <cellStyle name="Total 2 2 7 4" xfId="19219" xr:uid="{25641CCA-F8EB-4E41-8C35-19738A1AAD83}"/>
    <cellStyle name="Total 2 2 7 5" xfId="22205" xr:uid="{8207816D-DC1B-472F-A866-239468378D28}"/>
    <cellStyle name="Total 2 2 7 6" xfId="22135" xr:uid="{B5D5CE03-021B-4921-A2AF-EA90256DEA0D}"/>
    <cellStyle name="Total 2 2 7 7" xfId="19805" xr:uid="{15586D66-DF56-4972-A506-A451E6FE0C2F}"/>
    <cellStyle name="Total 2 2 7 8" xfId="20155" xr:uid="{563CD52E-DFF4-4BC9-978B-2095AD09E760}"/>
    <cellStyle name="Total 2 2 7 9" xfId="20761" xr:uid="{B73B265A-F48F-440A-90B4-AC837C03670C}"/>
    <cellStyle name="Total 2 2 8" xfId="9203" xr:uid="{00000000-0005-0000-0000-00008C110000}"/>
    <cellStyle name="Total 2 2 8 10" xfId="49365" xr:uid="{BCC2133B-469A-41C8-A06A-CA0C8B473198}"/>
    <cellStyle name="Total 2 2 8 11" xfId="37802" xr:uid="{800A447F-F7C2-471E-9774-988827B2B093}"/>
    <cellStyle name="Total 2 2 8 2" xfId="27918" xr:uid="{9DD01A79-FAD3-47FD-A30B-84EA8C4B7655}"/>
    <cellStyle name="Total 2 2 8 2 2" xfId="34763" xr:uid="{304253AA-3F7C-4D6A-BC83-32297DBDEFFF}"/>
    <cellStyle name="Total 2 2 8 3" xfId="29999" xr:uid="{D55FF39C-A919-4D1D-AE38-618519188ECC}"/>
    <cellStyle name="Total 2 2 8 3 2" xfId="36844" xr:uid="{4711D9D7-007C-4D7F-8E23-DBE65A3FB5D5}"/>
    <cellStyle name="Total 2 2 8 4" xfId="25247" xr:uid="{40C124B4-0A14-4C99-9077-1895A768CAA8}"/>
    <cellStyle name="Total 2 2 8 5" xfId="32081" xr:uid="{25BAD5DC-7F11-452A-9EF5-8944018EF79D}"/>
    <cellStyle name="Total 2 2 8 6" xfId="17406" xr:uid="{3E694698-62E4-412C-99D2-8DE31F2A9E5B}"/>
    <cellStyle name="Total 2 2 8 7" xfId="41768" xr:uid="{12EF1876-45D1-4CA1-9972-39A51AAE02C0}"/>
    <cellStyle name="Total 2 2 8 8" xfId="48112" xr:uid="{C137B7BE-6F46-4918-81C1-80F3A0B1A0A8}"/>
    <cellStyle name="Total 2 2 8 9" xfId="48415" xr:uid="{D1B97FF5-8EB1-43DF-AB3B-978FE87C52B5}"/>
    <cellStyle name="Total 2 2 9" xfId="24905" xr:uid="{2C0D7197-06E7-4196-8E22-D11EF3F13EC9}"/>
    <cellStyle name="Total 2 2 9 2" xfId="27574" xr:uid="{EFD3CE20-9090-43FF-AD44-B56096D1E75C}"/>
    <cellStyle name="Total 2 2 9 2 2" xfId="34418" xr:uid="{B5D3F0D4-E7DD-49FF-953E-1A70495C6C84}"/>
    <cellStyle name="Total 2 2 9 3" xfId="29654" xr:uid="{BE056EA9-D760-40B3-9601-5D39D652A8DD}"/>
    <cellStyle name="Total 2 2 9 3 2" xfId="36499" xr:uid="{E3FCC99C-BA38-49EC-9B90-881F052DB44B}"/>
    <cellStyle name="Total 2 2 9 4" xfId="31736" xr:uid="{428AF7D0-74C2-4CF4-90DC-20CF8CF7BE8C}"/>
    <cellStyle name="Total 2 20" xfId="25591" xr:uid="{C15E223D-830B-4082-AD75-E555421589A8}"/>
    <cellStyle name="Total 2 20 2" xfId="28258" xr:uid="{F903FECF-941D-4982-83FC-EAC2EEB9DC62}"/>
    <cellStyle name="Total 2 20 2 2" xfId="35103" xr:uid="{2104BD7E-EFCF-4A21-8E34-C0F7924DD60E}"/>
    <cellStyle name="Total 2 20 3" xfId="30339" xr:uid="{85407980-921A-4D4E-8599-8FFA68CE51AA}"/>
    <cellStyle name="Total 2 20 3 2" xfId="37184" xr:uid="{876A8DC2-ED61-405B-B544-14C64D983760}"/>
    <cellStyle name="Total 2 20 4" xfId="32421" xr:uid="{56ABAC5E-FC5F-4FC5-827F-AADCC82D820E}"/>
    <cellStyle name="Total 2 21" xfId="24078" xr:uid="{FABD2830-82EA-4814-A6CF-EC312DCBF6C2}"/>
    <cellStyle name="Total 2 21 2" xfId="26691" xr:uid="{4295C674-6C5C-440B-8DC6-B7F19C57480A}"/>
    <cellStyle name="Total 2 21 2 2" xfId="33531" xr:uid="{74A4A267-A240-429F-B92C-174A96336F71}"/>
    <cellStyle name="Total 2 21 3" xfId="28767" xr:uid="{23EB461A-C75A-465E-8AB4-9E54DB6B2DE4}"/>
    <cellStyle name="Total 2 21 3 2" xfId="35612" xr:uid="{1733C7B8-91B9-40A2-B175-E12AF9F321B4}"/>
    <cellStyle name="Total 2 21 4" xfId="30849" xr:uid="{0B68C03B-7213-4B81-9551-ED9013FAD5C0}"/>
    <cellStyle name="Total 2 22" xfId="25617" xr:uid="{EFE05F66-6095-4B05-99E0-479105C57F6B}"/>
    <cellStyle name="Total 2 22 2" xfId="28284" xr:uid="{5EDBB757-FA8F-4644-B00A-2A15CABD6B7B}"/>
    <cellStyle name="Total 2 22 2 2" xfId="35129" xr:uid="{AF403AE8-C6B9-4315-87B9-C6F973B4C93F}"/>
    <cellStyle name="Total 2 22 3" xfId="30365" xr:uid="{9325C98F-2D14-47FE-8A26-343074DB3B77}"/>
    <cellStyle name="Total 2 22 3 2" xfId="37210" xr:uid="{431A7589-B482-450F-A4A6-6F118ADEFFCE}"/>
    <cellStyle name="Total 2 22 4" xfId="32447" xr:uid="{40DA7594-AD07-413D-8D64-04E5C62A53CE}"/>
    <cellStyle name="Total 2 23" xfId="25563" xr:uid="{1003117C-A9DB-4188-B9FE-E1961CE82954}"/>
    <cellStyle name="Total 2 23 2" xfId="28230" xr:uid="{8EA7C05D-6F91-43AD-8CB7-876011A39123}"/>
    <cellStyle name="Total 2 23 2 2" xfId="35075" xr:uid="{F2BB651F-7B75-4A40-8E73-C3A338AF020D}"/>
    <cellStyle name="Total 2 23 3" xfId="30311" xr:uid="{77E5AF3D-219C-4A33-9EDA-E355D6E3C8D5}"/>
    <cellStyle name="Total 2 23 3 2" xfId="37156" xr:uid="{A3D42BB6-A122-4DF9-B54F-28BD108382FA}"/>
    <cellStyle name="Total 2 23 4" xfId="32393" xr:uid="{205FED60-1EA0-4009-8522-B8DF609E9F20}"/>
    <cellStyle name="Total 2 24" xfId="23688" xr:uid="{E067E19E-2415-4EA0-99FB-5B753984CF89}"/>
    <cellStyle name="Total 2 25" xfId="13665" xr:uid="{24F79798-B3B4-412E-B86D-3B1D382962F2}"/>
    <cellStyle name="Total 2 26" xfId="39487" xr:uid="{7AC9A32B-7BD8-4DAC-B534-5E8264D349C6}"/>
    <cellStyle name="Total 2 3" xfId="5474" xr:uid="{00000000-0005-0000-0000-00008C150000}"/>
    <cellStyle name="Total 2 3 10" xfId="24163" xr:uid="{E1264036-03CC-4330-A5AE-45A82DA8FC74}"/>
    <cellStyle name="Total 2 3 10 2" xfId="26775" xr:uid="{5F77486B-B288-4F4A-B0A7-AF870D8FECF8}"/>
    <cellStyle name="Total 2 3 10 2 2" xfId="33615" xr:uid="{D3073647-E363-4E6E-961C-6A6CA96E180F}"/>
    <cellStyle name="Total 2 3 10 3" xfId="28851" xr:uid="{F5AAAE10-025C-4D7C-80A9-7F855D9E0978}"/>
    <cellStyle name="Total 2 3 10 3 2" xfId="35696" xr:uid="{470F5C3C-D5B8-4BAC-80B6-3DE06EB6E472}"/>
    <cellStyle name="Total 2 3 10 4" xfId="30933" xr:uid="{70563DA6-7D8B-4B1A-99ED-1B658636D0B5}"/>
    <cellStyle name="Total 2 3 11" xfId="25368" xr:uid="{A5A7D92B-81CA-43A8-B232-CE2D6421F927}"/>
    <cellStyle name="Total 2 3 11 2" xfId="28035" xr:uid="{8E773217-0E46-4B9A-BD26-A16EDB20C6EB}"/>
    <cellStyle name="Total 2 3 11 2 2" xfId="34880" xr:uid="{E045D1EE-ED23-402E-84E8-467E72FB25F1}"/>
    <cellStyle name="Total 2 3 11 3" xfId="30116" xr:uid="{DCE7DDA8-520F-4052-B904-8A349A97AE56}"/>
    <cellStyle name="Total 2 3 11 3 2" xfId="36961" xr:uid="{E90B2C32-1F39-4219-BE00-B951BBDF2A5F}"/>
    <cellStyle name="Total 2 3 11 4" xfId="32198" xr:uid="{2A1C93A9-7826-443F-A954-AA3AC43BD059}"/>
    <cellStyle name="Total 2 3 12" xfId="24197" xr:uid="{0F2A066A-62C0-40B2-9C3A-6130D22284F3}"/>
    <cellStyle name="Total 2 3 12 2" xfId="26807" xr:uid="{CF7E7E52-C5C1-4ACA-B000-51B3BACBDAB6}"/>
    <cellStyle name="Total 2 3 12 2 2" xfId="33647" xr:uid="{A99A78A7-1993-4A6C-AFFD-53BA9D231251}"/>
    <cellStyle name="Total 2 3 12 3" xfId="28883" xr:uid="{0BEB88DA-5046-4E78-8D15-49F720EB6629}"/>
    <cellStyle name="Total 2 3 12 3 2" xfId="35728" xr:uid="{285E6D9E-519B-4F2B-935F-8DD89E8B60DC}"/>
    <cellStyle name="Total 2 3 12 4" xfId="30965" xr:uid="{781EB572-67D8-4926-B443-3FC72A0E75D9}"/>
    <cellStyle name="Total 2 3 13" xfId="25403" xr:uid="{0E511414-D6A2-4641-8609-B45ADE335CE0}"/>
    <cellStyle name="Total 2 3 13 2" xfId="28070" xr:uid="{22C7D251-CC6C-42EE-8022-3AB2FCEA1E0C}"/>
    <cellStyle name="Total 2 3 13 2 2" xfId="34915" xr:uid="{DE303960-694C-4C3F-A057-ED955E50F3EC}"/>
    <cellStyle name="Total 2 3 13 3" xfId="30151" xr:uid="{8E18EFF7-31A8-498C-B950-D821A637D5DD}"/>
    <cellStyle name="Total 2 3 13 3 2" xfId="36996" xr:uid="{2507D8D9-46F4-4F51-82FC-5845C19DEA9F}"/>
    <cellStyle name="Total 2 3 13 4" xfId="32233" xr:uid="{B5D92E5A-7336-4B65-A481-5018E403D174}"/>
    <cellStyle name="Total 2 3 14" xfId="25683" xr:uid="{CCC04109-287E-49E5-BB0D-D1ADCDF1D2DB}"/>
    <cellStyle name="Total 2 3 14 2" xfId="28350" xr:uid="{B13291D7-FA7F-449B-8590-24A9DF4C8EE1}"/>
    <cellStyle name="Total 2 3 14 2 2" xfId="35195" xr:uid="{3F6D72A6-EE76-4E39-8DBD-014137F10FA9}"/>
    <cellStyle name="Total 2 3 14 3" xfId="30431" xr:uid="{18F49B1A-C0FB-4123-9819-D30F02B4F1CC}"/>
    <cellStyle name="Total 2 3 14 3 2" xfId="37276" xr:uid="{EF1973CB-D465-4772-916D-1641DEBA06B8}"/>
    <cellStyle name="Total 2 3 14 4" xfId="32513" xr:uid="{0BF5F70C-F063-4540-9ED2-6F019FD8F9D0}"/>
    <cellStyle name="Total 2 3 15" xfId="25717" xr:uid="{EF30162E-D335-4917-A133-82DCD8903731}"/>
    <cellStyle name="Total 2 3 15 2" xfId="28384" xr:uid="{FD17D6D2-8C67-4E64-A3ED-A7DFA14A3CF8}"/>
    <cellStyle name="Total 2 3 15 2 2" xfId="35229" xr:uid="{C76BBD5B-A283-42D5-8FD0-0B4BF7895672}"/>
    <cellStyle name="Total 2 3 15 3" xfId="30465" xr:uid="{8E44D04A-2618-4C92-BDEE-808CADC67CE6}"/>
    <cellStyle name="Total 2 3 15 3 2" xfId="37310" xr:uid="{7127EDE4-D8DF-4F42-B3CC-60AC956CB0CD}"/>
    <cellStyle name="Total 2 3 15 4" xfId="32547" xr:uid="{2532ED70-BF28-4C8B-BE6C-1349922B5B4D}"/>
    <cellStyle name="Total 2 3 16" xfId="24071" xr:uid="{EE8B91F3-8D70-4924-A14A-C8C950949C78}"/>
    <cellStyle name="Total 2 3 16 2" xfId="26684" xr:uid="{3DBF8C36-59A6-4E31-99CE-C01E92EF4F9C}"/>
    <cellStyle name="Total 2 3 16 2 2" xfId="33524" xr:uid="{AC00EBA6-21CC-4573-85C9-50048F020B03}"/>
    <cellStyle name="Total 2 3 16 3" xfId="28760" xr:uid="{64FDBEBA-D5E9-4C8A-90F7-2C456AA6A28F}"/>
    <cellStyle name="Total 2 3 16 3 2" xfId="35605" xr:uid="{C38A34BD-04F4-4736-A4FB-68E25EA928E3}"/>
    <cellStyle name="Total 2 3 16 4" xfId="30842" xr:uid="{5294C7ED-3A70-478B-8124-04E71B09BE70}"/>
    <cellStyle name="Total 2 3 17" xfId="25498" xr:uid="{476E734B-9871-47AC-8C19-8A56D366C5DF}"/>
    <cellStyle name="Total 2 3 17 2" xfId="28165" xr:uid="{EA033B38-777B-4CFA-9B15-23D0E4865B23}"/>
    <cellStyle name="Total 2 3 17 2 2" xfId="35010" xr:uid="{EA88238E-DE15-464E-910E-D8BF0A9AFADD}"/>
    <cellStyle name="Total 2 3 17 3" xfId="30246" xr:uid="{D9CB86E1-4693-40E7-A920-CF64FDA93BD6}"/>
    <cellStyle name="Total 2 3 17 3 2" xfId="37091" xr:uid="{3308DC1E-33CA-47C7-A0D0-196D68E88B86}"/>
    <cellStyle name="Total 2 3 17 4" xfId="32328" xr:uid="{046E7C83-411B-4920-8505-DB170D4FB7D2}"/>
    <cellStyle name="Total 2 3 18" xfId="23686" xr:uid="{478FBF5E-6CFC-4BF5-AF1C-2C1ACD9DB2C7}"/>
    <cellStyle name="Total 2 3 19" xfId="13668" xr:uid="{7437F4FF-B748-4B99-B903-234BFA35B9BC}"/>
    <cellStyle name="Total 2 3 2" xfId="5475" xr:uid="{00000000-0005-0000-0000-00008D150000}"/>
    <cellStyle name="Total 2 3 2 10" xfId="25499" xr:uid="{46D19400-BDBD-4FFB-9FC2-8A57E8E93124}"/>
    <cellStyle name="Total 2 3 2 10 2" xfId="28166" xr:uid="{42CD74D7-B2A9-408B-ABD5-C0A5D022C2B5}"/>
    <cellStyle name="Total 2 3 2 10 2 2" xfId="35011" xr:uid="{9B2DBE72-FD52-4B82-80E9-5B7E89A567D2}"/>
    <cellStyle name="Total 2 3 2 10 3" xfId="30247" xr:uid="{47977CEA-9325-4309-8AD7-C3DCA1DC9E14}"/>
    <cellStyle name="Total 2 3 2 10 3 2" xfId="37092" xr:uid="{257C7CC3-7A67-42A7-BF87-68C414927130}"/>
    <cellStyle name="Total 2 3 2 10 4" xfId="32329" xr:uid="{333C3A86-7403-4922-9D40-4134A1517270}"/>
    <cellStyle name="Total 2 3 2 11" xfId="24103" xr:uid="{F0A04D0E-7319-453D-A8A5-C1D14CD8E638}"/>
    <cellStyle name="Total 2 3 2 11 2" xfId="26716" xr:uid="{DDEFE0C7-CEAB-4A3A-B2D0-E68D6F4442F1}"/>
    <cellStyle name="Total 2 3 2 11 2 2" xfId="33556" xr:uid="{A7AD2FD5-1353-4737-8AC4-62FBD1D21355}"/>
    <cellStyle name="Total 2 3 2 11 3" xfId="28792" xr:uid="{D8FE5FF0-1FA1-4F2A-BEDB-3F0509416168}"/>
    <cellStyle name="Total 2 3 2 11 3 2" xfId="35637" xr:uid="{2A5B0AD9-DCF4-4B6E-A299-06FC7CE753A8}"/>
    <cellStyle name="Total 2 3 2 11 4" xfId="30874" xr:uid="{C06C7378-EB37-499D-B2E4-100D4588D3D4}"/>
    <cellStyle name="Total 2 3 2 12" xfId="24087" xr:uid="{F077FEF5-E6FC-4AA9-87CD-D1A8959D9884}"/>
    <cellStyle name="Total 2 3 2 12 2" xfId="26700" xr:uid="{0FDF68B1-16FD-472A-B038-41B73ADC2AD7}"/>
    <cellStyle name="Total 2 3 2 12 2 2" xfId="33540" xr:uid="{35A19F1A-0631-436F-8A15-E514CEB374A5}"/>
    <cellStyle name="Total 2 3 2 12 3" xfId="28776" xr:uid="{14682B8C-5760-4AC5-A14A-AFF2414F90DD}"/>
    <cellStyle name="Total 2 3 2 12 3 2" xfId="35621" xr:uid="{81BE9E83-ECA5-4CA7-88D4-A5D4E678AF60}"/>
    <cellStyle name="Total 2 3 2 12 4" xfId="30858" xr:uid="{DC238755-1030-497D-A9F9-09ABC3600524}"/>
    <cellStyle name="Total 2 3 2 13" xfId="24267" xr:uid="{8A6E553B-2111-4D96-A776-748F4F64AE5C}"/>
    <cellStyle name="Total 2 3 2 13 2" xfId="26874" xr:uid="{FED5ACC5-76B1-4A63-B7F3-B87F68001E87}"/>
    <cellStyle name="Total 2 3 2 13 2 2" xfId="33714" xr:uid="{DE130C4C-7155-4287-8BE2-61E5F52E23B4}"/>
    <cellStyle name="Total 2 3 2 13 3" xfId="28950" xr:uid="{73A2E9BD-B7DF-45B2-9832-58222479EAFD}"/>
    <cellStyle name="Total 2 3 2 13 3 2" xfId="35795" xr:uid="{A69A745B-2E0B-4EC2-8DC8-7C049162EEC3}"/>
    <cellStyle name="Total 2 3 2 13 4" xfId="31032" xr:uid="{21E459BB-DF2D-4148-96D7-FC131D869346}"/>
    <cellStyle name="Total 2 3 2 14" xfId="25706" xr:uid="{9069DADA-C71F-426B-850C-5E08FD2E9652}"/>
    <cellStyle name="Total 2 3 2 14 2" xfId="28373" xr:uid="{63C92138-D8CF-49B1-9AD5-6A236A8C1707}"/>
    <cellStyle name="Total 2 3 2 14 2 2" xfId="35218" xr:uid="{80AD4189-14EC-4818-90EE-ADDC40B1F405}"/>
    <cellStyle name="Total 2 3 2 14 3" xfId="30454" xr:uid="{2D8D8DB1-19F3-4DE3-B44F-980C2218CEEE}"/>
    <cellStyle name="Total 2 3 2 14 3 2" xfId="37299" xr:uid="{BF4AED26-5102-4708-A293-829CC9FB87FC}"/>
    <cellStyle name="Total 2 3 2 14 4" xfId="32536" xr:uid="{85091D39-CBFF-409E-B4A1-28A2F43CCC87}"/>
    <cellStyle name="Total 2 3 2 15" xfId="25452" xr:uid="{83BA5E22-3FAC-4783-BB03-EC31F1A1FFE8}"/>
    <cellStyle name="Total 2 3 2 15 2" xfId="28119" xr:uid="{2F431869-C19D-432D-BB56-F13795848686}"/>
    <cellStyle name="Total 2 3 2 15 2 2" xfId="34964" xr:uid="{C1E6D1D1-F1F3-4BA6-921D-CB1282D530F9}"/>
    <cellStyle name="Total 2 3 2 15 3" xfId="30200" xr:uid="{922B568E-5823-4577-95C0-E10C16243310}"/>
    <cellStyle name="Total 2 3 2 15 3 2" xfId="37045" xr:uid="{116EFA7E-6DCB-43CD-AB1E-0811BF879768}"/>
    <cellStyle name="Total 2 3 2 15 4" xfId="32282" xr:uid="{706CBB8C-F342-4A45-9A2D-B7AAD58F4DC4}"/>
    <cellStyle name="Total 2 3 2 16" xfId="25927" xr:uid="{E9EA0B21-D63A-422D-BE86-35E87F636748}"/>
    <cellStyle name="Total 2 3 2 16 2" xfId="28593" xr:uid="{F7DC0191-76D3-4A11-A6AC-D360E232E367}"/>
    <cellStyle name="Total 2 3 2 16 2 2" xfId="35438" xr:uid="{418323FE-E6BB-43A0-8DD5-763AF78110CB}"/>
    <cellStyle name="Total 2 3 2 16 3" xfId="30674" xr:uid="{7DD18F21-FEDF-4959-97F1-613F034C7BAA}"/>
    <cellStyle name="Total 2 3 2 16 3 2" xfId="37519" xr:uid="{6CEFC24C-A66D-44DD-B86A-FC349B21B28D}"/>
    <cellStyle name="Total 2 3 2 16 4" xfId="32756" xr:uid="{39D27802-A2D8-439C-8F92-6CC6283C56A0}"/>
    <cellStyle name="Total 2 3 2 17" xfId="23116" xr:uid="{2807059B-1007-40B4-BA46-0FAF7838CC49}"/>
    <cellStyle name="Total 2 3 2 18" xfId="16555" xr:uid="{16B06300-FB4F-4DB3-9B1E-79A297C21BF9}"/>
    <cellStyle name="Total 2 3 2 19" xfId="39502" xr:uid="{813E793A-8DFA-4BCD-89B0-9460AABD6D18}"/>
    <cellStyle name="Total 2 3 2 2" xfId="10989" xr:uid="{00000000-0005-0000-0000-0000D3220000}"/>
    <cellStyle name="Total 2 3 2 2 10" xfId="24327" xr:uid="{B1DF89A3-DCF6-4D54-8BD0-EDA7FAF4AE88}"/>
    <cellStyle name="Total 2 3 2 2 10 2" xfId="26933" xr:uid="{24FCDD4A-E035-46C3-8772-0227015962FA}"/>
    <cellStyle name="Total 2 3 2 2 10 2 2" xfId="33773" xr:uid="{49CC3D43-EFA1-416B-945E-821C9FC73B0F}"/>
    <cellStyle name="Total 2 3 2 2 10 3" xfId="29009" xr:uid="{51BED918-6639-42C0-B92F-56B722CD567B}"/>
    <cellStyle name="Total 2 3 2 2 10 3 2" xfId="35854" xr:uid="{DEE9CFAA-51FB-4B7E-BB8E-913952B7BD3D}"/>
    <cellStyle name="Total 2 3 2 2 10 4" xfId="31091" xr:uid="{893F9DE9-5151-45AD-814D-EEC1556537E7}"/>
    <cellStyle name="Total 2 3 2 2 11" xfId="24989" xr:uid="{CE67FAB1-B2ED-496A-BBDD-B0F7C328939E}"/>
    <cellStyle name="Total 2 3 2 2 11 2" xfId="27659" xr:uid="{7C80034C-92EA-49B0-99C0-8FD6C61E7E8E}"/>
    <cellStyle name="Total 2 3 2 2 11 2 2" xfId="34504" xr:uid="{060A9C03-280F-4D42-B472-BC876A3F406A}"/>
    <cellStyle name="Total 2 3 2 2 11 3" xfId="29740" xr:uid="{B073563C-5685-4DF0-B346-D651ADA0B87B}"/>
    <cellStyle name="Total 2 3 2 2 11 3 2" xfId="36585" xr:uid="{9D665E81-8D63-47EB-9B1A-0C72EC9FF8D4}"/>
    <cellStyle name="Total 2 3 2 2 11 4" xfId="31822" xr:uid="{B127A467-384D-441C-9365-52D8BB7D284D}"/>
    <cellStyle name="Total 2 3 2 2 12" xfId="24271" xr:uid="{40BA564F-11D4-4979-881C-EA3F2B584D6A}"/>
    <cellStyle name="Total 2 3 2 2 12 2" xfId="26878" xr:uid="{F8CB6879-028A-4D76-B7C2-57C0E67FC3B9}"/>
    <cellStyle name="Total 2 3 2 2 12 2 2" xfId="33718" xr:uid="{B1B440C3-721E-4289-8C99-C91921E540E1}"/>
    <cellStyle name="Total 2 3 2 2 12 3" xfId="28954" xr:uid="{52303131-2E72-4A3A-A46E-384F9EA6A926}"/>
    <cellStyle name="Total 2 3 2 2 12 3 2" xfId="35799" xr:uid="{388C6FFE-0C6F-4BA4-A172-266B370BEB99}"/>
    <cellStyle name="Total 2 3 2 2 12 4" xfId="31036" xr:uid="{5940538C-98BB-4F8C-BC45-3CED18CAF38E}"/>
    <cellStyle name="Total 2 3 2 2 13" xfId="25221" xr:uid="{727C1381-A07A-426D-B2E0-F80CF2DCB581}"/>
    <cellStyle name="Total 2 3 2 2 13 2" xfId="27893" xr:uid="{176A73CF-7315-46D6-B284-BA4ED327BA36}"/>
    <cellStyle name="Total 2 3 2 2 13 2 2" xfId="34738" xr:uid="{9BB41657-2082-4692-B9C2-A75E8E1413D9}"/>
    <cellStyle name="Total 2 3 2 2 13 3" xfId="29974" xr:uid="{424AD4FC-E532-476C-8F8F-E3A105D909EF}"/>
    <cellStyle name="Total 2 3 2 2 13 3 2" xfId="36819" xr:uid="{CB961AE2-2C84-4731-8978-81D167F8F0C2}"/>
    <cellStyle name="Total 2 3 2 2 13 4" xfId="32056" xr:uid="{20A5556A-873F-4ECC-954B-501811809A79}"/>
    <cellStyle name="Total 2 3 2 2 14" xfId="24024" xr:uid="{45840FCE-7E66-4A91-B8A3-BF66193938C2}"/>
    <cellStyle name="Total 2 3 2 2 14 2" xfId="26639" xr:uid="{87CA9110-4F47-4D06-9BB2-94826A9CC804}"/>
    <cellStyle name="Total 2 3 2 2 14 2 2" xfId="33479" xr:uid="{D7FA5DA5-5381-4D74-89FF-E9EB68075154}"/>
    <cellStyle name="Total 2 3 2 2 14 3" xfId="28715" xr:uid="{4BB662EC-FD94-4A01-AC6D-73022F1B30CA}"/>
    <cellStyle name="Total 2 3 2 2 14 3 2" xfId="35560" xr:uid="{E6C096BE-39B6-44BD-9A67-0B2025BCC305}"/>
    <cellStyle name="Total 2 3 2 2 14 4" xfId="30797" xr:uid="{D5CB4C78-4CDF-4963-97CD-6C78E76BF6AA}"/>
    <cellStyle name="Total 2 3 2 2 15" xfId="25448" xr:uid="{792F93D7-C6A3-4171-B3D1-2A915777D9E7}"/>
    <cellStyle name="Total 2 3 2 2 15 2" xfId="28115" xr:uid="{C8E566C8-8171-497A-A2AA-326797E91085}"/>
    <cellStyle name="Total 2 3 2 2 15 2 2" xfId="34960" xr:uid="{0A1A51A6-9AF1-4201-AA38-5D69463D1D5F}"/>
    <cellStyle name="Total 2 3 2 2 15 3" xfId="30196" xr:uid="{BA4A7DB5-99F2-489F-800D-A6D575BFA7F4}"/>
    <cellStyle name="Total 2 3 2 2 15 3 2" xfId="37041" xr:uid="{B7A7F07D-6087-4BAE-A2E2-6AB334781597}"/>
    <cellStyle name="Total 2 3 2 2 15 4" xfId="32278" xr:uid="{227E9E6E-64E9-46B9-84D6-D5C35B55DAA0}"/>
    <cellStyle name="Total 2 3 2 2 16" xfId="23589" xr:uid="{176541DA-97E6-4447-8E54-F4D96B8E86DD}"/>
    <cellStyle name="Total 2 3 2 2 17" xfId="17714" xr:uid="{9AEB92D0-FD15-4610-9189-5EACB886BDDD}"/>
    <cellStyle name="Total 2 3 2 2 18" xfId="43478" xr:uid="{E69D8A5E-6826-434B-A7F0-B668872591BB}"/>
    <cellStyle name="Total 2 3 2 2 2" xfId="9511" xr:uid="{00000000-0005-0000-0000-000001260000}"/>
    <cellStyle name="Total 2 3 2 2 2 10" xfId="21672" xr:uid="{217DF47C-DF29-4399-8C3C-0AC456E2001F}"/>
    <cellStyle name="Total 2 3 2 2 2 11" xfId="22654" xr:uid="{95F8D54B-D72C-4FBF-B84F-D12647448F17}"/>
    <cellStyle name="Total 2 3 2 2 2 12" xfId="19551" xr:uid="{1FBEE55C-83E4-4F74-8861-46F03EC4A135}"/>
    <cellStyle name="Total 2 3 2 2 2 13" xfId="20859" xr:uid="{B15A87C3-25ED-4751-B72D-1285BF91941E}"/>
    <cellStyle name="Total 2 3 2 2 2 14" xfId="21674" xr:uid="{6881CA5D-49C5-42B5-B240-3AB9155C4362}"/>
    <cellStyle name="Total 2 3 2 2 2 15" xfId="19117" xr:uid="{66023F3A-8DAB-4AEA-9930-80AB4B541550}"/>
    <cellStyle name="Total 2 3 2 2 2 16" xfId="31447" xr:uid="{4D637004-B555-4D9A-8D93-29AE31267469}"/>
    <cellStyle name="Total 2 3 2 2 2 17" xfId="18519" xr:uid="{D4E545C3-29F0-41FF-B4CE-547F8DC7DCF4}"/>
    <cellStyle name="Total 2 3 2 2 2 18" xfId="42000" xr:uid="{4225479B-C810-4BE5-83E2-8DB7E4700F95}"/>
    <cellStyle name="Total 2 3 2 2 2 19" xfId="37749" xr:uid="{C8DA4E75-EF53-40EC-9270-DE74A6DB5492}"/>
    <cellStyle name="Total 2 3 2 2 2 2" xfId="19895" xr:uid="{D4330D84-6469-4152-97CE-531634A9CD03}"/>
    <cellStyle name="Total 2 3 2 2 2 2 2" xfId="27285" xr:uid="{6D4422B0-01FE-4E65-93E1-667919502076}"/>
    <cellStyle name="Total 2 3 2 2 2 2 3" xfId="34129" xr:uid="{86560ABC-A8EA-428C-9889-4094872033BC}"/>
    <cellStyle name="Total 2 3 2 2 2 20" xfId="41514" xr:uid="{9EF2474A-856C-488F-BF15-B8A0FD9C0695}"/>
    <cellStyle name="Total 2 3 2 2 2 21" xfId="40079" xr:uid="{B70592E4-DD8D-49BB-A471-6993444420BC}"/>
    <cellStyle name="Total 2 3 2 2 2 22" xfId="15250" xr:uid="{769C72C4-1BE5-443E-AFBA-02CAD05ED5F8}"/>
    <cellStyle name="Total 2 3 2 2 2 3" xfId="19594" xr:uid="{F91086D1-B9A4-4487-9028-AF03E6502A3A}"/>
    <cellStyle name="Total 2 3 2 2 2 3 2" xfId="29365" xr:uid="{22E693E4-7B39-4A4A-BCDA-A9AFC3B1D4FE}"/>
    <cellStyle name="Total 2 3 2 2 2 3 3" xfId="36210" xr:uid="{B5EF15B2-B637-4D1C-AB3F-B90B730CFDBB}"/>
    <cellStyle name="Total 2 3 2 2 2 4" xfId="20614" xr:uid="{C1C7496A-4C3D-41B2-8C7C-FD31D7DEDE86}"/>
    <cellStyle name="Total 2 3 2 2 2 5" xfId="21726" xr:uid="{AF10B7E7-942E-4232-8B7A-24E12A7B6D23}"/>
    <cellStyle name="Total 2 3 2 2 2 6" xfId="20270" xr:uid="{3FBAFC6A-16C0-4409-95C5-23E5C7D3B151}"/>
    <cellStyle name="Total 2 3 2 2 2 7" xfId="20615" xr:uid="{B5128865-34F7-4195-8B06-5F1CDAEE03EB}"/>
    <cellStyle name="Total 2 3 2 2 2 8" xfId="21309" xr:uid="{44167B74-B15F-4F1C-BFB6-8A9AE6A76CD2}"/>
    <cellStyle name="Total 2 3 2 2 2 9" xfId="20488" xr:uid="{6C61A959-3B4D-4EFF-9D5E-F4EE34A6DDB2}"/>
    <cellStyle name="Total 2 3 2 2 3" xfId="24406" xr:uid="{DDC92C0B-D766-4A62-8AF6-0EE6FA67270A}"/>
    <cellStyle name="Total 2 3 2 2 3 2" xfId="27023" xr:uid="{32D923BB-8A34-47C3-A445-EBE16FE4FB03}"/>
    <cellStyle name="Total 2 3 2 2 3 2 2" xfId="33863" xr:uid="{CD94390F-B534-4662-9BEF-FE0A3EECC86C}"/>
    <cellStyle name="Total 2 3 2 2 3 3" xfId="29099" xr:uid="{92278E71-D427-471B-8C9E-5ADFC082F405}"/>
    <cellStyle name="Total 2 3 2 2 3 3 2" xfId="35944" xr:uid="{314D3285-15D1-424C-83C3-1F1B3569E047}"/>
    <cellStyle name="Total 2 3 2 2 3 4" xfId="31181" xr:uid="{97887527-7017-406D-B136-4C79F775E4E3}"/>
    <cellStyle name="Total 2 3 2 2 4" xfId="24911" xr:uid="{03874396-6E0E-49A2-AD23-BAF3AC4158EB}"/>
    <cellStyle name="Total 2 3 2 2 4 2" xfId="27580" xr:uid="{8A8A2FED-F0A3-49AB-8DA9-EF17A024F598}"/>
    <cellStyle name="Total 2 3 2 2 4 2 2" xfId="34424" xr:uid="{BAD94B78-1DCC-4AE1-B892-29B6EEA4CDAF}"/>
    <cellStyle name="Total 2 3 2 2 4 3" xfId="29660" xr:uid="{77F4638D-17F0-46A6-B495-B89F23328B80}"/>
    <cellStyle name="Total 2 3 2 2 4 3 2" xfId="36505" xr:uid="{64712AA6-8596-4D1A-9D63-D994F4270B35}"/>
    <cellStyle name="Total 2 3 2 2 4 4" xfId="31742" xr:uid="{9F78D220-2AD9-4EA1-BBCC-C1D90E84826C}"/>
    <cellStyle name="Total 2 3 2 2 5" xfId="23860" xr:uid="{3DB40D5A-FF91-4EC2-8401-855C781C5625}"/>
    <cellStyle name="Total 2 3 2 2 5 2" xfId="26479" xr:uid="{66E44ACB-3E92-48CB-B7D3-C20F83793438}"/>
    <cellStyle name="Total 2 3 2 2 5 2 2" xfId="33319" xr:uid="{49B43CDB-415F-4DC6-8ADB-C8DF8A1F80C2}"/>
    <cellStyle name="Total 2 3 2 2 5 3" xfId="26204" xr:uid="{EC5AE384-79B6-4962-AA31-1F8C2B0A7F19}"/>
    <cellStyle name="Total 2 3 2 2 5 3 2" xfId="33032" xr:uid="{DAE368AB-A7C8-4CE6-80BD-47EAD35AB3FF}"/>
    <cellStyle name="Total 2 3 2 2 5 4" xfId="23326" xr:uid="{5B15F3BC-111D-4A99-82AC-1CB1E6B75DB0}"/>
    <cellStyle name="Total 2 3 2 2 6" xfId="24423" xr:uid="{03EDEEBD-3073-46D1-89C9-46E99D72B8AD}"/>
    <cellStyle name="Total 2 3 2 2 6 2" xfId="27042" xr:uid="{3102A084-8722-42AD-893D-C967E2549924}"/>
    <cellStyle name="Total 2 3 2 2 6 2 2" xfId="33882" xr:uid="{41A5BF84-A203-4877-B8E0-CCD4C2EF7DAC}"/>
    <cellStyle name="Total 2 3 2 2 6 3" xfId="29118" xr:uid="{4B978A77-8FC8-4D65-8243-84C14C1A6357}"/>
    <cellStyle name="Total 2 3 2 2 6 3 2" xfId="35963" xr:uid="{CD60E5DC-4247-4E5C-A99F-131C8AEF42F2}"/>
    <cellStyle name="Total 2 3 2 2 6 4" xfId="31200" xr:uid="{40C54AAE-67F7-4497-BBE5-C34136D187C0}"/>
    <cellStyle name="Total 2 3 2 2 7" xfId="25316" xr:uid="{ED35E294-30F2-4BAC-B99E-D6CE9E081E14}"/>
    <cellStyle name="Total 2 3 2 2 7 2" xfId="27986" xr:uid="{85D53AEB-9ECC-4AA2-9B55-09B6B336FDC9}"/>
    <cellStyle name="Total 2 3 2 2 7 2 2" xfId="34831" xr:uid="{536CD215-AA00-439D-96D3-9BC80FAC3F5B}"/>
    <cellStyle name="Total 2 3 2 2 7 3" xfId="30067" xr:uid="{3D7426F3-26A8-42D5-95FA-B607A6125248}"/>
    <cellStyle name="Total 2 3 2 2 7 3 2" xfId="36912" xr:uid="{902BDDF3-E998-4014-B6A3-3DF26DF0A7DE}"/>
    <cellStyle name="Total 2 3 2 2 7 4" xfId="32149" xr:uid="{389DE704-B1E4-4505-BA21-6BC5B229534D}"/>
    <cellStyle name="Total 2 3 2 2 8" xfId="23797" xr:uid="{A0A606D4-12D8-4BB1-8A8F-6195187C7248}"/>
    <cellStyle name="Total 2 3 2 2 8 2" xfId="26410" xr:uid="{60F130C1-2FB4-422E-A968-7A4CFEACA7AC}"/>
    <cellStyle name="Total 2 3 2 2 8 2 2" xfId="33250" xr:uid="{5A86847F-55FA-4E1B-A946-D140DEC69288}"/>
    <cellStyle name="Total 2 3 2 2 8 3" xfId="26272" xr:uid="{6E4578AD-D510-440D-A14D-4C170DFDB132}"/>
    <cellStyle name="Total 2 3 2 2 8 3 2" xfId="33100" xr:uid="{5420CE65-F0B1-411D-B9A1-6DFF7CCDFFD8}"/>
    <cellStyle name="Total 2 3 2 2 8 4" xfId="23394" xr:uid="{ECDADB77-A307-4C46-B7EB-1614B1AC2528}"/>
    <cellStyle name="Total 2 3 2 2 9" xfId="25273" xr:uid="{6E439215-D9B7-45FA-AE40-ACAF89AB6F39}"/>
    <cellStyle name="Total 2 3 2 2 9 2" xfId="27944" xr:uid="{6A618353-6F3E-42B8-BD18-8A247A67FB7D}"/>
    <cellStyle name="Total 2 3 2 2 9 2 2" xfId="34789" xr:uid="{90395504-99F2-4472-ACA8-064C76CEA833}"/>
    <cellStyle name="Total 2 3 2 2 9 3" xfId="30025" xr:uid="{1203D02C-708D-4B6C-B9A6-F2C0CC4AA9C4}"/>
    <cellStyle name="Total 2 3 2 2 9 3 2" xfId="36870" xr:uid="{72E300D2-536C-4F7C-82E6-061BBD477320}"/>
    <cellStyle name="Total 2 3 2 2 9 4" xfId="32107" xr:uid="{D0C0B55C-D5B1-4D28-8016-3A4EBE941ED8}"/>
    <cellStyle name="Total 2 3 2 3" xfId="9362" xr:uid="{00000000-0005-0000-0000-00008E110000}"/>
    <cellStyle name="Total 2 3 2 3 10" xfId="22299" xr:uid="{8343D4F6-9B38-4EE7-B448-84390F52E120}"/>
    <cellStyle name="Total 2 3 2 3 11" xfId="22708" xr:uid="{E2C44342-F646-4A88-B521-595F734DDEA8}"/>
    <cellStyle name="Total 2 3 2 3 12" xfId="22778" xr:uid="{22DC18C9-1D9C-421F-B11E-65EB5869A752}"/>
    <cellStyle name="Total 2 3 2 3 13" xfId="22672" xr:uid="{6F0BE514-369A-4DE1-B0B7-0905410A3540}"/>
    <cellStyle name="Total 2 3 2 3 14" xfId="22913" xr:uid="{5ABBEE61-FC3C-4448-B944-5FAB9467F2E7}"/>
    <cellStyle name="Total 2 3 2 3 15" xfId="22871" xr:uid="{6D4B5FE6-181D-4F7F-974D-714986E044B5}"/>
    <cellStyle name="Total 2 3 2 3 16" xfId="31322" xr:uid="{74FEE85F-5427-4927-9278-7CB993D0AA93}"/>
    <cellStyle name="Total 2 3 2 3 17" xfId="18693" xr:uid="{E149C823-634E-45A9-A24D-37822D7C2483}"/>
    <cellStyle name="Total 2 3 2 3 18" xfId="41876" xr:uid="{4F76CB10-6754-4EE1-A22B-C4B6DE7B4190}"/>
    <cellStyle name="Total 2 3 2 3 19" xfId="48130" xr:uid="{A3263D8E-F85B-499B-BA42-FFCC6588F283}"/>
    <cellStyle name="Total 2 3 2 3 2" xfId="19816" xr:uid="{65A04EAD-61A6-49FD-BE62-910AF2555173}"/>
    <cellStyle name="Total 2 3 2 3 2 2" xfId="27163" xr:uid="{FA03E048-EF58-4504-BA54-E17D08653BE8}"/>
    <cellStyle name="Total 2 3 2 3 2 3" xfId="34004" xr:uid="{F03A35B5-1D9E-46ED-B32B-C908640FDF94}"/>
    <cellStyle name="Total 2 3 2 3 20" xfId="37913" xr:uid="{FEB57157-1409-4E0A-A6C5-BFD29FF44941}"/>
    <cellStyle name="Total 2 3 2 3 21" xfId="40300" xr:uid="{82B317B0-D1C4-40BD-8A4E-99292197CA83}"/>
    <cellStyle name="Total 2 3 2 3 22" xfId="48282" xr:uid="{531D7F3C-6890-4974-9D0D-5F4A9C9D2C3F}"/>
    <cellStyle name="Total 2 3 2 3 3" xfId="21010" xr:uid="{E64FFD2A-1B3D-4CCF-BE1E-E92F67A88592}"/>
    <cellStyle name="Total 2 3 2 3 3 2" xfId="29240" xr:uid="{06C5279C-21DF-4A1D-8F94-F979EA0F9089}"/>
    <cellStyle name="Total 2 3 2 3 3 3" xfId="36085" xr:uid="{F7CBDBAB-5C39-4841-A2E1-CC7CDAFCB186}"/>
    <cellStyle name="Total 2 3 2 3 4" xfId="20465" xr:uid="{34ECC17D-057F-4E8D-AE7E-121934247359}"/>
    <cellStyle name="Total 2 3 2 3 5" xfId="20325" xr:uid="{E04A08B9-E198-4C49-94AA-D455D3FBE126}"/>
    <cellStyle name="Total 2 3 2 3 6" xfId="18957" xr:uid="{1B6F90D7-63CD-489F-A345-82D068B884A0}"/>
    <cellStyle name="Total 2 3 2 3 7" xfId="21426" xr:uid="{3F2DB680-10B2-4F19-8E77-818DD604061A}"/>
    <cellStyle name="Total 2 3 2 3 8" xfId="19871" xr:uid="{81F66A25-5875-487C-9824-077DF4B18F13}"/>
    <cellStyle name="Total 2 3 2 3 9" xfId="22523" xr:uid="{0ACE0698-9B72-4CED-A46B-A07E7B4AC083}"/>
    <cellStyle name="Total 2 3 2 4" xfId="18294" xr:uid="{B6820754-A698-4158-8D17-50540699FD80}"/>
    <cellStyle name="Total 2 3 2 4 2" xfId="27110" xr:uid="{22864D77-9EB7-4A4A-B1CF-49C3357C56E4}"/>
    <cellStyle name="Total 2 3 2 4 2 2" xfId="33950" xr:uid="{FD964A86-BE85-4C6F-9A41-11ED1BC3BE0B}"/>
    <cellStyle name="Total 2 3 2 4 3" xfId="29186" xr:uid="{A3D6F90F-E456-4824-8CF0-D7DFDA8DB765}"/>
    <cellStyle name="Total 2 3 2 4 3 2" xfId="36031" xr:uid="{456400F9-6DEC-406D-A443-531D261DEE31}"/>
    <cellStyle name="Total 2 3 2 4 4" xfId="24499" xr:uid="{CBDAD080-1ED4-45F9-B667-59CBFF948198}"/>
    <cellStyle name="Total 2 3 2 4 5" xfId="31268" xr:uid="{78220DFD-5444-41C9-8B5F-D325B4CCBFB4}"/>
    <cellStyle name="Total 2 3 2 5" xfId="17449" xr:uid="{9B260871-6A72-4CA9-A23C-7A3D613D2D52}"/>
    <cellStyle name="Total 2 3 2 5 2" xfId="26984" xr:uid="{23481A57-8524-495B-8F01-7A18DB7A6FCC}"/>
    <cellStyle name="Total 2 3 2 5 2 2" xfId="33824" xr:uid="{60957705-453C-496A-889E-9E045B7D1E40}"/>
    <cellStyle name="Total 2 3 2 5 3" xfId="29060" xr:uid="{6ACAA91F-2B05-4872-8088-F0E8DB66FD32}"/>
    <cellStyle name="Total 2 3 2 5 3 2" xfId="35905" xr:uid="{A808FE55-909C-4242-ADC7-99D22D86A266}"/>
    <cellStyle name="Total 2 3 2 5 4" xfId="24373" xr:uid="{2891B96A-22B8-4801-8914-3104523D3D36}"/>
    <cellStyle name="Total 2 3 2 5 5" xfId="31142" xr:uid="{B6D0EDC4-B534-4768-B36C-08A4951C00E7}"/>
    <cellStyle name="Total 2 3 2 6" xfId="24790" xr:uid="{0A53F026-05EC-4EAC-AEE6-A5AF928C537A}"/>
    <cellStyle name="Total 2 3 2 6 2" xfId="27443" xr:uid="{4AF3BC46-1A20-49AA-B3BD-E6AA61826689}"/>
    <cellStyle name="Total 2 3 2 6 2 2" xfId="34287" xr:uid="{4C78FB8A-D2FB-44F6-BC43-DB3F3BFE2591}"/>
    <cellStyle name="Total 2 3 2 6 3" xfId="29523" xr:uid="{30A7B3F3-A822-46CD-9FAD-5E9C4E49C833}"/>
    <cellStyle name="Total 2 3 2 6 3 2" xfId="36368" xr:uid="{EF6BCDE8-931E-4D01-B2F2-D2F52B3CC59E}"/>
    <cellStyle name="Total 2 3 2 6 4" xfId="31605" xr:uid="{CE2CF9B5-5DAC-4E37-9E66-2EE99DC27C27}"/>
    <cellStyle name="Total 2 3 2 7" xfId="24747" xr:uid="{2F0575CB-1F04-4360-B983-215C97A745B7}"/>
    <cellStyle name="Total 2 3 2 7 2" xfId="27398" xr:uid="{BC564D53-53B6-46D9-A08C-1BC13A04FF42}"/>
    <cellStyle name="Total 2 3 2 7 2 2" xfId="34242" xr:uid="{563681D7-7A98-4FF6-8482-6D2645C883ED}"/>
    <cellStyle name="Total 2 3 2 7 3" xfId="29478" xr:uid="{24130F1E-A975-484E-80FC-8B54C2D99777}"/>
    <cellStyle name="Total 2 3 2 7 3 2" xfId="36323" xr:uid="{D26AAC73-3C59-4E4B-A0DE-D49DDB0F1EC8}"/>
    <cellStyle name="Total 2 3 2 7 4" xfId="31560" xr:uid="{91ADAA06-4393-4740-B4EF-9F124C64CE3A}"/>
    <cellStyle name="Total 2 3 2 8" xfId="24933" xr:uid="{1A59AC55-0ABB-4F62-8F5A-9610678E67A5}"/>
    <cellStyle name="Total 2 3 2 8 2" xfId="27603" xr:uid="{7B40F40C-41E3-4483-9521-0D0AD919B68F}"/>
    <cellStyle name="Total 2 3 2 8 2 2" xfId="34447" xr:uid="{44484BCB-BAEE-4ECA-B6D2-F889E4D7F557}"/>
    <cellStyle name="Total 2 3 2 8 3" xfId="29683" xr:uid="{3D75F5BF-BA31-4729-B446-823740933D71}"/>
    <cellStyle name="Total 2 3 2 8 3 2" xfId="36528" xr:uid="{EC6486B3-A195-4519-BF0E-A1FA771C7987}"/>
    <cellStyle name="Total 2 3 2 8 4" xfId="31765" xr:uid="{BA45AEE6-C0E2-4CBB-89DC-B581D87E04CC}"/>
    <cellStyle name="Total 2 3 2 9" xfId="24159" xr:uid="{87253E3C-8313-451D-9A1D-8F89450CFDB6}"/>
    <cellStyle name="Total 2 3 2 9 2" xfId="26771" xr:uid="{A030F6C7-E70C-4F69-B51C-5D20439B838A}"/>
    <cellStyle name="Total 2 3 2 9 2 2" xfId="33611" xr:uid="{5E4899CE-678E-4DCB-B189-1EE2312E876B}"/>
    <cellStyle name="Total 2 3 2 9 3" xfId="28847" xr:uid="{7B9907FC-510D-4C80-9A59-B922EE7F797C}"/>
    <cellStyle name="Total 2 3 2 9 3 2" xfId="35692" xr:uid="{E1766178-5717-4940-8BE4-4F509E686372}"/>
    <cellStyle name="Total 2 3 2 9 4" xfId="30929" xr:uid="{C9C74E5E-D358-45A3-A424-23D3ADDD735F}"/>
    <cellStyle name="Total 2 3 20" xfId="39501" xr:uid="{B50347B1-2687-4258-B323-88BD10D55D2C}"/>
    <cellStyle name="Total 2 3 3" xfId="5476" xr:uid="{00000000-0005-0000-0000-00008E150000}"/>
    <cellStyle name="Total 2 3 3 10" xfId="25490" xr:uid="{2C27272B-8CC5-44B5-A36D-5B0F6642C9E9}"/>
    <cellStyle name="Total 2 3 3 10 2" xfId="28157" xr:uid="{7115ED40-141E-40A6-878C-D596AB12737F}"/>
    <cellStyle name="Total 2 3 3 10 2 2" xfId="35002" xr:uid="{F64096D0-C525-456E-BEF5-29F0E8EFB251}"/>
    <cellStyle name="Total 2 3 3 10 3" xfId="30238" xr:uid="{2E72BB0F-65FB-4FBA-B5C5-039E62A18761}"/>
    <cellStyle name="Total 2 3 3 10 3 2" xfId="37083" xr:uid="{1597A737-384B-43D8-BC9C-AD54747A52B0}"/>
    <cellStyle name="Total 2 3 3 10 4" xfId="32320" xr:uid="{2822E609-7AE4-4FF1-BC5E-92D66447C21A}"/>
    <cellStyle name="Total 2 3 3 11" xfId="23845" xr:uid="{FC2F5B8B-19BC-4FDA-81A8-219078344BBE}"/>
    <cellStyle name="Total 2 3 3 11 2" xfId="26465" xr:uid="{0E4D569D-3CBF-47A9-B143-7CEB4005A329}"/>
    <cellStyle name="Total 2 3 3 11 2 2" xfId="33305" xr:uid="{8E8C4A7D-F5D3-48E5-B84F-2D936CCD4A09}"/>
    <cellStyle name="Total 2 3 3 11 3" xfId="26218" xr:uid="{C060FF57-0B26-4CBC-9C83-C43BCDBFEB78}"/>
    <cellStyle name="Total 2 3 3 11 3 2" xfId="33046" xr:uid="{D4A99898-F2C8-4B42-8190-B0A43197D8F5}"/>
    <cellStyle name="Total 2 3 3 11 4" xfId="23340" xr:uid="{C100B884-6044-40A4-85A6-B9CD6D41E5B0}"/>
    <cellStyle name="Total 2 3 3 12" xfId="23915" xr:uid="{D234D7B6-A800-4870-91B0-5D6410FC12CC}"/>
    <cellStyle name="Total 2 3 3 12 2" xfId="26533" xr:uid="{A806B938-8673-4E68-AD3B-7B0D4F99D78D}"/>
    <cellStyle name="Total 2 3 3 12 2 2" xfId="33373" xr:uid="{D0D4D4BB-42FF-45D2-B486-0553CCD88FC5}"/>
    <cellStyle name="Total 2 3 3 12 3" xfId="26152" xr:uid="{9992CE6E-E64B-43D6-BAD6-ECB76256C73C}"/>
    <cellStyle name="Total 2 3 3 12 3 2" xfId="32980" xr:uid="{9AC524EE-9746-4DCE-A10D-2B0EFCB3F408}"/>
    <cellStyle name="Total 2 3 3 12 4" xfId="23274" xr:uid="{68E6D265-7DFF-440D-9177-77BEB2DD442D}"/>
    <cellStyle name="Total 2 3 3 13" xfId="25264" xr:uid="{40FDD825-B2A6-4F9E-9961-F1BD5E38C846}"/>
    <cellStyle name="Total 2 3 3 13 2" xfId="27935" xr:uid="{4FC03136-EC63-43B3-9979-96ADA998A9BE}"/>
    <cellStyle name="Total 2 3 3 13 2 2" xfId="34780" xr:uid="{C45FB6EE-1200-4C79-8E83-C6AACDED09F2}"/>
    <cellStyle name="Total 2 3 3 13 3" xfId="30016" xr:uid="{A207EA5C-566E-406F-96DC-2767C63857AB}"/>
    <cellStyle name="Total 2 3 3 13 3 2" xfId="36861" xr:uid="{E816650F-CCE0-412E-A317-E04F6E8661EE}"/>
    <cellStyle name="Total 2 3 3 13 4" xfId="32098" xr:uid="{DA63B953-C9B4-4A71-A060-74DE279E749C}"/>
    <cellStyle name="Total 2 3 3 14" xfId="24006" xr:uid="{65A0C1C2-9ABA-4C08-9874-9150E8343476}"/>
    <cellStyle name="Total 2 3 3 14 2" xfId="26623" xr:uid="{61EF1EAF-3B81-461C-9B1B-ACC0697EFC9C}"/>
    <cellStyle name="Total 2 3 3 14 2 2" xfId="33463" xr:uid="{ED28DF5B-96D2-4C59-9F60-1B1FEF30BB70}"/>
    <cellStyle name="Total 2 3 3 14 3" xfId="26068" xr:uid="{7E0931D1-CAD7-48B7-A32C-6FB302B1B697}"/>
    <cellStyle name="Total 2 3 3 14 3 2" xfId="32896" xr:uid="{0B9F5A25-7D2F-4A16-9597-8CB13E02EDF8}"/>
    <cellStyle name="Total 2 3 3 14 4" xfId="23196" xr:uid="{3EC9C8B9-2BCC-44B8-8522-81287C89F99D}"/>
    <cellStyle name="Total 2 3 3 15" xfId="25899" xr:uid="{FB988955-8462-4E51-88DE-FB80FD99CFA6}"/>
    <cellStyle name="Total 2 3 3 15 2" xfId="28565" xr:uid="{4CBFA5A7-40EE-4748-9014-E1D7671F2FC3}"/>
    <cellStyle name="Total 2 3 3 15 2 2" xfId="35410" xr:uid="{4E3975A4-AC27-448A-9A27-A6CFAE0991E1}"/>
    <cellStyle name="Total 2 3 3 15 3" xfId="30646" xr:uid="{791D532B-27AA-4E8F-8C14-A939A7344232}"/>
    <cellStyle name="Total 2 3 3 15 3 2" xfId="37491" xr:uid="{03659CFE-86D4-4E5B-B917-0833CEA54FBE}"/>
    <cellStyle name="Total 2 3 3 15 4" xfId="32728" xr:uid="{C875F558-8FF5-4553-B599-4BCEB09BC232}"/>
    <cellStyle name="Total 2 3 3 16" xfId="25020" xr:uid="{A7747197-6F9E-4E3B-9428-09E9FF069C27}"/>
    <cellStyle name="Total 2 3 3 16 2" xfId="27693" xr:uid="{FBF2D0B1-75FE-4AD4-95AC-36CD9871578E}"/>
    <cellStyle name="Total 2 3 3 16 2 2" xfId="34538" xr:uid="{405CDCEE-F316-49B3-A4F1-762A64113215}"/>
    <cellStyle name="Total 2 3 3 16 3" xfId="29774" xr:uid="{EFBDFBC6-2109-40F1-91A8-3319558DEB52}"/>
    <cellStyle name="Total 2 3 3 16 3 2" xfId="36619" xr:uid="{7B1889C1-3ACC-4BE4-BA86-963CDF188863}"/>
    <cellStyle name="Total 2 3 3 16 4" xfId="31856" xr:uid="{B9DB182B-4566-4AA7-8108-4E0403B4B085}"/>
    <cellStyle name="Total 2 3 3 17" xfId="24665" xr:uid="{14B54117-5B3A-4791-B0A8-F81DC1FC3100}"/>
    <cellStyle name="Total 2 3 3 17 2" xfId="27278" xr:uid="{EF5678EE-65D3-405C-8855-26C13382885A}"/>
    <cellStyle name="Total 2 3 3 17 2 2" xfId="34122" xr:uid="{57DD5ACA-21E7-4BE7-B83B-DD1E54309D70}"/>
    <cellStyle name="Total 2 3 3 17 3" xfId="29358" xr:uid="{DEF76EA1-F55B-4428-8512-BEEF547D9162}"/>
    <cellStyle name="Total 2 3 3 17 3 2" xfId="36203" xr:uid="{13309DC5-ED81-4762-B9D7-EB8F34B257C7}"/>
    <cellStyle name="Total 2 3 3 17 4" xfId="31440" xr:uid="{545BB9B9-CA05-467F-9F8B-7B28FE51A3B1}"/>
    <cellStyle name="Total 2 3 3 18" xfId="23659" xr:uid="{B912849D-11C0-4B41-9C8C-E59A493750A5}"/>
    <cellStyle name="Total 2 3 3 19" xfId="16556" xr:uid="{555831D9-0214-4C8B-B93C-055C9F65BCCD}"/>
    <cellStyle name="Total 2 3 3 2" xfId="10990" xr:uid="{00000000-0005-0000-0000-0000D4220000}"/>
    <cellStyle name="Total 2 3 3 2 10" xfId="24010" xr:uid="{9605D406-9B06-4AD4-85D2-D34AEE68AF24}"/>
    <cellStyle name="Total 2 3 3 2 10 2" xfId="26627" xr:uid="{D0344CBA-45AE-408F-9A2B-888711D6E552}"/>
    <cellStyle name="Total 2 3 3 2 10 2 2" xfId="33467" xr:uid="{621343BA-8B05-4DB0-A6D0-606022577318}"/>
    <cellStyle name="Total 2 3 3 2 10 3" xfId="28703" xr:uid="{7296BCC0-F95F-4B76-8C84-9D5688BB32FB}"/>
    <cellStyle name="Total 2 3 3 2 10 3 2" xfId="35548" xr:uid="{71F5B881-B03B-4D26-9BC3-1D4035A064AE}"/>
    <cellStyle name="Total 2 3 3 2 10 4" xfId="30785" xr:uid="{4BA072DC-80FB-40EA-8260-BDD8DD09FF27}"/>
    <cellStyle name="Total 2 3 3 2 11" xfId="23933" xr:uid="{67730CD8-9DA3-4C66-8732-EA3323D5A815}"/>
    <cellStyle name="Total 2 3 3 2 11 2" xfId="26551" xr:uid="{5F795155-A3F9-4C6A-9805-6B55429E9A3B}"/>
    <cellStyle name="Total 2 3 3 2 11 2 2" xfId="33391" xr:uid="{5E9F8BA1-E378-4D1B-AC03-98705F3BD147}"/>
    <cellStyle name="Total 2 3 3 2 11 3" xfId="26134" xr:uid="{49322086-1F4A-4BAD-A975-99DAE7D815BD}"/>
    <cellStyle name="Total 2 3 3 2 11 3 2" xfId="32962" xr:uid="{4CF2A283-43A5-424A-8692-8A60476685FB}"/>
    <cellStyle name="Total 2 3 3 2 11 4" xfId="23256" xr:uid="{F6A8835A-4799-4D2C-B7AB-8E20FFBC657A}"/>
    <cellStyle name="Total 2 3 3 2 12" xfId="24679" xr:uid="{CC0D2EBF-6B27-4C10-B2D2-AD5F2198AB41}"/>
    <cellStyle name="Total 2 3 3 2 12 2" xfId="27293" xr:uid="{2A5F7A02-0A2F-45C2-998C-294F4A66D144}"/>
    <cellStyle name="Total 2 3 3 2 12 2 2" xfId="34137" xr:uid="{71435750-2270-4105-AD1A-E662E8C69C27}"/>
    <cellStyle name="Total 2 3 3 2 12 3" xfId="29373" xr:uid="{E9A52A6F-44BC-49F0-AFC6-51E8320BC2FA}"/>
    <cellStyle name="Total 2 3 3 2 12 3 2" xfId="36218" xr:uid="{478A037D-B92C-4594-90DC-F29121A3D711}"/>
    <cellStyle name="Total 2 3 3 2 12 4" xfId="31455" xr:uid="{DF7F0A73-A199-4AA5-BADD-6129665C7ADF}"/>
    <cellStyle name="Total 2 3 3 2 13" xfId="24140" xr:uid="{720F6095-501C-439D-947B-B7DCDE2621FF}"/>
    <cellStyle name="Total 2 3 3 2 13 2" xfId="26752" xr:uid="{1685C618-58BC-4155-8FAF-068CFF6D9B7B}"/>
    <cellStyle name="Total 2 3 3 2 13 2 2" xfId="33592" xr:uid="{4F712E69-18D9-431C-A990-FED97424D90E}"/>
    <cellStyle name="Total 2 3 3 2 13 3" xfId="28828" xr:uid="{DE18825D-4F25-48F3-9142-385F5CDA80B6}"/>
    <cellStyle name="Total 2 3 3 2 13 3 2" xfId="35673" xr:uid="{8106F6B5-AE04-4CB5-B2F7-AFBE708CD17B}"/>
    <cellStyle name="Total 2 3 3 2 13 4" xfId="30910" xr:uid="{2E895785-533E-4255-A041-ECD9D996530D}"/>
    <cellStyle name="Total 2 3 3 2 14" xfId="25895" xr:uid="{DA57986F-1A26-411C-A9BC-2AE2242A783D}"/>
    <cellStyle name="Total 2 3 3 2 14 2" xfId="28561" xr:uid="{1956B407-54B4-4126-B8BE-1526182FE0FC}"/>
    <cellStyle name="Total 2 3 3 2 14 2 2" xfId="35406" xr:uid="{6EF4C4E5-D779-4576-B248-9621F98ABB96}"/>
    <cellStyle name="Total 2 3 3 2 14 3" xfId="30642" xr:uid="{57BB588D-C69E-4755-A536-266243332E92}"/>
    <cellStyle name="Total 2 3 3 2 14 3 2" xfId="37487" xr:uid="{6D30AB67-C1E8-41FA-8B09-38F5758FF6DF}"/>
    <cellStyle name="Total 2 3 3 2 14 4" xfId="32724" xr:uid="{70AD021A-7011-4577-9D06-AAE4099F015B}"/>
    <cellStyle name="Total 2 3 3 2 15" xfId="25495" xr:uid="{F2FE7C37-E206-41FB-8450-9FD7C4317029}"/>
    <cellStyle name="Total 2 3 3 2 15 2" xfId="28162" xr:uid="{819351BE-E50F-4679-8E57-4D745D35C01D}"/>
    <cellStyle name="Total 2 3 3 2 15 2 2" xfId="35007" xr:uid="{FF648257-BC15-4547-AFEC-53B186FD6550}"/>
    <cellStyle name="Total 2 3 3 2 15 3" xfId="30243" xr:uid="{2840A2D4-96FA-4712-9B03-81F764E148E0}"/>
    <cellStyle name="Total 2 3 3 2 15 3 2" xfId="37088" xr:uid="{650C601D-7C9E-4131-B070-29D69F47EA5E}"/>
    <cellStyle name="Total 2 3 3 2 15 4" xfId="32325" xr:uid="{E6A9489E-4B72-44C2-8B35-DF378F792729}"/>
    <cellStyle name="Total 2 3 3 2 16" xfId="25315" xr:uid="{6CDCD898-0050-4F47-86DC-6B718B5769FD}"/>
    <cellStyle name="Total 2 3 3 2 16 2" xfId="27985" xr:uid="{5A9F8C66-BD37-40E8-9942-9965C0C9DA8D}"/>
    <cellStyle name="Total 2 3 3 2 16 2 2" xfId="34830" xr:uid="{EA23E436-1251-4F02-82B2-28437477F6C9}"/>
    <cellStyle name="Total 2 3 3 2 16 3" xfId="30066" xr:uid="{F001286C-BB9E-432C-B082-9F6C326AD952}"/>
    <cellStyle name="Total 2 3 3 2 16 3 2" xfId="36911" xr:uid="{FD187A3C-3897-44D7-97C4-A7CCF08A9D02}"/>
    <cellStyle name="Total 2 3 3 2 16 4" xfId="32148" xr:uid="{EE431288-293B-440C-B385-224CCE8005B8}"/>
    <cellStyle name="Total 2 3 3 2 17" xfId="23625" xr:uid="{34282A94-1CCE-4D2C-9582-6271F76BE356}"/>
    <cellStyle name="Total 2 3 3 2 18" xfId="17577" xr:uid="{17BF8A5C-0AC6-4984-815B-23ED6F645E4C}"/>
    <cellStyle name="Total 2 3 3 2 19" xfId="43479" xr:uid="{63A3DB37-E566-447F-B28D-25509872A520}"/>
    <cellStyle name="Total 2 3 3 2 2" xfId="17848" xr:uid="{75647C45-FC4C-4C03-BE06-951ED1F82D2C}"/>
    <cellStyle name="Total 2 3 3 2 2 10" xfId="25672" xr:uid="{087988ED-13E5-4596-B5AA-186A508D0E21}"/>
    <cellStyle name="Total 2 3 3 2 2 10 2" xfId="28339" xr:uid="{3B3F6A60-D39D-4729-BEE0-B1B1D5CDEA18}"/>
    <cellStyle name="Total 2 3 3 2 2 10 2 2" xfId="35184" xr:uid="{6F097076-2794-4C63-8ED7-4E26026A665D}"/>
    <cellStyle name="Total 2 3 3 2 2 10 3" xfId="30420" xr:uid="{6C7C24E3-1229-429C-9132-5087A0BB0451}"/>
    <cellStyle name="Total 2 3 3 2 2 10 3 2" xfId="37265" xr:uid="{256DCCFF-7805-499A-8075-4A49EBD9258C}"/>
    <cellStyle name="Total 2 3 3 2 2 10 4" xfId="32502" xr:uid="{334067C2-0889-4EE8-AB25-35ED86056378}"/>
    <cellStyle name="Total 2 3 3 2 2 11" xfId="25777" xr:uid="{28A99A49-00F7-489D-BCF4-0FF1E7C8D12D}"/>
    <cellStyle name="Total 2 3 3 2 2 11 2" xfId="28443" xr:uid="{91F20F6B-F678-4997-ABF3-5771885DC61B}"/>
    <cellStyle name="Total 2 3 3 2 2 11 2 2" xfId="35288" xr:uid="{39B9F32B-A06C-451F-B060-57C73DDB598D}"/>
    <cellStyle name="Total 2 3 3 2 2 11 3" xfId="30524" xr:uid="{FE4172FA-E145-4BB5-B27E-308419E8675D}"/>
    <cellStyle name="Total 2 3 3 2 2 11 3 2" xfId="37369" xr:uid="{1FEE138A-ECB9-43B8-B6FA-419B52FD4F2C}"/>
    <cellStyle name="Total 2 3 3 2 2 11 4" xfId="32606" xr:uid="{F5F5319E-8A1B-4178-8569-DF59A47BFF26}"/>
    <cellStyle name="Total 2 3 3 2 2 12" xfId="25854" xr:uid="{484FC237-04CD-419A-B506-27B464346667}"/>
    <cellStyle name="Total 2 3 3 2 2 12 2" xfId="28520" xr:uid="{5F2CB43E-8B9C-4D1F-A564-25BA998496FE}"/>
    <cellStyle name="Total 2 3 3 2 2 12 2 2" xfId="35365" xr:uid="{248319EC-A1C7-4111-BBB7-8CE5401F87EB}"/>
    <cellStyle name="Total 2 3 3 2 2 12 3" xfId="30601" xr:uid="{CE86456E-770C-4684-AEAB-04BAE7F8ACEE}"/>
    <cellStyle name="Total 2 3 3 2 2 12 3 2" xfId="37446" xr:uid="{CD919C4D-6955-4F99-818F-253C96D3C60A}"/>
    <cellStyle name="Total 2 3 3 2 2 12 4" xfId="32683" xr:uid="{1DB99D39-90E6-4AD2-BA03-90B3980D6774}"/>
    <cellStyle name="Total 2 3 3 2 2 13" xfId="24823" xr:uid="{56FBC2C3-7931-4EA9-9FBE-E1C9F7061AA0}"/>
    <cellStyle name="Total 2 3 3 2 2 13 2" xfId="27482" xr:uid="{ED1CD3E1-4FD3-485A-B0ED-AF5290F9D305}"/>
    <cellStyle name="Total 2 3 3 2 2 13 2 2" xfId="34326" xr:uid="{054E721F-FA8A-4342-94BF-D0B74DB6B99D}"/>
    <cellStyle name="Total 2 3 3 2 2 13 3" xfId="29562" xr:uid="{1C8E8057-9F43-4EDC-8771-7AD10E36F1EE}"/>
    <cellStyle name="Total 2 3 3 2 2 13 3 2" xfId="36407" xr:uid="{7D8152F3-0D05-43A2-91A9-8F0403B88D1B}"/>
    <cellStyle name="Total 2 3 3 2 2 13 4" xfId="31644" xr:uid="{6E1AAEC8-27D3-4B2E-BFC1-1803E9D17430}"/>
    <cellStyle name="Total 2 3 3 2 2 14" xfId="25982" xr:uid="{E266D7EC-C8B7-43EB-989E-E7ACCFCA7EBC}"/>
    <cellStyle name="Total 2 3 3 2 2 14 2" xfId="28648" xr:uid="{D3AD467C-08A0-4419-B268-45CA7DC6952A}"/>
    <cellStyle name="Total 2 3 3 2 2 14 2 2" xfId="35493" xr:uid="{84063516-C803-4F86-9637-A805A2A6A766}"/>
    <cellStyle name="Total 2 3 3 2 2 14 3" xfId="30729" xr:uid="{E8F8199F-F05A-4FDA-9ABB-351CCAE687CD}"/>
    <cellStyle name="Total 2 3 3 2 2 14 3 2" xfId="37574" xr:uid="{4E6C8063-E2E1-4CFC-A66A-C559FE4F1319}"/>
    <cellStyle name="Total 2 3 3 2 2 14 4" xfId="32811" xr:uid="{1F6E42B2-E418-4FF3-922B-6DF9DC4E3CD2}"/>
    <cellStyle name="Total 2 3 3 2 2 15" xfId="26036" xr:uid="{FCA94347-40DB-44D6-BCAE-ECF16D19ECE9}"/>
    <cellStyle name="Total 2 3 3 2 2 15 2" xfId="28702" xr:uid="{A864C2A3-7851-4782-999B-EED20FD14B2B}"/>
    <cellStyle name="Total 2 3 3 2 2 15 2 2" xfId="35547" xr:uid="{5237B407-9A22-4C57-9802-222C7BF4A768}"/>
    <cellStyle name="Total 2 3 3 2 2 15 3" xfId="30783" xr:uid="{81DD7A08-2482-4D40-8DC9-015E89C3D900}"/>
    <cellStyle name="Total 2 3 3 2 2 15 3 2" xfId="37628" xr:uid="{77DB22BC-CB43-4DA5-A322-F1F7B74878A0}"/>
    <cellStyle name="Total 2 3 3 2 2 15 4" xfId="32865" xr:uid="{CCA71BB5-606B-48A3-B01E-2FA026259969}"/>
    <cellStyle name="Total 2 3 3 2 2 16" xfId="23044" xr:uid="{31A0B41D-798C-45F8-8DEF-26D8385C1254}"/>
    <cellStyle name="Total 2 3 3 2 2 2" xfId="18426" xr:uid="{684A4BAC-0491-41D3-90EA-172A010AD632}"/>
    <cellStyle name="Total 2 3 3 2 2 2 10" xfId="21577" xr:uid="{1A6AEFD7-60A1-434D-AC8E-39E8085EA487}"/>
    <cellStyle name="Total 2 3 3 2 2 2 11" xfId="22200" xr:uid="{0A306585-6DCC-4171-9958-901984BBA88B}"/>
    <cellStyle name="Total 2 3 3 2 2 2 12" xfId="21908" xr:uid="{EC81D72D-D0B7-4AED-A253-0F556268CC15}"/>
    <cellStyle name="Total 2 3 3 2 2 2 13" xfId="22301" xr:uid="{1A83F505-7715-4E68-8816-01D39ECCCBA3}"/>
    <cellStyle name="Total 2 3 3 2 2 2 14" xfId="22402" xr:uid="{9C6BD1A9-60F0-44E3-B60B-E90AA31F890E}"/>
    <cellStyle name="Total 2 3 3 2 2 2 15" xfId="20526" xr:uid="{1D888618-0223-49BB-9A00-F8F6A92DE895}"/>
    <cellStyle name="Total 2 3 3 2 2 2 16" xfId="31516" xr:uid="{73233592-4842-4DFF-8DB5-2CB256758334}"/>
    <cellStyle name="Total 2 3 3 2 2 2 2" xfId="19947" xr:uid="{AC22758C-1DE3-4821-B5DA-2DEF4D68F5F3}"/>
    <cellStyle name="Total 2 3 3 2 2 2 2 2" xfId="27354" xr:uid="{E717C14D-FC2C-4D54-8D29-1583A1FC5F7E}"/>
    <cellStyle name="Total 2 3 3 2 2 2 2 3" xfId="34198" xr:uid="{F1B599B7-2570-4106-8864-B33545D69D4D}"/>
    <cellStyle name="Total 2 3 3 2 2 2 3" xfId="20532" xr:uid="{9D7018C3-2055-4674-8225-10FDBA9DA5AB}"/>
    <cellStyle name="Total 2 3 3 2 2 2 3 2" xfId="29434" xr:uid="{076BC1F2-C77F-441D-B6D6-EBA4FE1FD930}"/>
    <cellStyle name="Total 2 3 3 2 2 2 3 3" xfId="36279" xr:uid="{978B9545-7FCA-4574-A1D8-913DB599B90D}"/>
    <cellStyle name="Total 2 3 3 2 2 2 4" xfId="19165" xr:uid="{EBBDC5A5-BD86-421E-8696-0A5D9C602353}"/>
    <cellStyle name="Total 2 3 3 2 2 2 5" xfId="20856" xr:uid="{66FE7E92-9C08-47C0-9F79-A0C24852A85A}"/>
    <cellStyle name="Total 2 3 3 2 2 2 6" xfId="21545" xr:uid="{BB710ABA-16AA-4848-9309-50CA00834C45}"/>
    <cellStyle name="Total 2 3 3 2 2 2 7" xfId="21920" xr:uid="{DF4CB89A-AB7A-4589-9159-C1A7E6F015AF}"/>
    <cellStyle name="Total 2 3 3 2 2 2 8" xfId="20832" xr:uid="{25625C02-208E-4974-9126-683F70DE0414}"/>
    <cellStyle name="Total 2 3 3 2 2 2 9" xfId="20639" xr:uid="{BBE93970-09B3-474D-AA88-B1B7741E7C0C}"/>
    <cellStyle name="Total 2 3 3 2 2 3" xfId="23812" xr:uid="{B4404428-0697-4C31-B20B-A4E8243E6DF3}"/>
    <cellStyle name="Total 2 3 3 2 2 3 2" xfId="26431" xr:uid="{C4E7D215-1721-44C2-BCF7-B2B40CA3369C}"/>
    <cellStyle name="Total 2 3 3 2 2 3 2 2" xfId="33271" xr:uid="{63713DC7-FCD0-4F0A-A86B-F0288843F89A}"/>
    <cellStyle name="Total 2 3 3 2 2 3 3" xfId="26251" xr:uid="{2C46410A-4889-4907-90BE-CC5B066A606E}"/>
    <cellStyle name="Total 2 3 3 2 2 3 3 2" xfId="33079" xr:uid="{DCDEDD1B-EAB1-4B0D-BBD2-42C6EE90ABAC}"/>
    <cellStyle name="Total 2 3 3 2 2 3 4" xfId="23373" xr:uid="{2C84FB17-F815-4F4B-8FCA-076508697F5D}"/>
    <cellStyle name="Total 2 3 3 2 2 4" xfId="24187" xr:uid="{C679AB77-1EBE-4752-AC1B-F8385DE7F5D7}"/>
    <cellStyle name="Total 2 3 3 2 2 4 2" xfId="26797" xr:uid="{586FB419-7B24-4A9E-B419-EAE63999E8F7}"/>
    <cellStyle name="Total 2 3 3 2 2 4 2 2" xfId="33637" xr:uid="{5F2179F3-D6A7-41F2-B00C-32510C1400B3}"/>
    <cellStyle name="Total 2 3 3 2 2 4 3" xfId="28873" xr:uid="{85A53E23-E19B-4A98-9D00-220FED002B8F}"/>
    <cellStyle name="Total 2 3 3 2 2 4 3 2" xfId="35718" xr:uid="{57703D2D-6D39-4098-8AF5-3689ADE8A419}"/>
    <cellStyle name="Total 2 3 3 2 2 4 4" xfId="30955" xr:uid="{BEB74168-AD7C-447F-9291-569506B5958B}"/>
    <cellStyle name="Total 2 3 3 2 2 5" xfId="25128" xr:uid="{A1AE2C9A-FECF-4173-8A7A-BBB226E3CDF5}"/>
    <cellStyle name="Total 2 3 3 2 2 5 2" xfId="27800" xr:uid="{1E27BA1D-61E1-41FB-8AEB-F110D6083193}"/>
    <cellStyle name="Total 2 3 3 2 2 5 2 2" xfId="34645" xr:uid="{501034D2-13D6-4597-83D2-1B8077EA95C5}"/>
    <cellStyle name="Total 2 3 3 2 2 5 3" xfId="29881" xr:uid="{067E50A4-E731-4070-BCE2-222C98D74989}"/>
    <cellStyle name="Total 2 3 3 2 2 5 3 2" xfId="36726" xr:uid="{40CE42B8-9513-4F79-8719-F2C8302A37AB}"/>
    <cellStyle name="Total 2 3 3 2 2 5 4" xfId="31963" xr:uid="{990D6C2B-4896-4DA2-BE55-41AD37EB20BA}"/>
    <cellStyle name="Total 2 3 3 2 2 6" xfId="23813" xr:uid="{537508AD-C39E-47D7-8EB6-14D818E593B6}"/>
    <cellStyle name="Total 2 3 3 2 2 6 2" xfId="26432" xr:uid="{BF0EA80F-EA6D-4CC8-B4CD-EE519ACA662C}"/>
    <cellStyle name="Total 2 3 3 2 2 6 2 2" xfId="33272" xr:uid="{7733D8AD-F38A-46E1-AF17-3A16B1D17A03}"/>
    <cellStyle name="Total 2 3 3 2 2 6 3" xfId="26250" xr:uid="{2BDB01A5-2591-40F4-BC3F-C10ABE38AB20}"/>
    <cellStyle name="Total 2 3 3 2 2 6 3 2" xfId="33078" xr:uid="{7BD0A877-863D-43CD-B1F9-A6A999EAF2CA}"/>
    <cellStyle name="Total 2 3 3 2 2 6 4" xfId="23372" xr:uid="{DF89AD22-7DDE-4DA5-9C39-5244867A6F06}"/>
    <cellStyle name="Total 2 3 3 2 2 7" xfId="24007" xr:uid="{220A44A5-C162-4C32-A3E8-C9EFBD0A0A33}"/>
    <cellStyle name="Total 2 3 3 2 2 7 2" xfId="26624" xr:uid="{FC376057-7B9E-4A15-973C-EFCF313F4EB5}"/>
    <cellStyle name="Total 2 3 3 2 2 7 2 2" xfId="33464" xr:uid="{574A6D7B-945A-41CA-A6F0-FB4DC6D9AF69}"/>
    <cellStyle name="Total 2 3 3 2 2 7 3" xfId="26067" xr:uid="{1FA5204E-AE84-44F2-B924-484B94AC1775}"/>
    <cellStyle name="Total 2 3 3 2 2 7 3 2" xfId="32895" xr:uid="{0A56331F-5F51-4014-8A30-C2126F71B3FE}"/>
    <cellStyle name="Total 2 3 3 2 2 7 4" xfId="23149" xr:uid="{83C3645E-B402-45B7-B0C6-4366EFE4BE8E}"/>
    <cellStyle name="Total 2 3 3 2 2 8" xfId="23886" xr:uid="{952E7A78-5324-4BA9-BE2A-958A08D2A4B4}"/>
    <cellStyle name="Total 2 3 3 2 2 8 2" xfId="26504" xr:uid="{2DECD684-F7B1-473A-8CB3-3BBACC251596}"/>
    <cellStyle name="Total 2 3 3 2 2 8 2 2" xfId="33344" xr:uid="{4581DA52-7B3D-4C1E-828C-248806275945}"/>
    <cellStyle name="Total 2 3 3 2 2 8 3" xfId="26180" xr:uid="{CACC28BD-166A-4826-A647-DADD4555AC7E}"/>
    <cellStyle name="Total 2 3 3 2 2 8 3 2" xfId="33008" xr:uid="{5E1AC2A8-466E-4487-AB76-A72F32FCC985}"/>
    <cellStyle name="Total 2 3 3 2 2 8 4" xfId="23302" xr:uid="{F1F77E39-71F8-48BC-9E75-B94A85ABC0B0}"/>
    <cellStyle name="Total 2 3 3 2 2 9" xfId="25431" xr:uid="{30722AAE-EE4E-4CCD-AB33-1846DFB36683}"/>
    <cellStyle name="Total 2 3 3 2 2 9 2" xfId="28098" xr:uid="{FCFD61B4-28D8-4096-9600-01183F534A0B}"/>
    <cellStyle name="Total 2 3 3 2 2 9 2 2" xfId="34943" xr:uid="{E58C17FF-86EF-48C4-ABC0-69147F3B376F}"/>
    <cellStyle name="Total 2 3 3 2 2 9 3" xfId="30179" xr:uid="{5F388150-9BDA-4DBF-82A2-37BC341F7AEF}"/>
    <cellStyle name="Total 2 3 3 2 2 9 3 2" xfId="37024" xr:uid="{6A040DFB-AEDC-4C7D-A9F1-B975A0368498}"/>
    <cellStyle name="Total 2 3 3 2 2 9 4" xfId="32261" xr:uid="{30051BD1-0E07-42B7-93C9-510F4C2467B4}"/>
    <cellStyle name="Total 2 3 3 2 3" xfId="18795" xr:uid="{D779EABD-89D6-4BB0-9B82-4AB1CF6C7F3B}"/>
    <cellStyle name="Total 2 3 3 2 3 10" xfId="19014" xr:uid="{7E031BE2-CCA1-49B6-B24C-05C5084F406B}"/>
    <cellStyle name="Total 2 3 3 2 3 11" xfId="19430" xr:uid="{59CB5014-F80B-4536-B794-1048E1F6ABAD}"/>
    <cellStyle name="Total 2 3 3 2 3 12" xfId="22833" xr:uid="{ED547543-469B-460A-86CF-6A4E56B0332D}"/>
    <cellStyle name="Total 2 3 3 2 3 13" xfId="21098" xr:uid="{A69F7E4E-AE00-4463-AFD2-530F11AFDF49}"/>
    <cellStyle name="Total 2 3 3 2 3 14" xfId="22967" xr:uid="{F9C01A7A-3FC6-4CBF-9FF9-C5F10B8DC00A}"/>
    <cellStyle name="Total 2 3 3 2 3 15" xfId="22857" xr:uid="{C918AA11-12A3-4697-B12A-40E9D4482140}"/>
    <cellStyle name="Total 2 3 3 2 3 16" xfId="31388" xr:uid="{AA53CF80-F7CF-4094-A18C-5BF84AB7D663}"/>
    <cellStyle name="Total 2 3 3 2 3 2" xfId="19755" xr:uid="{4BBD2B76-F37B-496C-9E5C-966F00D57C6B}"/>
    <cellStyle name="Total 2 3 3 2 3 2 2" xfId="27229" xr:uid="{1C331E4C-8E79-4CB7-A297-157F994A2D9D}"/>
    <cellStyle name="Total 2 3 3 2 3 2 3" xfId="34070" xr:uid="{8BE877F8-F18E-46FE-83CE-48F125A3BC72}"/>
    <cellStyle name="Total 2 3 3 2 3 3" xfId="20509" xr:uid="{5316DB81-56E7-4812-868F-4D3F0E80B05E}"/>
    <cellStyle name="Total 2 3 3 2 3 3 2" xfId="29306" xr:uid="{AD7B16E3-452E-4410-BC3E-3EC8ABD1C557}"/>
    <cellStyle name="Total 2 3 3 2 3 3 3" xfId="36151" xr:uid="{678E7A52-8937-4769-8B75-DA985961C98C}"/>
    <cellStyle name="Total 2 3 3 2 3 4" xfId="20681" xr:uid="{445E278A-E718-4DF6-B6E4-4E84DD2BA4CE}"/>
    <cellStyle name="Total 2 3 3 2 3 5" xfId="19031" xr:uid="{FDAAB67A-66E1-42D5-9361-11ABE2E72AF8}"/>
    <cellStyle name="Total 2 3 3 2 3 6" xfId="20809" xr:uid="{B17A43F6-5F60-4B7A-A4CB-EACCE8D35900}"/>
    <cellStyle name="Total 2 3 3 2 3 7" xfId="21950" xr:uid="{9DE3094B-3C9A-421F-8739-8CB177F4ACB9}"/>
    <cellStyle name="Total 2 3 3 2 3 8" xfId="19948" xr:uid="{9268660F-6A25-40A2-9469-183209EB4942}"/>
    <cellStyle name="Total 2 3 3 2 3 9" xfId="22588" xr:uid="{A1A41A6D-0F62-4FD1-9C92-30DB46B0A4AF}"/>
    <cellStyle name="Total 2 3 3 2 4" xfId="24580" xr:uid="{173CB869-5B21-4628-8F50-922A692994DE}"/>
    <cellStyle name="Total 2 3 3 2 4 2" xfId="27171" xr:uid="{BEF4E451-71EC-45E2-A809-C563AED920D5}"/>
    <cellStyle name="Total 2 3 3 2 4 2 2" xfId="34012" xr:uid="{7D7A8841-27F7-4B43-A7E9-F2AF6AF1A272}"/>
    <cellStyle name="Total 2 3 3 2 4 3" xfId="29248" xr:uid="{6B84A209-B8CC-4D64-83F9-F3DA49B13480}"/>
    <cellStyle name="Total 2 3 3 2 4 3 2" xfId="36093" xr:uid="{5EFFDA99-40F1-43D5-8BCA-3BBFE139AF5A}"/>
    <cellStyle name="Total 2 3 3 2 4 4" xfId="31330" xr:uid="{4A207674-CBD7-4973-AEA6-D00F86F5F0B9}"/>
    <cellStyle name="Total 2 3 3 2 5" xfId="23780" xr:uid="{9D4F22ED-8F7B-4A0A-AE71-C497348C08F7}"/>
    <cellStyle name="Total 2 3 3 2 5 2" xfId="26394" xr:uid="{C6C84921-F3E2-4371-830E-FF78D20FF26E}"/>
    <cellStyle name="Total 2 3 3 2 5 2 2" xfId="33234" xr:uid="{AA72E8CC-EF4C-4795-8367-4265015CA16E}"/>
    <cellStyle name="Total 2 3 3 2 5 3" xfId="26287" xr:uid="{662407AF-E6AD-4D51-AA6C-1DF1FD81C484}"/>
    <cellStyle name="Total 2 3 3 2 5 3 2" xfId="33115" xr:uid="{6D3F3DB1-92D7-488F-AFE5-C42470AA12E0}"/>
    <cellStyle name="Total 2 3 3 2 5 4" xfId="23409" xr:uid="{392825D4-6E84-497A-BE5A-79D1C6D30D43}"/>
    <cellStyle name="Total 2 3 3 2 6" xfId="24974" xr:uid="{A99138AF-B888-426D-BE4D-D33919FD24C6}"/>
    <cellStyle name="Total 2 3 3 2 6 2" xfId="27643" xr:uid="{11FCC807-37F6-40F6-A88E-F6BD21005858}"/>
    <cellStyle name="Total 2 3 3 2 6 2 2" xfId="34488" xr:uid="{3490C861-B177-405F-B45D-03ACD2CE749A}"/>
    <cellStyle name="Total 2 3 3 2 6 3" xfId="29724" xr:uid="{C3D2F5CE-CFB2-4FB8-8048-81DA61F7CFCC}"/>
    <cellStyle name="Total 2 3 3 2 6 3 2" xfId="36569" xr:uid="{E748267A-AAEF-4EC4-BB95-0712A3832AAD}"/>
    <cellStyle name="Total 2 3 3 2 6 4" xfId="31806" xr:uid="{B110619F-BA3B-4AEE-8566-2A5553519CD1}"/>
    <cellStyle name="Total 2 3 3 2 7" xfId="24687" xr:uid="{BF2A92AC-4188-4D89-A6CB-98CF2B6BE010}"/>
    <cellStyle name="Total 2 3 3 2 7 2" xfId="27300" xr:uid="{505E5F47-9680-4F38-BFCB-6017B15B332E}"/>
    <cellStyle name="Total 2 3 3 2 7 2 2" xfId="34144" xr:uid="{9E58D7A6-AEA8-4FAE-A715-B6EDD654062D}"/>
    <cellStyle name="Total 2 3 3 2 7 3" xfId="29380" xr:uid="{B70ACE61-4017-4161-997D-AC6EF4BF1567}"/>
    <cellStyle name="Total 2 3 3 2 7 3 2" xfId="36225" xr:uid="{7034F7E0-128D-444B-A0D9-149FB2F29B42}"/>
    <cellStyle name="Total 2 3 3 2 7 4" xfId="31462" xr:uid="{3E5877AD-B02E-41BE-A218-2BC3D69A5FD7}"/>
    <cellStyle name="Total 2 3 3 2 8" xfId="24361" xr:uid="{943916EB-788E-4EFD-A72F-8A33139F7CF6}"/>
    <cellStyle name="Total 2 3 3 2 8 2" xfId="26968" xr:uid="{777BAE17-EE44-4E51-BEA8-65863D0233C3}"/>
    <cellStyle name="Total 2 3 3 2 8 2 2" xfId="33808" xr:uid="{9D5C078A-6D54-4D04-A017-38CBB3688DC2}"/>
    <cellStyle name="Total 2 3 3 2 8 3" xfId="29044" xr:uid="{40D13F76-C21A-47C8-BE20-BD04E526AADA}"/>
    <cellStyle name="Total 2 3 3 2 8 3 2" xfId="35889" xr:uid="{7517F218-DE49-4553-B9EE-784EC19D2B42}"/>
    <cellStyle name="Total 2 3 3 2 8 4" xfId="31126" xr:uid="{D7F17C26-9EE2-46ED-8A5D-379DCE42F267}"/>
    <cellStyle name="Total 2 3 3 2 9" xfId="24151" xr:uid="{C3E6CD5F-CB7A-49D8-B803-C96503889553}"/>
    <cellStyle name="Total 2 3 3 2 9 2" xfId="26763" xr:uid="{4D35A322-19A3-4595-98C0-3E9BE3E7476C}"/>
    <cellStyle name="Total 2 3 3 2 9 2 2" xfId="33603" xr:uid="{71B59DF1-AE38-4151-8DAE-3342BFD432F6}"/>
    <cellStyle name="Total 2 3 3 2 9 3" xfId="28839" xr:uid="{D9C41572-481C-407A-8B64-9375DF3C089F}"/>
    <cellStyle name="Total 2 3 3 2 9 3 2" xfId="35684" xr:uid="{AFB69EE7-D36A-400A-97A5-064A45770D81}"/>
    <cellStyle name="Total 2 3 3 2 9 4" xfId="30921" xr:uid="{F2BB5DAB-136A-453C-8879-4D4DF2A13E78}"/>
    <cellStyle name="Total 2 3 3 20" xfId="39503" xr:uid="{44942D1A-7984-459B-A3AB-DAB1DADE41DF}"/>
    <cellStyle name="Total 2 3 3 3" xfId="17814" xr:uid="{787254CA-BA7A-4DE9-865C-80DE0FF3C353}"/>
    <cellStyle name="Total 2 3 3 3 10" xfId="25645" xr:uid="{C4DBB3DA-3027-4125-BDFB-59752E0E91DD}"/>
    <cellStyle name="Total 2 3 3 3 10 2" xfId="28312" xr:uid="{2CCAD79D-149C-4700-8580-CFBD308C8729}"/>
    <cellStyle name="Total 2 3 3 3 10 2 2" xfId="35157" xr:uid="{FDAE0262-C42C-4ABB-A8E9-630A97842DBA}"/>
    <cellStyle name="Total 2 3 3 3 10 3" xfId="30393" xr:uid="{34C0CDF2-B62D-434D-8C50-0121A1A8A37B}"/>
    <cellStyle name="Total 2 3 3 3 10 3 2" xfId="37238" xr:uid="{E1DE8663-3864-4A30-BD9F-1746A25B13E9}"/>
    <cellStyle name="Total 2 3 3 3 10 4" xfId="32475" xr:uid="{0C47EDFA-15A7-4641-9E02-A2376180846E}"/>
    <cellStyle name="Total 2 3 3 3 11" xfId="25750" xr:uid="{0327F3A2-2884-4FC3-8879-2D9C60A064E7}"/>
    <cellStyle name="Total 2 3 3 3 11 2" xfId="28417" xr:uid="{7E8AF769-AA00-4361-8575-7015CAF2AF15}"/>
    <cellStyle name="Total 2 3 3 3 11 2 2" xfId="35262" xr:uid="{5BA263FD-7D31-4F98-BDCA-C51B0B2092E9}"/>
    <cellStyle name="Total 2 3 3 3 11 3" xfId="30498" xr:uid="{FC85C582-787D-40E9-B3F5-D178F1B373D3}"/>
    <cellStyle name="Total 2 3 3 3 11 3 2" xfId="37343" xr:uid="{893BE66A-DAA9-4F6B-B5AE-CDBFE3521344}"/>
    <cellStyle name="Total 2 3 3 3 11 4" xfId="32580" xr:uid="{36CCDF38-9B30-4BEE-8BF4-2EF94DF15C31}"/>
    <cellStyle name="Total 2 3 3 3 12" xfId="25824" xr:uid="{587EDDA5-4722-4018-8966-BE439F591FBE}"/>
    <cellStyle name="Total 2 3 3 3 12 2" xfId="28490" xr:uid="{FF0F4BFD-02E4-49E9-BF9E-8B1C8BE3FD62}"/>
    <cellStyle name="Total 2 3 3 3 12 2 2" xfId="35335" xr:uid="{BFF94282-5D34-4421-B5AA-1A90CFD2EFF0}"/>
    <cellStyle name="Total 2 3 3 3 12 3" xfId="30571" xr:uid="{535F65FA-E711-485E-9445-CCAD31A0D338}"/>
    <cellStyle name="Total 2 3 3 3 12 3 2" xfId="37416" xr:uid="{30F8D87B-3792-40B7-BDBD-8BCCF239F8F7}"/>
    <cellStyle name="Total 2 3 3 3 12 4" xfId="32653" xr:uid="{AE35879E-4E49-48C4-9867-EF26DE8D7257}"/>
    <cellStyle name="Total 2 3 3 3 13" xfId="25864" xr:uid="{ACCCDF1B-08F8-41D8-B4CF-6446E8B9C5EB}"/>
    <cellStyle name="Total 2 3 3 3 13 2" xfId="28530" xr:uid="{3D9FEB97-B5E5-4B1F-AF5D-6AB45B176C34}"/>
    <cellStyle name="Total 2 3 3 3 13 2 2" xfId="35375" xr:uid="{751BDFDF-29A3-4B8E-9389-09680A1CCD80}"/>
    <cellStyle name="Total 2 3 3 3 13 3" xfId="30611" xr:uid="{A61679D7-E7BA-47FC-A6EB-87D4F8172EBE}"/>
    <cellStyle name="Total 2 3 3 3 13 3 2" xfId="37456" xr:uid="{5FBF5894-3DE3-4918-956C-0119C0C67D3E}"/>
    <cellStyle name="Total 2 3 3 3 13 4" xfId="32693" xr:uid="{D457EC9B-CA07-4F9D-8FFA-A4FD75A016D5}"/>
    <cellStyle name="Total 2 3 3 3 14" xfId="25956" xr:uid="{EC38C6A5-583E-4F06-8787-003233E4237A}"/>
    <cellStyle name="Total 2 3 3 3 14 2" xfId="28622" xr:uid="{19596CC5-CFEF-4566-B59E-10841CF1C5A5}"/>
    <cellStyle name="Total 2 3 3 3 14 2 2" xfId="35467" xr:uid="{11AFD006-0464-4030-B818-5B99C78163E1}"/>
    <cellStyle name="Total 2 3 3 3 14 3" xfId="30703" xr:uid="{D3CBF89B-57CB-490D-8327-345CD034357B}"/>
    <cellStyle name="Total 2 3 3 3 14 3 2" xfId="37548" xr:uid="{0355B12C-DB0B-4785-A554-B91EC951F4AF}"/>
    <cellStyle name="Total 2 3 3 3 14 4" xfId="32785" xr:uid="{CC89477C-BA2C-4187-9E57-411B44675807}"/>
    <cellStyle name="Total 2 3 3 3 15" xfId="26010" xr:uid="{1BA60199-0FA5-4411-B2BF-07D7F388FD6F}"/>
    <cellStyle name="Total 2 3 3 3 15 2" xfId="28676" xr:uid="{689CCF89-892D-4E58-BA14-791EAED300DD}"/>
    <cellStyle name="Total 2 3 3 3 15 2 2" xfId="35521" xr:uid="{9D34B01C-788C-48A1-9F11-2356CF9BC12D}"/>
    <cellStyle name="Total 2 3 3 3 15 3" xfId="30757" xr:uid="{6F50729E-868D-4E03-8E58-2390FDF9B50D}"/>
    <cellStyle name="Total 2 3 3 3 15 3 2" xfId="37602" xr:uid="{06FED976-D91A-4C48-B7B9-B3F7B9C75BE0}"/>
    <cellStyle name="Total 2 3 3 3 15 4" xfId="32839" xr:uid="{5B328C13-23EE-4CD9-AB64-DC0796FDBEB4}"/>
    <cellStyle name="Total 2 3 3 3 16" xfId="23188" xr:uid="{9AAB5461-8E52-45FB-BD6B-16C739B40AD5}"/>
    <cellStyle name="Total 2 3 3 3 2" xfId="18450" xr:uid="{2F92904A-9155-4824-A24A-BF5F40F396A2}"/>
    <cellStyle name="Total 2 3 3 3 2 10" xfId="22250" xr:uid="{B6B6C045-7816-4BE7-A543-CF75DA7CD892}"/>
    <cellStyle name="Total 2 3 3 3 2 11" xfId="19319" xr:uid="{1DF02EBA-4676-4693-9E01-43783D25B65A}"/>
    <cellStyle name="Total 2 3 3 3 2 12" xfId="21341" xr:uid="{6BEC959E-C4CA-4912-8CCA-85653B545F04}"/>
    <cellStyle name="Total 2 3 3 3 2 13" xfId="21591" xr:uid="{04D6C660-6177-44F0-939C-F93F47FC46E2}"/>
    <cellStyle name="Total 2 3 3 3 2 14" xfId="19617" xr:uid="{3355E78C-B315-415F-8A79-804A1FAEFD54}"/>
    <cellStyle name="Total 2 3 3 3 2 15" xfId="22852" xr:uid="{64B30302-2CA8-494E-9B76-93213FB4B853}"/>
    <cellStyle name="Total 2 3 3 3 2 16" xfId="31487" xr:uid="{923AA61C-0130-4CC6-8F39-E7D9102CF222}"/>
    <cellStyle name="Total 2 3 3 3 2 2" xfId="19926" xr:uid="{76DC3267-33D0-429F-A753-C662317DBD3C}"/>
    <cellStyle name="Total 2 3 3 3 2 2 2" xfId="27325" xr:uid="{216E8055-DB24-4F72-A186-F3AC94C0758F}"/>
    <cellStyle name="Total 2 3 3 3 2 2 3" xfId="34169" xr:uid="{4B6352B7-AB86-4191-A324-D671D54BF843}"/>
    <cellStyle name="Total 2 3 3 3 2 3" xfId="21076" xr:uid="{956F811C-11D5-442F-8F85-093C55B15581}"/>
    <cellStyle name="Total 2 3 3 3 2 3 2" xfId="29405" xr:uid="{2F5BABB9-C502-4373-B0FC-D8F4F5E6F267}"/>
    <cellStyle name="Total 2 3 3 3 2 3 3" xfId="36250" xr:uid="{7F18CFDD-B363-4E59-AF46-7A8A4D6BAA30}"/>
    <cellStyle name="Total 2 3 3 3 2 4" xfId="20929" xr:uid="{204C8362-BCD1-43B3-81AA-BB972AE0F458}"/>
    <cellStyle name="Total 2 3 3 3 2 5" xfId="18952" xr:uid="{E76FEE18-3398-41E6-9634-03A99E5334CF}"/>
    <cellStyle name="Total 2 3 3 3 2 6" xfId="18874" xr:uid="{6CD14D2E-F461-4F46-86A8-7E5EC32F524A}"/>
    <cellStyle name="Total 2 3 3 3 2 7" xfId="20527" xr:uid="{0331F32C-AFCE-4225-9D5F-390F102CC16B}"/>
    <cellStyle name="Total 2 3 3 3 2 8" xfId="21093" xr:uid="{03339304-2FBE-4232-91C1-3A7632FE7194}"/>
    <cellStyle name="Total 2 3 3 3 2 9" xfId="21631" xr:uid="{51F2BD07-A55B-4C87-8676-0DF949C203F0}"/>
    <cellStyle name="Total 2 3 3 3 3" xfId="24474" xr:uid="{3D6CA687-1F16-44BE-B3ED-3E48C573ECEC}"/>
    <cellStyle name="Total 2 3 3 3 3 2" xfId="27090" xr:uid="{6ED0B49A-6F3F-4928-A8B0-7C5C2577D237}"/>
    <cellStyle name="Total 2 3 3 3 3 2 2" xfId="33930" xr:uid="{EC174374-ED0B-43EF-8940-A7CA015F2ADE}"/>
    <cellStyle name="Total 2 3 3 3 3 3" xfId="29166" xr:uid="{2581201B-E427-49B9-BC2E-A727194A9F11}"/>
    <cellStyle name="Total 2 3 3 3 3 3 2" xfId="36011" xr:uid="{4E43E61B-C5E5-40D5-917C-43D679CF0F38}"/>
    <cellStyle name="Total 2 3 3 3 3 4" xfId="31248" xr:uid="{61CCC023-56F2-435E-A09E-B07E23DCB799}"/>
    <cellStyle name="Total 2 3 3 3 4" xfId="24339" xr:uid="{361B086A-BD12-44E1-AB15-08CA07459D7C}"/>
    <cellStyle name="Total 2 3 3 3 4 2" xfId="26945" xr:uid="{B3D184ED-63F9-4D4A-8B72-6924BDAA3606}"/>
    <cellStyle name="Total 2 3 3 3 4 2 2" xfId="33785" xr:uid="{B488CAEC-8171-4111-A059-DCFBAFE7134D}"/>
    <cellStyle name="Total 2 3 3 3 4 3" xfId="29021" xr:uid="{3192A82B-0A32-43B3-A533-2C0F08B1C2C8}"/>
    <cellStyle name="Total 2 3 3 3 4 3 2" xfId="35866" xr:uid="{B9E665B4-9CCA-49BF-9955-40575ECCC666}"/>
    <cellStyle name="Total 2 3 3 3 4 4" xfId="31103" xr:uid="{06663271-7582-4D4F-86CD-C16E7FA6B9FB}"/>
    <cellStyle name="Total 2 3 3 3 5" xfId="25098" xr:uid="{1CF2C0F0-7748-4428-A285-FDFA8A51DC69}"/>
    <cellStyle name="Total 2 3 3 3 5 2" xfId="27770" xr:uid="{F567988C-74B6-4F93-936D-E3915FBD16F0}"/>
    <cellStyle name="Total 2 3 3 3 5 2 2" xfId="34615" xr:uid="{6801EB0B-F615-4E58-A86E-6DA7B97DEFF6}"/>
    <cellStyle name="Total 2 3 3 3 5 3" xfId="29851" xr:uid="{AED0AE6A-A174-4C37-AE25-90984136650B}"/>
    <cellStyle name="Total 2 3 3 3 5 3 2" xfId="36696" xr:uid="{17D81F81-4634-4827-82BE-990C025DAAC6}"/>
    <cellStyle name="Total 2 3 3 3 5 4" xfId="31933" xr:uid="{1347DF7B-3888-4711-9C2C-51AABBA32A5B}"/>
    <cellStyle name="Total 2 3 3 3 6" xfId="24582" xr:uid="{2C5A629A-8E4D-41EC-A838-711108648E6A}"/>
    <cellStyle name="Total 2 3 3 3 6 2" xfId="27173" xr:uid="{9679B7FA-E72C-4B46-B957-529908AD9577}"/>
    <cellStyle name="Total 2 3 3 3 6 2 2" xfId="34014" xr:uid="{0D56F4C8-C0D0-4D47-A08F-E8FE6105082C}"/>
    <cellStyle name="Total 2 3 3 3 6 3" xfId="29250" xr:uid="{9D004BE7-1265-4DE6-80D8-63157AD9E602}"/>
    <cellStyle name="Total 2 3 3 3 6 3 2" xfId="36095" xr:uid="{E5B14AFD-F70E-49E8-9F54-2B68D5F20F50}"/>
    <cellStyle name="Total 2 3 3 3 6 4" xfId="31332" xr:uid="{CF4832EC-6B5A-48ED-955E-F4D47485B61D}"/>
    <cellStyle name="Total 2 3 3 3 7" xfId="24636" xr:uid="{0294F907-B419-45C0-8303-948923F3BA0C}"/>
    <cellStyle name="Total 2 3 3 3 7 2" xfId="27247" xr:uid="{A60111BE-9E9A-42A8-8500-FFDC34E48B64}"/>
    <cellStyle name="Total 2 3 3 3 7 2 2" xfId="34090" xr:uid="{46B55CEC-F121-4C08-B287-A61065172BA9}"/>
    <cellStyle name="Total 2 3 3 3 7 3" xfId="29326" xr:uid="{1AC52AC8-63FD-41EE-8D51-EE9D70E55242}"/>
    <cellStyle name="Total 2 3 3 3 7 3 2" xfId="36171" xr:uid="{06FCDC1C-C478-4CB9-A1FF-0D1330752D0B}"/>
    <cellStyle name="Total 2 3 3 3 7 4" xfId="31408" xr:uid="{69D947CA-84A9-4FBE-9D10-9851ED216CDE}"/>
    <cellStyle name="Total 2 3 3 3 8" xfId="23976" xr:uid="{60A09128-D409-4ED8-971A-A86E0706303F}"/>
    <cellStyle name="Total 2 3 3 3 8 2" xfId="26593" xr:uid="{C575761A-5EBD-4F1A-AE29-86EECA477D65}"/>
    <cellStyle name="Total 2 3 3 3 8 2 2" xfId="33433" xr:uid="{A8B45314-B015-4F0B-BD38-0C8F0DD31C9F}"/>
    <cellStyle name="Total 2 3 3 3 8 3" xfId="26100" xr:uid="{24EC0AD9-DF98-43DC-916A-441C6954F0D5}"/>
    <cellStyle name="Total 2 3 3 3 8 3 2" xfId="32928" xr:uid="{00944AAC-FF3D-4299-956E-29F982B74797}"/>
    <cellStyle name="Total 2 3 3 3 8 4" xfId="23222" xr:uid="{FAF89D7B-DE82-49C8-9F55-294C7C054971}"/>
    <cellStyle name="Total 2 3 3 3 9" xfId="25580" xr:uid="{ED5AEBF0-634D-4C51-A370-4534F7B0F0A3}"/>
    <cellStyle name="Total 2 3 3 3 9 2" xfId="28247" xr:uid="{A57DF3FF-517E-4566-BC04-E6F3B7B29506}"/>
    <cellStyle name="Total 2 3 3 3 9 2 2" xfId="35092" xr:uid="{3C5BAB5D-6226-40F6-9B01-72316A875DB6}"/>
    <cellStyle name="Total 2 3 3 3 9 3" xfId="30328" xr:uid="{BAF26F47-D7E1-4B60-A93B-7417AB497731}"/>
    <cellStyle name="Total 2 3 3 3 9 3 2" xfId="37173" xr:uid="{DA6F253F-DC09-4D3B-BB58-410A486BAA9A}"/>
    <cellStyle name="Total 2 3 3 3 9 4" xfId="32410" xr:uid="{1177CC89-9D1E-469A-9F9C-1026601C3E22}"/>
    <cellStyle name="Total 2 3 3 4" xfId="18295" xr:uid="{6FD196B9-8D39-4ABC-B071-99400F3E0051}"/>
    <cellStyle name="Total 2 3 3 4 10" xfId="22449" xr:uid="{B01848CF-4548-45C3-9F68-1FB00AB37AAA}"/>
    <cellStyle name="Total 2 3 3 4 11" xfId="21221" xr:uid="{48FEABB9-5860-4F55-87DD-D1E5EFB8AFEC}"/>
    <cellStyle name="Total 2 3 3 4 12" xfId="20219" xr:uid="{9B07FA28-5EF7-4FDD-BD65-A0774C19C23E}"/>
    <cellStyle name="Total 2 3 3 4 13" xfId="19085" xr:uid="{375653A4-C741-41B5-97AC-832DB9B42801}"/>
    <cellStyle name="Total 2 3 3 4 14" xfId="22372" xr:uid="{E6C4352E-D2E1-488A-A98A-BB891E32D495}"/>
    <cellStyle name="Total 2 3 3 4 15" xfId="22678" xr:uid="{C07ADD14-647B-465B-8B7D-7371F0F8B416}"/>
    <cellStyle name="Total 2 3 3 4 16" xfId="31361" xr:uid="{4007D699-D58B-4CD9-A29B-B6A865E0114E}"/>
    <cellStyle name="Total 2 3 3 4 2" xfId="19732" xr:uid="{4B7E5549-93FC-412D-BA42-19079A7E4498}"/>
    <cellStyle name="Total 2 3 3 4 2 2" xfId="27202" xr:uid="{3E8770D2-C2D4-4072-9172-E521C25807AE}"/>
    <cellStyle name="Total 2 3 3 4 2 3" xfId="34043" xr:uid="{D3E92E51-098D-4AEC-96AB-FB4F934F966D}"/>
    <cellStyle name="Total 2 3 3 4 3" xfId="20915" xr:uid="{B2380FD9-B6E1-4F99-BF61-7703FB8B2031}"/>
    <cellStyle name="Total 2 3 3 4 3 2" xfId="29279" xr:uid="{9001690B-F76F-438A-8E45-9B6F7591C69D}"/>
    <cellStyle name="Total 2 3 3 4 3 3" xfId="36124" xr:uid="{CFB923F3-C4D3-4315-91A2-4A4789FF5E9D}"/>
    <cellStyle name="Total 2 3 3 4 4" xfId="20140" xr:uid="{139F9074-4A4D-4639-B3A3-218A16420DE2}"/>
    <cellStyle name="Total 2 3 3 4 5" xfId="21519" xr:uid="{0BD90F25-7812-43A7-BDAF-8E6209246A22}"/>
    <cellStyle name="Total 2 3 3 4 6" xfId="20313" xr:uid="{5EF2A317-42D2-4909-9E0F-15DE0E928FC7}"/>
    <cellStyle name="Total 2 3 3 4 7" xfId="19186" xr:uid="{A2600C5B-B722-4DE4-9E37-EB17ACD227A3}"/>
    <cellStyle name="Total 2 3 3 4 8" xfId="21548" xr:uid="{CDAA6953-5A13-473D-B21F-6CE424AEAF32}"/>
    <cellStyle name="Total 2 3 3 4 9" xfId="22246" xr:uid="{C00E7869-BBEC-43FB-89FD-C601690471E6}"/>
    <cellStyle name="Total 2 3 3 5" xfId="17543" xr:uid="{4ECCB1A3-1DDD-4013-ACB8-23CEA179AFEA}"/>
    <cellStyle name="Total 2 3 3 5 2" xfId="27594" xr:uid="{705709F9-62A7-43F9-8F71-7A9DFF02029D}"/>
    <cellStyle name="Total 2 3 3 5 2 2" xfId="34438" xr:uid="{82CCB24E-4227-41F6-AABE-B7FCB99BEC25}"/>
    <cellStyle name="Total 2 3 3 5 3" xfId="29674" xr:uid="{387BB2B5-5100-43A5-9B8B-0BE9D6B1AD64}"/>
    <cellStyle name="Total 2 3 3 5 3 2" xfId="36519" xr:uid="{77D6F10F-6587-4EE8-800A-C9C4505E260D}"/>
    <cellStyle name="Total 2 3 3 5 4" xfId="24925" xr:uid="{92B6995C-F288-4F85-8B86-AECF1990ED77}"/>
    <cellStyle name="Total 2 3 3 5 5" xfId="31756" xr:uid="{F6928C66-BB47-4A51-AE9C-15FA7E66DC9D}"/>
    <cellStyle name="Total 2 3 3 6" xfId="24758" xr:uid="{CAF63339-1478-4062-879D-26698F5E31BA}"/>
    <cellStyle name="Total 2 3 3 6 2" xfId="27411" xr:uid="{C1B4A1B2-5AFF-4A2D-B4B8-A34F34A58F38}"/>
    <cellStyle name="Total 2 3 3 6 2 2" xfId="34255" xr:uid="{962BD199-F380-4609-A8DF-AEABE763FDB5}"/>
    <cellStyle name="Total 2 3 3 6 3" xfId="29491" xr:uid="{C7EF652A-7F71-40BA-802D-1A323F662B77}"/>
    <cellStyle name="Total 2 3 3 6 3 2" xfId="36336" xr:uid="{1A44A2EA-AB2A-40C6-9CA7-637D53AC6665}"/>
    <cellStyle name="Total 2 3 3 6 4" xfId="31573" xr:uid="{B58F75B1-CB6E-407F-ABC2-E629A5685F16}"/>
    <cellStyle name="Total 2 3 3 7" xfId="24876" xr:uid="{9A8205B5-65D7-4A6A-B2D3-BD62217A8F6D}"/>
    <cellStyle name="Total 2 3 3 7 2" xfId="27543" xr:uid="{57622317-DC69-44B9-A9D5-DA67B6DF927A}"/>
    <cellStyle name="Total 2 3 3 7 2 2" xfId="34387" xr:uid="{85C1094F-7E01-4642-8C4E-F2673013910B}"/>
    <cellStyle name="Total 2 3 3 7 3" xfId="29623" xr:uid="{13A012BE-8FDA-4C1F-A188-375B7F43FE15}"/>
    <cellStyle name="Total 2 3 3 7 3 2" xfId="36468" xr:uid="{A3F53F09-D487-465D-9E17-4B9E9A1ACE1D}"/>
    <cellStyle name="Total 2 3 3 7 4" xfId="31705" xr:uid="{2BA0A8CA-12FF-4F92-8370-F48CA15C51F6}"/>
    <cellStyle name="Total 2 3 3 8" xfId="23880" xr:uid="{A8BB7541-C92D-403B-AE3B-FD6A13EFC72E}"/>
    <cellStyle name="Total 2 3 3 8 2" xfId="26498" xr:uid="{86AA4160-719F-4917-AE84-146F8834B577}"/>
    <cellStyle name="Total 2 3 3 8 2 2" xfId="33338" xr:uid="{7AE41EE1-B42F-48C5-9027-EFA74B53B690}"/>
    <cellStyle name="Total 2 3 3 8 3" xfId="26186" xr:uid="{44CF24B3-092E-42F2-9E9B-9B92C174E93F}"/>
    <cellStyle name="Total 2 3 3 8 3 2" xfId="33014" xr:uid="{46648637-DBFF-47BE-B411-9BFD588D1AC8}"/>
    <cellStyle name="Total 2 3 3 8 4" xfId="23308" xr:uid="{1B86419C-A971-456A-ADB9-289FB2ED4D69}"/>
    <cellStyle name="Total 2 3 3 9" xfId="25296" xr:uid="{EF8C39FB-62E0-46CB-9B32-10A400D2B733}"/>
    <cellStyle name="Total 2 3 3 9 2" xfId="27967" xr:uid="{553CF594-107B-460F-8CB4-445DD0558304}"/>
    <cellStyle name="Total 2 3 3 9 2 2" xfId="34812" xr:uid="{F7171965-E3A3-4467-BAB0-4AFCB7661847}"/>
    <cellStyle name="Total 2 3 3 9 3" xfId="30048" xr:uid="{720EDD81-AD5F-42E7-BADC-DC06C2668DC1}"/>
    <cellStyle name="Total 2 3 3 9 3 2" xfId="36893" xr:uid="{CD4620D5-0B8E-4955-9E86-0FFA21175EFF}"/>
    <cellStyle name="Total 2 3 3 9 4" xfId="32130" xr:uid="{5D6415B4-8DF6-4281-B140-FA9B7235F676}"/>
    <cellStyle name="Total 2 3 4" xfId="5477" xr:uid="{00000000-0005-0000-0000-00008F150000}"/>
    <cellStyle name="Total 2 3 4 10" xfId="25542" xr:uid="{24BEB765-282A-4780-9A81-661CC52F95AF}"/>
    <cellStyle name="Total 2 3 4 10 2" xfId="28209" xr:uid="{FB823D8E-966A-4F7D-BB5D-9962132F304B}"/>
    <cellStyle name="Total 2 3 4 10 2 2" xfId="35054" xr:uid="{17719425-D5D4-4762-AC4A-9F0FDC013D24}"/>
    <cellStyle name="Total 2 3 4 10 3" xfId="30290" xr:uid="{832D0110-020E-4CA2-839B-FC3D828AD5E4}"/>
    <cellStyle name="Total 2 3 4 10 3 2" xfId="37135" xr:uid="{8C449A00-436B-49C7-ABF5-E1E4C6479E5D}"/>
    <cellStyle name="Total 2 3 4 10 4" xfId="32372" xr:uid="{4F26C502-91D7-4BF4-BC29-3563E2A59EEE}"/>
    <cellStyle name="Total 2 3 4 11" xfId="25554" xr:uid="{1EBBD365-4129-4863-B78C-7584F4F582E0}"/>
    <cellStyle name="Total 2 3 4 11 2" xfId="28221" xr:uid="{5C394323-5D43-478C-9B27-EFA04BE56290}"/>
    <cellStyle name="Total 2 3 4 11 2 2" xfId="35066" xr:uid="{5427B6D5-AFF9-4CE1-B2B7-DCF1A924A534}"/>
    <cellStyle name="Total 2 3 4 11 3" xfId="30302" xr:uid="{1720B44B-BAE8-45B3-9CDD-3358A39CFE90}"/>
    <cellStyle name="Total 2 3 4 11 3 2" xfId="37147" xr:uid="{00F46AF4-085B-4F8F-81FD-74D934E3F446}"/>
    <cellStyle name="Total 2 3 4 11 4" xfId="32384" xr:uid="{A2759754-598B-4744-9900-3B3F687D0E98}"/>
    <cellStyle name="Total 2 3 4 12" xfId="25393" xr:uid="{EDCE82BF-EE23-4EEC-87C6-8EC1FE6E0BB2}"/>
    <cellStyle name="Total 2 3 4 12 2" xfId="28060" xr:uid="{885E479A-AEC7-4105-A38F-2A54969B837C}"/>
    <cellStyle name="Total 2 3 4 12 2 2" xfId="34905" xr:uid="{0934CE4D-67CF-415E-A6FC-3652033A85C3}"/>
    <cellStyle name="Total 2 3 4 12 3" xfId="30141" xr:uid="{7E83CA24-5AC9-47C7-B24A-4A49F08C25E4}"/>
    <cellStyle name="Total 2 3 4 12 3 2" xfId="36986" xr:uid="{7B24A0C2-D3C5-437E-9D04-D438217ED289}"/>
    <cellStyle name="Total 2 3 4 12 4" xfId="32223" xr:uid="{5AF1B594-E8DD-4FA4-BBC5-9FFA6909E77C}"/>
    <cellStyle name="Total 2 3 4 13" xfId="24381" xr:uid="{2546AFFD-98D5-4BBB-9E25-B71A49A528B7}"/>
    <cellStyle name="Total 2 3 4 13 2" xfId="26996" xr:uid="{4EDE5BCF-89B8-4C43-ACA0-14E0D74ABBB3}"/>
    <cellStyle name="Total 2 3 4 13 2 2" xfId="33836" xr:uid="{74CE9B58-4503-4D3C-8A2C-BCE0BE1FC914}"/>
    <cellStyle name="Total 2 3 4 13 3" xfId="29072" xr:uid="{DB0ED236-5A15-43AB-AB01-A54B1B2A1960}"/>
    <cellStyle name="Total 2 3 4 13 3 2" xfId="35917" xr:uid="{2F1A51F5-881D-4F4C-9464-E27F1C7A8258}"/>
    <cellStyle name="Total 2 3 4 13 4" xfId="31154" xr:uid="{9E80C00B-693B-4F5D-B0A3-CC269C50D050}"/>
    <cellStyle name="Total 2 3 4 14" xfId="24090" xr:uid="{6904B759-AA76-4F2F-BE3E-DE4C75A4C1C3}"/>
    <cellStyle name="Total 2 3 4 14 2" xfId="26703" xr:uid="{286D4320-0EFE-4764-978C-120C0D47F4F6}"/>
    <cellStyle name="Total 2 3 4 14 2 2" xfId="33543" xr:uid="{1EC3A832-C076-468C-853C-F9D0C624C284}"/>
    <cellStyle name="Total 2 3 4 14 3" xfId="28779" xr:uid="{E1EF6015-F96E-42BD-91D8-892C5E431D90}"/>
    <cellStyle name="Total 2 3 4 14 3 2" xfId="35624" xr:uid="{295AD5D8-B45A-42E4-8FD4-E64CD5CAF007}"/>
    <cellStyle name="Total 2 3 4 14 4" xfId="30861" xr:uid="{378590A2-C546-4ED0-ABAF-0C5757B0C929}"/>
    <cellStyle name="Total 2 3 4 15" xfId="24023" xr:uid="{3DC21A20-B4A8-4A8B-90E9-55FCCD80D9AB}"/>
    <cellStyle name="Total 2 3 4 15 2" xfId="26638" xr:uid="{59714A26-2B5A-4608-8038-40D0BAEC4B5E}"/>
    <cellStyle name="Total 2 3 4 15 2 2" xfId="33478" xr:uid="{12AD1F77-DBA0-4A7F-AD99-9777AF8ED78E}"/>
    <cellStyle name="Total 2 3 4 15 3" xfId="28714" xr:uid="{A3803167-ED01-4F59-8060-AE4F2BE1C7FC}"/>
    <cellStyle name="Total 2 3 4 15 3 2" xfId="35559" xr:uid="{7CB5A9EC-797A-453C-90B1-EED96A043C43}"/>
    <cellStyle name="Total 2 3 4 15 4" xfId="30796" xr:uid="{10C5D596-08D7-4924-A7B5-107749471189}"/>
    <cellStyle name="Total 2 3 4 16" xfId="23595" xr:uid="{C4EBE6B2-3EFD-4D7A-8B3C-5B2EFA49B175}"/>
    <cellStyle name="Total 2 3 4 17" xfId="16554" xr:uid="{50BE8FE6-B918-4562-9D1F-2F16329A7FAB}"/>
    <cellStyle name="Total 2 3 4 18" xfId="39504" xr:uid="{89645721-6877-4395-94FC-139BB8040420}"/>
    <cellStyle name="Total 2 3 4 2" xfId="10991" xr:uid="{00000000-0005-0000-0000-0000D5220000}"/>
    <cellStyle name="Total 2 3 4 2 10" xfId="20641" xr:uid="{764E9C20-DB32-402F-857E-8E98B3232224}"/>
    <cellStyle name="Total 2 3 4 2 11" xfId="21755" xr:uid="{58290DDC-A093-4D0B-83DD-00A66804E73D}"/>
    <cellStyle name="Total 2 3 4 2 12" xfId="22832" xr:uid="{8D65E47E-3927-45E8-996A-EF63677BC397}"/>
    <cellStyle name="Total 2 3 4 2 13" xfId="21541" xr:uid="{A7F17684-68F5-441A-BE03-83E76ED64E06}"/>
    <cellStyle name="Total 2 3 4 2 14" xfId="22966" xr:uid="{181EFFAC-20FE-49BA-987F-2D80040CB6B6}"/>
    <cellStyle name="Total 2 3 4 2 15" xfId="22272" xr:uid="{C2259345-796C-44D7-BDCB-FAF87876C85C}"/>
    <cellStyle name="Total 2 3 4 2 16" xfId="31411" xr:uid="{C82DE7E3-A6B7-42C5-BC26-8C0D03217E60}"/>
    <cellStyle name="Total 2 3 4 2 17" xfId="18794" xr:uid="{FB7C4211-A828-44AE-833E-24E479D4506A}"/>
    <cellStyle name="Total 2 3 4 2 18" xfId="43480" xr:uid="{192F7C1D-6494-484C-9329-76AB65F8EAFD}"/>
    <cellStyle name="Total 2 3 4 2 2" xfId="19756" xr:uid="{5FAD9FF7-932A-4C17-8AEA-988562605CDF}"/>
    <cellStyle name="Total 2 3 4 2 2 2" xfId="27249" xr:uid="{FA83F4CE-659C-40FD-8A2C-3429AE7AAD39}"/>
    <cellStyle name="Total 2 3 4 2 2 3" xfId="34093" xr:uid="{4D86556A-0078-4660-B1C4-3FADF7C826B9}"/>
    <cellStyle name="Total 2 3 4 2 3" xfId="19420" xr:uid="{B7C092AE-C2B8-44CF-8D5C-369A20C63155}"/>
    <cellStyle name="Total 2 3 4 2 3 2" xfId="29329" xr:uid="{3BFBF401-9C81-4339-A670-1BDC2301B38D}"/>
    <cellStyle name="Total 2 3 4 2 3 3" xfId="36174" xr:uid="{30B89E56-EBE6-442E-99A8-6841B636352A}"/>
    <cellStyle name="Total 2 3 4 2 4" xfId="19181" xr:uid="{DDDBD4C5-5B84-440B-BF1F-3125E3564AC2}"/>
    <cellStyle name="Total 2 3 4 2 5" xfId="19296" xr:uid="{47BAA61D-DC60-4301-8886-3F7D5F257151}"/>
    <cellStyle name="Total 2 3 4 2 6" xfId="21271" xr:uid="{B70FDCDB-626E-4E1C-99AC-5F84B3C32E07}"/>
    <cellStyle name="Total 2 3 4 2 7" xfId="21714" xr:uid="{58B09612-A7DB-491E-BB7B-5752207F2F83}"/>
    <cellStyle name="Total 2 3 4 2 8" xfId="19283" xr:uid="{8D8C5846-8804-45AD-9AFE-079FD637DECA}"/>
    <cellStyle name="Total 2 3 4 2 9" xfId="22587" xr:uid="{0790E732-7226-43B2-83AA-1BF0B0038450}"/>
    <cellStyle name="Total 2 3 4 3" xfId="17630" xr:uid="{7DCBECC8-5595-406B-B7EC-CA22EC982653}"/>
    <cellStyle name="Total 2 3 4 3 2" xfId="27049" xr:uid="{A6F422A2-9E69-4901-8CCA-3647F2B5674D}"/>
    <cellStyle name="Total 2 3 4 3 2 2" xfId="33889" xr:uid="{9E2CDCEB-D475-48E0-A7B5-33E1EB17D7A0}"/>
    <cellStyle name="Total 2 3 4 3 3" xfId="29125" xr:uid="{34504972-F56F-45B8-BEED-B7AF63FD4C6A}"/>
    <cellStyle name="Total 2 3 4 3 3 2" xfId="35970" xr:uid="{094878C3-CD95-4D42-AAFD-564AA1077DCC}"/>
    <cellStyle name="Total 2 3 4 3 4" xfId="24430" xr:uid="{9D3673EE-09AF-4861-921F-DE4ABF0E6F7C}"/>
    <cellStyle name="Total 2 3 4 3 5" xfId="31207" xr:uid="{C5B98051-4E9A-4912-95CE-EE41A86647DA}"/>
    <cellStyle name="Total 2 3 4 4" xfId="24654" xr:uid="{A74A2BF6-ABC6-4688-9D46-21DCA63D2CEA}"/>
    <cellStyle name="Total 2 3 4 4 2" xfId="27261" xr:uid="{584B827F-8BE6-4BB7-BDF2-CEA5D9727DB9}"/>
    <cellStyle name="Total 2 3 4 4 2 2" xfId="34105" xr:uid="{3C225B10-BB75-4DE7-88FF-D2853BA1ABB8}"/>
    <cellStyle name="Total 2 3 4 4 3" xfId="29341" xr:uid="{B2AC5FB4-89E6-42AB-8B2D-DE55F21F9404}"/>
    <cellStyle name="Total 2 3 4 4 3 2" xfId="36186" xr:uid="{3BBDDDFA-8152-4280-974C-9A980B0E12F8}"/>
    <cellStyle name="Total 2 3 4 4 4" xfId="31423" xr:uid="{08911560-F0C9-49CA-BBFD-441ABD556561}"/>
    <cellStyle name="Total 2 3 4 5" xfId="23804" xr:uid="{B9E7D0CD-9F4B-485C-B275-0CBC39445179}"/>
    <cellStyle name="Total 2 3 4 5 2" xfId="26418" xr:uid="{775A97AA-CB90-47BE-A681-9432D166BA0F}"/>
    <cellStyle name="Total 2 3 4 5 2 2" xfId="33258" xr:uid="{968ADACD-C960-4E37-8E1A-99DF20F35C1D}"/>
    <cellStyle name="Total 2 3 4 5 3" xfId="26264" xr:uid="{FB186EAC-1BC8-4FD8-BA58-820461BFDC51}"/>
    <cellStyle name="Total 2 3 4 5 3 2" xfId="33092" xr:uid="{D34CC891-0A95-4D90-884C-46F9A9FA198C}"/>
    <cellStyle name="Total 2 3 4 5 4" xfId="23386" xr:uid="{D5ED7EA7-C39F-45AF-B3F2-6B042EF9999A}"/>
    <cellStyle name="Total 2 3 4 6" xfId="25039" xr:uid="{257A01E5-84BF-40DA-95F3-CB23F7CCDD9E}"/>
    <cellStyle name="Total 2 3 4 6 2" xfId="27712" xr:uid="{2FE8181D-88E3-47A0-B363-6C0AB3DC2F28}"/>
    <cellStyle name="Total 2 3 4 6 2 2" xfId="34557" xr:uid="{95A35934-6B33-47E8-B471-26C210075ECB}"/>
    <cellStyle name="Total 2 3 4 6 3" xfId="29793" xr:uid="{D04378FC-6FEC-4C05-A0D2-609085779AD0}"/>
    <cellStyle name="Total 2 3 4 6 3 2" xfId="36638" xr:uid="{FB7C7480-49D1-4B88-B418-010234101525}"/>
    <cellStyle name="Total 2 3 4 6 4" xfId="31875" xr:uid="{4873B2C8-E53E-4223-ACB4-C2987538FB0F}"/>
    <cellStyle name="Total 2 3 4 7" xfId="25299" xr:uid="{F32C0F10-250F-433E-AD27-2EB224C8228F}"/>
    <cellStyle name="Total 2 3 4 7 2" xfId="27970" xr:uid="{FEB62F46-5C7B-4230-AB90-2EA22A845472}"/>
    <cellStyle name="Total 2 3 4 7 2 2" xfId="34815" xr:uid="{872C12DA-5F04-4ABA-B9D1-88FFDE454252}"/>
    <cellStyle name="Total 2 3 4 7 3" xfId="30051" xr:uid="{04C40DED-57BF-427E-B310-39DB700CEE53}"/>
    <cellStyle name="Total 2 3 4 7 3 2" xfId="36896" xr:uid="{C179A49B-80F2-46FA-846C-36A76A2639FB}"/>
    <cellStyle name="Total 2 3 4 7 4" xfId="32133" xr:uid="{421EC4E1-3C1E-45D1-BCC8-C53B38BEE360}"/>
    <cellStyle name="Total 2 3 4 8" xfId="24816" xr:uid="{29092650-D902-4AA8-BD26-86C718F7052C}"/>
    <cellStyle name="Total 2 3 4 8 2" xfId="27475" xr:uid="{D8967536-384F-4595-A4D7-906438BEDB6D}"/>
    <cellStyle name="Total 2 3 4 8 2 2" xfId="34319" xr:uid="{733E1ACA-0722-4859-9E31-56237394308D}"/>
    <cellStyle name="Total 2 3 4 8 3" xfId="29555" xr:uid="{A76CB2E3-5100-4D68-B87B-51AF9A03C434}"/>
    <cellStyle name="Total 2 3 4 8 3 2" xfId="36400" xr:uid="{4D534385-1F9A-4074-8318-556F93168639}"/>
    <cellStyle name="Total 2 3 4 8 4" xfId="31637" xr:uid="{937684A1-C7B0-45B4-AA7E-FFCF12B3B45B}"/>
    <cellStyle name="Total 2 3 4 9" xfId="25513" xr:uid="{0B592546-F716-4BA2-9145-2750139F2581}"/>
    <cellStyle name="Total 2 3 4 9 2" xfId="28180" xr:uid="{5FC28FDD-E216-4589-BBD1-0914D8EDACE5}"/>
    <cellStyle name="Total 2 3 4 9 2 2" xfId="35025" xr:uid="{1E1EFC84-7CFC-40AC-8362-0B3A65DBDD61}"/>
    <cellStyle name="Total 2 3 4 9 3" xfId="30261" xr:uid="{71697DD5-D303-4CA6-BA9E-885DD2350CE9}"/>
    <cellStyle name="Total 2 3 4 9 3 2" xfId="37106" xr:uid="{0FA7E9AC-6F38-4ECB-8532-B37519CF7CBE}"/>
    <cellStyle name="Total 2 3 4 9 4" xfId="32343" xr:uid="{4AB5DE20-17B2-4055-938E-19F98243C7E2}"/>
    <cellStyle name="Total 2 3 5" xfId="10988" xr:uid="{00000000-0005-0000-0000-0000D2220000}"/>
    <cellStyle name="Total 2 3 5 10" xfId="20190" xr:uid="{3657EB0C-81B0-472F-8A31-B2229B889A49}"/>
    <cellStyle name="Total 2 3 5 11" xfId="20202" xr:uid="{4CAF4A59-6499-4CFE-A5D3-130132EED600}"/>
    <cellStyle name="Total 2 3 5 12" xfId="22644" xr:uid="{EB5563B6-14A8-40F6-89F1-091C2D15A1A6}"/>
    <cellStyle name="Total 2 3 5 13" xfId="18846" xr:uid="{0AF156FF-5DED-4136-867C-267B0B3BE5AB}"/>
    <cellStyle name="Total 2 3 5 14" xfId="21979" xr:uid="{47448D4A-DFAA-4690-966D-06D217CCC86B}"/>
    <cellStyle name="Total 2 3 5 15" xfId="19317" xr:uid="{13B02AE7-1A06-4A3C-B45D-3B7243C103BF}"/>
    <cellStyle name="Total 2 3 5 16" xfId="23163" xr:uid="{6B9CC23A-FAE9-42F6-B22A-9A2C4FA15DDA}"/>
    <cellStyle name="Total 2 3 5 17" xfId="18293" xr:uid="{751D5737-8E09-4318-B4E4-4FDC751EB399}"/>
    <cellStyle name="Total 2 3 5 18" xfId="43477" xr:uid="{8A1D7C90-7D32-41E3-B445-18B385FB8BB3}"/>
    <cellStyle name="Total 2 3 5 2" xfId="21364" xr:uid="{96DA1640-9863-474B-9BA5-E0710BFD3415}"/>
    <cellStyle name="Total 2 3 5 2 2" xfId="26351" xr:uid="{BCE50B03-00E4-41A5-B4A2-EA5A9C2232FA}"/>
    <cellStyle name="Total 2 3 5 2 3" xfId="33191" xr:uid="{B54F67BA-6202-4BB5-9675-AB519B031729}"/>
    <cellStyle name="Total 2 3 5 3" xfId="21800" xr:uid="{960FD054-2277-4E57-B7FC-CD8CAFBE2E98}"/>
    <cellStyle name="Total 2 3 5 3 2" xfId="26061" xr:uid="{7EEED804-AD67-4276-940D-337CDBDBF1FE}"/>
    <cellStyle name="Total 2 3 5 3 3" xfId="32890" xr:uid="{D7841C59-B605-42F3-A7C7-7265C0AFE3B3}"/>
    <cellStyle name="Total 2 3 5 4" xfId="19112" xr:uid="{5BDB573E-1CDF-418A-B537-EC5A74E6D52D}"/>
    <cellStyle name="Total 2 3 5 5" xfId="22153" xr:uid="{209D7A79-1B1B-496B-9C38-74B84E527141}"/>
    <cellStyle name="Total 2 3 5 6" xfId="19022" xr:uid="{62BF9B5A-677C-4801-BEE1-22D7983DD678}"/>
    <cellStyle name="Total 2 3 5 7" xfId="21404" xr:uid="{F6508E2B-BF67-4EBD-8932-2CB323A7DE88}"/>
    <cellStyle name="Total 2 3 5 8" xfId="19557" xr:uid="{3E780D08-0337-4C6B-AE9C-3D85E29FBE28}"/>
    <cellStyle name="Total 2 3 5 9" xfId="20826" xr:uid="{916BA1B0-057C-4E79-AC6E-D66B585DF284}"/>
    <cellStyle name="Total 2 3 6" xfId="9219" xr:uid="{00000000-0005-0000-0000-00008E110000}"/>
    <cellStyle name="Total 2 3 6 10" xfId="49403" xr:uid="{27E662E5-7710-4065-A9F4-8FDDCBFA92B4}"/>
    <cellStyle name="Total 2 3 6 11" xfId="47483" xr:uid="{0EB8F3F5-7371-4B50-B953-37BEF32B4994}"/>
    <cellStyle name="Total 2 3 6 2" xfId="27287" xr:uid="{AB582F4F-D9F0-4875-8266-FCB3DBAC359D}"/>
    <cellStyle name="Total 2 3 6 2 2" xfId="34131" xr:uid="{B639CEA3-0BAD-40C2-937D-B9929C627FAF}"/>
    <cellStyle name="Total 2 3 6 3" xfId="29367" xr:uid="{587CFD89-45EC-47F6-A399-05A89DE5B8B6}"/>
    <cellStyle name="Total 2 3 6 3 2" xfId="36212" xr:uid="{EFCFED04-5F61-426B-B533-8CE9B73D7EC5}"/>
    <cellStyle name="Total 2 3 6 4" xfId="24671" xr:uid="{49A98A49-CCEF-4E6E-8340-E44B0AE15932}"/>
    <cellStyle name="Total 2 3 6 5" xfId="31449" xr:uid="{BF530BD2-C6CF-4887-897D-5FD41DF0C65D}"/>
    <cellStyle name="Total 2 3 6 6" xfId="17407" xr:uid="{B2743BAE-8728-4B58-84E5-1D7273895C55}"/>
    <cellStyle name="Total 2 3 6 7" xfId="41783" xr:uid="{B86E9AB7-FC31-4081-88F8-C5901A728CDF}"/>
    <cellStyle name="Total 2 3 6 8" xfId="46540" xr:uid="{2D961B88-6A6C-46FF-B8B8-833153D7C69C}"/>
    <cellStyle name="Total 2 3 6 9" xfId="46082" xr:uid="{DF1D1248-7BDB-4C3B-9B2C-3F764EDD8849}"/>
    <cellStyle name="Total 2 3 7" xfId="24292" xr:uid="{B1286AA0-5A29-4AEC-8E1C-3AF1274253F5}"/>
    <cellStyle name="Total 2 3 7 2" xfId="26899" xr:uid="{2B4C6176-DC36-4E31-BF85-2ADE8ACE9E5C}"/>
    <cellStyle name="Total 2 3 7 2 2" xfId="33739" xr:uid="{156382A5-006A-4F5A-A13A-F2C1254AEC8B}"/>
    <cellStyle name="Total 2 3 7 3" xfId="28975" xr:uid="{467BEF33-1B79-410A-9456-9019CFF0AC8A}"/>
    <cellStyle name="Total 2 3 7 3 2" xfId="35820" xr:uid="{E7417E8C-E2CB-40FC-B31F-CB428BFEB9EF}"/>
    <cellStyle name="Total 2 3 7 4" xfId="31057" xr:uid="{915B0E62-F050-43E8-A655-002E362E43E6}"/>
    <cellStyle name="Total 2 3 8" xfId="25053" xr:uid="{B1DB7D66-A2DA-4E56-AD14-DDEFE77CD07A}"/>
    <cellStyle name="Total 2 3 8 2" xfId="27725" xr:uid="{58934CF0-2600-4592-83DC-41BDA90E06C5}"/>
    <cellStyle name="Total 2 3 8 2 2" xfId="34570" xr:uid="{0037A95F-18C8-432B-BC7E-8F4610612EF2}"/>
    <cellStyle name="Total 2 3 8 3" xfId="29806" xr:uid="{30132048-E60F-477A-AFB9-73BB4DAD27CB}"/>
    <cellStyle name="Total 2 3 8 3 2" xfId="36651" xr:uid="{4731BE32-9438-44B5-A74E-C0AB3BAE2D3C}"/>
    <cellStyle name="Total 2 3 8 4" xfId="31888" xr:uid="{A15BBE08-44ED-4AB8-9B26-785ABC22FA4A}"/>
    <cellStyle name="Total 2 3 9" xfId="24663" xr:uid="{C8534CF5-E5B1-43F6-8ABC-9D4A53C70F96}"/>
    <cellStyle name="Total 2 3 9 2" xfId="27276" xr:uid="{CDBA76E3-D932-4A8B-A6A0-C499E7440D7E}"/>
    <cellStyle name="Total 2 3 9 2 2" xfId="34120" xr:uid="{C9F8A0D9-7204-4860-8E07-F2C2F0377396}"/>
    <cellStyle name="Total 2 3 9 3" xfId="29356" xr:uid="{9AC2F1D8-6C44-42B3-B010-0AAD8D438306}"/>
    <cellStyle name="Total 2 3 9 3 2" xfId="36201" xr:uid="{C33C9A69-9899-4EAF-AEBF-B3A766E5AB48}"/>
    <cellStyle name="Total 2 3 9 4" xfId="31438" xr:uid="{2324BD1C-9E35-4D09-A8D1-26646AE863A1}"/>
    <cellStyle name="Total 2 4" xfId="5478" xr:uid="{00000000-0005-0000-0000-000090150000}"/>
    <cellStyle name="Total 2 4 10" xfId="25371" xr:uid="{F6E4AFB7-8ADC-4262-9EC3-5D23BB2C2E3F}"/>
    <cellStyle name="Total 2 4 10 2" xfId="28038" xr:uid="{46094D77-F130-4577-81D8-1668BF4BF234}"/>
    <cellStyle name="Total 2 4 10 2 2" xfId="34883" xr:uid="{511B6B7B-B934-47B5-8E77-71148BCE9139}"/>
    <cellStyle name="Total 2 4 10 3" xfId="30119" xr:uid="{F533F96B-CA51-4FFD-8409-8A5F7B31EC90}"/>
    <cellStyle name="Total 2 4 10 3 2" xfId="36964" xr:uid="{6A2BA3F8-0031-49D7-B5D8-F33550862583}"/>
    <cellStyle name="Total 2 4 10 4" xfId="32201" xr:uid="{A7E23825-2DCE-4D61-8E10-621C84D9FC20}"/>
    <cellStyle name="Total 2 4 11" xfId="24184" xr:uid="{371995B8-3097-4E21-8861-51569E5EEC85}"/>
    <cellStyle name="Total 2 4 11 2" xfId="26794" xr:uid="{CFA50998-1135-4BB0-AB8C-99ADF255C8D2}"/>
    <cellStyle name="Total 2 4 11 2 2" xfId="33634" xr:uid="{57F181E1-75AD-4488-9DEB-4B4F105AE05D}"/>
    <cellStyle name="Total 2 4 11 3" xfId="28870" xr:uid="{09D5FD14-7480-42DA-AAD7-10F1B4183FC5}"/>
    <cellStyle name="Total 2 4 11 3 2" xfId="35715" xr:uid="{8951955A-B6BD-443D-8F7F-2D1020D72558}"/>
    <cellStyle name="Total 2 4 11 4" xfId="30952" xr:uid="{35168A2A-B94D-4AA6-AB35-79CBE5022CA8}"/>
    <cellStyle name="Total 2 4 12" xfId="25470" xr:uid="{7B4D9F2C-6F3A-4107-90D1-C859F554DD4A}"/>
    <cellStyle name="Total 2 4 12 2" xfId="28137" xr:uid="{0E246A0D-156B-4AA3-A066-19DFD661979C}"/>
    <cellStyle name="Total 2 4 12 2 2" xfId="34982" xr:uid="{56EB16D7-2188-42FF-A712-390777C544EE}"/>
    <cellStyle name="Total 2 4 12 3" xfId="30218" xr:uid="{53EFEEF0-6870-40EE-9DEA-B0DEF7835475}"/>
    <cellStyle name="Total 2 4 12 3 2" xfId="37063" xr:uid="{E148FAC9-582F-40CF-BE64-D5E817D110AB}"/>
    <cellStyle name="Total 2 4 12 4" xfId="32300" xr:uid="{B8BDC650-A103-4DF1-AA27-257D5F50E5A7}"/>
    <cellStyle name="Total 2 4 13" xfId="25366" xr:uid="{6E56D01D-67AA-4936-8C84-D453E454ACD7}"/>
    <cellStyle name="Total 2 4 13 2" xfId="28033" xr:uid="{70B11F1F-875A-444D-8077-0B78D80AC5FB}"/>
    <cellStyle name="Total 2 4 13 2 2" xfId="34878" xr:uid="{9AD99653-BB63-4346-83B4-B3F43A079AC3}"/>
    <cellStyle name="Total 2 4 13 3" xfId="30114" xr:uid="{42A95D67-69FE-427B-AB37-86F55A9B8EA9}"/>
    <cellStyle name="Total 2 4 13 3 2" xfId="36959" xr:uid="{D68E40CE-145D-4D5C-8CEB-DDB5CC63D835}"/>
    <cellStyle name="Total 2 4 13 4" xfId="32196" xr:uid="{BAA5E18F-2617-4520-BD2B-19BBF847663E}"/>
    <cellStyle name="Total 2 4 14" xfId="25309" xr:uid="{DA6CB636-8B66-427C-B9FA-B14BCE7C00EF}"/>
    <cellStyle name="Total 2 4 14 2" xfId="27979" xr:uid="{65FAB127-1957-453F-8955-2B1C9A83D41C}"/>
    <cellStyle name="Total 2 4 14 2 2" xfId="34824" xr:uid="{3FC2ED5F-1A06-42FC-9067-034ADC3D8620}"/>
    <cellStyle name="Total 2 4 14 3" xfId="30060" xr:uid="{2C3E9B73-68CE-435C-B515-2FF9D4B3DA4C}"/>
    <cellStyle name="Total 2 4 14 3 2" xfId="36905" xr:uid="{151C10CB-F190-4722-BE22-CCF99117F5CC}"/>
    <cellStyle name="Total 2 4 14 4" xfId="32142" xr:uid="{ABB31D8C-BD48-4C47-9BD8-83C70756FCF9}"/>
    <cellStyle name="Total 2 4 15" xfId="25881" xr:uid="{F1DF3F9F-AC96-4910-8068-BFA5F1D24804}"/>
    <cellStyle name="Total 2 4 15 2" xfId="28547" xr:uid="{70D75E23-9791-4615-B0FF-F4B5B2D5217E}"/>
    <cellStyle name="Total 2 4 15 2 2" xfId="35392" xr:uid="{88077858-053A-4DFC-8700-5126418BA358}"/>
    <cellStyle name="Total 2 4 15 3" xfId="30628" xr:uid="{4F0F22BE-4365-4761-9A20-25FF03663F82}"/>
    <cellStyle name="Total 2 4 15 3 2" xfId="37473" xr:uid="{F059A58D-79EA-4C11-8829-86FA14728C5C}"/>
    <cellStyle name="Total 2 4 15 4" xfId="32710" xr:uid="{BDB73550-2FA8-4BAF-A3A9-7A7CE427B65A}"/>
    <cellStyle name="Total 2 4 16" xfId="24091" xr:uid="{99DC57A0-30DE-49AC-85AA-25760F2B1329}"/>
    <cellStyle name="Total 2 4 16 2" xfId="26704" xr:uid="{100FF3D8-F06B-437D-BB27-F4A067C35A60}"/>
    <cellStyle name="Total 2 4 16 2 2" xfId="33544" xr:uid="{298F820A-94BA-44F6-A196-D6E3C1295EBB}"/>
    <cellStyle name="Total 2 4 16 3" xfId="28780" xr:uid="{118B22DD-441E-45F4-AACB-615A261C0817}"/>
    <cellStyle name="Total 2 4 16 3 2" xfId="35625" xr:uid="{7F79C253-CD9A-41AC-AB5D-1AA01FFFE82D}"/>
    <cellStyle name="Total 2 4 16 4" xfId="30862" xr:uid="{3710C99A-8638-452A-85D8-00CE9DFA8F58}"/>
    <cellStyle name="Total 2 4 17" xfId="25194" xr:uid="{437943C0-2565-4D19-81BC-C58E2D32E5A5}"/>
    <cellStyle name="Total 2 4 17 2" xfId="27866" xr:uid="{B413BD39-E89C-41FD-B818-5618ACE05D6C}"/>
    <cellStyle name="Total 2 4 17 2 2" xfId="34711" xr:uid="{A5FEACC6-C888-48A8-9654-31A5B71BBD3D}"/>
    <cellStyle name="Total 2 4 17 3" xfId="29947" xr:uid="{8DE2A4CE-DDBA-4EAD-A412-188300E9B1CD}"/>
    <cellStyle name="Total 2 4 17 3 2" xfId="36792" xr:uid="{47684DA5-1F8D-4F28-8C57-8CCB9CD58A39}"/>
    <cellStyle name="Total 2 4 17 4" xfId="32029" xr:uid="{4FB07768-F5DE-4FC3-8C56-95397B04DCB3}"/>
    <cellStyle name="Total 2 4 18" xfId="23684" xr:uid="{AC8C3794-94C1-4154-8A82-7F25DDE78622}"/>
    <cellStyle name="Total 2 4 19" xfId="16557" xr:uid="{AB28D7AB-9151-4608-89A1-D0F671B4377F}"/>
    <cellStyle name="Total 2 4 2" xfId="5479" xr:uid="{00000000-0005-0000-0000-000091150000}"/>
    <cellStyle name="Total 2 4 2 10" xfId="25174" xr:uid="{996536A7-5925-44AB-AF8C-E36FB4431A1B}"/>
    <cellStyle name="Total 2 4 2 10 2" xfId="27846" xr:uid="{D8615964-4962-4169-B8C8-818439ECB862}"/>
    <cellStyle name="Total 2 4 2 10 2 2" xfId="34691" xr:uid="{C358B4E5-A290-4607-86B6-F88C2E335A19}"/>
    <cellStyle name="Total 2 4 2 10 3" xfId="29927" xr:uid="{31C881B5-4DFD-4F33-A1DC-32C7F803244B}"/>
    <cellStyle name="Total 2 4 2 10 3 2" xfId="36772" xr:uid="{E8C7EAD4-14CC-40DE-A76C-B0BAD094D8D0}"/>
    <cellStyle name="Total 2 4 2 10 4" xfId="32009" xr:uid="{5EE73A4B-BB8E-4C91-8544-9C9913886D3A}"/>
    <cellStyle name="Total 2 4 2 11" xfId="24328" xr:uid="{A5A7C36E-EC35-431C-8F9B-58F8EF36EA56}"/>
    <cellStyle name="Total 2 4 2 11 2" xfId="26934" xr:uid="{494A2C28-CB7C-42C0-A2A2-C0307D406DD8}"/>
    <cellStyle name="Total 2 4 2 11 2 2" xfId="33774" xr:uid="{DB098125-46E5-4526-9BC6-5A1A9BD4F69F}"/>
    <cellStyle name="Total 2 4 2 11 3" xfId="29010" xr:uid="{DB12D304-9BE2-4245-8EE6-98EB3CA0CAB7}"/>
    <cellStyle name="Total 2 4 2 11 3 2" xfId="35855" xr:uid="{12B8DB34-37F4-4629-8FDC-53DC7B61B765}"/>
    <cellStyle name="Total 2 4 2 11 4" xfId="31092" xr:uid="{ADE979E8-E41C-4FDE-AFD6-095CBF3F6F3E}"/>
    <cellStyle name="Total 2 4 2 12" xfId="25792" xr:uid="{3795D6C2-6ECA-4807-A351-3122B6944E17}"/>
    <cellStyle name="Total 2 4 2 12 2" xfId="28458" xr:uid="{6802E35D-95C1-418F-90B2-78D3956E8C32}"/>
    <cellStyle name="Total 2 4 2 12 2 2" xfId="35303" xr:uid="{26A1F1B9-F039-4CF6-A16B-1E0BE79567D4}"/>
    <cellStyle name="Total 2 4 2 12 3" xfId="30539" xr:uid="{82210996-51D4-4FB0-9689-01035BC61F1F}"/>
    <cellStyle name="Total 2 4 2 12 3 2" xfId="37384" xr:uid="{BC22167F-B7B0-4669-BD28-57F75BC8BC4C}"/>
    <cellStyle name="Total 2 4 2 12 4" xfId="32621" xr:uid="{DE0D771D-E92E-47A7-BE84-CBB42C3B7DA4}"/>
    <cellStyle name="Total 2 4 2 13" xfId="24122" xr:uid="{9002A5A9-4054-4F42-BC5B-45D3547A03E8}"/>
    <cellStyle name="Total 2 4 2 13 2" xfId="26734" xr:uid="{678736E8-F9CD-4F85-8B17-639B9056F9D5}"/>
    <cellStyle name="Total 2 4 2 13 2 2" xfId="33574" xr:uid="{D162B157-C551-4EEF-B000-B3F85F9FEB47}"/>
    <cellStyle name="Total 2 4 2 13 3" xfId="28810" xr:uid="{5FD7684A-BBC8-4074-94E3-3500C64EFE6B}"/>
    <cellStyle name="Total 2 4 2 13 3 2" xfId="35655" xr:uid="{DD0F44DC-FD9D-45D1-945D-CF74A2145302}"/>
    <cellStyle name="Total 2 4 2 13 4" xfId="30892" xr:uid="{920C9891-2C3F-4300-B1B4-9CA245D1AB1F}"/>
    <cellStyle name="Total 2 4 2 14" xfId="24072" xr:uid="{ADA16BF3-A451-4C17-936F-AC829841F2D8}"/>
    <cellStyle name="Total 2 4 2 14 2" xfId="26685" xr:uid="{463B1883-1D43-4352-8333-6C981C509E8A}"/>
    <cellStyle name="Total 2 4 2 14 2 2" xfId="33525" xr:uid="{2861E97E-3028-4ED7-9EC8-5AA6D7C9BC57}"/>
    <cellStyle name="Total 2 4 2 14 3" xfId="28761" xr:uid="{99A687FC-0013-4252-B7C2-D5BD976A0A1E}"/>
    <cellStyle name="Total 2 4 2 14 3 2" xfId="35606" xr:uid="{4D30B751-2956-4A8A-872C-6635D0445F59}"/>
    <cellStyle name="Total 2 4 2 14 4" xfId="30843" xr:uid="{1A8C7182-17D8-4394-A1D6-19FBEBEAB95B}"/>
    <cellStyle name="Total 2 4 2 15" xfId="23772" xr:uid="{7736E117-1393-4526-A7E7-90D80E7A2347}"/>
    <cellStyle name="Total 2 4 2 15 2" xfId="26383" xr:uid="{2F1DE763-6E47-45D9-B774-C0FD0358981B}"/>
    <cellStyle name="Total 2 4 2 15 2 2" xfId="33222" xr:uid="{A63991B9-C113-4004-A623-4DC5E41AA031}"/>
    <cellStyle name="Total 2 4 2 15 3" xfId="26299" xr:uid="{B5CF6A25-587E-4237-B42A-23F4E76A9A78}"/>
    <cellStyle name="Total 2 4 2 15 3 2" xfId="33127" xr:uid="{B5090657-C248-4A7C-850F-77938EE8FDF0}"/>
    <cellStyle name="Total 2 4 2 15 4" xfId="23421" xr:uid="{C7CAADCD-94D0-438C-AAE3-691187FFF3F2}"/>
    <cellStyle name="Total 2 4 2 16" xfId="23057" xr:uid="{9402BBD2-F365-4324-9666-11E580F6F085}"/>
    <cellStyle name="Total 2 4 2 17" xfId="16558" xr:uid="{A4576CB3-C032-492E-9280-78A82F796D3D}"/>
    <cellStyle name="Total 2 4 2 18" xfId="39506" xr:uid="{912D24FF-81E6-4122-9B36-14C8949B24C6}"/>
    <cellStyle name="Total 2 4 2 2" xfId="10993" xr:uid="{00000000-0005-0000-0000-0000D7220000}"/>
    <cellStyle name="Total 2 4 2 2 10" xfId="20674" xr:uid="{65249913-17C3-4140-B046-8C7D7CF5CF39}"/>
    <cellStyle name="Total 2 4 2 2 11" xfId="20258" xr:uid="{8712AE47-D842-44D0-8854-06A9939B555B}"/>
    <cellStyle name="Total 2 4 2 2 12" xfId="21445" xr:uid="{D56C922A-CB19-4901-B6CF-32CD70BA957E}"/>
    <cellStyle name="Total 2 4 2 2 13" xfId="22330" xr:uid="{3E8A4130-34EF-493A-8ED1-95D1817F3EDF}"/>
    <cellStyle name="Total 2 4 2 2 14" xfId="21524" xr:uid="{5AC82373-DEF8-43CB-800E-387D57E98EEE}"/>
    <cellStyle name="Total 2 4 2 2 15" xfId="22716" xr:uid="{B4CC5C66-3A1F-412B-BA32-FE39D5FD5D8D}"/>
    <cellStyle name="Total 2 4 2 2 16" xfId="31445" xr:uid="{0439703D-B45E-4C70-A0F0-E4B55A536AFB}"/>
    <cellStyle name="Total 2 4 2 2 17" xfId="18520" xr:uid="{CA22BB7D-6145-40A8-B8AA-2C00FC19E504}"/>
    <cellStyle name="Total 2 4 2 2 18" xfId="43482" xr:uid="{7F074570-F3EA-4C5C-B072-902D2FDC621F}"/>
    <cellStyle name="Total 2 4 2 2 2" xfId="19894" xr:uid="{8CD50248-C420-4E1F-8459-A20C5C0A3B2F}"/>
    <cellStyle name="Total 2 4 2 2 2 2" xfId="27283" xr:uid="{EFB29469-9F3D-43F2-A0E6-6B65FCE23755}"/>
    <cellStyle name="Total 2 4 2 2 2 3" xfId="34127" xr:uid="{83F1FC55-A2B8-4DC9-B92C-D00255179A15}"/>
    <cellStyle name="Total 2 4 2 2 3" xfId="21735" xr:uid="{919AA1A0-6818-48BD-9E94-48C0A33E92E3}"/>
    <cellStyle name="Total 2 4 2 2 3 2" xfId="29363" xr:uid="{C984771E-FEDF-43BF-92A2-F85CF80893FD}"/>
    <cellStyle name="Total 2 4 2 2 3 3" xfId="36208" xr:uid="{24CF4EAE-5B82-4B5F-B39C-A9696C151B76}"/>
    <cellStyle name="Total 2 4 2 2 4" xfId="20876" xr:uid="{85BCF45B-CDB3-47D6-A99D-96526F504175}"/>
    <cellStyle name="Total 2 4 2 2 5" xfId="20029" xr:uid="{7E743051-7B71-4AFD-8D9D-C66414C35E98}"/>
    <cellStyle name="Total 2 4 2 2 6" xfId="20154" xr:uid="{7951BEB2-1AF1-450B-8AAE-E1C7CA8C8065}"/>
    <cellStyle name="Total 2 4 2 2 7" xfId="21766" xr:uid="{F79F9C43-856D-404A-8FB4-936FEAB65804}"/>
    <cellStyle name="Total 2 4 2 2 8" xfId="22191" xr:uid="{BE7DA132-C6C1-4912-B658-6CAD2B1E5A34}"/>
    <cellStyle name="Total 2 4 2 2 9" xfId="21369" xr:uid="{79C9B1EF-3AD7-4E0C-96FE-C9230E3FDD74}"/>
    <cellStyle name="Total 2 4 2 3" xfId="18297" xr:uid="{C9464E70-B440-47A9-AFF4-CBE0A3567861}"/>
    <cellStyle name="Total 2 4 2 3 2" xfId="27583" xr:uid="{AFAE2B92-D286-4CBB-886B-4174439DA36C}"/>
    <cellStyle name="Total 2 4 2 3 2 2" xfId="34427" xr:uid="{BA0C23F9-C60B-4B35-8966-F542607F620E}"/>
    <cellStyle name="Total 2 4 2 3 3" xfId="29663" xr:uid="{DF365E9D-929A-4E73-A6C8-3CA2B87AE3BE}"/>
    <cellStyle name="Total 2 4 2 3 3 2" xfId="36508" xr:uid="{D27C76B0-9107-4F89-945D-274C5EB40510}"/>
    <cellStyle name="Total 2 4 2 3 4" xfId="24914" xr:uid="{863E9E19-1BEF-4277-95E1-E7260BBE000B}"/>
    <cellStyle name="Total 2 4 2 3 5" xfId="31745" xr:uid="{87D9626B-2334-4E30-8EB0-37653C04D4E3}"/>
    <cellStyle name="Total 2 4 2 4" xfId="17712" xr:uid="{4BA29250-E619-491D-A212-4B1BB5C9C555}"/>
    <cellStyle name="Total 2 4 2 4 2" xfId="27576" xr:uid="{41828C36-890E-4D81-A246-1F840C44698F}"/>
    <cellStyle name="Total 2 4 2 4 2 2" xfId="34420" xr:uid="{5DF44A00-1C46-42A2-B1AE-52DEABFEC1B4}"/>
    <cellStyle name="Total 2 4 2 4 3" xfId="29656" xr:uid="{CEEDF045-FEAB-43E3-89DA-CB110CFB1F24}"/>
    <cellStyle name="Total 2 4 2 4 3 2" xfId="36501" xr:uid="{CCE0A405-F7B3-433A-B5BC-FE08743BDB55}"/>
    <cellStyle name="Total 2 4 2 4 4" xfId="24907" xr:uid="{0EB95E79-AC51-4CDE-A43A-CF86C8D98DFA}"/>
    <cellStyle name="Total 2 4 2 4 5" xfId="31738" xr:uid="{4C39B517-FA4F-4B5F-9882-81D72E1D32E2}"/>
    <cellStyle name="Total 2 4 2 5" xfId="23858" xr:uid="{93EE1A2F-E4FC-4C9A-8BE9-EF48CC23E32D}"/>
    <cellStyle name="Total 2 4 2 5 2" xfId="26477" xr:uid="{0C06B9EB-D16B-4B1D-A25C-2DE754C1AB33}"/>
    <cellStyle name="Total 2 4 2 5 2 2" xfId="33317" xr:uid="{BCD7E935-5C19-47FF-BFE8-B7D984451FA4}"/>
    <cellStyle name="Total 2 4 2 5 3" xfId="26206" xr:uid="{5B19103A-70DC-4BE2-98B4-2978C882C579}"/>
    <cellStyle name="Total 2 4 2 5 3 2" xfId="33034" xr:uid="{F7AD6416-6A1E-4FA0-A8D2-F26E489DD142}"/>
    <cellStyle name="Total 2 4 2 5 4" xfId="23328" xr:uid="{82CE8E4C-CA8E-4D73-85BC-DE19D2D23206}"/>
    <cellStyle name="Total 2 4 2 6" xfId="23878" xr:uid="{4E42A283-1084-45CD-83CE-2D3BCE930B0D}"/>
    <cellStyle name="Total 2 4 2 6 2" xfId="26496" xr:uid="{2A54C4C4-B0F6-4861-BE71-3F70BFE7742C}"/>
    <cellStyle name="Total 2 4 2 6 2 2" xfId="33336" xr:uid="{30AE2A04-1953-400A-9B50-CD415786E516}"/>
    <cellStyle name="Total 2 4 2 6 3" xfId="26188" xr:uid="{84F7E89E-2EE0-41B7-A0E5-070444EA8F53}"/>
    <cellStyle name="Total 2 4 2 6 3 2" xfId="33016" xr:uid="{DE0DCA51-6207-4678-B44E-286799D8F293}"/>
    <cellStyle name="Total 2 4 2 6 4" xfId="23310" xr:uid="{0072775B-F8F2-4A49-8BD7-BF09D7B0D6DF}"/>
    <cellStyle name="Total 2 4 2 7" xfId="25056" xr:uid="{5AA6D94E-6C76-4893-A235-7B6890830D60}"/>
    <cellStyle name="Total 2 4 2 7 2" xfId="27728" xr:uid="{DEFE61C6-C145-4C99-8365-FE9FB03F6846}"/>
    <cellStyle name="Total 2 4 2 7 2 2" xfId="34573" xr:uid="{0CA51124-CB4C-43B6-AF85-2A9F2D24BBB3}"/>
    <cellStyle name="Total 2 4 2 7 3" xfId="29809" xr:uid="{7B2AB71A-89EE-40B7-86B2-DF9BAF6E560B}"/>
    <cellStyle name="Total 2 4 2 7 3 2" xfId="36654" xr:uid="{CE9CCE13-CE83-4E45-B6A9-7179751B8BFE}"/>
    <cellStyle name="Total 2 4 2 7 4" xfId="31891" xr:uid="{0AE35CE1-3F24-4B7F-AB64-9B68C1C0DB18}"/>
    <cellStyle name="Total 2 4 2 8" xfId="25484" xr:uid="{F5AA9F8E-C50B-4441-A9DA-5A1D5C832450}"/>
    <cellStyle name="Total 2 4 2 8 2" xfId="28151" xr:uid="{74105FDF-14C2-4B5D-9EEC-5BEEF918FB41}"/>
    <cellStyle name="Total 2 4 2 8 2 2" xfId="34996" xr:uid="{F62C9717-FDA4-435C-B124-F7A4A4DE4265}"/>
    <cellStyle name="Total 2 4 2 8 3" xfId="30232" xr:uid="{81C72440-2603-40F1-8A9B-6C5952FB7377}"/>
    <cellStyle name="Total 2 4 2 8 3 2" xfId="37077" xr:uid="{E02B2ACD-68D8-4424-9E17-288BE2CC6C17}"/>
    <cellStyle name="Total 2 4 2 8 4" xfId="32314" xr:uid="{2BDF3BDD-DFCE-4104-BB92-90245E57732B}"/>
    <cellStyle name="Total 2 4 2 9" xfId="25402" xr:uid="{13D8881B-6FC5-47F8-B044-E2B2EE2ED4DB}"/>
    <cellStyle name="Total 2 4 2 9 2" xfId="28069" xr:uid="{4BACDF42-24C5-4C66-AFD7-AE270DAB4537}"/>
    <cellStyle name="Total 2 4 2 9 2 2" xfId="34914" xr:uid="{199FD3E4-1CC2-470A-9CEB-E25AD20824EB}"/>
    <cellStyle name="Total 2 4 2 9 3" xfId="30150" xr:uid="{6F73646E-996B-46A0-807C-921C153FA2E8}"/>
    <cellStyle name="Total 2 4 2 9 3 2" xfId="36995" xr:uid="{CAAEE38F-37D6-4D4A-9D33-8E2CA5498E29}"/>
    <cellStyle name="Total 2 4 2 9 4" xfId="32232" xr:uid="{F0F92628-9946-401E-AC36-6D4D967AA70B}"/>
    <cellStyle name="Total 2 4 20" xfId="39505" xr:uid="{8B6B7BD3-F2C9-407B-8949-A101561D31B3}"/>
    <cellStyle name="Total 2 4 3" xfId="5480" xr:uid="{00000000-0005-0000-0000-000092150000}"/>
    <cellStyle name="Total 2 4 3 10" xfId="20881" xr:uid="{43D0A232-B86F-4050-B3D0-68D726DB044C}"/>
    <cellStyle name="Total 2 4 3 11" xfId="22271" xr:uid="{72810974-F788-4E50-A3DE-43821F5C2594}"/>
    <cellStyle name="Total 2 4 3 12" xfId="19872" xr:uid="{DD492546-144F-4C2A-9361-A85550FA0E18}"/>
    <cellStyle name="Total 2 4 3 13" xfId="21164" xr:uid="{39F8655F-1197-4367-99A2-3E4049141C02}"/>
    <cellStyle name="Total 2 4 3 14" xfId="21026" xr:uid="{63C118EA-8842-4146-8D42-99B449CA07E7}"/>
    <cellStyle name="Total 2 4 3 15" xfId="21327" xr:uid="{C3C45DAC-7A87-4487-96FC-FE051FECC351}"/>
    <cellStyle name="Total 2 4 3 16" xfId="19316" xr:uid="{9410C3B4-9FDC-4185-B5F9-BD6893A8F3F0}"/>
    <cellStyle name="Total 2 4 3 17" xfId="18298" xr:uid="{5AFF5567-5F70-4696-A833-5A3D2DFB0523}"/>
    <cellStyle name="Total 2 4 3 18" xfId="23738" xr:uid="{9E84320C-B2C0-4B7B-958C-09FA15C1C5E5}"/>
    <cellStyle name="Total 2 4 3 19" xfId="16559" xr:uid="{CBF62E4B-6EEC-438F-BD49-E187E26453E0}"/>
    <cellStyle name="Total 2 4 3 2" xfId="10994" xr:uid="{00000000-0005-0000-0000-0000D8220000}"/>
    <cellStyle name="Total 2 4 3 2 10" xfId="21205" xr:uid="{F8DC8D8D-6627-4614-BBAA-6817B655F57F}"/>
    <cellStyle name="Total 2 4 3 2 11" xfId="20565" xr:uid="{FEC6B996-E95A-4E5A-BE3E-4979D48C858E}"/>
    <cellStyle name="Total 2 4 3 2 12" xfId="22835" xr:uid="{8E7387A4-703E-42E7-904D-DF078AC8821F}"/>
    <cellStyle name="Total 2 4 3 2 13" xfId="19740" xr:uid="{75C0F2BF-50A5-427C-A1B3-8C67BBEAA20F}"/>
    <cellStyle name="Total 2 4 3 2 14" xfId="22969" xr:uid="{B107CDC4-9EA8-4EFC-82E0-402B2B362985}"/>
    <cellStyle name="Total 2 4 3 2 15" xfId="22916" xr:uid="{82E36AF1-C049-48A7-9E56-5CE8F974F141}"/>
    <cellStyle name="Total 2 4 3 2 16" xfId="18797" xr:uid="{A9939714-93D7-41CC-83FC-205A551D639F}"/>
    <cellStyle name="Total 2 4 3 2 17" xfId="43483" xr:uid="{A0BCA71C-4693-4308-B963-901EA259BDA9}"/>
    <cellStyle name="Total 2 4 3 2 2" xfId="19753" xr:uid="{F6E8AAEC-6157-491E-9F83-D325680C8920}"/>
    <cellStyle name="Total 2 4 3 2 3" xfId="19443" xr:uid="{C114B5C9-C8CA-4F8B-B98E-41DAA5C27955}"/>
    <cellStyle name="Total 2 4 3 2 4" xfId="19700" xr:uid="{FE770350-2132-4862-B33A-F3026BA17C99}"/>
    <cellStyle name="Total 2 4 3 2 5" xfId="20932" xr:uid="{6C81DF72-F47B-435B-A4B5-D6E23AB9D88C}"/>
    <cellStyle name="Total 2 4 3 2 6" xfId="19602" xr:uid="{485F7074-7EE8-4B92-8458-CFE0E84DBDA5}"/>
    <cellStyle name="Total 2 4 3 2 7" xfId="21186" xr:uid="{D221BC92-8BE6-42F2-B09E-6EB8BB25CD68}"/>
    <cellStyle name="Total 2 4 3 2 8" xfId="19703" xr:uid="{F5DB0E92-CCAE-43D6-B744-9FB7B6AA307F}"/>
    <cellStyle name="Total 2 4 3 2 9" xfId="22590" xr:uid="{91D13EB3-2D9B-43C4-989E-A4A9CBF4CBBB}"/>
    <cellStyle name="Total 2 4 3 20" xfId="39507" xr:uid="{571687CF-7254-437D-83A3-D2FF97597D49}"/>
    <cellStyle name="Total 2 4 3 3" xfId="21363" xr:uid="{AFF9BEA5-8158-4AC2-8B2B-77B6365A8ECE}"/>
    <cellStyle name="Total 2 4 3 4" xfId="20985" xr:uid="{F83C0E52-B3D5-4A69-9F19-8DD9292599AD}"/>
    <cellStyle name="Total 2 4 3 5" xfId="22020" xr:uid="{8882391E-552D-43E2-8452-1C9FDEEB6438}"/>
    <cellStyle name="Total 2 4 3 6" xfId="20970" xr:uid="{CC8ABE10-4E51-48A6-871C-7CA6BD180091}"/>
    <cellStyle name="Total 2 4 3 7" xfId="18863" xr:uid="{47F964B4-BAC3-40F7-B462-E8813372B8A5}"/>
    <cellStyle name="Total 2 4 3 8" xfId="21237" xr:uid="{8EE8E3BA-1989-43A5-9B6A-DD16155BFC4E}"/>
    <cellStyle name="Total 2 4 3 9" xfId="20193" xr:uid="{23A472AA-2FD4-407D-84E2-EFC551ADA55E}"/>
    <cellStyle name="Total 2 4 4" xfId="10992" xr:uid="{00000000-0005-0000-0000-0000D6220000}"/>
    <cellStyle name="Total 2 4 4 10" xfId="21557" xr:uid="{B622980D-7CF1-498B-9178-20164ED36306}"/>
    <cellStyle name="Total 2 4 4 11" xfId="19599" xr:uid="{A407A8C2-E0F2-4AC4-A42B-87125C04EC00}"/>
    <cellStyle name="Total 2 4 4 12" xfId="22834" xr:uid="{09FDDDE0-8DDE-4E95-A57C-B625D1EE2B4F}"/>
    <cellStyle name="Total 2 4 4 13" xfId="20585" xr:uid="{7E056454-B8D3-4E58-869D-D1F40C670A18}"/>
    <cellStyle name="Total 2 4 4 14" xfId="22968" xr:uid="{C59CE180-0D83-4501-8BB1-540C14882B5A}"/>
    <cellStyle name="Total 2 4 4 15" xfId="21145" xr:uid="{A1CC43B7-3126-4B05-9AF9-5207CC3D8FA7}"/>
    <cellStyle name="Total 2 4 4 16" xfId="31320" xr:uid="{7A47105C-60FF-4558-9BDF-C1B2B9D73202}"/>
    <cellStyle name="Total 2 4 4 17" xfId="18796" xr:uid="{EC97560C-115C-4A34-AF21-5BBEB23EBF91}"/>
    <cellStyle name="Total 2 4 4 18" xfId="43481" xr:uid="{A3ACC638-613B-4B27-AE97-2C1B36576B33}"/>
    <cellStyle name="Total 2 4 4 2" xfId="19754" xr:uid="{A28A1459-324B-4271-B01A-F8A940441393}"/>
    <cellStyle name="Total 2 4 4 2 2" xfId="27161" xr:uid="{5D89B716-7B03-4DCE-AB75-80EBDA357AF2}"/>
    <cellStyle name="Total 2 4 4 2 3" xfId="34002" xr:uid="{718459F0-D942-4480-AE75-61A3FF8285F9}"/>
    <cellStyle name="Total 2 4 4 3" xfId="20196" xr:uid="{EA1A7A84-9A14-44CA-B243-69A591452D8F}"/>
    <cellStyle name="Total 2 4 4 3 2" xfId="29238" xr:uid="{BDD629EE-822D-4091-ABB3-1E830B669C9B}"/>
    <cellStyle name="Total 2 4 4 3 3" xfId="36083" xr:uid="{9AAD94DC-39EE-4DE1-BED8-4F8E1174A466}"/>
    <cellStyle name="Total 2 4 4 4" xfId="21833" xr:uid="{A9E03414-1CA2-4730-A056-292CDFCAA483}"/>
    <cellStyle name="Total 2 4 4 5" xfId="19540" xr:uid="{0FC72766-EF34-4218-8F69-EFBA5C239D62}"/>
    <cellStyle name="Total 2 4 4 6" xfId="21453" xr:uid="{B021023F-D82E-49FB-82C2-89F73E5E5F9E}"/>
    <cellStyle name="Total 2 4 4 7" xfId="21856" xr:uid="{D65A18C9-FBEB-4B08-B565-3C6AD175ED1D}"/>
    <cellStyle name="Total 2 4 4 8" xfId="20918" xr:uid="{74F90258-2678-4E1B-811D-42C2024E505F}"/>
    <cellStyle name="Total 2 4 4 9" xfId="22589" xr:uid="{AEAD4050-044C-47AC-B330-56806AC267F8}"/>
    <cellStyle name="Total 2 4 5" xfId="9221" xr:uid="{00000000-0005-0000-0000-00008F110000}"/>
    <cellStyle name="Total 2 4 5 10" xfId="21990" xr:uid="{FFDB355B-D8AC-4E23-9625-D8A61723C7B6}"/>
    <cellStyle name="Total 2 4 5 11" xfId="21936" xr:uid="{0C8131B5-92D5-48DE-8BD8-1919FD9D6C87}"/>
    <cellStyle name="Total 2 4 5 12" xfId="22007" xr:uid="{D7B2E3C5-C3C5-404B-8C78-2EC7F9915838}"/>
    <cellStyle name="Total 2 4 5 13" xfId="20480" xr:uid="{B200B230-699C-4A9B-9F73-A74C7F26571B}"/>
    <cellStyle name="Total 2 4 5 14" xfId="19458" xr:uid="{2C662A4C-88C5-4E14-B143-AD1E63D1E422}"/>
    <cellStyle name="Total 2 4 5 15" xfId="21431" xr:uid="{E003343C-2FA7-47E1-A34B-C24AEF7B7E31}"/>
    <cellStyle name="Total 2 4 5 16" xfId="31266" xr:uid="{9364039C-1C86-475D-A8D1-ECE2566BD571}"/>
    <cellStyle name="Total 2 4 5 17" xfId="18296" xr:uid="{42498852-32E7-49D4-9ED0-79E4DB30C338}"/>
    <cellStyle name="Total 2 4 5 2" xfId="19600" xr:uid="{1A2F515C-F164-48D9-B68C-F66A934417DB}"/>
    <cellStyle name="Total 2 4 5 2 2" xfId="27108" xr:uid="{0D0F9D1F-942F-482C-BC62-562F1E8AB76B}"/>
    <cellStyle name="Total 2 4 5 2 3" xfId="33948" xr:uid="{6187125A-E27B-4156-8D0B-DF6B310F59B9}"/>
    <cellStyle name="Total 2 4 5 3" xfId="20724" xr:uid="{E682FA22-56BB-40CF-A6BB-EBB93900B18F}"/>
    <cellStyle name="Total 2 4 5 3 2" xfId="29184" xr:uid="{E29908B9-3F98-46A5-8E1C-3C460D5E5F1D}"/>
    <cellStyle name="Total 2 4 5 3 3" xfId="36029" xr:uid="{9872BE68-A315-4A86-94F7-DEF21306003E}"/>
    <cellStyle name="Total 2 4 5 4" xfId="20785" xr:uid="{0B5A293B-3EDA-492E-9C19-897E3B191CFE}"/>
    <cellStyle name="Total 2 4 5 5" xfId="19132" xr:uid="{A8E5612B-C2C5-489F-833E-3CD6E4E43EED}"/>
    <cellStyle name="Total 2 4 5 6" xfId="19718" xr:uid="{82A8350C-4260-4589-AA74-F41012149975}"/>
    <cellStyle name="Total 2 4 5 7" xfId="22148" xr:uid="{145B3825-678E-4F5D-9C54-CFFD77F903E9}"/>
    <cellStyle name="Total 2 4 5 8" xfId="20524" xr:uid="{378986AF-B1C6-492D-B011-DE565E0206DC}"/>
    <cellStyle name="Total 2 4 5 9" xfId="22036" xr:uid="{5A600A96-7388-44F3-9F57-821E097C5206}"/>
    <cellStyle name="Total 2 4 6" xfId="17447" xr:uid="{5C35E640-99A1-482E-BD86-E4BCFE418CBF}"/>
    <cellStyle name="Total 2 4 6 2" xfId="27483" xr:uid="{EC02DCA2-5D76-4945-B14E-CC6E6FC0CCAB}"/>
    <cellStyle name="Total 2 4 6 2 2" xfId="34327" xr:uid="{C9F15715-ABA2-4189-8BA5-6DCD961D57D9}"/>
    <cellStyle name="Total 2 4 6 3" xfId="29563" xr:uid="{8FB82776-CF92-4531-B410-E518F3BB7C9D}"/>
    <cellStyle name="Total 2 4 6 3 2" xfId="36408" xr:uid="{30F6D571-4136-4EFD-A3FA-93B40AFEB52F}"/>
    <cellStyle name="Total 2 4 6 4" xfId="24824" xr:uid="{4F8F9EE4-3319-4A5C-896C-2D22E6E1BC51}"/>
    <cellStyle name="Total 2 4 6 5" xfId="31645" xr:uid="{313BC9B8-1314-4B8C-9748-E113ACE874D7}"/>
    <cellStyle name="Total 2 4 7" xfId="25013" xr:uid="{DFADFDF9-24F3-424D-B773-71D1DA966902}"/>
    <cellStyle name="Total 2 4 7 2" xfId="27685" xr:uid="{13CEB65D-DB63-4002-9BE9-85823CEB70D8}"/>
    <cellStyle name="Total 2 4 7 2 2" xfId="34530" xr:uid="{48942C70-0DC1-4823-AFA0-AF31AC9EF4CE}"/>
    <cellStyle name="Total 2 4 7 3" xfId="29766" xr:uid="{98B36F29-9D73-47DD-BD1C-B97DCF04A8C9}"/>
    <cellStyle name="Total 2 4 7 3 2" xfId="36611" xr:uid="{DA3BB136-96DA-430F-9484-429BBE277BDB}"/>
    <cellStyle name="Total 2 4 7 4" xfId="31848" xr:uid="{3DBD445C-0AAD-416E-8B1D-B0C10B55A02C}"/>
    <cellStyle name="Total 2 4 8" xfId="24975" xr:uid="{92B19956-7A42-4EB6-ACC0-840BB606A042}"/>
    <cellStyle name="Total 2 4 8 2" xfId="27644" xr:uid="{1D43A9A9-C71C-4DB1-A6D0-BD025879EA55}"/>
    <cellStyle name="Total 2 4 8 2 2" xfId="34489" xr:uid="{909B67F9-42C1-4091-9E7A-F2B70CF6A8B5}"/>
    <cellStyle name="Total 2 4 8 3" xfId="29725" xr:uid="{CE2C563A-9E14-4DBF-8EB0-8F5F1C99B7E8}"/>
    <cellStyle name="Total 2 4 8 3 2" xfId="36570" xr:uid="{F379E5D6-DC04-4F91-B324-7145134F0BD3}"/>
    <cellStyle name="Total 2 4 8 4" xfId="31807" xr:uid="{FE229B0C-C939-4C8B-8B1C-4AF5CD93080A}"/>
    <cellStyle name="Total 2 4 9" xfId="25277" xr:uid="{165E367E-F0F6-4899-86B4-F81BA399EAA8}"/>
    <cellStyle name="Total 2 4 9 2" xfId="27948" xr:uid="{2C23657C-AFF5-4780-A629-B180AEB1B1C4}"/>
    <cellStyle name="Total 2 4 9 2 2" xfId="34793" xr:uid="{87BA56B4-C0F1-427A-86C7-22C7443A32A7}"/>
    <cellStyle name="Total 2 4 9 3" xfId="30029" xr:uid="{C6506680-FFEF-4057-B4FF-4063D29C46EC}"/>
    <cellStyle name="Total 2 4 9 3 2" xfId="36874" xr:uid="{FCFA1886-7C7F-4F89-B46C-FF5D829E2FEB}"/>
    <cellStyle name="Total 2 4 9 4" xfId="32111" xr:uid="{DD18D3DF-832E-4550-8728-4E95FA8610EB}"/>
    <cellStyle name="Total 2 5" xfId="5481" xr:uid="{00000000-0005-0000-0000-000093150000}"/>
    <cellStyle name="Total 2 5 10" xfId="25421" xr:uid="{9D2AAAFD-6E76-4360-9A00-87C20121D0CB}"/>
    <cellStyle name="Total 2 5 10 2" xfId="28088" xr:uid="{9BC17F47-0A6D-44B9-8B3D-8BD2ACDB4E0A}"/>
    <cellStyle name="Total 2 5 10 2 2" xfId="34933" xr:uid="{64CE3358-AF9A-4249-AB24-F386BDA94E5A}"/>
    <cellStyle name="Total 2 5 10 3" xfId="30169" xr:uid="{AA9D1EA1-292D-4A93-854C-9C577EAE3080}"/>
    <cellStyle name="Total 2 5 10 3 2" xfId="37014" xr:uid="{A657691E-16ED-46CE-81C1-FA9F397E6E08}"/>
    <cellStyle name="Total 2 5 10 4" xfId="32251" xr:uid="{076D5CB0-BC40-4A33-A035-1EE1904BF144}"/>
    <cellStyle name="Total 2 5 11" xfId="24203" xr:uid="{C0961EF0-108D-4372-8FF5-AA81BE80304C}"/>
    <cellStyle name="Total 2 5 11 2" xfId="26813" xr:uid="{7EC1043A-3281-43F5-A53E-6276F8399854}"/>
    <cellStyle name="Total 2 5 11 2 2" xfId="33653" xr:uid="{7D0E80E5-1196-4D96-BE5C-487DFB134668}"/>
    <cellStyle name="Total 2 5 11 3" xfId="28889" xr:uid="{EE462DE2-AD41-4028-8284-931A808486AE}"/>
    <cellStyle name="Total 2 5 11 3 2" xfId="35734" xr:uid="{AE284780-B62D-4646-A66D-9497D948BD53}"/>
    <cellStyle name="Total 2 5 11 4" xfId="30971" xr:uid="{25D6246D-36AE-4A20-97FD-111F5D350897}"/>
    <cellStyle name="Total 2 5 12" xfId="25328" xr:uid="{4AE280A7-299F-4A2A-AE51-3DDEFFD9D521}"/>
    <cellStyle name="Total 2 5 12 2" xfId="27997" xr:uid="{D6D549C7-4285-4EF8-9697-C9B910BAED98}"/>
    <cellStyle name="Total 2 5 12 2 2" xfId="34842" xr:uid="{C0946202-A8A5-42CD-BB37-4F7009D0E5C2}"/>
    <cellStyle name="Total 2 5 12 3" xfId="30078" xr:uid="{D927C663-797E-4A15-9A0C-ECBD3CFDCF4E}"/>
    <cellStyle name="Total 2 5 12 3 2" xfId="36923" xr:uid="{B3C6819F-17E4-4B20-8761-CE3DF9ACC93A}"/>
    <cellStyle name="Total 2 5 12 4" xfId="32160" xr:uid="{836AC85E-A0BA-4967-9742-160B625EC017}"/>
    <cellStyle name="Total 2 5 13" xfId="25238" xr:uid="{FA092441-2EE3-466B-9F77-D4002860D5B0}"/>
    <cellStyle name="Total 2 5 13 2" xfId="27909" xr:uid="{75198121-993B-47AA-931C-5922CA975A21}"/>
    <cellStyle name="Total 2 5 13 2 2" xfId="34754" xr:uid="{EBB546C4-E2B1-48B3-B6FB-8590EBBD6A5E}"/>
    <cellStyle name="Total 2 5 13 3" xfId="29990" xr:uid="{074F72D4-0774-44B2-9A23-0DA0357D02D2}"/>
    <cellStyle name="Total 2 5 13 3 2" xfId="36835" xr:uid="{69E76F4C-CFD3-4EC1-A49E-41B29671469A}"/>
    <cellStyle name="Total 2 5 13 4" xfId="32072" xr:uid="{B77AA4DB-7891-4A95-BECA-A9E69625A3FA}"/>
    <cellStyle name="Total 2 5 14" xfId="25679" xr:uid="{DD976595-51B5-40FF-98C9-952B8C18ABC2}"/>
    <cellStyle name="Total 2 5 14 2" xfId="28346" xr:uid="{C6E90CB5-7E3A-4DF4-8892-2CDFAD904F12}"/>
    <cellStyle name="Total 2 5 14 2 2" xfId="35191" xr:uid="{D04C4305-F4C4-4F29-9E12-4E85FAFD4941}"/>
    <cellStyle name="Total 2 5 14 3" xfId="30427" xr:uid="{50D81511-94CD-488B-8EA9-C4D7E5D202A6}"/>
    <cellStyle name="Total 2 5 14 3 2" xfId="37272" xr:uid="{036241B9-FF61-4613-A911-971545DD573F}"/>
    <cellStyle name="Total 2 5 14 4" xfId="32509" xr:uid="{5FED7EC9-7C27-4D9D-8A02-111FC3359EA6}"/>
    <cellStyle name="Total 2 5 15" xfId="25702" xr:uid="{A39A3ADE-0985-4177-9C46-82B1C62B82C9}"/>
    <cellStyle name="Total 2 5 15 2" xfId="28369" xr:uid="{EB46BDC9-82D7-439B-AA79-CDDFA5738338}"/>
    <cellStyle name="Total 2 5 15 2 2" xfId="35214" xr:uid="{8A61B506-3B06-44F0-AC2D-F35F3A50635B}"/>
    <cellStyle name="Total 2 5 15 3" xfId="30450" xr:uid="{854D8FD9-FDF0-4E94-80CE-C1722DCB0F16}"/>
    <cellStyle name="Total 2 5 15 3 2" xfId="37295" xr:uid="{3B97F493-B09D-4F86-995E-760335C8EC00}"/>
    <cellStyle name="Total 2 5 15 4" xfId="32532" xr:uid="{449236AC-4844-4472-A484-D86F74EF3FA1}"/>
    <cellStyle name="Total 2 5 16" xfId="25791" xr:uid="{E3159430-C1D6-4CA4-82DD-1DA7AB7112F9}"/>
    <cellStyle name="Total 2 5 16 2" xfId="28457" xr:uid="{FCD1AD31-E440-4180-8A90-8C0CE2B96A1A}"/>
    <cellStyle name="Total 2 5 16 2 2" xfId="35302" xr:uid="{8A955EC5-C05F-405A-82A0-0758C87CB00F}"/>
    <cellStyle name="Total 2 5 16 3" xfId="30538" xr:uid="{597C78F9-BB9A-4D63-ADB0-8C30E63130FC}"/>
    <cellStyle name="Total 2 5 16 3 2" xfId="37383" xr:uid="{A520D76B-62DF-44E4-B1E0-629792E10969}"/>
    <cellStyle name="Total 2 5 16 4" xfId="32620" xr:uid="{D98781A7-131B-4A31-B2ED-A6DA6029D539}"/>
    <cellStyle name="Total 2 5 17" xfId="24167" xr:uid="{E5AE567C-09DF-418D-BAD0-202E8383221E}"/>
    <cellStyle name="Total 2 5 17 2" xfId="26778" xr:uid="{9EB3D06F-DE56-49CD-AA9F-02BA8D939540}"/>
    <cellStyle name="Total 2 5 17 2 2" xfId="33618" xr:uid="{C9329042-FF28-4656-B648-FBB2836348B4}"/>
    <cellStyle name="Total 2 5 17 3" xfId="28854" xr:uid="{375095E8-793E-4FCE-B49B-75A8B3F1EFB7}"/>
    <cellStyle name="Total 2 5 17 3 2" xfId="35699" xr:uid="{409714C6-D57E-436D-8C00-1EBB968F2447}"/>
    <cellStyle name="Total 2 5 17 4" xfId="30936" xr:uid="{31B71C1D-931E-470B-8CB1-82CE7BC6D8F9}"/>
    <cellStyle name="Total 2 5 18" xfId="25987" xr:uid="{2F4A6239-E6B5-4001-A905-82BE9BCA3660}"/>
    <cellStyle name="Total 2 5 18 2" xfId="28653" xr:uid="{F14BE482-03A3-419C-B7EA-95E4CF681969}"/>
    <cellStyle name="Total 2 5 18 2 2" xfId="35498" xr:uid="{A080B6A6-1FBE-412A-8153-D59111559F6E}"/>
    <cellStyle name="Total 2 5 18 3" xfId="30734" xr:uid="{52BF5F32-7681-41E5-9F09-09E3DE0C26BF}"/>
    <cellStyle name="Total 2 5 18 3 2" xfId="37579" xr:uid="{490EB554-605A-4E0D-BC8C-AE7093DA6B88}"/>
    <cellStyle name="Total 2 5 18 4" xfId="32816" xr:uid="{259CDAE4-C876-41E7-91C0-CDDCF273E170}"/>
    <cellStyle name="Total 2 5 19" xfId="23661" xr:uid="{696F5F84-0BEC-4A5D-BE38-8C538A54E5BA}"/>
    <cellStyle name="Total 2 5 2" xfId="5482" xr:uid="{00000000-0005-0000-0000-000094150000}"/>
    <cellStyle name="Total 2 5 2 10" xfId="24475" xr:uid="{44D469EE-F55F-4F3D-B2BF-30BF66B2E4F4}"/>
    <cellStyle name="Total 2 5 2 10 2" xfId="27091" xr:uid="{1BFE21A4-4E7F-4675-82E7-B0631FA61145}"/>
    <cellStyle name="Total 2 5 2 10 2 2" xfId="33931" xr:uid="{7E0E2322-6AA4-4CD0-A451-515A934A5208}"/>
    <cellStyle name="Total 2 5 2 10 3" xfId="29167" xr:uid="{8269D4D6-692F-41C5-95B9-3CEA8727F5A4}"/>
    <cellStyle name="Total 2 5 2 10 3 2" xfId="36012" xr:uid="{66099D7D-FECA-4E6A-9B4E-C21A645DA6C0}"/>
    <cellStyle name="Total 2 5 2 10 4" xfId="31249" xr:uid="{230257F2-7529-471B-97D5-CB4C2C3F4627}"/>
    <cellStyle name="Total 2 5 2 11" xfId="25577" xr:uid="{B2E6DBCF-885C-4105-844E-CF1BB308EFC9}"/>
    <cellStyle name="Total 2 5 2 11 2" xfId="28244" xr:uid="{C934EE9F-832F-4562-B5CB-B1AE8B06C504}"/>
    <cellStyle name="Total 2 5 2 11 2 2" xfId="35089" xr:uid="{5D048DB9-1A8B-4B56-9E17-76AC0B165C1B}"/>
    <cellStyle name="Total 2 5 2 11 3" xfId="30325" xr:uid="{5F1800E4-4300-483A-9574-8105F195F56E}"/>
    <cellStyle name="Total 2 5 2 11 3 2" xfId="37170" xr:uid="{6CD91001-A7D9-41CA-8072-90FE8AF1AD5D}"/>
    <cellStyle name="Total 2 5 2 11 4" xfId="32407" xr:uid="{7AF17E52-7FED-4047-A268-980A1CE94513}"/>
    <cellStyle name="Total 2 5 2 12" xfId="24038" xr:uid="{F76AD9AC-C611-49DC-9F83-82F5282FCB1F}"/>
    <cellStyle name="Total 2 5 2 12 2" xfId="26652" xr:uid="{F56C2AED-FEAF-49C9-A124-83B96100C973}"/>
    <cellStyle name="Total 2 5 2 12 2 2" xfId="33492" xr:uid="{1FEE715F-4A08-4188-A061-6853F6E2F1E4}"/>
    <cellStyle name="Total 2 5 2 12 3" xfId="28728" xr:uid="{B50CB395-306B-4D51-B5F4-0BF4313BD93B}"/>
    <cellStyle name="Total 2 5 2 12 3 2" xfId="35573" xr:uid="{7203A0EA-88A0-4C46-A53F-46E2DB53E898}"/>
    <cellStyle name="Total 2 5 2 12 4" xfId="30810" xr:uid="{5ED21E7B-45CC-4532-B908-EEB55EA8CEDE}"/>
    <cellStyle name="Total 2 5 2 13" xfId="25473" xr:uid="{09812B28-F55A-44EA-9837-5CCE58C641D2}"/>
    <cellStyle name="Total 2 5 2 13 2" xfId="28140" xr:uid="{D0B83C63-C7B0-4003-8DFC-22B9411D984F}"/>
    <cellStyle name="Total 2 5 2 13 2 2" xfId="34985" xr:uid="{816B707E-AE89-400A-92DE-177446EE355D}"/>
    <cellStyle name="Total 2 5 2 13 3" xfId="30221" xr:uid="{EDAE8CD6-5629-47E4-A9D7-8CB19C757112}"/>
    <cellStyle name="Total 2 5 2 13 3 2" xfId="37066" xr:uid="{6ADBACC9-2364-457C-AF21-94AF40DFD367}"/>
    <cellStyle name="Total 2 5 2 13 4" xfId="32303" xr:uid="{29466CA0-FCF3-4986-900A-88C18D9921F2}"/>
    <cellStyle name="Total 2 5 2 14" xfId="24743" xr:uid="{2DDAA5CC-DB33-4F1C-B051-D7BC198275FE}"/>
    <cellStyle name="Total 2 5 2 14 2" xfId="27393" xr:uid="{A067BDC2-31FF-44F1-AF1D-675D9EC78670}"/>
    <cellStyle name="Total 2 5 2 14 2 2" xfId="34237" xr:uid="{A6BF3CD1-0CD8-40DD-8BA5-4E7A5840AAC3}"/>
    <cellStyle name="Total 2 5 2 14 3" xfId="29473" xr:uid="{AB23E17B-E883-4969-9654-09244B9A8F23}"/>
    <cellStyle name="Total 2 5 2 14 3 2" xfId="36318" xr:uid="{0D93436A-BE6A-4B7B-815D-4DAB41EF28C2}"/>
    <cellStyle name="Total 2 5 2 14 4" xfId="31555" xr:uid="{230A58BC-F867-4428-9678-75C81E495FCD}"/>
    <cellStyle name="Total 2 5 2 15" xfId="25614" xr:uid="{5F1B4EF1-C4E5-49F8-B09F-F8F1F1DADDBD}"/>
    <cellStyle name="Total 2 5 2 15 2" xfId="28281" xr:uid="{EE65B46E-88AD-4F38-BFCA-AD094DF432A7}"/>
    <cellStyle name="Total 2 5 2 15 2 2" xfId="35126" xr:uid="{9C402D5B-3D03-433E-9542-C64CBF1E3FE3}"/>
    <cellStyle name="Total 2 5 2 15 3" xfId="30362" xr:uid="{5B91782B-15D3-4DA6-88E5-041433C1D1A0}"/>
    <cellStyle name="Total 2 5 2 15 3 2" xfId="37207" xr:uid="{3EDD155B-BE4D-47D2-9973-8874172DEB62}"/>
    <cellStyle name="Total 2 5 2 15 4" xfId="32444" xr:uid="{31BA0227-92C8-4477-B250-FAE1019BC442}"/>
    <cellStyle name="Total 2 5 2 16" xfId="23816" xr:uid="{2403BD06-33DC-4808-8CC8-7394E03380CB}"/>
    <cellStyle name="Total 2 5 2 16 2" xfId="26435" xr:uid="{E03CE374-EF38-4AA6-BF1D-11A2724298D3}"/>
    <cellStyle name="Total 2 5 2 16 2 2" xfId="33275" xr:uid="{AA84FB9A-E9DD-4684-BDDA-261769840EDA}"/>
    <cellStyle name="Total 2 5 2 16 3" xfId="26247" xr:uid="{AAAE47D1-5778-4A41-89E2-6E5B7813512F}"/>
    <cellStyle name="Total 2 5 2 16 3 2" xfId="33075" xr:uid="{223DF629-247F-45A0-9824-6111090D2D6B}"/>
    <cellStyle name="Total 2 5 2 16 4" xfId="23369" xr:uid="{1751A41B-123D-4E0A-8300-6B9B71B05BA5}"/>
    <cellStyle name="Total 2 5 2 17" xfId="23627" xr:uid="{82997531-558C-492B-BC6F-EDDB79AB1BAC}"/>
    <cellStyle name="Total 2 5 2 18" xfId="16561" xr:uid="{7D3DA300-6231-4C6E-B311-64AADFFEE771}"/>
    <cellStyle name="Total 2 5 2 19" xfId="39509" xr:uid="{AEA73AEF-72EB-4B8D-B94A-17F8DAF7B693}"/>
    <cellStyle name="Total 2 5 2 2" xfId="10996" xr:uid="{00000000-0005-0000-0000-0000DA220000}"/>
    <cellStyle name="Total 2 5 2 2 10" xfId="25670" xr:uid="{6F8A29F4-9033-4F0F-B337-901D33699150}"/>
    <cellStyle name="Total 2 5 2 2 10 2" xfId="28337" xr:uid="{3E1C2C8B-38E4-4FF9-A6D7-C3B5C8892017}"/>
    <cellStyle name="Total 2 5 2 2 10 2 2" xfId="35182" xr:uid="{50EC69DD-70BA-46F3-890A-7AAA48B2B760}"/>
    <cellStyle name="Total 2 5 2 2 10 3" xfId="30418" xr:uid="{1CE2F01A-B32F-4E86-9EA7-4B92E207D83F}"/>
    <cellStyle name="Total 2 5 2 2 10 3 2" xfId="37263" xr:uid="{68558FC3-5663-4916-AF03-7A5AAEAA7057}"/>
    <cellStyle name="Total 2 5 2 2 10 4" xfId="32500" xr:uid="{1AA7D2B4-998A-4FEA-9F47-4C8B77E4505B}"/>
    <cellStyle name="Total 2 5 2 2 11" xfId="25775" xr:uid="{CF9BE76D-2CC8-4C84-B348-3A8C0E1099CD}"/>
    <cellStyle name="Total 2 5 2 2 11 2" xfId="28441" xr:uid="{E7893955-6650-4CE2-B9AF-ACC02C88B24D}"/>
    <cellStyle name="Total 2 5 2 2 11 2 2" xfId="35286" xr:uid="{121D447B-C57B-40E6-A537-13581E5BA269}"/>
    <cellStyle name="Total 2 5 2 2 11 3" xfId="30522" xr:uid="{F871539C-5A04-4F0A-A3DF-823D148DF39D}"/>
    <cellStyle name="Total 2 5 2 2 11 3 2" xfId="37367" xr:uid="{DBD2F75A-5D9C-4A4E-9827-561A6FE0C5D3}"/>
    <cellStyle name="Total 2 5 2 2 11 4" xfId="32604" xr:uid="{1A4E5C6C-1CD0-4C0B-AAD2-196B27D1F41B}"/>
    <cellStyle name="Total 2 5 2 2 12" xfId="25852" xr:uid="{2977E632-3F60-4D03-8894-885D0D327FB4}"/>
    <cellStyle name="Total 2 5 2 2 12 2" xfId="28518" xr:uid="{92BC57CD-25B0-4034-97C6-CCDA4B275FFF}"/>
    <cellStyle name="Total 2 5 2 2 12 2 2" xfId="35363" xr:uid="{4CFEFD98-33F6-4F4A-9D87-291AFA3F5849}"/>
    <cellStyle name="Total 2 5 2 2 12 3" xfId="30599" xr:uid="{CC082652-A650-4275-83D2-FB1A2EEE9BB9}"/>
    <cellStyle name="Total 2 5 2 2 12 3 2" xfId="37444" xr:uid="{DC0A5349-B8A9-499E-B977-53E3DB5D607F}"/>
    <cellStyle name="Total 2 5 2 2 12 4" xfId="32681" xr:uid="{0E8198F1-D82B-4A75-9BAF-461D2872BEE6}"/>
    <cellStyle name="Total 2 5 2 2 13" xfId="24239" xr:uid="{6354B427-2F86-456A-941D-CC93256B9B84}"/>
    <cellStyle name="Total 2 5 2 2 13 2" xfId="26847" xr:uid="{1693907B-5A0E-413F-9409-520D9DD4F7CC}"/>
    <cellStyle name="Total 2 5 2 2 13 2 2" xfId="33687" xr:uid="{B35C2424-2A8E-4C4E-BCB2-9ECC427EC359}"/>
    <cellStyle name="Total 2 5 2 2 13 3" xfId="28923" xr:uid="{9089B35D-C675-45A9-8F60-552F9EC73DE6}"/>
    <cellStyle name="Total 2 5 2 2 13 3 2" xfId="35768" xr:uid="{B08785BC-5648-46AA-B259-CBDEEB60814C}"/>
    <cellStyle name="Total 2 5 2 2 13 4" xfId="31005" xr:uid="{69B70AE8-A812-49BA-83FA-FEB816F19642}"/>
    <cellStyle name="Total 2 5 2 2 14" xfId="25980" xr:uid="{F640B67B-F24C-4782-860B-9A054414827D}"/>
    <cellStyle name="Total 2 5 2 2 14 2" xfId="28646" xr:uid="{72A9984C-68F5-458E-A911-4A22A1C8BA8E}"/>
    <cellStyle name="Total 2 5 2 2 14 2 2" xfId="35491" xr:uid="{C722856D-FEE5-45E8-AAF7-E01EB14A8F0E}"/>
    <cellStyle name="Total 2 5 2 2 14 3" xfId="30727" xr:uid="{614CFBEB-BC05-42F1-AA12-3CC34ABDB456}"/>
    <cellStyle name="Total 2 5 2 2 14 3 2" xfId="37572" xr:uid="{A9893A8D-7CC9-4B31-B247-846102AAD18F}"/>
    <cellStyle name="Total 2 5 2 2 14 4" xfId="32809" xr:uid="{16775C3B-EE28-4B17-BE18-66D72768BC1F}"/>
    <cellStyle name="Total 2 5 2 2 15" xfId="26034" xr:uid="{EA259679-1686-4873-9EEB-8769BFE98CA7}"/>
    <cellStyle name="Total 2 5 2 2 15 2" xfId="28700" xr:uid="{7F9F1FBD-2F2D-46B9-B7A2-CE93308D3BB8}"/>
    <cellStyle name="Total 2 5 2 2 15 2 2" xfId="35545" xr:uid="{7CEE831A-9E41-49B0-8A47-DFB428C79612}"/>
    <cellStyle name="Total 2 5 2 2 15 3" xfId="30781" xr:uid="{279447F4-D3F1-4B60-B642-8ED1CF9BB6C9}"/>
    <cellStyle name="Total 2 5 2 2 15 3 2" xfId="37626" xr:uid="{76905C88-DD0D-4D0E-981C-48F59BC38B66}"/>
    <cellStyle name="Total 2 5 2 2 15 4" xfId="32863" xr:uid="{F17C3E57-64C4-416D-8E9F-44EE402DE292}"/>
    <cellStyle name="Total 2 5 2 2 16" xfId="23167" xr:uid="{275EDBB7-1F50-44A7-AE1F-121A7005FCF6}"/>
    <cellStyle name="Total 2 5 2 2 17" xfId="17846" xr:uid="{4E22206F-5838-4838-885B-532BC6C8A4D7}"/>
    <cellStyle name="Total 2 5 2 2 18" xfId="43485" xr:uid="{4D68EA18-2F35-44DB-86DB-DBB440D64079}"/>
    <cellStyle name="Total 2 5 2 2 2" xfId="18428" xr:uid="{6A0C6340-B39F-4143-8AAB-C3E96315903B}"/>
    <cellStyle name="Total 2 5 2 2 2 10" xfId="19529" xr:uid="{ABB58CF1-3038-4FBD-B4EB-F22FA3014E6F}"/>
    <cellStyle name="Total 2 5 2 2 2 11" xfId="19801" xr:uid="{D95B4DA7-8EF6-49FA-B1FD-EC21161E5B6F}"/>
    <cellStyle name="Total 2 5 2 2 2 12" xfId="22630" xr:uid="{001B228D-3742-4E1B-BFC1-A06F18801F8B}"/>
    <cellStyle name="Total 2 5 2 2 2 13" xfId="22712" xr:uid="{BC780276-E22D-456C-979E-1853BDADD161}"/>
    <cellStyle name="Total 2 5 2 2 2 14" xfId="20729" xr:uid="{34693517-29E0-4425-90F4-2E34E3D415C2}"/>
    <cellStyle name="Total 2 5 2 2 2 15" xfId="22179" xr:uid="{FA162FA2-0790-4BA3-81B5-319A2D569891}"/>
    <cellStyle name="Total 2 5 2 2 2 16" xfId="31514" xr:uid="{9657E6E8-A990-40F7-B923-6F8CC081851C}"/>
    <cellStyle name="Total 2 5 2 2 2 2" xfId="19945" xr:uid="{CA1B2CF4-A053-453E-801E-9675E77AA882}"/>
    <cellStyle name="Total 2 5 2 2 2 2 2" xfId="27352" xr:uid="{2DA0642C-9A48-425B-849B-D40EAE23905F}"/>
    <cellStyle name="Total 2 5 2 2 2 2 3" xfId="34196" xr:uid="{032A0DC0-074C-459A-8E1F-1D7194DC4ABE}"/>
    <cellStyle name="Total 2 5 2 2 2 3" xfId="20807" xr:uid="{1E857ED5-79F0-4422-9347-A135619FFC4E}"/>
    <cellStyle name="Total 2 5 2 2 2 3 2" xfId="29432" xr:uid="{87C60407-297E-4AEE-82E4-5F04EE05ED14}"/>
    <cellStyle name="Total 2 5 2 2 2 3 3" xfId="36277" xr:uid="{3C0663F3-9D55-4701-9B89-19773BE9DE2E}"/>
    <cellStyle name="Total 2 5 2 2 2 4" xfId="19804" xr:uid="{9B29DAA7-D2DC-4B73-AF2B-CB864799DA9F}"/>
    <cellStyle name="Total 2 5 2 2 2 5" xfId="22043" xr:uid="{5C247DB9-EBD1-4598-B567-E60B8A596848}"/>
    <cellStyle name="Total 2 5 2 2 2 6" xfId="20374" xr:uid="{0E2C112C-CC7A-42F6-8C6F-6543DD59422C}"/>
    <cellStyle name="Total 2 5 2 2 2 7" xfId="19170" xr:uid="{5565641F-9067-407A-95C5-87C9DBDAAECE}"/>
    <cellStyle name="Total 2 5 2 2 2 8" xfId="20817" xr:uid="{712C406E-90A4-4CEA-9129-EC2AA02C3D62}"/>
    <cellStyle name="Total 2 5 2 2 2 9" xfId="19277" xr:uid="{8E8B4CEE-F042-4C72-A6CC-22275C1EADBE}"/>
    <cellStyle name="Total 2 5 2 2 3" xfId="24803" xr:uid="{945D76A7-139F-4486-99A2-DD72E9D079CD}"/>
    <cellStyle name="Total 2 5 2 2 3 2" xfId="27456" xr:uid="{34605D5B-C2AB-4772-A929-186C03C96BBC}"/>
    <cellStyle name="Total 2 5 2 2 3 2 2" xfId="34300" xr:uid="{8723DE47-5227-424D-8D50-83DFEB5F493E}"/>
    <cellStyle name="Total 2 5 2 2 3 3" xfId="29536" xr:uid="{6492D8F3-8936-4875-903D-BEC3AEC227FC}"/>
    <cellStyle name="Total 2 5 2 2 3 3 2" xfId="36381" xr:uid="{362CE14A-4613-4B6F-8798-11228B536B01}"/>
    <cellStyle name="Total 2 5 2 2 3 4" xfId="31618" xr:uid="{D89D51EE-F8D7-4889-8948-20ECF33442B7}"/>
    <cellStyle name="Total 2 5 2 2 4" xfId="24398" xr:uid="{7DDA0A2C-A97B-4581-A1BD-CB0F293400B6}"/>
    <cellStyle name="Total 2 5 2 2 4 2" xfId="27014" xr:uid="{5C15FA6B-8DA0-4364-BFF3-E543E9842333}"/>
    <cellStyle name="Total 2 5 2 2 4 2 2" xfId="33854" xr:uid="{985D3949-A358-49AB-8A1A-1EB5DF1D41BE}"/>
    <cellStyle name="Total 2 5 2 2 4 3" xfId="29090" xr:uid="{4AE1304A-2083-4267-8198-CDF4649F4DD9}"/>
    <cellStyle name="Total 2 5 2 2 4 3 2" xfId="35935" xr:uid="{E2C5B002-8A26-482C-90CB-F2CE9618A702}"/>
    <cellStyle name="Total 2 5 2 2 4 4" xfId="31172" xr:uid="{4ED53813-7B46-46AF-AAB8-5F8C44390128}"/>
    <cellStyle name="Total 2 5 2 2 5" xfId="25126" xr:uid="{F240DCE4-2DDF-446C-AD48-BBC473F407AC}"/>
    <cellStyle name="Total 2 5 2 2 5 2" xfId="27798" xr:uid="{6F611D26-99A9-4524-BD53-538280F42B88}"/>
    <cellStyle name="Total 2 5 2 2 5 2 2" xfId="34643" xr:uid="{7270951B-4A00-4737-86BB-E476995E0A04}"/>
    <cellStyle name="Total 2 5 2 2 5 3" xfId="29879" xr:uid="{3C8089A7-3EF5-4026-B01B-4B60E00A303F}"/>
    <cellStyle name="Total 2 5 2 2 5 3 2" xfId="36724" xr:uid="{D13ADE9A-F8E4-4917-A128-5972003B8EDE}"/>
    <cellStyle name="Total 2 5 2 2 5 4" xfId="31961" xr:uid="{7FE2892D-5D94-40E5-8008-5579996AC623}"/>
    <cellStyle name="Total 2 5 2 2 6" xfId="23861" xr:uid="{E9EDD7D9-D20E-42C2-919E-1BD8AE9AC7E4}"/>
    <cellStyle name="Total 2 5 2 2 6 2" xfId="26480" xr:uid="{C3BD0AC3-1B0F-4E5C-A06C-577A777CEDF5}"/>
    <cellStyle name="Total 2 5 2 2 6 2 2" xfId="33320" xr:uid="{1015A1E5-6EAD-4145-80A5-134A0BAFA9EE}"/>
    <cellStyle name="Total 2 5 2 2 6 3" xfId="26203" xr:uid="{DBF11874-6480-4F44-A9EB-27DA4DEB46C3}"/>
    <cellStyle name="Total 2 5 2 2 6 3 2" xfId="33031" xr:uid="{E5794FFE-5C0F-4003-86D1-0830C28482DE}"/>
    <cellStyle name="Total 2 5 2 2 6 4" xfId="23325" xr:uid="{020BFC5A-7DE3-4C15-9BEC-C54F0D46B4C9}"/>
    <cellStyle name="Total 2 5 2 2 7" xfId="24792" xr:uid="{398B71B4-8D8C-47DF-B254-A3DAA59CCCD2}"/>
    <cellStyle name="Total 2 5 2 2 7 2" xfId="27445" xr:uid="{4C876334-3905-48EE-9C87-EC77CEF3A276}"/>
    <cellStyle name="Total 2 5 2 2 7 2 2" xfId="34289" xr:uid="{53BEBA84-9B66-48DB-A688-A9A56B0C07FB}"/>
    <cellStyle name="Total 2 5 2 2 7 3" xfId="29525" xr:uid="{78D05C4C-83C5-4392-8954-EC9BC1BAE6A5}"/>
    <cellStyle name="Total 2 5 2 2 7 3 2" xfId="36370" xr:uid="{52D73260-C5B0-49CA-B36A-CE596F3849AD}"/>
    <cellStyle name="Total 2 5 2 2 7 4" xfId="31607" xr:uid="{FFD8644A-B9B7-4F88-9D7E-5E59C6E24DD6}"/>
    <cellStyle name="Total 2 5 2 2 8" xfId="24417" xr:uid="{E4BD295F-08BA-4B4E-A471-193FC4ED551F}"/>
    <cellStyle name="Total 2 5 2 2 8 2" xfId="27036" xr:uid="{44301D1B-68BE-4374-AB38-A3E90B529DD6}"/>
    <cellStyle name="Total 2 5 2 2 8 2 2" xfId="33876" xr:uid="{389C657E-1C78-4DA2-B56E-CC01C852AC88}"/>
    <cellStyle name="Total 2 5 2 2 8 3" xfId="29112" xr:uid="{B293D7F5-A8C7-4647-A84E-EC8ADE60A0FC}"/>
    <cellStyle name="Total 2 5 2 2 8 3 2" xfId="35957" xr:uid="{15E6CB04-8772-4B5B-A9EA-529C52D95DB1}"/>
    <cellStyle name="Total 2 5 2 2 8 4" xfId="31194" xr:uid="{F3C71B62-5B0D-4BD0-BFFB-1AE77CA87246}"/>
    <cellStyle name="Total 2 5 2 2 9" xfId="24111" xr:uid="{3EDD0BAE-DBC2-4255-AECB-BA279D0635C1}"/>
    <cellStyle name="Total 2 5 2 2 9 2" xfId="26723" xr:uid="{3C102D6D-8A7B-4B2E-84FD-046721481383}"/>
    <cellStyle name="Total 2 5 2 2 9 2 2" xfId="33563" xr:uid="{B54CBA52-B72B-458C-AC86-F4B7F94A2BF3}"/>
    <cellStyle name="Total 2 5 2 2 9 3" xfId="28799" xr:uid="{275A895C-AE64-4957-AB2A-0DDE58D2974C}"/>
    <cellStyle name="Total 2 5 2 2 9 3 2" xfId="35644" xr:uid="{8BABE46E-55AB-4ACC-B6B9-C97DDFAC416B}"/>
    <cellStyle name="Total 2 5 2 2 9 4" xfId="30881" xr:uid="{20EDC233-03BE-4D79-AB39-D121771EB784}"/>
    <cellStyle name="Total 2 5 2 3" xfId="18606" xr:uid="{3F58ED31-925A-49EA-AECC-75C9F5CC5369}"/>
    <cellStyle name="Total 2 5 2 3 10" xfId="21710" xr:uid="{6B933178-C6ED-4BA2-83E3-26C9383C7445}"/>
    <cellStyle name="Total 2 5 2 3 11" xfId="19302" xr:uid="{69E7C964-D2EE-49FA-82A2-CFA9CB7439B9}"/>
    <cellStyle name="Total 2 5 2 3 12" xfId="22742" xr:uid="{613C874F-B198-4EC8-880B-359EF885CD8A}"/>
    <cellStyle name="Total 2 5 2 3 13" xfId="19415" xr:uid="{A54E3560-137F-49A9-9BC6-D758EB110F56}"/>
    <cellStyle name="Total 2 5 2 3 14" xfId="22878" xr:uid="{62694369-8F54-4D6D-94FE-5B1E60F5C36B}"/>
    <cellStyle name="Total 2 5 2 3 15" xfId="20700" xr:uid="{CA9A42B1-EDF3-47FD-B51D-1A2A4F963E5B}"/>
    <cellStyle name="Total 2 5 2 3 16" xfId="31386" xr:uid="{7A297213-29C8-4E96-B490-75235DE8C251}"/>
    <cellStyle name="Total 2 5 2 3 2" xfId="19861" xr:uid="{F82F1BAE-FC1C-461A-9C53-BD94D0FB4F2A}"/>
    <cellStyle name="Total 2 5 2 3 2 2" xfId="27227" xr:uid="{7443C8E8-DD91-4574-8881-48AECB6C78A5}"/>
    <cellStyle name="Total 2 5 2 3 2 3" xfId="34068" xr:uid="{139B2E56-3F99-4898-829E-D58AB7E7AC2E}"/>
    <cellStyle name="Total 2 5 2 3 3" xfId="21041" xr:uid="{38685C2B-CE2F-483F-95D9-3AB2DF4D915A}"/>
    <cellStyle name="Total 2 5 2 3 3 2" xfId="29304" xr:uid="{EB70B32F-DDA7-40C6-935D-3E2758E4CE1C}"/>
    <cellStyle name="Total 2 5 2 3 3 3" xfId="36149" xr:uid="{BEB1935F-F80D-46C1-B768-8ECA2E32790B}"/>
    <cellStyle name="Total 2 5 2 3 4" xfId="19699" xr:uid="{A14FD097-7255-40D5-AD84-714366D1EC53}"/>
    <cellStyle name="Total 2 5 2 3 5" xfId="18995" xr:uid="{3CB31339-90A5-4976-A5B3-4C14179D03C4}"/>
    <cellStyle name="Total 2 5 2 3 6" xfId="19399" xr:uid="{4C27D265-5B64-4410-9E3E-8B0F3ECD2AA0}"/>
    <cellStyle name="Total 2 5 2 3 7" xfId="18849" xr:uid="{B95FDC39-CDB4-4EA8-B37B-26D247BCB166}"/>
    <cellStyle name="Total 2 5 2 3 8" xfId="19623" xr:uid="{FEEFD819-8D14-42A1-89B2-B2C840D7B2FE}"/>
    <cellStyle name="Total 2 5 2 3 9" xfId="22479" xr:uid="{2C680C18-708D-46E5-8AD1-16AC6F3C5DFE}"/>
    <cellStyle name="Total 2 5 2 4" xfId="18300" xr:uid="{EA80D8F2-1CA2-4827-A45A-EABB24772BAB}"/>
    <cellStyle name="Total 2 5 2 4 2" xfId="27302" xr:uid="{2D898A08-7894-4FF7-AB60-35DDFCCC1637}"/>
    <cellStyle name="Total 2 5 2 4 2 2" xfId="34146" xr:uid="{F3B914C3-0C4F-4208-8C1E-20009368F90E}"/>
    <cellStyle name="Total 2 5 2 4 3" xfId="29382" xr:uid="{D69E328D-2572-45CF-80D4-ED1D094BE1DE}"/>
    <cellStyle name="Total 2 5 2 4 3 2" xfId="36227" xr:uid="{12F7713A-8428-47C9-B80E-6FB754AD92D2}"/>
    <cellStyle name="Total 2 5 2 4 4" xfId="24688" xr:uid="{C9BBE74E-326C-42A0-B458-EC39DA9BCC3D}"/>
    <cellStyle name="Total 2 5 2 4 5" xfId="31464" xr:uid="{5C07A79A-DE8D-4EA8-8AF2-4269885AC999}"/>
    <cellStyle name="Total 2 5 2 5" xfId="17575" xr:uid="{127FCCDD-B301-43D1-9A2B-E1A24BAE0BA4}"/>
    <cellStyle name="Total 2 5 2 5 2" xfId="27192" xr:uid="{D689042C-7E02-4284-A8CD-CD16641AB4B7}"/>
    <cellStyle name="Total 2 5 2 5 2 2" xfId="34033" xr:uid="{9BFD62C0-2112-4A24-A109-E732C6F8ACCE}"/>
    <cellStyle name="Total 2 5 2 5 3" xfId="29269" xr:uid="{D61FF82F-380B-4965-B74F-11EF121F7B37}"/>
    <cellStyle name="Total 2 5 2 5 3 2" xfId="36114" xr:uid="{490E5438-B5EE-408F-9EDE-DAC2D0BC035A}"/>
    <cellStyle name="Total 2 5 2 5 4" xfId="24604" xr:uid="{97C2762E-D7D7-456D-815A-02DDE8333E62}"/>
    <cellStyle name="Total 2 5 2 5 5" xfId="31351" xr:uid="{54E2F78B-03ED-4816-9960-48456A086F02}"/>
    <cellStyle name="Total 2 5 2 6" xfId="24202" xr:uid="{D5E3FB76-1C35-4F2B-B56F-31761BE235AA}"/>
    <cellStyle name="Total 2 5 2 6 2" xfId="26812" xr:uid="{41009588-57C1-42B8-A6A3-B7733710043C}"/>
    <cellStyle name="Total 2 5 2 6 2 2" xfId="33652" xr:uid="{2118FB62-CF02-4B0C-A15A-F8062EC80211}"/>
    <cellStyle name="Total 2 5 2 6 3" xfId="28888" xr:uid="{B8826A30-D7E3-4363-88D7-2DF81813E712}"/>
    <cellStyle name="Total 2 5 2 6 3 2" xfId="35733" xr:uid="{E2747BF0-CE09-4539-8C0C-49E75CC98C6E}"/>
    <cellStyle name="Total 2 5 2 6 4" xfId="30970" xr:uid="{CB66F328-B648-4DF5-8574-0E6C8975B22E}"/>
    <cellStyle name="Total 2 5 2 7" xfId="23785" xr:uid="{FE23F7C9-2874-40BB-B653-D4E77698EC3C}"/>
    <cellStyle name="Total 2 5 2 7 2" xfId="26398" xr:uid="{7B212D45-A992-4A5A-8932-5EB1696D01DB}"/>
    <cellStyle name="Total 2 5 2 7 2 2" xfId="33238" xr:uid="{3D79E2D9-9B11-4942-B563-473A8A178C82}"/>
    <cellStyle name="Total 2 5 2 7 3" xfId="26283" xr:uid="{0F8771A2-2FBB-4C11-95A2-D55203C977B7}"/>
    <cellStyle name="Total 2 5 2 7 3 2" xfId="33111" xr:uid="{FA8E83CC-A7ED-4AEC-B00B-30E0B979C552}"/>
    <cellStyle name="Total 2 5 2 7 4" xfId="23405" xr:uid="{0EE89417-C4CC-4760-ACDF-962836707664}"/>
    <cellStyle name="Total 2 5 2 8" xfId="25358" xr:uid="{FFCD893A-9B8E-4A78-9E18-8F6A95F0FD4C}"/>
    <cellStyle name="Total 2 5 2 8 2" xfId="28025" xr:uid="{A7A1C43F-3845-48D2-873E-C8433F9117EA}"/>
    <cellStyle name="Total 2 5 2 8 2 2" xfId="34870" xr:uid="{2C8DC869-0090-4428-857F-24287BB0ECA3}"/>
    <cellStyle name="Total 2 5 2 8 3" xfId="30106" xr:uid="{6DC60608-9D23-4CC1-9CBE-5344CE3AF0E9}"/>
    <cellStyle name="Total 2 5 2 8 3 2" xfId="36951" xr:uid="{1F38FD2B-1B74-4122-94A2-4491BAFCF056}"/>
    <cellStyle name="Total 2 5 2 8 4" xfId="32188" xr:uid="{B06F2F77-94A9-4AB3-8E3E-047DDCF504B6}"/>
    <cellStyle name="Total 2 5 2 9" xfId="24817" xr:uid="{6345CBB4-A4B7-4EA4-9449-38374594BCEA}"/>
    <cellStyle name="Total 2 5 2 9 2" xfId="27476" xr:uid="{10D03E9E-62CA-4558-990C-B68FD75839E7}"/>
    <cellStyle name="Total 2 5 2 9 2 2" xfId="34320" xr:uid="{800260B3-E6F3-4434-89D7-A40757BAB68E}"/>
    <cellStyle name="Total 2 5 2 9 3" xfId="29556" xr:uid="{6AA00D68-EB3D-4AC6-AA8A-7CA4887EE8FF}"/>
    <cellStyle name="Total 2 5 2 9 3 2" xfId="36401" xr:uid="{5E4C0D17-25E4-4ED8-B96D-5909BEA11C40}"/>
    <cellStyle name="Total 2 5 2 9 4" xfId="31638" xr:uid="{319EB7C7-1153-47A6-816F-FFF374F42526}"/>
    <cellStyle name="Total 2 5 20" xfId="16560" xr:uid="{F6C29462-0074-4147-B0B0-53D50857BB3D}"/>
    <cellStyle name="Total 2 5 21" xfId="39508" xr:uid="{0AEBD576-485E-4803-A179-71D8283D7CC3}"/>
    <cellStyle name="Total 2 5 3" xfId="5483" xr:uid="{00000000-0005-0000-0000-000095150000}"/>
    <cellStyle name="Total 2 5 3 10" xfId="25643" xr:uid="{69CB98BC-6F43-4C1C-8565-1A23B581A121}"/>
    <cellStyle name="Total 2 5 3 10 2" xfId="28310" xr:uid="{2671C9FD-4031-47D7-8C22-F73D8441EC0B}"/>
    <cellStyle name="Total 2 5 3 10 2 2" xfId="35155" xr:uid="{EAEAEB41-0796-4144-B65F-44FA100A0F84}"/>
    <cellStyle name="Total 2 5 3 10 3" xfId="30391" xr:uid="{AF8E0B95-5CF2-45B5-BA25-194A5676BFE7}"/>
    <cellStyle name="Total 2 5 3 10 3 2" xfId="37236" xr:uid="{CC70FB1B-9705-46AC-8186-CC0AC0DF7825}"/>
    <cellStyle name="Total 2 5 3 10 4" xfId="32473" xr:uid="{0D672D9A-7CEB-465E-93C9-1493E9EE5856}"/>
    <cellStyle name="Total 2 5 3 11" xfId="25748" xr:uid="{855D3C84-2890-4AEE-AFF7-6BD121A8B831}"/>
    <cellStyle name="Total 2 5 3 11 2" xfId="28415" xr:uid="{D51AFD6A-A6F1-45D6-AC1B-08B4FB3B940D}"/>
    <cellStyle name="Total 2 5 3 11 2 2" xfId="35260" xr:uid="{505C7D25-94BC-4EBD-A85F-361860D3BCD2}"/>
    <cellStyle name="Total 2 5 3 11 3" xfId="30496" xr:uid="{DD255270-EDC6-41B2-9F3D-1A63A7F28807}"/>
    <cellStyle name="Total 2 5 3 11 3 2" xfId="37341" xr:uid="{909FD219-C537-451A-9ADB-29E86FEF6E18}"/>
    <cellStyle name="Total 2 5 3 11 4" xfId="32578" xr:uid="{FEEDB45F-2DD8-4F19-AB99-ED5A662A7489}"/>
    <cellStyle name="Total 2 5 3 12" xfId="25822" xr:uid="{A3098CCE-00EE-4D63-8FF5-8388EB3190ED}"/>
    <cellStyle name="Total 2 5 3 12 2" xfId="28488" xr:uid="{35F4E2C2-9392-47BA-97C6-1FE0FA7A7350}"/>
    <cellStyle name="Total 2 5 3 12 2 2" xfId="35333" xr:uid="{4A101E76-4733-47D1-94EE-75D70C412D5A}"/>
    <cellStyle name="Total 2 5 3 12 3" xfId="30569" xr:uid="{B3F494BD-6063-46F9-8ACC-2D71F7B08F83}"/>
    <cellStyle name="Total 2 5 3 12 3 2" xfId="37414" xr:uid="{DBB49527-BD3B-4FCF-B22D-2A4971206995}"/>
    <cellStyle name="Total 2 5 3 12 4" xfId="32651" xr:uid="{3BE0E9E7-0232-4965-BD49-609B36F7D77D}"/>
    <cellStyle name="Total 2 5 3 13" xfId="25324" xr:uid="{A3BB12AE-64C2-49D2-ABED-7A6675A1F8C1}"/>
    <cellStyle name="Total 2 5 3 13 2" xfId="27993" xr:uid="{E8AF8695-A13D-44B7-B61C-74BEBA675B1F}"/>
    <cellStyle name="Total 2 5 3 13 2 2" xfId="34838" xr:uid="{B5186BC6-52FE-4098-9273-4B9CD72103D0}"/>
    <cellStyle name="Total 2 5 3 13 3" xfId="30074" xr:uid="{470ECCBD-FBC1-4506-AD89-C6E8595484D1}"/>
    <cellStyle name="Total 2 5 3 13 3 2" xfId="36919" xr:uid="{2BA55F27-4537-456D-A87C-15825F589165}"/>
    <cellStyle name="Total 2 5 3 13 4" xfId="32156" xr:uid="{BDA6E063-3A71-4D9F-B4CD-C3B1E9F1740A}"/>
    <cellStyle name="Total 2 5 3 14" xfId="25954" xr:uid="{C82F29F3-40B9-48BD-961A-BA4B8DA8A86E}"/>
    <cellStyle name="Total 2 5 3 14 2" xfId="28620" xr:uid="{E8D7E03D-C603-4645-A8F8-36980771B02C}"/>
    <cellStyle name="Total 2 5 3 14 2 2" xfId="35465" xr:uid="{FC234AF0-9224-4936-BB5A-3C26C5F3FA3C}"/>
    <cellStyle name="Total 2 5 3 14 3" xfId="30701" xr:uid="{A179D2E2-7FF2-4854-AFF1-599269CD3BBD}"/>
    <cellStyle name="Total 2 5 3 14 3 2" xfId="37546" xr:uid="{451F7237-ECBE-43A3-A772-80EBB7B867F7}"/>
    <cellStyle name="Total 2 5 3 14 4" xfId="32783" xr:uid="{17DF6834-D5C5-4035-BC4E-B03AB0917E36}"/>
    <cellStyle name="Total 2 5 3 15" xfId="26008" xr:uid="{31C5A049-48C4-477F-8C64-693677583818}"/>
    <cellStyle name="Total 2 5 3 15 2" xfId="28674" xr:uid="{30C92A66-3096-449A-BBBC-890DE1D0046D}"/>
    <cellStyle name="Total 2 5 3 15 2 2" xfId="35519" xr:uid="{64FE6CCF-B6E9-4FDF-87A7-79F772B18033}"/>
    <cellStyle name="Total 2 5 3 15 3" xfId="30755" xr:uid="{D2B68ABD-BDE9-475D-B42E-E16479C5E282}"/>
    <cellStyle name="Total 2 5 3 15 3 2" xfId="37600" xr:uid="{B234E31E-B956-451A-8030-90ABA50FCA23}"/>
    <cellStyle name="Total 2 5 3 15 4" xfId="32837" xr:uid="{748F1AD9-AFE0-4EF8-ACF2-BD78CDC17EF3}"/>
    <cellStyle name="Total 2 5 3 16" xfId="24590" xr:uid="{F2481514-8A76-4804-9567-F98770699648}"/>
    <cellStyle name="Total 2 5 3 17" xfId="16562" xr:uid="{20C15B12-EE81-448E-BF18-8D33454D8861}"/>
    <cellStyle name="Total 2 5 3 18" xfId="39510" xr:uid="{93BCED10-4689-4A06-80EC-52AED9FFFC56}"/>
    <cellStyle name="Total 2 5 3 2" xfId="10997" xr:uid="{00000000-0005-0000-0000-0000DB220000}"/>
    <cellStyle name="Total 2 5 3 2 10" xfId="20427" xr:uid="{8599CA0B-C6C4-4153-8F88-D441386B9CB7}"/>
    <cellStyle name="Total 2 5 3 2 11" xfId="22470" xr:uid="{2C1BFD05-F5B1-4689-8513-04A5BF63A16E}"/>
    <cellStyle name="Total 2 5 3 2 12" xfId="22837" xr:uid="{842BF8C0-8DAD-46F4-86CB-1841CB14AA39}"/>
    <cellStyle name="Total 2 5 3 2 13" xfId="19051" xr:uid="{A8BD9B70-D565-46A3-AC08-6714F081B4B3}"/>
    <cellStyle name="Total 2 5 3 2 14" xfId="22971" xr:uid="{EC772E75-B0EE-4469-BDC9-FE5C2BF0060D}"/>
    <cellStyle name="Total 2 5 3 2 15" xfId="22416" xr:uid="{49779F16-1227-4241-8C09-99432BBCAED2}"/>
    <cellStyle name="Total 2 5 3 2 16" xfId="31485" xr:uid="{856A5888-DC41-4E5F-ACB2-D17EE461E2C3}"/>
    <cellStyle name="Total 2 5 3 2 17" xfId="18799" xr:uid="{9BFD7FB7-BAB2-4623-8E27-C1D00300D9BA}"/>
    <cellStyle name="Total 2 5 3 2 18" xfId="43486" xr:uid="{4FC085AC-53B3-4312-AFA8-04BB4594647E}"/>
    <cellStyle name="Total 2 5 3 2 2" xfId="21290" xr:uid="{6F8DB083-D4E1-4E92-B62C-080B4A5AC730}"/>
    <cellStyle name="Total 2 5 3 2 2 2" xfId="27323" xr:uid="{D521958A-5403-48B9-92A1-B852231A7C59}"/>
    <cellStyle name="Total 2 5 3 2 2 3" xfId="34167" xr:uid="{B89E594D-89AF-4CD3-BBBF-06BA3D7B7D09}"/>
    <cellStyle name="Total 2 5 3 2 3" xfId="21593" xr:uid="{7DA074BF-05D9-46D0-9CA6-6E90DA309D78}"/>
    <cellStyle name="Total 2 5 3 2 3 2" xfId="29403" xr:uid="{075189C7-EEEA-4C64-9B6D-23F365E3D5C1}"/>
    <cellStyle name="Total 2 5 3 2 3 3" xfId="36248" xr:uid="{6A58E86B-620D-4F0F-AAC9-E5640C753DF3}"/>
    <cellStyle name="Total 2 5 3 2 4" xfId="21264" xr:uid="{B278B137-7532-4360-90A4-FC2E09671B01}"/>
    <cellStyle name="Total 2 5 3 2 5" xfId="20036" xr:uid="{25262737-A274-4446-A7AE-305F7277342D}"/>
    <cellStyle name="Total 2 5 3 2 6" xfId="21910" xr:uid="{BC5A48F6-4A09-4576-90D7-02917E0B3BF1}"/>
    <cellStyle name="Total 2 5 3 2 7" xfId="21331" xr:uid="{C748BBF0-6590-40BD-AFFF-9E8AA9FCDED3}"/>
    <cellStyle name="Total 2 5 3 2 8" xfId="22331" xr:uid="{2A73D100-EC47-4B6C-830B-A8C7281DA663}"/>
    <cellStyle name="Total 2 5 3 2 9" xfId="22592" xr:uid="{DE3CFB59-437D-45C5-8D3A-08175E5ACCE4}"/>
    <cellStyle name="Total 2 5 3 3" xfId="18301" xr:uid="{9D72C7D1-6506-4C99-971C-E7EE8DE8C4C3}"/>
    <cellStyle name="Total 2 5 3 3 10" xfId="22024" xr:uid="{96AD031C-8DBC-4E17-88B3-4D658B5A11EC}"/>
    <cellStyle name="Total 2 5 3 3 11" xfId="19741" xr:uid="{1EC1D0C2-1E23-450A-96DD-8708AF4C211C}"/>
    <cellStyle name="Total 2 5 3 3 12" xfId="20854" xr:uid="{BA2B26D8-6887-436D-907F-0F5A710ED63E}"/>
    <cellStyle name="Total 2 5 3 3 13" xfId="19220" xr:uid="{92190503-3193-4CE2-A990-803CC8E7374E}"/>
    <cellStyle name="Total 2 5 3 3 14" xfId="22635" xr:uid="{FC7C4165-4F93-45FD-8930-52B05F687EBC}"/>
    <cellStyle name="Total 2 5 3 3 15" xfId="21120" xr:uid="{45D6B0F0-9E26-4B20-BF70-5720B7463251}"/>
    <cellStyle name="Total 2 5 3 3 16" xfId="31293" xr:uid="{F4267AA2-B11D-406D-A035-0BF6CD91DF1D}"/>
    <cellStyle name="Total 2 5 3 3 2" xfId="19543" xr:uid="{EEACEEB6-1A39-47CD-9E0E-0C5FABE156A8}"/>
    <cellStyle name="Total 2 5 3 3 2 2" xfId="27134" xr:uid="{7B58B2AB-ECF2-4E6D-BBA9-4302EE1CF05A}"/>
    <cellStyle name="Total 2 5 3 3 2 3" xfId="33975" xr:uid="{D128D61E-7149-4B54-B18E-6C36B2DFACF3}"/>
    <cellStyle name="Total 2 5 3 3 3" xfId="19291" xr:uid="{8E512226-F456-4D64-B763-978A708D2ADE}"/>
    <cellStyle name="Total 2 5 3 3 3 2" xfId="29211" xr:uid="{794D46CA-76C3-44CB-B6A7-150500E3DC0B}"/>
    <cellStyle name="Total 2 5 3 3 3 3" xfId="36056" xr:uid="{0EBB8DD8-DBAB-4891-8D10-6DFD4B6E8241}"/>
    <cellStyle name="Total 2 5 3 3 4" xfId="18847" xr:uid="{7C696E25-AA6C-48B5-9D69-063048880961}"/>
    <cellStyle name="Total 2 5 3 3 5" xfId="22088" xr:uid="{1E56DDA7-0CFA-4318-B447-82A97FC02384}"/>
    <cellStyle name="Total 2 5 3 3 6" xfId="19829" xr:uid="{369C8991-29BF-45F1-A363-37482FDB5633}"/>
    <cellStyle name="Total 2 5 3 3 7" xfId="20747" xr:uid="{7532A327-6BAF-4F6F-B090-BC65D0751CBC}"/>
    <cellStyle name="Total 2 5 3 3 8" xfId="20334" xr:uid="{EC38CA91-DDFD-4493-BD10-2F85C339A113}"/>
    <cellStyle name="Total 2 5 3 3 9" xfId="21544" xr:uid="{66950F3A-D2AB-4E65-A3FC-27264A3E76EB}"/>
    <cellStyle name="Total 2 5 3 4" xfId="17812" xr:uid="{898DDE0E-A1A5-432D-82CE-60761788052D}"/>
    <cellStyle name="Total 2 5 3 4 2" xfId="26904" xr:uid="{70F4F3A5-C024-4752-8936-CBF378C73564}"/>
    <cellStyle name="Total 2 5 3 4 2 2" xfId="33744" xr:uid="{79A1558A-066B-4629-968A-1A5293D6DB21}"/>
    <cellStyle name="Total 2 5 3 4 3" xfId="28980" xr:uid="{6EB8F190-FBB5-4866-A1D0-015879020DDC}"/>
    <cellStyle name="Total 2 5 3 4 3 2" xfId="35825" xr:uid="{E50BEB75-B3EB-4E40-BF2B-FA962CB31ECF}"/>
    <cellStyle name="Total 2 5 3 4 4" xfId="24297" xr:uid="{5CF44C20-6C77-44B9-8D6E-051CF5E5EA5F}"/>
    <cellStyle name="Total 2 5 3 4 5" xfId="31062" xr:uid="{78C35415-A9FE-430B-8A73-A26E5A2FC919}"/>
    <cellStyle name="Total 2 5 3 5" xfId="25096" xr:uid="{9377FC2B-1BEB-44EC-A2E3-202E78B3E9FA}"/>
    <cellStyle name="Total 2 5 3 5 2" xfId="27768" xr:uid="{815F1943-F0FF-40E3-9EA2-3B0EA3C10611}"/>
    <cellStyle name="Total 2 5 3 5 2 2" xfId="34613" xr:uid="{647CBACA-D5B7-4FB4-9BD0-4958C6400ADC}"/>
    <cellStyle name="Total 2 5 3 5 3" xfId="29849" xr:uid="{371C8DCC-B67C-43E0-9316-D5A89A0E8FF8}"/>
    <cellStyle name="Total 2 5 3 5 3 2" xfId="36694" xr:uid="{0EB749A7-2427-4514-9426-49E7DACDE941}"/>
    <cellStyle name="Total 2 5 3 5 4" xfId="31931" xr:uid="{85CC47F5-7979-47D3-802E-C5DC22596679}"/>
    <cellStyle name="Total 2 5 3 6" xfId="25047" xr:uid="{4525C624-3EF8-486D-A072-C651E98979F8}"/>
    <cellStyle name="Total 2 5 3 6 2" xfId="27719" xr:uid="{34D40991-BFA2-4D00-A94D-BFE66B24DE02}"/>
    <cellStyle name="Total 2 5 3 6 2 2" xfId="34564" xr:uid="{612C3E8D-D162-4861-ABBD-70F06B80232E}"/>
    <cellStyle name="Total 2 5 3 6 3" xfId="29800" xr:uid="{7BD5D3E4-F496-4CAC-A992-EBBFA2E76949}"/>
    <cellStyle name="Total 2 5 3 6 3 2" xfId="36645" xr:uid="{8B647ED4-D2B3-43D2-8580-FCAD41626587}"/>
    <cellStyle name="Total 2 5 3 6 4" xfId="31882" xr:uid="{35AC6945-EBE5-4296-9683-A96B9A771394}"/>
    <cellStyle name="Total 2 5 3 7" xfId="24170" xr:uid="{78DC1720-EAE1-4305-AA76-37E19C64D0D9}"/>
    <cellStyle name="Total 2 5 3 7 2" xfId="26781" xr:uid="{EC7B3E71-27DA-4520-B21E-78307BCCBB33}"/>
    <cellStyle name="Total 2 5 3 7 2 2" xfId="33621" xr:uid="{57E11E69-1221-4A60-B183-380E4BF2CCFE}"/>
    <cellStyle name="Total 2 5 3 7 3" xfId="28857" xr:uid="{C71F0B0C-B2D5-4E1B-B7FD-0D4FCBC8AEEC}"/>
    <cellStyle name="Total 2 5 3 7 3 2" xfId="35702" xr:uid="{36A3B7D1-F3E5-4642-AB06-C51BCE3D7325}"/>
    <cellStyle name="Total 2 5 3 7 4" xfId="30939" xr:uid="{B62CC4D8-653B-4F9F-A97F-92541EC0A7A6}"/>
    <cellStyle name="Total 2 5 3 8" xfId="23973" xr:uid="{9A77A7C6-6187-42FA-B1BD-6057D0A16B11}"/>
    <cellStyle name="Total 2 5 3 8 2" xfId="26590" xr:uid="{510C3492-981D-4914-B87F-1B909E7DB411}"/>
    <cellStyle name="Total 2 5 3 8 2 2" xfId="33430" xr:uid="{048AF18F-5CA6-46FF-A257-FB671FCC35A7}"/>
    <cellStyle name="Total 2 5 3 8 3" xfId="26103" xr:uid="{1A37398D-D3F8-41A1-9F84-9BBEA0A58FDA}"/>
    <cellStyle name="Total 2 5 3 8 3 2" xfId="32931" xr:uid="{5E3F62D8-2FDA-40D5-A142-3F10947300EA}"/>
    <cellStyle name="Total 2 5 3 8 4" xfId="23225" xr:uid="{59A8B443-5BBD-464A-B0B0-BC248A816A81}"/>
    <cellStyle name="Total 2 5 3 9" xfId="25311" xr:uid="{C407681C-FDE4-46DE-9BB4-D8AEA2735FC5}"/>
    <cellStyle name="Total 2 5 3 9 2" xfId="27981" xr:uid="{43C62983-544B-42AD-B398-4563D2B7F6AC}"/>
    <cellStyle name="Total 2 5 3 9 2 2" xfId="34826" xr:uid="{447BE71B-B0FA-4850-8B1D-095885B2C063}"/>
    <cellStyle name="Total 2 5 3 9 3" xfId="30062" xr:uid="{7D4F3D23-0E83-4409-8760-DABDBE2F5E69}"/>
    <cellStyle name="Total 2 5 3 9 3 2" xfId="36907" xr:uid="{73A9D56C-2F0D-4073-9539-D47FB454D26F}"/>
    <cellStyle name="Total 2 5 3 9 4" xfId="32144" xr:uid="{6FE2A829-395A-427C-A6B0-480BD1959215}"/>
    <cellStyle name="Total 2 5 4" xfId="10995" xr:uid="{00000000-0005-0000-0000-0000D9220000}"/>
    <cellStyle name="Total 2 5 4 10" xfId="20662" xr:uid="{C8663584-D889-4267-B894-55FF582106BA}"/>
    <cellStyle name="Total 2 5 4 11" xfId="22649" xr:uid="{21A9F169-B2BA-49D9-9557-509514FD1AA1}"/>
    <cellStyle name="Total 2 5 4 12" xfId="22836" xr:uid="{CA07EF3C-7FDF-4D38-8247-BB0C2CD7B1A3}"/>
    <cellStyle name="Total 2 5 4 13" xfId="19400" xr:uid="{8929953D-026E-46EC-812A-9CA60D4A7E19}"/>
    <cellStyle name="Total 2 5 4 14" xfId="22970" xr:uid="{AF702DFD-EBF6-4355-BBAD-39338E04A6DB}"/>
    <cellStyle name="Total 2 5 4 15" xfId="21971" xr:uid="{B90DE01C-319A-4B39-B914-8EF96BD0B420}"/>
    <cellStyle name="Total 2 5 4 16" xfId="23739" xr:uid="{29409BBF-DF0C-4CAC-B58D-FABFE0CB9A7B}"/>
    <cellStyle name="Total 2 5 4 17" xfId="18798" xr:uid="{6A594BC1-B6A1-4604-A584-DB000F785538}"/>
    <cellStyle name="Total 2 5 4 18" xfId="43484" xr:uid="{AE2EE110-C1E7-4C18-930A-0C28C19B2DD4}"/>
    <cellStyle name="Total 2 5 4 2" xfId="19752" xr:uid="{C01AB380-CEFB-401B-8628-82B720646A0E}"/>
    <cellStyle name="Total 2 5 4 3" xfId="19647" xr:uid="{F6C9D2AA-36CB-45C9-AD8B-D4C8A61D32EA}"/>
    <cellStyle name="Total 2 5 4 4" xfId="19564" xr:uid="{DA4C6794-3967-45C0-AD05-178E22EEAD76}"/>
    <cellStyle name="Total 2 5 4 5" xfId="20748" xr:uid="{E4644660-A264-46E2-95B1-A6C84070FB21}"/>
    <cellStyle name="Total 2 5 4 6" xfId="19653" xr:uid="{CE6C3647-46F3-4666-A2A7-4B7B65117370}"/>
    <cellStyle name="Total 2 5 4 7" xfId="20256" xr:uid="{50E5F8B9-A84F-4A3D-8151-B605AF9D513E}"/>
    <cellStyle name="Total 2 5 4 8" xfId="20194" xr:uid="{2C3DA694-98F0-4194-8FC2-19F27845A13D}"/>
    <cellStyle name="Total 2 5 4 9" xfId="22591" xr:uid="{93F63997-FA9D-4FFB-8F75-FFAFF27A65CE}"/>
    <cellStyle name="Total 2 5 5" xfId="9224" xr:uid="{00000000-0005-0000-0000-000090110000}"/>
    <cellStyle name="Total 2 5 5 10" xfId="19266" xr:uid="{29270136-E9EA-4921-B2C0-C7951948DE64}"/>
    <cellStyle name="Total 2 5 5 11" xfId="20564" xr:uid="{B49A478E-B871-4745-8616-C5725646B59C}"/>
    <cellStyle name="Total 2 5 5 12" xfId="20964" xr:uid="{CBB35C2F-B3C8-467F-B42E-E72DC7C87D4F}"/>
    <cellStyle name="Total 2 5 5 13" xfId="19951" xr:uid="{7A93FCB9-5DB8-4900-8A25-E7D304622229}"/>
    <cellStyle name="Total 2 5 5 14" xfId="21333" xr:uid="{A72B4F57-B4A9-4E08-9A0D-AD52691E11C4}"/>
    <cellStyle name="Total 2 5 5 15" xfId="21875" xr:uid="{55C1C379-BB6D-4B8C-BF33-2A22928A9F22}"/>
    <cellStyle name="Total 2 5 5 16" xfId="31359" xr:uid="{44CE87D3-2D8A-46F6-A13A-1883FE4D8F4F}"/>
    <cellStyle name="Total 2 5 5 17" xfId="18299" xr:uid="{933A6169-D6F4-4D7A-9D3A-6CE6D54F8403}"/>
    <cellStyle name="Total 2 5 5 2" xfId="21687" xr:uid="{6EEE1FD0-1578-431A-8FB1-100551B233C0}"/>
    <cellStyle name="Total 2 5 5 2 2" xfId="27200" xr:uid="{865FB46D-B7DE-43C0-BDD3-1B2D3A97AD7C}"/>
    <cellStyle name="Total 2 5 5 2 3" xfId="34041" xr:uid="{2F3744B0-14BA-4E3D-8F04-57FA9D98D2FC}"/>
    <cellStyle name="Total 2 5 5 3" xfId="19488" xr:uid="{530B5680-2371-4F8C-8452-0A6252D41B18}"/>
    <cellStyle name="Total 2 5 5 3 2" xfId="29277" xr:uid="{BF7534F7-8BB3-46AE-A110-B9EA08E995B7}"/>
    <cellStyle name="Total 2 5 5 3 3" xfId="36122" xr:uid="{9C493C6E-CCB8-4C5D-AD87-87A2DB2BA21A}"/>
    <cellStyle name="Total 2 5 5 4" xfId="20237" xr:uid="{D841F138-CB7C-4603-A82F-F0AF586020E8}"/>
    <cellStyle name="Total 2 5 5 5" xfId="20908" xr:uid="{A07B763F-5B85-41DB-B2D6-03BFC9C48FE2}"/>
    <cellStyle name="Total 2 5 5 6" xfId="19007" xr:uid="{0E08BDBA-9912-4E31-BF13-3ECCA5A1FEF9}"/>
    <cellStyle name="Total 2 5 5 7" xfId="21387" xr:uid="{D8DF76BC-3DA6-43A3-8F66-8EE7498D9AFD}"/>
    <cellStyle name="Total 2 5 5 8" xfId="20377" xr:uid="{D7CB8E32-189A-4A5E-BC4B-D64381FF2158}"/>
    <cellStyle name="Total 2 5 5 9" xfId="22035" xr:uid="{00FE697D-761B-4AD6-903F-6F1386156A67}"/>
    <cellStyle name="Total 2 5 6" xfId="17541" xr:uid="{22530544-EB75-4217-944B-18307772D102}"/>
    <cellStyle name="Total 2 5 6 2" xfId="27130" xr:uid="{835534C1-26BB-4E28-A2CC-6693046C0D35}"/>
    <cellStyle name="Total 2 5 6 2 2" xfId="33970" xr:uid="{3F096DE0-F239-4220-A0CA-0B94D9F7781D}"/>
    <cellStyle name="Total 2 5 6 3" xfId="29206" xr:uid="{F579292A-F389-4BD0-A0D7-3DB33A8AA5FA}"/>
    <cellStyle name="Total 2 5 6 3 2" xfId="36051" xr:uid="{583B0411-AED0-4E19-859F-5A44E7BC5554}"/>
    <cellStyle name="Total 2 5 6 4" xfId="24524" xr:uid="{331DD294-A4E4-4A89-A90B-83000D7A9F6E}"/>
    <cellStyle name="Total 2 5 6 5" xfId="31288" xr:uid="{3E62CB6C-9BD6-4842-B739-F0250BEAD6FC}"/>
    <cellStyle name="Total 2 5 7" xfId="25027" xr:uid="{578CDC16-6238-40A8-BE54-9ED396342ABD}"/>
    <cellStyle name="Total 2 5 7 2" xfId="27700" xr:uid="{DCDA0B19-C192-4ADE-80FE-9CC17B247A81}"/>
    <cellStyle name="Total 2 5 7 2 2" xfId="34545" xr:uid="{57AB483F-6D20-48FB-BD81-FED314FD0621}"/>
    <cellStyle name="Total 2 5 7 3" xfId="29781" xr:uid="{1625F527-35CC-4D80-B6FE-AB59A09FCB72}"/>
    <cellStyle name="Total 2 5 7 3 2" xfId="36626" xr:uid="{B968ABFB-B665-45B5-BE51-66785E1D375D}"/>
    <cellStyle name="Total 2 5 7 4" xfId="31863" xr:uid="{1588918C-B9A9-4503-A8B5-77D2A0447ADF}"/>
    <cellStyle name="Total 2 5 8" xfId="24176" xr:uid="{D627136A-D737-4D77-AF06-4B7E3AB782F4}"/>
    <cellStyle name="Total 2 5 8 2" xfId="26787" xr:uid="{9C87BF32-1F44-418F-A676-2ACACEE68CD1}"/>
    <cellStyle name="Total 2 5 8 2 2" xfId="33627" xr:uid="{CFEE0F11-A063-454B-8664-6E2D68AF7B60}"/>
    <cellStyle name="Total 2 5 8 3" xfId="28863" xr:uid="{FE0355B1-2DE8-4CE8-B84E-9A5DC2131DEB}"/>
    <cellStyle name="Total 2 5 8 3 2" xfId="35708" xr:uid="{53B88B93-83E8-4887-BBAB-1E1E158729C7}"/>
    <cellStyle name="Total 2 5 8 4" xfId="30945" xr:uid="{D50B5B58-28F8-4DC7-9CD3-46015373F879}"/>
    <cellStyle name="Total 2 5 9" xfId="25254" xr:uid="{B8C3E40C-C922-4409-AFE4-72B580319DF0}"/>
    <cellStyle name="Total 2 5 9 2" xfId="27925" xr:uid="{48A2966E-2499-45A0-BDA2-263EE0A744C7}"/>
    <cellStyle name="Total 2 5 9 2 2" xfId="34770" xr:uid="{F9566D8C-6E03-46AB-A578-A842A28647BF}"/>
    <cellStyle name="Total 2 5 9 3" xfId="30006" xr:uid="{ACF4D921-C213-44E1-BF74-2DC41405801B}"/>
    <cellStyle name="Total 2 5 9 3 2" xfId="36851" xr:uid="{A13B1EA7-3D6B-4E79-ABD8-FF00C7DFC871}"/>
    <cellStyle name="Total 2 5 9 4" xfId="32088" xr:uid="{1CF33EDC-EDF0-4A42-B3A9-F9E412EED154}"/>
    <cellStyle name="Total 2 6" xfId="5484" xr:uid="{00000000-0005-0000-0000-000096150000}"/>
    <cellStyle name="Total 2 6 10" xfId="23799" xr:uid="{0379C884-8134-4CF7-AFF2-27B79713CEA0}"/>
    <cellStyle name="Total 2 6 10 2" xfId="26413" xr:uid="{0F6834BF-6162-4720-AE75-6792F8FF747C}"/>
    <cellStyle name="Total 2 6 10 2 2" xfId="33253" xr:uid="{B61B50B3-B874-4BC5-9643-336796A0AC28}"/>
    <cellStyle name="Total 2 6 10 3" xfId="26269" xr:uid="{4C8C382E-BFDB-469D-8993-EBF8D3C55365}"/>
    <cellStyle name="Total 2 6 10 3 2" xfId="33097" xr:uid="{85D542C7-2A2F-4A7B-981A-A669D7903015}"/>
    <cellStyle name="Total 2 6 10 4" xfId="23391" xr:uid="{7FAF4859-145A-4655-9647-8F17B7546D48}"/>
    <cellStyle name="Total 2 6 11" xfId="24897" xr:uid="{817B19B7-56BD-4EB6-BA32-D8BB5862DEF0}"/>
    <cellStyle name="Total 2 6 11 2" xfId="27565" xr:uid="{727EF036-27B1-4384-AE39-66A572617931}"/>
    <cellStyle name="Total 2 6 11 2 2" xfId="34409" xr:uid="{776A45AF-07C4-4D09-9C5E-6BC7546167B6}"/>
    <cellStyle name="Total 2 6 11 3" xfId="29645" xr:uid="{EEB357B1-08F3-41B4-892F-9133440F30E7}"/>
    <cellStyle name="Total 2 6 11 3 2" xfId="36490" xr:uid="{E1DAFF0B-04EB-4E63-A1B7-1C7C0B3175F4}"/>
    <cellStyle name="Total 2 6 11 4" xfId="31727" xr:uid="{B3BC7EFC-0D98-4AF3-A686-3D3006EF7CE0}"/>
    <cellStyle name="Total 2 6 12" xfId="25521" xr:uid="{12764CB7-8F81-462F-9021-F2DB38DF3D41}"/>
    <cellStyle name="Total 2 6 12 2" xfId="28188" xr:uid="{F12329FC-C7F5-4E4D-AD5A-2491E8F65293}"/>
    <cellStyle name="Total 2 6 12 2 2" xfId="35033" xr:uid="{CB9C5BD3-6215-461B-A909-2A9E64F5A9D3}"/>
    <cellStyle name="Total 2 6 12 3" xfId="30269" xr:uid="{6C12FD61-172E-4763-8BAA-34A9FCC1A13E}"/>
    <cellStyle name="Total 2 6 12 3 2" xfId="37114" xr:uid="{98ACF809-13D0-42DE-94BB-C0210D096CD7}"/>
    <cellStyle name="Total 2 6 12 4" xfId="32351" xr:uid="{110D0566-6954-450C-AE92-64F013874195}"/>
    <cellStyle name="Total 2 6 13" xfId="25329" xr:uid="{59CAAA4F-FDF1-4C5B-B3EA-AFD9F48C6C9E}"/>
    <cellStyle name="Total 2 6 13 2" xfId="27998" xr:uid="{B54CF610-A117-4104-A8F7-6BA8AD0A03FC}"/>
    <cellStyle name="Total 2 6 13 2 2" xfId="34843" xr:uid="{721500AD-415F-442F-9818-F757CCB10736}"/>
    <cellStyle name="Total 2 6 13 3" xfId="30079" xr:uid="{477663C9-3FA3-4E2B-97DC-3D04D777EA28}"/>
    <cellStyle name="Total 2 6 13 3 2" xfId="36924" xr:uid="{52B1ADAA-8688-48E4-B8A5-1B5E83E1DEF7}"/>
    <cellStyle name="Total 2 6 13 4" xfId="32161" xr:uid="{D8D14642-D74B-4BCA-B9E9-F7A150006F3A}"/>
    <cellStyle name="Total 2 6 14" xfId="24376" xr:uid="{745F0845-D618-4888-8578-E73398299F8C}"/>
    <cellStyle name="Total 2 6 14 2" xfId="26991" xr:uid="{4AA1F531-D323-410D-B0E9-3997F67F9686}"/>
    <cellStyle name="Total 2 6 14 2 2" xfId="33831" xr:uid="{EB5CC248-91D1-4918-BBF8-1BB73DCA3507}"/>
    <cellStyle name="Total 2 6 14 3" xfId="29067" xr:uid="{99D66D69-4265-4645-B2EA-34BCE74B637F}"/>
    <cellStyle name="Total 2 6 14 3 2" xfId="35912" xr:uid="{95E30110-579C-47C8-8FC2-1416D34BE6B5}"/>
    <cellStyle name="Total 2 6 14 4" xfId="31149" xr:uid="{00E81BC5-FE5A-4767-8593-9BA7E7415AAE}"/>
    <cellStyle name="Total 2 6 15" xfId="25590" xr:uid="{4EEC6B4F-1C7B-4470-BDDA-84DB667B21AA}"/>
    <cellStyle name="Total 2 6 15 2" xfId="28257" xr:uid="{FD869A06-FE00-4A14-B7E4-74C527A572A8}"/>
    <cellStyle name="Total 2 6 15 2 2" xfId="35102" xr:uid="{FF9BA19E-C581-4120-94AD-D55711E84AD3}"/>
    <cellStyle name="Total 2 6 15 3" xfId="30338" xr:uid="{95B822E9-85EB-41BA-9070-86026A98B591}"/>
    <cellStyle name="Total 2 6 15 3 2" xfId="37183" xr:uid="{360D5EF0-2C5E-476F-A12C-254B497F60AC}"/>
    <cellStyle name="Total 2 6 15 4" xfId="32420" xr:uid="{D1D85FCE-1074-42D1-9D26-889394638FAB}"/>
    <cellStyle name="Total 2 6 16" xfId="25928" xr:uid="{05C846E3-F527-4E01-988C-AFC149CF07C8}"/>
    <cellStyle name="Total 2 6 16 2" xfId="28594" xr:uid="{E53FDCD8-1705-430D-80C2-946EADC7E625}"/>
    <cellStyle name="Total 2 6 16 2 2" xfId="35439" xr:uid="{F3B10160-E1ED-4C1E-867F-E983A47ED6C1}"/>
    <cellStyle name="Total 2 6 16 3" xfId="30675" xr:uid="{B63E2B5B-73D1-4363-B0B7-DBFF1C65665F}"/>
    <cellStyle name="Total 2 6 16 3 2" xfId="37520" xr:uid="{B5146E5D-476E-4223-A68B-B737CA36ED9C}"/>
    <cellStyle name="Total 2 6 16 4" xfId="32757" xr:uid="{E3DB93CD-3EBF-421E-ACBC-285BF359A173}"/>
    <cellStyle name="Total 2 6 17" xfId="23597" xr:uid="{386E5D91-E532-4821-A0F8-1E6B5D5D598C}"/>
    <cellStyle name="Total 2 6 18" xfId="16563" xr:uid="{ABF0EFA9-3923-4538-99E3-75E0A6C387DA}"/>
    <cellStyle name="Total 2 6 19" xfId="39511" xr:uid="{DA1F0437-5470-4B2F-B774-BC2D2EC685C0}"/>
    <cellStyle name="Total 2 6 2" xfId="5485" xr:uid="{00000000-0005-0000-0000-000097150000}"/>
    <cellStyle name="Total 2 6 2 2" xfId="10999" xr:uid="{00000000-0005-0000-0000-0000DD220000}"/>
    <cellStyle name="Total 2 6 2 2 2" xfId="43488" xr:uid="{CC3E76B1-66FE-4102-8905-0019BCBC0298}"/>
    <cellStyle name="Total 2 6 2 3" xfId="16564" xr:uid="{AB7A8265-CFAF-4B42-A707-2D2CF50A4648}"/>
    <cellStyle name="Total 2 6 2 4" xfId="39512" xr:uid="{AC3CC116-D873-4C31-AB13-1372809B8F9C}"/>
    <cellStyle name="Total 2 6 3" xfId="5486" xr:uid="{00000000-0005-0000-0000-000098150000}"/>
    <cellStyle name="Total 2 6 3 10" xfId="20621" xr:uid="{090516FE-D3C8-433C-9A61-BB081CE441EB}"/>
    <cellStyle name="Total 2 6 3 11" xfId="21925" xr:uid="{3DABBFAD-309F-4244-8FD0-10B11CFA104A}"/>
    <cellStyle name="Total 2 6 3 12" xfId="21004" xr:uid="{66EBC91B-51A2-455A-9289-1D1A032D2984}"/>
    <cellStyle name="Total 2 6 3 13" xfId="21649" xr:uid="{789277A6-D3B8-46A4-9B24-F6F60593F909}"/>
    <cellStyle name="Total 2 6 3 14" xfId="20389" xr:uid="{E4B877B1-BA83-46B5-88D5-8DBD67CE5161}"/>
    <cellStyle name="Total 2 6 3 15" xfId="21335" xr:uid="{43510C43-2954-4FBE-ACBB-6896CC6E094A}"/>
    <cellStyle name="Total 2 6 3 16" xfId="19722" xr:uid="{A26DD3D2-1783-4338-9B21-26CC0275CECD}"/>
    <cellStyle name="Total 2 6 3 17" xfId="18303" xr:uid="{35F20B38-5A82-450E-A95A-CFBDFF0325FF}"/>
    <cellStyle name="Total 2 6 3 18" xfId="31409" xr:uid="{85D1B70C-46A7-41A7-8F4E-6B2AA54404D1}"/>
    <cellStyle name="Total 2 6 3 19" xfId="16565" xr:uid="{CE4B6B1E-E95D-4C5E-9700-3E4888403A83}"/>
    <cellStyle name="Total 2 6 3 2" xfId="11000" xr:uid="{00000000-0005-0000-0000-0000DE220000}"/>
    <cellStyle name="Total 2 6 3 2 10" xfId="19643" xr:uid="{32D6B1B5-1F89-4F78-A6DA-9D9DED7868C3}"/>
    <cellStyle name="Total 2 6 3 2 11" xfId="19727" xr:uid="{E9F71892-7DEB-4277-809F-8207DECFED65}"/>
    <cellStyle name="Total 2 6 3 2 12" xfId="22839" xr:uid="{8485B9C6-ACA3-4A45-A216-AA8C00E6D4AB}"/>
    <cellStyle name="Total 2 6 3 2 13" xfId="22719" xr:uid="{312BDF64-DAEC-4DBD-A349-BE4F2D028D30}"/>
    <cellStyle name="Total 2 6 3 2 14" xfId="22973" xr:uid="{A8AEF2AD-9D37-4D97-BF76-7F70E2C376E2}"/>
    <cellStyle name="Total 2 6 3 2 15" xfId="22992" xr:uid="{54D2D4A4-C182-47E3-BFF6-8F31CA395899}"/>
    <cellStyle name="Total 2 6 3 2 16" xfId="34091" xr:uid="{315F3212-667F-4476-BCCE-759099175979}"/>
    <cellStyle name="Total 2 6 3 2 17" xfId="18801" xr:uid="{D1B900D7-BFB4-4D7A-B00A-6C24BA9066B4}"/>
    <cellStyle name="Total 2 6 3 2 18" xfId="43489" xr:uid="{59EECF9E-5FEF-421C-8F53-82CCD5D3C447}"/>
    <cellStyle name="Total 2 6 3 2 2" xfId="21613" xr:uid="{09E38289-EA76-4D99-B149-9B645EAC8DDD}"/>
    <cellStyle name="Total 2 6 3 2 3" xfId="21702" xr:uid="{14430064-DF0E-48AE-8F81-9023F97DAEB8}"/>
    <cellStyle name="Total 2 6 3 2 4" xfId="19182" xr:uid="{2DAF617E-7799-44D6-9D21-681E0847CF01}"/>
    <cellStyle name="Total 2 6 3 2 5" xfId="20133" xr:uid="{B4D54440-444A-40EE-B4FA-4E442DCA6A85}"/>
    <cellStyle name="Total 2 6 3 2 6" xfId="21356" xr:uid="{5A139E87-23DF-4983-85EB-E7BB9E8AFAB5}"/>
    <cellStyle name="Total 2 6 3 2 7" xfId="21133" xr:uid="{1FB72CBD-301B-458F-B227-AF008CF0A57D}"/>
    <cellStyle name="Total 2 6 3 2 8" xfId="20792" xr:uid="{256650C1-A1C3-40FB-A206-4CD4F5DD37EE}"/>
    <cellStyle name="Total 2 6 3 2 9" xfId="22594" xr:uid="{728F48E6-E2CF-4C93-BA89-F5F6855BE4B7}"/>
    <cellStyle name="Total 2 6 3 20" xfId="39513" xr:uid="{78252986-C989-4BFC-B577-638EC854DE60}"/>
    <cellStyle name="Total 2 6 3 3" xfId="21697" xr:uid="{8A066A98-B1CB-4360-A9F1-28B669C80F3B}"/>
    <cellStyle name="Total 2 6 3 3 2" xfId="29327" xr:uid="{85620D92-FB04-42A6-9763-A42CBD5C3C73}"/>
    <cellStyle name="Total 2 6 3 3 3" xfId="36172" xr:uid="{0E8EF548-13AA-4F0C-B5AF-9216DFBC44EC}"/>
    <cellStyle name="Total 2 6 3 4" xfId="19282" xr:uid="{DF884883-0082-40A3-8B51-5D449436B195}"/>
    <cellStyle name="Total 2 6 3 5" xfId="19203" xr:uid="{91DFAA08-2033-4E9D-B9FD-C1ED87E4765E}"/>
    <cellStyle name="Total 2 6 3 6" xfId="21421" xr:uid="{0976E7FC-E92E-4C75-9A9F-AD775BE53961}"/>
    <cellStyle name="Total 2 6 3 7" xfId="20525" xr:uid="{BA079037-ADA3-411E-A329-962F0FA64061}"/>
    <cellStyle name="Total 2 6 3 8" xfId="21096" xr:uid="{8DDBE924-4A2B-4E7D-97C9-B9E40F00DC0C}"/>
    <cellStyle name="Total 2 6 3 9" xfId="19397" xr:uid="{6D43E3C5-91C3-4BB0-ACA5-986DF7B90675}"/>
    <cellStyle name="Total 2 6 4" xfId="10998" xr:uid="{00000000-0005-0000-0000-0000DC220000}"/>
    <cellStyle name="Total 2 6 4 10" xfId="21334" xr:uid="{135076E9-2B38-47A7-9479-F43653649CFD}"/>
    <cellStyle name="Total 2 6 4 11" xfId="22400" xr:uid="{1A9DECBC-72DE-4545-A7B7-D008AADAD2C3}"/>
    <cellStyle name="Total 2 6 4 12" xfId="22838" xr:uid="{7A7249E3-011B-4D39-BCB1-F70C0DA73B25}"/>
    <cellStyle name="Total 2 6 4 13" xfId="21771" xr:uid="{CD04BE41-EF7D-4861-AC58-DB561CA6CC70}"/>
    <cellStyle name="Total 2 6 4 14" xfId="22972" xr:uid="{EEF0C90D-3470-485A-A6B7-F23B35BFC26C}"/>
    <cellStyle name="Total 2 6 4 15" xfId="21933" xr:uid="{80D50EA1-E763-4C05-9DD1-5738D4274311}"/>
    <cellStyle name="Total 2 6 4 16" xfId="31631" xr:uid="{CB15043A-5706-4F8B-A5AE-C0D5B9247F4D}"/>
    <cellStyle name="Total 2 6 4 17" xfId="18800" xr:uid="{A0828E80-71A2-4F40-A797-A256F1531430}"/>
    <cellStyle name="Total 2 6 4 18" xfId="43487" xr:uid="{EA7879AB-7B5B-4A6D-A1EE-ED1890923BE9}"/>
    <cellStyle name="Total 2 6 4 2" xfId="19751" xr:uid="{B6046EDB-D42A-40C5-BCCE-166BE91F9028}"/>
    <cellStyle name="Total 2 6 4 2 2" xfId="27469" xr:uid="{1664AE0B-9F69-4E42-BB35-77A579C0149A}"/>
    <cellStyle name="Total 2 6 4 2 3" xfId="34313" xr:uid="{2BB1B543-BFA2-4E72-9710-0961F796FC68}"/>
    <cellStyle name="Total 2 6 4 3" xfId="20508" xr:uid="{6141CD02-9361-4159-8511-2231784C175A}"/>
    <cellStyle name="Total 2 6 4 3 2" xfId="29549" xr:uid="{930C7B5F-D662-4D90-8053-5D6ED89B6E83}"/>
    <cellStyle name="Total 2 6 4 3 3" xfId="36394" xr:uid="{1FAE7EFC-5E1F-4DC6-A167-1E875C2B8650}"/>
    <cellStyle name="Total 2 6 4 4" xfId="19183" xr:uid="{F006A7E9-31F6-415A-89B1-9DD0BA024E85}"/>
    <cellStyle name="Total 2 6 4 5" xfId="22075" xr:uid="{A65EDA9C-C06D-492B-B866-805C34E2F2C3}"/>
    <cellStyle name="Total 2 6 4 6" xfId="21796" xr:uid="{3266F45B-58F9-4115-A159-EBF793CB8C1D}"/>
    <cellStyle name="Total 2 6 4 7" xfId="21909" xr:uid="{9D4C15CF-EA64-43D3-A0D3-35E723844458}"/>
    <cellStyle name="Total 2 6 4 8" xfId="19003" xr:uid="{F86ECDFF-AF32-40B3-8BB4-2C601E11E693}"/>
    <cellStyle name="Total 2 6 4 9" xfId="22593" xr:uid="{24773000-92DC-4258-A529-1F61B5AF2C41}"/>
    <cellStyle name="Total 2 6 5" xfId="9225" xr:uid="{00000000-0005-0000-0000-000091110000}"/>
    <cellStyle name="Total 2 6 5 10" xfId="20057" xr:uid="{A2108486-76B0-4E63-9070-32C274A24713}"/>
    <cellStyle name="Total 2 6 5 11" xfId="21395" xr:uid="{8A081216-B4DC-493D-ADEB-5D8A120B73F0}"/>
    <cellStyle name="Total 2 6 5 12" xfId="22063" xr:uid="{DCE80D10-3D50-431D-A5C7-A47F9281B2DB}"/>
    <cellStyle name="Total 2 6 5 13" xfId="21233" xr:uid="{382F37F0-188B-4DCD-9787-BA094C986183}"/>
    <cellStyle name="Total 2 6 5 14" xfId="22294" xr:uid="{267DE5E3-1663-4292-B751-CD944221DF23}"/>
    <cellStyle name="Total 2 6 5 15" xfId="21817" xr:uid="{87CA76A3-B180-4349-9EC9-BEFC1F870819}"/>
    <cellStyle name="Total 2 6 5 16" xfId="31225" xr:uid="{45B41EB4-2B7A-4FA9-B355-739AE32571D0}"/>
    <cellStyle name="Total 2 6 5 17" xfId="18302" xr:uid="{8515E90E-C4FE-4859-BC8E-CDF91D5C6544}"/>
    <cellStyle name="Total 2 6 5 2" xfId="20222" xr:uid="{17E38F66-24EA-47C7-99C6-992E1B667467}"/>
    <cellStyle name="Total 2 6 5 2 2" xfId="27067" xr:uid="{5CD225BB-03FA-483D-8795-3CDCC6FE5B98}"/>
    <cellStyle name="Total 2 6 5 2 3" xfId="33907" xr:uid="{2CAFC2AE-350C-467A-BB10-B49742622B35}"/>
    <cellStyle name="Total 2 6 5 3" xfId="21669" xr:uid="{9F81783C-0A33-416B-BFDD-9DC338780FF9}"/>
    <cellStyle name="Total 2 6 5 3 2" xfId="29143" xr:uid="{8BAD34C2-149E-4A4B-9857-1029010FDB6B}"/>
    <cellStyle name="Total 2 6 5 3 3" xfId="35988" xr:uid="{2FE608DC-EAAC-4A0A-A489-FC9637DC30C7}"/>
    <cellStyle name="Total 2 6 5 4" xfId="20172" xr:uid="{54ABC1BA-5C30-4319-93EC-E282BA013C9F}"/>
    <cellStyle name="Total 2 6 5 5" xfId="20691" xr:uid="{9B04DEFF-ECB3-45AE-8080-0FC4788E2A59}"/>
    <cellStyle name="Total 2 6 5 6" xfId="20212" xr:uid="{3BA8A9F1-E71C-4473-B828-A5C03779C053}"/>
    <cellStyle name="Total 2 6 5 7" xfId="21446" xr:uid="{F93D2AAC-4C63-44A0-B677-37F929FD7265}"/>
    <cellStyle name="Total 2 6 5 8" xfId="21600" xr:uid="{B4D5F8EA-5C6A-4E6F-BC69-AA6A85938795}"/>
    <cellStyle name="Total 2 6 5 9" xfId="21574" xr:uid="{8B2FEEA5-27B0-494C-A135-F75A942A51EB}"/>
    <cellStyle name="Total 2 6 6" xfId="17628" xr:uid="{908D9ACC-F69A-4E80-8FFE-EBBDB1E05A36}"/>
    <cellStyle name="Total 2 6 6 2" xfId="27030" xr:uid="{6CF8853E-DDB5-4011-8A51-DD5C82E4A138}"/>
    <cellStyle name="Total 2 6 6 2 2" xfId="33870" xr:uid="{F4F678D6-8E63-4DC0-AB3F-8943E268CD0A}"/>
    <cellStyle name="Total 2 6 6 3" xfId="29106" xr:uid="{63F328ED-A008-421E-8AE1-F95837DBBDB5}"/>
    <cellStyle name="Total 2 6 6 3 2" xfId="35951" xr:uid="{94A5FF52-30B0-4B4E-8B4D-2D59BB0B718A}"/>
    <cellStyle name="Total 2 6 6 4" xfId="24411" xr:uid="{761CE745-A303-4DC0-A0DE-8B229102B892}"/>
    <cellStyle name="Total 2 6 6 5" xfId="31188" xr:uid="{76D060CB-8038-4244-BDB4-EF3A27E82EC9}"/>
    <cellStyle name="Total 2 6 7" xfId="24353" xr:uid="{65CF37F6-7C5C-4D9B-96FF-533A1D2EC1A3}"/>
    <cellStyle name="Total 2 6 7 2" xfId="26960" xr:uid="{C11D3A95-8E4F-4E81-8F8D-C0F12FF84762}"/>
    <cellStyle name="Total 2 6 7 2 2" xfId="33800" xr:uid="{1CC8F38D-9DCE-4899-92CE-A88219066FCF}"/>
    <cellStyle name="Total 2 6 7 3" xfId="29036" xr:uid="{7E10413E-ECBD-4867-B870-A907069337DE}"/>
    <cellStyle name="Total 2 6 7 3 2" xfId="35881" xr:uid="{2B03D00C-9402-496A-9B84-362ADE1AD01A}"/>
    <cellStyle name="Total 2 6 7 4" xfId="31118" xr:uid="{5276C116-21DF-4638-9878-023A59A6F791}"/>
    <cellStyle name="Total 2 6 8" xfId="25216" xr:uid="{EB6139A8-6264-455B-84E1-742EDC4FA8FA}"/>
    <cellStyle name="Total 2 6 8 2" xfId="27888" xr:uid="{A39D3A48-3260-4477-8901-230C1FF0B501}"/>
    <cellStyle name="Total 2 6 8 2 2" xfId="34733" xr:uid="{50B5179E-767B-48AC-8F26-C3F4143DBC01}"/>
    <cellStyle name="Total 2 6 8 3" xfId="29969" xr:uid="{E57310A6-846B-4CA6-B725-38620D422BAA}"/>
    <cellStyle name="Total 2 6 8 3 2" xfId="36814" xr:uid="{788264A0-FDA0-43AF-A157-55504D1FE697}"/>
    <cellStyle name="Total 2 6 8 4" xfId="32051" xr:uid="{E8328411-8034-4402-A749-803CCFD83EE2}"/>
    <cellStyle name="Total 2 6 9" xfId="24092" xr:uid="{43539792-402D-4FBE-B7E6-94BAFC31CB40}"/>
    <cellStyle name="Total 2 6 9 2" xfId="26705" xr:uid="{31195482-DF00-44C9-B302-47747DAEA173}"/>
    <cellStyle name="Total 2 6 9 2 2" xfId="33545" xr:uid="{78B89AE8-7B2E-4F17-8E3A-CF0E545C1414}"/>
    <cellStyle name="Total 2 6 9 3" xfId="28781" xr:uid="{E884669D-7A3A-4076-A84E-3AB78B628E13}"/>
    <cellStyle name="Total 2 6 9 3 2" xfId="35626" xr:uid="{B2BF9AB0-84EA-4733-BE73-2D062701C169}"/>
    <cellStyle name="Total 2 6 9 4" xfId="30863" xr:uid="{B7C6D1CE-46DD-45C1-AA1C-CCD03F553C3B}"/>
    <cellStyle name="Total 2 7" xfId="5487" xr:uid="{00000000-0005-0000-0000-000099150000}"/>
    <cellStyle name="Total 2 7 10" xfId="20741" xr:uid="{ADF145EB-DE78-456F-8877-BBA9A56C30D8}"/>
    <cellStyle name="Total 2 7 11" xfId="21564" xr:uid="{A941ED9E-1CF8-4FE0-BC36-4D34C3BDAF85}"/>
    <cellStyle name="Total 2 7 12" xfId="22360" xr:uid="{1338CC27-C46F-4A22-A848-E950F2AD6E40}"/>
    <cellStyle name="Total 2 7 13" xfId="19089" xr:uid="{1579E584-4460-42BD-AB5E-33D75815328C}"/>
    <cellStyle name="Total 2 7 14" xfId="22705" xr:uid="{941F388A-5A3C-4764-B80E-E41FDC8909F9}"/>
    <cellStyle name="Total 2 7 15" xfId="18929" xr:uid="{DF2542A3-640A-406A-9A30-DC64530739B6}"/>
    <cellStyle name="Total 2 7 16" xfId="20318" xr:uid="{DA2692A7-913F-44E7-9D4F-3B46AAB18336}"/>
    <cellStyle name="Total 2 7 17" xfId="21302" xr:uid="{C236EAA6-F37F-49CC-AC4E-A32C64FA5481}"/>
    <cellStyle name="Total 2 7 18" xfId="22624" xr:uid="{2524D382-FE95-4A0D-A3B9-B5322289F3AA}"/>
    <cellStyle name="Total 2 7 19" xfId="18304" xr:uid="{FCBB53A1-BF7A-44B6-92DD-FFEF1C9D215C}"/>
    <cellStyle name="Total 2 7 2" xfId="5488" xr:uid="{00000000-0005-0000-0000-00009A150000}"/>
    <cellStyle name="Total 2 7 2 2" xfId="11002" xr:uid="{00000000-0005-0000-0000-0000E0220000}"/>
    <cellStyle name="Total 2 7 2 2 2" xfId="43491" xr:uid="{5D946009-01EB-4FE4-95FD-0556CDFE0806}"/>
    <cellStyle name="Total 2 7 2 3" xfId="16567" xr:uid="{AA857BE5-7E67-41CD-A19B-B8AF017783D3}"/>
    <cellStyle name="Total 2 7 2 4" xfId="39515" xr:uid="{673E56E6-9DE6-48D5-8935-F1484E9D7090}"/>
    <cellStyle name="Total 2 7 20" xfId="16566" xr:uid="{56322A56-A5D4-4FE2-A141-5E3E0EC546F1}"/>
    <cellStyle name="Total 2 7 21" xfId="39514" xr:uid="{08D6298C-B932-476B-B76B-B03739F91891}"/>
    <cellStyle name="Total 2 7 3" xfId="5489" xr:uid="{00000000-0005-0000-0000-00009B150000}"/>
    <cellStyle name="Total 2 7 3 10" xfId="22311" xr:uid="{3F722DA3-5741-4607-B11F-1598CB0B4C5B}"/>
    <cellStyle name="Total 2 7 3 11" xfId="19025" xr:uid="{1B8775E8-BF4F-45A9-88A4-9807E6171869}"/>
    <cellStyle name="Total 2 7 3 12" xfId="22099" xr:uid="{9437A981-16C5-49E3-BBFD-23106AAD331C}"/>
    <cellStyle name="Total 2 7 3 13" xfId="18965" xr:uid="{EC0F6F10-C41C-4DCE-82A1-5A801AC8943D}"/>
    <cellStyle name="Total 2 7 3 14" xfId="21734" xr:uid="{D46062EE-2849-4765-8ED7-DC55D0816992}"/>
    <cellStyle name="Total 2 7 3 15" xfId="20987" xr:uid="{EF7CCA53-66E5-4FF7-930B-6EF78120D2EF}"/>
    <cellStyle name="Total 2 7 3 16" xfId="22782" xr:uid="{F451FC8C-0902-466A-BCFC-D41DF8395842}"/>
    <cellStyle name="Total 2 7 3 17" xfId="18305" xr:uid="{55B47028-EC63-4F5F-AB7E-0A13C78ACF70}"/>
    <cellStyle name="Total 2 7 3 18" xfId="16568" xr:uid="{FA576586-AA55-40C7-A8A4-B8AFEA87703A}"/>
    <cellStyle name="Total 2 7 3 19" xfId="39516" xr:uid="{9538A8BC-F80B-4E42-9207-5EC7D7647403}"/>
    <cellStyle name="Total 2 7 3 2" xfId="11003" xr:uid="{00000000-0005-0000-0000-0000E1220000}"/>
    <cellStyle name="Total 2 7 3 2 10" xfId="19233" xr:uid="{E2AAB7B4-3D09-452D-9AB4-5B1FA881C692}"/>
    <cellStyle name="Total 2 7 3 2 11" xfId="20838" xr:uid="{FA067AA0-CDE5-49C2-A6FD-BDA3173FB09B}"/>
    <cellStyle name="Total 2 7 3 2 12" xfId="22841" xr:uid="{E6CCC747-C996-47D4-AB36-78C4555D13C0}"/>
    <cellStyle name="Total 2 7 3 2 13" xfId="22033" xr:uid="{6D18549A-0FD4-4040-A96D-B4B07E2B43F7}"/>
    <cellStyle name="Total 2 7 3 2 14" xfId="22975" xr:uid="{11278C11-E587-4EF5-A095-67E8F9EF70C1}"/>
    <cellStyle name="Total 2 7 3 2 15" xfId="20365" xr:uid="{8FEFE10B-5484-47AD-81E4-48DF157F93F2}"/>
    <cellStyle name="Total 2 7 3 2 16" xfId="18803" xr:uid="{0ECBBC34-6E5A-44CF-BE6B-F8A39297D576}"/>
    <cellStyle name="Total 2 7 3 2 17" xfId="43492" xr:uid="{67FB1C45-3851-4970-9A5D-65CA9058B46B}"/>
    <cellStyle name="Total 2 7 3 2 2" xfId="19750" xr:uid="{9B160210-4AF9-4F12-B41F-37378811F98F}"/>
    <cellStyle name="Total 2 7 3 2 3" xfId="20506" xr:uid="{65474DD8-4146-4D51-928F-AA2832B8F241}"/>
    <cellStyle name="Total 2 7 3 2 4" xfId="19184" xr:uid="{084CA972-5047-4737-8392-75B6B181A65E}"/>
    <cellStyle name="Total 2 7 3 2 5" xfId="19119" xr:uid="{4F40F349-841B-4D14-B272-304EEC69997D}"/>
    <cellStyle name="Total 2 7 3 2 6" xfId="21975" xr:uid="{2DDFDDA4-32F9-4E25-BD18-3D5C37DE1193}"/>
    <cellStyle name="Total 2 7 3 2 7" xfId="20912" xr:uid="{BC53A898-AF83-4C7C-8AEC-7A6B3CDD3BF2}"/>
    <cellStyle name="Total 2 7 3 2 8" xfId="21552" xr:uid="{187B9658-2FE2-453A-8B33-AFDB3A75EAF2}"/>
    <cellStyle name="Total 2 7 3 2 9" xfId="22596" xr:uid="{7A0D2CB8-F6B2-493B-BA50-6924E456651D}"/>
    <cellStyle name="Total 2 7 3 3" xfId="21679" xr:uid="{EEEA64F2-954E-49D2-988B-966F6C6A0F33}"/>
    <cellStyle name="Total 2 7 3 4" xfId="19674" xr:uid="{04082145-3AE7-43F6-8A90-5B7F5B1CDBAA}"/>
    <cellStyle name="Total 2 7 3 5" xfId="18959" xr:uid="{FC35F374-C908-4137-BE8A-BB66BF80023A}"/>
    <cellStyle name="Total 2 7 3 6" xfId="21332" xr:uid="{4C35A5D5-C4C9-4B78-82CE-A0957AC65A09}"/>
    <cellStyle name="Total 2 7 3 7" xfId="19279" xr:uid="{5127ACE7-9AB9-46DD-92AB-97431B5AB445}"/>
    <cellStyle name="Total 2 7 3 8" xfId="22286" xr:uid="{CCA84AEE-51E4-4EE5-94A1-6DE92970F220}"/>
    <cellStyle name="Total 2 7 3 9" xfId="19301" xr:uid="{CC756100-6B5C-4CBB-A3D2-5D8288F64CFF}"/>
    <cellStyle name="Total 2 7 4" xfId="11001" xr:uid="{00000000-0005-0000-0000-0000DF220000}"/>
    <cellStyle name="Total 2 7 4 10" xfId="20364" xr:uid="{CD30703A-0A6F-4C42-B80A-7035C5AF8AF9}"/>
    <cellStyle name="Total 2 7 4 11" xfId="18964" xr:uid="{A5FD08A5-5D94-43D6-AB3B-DD24903E6478}"/>
    <cellStyle name="Total 2 7 4 12" xfId="22840" xr:uid="{A3CD9656-2252-4728-9F2F-8D6A03A192C8}"/>
    <cellStyle name="Total 2 7 4 13" xfId="22664" xr:uid="{62A33234-3745-490A-8349-FDA470791F53}"/>
    <cellStyle name="Total 2 7 4 14" xfId="22974" xr:uid="{C7AD036D-CC9A-44C9-82DC-BBBD0EFE7BC1}"/>
    <cellStyle name="Total 2 7 4 15" xfId="19243" xr:uid="{0FF545F4-88A1-49B3-9636-736B4B52CE85}"/>
    <cellStyle name="Total 2 7 4 16" xfId="18802" xr:uid="{2EA38968-F3E9-4AA0-A4DB-6E5D374B01E3}"/>
    <cellStyle name="Total 2 7 4 17" xfId="43490" xr:uid="{3A4C4AE4-F008-47B4-8032-65F355B5E260}"/>
    <cellStyle name="Total 2 7 4 2" xfId="21615" xr:uid="{8993F929-C480-4980-B9E3-B9760DC67945}"/>
    <cellStyle name="Total 2 7 4 3" xfId="20507" xr:uid="{73788EF8-4D0A-4177-BC13-3898145E9038}"/>
    <cellStyle name="Total 2 7 4 4" xfId="21265" xr:uid="{41811298-B0CB-42CE-BB5A-E8C27966F412}"/>
    <cellStyle name="Total 2 7 4 5" xfId="19374" xr:uid="{C9DD1A57-99DC-48DB-B11E-D13DAEF1FD06}"/>
    <cellStyle name="Total 2 7 4 6" xfId="19127" xr:uid="{6F29B65A-B5E6-46EC-BA37-A79D18436102}"/>
    <cellStyle name="Total 2 7 4 7" xfId="20032" xr:uid="{C14BC28F-B060-4925-9EA9-F007F1A0A7D0}"/>
    <cellStyle name="Total 2 7 4 8" xfId="21023" xr:uid="{F898BC2A-CBD4-4857-8853-3FA72CE18C38}"/>
    <cellStyle name="Total 2 7 4 9" xfId="22595" xr:uid="{C29564B6-2BA4-4BDE-823E-695A339CBC04}"/>
    <cellStyle name="Total 2 7 5" xfId="9226" xr:uid="{00000000-0005-0000-0000-000092110000}"/>
    <cellStyle name="Total 2 7 5 2" xfId="19664" xr:uid="{66583DF3-CBF3-43CA-A670-4E367C002B5D}"/>
    <cellStyle name="Total 2 7 6" xfId="20476" xr:uid="{AA13DF9A-54FF-4A74-8046-C908F047F13C}"/>
    <cellStyle name="Total 2 7 7" xfId="21349" xr:uid="{6FA14E4F-FA6C-4AD5-B6E8-91B39523E6CF}"/>
    <cellStyle name="Total 2 7 8" xfId="19823" xr:uid="{E513A9DC-FA2E-4A01-AFED-FDD0EC04E1ED}"/>
    <cellStyle name="Total 2 7 9" xfId="21872" xr:uid="{5C85CD3C-9509-4C62-A226-62B10949DDD8}"/>
    <cellStyle name="Total 2 8" xfId="5490" xr:uid="{00000000-0005-0000-0000-00009C150000}"/>
    <cellStyle name="Total 2 8 2" xfId="11004" xr:uid="{00000000-0005-0000-0000-0000E2220000}"/>
    <cellStyle name="Total 2 8 2 2" xfId="43493" xr:uid="{21D1AC3E-6E8D-4165-B290-C6CA842C4293}"/>
    <cellStyle name="Total 2 8 3" xfId="9227" xr:uid="{00000000-0005-0000-0000-000093110000}"/>
    <cellStyle name="Total 2 8 4" xfId="39517" xr:uid="{9DE78310-97D5-4F91-BA12-963E7E8397B7}"/>
    <cellStyle name="Total 2 9" xfId="5491" xr:uid="{00000000-0005-0000-0000-00009D150000}"/>
    <cellStyle name="Total 2 9 2" xfId="11005" xr:uid="{00000000-0005-0000-0000-0000E3220000}"/>
    <cellStyle name="Total 2 9 2 2" xfId="43494" xr:uid="{D6CDC683-82F2-4E04-84D6-2FF120CEA2AA}"/>
    <cellStyle name="Total 2 9 3" xfId="9228" xr:uid="{00000000-0005-0000-0000-000094110000}"/>
    <cellStyle name="Total 2 9 4" xfId="39518" xr:uid="{C2AE03D2-3D8B-4386-B2B8-11A1E5C78F16}"/>
    <cellStyle name="Total 3" xfId="5492" xr:uid="{00000000-0005-0000-0000-00009E150000}"/>
    <cellStyle name="Total 3 2" xfId="11006" xr:uid="{00000000-0005-0000-0000-0000E4220000}"/>
    <cellStyle name="Total 3 2 2" xfId="9363" xr:uid="{00000000-0005-0000-0000-000095110000}"/>
    <cellStyle name="Total 3 2 3" xfId="43495" xr:uid="{1C047E73-C380-44AC-8184-FCD2D74CDB80}"/>
    <cellStyle name="Total 3 3" xfId="9229" xr:uid="{00000000-0005-0000-0000-000095110000}"/>
    <cellStyle name="Total 3 4" xfId="39519" xr:uid="{DE471B08-B7F7-4DB7-8003-45CCF4E38670}"/>
    <cellStyle name="Total Bold" xfId="5493" xr:uid="{00000000-0005-0000-0000-00009F150000}"/>
    <cellStyle name="Total Bold 2" xfId="5494" xr:uid="{00000000-0005-0000-0000-0000A0150000}"/>
    <cellStyle name="Total Bold 2 2" xfId="11008" xr:uid="{00000000-0005-0000-0000-0000E6220000}"/>
    <cellStyle name="Total Bold 2 2 2" xfId="18825" xr:uid="{86856DAC-4C17-44A8-80CE-836EEE689A6E}"/>
    <cellStyle name="Total Bold 2 2 3" xfId="43497" xr:uid="{F4B6E880-E295-4651-B5DC-4D3F679E73C0}"/>
    <cellStyle name="Total Bold 2 3" xfId="9364" xr:uid="{00000000-0005-0000-0000-000096110000}"/>
    <cellStyle name="Total Bold 2 4" xfId="39521" xr:uid="{9AF6AC36-5EBA-4D75-9458-E6EA30C08DB4}"/>
    <cellStyle name="Total Bold 3" xfId="11007" xr:uid="{00000000-0005-0000-0000-0000E5220000}"/>
    <cellStyle name="Total Bold 3 2" xfId="18804" xr:uid="{4C3DF93B-6924-4CDA-8E37-F1CA1654C184}"/>
    <cellStyle name="Total Bold 3 3" xfId="43496" xr:uid="{DF38CBC6-40A6-4755-B596-D17B2C336668}"/>
    <cellStyle name="Total Bold 4" xfId="9230" xr:uid="{00000000-0005-0000-0000-000096110000}"/>
    <cellStyle name="Total Bold 5" xfId="16571" xr:uid="{94704320-8D8C-4E3E-A30F-4DE9F35F9A2D}"/>
    <cellStyle name="Total Bold 6" xfId="39520" xr:uid="{AEF9463D-FF3C-40A7-B6D2-90A57E8E7C68}"/>
    <cellStyle name="Totals" xfId="5495" xr:uid="{00000000-0005-0000-0000-0000A1150000}"/>
    <cellStyle name="Totals 2" xfId="11009" xr:uid="{00000000-0005-0000-0000-0000E7220000}"/>
    <cellStyle name="Totals 2 2" xfId="9460" xr:uid="{00000000-0005-0000-0000-00000B260000}"/>
    <cellStyle name="Totals 2 2 2" xfId="41950" xr:uid="{A258E180-5817-4963-87DC-70D0DD7ABF2E}"/>
    <cellStyle name="Totals 2 2 3" xfId="47226" xr:uid="{F1AFCE1F-8597-44D7-972C-3BFBCAB8C591}"/>
    <cellStyle name="Totals 2 2 4" xfId="15019" xr:uid="{674966A3-FBCB-4D24-BE5F-0671BF1956F5}"/>
    <cellStyle name="Totals 2 2 5" xfId="40424" xr:uid="{AC24D863-B6C0-4D9F-8D6B-A06D26AB1930}"/>
    <cellStyle name="Totals 2 2 6" xfId="48675" xr:uid="{ADC09854-323D-4809-B570-EAF5A08A9BC2}"/>
    <cellStyle name="Totals 2 2 7" xfId="14137" xr:uid="{88A9DF7B-5637-451A-A3B2-ABEC24E6BC28}"/>
    <cellStyle name="Totals 2 3" xfId="9365" xr:uid="{00000000-0005-0000-0000-000097110000}"/>
    <cellStyle name="Totals 2 3 2" xfId="37726" xr:uid="{68682274-E5F0-434E-9EEE-8E2D0A7D41DF}"/>
    <cellStyle name="Totals 2 4" xfId="43498" xr:uid="{83E42FB5-C70E-4CE0-B1AB-99694B835294}"/>
    <cellStyle name="Totals 3" xfId="9231" xr:uid="{00000000-0005-0000-0000-000097110000}"/>
    <cellStyle name="Totals 3 2" xfId="37690" xr:uid="{0CB8FC78-0BB6-448B-83CB-2D2AEB66EBC1}"/>
    <cellStyle name="Totals 4" xfId="39522" xr:uid="{B47EFCDA-1B1E-42AA-A210-5A406846AC32}"/>
    <cellStyle name="Underline_Single" xfId="5496" xr:uid="{00000000-0005-0000-0000-0000A2150000}"/>
    <cellStyle name="UnProtectedCalc" xfId="5497" xr:uid="{00000000-0005-0000-0000-0000A3150000}"/>
    <cellStyle name="UnProtectedCalc 2" xfId="11010" xr:uid="{00000000-0005-0000-0000-0000E9220000}"/>
    <cellStyle name="UnProtectedCalc 2 2" xfId="9418" xr:uid="{00000000-0005-0000-0000-00000E260000}"/>
    <cellStyle name="UnProtectedCalc 2 3" xfId="43499" xr:uid="{B37DB5F8-4D36-40EC-9047-8DC6079F488A}"/>
    <cellStyle name="UnProtectedCalc 3" xfId="9232" xr:uid="{00000000-0005-0000-0000-000099110000}"/>
    <cellStyle name="UnProtectedCalc 3 2" xfId="23451" xr:uid="{68E51BFC-BDF8-41CD-9943-69AAE056FFBB}"/>
    <cellStyle name="UnProtectedCalc 3 3" xfId="47142" xr:uid="{46A8EBFD-BFEF-471D-A0AA-537CD27F1ED6}"/>
    <cellStyle name="UnProtectedCalc 4" xfId="39523" xr:uid="{FACDB5CE-AD37-433A-A6DB-719C7B9E44D7}"/>
    <cellStyle name="Valuta (0)_Sheet1" xfId="5498" xr:uid="{00000000-0005-0000-0000-0000A4150000}"/>
    <cellStyle name="Valuta_piv_polio" xfId="5499" xr:uid="{00000000-0005-0000-0000-0000A5150000}"/>
    <cellStyle name="Währung [0]_A17 - 31.03.1998" xfId="5500" xr:uid="{00000000-0005-0000-0000-0000A6150000}"/>
    <cellStyle name="Währung_A17 - 31.03.1998" xfId="5501" xr:uid="{00000000-0005-0000-0000-0000A7150000}"/>
    <cellStyle name="Warburg" xfId="5502" xr:uid="{00000000-0005-0000-0000-0000A8150000}"/>
    <cellStyle name="Warburg 2" xfId="11011" xr:uid="{00000000-0005-0000-0000-0000EE220000}"/>
    <cellStyle name="Warburg 2 2" xfId="43500" xr:uid="{28B60510-A7FF-4AF7-937A-8778E426E970}"/>
    <cellStyle name="Warburg 3" xfId="9233" xr:uid="{00000000-0005-0000-0000-00009E110000}"/>
    <cellStyle name="Warburg 4" xfId="39524" xr:uid="{0545D069-A91F-44C3-B074-E88C5F43CD61}"/>
    <cellStyle name="Warning Text" xfId="5540" builtinId="11" customBuiltin="1"/>
    <cellStyle name="Warning Text 2" xfId="5503" xr:uid="{00000000-0005-0000-0000-0000AA150000}"/>
    <cellStyle name="Warning Text 2 10" xfId="11012" xr:uid="{00000000-0005-0000-0000-0000EF220000}"/>
    <cellStyle name="Warning Text 2 10 2" xfId="43501" xr:uid="{13C942AA-6C87-4ADF-A821-98E73AEF3B1C}"/>
    <cellStyle name="Warning Text 2 11" xfId="9234" xr:uid="{00000000-0005-0000-0000-00009F110000}"/>
    <cellStyle name="Warning Text 2 12" xfId="39525" xr:uid="{CDE5B58E-493C-42FD-9ACB-CBE68788EC3F}"/>
    <cellStyle name="Warning Text 2 2" xfId="5504" xr:uid="{00000000-0005-0000-0000-0000AB150000}"/>
    <cellStyle name="Warning Text 2 2 2" xfId="11013" xr:uid="{00000000-0005-0000-0000-0000F0220000}"/>
    <cellStyle name="Warning Text 2 2 2 2" xfId="43502" xr:uid="{4B65B5A3-53C3-4B75-97E0-0F604F04A37F}"/>
    <cellStyle name="Warning Text 2 2 3" xfId="9235" xr:uid="{00000000-0005-0000-0000-0000A0110000}"/>
    <cellStyle name="Warning Text 2 2 4" xfId="39526" xr:uid="{070EFB76-F546-4E6E-A2EB-BF348A43BEA5}"/>
    <cellStyle name="Warning Text 2 3" xfId="5505" xr:uid="{00000000-0005-0000-0000-0000AC150000}"/>
    <cellStyle name="Warning Text 2 3 2" xfId="11014" xr:uid="{00000000-0005-0000-0000-0000F1220000}"/>
    <cellStyle name="Warning Text 2 3 2 2" xfId="43503" xr:uid="{A03C8227-D2A2-49FF-9A52-5C93ED8CD0C8}"/>
    <cellStyle name="Warning Text 2 3 3" xfId="9236" xr:uid="{00000000-0005-0000-0000-0000A1110000}"/>
    <cellStyle name="Warning Text 2 3 4" xfId="39527" xr:uid="{FE070777-EB93-40C3-A205-F70597F55459}"/>
    <cellStyle name="Warning Text 2 4" xfId="5506" xr:uid="{00000000-0005-0000-0000-0000AD150000}"/>
    <cellStyle name="Warning Text 2 4 2" xfId="11015" xr:uid="{00000000-0005-0000-0000-0000F2220000}"/>
    <cellStyle name="Warning Text 2 4 2 2" xfId="43504" xr:uid="{DBB892E6-D337-4E16-A03B-443A3845FBAE}"/>
    <cellStyle name="Warning Text 2 4 3" xfId="9237" xr:uid="{00000000-0005-0000-0000-0000A2110000}"/>
    <cellStyle name="Warning Text 2 4 4" xfId="39528" xr:uid="{C3B73562-C996-4759-B2DA-30AB8BAED632}"/>
    <cellStyle name="Warning Text 2 5" xfId="5507" xr:uid="{00000000-0005-0000-0000-0000AE150000}"/>
    <cellStyle name="Warning Text 2 5 2" xfId="11016" xr:uid="{00000000-0005-0000-0000-0000F3220000}"/>
    <cellStyle name="Warning Text 2 5 2 2" xfId="43505" xr:uid="{C704B9DB-F9D4-433C-B383-9A891625E662}"/>
    <cellStyle name="Warning Text 2 5 3" xfId="9238" xr:uid="{00000000-0005-0000-0000-0000A3110000}"/>
    <cellStyle name="Warning Text 2 5 4" xfId="39529" xr:uid="{4E2ABF80-A029-4C38-A2C9-9FE339A11C95}"/>
    <cellStyle name="Warning Text 2 6" xfId="5508" xr:uid="{00000000-0005-0000-0000-0000AF150000}"/>
    <cellStyle name="Warning Text 2 6 2" xfId="11017" xr:uid="{00000000-0005-0000-0000-0000F4220000}"/>
    <cellStyle name="Warning Text 2 6 2 2" xfId="43506" xr:uid="{6AE4C902-C463-4E6F-8A49-D90B10D0FCBA}"/>
    <cellStyle name="Warning Text 2 6 3" xfId="9239" xr:uid="{00000000-0005-0000-0000-0000A4110000}"/>
    <cellStyle name="Warning Text 2 6 4" xfId="39530" xr:uid="{CA864A62-48CD-4E5E-81CB-20B910C1CF41}"/>
    <cellStyle name="Warning Text 2 7" xfId="5509" xr:uid="{00000000-0005-0000-0000-0000B0150000}"/>
    <cellStyle name="Warning Text 2 7 2" xfId="11018" xr:uid="{00000000-0005-0000-0000-0000F5220000}"/>
    <cellStyle name="Warning Text 2 7 2 2" xfId="43507" xr:uid="{C6AA7DF5-2D57-4A69-BE20-797B95FE2A7C}"/>
    <cellStyle name="Warning Text 2 7 3" xfId="9240" xr:uid="{00000000-0005-0000-0000-0000A5110000}"/>
    <cellStyle name="Warning Text 2 7 4" xfId="39531" xr:uid="{6F53D9BA-8F4E-476A-B17C-C9AB9E8BDE77}"/>
    <cellStyle name="Warning Text 2 8" xfId="5510" xr:uid="{00000000-0005-0000-0000-0000B1150000}"/>
    <cellStyle name="Warning Text 2 8 2" xfId="11019" xr:uid="{00000000-0005-0000-0000-0000F6220000}"/>
    <cellStyle name="Warning Text 2 8 2 2" xfId="43508" xr:uid="{FBCC04D7-0C6D-455D-B40D-CA988AA09C10}"/>
    <cellStyle name="Warning Text 2 8 3" xfId="9241" xr:uid="{00000000-0005-0000-0000-0000A6110000}"/>
    <cellStyle name="Warning Text 2 8 4" xfId="39532" xr:uid="{8366511C-7B1E-4D4A-AB4D-E3E0248F1914}"/>
    <cellStyle name="Warning Text 2 9" xfId="5511" xr:uid="{00000000-0005-0000-0000-0000B2150000}"/>
    <cellStyle name="Warning Text 2 9 2" xfId="11020" xr:uid="{00000000-0005-0000-0000-0000F7220000}"/>
    <cellStyle name="Warning Text 2 9 2 2" xfId="43509" xr:uid="{0B1A2971-F643-4CB9-B2CF-AF6E65183A16}"/>
    <cellStyle name="Warning Text 2 9 3" xfId="9242" xr:uid="{00000000-0005-0000-0000-0000A7110000}"/>
    <cellStyle name="Warning Text 2 9 4" xfId="39533" xr:uid="{A6713083-91CC-45A9-AD24-A39CD7645F1E}"/>
    <cellStyle name="Warning Text 3" xfId="5512" xr:uid="{00000000-0005-0000-0000-0000B3150000}"/>
    <cellStyle name="Warning Text 3 2" xfId="11021" xr:uid="{00000000-0005-0000-0000-0000F8220000}"/>
    <cellStyle name="Warning Text 3 2 2" xfId="43510" xr:uid="{EF81233A-AA4C-411D-A899-70552274C92B}"/>
    <cellStyle name="Warning Text 3 3" xfId="9243" xr:uid="{00000000-0005-0000-0000-0000A8110000}"/>
    <cellStyle name="Warning Text 3 4" xfId="39534" xr:uid="{4057002B-304F-4A98-A8E7-20E22FE59FF1}"/>
    <cellStyle name="wild guess" xfId="5513" xr:uid="{00000000-0005-0000-0000-0000B4150000}"/>
    <cellStyle name="wild guess 2" xfId="11022" xr:uid="{00000000-0005-0000-0000-0000F9220000}"/>
    <cellStyle name="wild guess 2 2" xfId="43511" xr:uid="{E56E161F-7033-428E-B97D-971EAE82779D}"/>
    <cellStyle name="wild guess 3" xfId="9244" xr:uid="{00000000-0005-0000-0000-0000A9110000}"/>
    <cellStyle name="wild guess 4" xfId="39535" xr:uid="{95D01F59-9569-4C82-B8A0-59971BB79D40}"/>
    <cellStyle name="Wildguess" xfId="5514" xr:uid="{00000000-0005-0000-0000-0000B5150000}"/>
    <cellStyle name="Wildguess 2" xfId="11023" xr:uid="{00000000-0005-0000-0000-0000FA220000}"/>
    <cellStyle name="Wildguess 2 2" xfId="43512" xr:uid="{5DE68087-5DF5-4768-8220-41ACA14F0C48}"/>
    <cellStyle name="Wildguess 3" xfId="9246" xr:uid="{00000000-0005-0000-0000-0000AA110000}"/>
    <cellStyle name="Wildguess 4" xfId="39536" xr:uid="{81CB7A01-F673-4C41-92E8-1D6DD7F37A70}"/>
    <cellStyle name="Year" xfId="5515" xr:uid="{00000000-0005-0000-0000-0000B6150000}"/>
    <cellStyle name="Year 2" xfId="11024" xr:uid="{00000000-0005-0000-0000-0000FB220000}"/>
    <cellStyle name="Year 2 2" xfId="43513" xr:uid="{88FED91A-0393-4B15-9704-1CF90B58C8BF}"/>
    <cellStyle name="Year 3" xfId="9247" xr:uid="{00000000-0005-0000-0000-0000AB110000}"/>
    <cellStyle name="Year 4" xfId="39537" xr:uid="{086272BB-3CD8-4815-897D-1F74DB1284E4}"/>
    <cellStyle name="Year Estimate" xfId="5516" xr:uid="{00000000-0005-0000-0000-0000B7150000}"/>
    <cellStyle name="Year Estimate 2" xfId="11025" xr:uid="{00000000-0005-0000-0000-0000FC220000}"/>
    <cellStyle name="Year Estimate 2 2" xfId="43514" xr:uid="{903A3E44-AE99-457C-84E6-B6D56674C474}"/>
    <cellStyle name="Year Estimate 3" xfId="9248" xr:uid="{00000000-0005-0000-0000-0000AC110000}"/>
    <cellStyle name="Year Estimate 4" xfId="39538" xr:uid="{713B7928-7EC2-486A-B817-FD09BF66864B}"/>
    <cellStyle name="Year, Actual" xfId="5517" xr:uid="{00000000-0005-0000-0000-0000B8150000}"/>
    <cellStyle name="Year, Actual 2" xfId="11026" xr:uid="{00000000-0005-0000-0000-0000FD220000}"/>
    <cellStyle name="Year, Actual 2 2" xfId="43515" xr:uid="{97584896-FA4E-4624-9178-DC1156CF1A37}"/>
    <cellStyle name="Year, Actual 3" xfId="9249" xr:uid="{00000000-0005-0000-0000-0000AD110000}"/>
    <cellStyle name="Year, Actual 4" xfId="39539" xr:uid="{2BFA17E4-3E2E-420F-8FD6-83C24A51CF61}"/>
    <cellStyle name="YearE_ Pies " xfId="5518" xr:uid="{00000000-0005-0000-0000-0000B9150000}"/>
    <cellStyle name="YearFormat" xfId="5519" xr:uid="{00000000-0005-0000-0000-0000BA150000}"/>
    <cellStyle name="YearFormat 2" xfId="5520" xr:uid="{00000000-0005-0000-0000-0000BB150000}"/>
    <cellStyle name="YearFormat 2 2" xfId="11028" xr:uid="{00000000-0005-0000-0000-000000230000}"/>
    <cellStyle name="YearFormat 2 2 2" xfId="9419" xr:uid="{00000000-0005-0000-0000-000025260000}"/>
    <cellStyle name="YearFormat 2 2 3" xfId="43517" xr:uid="{523A107E-EB43-464B-98B1-CFDEDF431B01}"/>
    <cellStyle name="YearFormat 2 3" xfId="9369" xr:uid="{00000000-0005-0000-0000-0000AF110000}"/>
    <cellStyle name="YearFormat 2 4" xfId="39541" xr:uid="{64E08CAA-79A6-4B24-9A86-9D7C3701952A}"/>
    <cellStyle name="YearFormat 3" xfId="11027" xr:uid="{00000000-0005-0000-0000-0000FF220000}"/>
    <cellStyle name="YearFormat 3 2" xfId="9398" xr:uid="{00000000-0005-0000-0000-000024260000}"/>
    <cellStyle name="YearFormat 3 3" xfId="43516" xr:uid="{0DCF82F4-9530-4ED8-AF13-7567B62A4234}"/>
    <cellStyle name="YearFormat 4" xfId="9250" xr:uid="{00000000-0005-0000-0000-0000AF110000}"/>
    <cellStyle name="YearFormat 5" xfId="39540" xr:uid="{A8514D5E-CBD0-4977-B2BA-85ADFCF25146}"/>
    <cellStyle name="Yen" xfId="5521" xr:uid="{00000000-0005-0000-0000-0000BC150000}"/>
    <cellStyle name="Yen 2" xfId="11029" xr:uid="{00000000-0005-0000-0000-000001230000}"/>
    <cellStyle name="Yen 2 2" xfId="43518" xr:uid="{42B64E2B-7A17-4BC8-A131-CD7B5352469B}"/>
    <cellStyle name="Yen 3" xfId="9251" xr:uid="{00000000-0005-0000-0000-0000B0110000}"/>
    <cellStyle name="Yen 4" xfId="39542" xr:uid="{EED353C6-27B5-4625-BDB7-BCE371BE43D2}"/>
    <cellStyle name="YesNo" xfId="5522" xr:uid="{00000000-0005-0000-0000-0000BD150000}"/>
    <cellStyle name="YesNo 2" xfId="11030" xr:uid="{00000000-0005-0000-0000-000002230000}"/>
    <cellStyle name="YesNo 2 2" xfId="43519" xr:uid="{5AEFB11A-D781-4685-91C6-5F09B862484B}"/>
    <cellStyle name="YesNo 3" xfId="9252" xr:uid="{00000000-0005-0000-0000-0000B1110000}"/>
    <cellStyle name="YesNo 4" xfId="39543" xr:uid="{A4990928-5E9A-4250-9BB9-7E336DEDE7E3}"/>
    <cellStyle name="쬞\?1@" xfId="5523" xr:uid="{00000000-0005-0000-0000-0000BE150000}"/>
    <cellStyle name="쬞\?1@ 2" xfId="11031" xr:uid="{00000000-0005-0000-0000-000003230000}"/>
    <cellStyle name="쬞\?1@ 2 2" xfId="43520" xr:uid="{8FC1991C-EDC0-4AAC-8D57-72162DADB270}"/>
    <cellStyle name="쬞\?1@ 3" xfId="9253" xr:uid="{00000000-0005-0000-0000-0000B2110000}"/>
    <cellStyle name="쬞\?1@ 4" xfId="39544" xr:uid="{F9C91F77-DBDE-4DE5-9C16-7A8534FBF55D}"/>
    <cellStyle name="千位分隔 2" xfId="5524" xr:uid="{00000000-0005-0000-0000-0000BF150000}"/>
    <cellStyle name="千位分隔 2 2" xfId="5525" xr:uid="{00000000-0005-0000-0000-0000C0150000}"/>
    <cellStyle name="千位分隔 2 2 2" xfId="11033" xr:uid="{00000000-0005-0000-0000-000005230000}"/>
    <cellStyle name="千位分隔 2 2 2 2" xfId="43522" xr:uid="{27FBA3CD-CDEB-4395-80A1-FAFDE4C2EF5F}"/>
    <cellStyle name="千位分隔 2 2 3" xfId="17331" xr:uid="{DE1CEE8E-8DB7-4F76-807F-230E4F265704}"/>
    <cellStyle name="千位分隔 2 2 4" xfId="39546" xr:uid="{F5FD45AC-1631-4FAD-82A1-737AD1AF0857}"/>
    <cellStyle name="千位分隔 2 3" xfId="11032" xr:uid="{00000000-0005-0000-0000-000004230000}"/>
    <cellStyle name="千位分隔 2 3 2" xfId="43521" xr:uid="{F09BC7A3-F990-4077-BED9-51259ED40DF9}"/>
    <cellStyle name="千位分隔 2 4" xfId="9254" xr:uid="{00000000-0005-0000-0000-0000B3110000}"/>
    <cellStyle name="千位分隔 2 5" xfId="39545" xr:uid="{4DEC8871-C596-4F40-8B27-5F051544ED7C}"/>
    <cellStyle name="常规 2" xfId="5526" xr:uid="{00000000-0005-0000-0000-0000C1150000}"/>
    <cellStyle name="常规 2 2" xfId="11034" xr:uid="{00000000-0005-0000-0000-000006230000}"/>
    <cellStyle name="常规 2 2 2" xfId="23741" xr:uid="{6CB8B9CB-E576-4F2E-8BE1-5D6AC46092E6}"/>
    <cellStyle name="常规 2 2 3" xfId="18724" xr:uid="{0B2C6EC9-F093-43C9-A319-626E02362BD8}"/>
    <cellStyle name="常规 2 2 4" xfId="43523" xr:uid="{3167A891-7EB1-473E-8F18-606E831A1E2F}"/>
    <cellStyle name="常规 2 3" xfId="9255" xr:uid="{00000000-0005-0000-0000-0000B4110000}"/>
    <cellStyle name="常规 2 4" xfId="17408" xr:uid="{0D476749-33F6-4679-AC69-61B21D9E7E36}"/>
    <cellStyle name="常规 2 5" xfId="39547" xr:uid="{3278CAD1-B92F-4A23-940C-058FD6180151}"/>
    <cellStyle name="標準_car_JP" xfId="5527" xr:uid="{00000000-0005-0000-0000-0000C21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Residential_NO_CDM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'Res Predicted Monthly'!$D$2:$D$121</c:f>
              <c:numCache>
                <c:formatCode>General</c:formatCode>
                <c:ptCount val="120"/>
                <c:pt idx="0">
                  <c:v>59871639.469987579</c:v>
                </c:pt>
                <c:pt idx="1">
                  <c:v>50314490.087674581</c:v>
                </c:pt>
                <c:pt idx="2">
                  <c:v>49701259.077867575</c:v>
                </c:pt>
                <c:pt idx="3">
                  <c:v>43094637.623121575</c:v>
                </c:pt>
                <c:pt idx="4">
                  <c:v>41837246.165888578</c:v>
                </c:pt>
                <c:pt idx="5">
                  <c:v>50342302.386945575</c:v>
                </c:pt>
                <c:pt idx="6">
                  <c:v>60810554.498038575</c:v>
                </c:pt>
                <c:pt idx="7">
                  <c:v>64587027.745830581</c:v>
                </c:pt>
                <c:pt idx="8">
                  <c:v>49270432.95375558</c:v>
                </c:pt>
                <c:pt idx="9">
                  <c:v>45083293.96010758</c:v>
                </c:pt>
                <c:pt idx="10">
                  <c:v>46033170.645772576</c:v>
                </c:pt>
                <c:pt idx="11">
                  <c:v>56594449.192762576</c:v>
                </c:pt>
                <c:pt idx="12">
                  <c:v>57230062.23541832</c:v>
                </c:pt>
                <c:pt idx="13">
                  <c:v>48541585.314724319</c:v>
                </c:pt>
                <c:pt idx="14">
                  <c:v>46701990.468791321</c:v>
                </c:pt>
                <c:pt idx="15">
                  <c:v>40737141.674832322</c:v>
                </c:pt>
                <c:pt idx="16">
                  <c:v>48242779.236058325</c:v>
                </c:pt>
                <c:pt idx="17">
                  <c:v>65023461.895293318</c:v>
                </c:pt>
                <c:pt idx="18">
                  <c:v>81296181.759749323</c:v>
                </c:pt>
                <c:pt idx="19">
                  <c:v>75078483.539122328</c:v>
                </c:pt>
                <c:pt idx="20">
                  <c:v>49993208.971530318</c:v>
                </c:pt>
                <c:pt idx="21">
                  <c:v>42337839.47948432</c:v>
                </c:pt>
                <c:pt idx="22">
                  <c:v>45676188.057550319</c:v>
                </c:pt>
                <c:pt idx="23">
                  <c:v>56097840.297418319</c:v>
                </c:pt>
                <c:pt idx="24">
                  <c:v>57216324.683351137</c:v>
                </c:pt>
                <c:pt idx="25">
                  <c:v>49077423.393344134</c:v>
                </c:pt>
                <c:pt idx="26">
                  <c:v>49267213.176552139</c:v>
                </c:pt>
                <c:pt idx="27">
                  <c:v>43063023.121252134</c:v>
                </c:pt>
                <c:pt idx="28">
                  <c:v>46164662.055697136</c:v>
                </c:pt>
                <c:pt idx="29">
                  <c:v>60282224.690545134</c:v>
                </c:pt>
                <c:pt idx="30">
                  <c:v>81061488.555960134</c:v>
                </c:pt>
                <c:pt idx="31">
                  <c:v>71258545.409913138</c:v>
                </c:pt>
                <c:pt idx="32">
                  <c:v>49668107.280463137</c:v>
                </c:pt>
                <c:pt idx="33">
                  <c:v>43253414.186002135</c:v>
                </c:pt>
                <c:pt idx="34">
                  <c:v>44910887.27802214</c:v>
                </c:pt>
                <c:pt idx="35">
                  <c:v>53040629.64073614</c:v>
                </c:pt>
                <c:pt idx="36">
                  <c:v>53836254.463610977</c:v>
                </c:pt>
                <c:pt idx="37">
                  <c:v>47974878.753441975</c:v>
                </c:pt>
                <c:pt idx="38">
                  <c:v>44818017.847629979</c:v>
                </c:pt>
                <c:pt idx="39">
                  <c:v>40519756.964387976</c:v>
                </c:pt>
                <c:pt idx="40">
                  <c:v>47369873.151951976</c:v>
                </c:pt>
                <c:pt idx="41">
                  <c:v>66164429.476892978</c:v>
                </c:pt>
                <c:pt idx="42">
                  <c:v>83251368.938582972</c:v>
                </c:pt>
                <c:pt idx="43">
                  <c:v>68538520.76983498</c:v>
                </c:pt>
                <c:pt idx="44">
                  <c:v>50547782.282330975</c:v>
                </c:pt>
                <c:pt idx="45">
                  <c:v>42873857.88398198</c:v>
                </c:pt>
                <c:pt idx="46">
                  <c:v>45641430.12196698</c:v>
                </c:pt>
                <c:pt idx="47">
                  <c:v>52638100.62582498</c:v>
                </c:pt>
                <c:pt idx="48">
                  <c:v>54911356.121163584</c:v>
                </c:pt>
                <c:pt idx="49">
                  <c:v>48753761.194211587</c:v>
                </c:pt>
                <c:pt idx="50">
                  <c:v>49889124.102056585</c:v>
                </c:pt>
                <c:pt idx="51">
                  <c:v>43188284.981835589</c:v>
                </c:pt>
                <c:pt idx="52">
                  <c:v>45290631.481890589</c:v>
                </c:pt>
                <c:pt idx="53">
                  <c:v>56572380.058294587</c:v>
                </c:pt>
                <c:pt idx="54">
                  <c:v>69531972.104008585</c:v>
                </c:pt>
                <c:pt idx="55">
                  <c:v>62627316.669716507</c:v>
                </c:pt>
                <c:pt idx="56">
                  <c:v>52483630.869351625</c:v>
                </c:pt>
                <c:pt idx="57">
                  <c:v>44313505.933738872</c:v>
                </c:pt>
                <c:pt idx="58">
                  <c:v>47268963.680705905</c:v>
                </c:pt>
                <c:pt idx="59">
                  <c:v>57282294.93726933</c:v>
                </c:pt>
                <c:pt idx="60">
                  <c:v>61083284.63878455</c:v>
                </c:pt>
                <c:pt idx="61">
                  <c:v>51952415.072566412</c:v>
                </c:pt>
                <c:pt idx="62">
                  <c:v>51052991.482677959</c:v>
                </c:pt>
                <c:pt idx="63">
                  <c:v>41360165.193640947</c:v>
                </c:pt>
                <c:pt idx="64">
                  <c:v>43158849.921167485</c:v>
                </c:pt>
                <c:pt idx="65">
                  <c:v>55440642.71470008</c:v>
                </c:pt>
                <c:pt idx="66">
                  <c:v>61454907.375045419</c:v>
                </c:pt>
                <c:pt idx="67">
                  <c:v>60080885.539118305</c:v>
                </c:pt>
                <c:pt idx="68">
                  <c:v>48273397.042750143</c:v>
                </c:pt>
                <c:pt idx="69">
                  <c:v>41793076.89713157</c:v>
                </c:pt>
                <c:pt idx="70">
                  <c:v>46664422.649748906</c:v>
                </c:pt>
                <c:pt idx="71">
                  <c:v>53245388.227849908</c:v>
                </c:pt>
                <c:pt idx="72">
                  <c:v>55763896.18168027</c:v>
                </c:pt>
                <c:pt idx="73">
                  <c:v>50700386.356609277</c:v>
                </c:pt>
                <c:pt idx="74">
                  <c:v>48601161.77192767</c:v>
                </c:pt>
                <c:pt idx="75">
                  <c:v>40903456.917285234</c:v>
                </c:pt>
                <c:pt idx="76">
                  <c:v>44255377.816204593</c:v>
                </c:pt>
                <c:pt idx="77">
                  <c:v>52472039.303485408</c:v>
                </c:pt>
                <c:pt idx="78">
                  <c:v>65255972.638263904</c:v>
                </c:pt>
                <c:pt idx="79">
                  <c:v>67807607.144169539</c:v>
                </c:pt>
                <c:pt idx="80">
                  <c:v>53044043.734858684</c:v>
                </c:pt>
                <c:pt idx="81">
                  <c:v>41411011.439795353</c:v>
                </c:pt>
                <c:pt idx="82">
                  <c:v>42304554.515398659</c:v>
                </c:pt>
                <c:pt idx="83">
                  <c:v>49135427.22282929</c:v>
                </c:pt>
                <c:pt idx="84">
                  <c:v>52102836.708981939</c:v>
                </c:pt>
                <c:pt idx="85">
                  <c:v>46904127.650017522</c:v>
                </c:pt>
                <c:pt idx="86">
                  <c:v>45175173.087262981</c:v>
                </c:pt>
                <c:pt idx="87">
                  <c:v>40065253.610994443</c:v>
                </c:pt>
                <c:pt idx="88">
                  <c:v>45621730.560541235</c:v>
                </c:pt>
                <c:pt idx="89">
                  <c:v>62219414.444204442</c:v>
                </c:pt>
                <c:pt idx="90">
                  <c:v>78540515.183203891</c:v>
                </c:pt>
                <c:pt idx="91">
                  <c:v>76966973.631195873</c:v>
                </c:pt>
                <c:pt idx="92">
                  <c:v>56086414.527406082</c:v>
                </c:pt>
                <c:pt idx="93">
                  <c:v>42624018.777550466</c:v>
                </c:pt>
                <c:pt idx="94">
                  <c:v>42697547.749490358</c:v>
                </c:pt>
                <c:pt idx="95">
                  <c:v>51929745.792119883</c:v>
                </c:pt>
                <c:pt idx="96">
                  <c:v>52235221.996710055</c:v>
                </c:pt>
                <c:pt idx="97">
                  <c:v>43740261.306710057</c:v>
                </c:pt>
                <c:pt idx="98">
                  <c:v>45837850.07671006</c:v>
                </c:pt>
                <c:pt idx="99">
                  <c:v>39739104.176710062</c:v>
                </c:pt>
                <c:pt idx="100">
                  <c:v>43383845.156710058</c:v>
                </c:pt>
                <c:pt idx="101">
                  <c:v>58319622.406710058</c:v>
                </c:pt>
                <c:pt idx="102">
                  <c:v>70157146.256710052</c:v>
                </c:pt>
                <c:pt idx="103">
                  <c:v>62635034.536710061</c:v>
                </c:pt>
                <c:pt idx="104">
                  <c:v>53098958.586710058</c:v>
                </c:pt>
                <c:pt idx="105">
                  <c:v>46118064.906710058</c:v>
                </c:pt>
                <c:pt idx="106">
                  <c:v>45341675.606710061</c:v>
                </c:pt>
                <c:pt idx="107">
                  <c:v>54565027.176710062</c:v>
                </c:pt>
                <c:pt idx="108">
                  <c:v>56225086.293307021</c:v>
                </c:pt>
                <c:pt idx="109">
                  <c:v>47139422.787842415</c:v>
                </c:pt>
                <c:pt idx="110">
                  <c:v>48575569.512237363</c:v>
                </c:pt>
                <c:pt idx="111">
                  <c:v>43821696.032611214</c:v>
                </c:pt>
                <c:pt idx="112">
                  <c:v>48899921.933677331</c:v>
                </c:pt>
                <c:pt idx="113">
                  <c:v>66010052.584332302</c:v>
                </c:pt>
                <c:pt idx="114">
                  <c:v>78572912.328857943</c:v>
                </c:pt>
                <c:pt idx="115">
                  <c:v>75820147.472080186</c:v>
                </c:pt>
                <c:pt idx="116">
                  <c:v>59545277.389431417</c:v>
                </c:pt>
                <c:pt idx="117">
                  <c:v>46605104.794214346</c:v>
                </c:pt>
                <c:pt idx="118">
                  <c:v>47874988.187957972</c:v>
                </c:pt>
                <c:pt idx="119">
                  <c:v>52725596.952190973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9-4427-AAC4-B33E6B936EEC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'Res Predicted Monthly'!$U$2:$U$121</c:f>
              <c:numCache>
                <c:formatCode>General</c:formatCode>
                <c:ptCount val="120"/>
                <c:pt idx="0">
                  <c:v>59712452.562007122</c:v>
                </c:pt>
                <c:pt idx="1">
                  <c:v>48770181.827429816</c:v>
                </c:pt>
                <c:pt idx="2">
                  <c:v>47977601.855762303</c:v>
                </c:pt>
                <c:pt idx="3">
                  <c:v>43303094.650197558</c:v>
                </c:pt>
                <c:pt idx="4">
                  <c:v>41184608.279601313</c:v>
                </c:pt>
                <c:pt idx="5">
                  <c:v>53728569.074960075</c:v>
                </c:pt>
                <c:pt idx="6">
                  <c:v>58542388.556613028</c:v>
                </c:pt>
                <c:pt idx="7">
                  <c:v>64443446.335737258</c:v>
                </c:pt>
                <c:pt idx="8">
                  <c:v>49507510.49266924</c:v>
                </c:pt>
                <c:pt idx="9">
                  <c:v>44210020.160928339</c:v>
                </c:pt>
                <c:pt idx="10">
                  <c:v>44198759.432041228</c:v>
                </c:pt>
                <c:pt idx="11">
                  <c:v>55062490.423492871</c:v>
                </c:pt>
                <c:pt idx="12">
                  <c:v>57012501.246075504</c:v>
                </c:pt>
                <c:pt idx="13">
                  <c:v>49034886.852034844</c:v>
                </c:pt>
                <c:pt idx="14">
                  <c:v>46294035.164721496</c:v>
                </c:pt>
                <c:pt idx="15">
                  <c:v>40075294.739257708</c:v>
                </c:pt>
                <c:pt idx="16">
                  <c:v>49205936.841639727</c:v>
                </c:pt>
                <c:pt idx="17">
                  <c:v>62901266.564353101</c:v>
                </c:pt>
                <c:pt idx="18">
                  <c:v>80465909.284896642</c:v>
                </c:pt>
                <c:pt idx="19">
                  <c:v>77805324.776086405</c:v>
                </c:pt>
                <c:pt idx="20">
                  <c:v>50510433.126661703</c:v>
                </c:pt>
                <c:pt idx="21">
                  <c:v>42533740.219955489</c:v>
                </c:pt>
                <c:pt idx="22">
                  <c:v>45762312.267076805</c:v>
                </c:pt>
                <c:pt idx="23">
                  <c:v>56444977.113951698</c:v>
                </c:pt>
                <c:pt idx="24">
                  <c:v>57832475.78071589</c:v>
                </c:pt>
                <c:pt idx="25">
                  <c:v>49507214.389087878</c:v>
                </c:pt>
                <c:pt idx="26">
                  <c:v>49059867.199746698</c:v>
                </c:pt>
                <c:pt idx="27">
                  <c:v>41641982.245517544</c:v>
                </c:pt>
                <c:pt idx="28">
                  <c:v>45638056.096294858</c:v>
                </c:pt>
                <c:pt idx="29">
                  <c:v>59353640.518484078</c:v>
                </c:pt>
                <c:pt idx="30">
                  <c:v>85277651.927183852</c:v>
                </c:pt>
                <c:pt idx="31">
                  <c:v>68541716.326675087</c:v>
                </c:pt>
                <c:pt idx="32">
                  <c:v>50768083.700961187</c:v>
                </c:pt>
                <c:pt idx="33">
                  <c:v>43275983.488380313</c:v>
                </c:pt>
                <c:pt idx="34">
                  <c:v>43694885.349533297</c:v>
                </c:pt>
                <c:pt idx="35">
                  <c:v>52424450.050240315</c:v>
                </c:pt>
                <c:pt idx="36">
                  <c:v>54203051.589290291</c:v>
                </c:pt>
                <c:pt idx="37">
                  <c:v>48964086.060768887</c:v>
                </c:pt>
                <c:pt idx="38">
                  <c:v>43381615.242192179</c:v>
                </c:pt>
                <c:pt idx="39">
                  <c:v>41520877.42788367</c:v>
                </c:pt>
                <c:pt idx="40">
                  <c:v>47958816.745406792</c:v>
                </c:pt>
                <c:pt idx="41">
                  <c:v>64700906.675140508</c:v>
                </c:pt>
                <c:pt idx="42">
                  <c:v>81640699.916656941</c:v>
                </c:pt>
                <c:pt idx="43">
                  <c:v>65653303.35992007</c:v>
                </c:pt>
                <c:pt idx="44">
                  <c:v>48934006.451595038</c:v>
                </c:pt>
                <c:pt idx="45">
                  <c:v>44156922.095263772</c:v>
                </c:pt>
                <c:pt idx="46">
                  <c:v>46154112.046408534</c:v>
                </c:pt>
                <c:pt idx="47">
                  <c:v>52242525.251556024</c:v>
                </c:pt>
                <c:pt idx="48">
                  <c:v>54981984.464493282</c:v>
                </c:pt>
                <c:pt idx="49">
                  <c:v>48998511.8760579</c:v>
                </c:pt>
                <c:pt idx="50">
                  <c:v>48534265.179889552</c:v>
                </c:pt>
                <c:pt idx="51">
                  <c:v>41770444.365920193</c:v>
                </c:pt>
                <c:pt idx="52">
                  <c:v>48516350.49422089</c:v>
                </c:pt>
                <c:pt idx="53">
                  <c:v>57059062.738028288</c:v>
                </c:pt>
                <c:pt idx="54">
                  <c:v>70950025.622271538</c:v>
                </c:pt>
                <c:pt idx="55">
                  <c:v>63874941.257034987</c:v>
                </c:pt>
                <c:pt idx="56">
                  <c:v>51104344.750951394</c:v>
                </c:pt>
                <c:pt idx="57">
                  <c:v>45609009.302323237</c:v>
                </c:pt>
                <c:pt idx="58">
                  <c:v>46469515.591495045</c:v>
                </c:pt>
                <c:pt idx="59">
                  <c:v>55230465.090595372</c:v>
                </c:pt>
                <c:pt idx="60">
                  <c:v>59338784.356532857</c:v>
                </c:pt>
                <c:pt idx="61">
                  <c:v>51245287.62996307</c:v>
                </c:pt>
                <c:pt idx="62">
                  <c:v>50474435.595644772</c:v>
                </c:pt>
                <c:pt idx="63">
                  <c:v>40494880.053992331</c:v>
                </c:pt>
                <c:pt idx="64">
                  <c:v>44687358.10973043</c:v>
                </c:pt>
                <c:pt idx="65">
                  <c:v>60058317.86239554</c:v>
                </c:pt>
                <c:pt idx="66">
                  <c:v>60116724.432008184</c:v>
                </c:pt>
                <c:pt idx="67">
                  <c:v>62995696.417208008</c:v>
                </c:pt>
                <c:pt idx="68">
                  <c:v>48759506.608881705</c:v>
                </c:pt>
                <c:pt idx="69">
                  <c:v>42890964.654805467</c:v>
                </c:pt>
                <c:pt idx="70">
                  <c:v>46729392.185578026</c:v>
                </c:pt>
                <c:pt idx="71">
                  <c:v>52653638.752975933</c:v>
                </c:pt>
                <c:pt idx="72">
                  <c:v>57730058.338583782</c:v>
                </c:pt>
                <c:pt idx="73">
                  <c:v>53100960.511582479</c:v>
                </c:pt>
                <c:pt idx="74">
                  <c:v>48312854.282921351</c:v>
                </c:pt>
                <c:pt idx="75">
                  <c:v>40431251.803098187</c:v>
                </c:pt>
                <c:pt idx="76">
                  <c:v>48831027.698054522</c:v>
                </c:pt>
                <c:pt idx="77">
                  <c:v>54293148.395240359</c:v>
                </c:pt>
                <c:pt idx="78">
                  <c:v>66838796.466714099</c:v>
                </c:pt>
                <c:pt idx="79">
                  <c:v>64383796.646045908</c:v>
                </c:pt>
                <c:pt idx="80">
                  <c:v>57711890.040466145</c:v>
                </c:pt>
                <c:pt idx="81">
                  <c:v>41982837.440415986</c:v>
                </c:pt>
                <c:pt idx="82">
                  <c:v>42911847.39927014</c:v>
                </c:pt>
                <c:pt idx="83">
                  <c:v>49562584.564758532</c:v>
                </c:pt>
                <c:pt idx="84">
                  <c:v>55013207.515825003</c:v>
                </c:pt>
                <c:pt idx="85">
                  <c:v>48789242.160806067</c:v>
                </c:pt>
                <c:pt idx="86">
                  <c:v>44350268.385474525</c:v>
                </c:pt>
                <c:pt idx="87">
                  <c:v>41673714.008417666</c:v>
                </c:pt>
                <c:pt idx="88">
                  <c:v>46718054.207950838</c:v>
                </c:pt>
                <c:pt idx="89">
                  <c:v>60509043.889664374</c:v>
                </c:pt>
                <c:pt idx="90">
                  <c:v>77126805.524077043</c:v>
                </c:pt>
                <c:pt idx="91">
                  <c:v>78141838.688965291</c:v>
                </c:pt>
                <c:pt idx="92">
                  <c:v>54164119.903404474</c:v>
                </c:pt>
                <c:pt idx="93">
                  <c:v>45046423.608012974</c:v>
                </c:pt>
                <c:pt idx="94">
                  <c:v>42770776.064545706</c:v>
                </c:pt>
                <c:pt idx="95">
                  <c:v>53970082.977279596</c:v>
                </c:pt>
                <c:pt idx="96">
                  <c:v>53699015.759720765</c:v>
                </c:pt>
                <c:pt idx="97">
                  <c:v>44451524.138381831</c:v>
                </c:pt>
                <c:pt idx="98">
                  <c:v>47065401.900018238</c:v>
                </c:pt>
                <c:pt idx="99">
                  <c:v>39249347.844859779</c:v>
                </c:pt>
                <c:pt idx="100">
                  <c:v>43668321.092285216</c:v>
                </c:pt>
                <c:pt idx="101">
                  <c:v>60447685.762838602</c:v>
                </c:pt>
                <c:pt idx="102">
                  <c:v>71120735.012967229</c:v>
                </c:pt>
                <c:pt idx="103">
                  <c:v>61032845.32389532</c:v>
                </c:pt>
                <c:pt idx="104">
                  <c:v>52842044.484852798</c:v>
                </c:pt>
                <c:pt idx="105">
                  <c:v>44760067.08404921</c:v>
                </c:pt>
                <c:pt idx="106">
                  <c:v>44761645.000782415</c:v>
                </c:pt>
                <c:pt idx="107">
                  <c:v>55103905.495853029</c:v>
                </c:pt>
                <c:pt idx="108">
                  <c:v>55984418.957802325</c:v>
                </c:pt>
                <c:pt idx="109">
                  <c:v>46362723.971004769</c:v>
                </c:pt>
                <c:pt idx="110">
                  <c:v>47899861.726224765</c:v>
                </c:pt>
                <c:pt idx="111">
                  <c:v>41826506.47690808</c:v>
                </c:pt>
                <c:pt idx="112">
                  <c:v>48591658.666336097</c:v>
                </c:pt>
                <c:pt idx="113">
                  <c:v>59328348.543590009</c:v>
                </c:pt>
                <c:pt idx="114">
                  <c:v>75235678.096259475</c:v>
                </c:pt>
                <c:pt idx="115">
                  <c:v>75292611.867529616</c:v>
                </c:pt>
                <c:pt idx="116">
                  <c:v>57709314.078143522</c:v>
                </c:pt>
                <c:pt idx="117">
                  <c:v>46478794.26913064</c:v>
                </c:pt>
                <c:pt idx="118">
                  <c:v>46429009.092041999</c:v>
                </c:pt>
                <c:pt idx="119">
                  <c:v>51720731.261051796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9-4427-AAC4-B33E6B936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Summary'!$M$3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Summary'!$M$4:$M$13</c:f>
              <c:numCache>
                <c:formatCode>#,##0</c:formatCode>
                <c:ptCount val="10"/>
                <c:pt idx="0">
                  <c:v>909941690.05462801</c:v>
                </c:pt>
                <c:pt idx="1">
                  <c:v>949940798.24079382</c:v>
                </c:pt>
                <c:pt idx="2">
                  <c:v>954716376.40186357</c:v>
                </c:pt>
                <c:pt idx="3">
                  <c:v>947601280.21338153</c:v>
                </c:pt>
                <c:pt idx="4">
                  <c:v>960846806.29165292</c:v>
                </c:pt>
                <c:pt idx="5">
                  <c:v>996483234.68108225</c:v>
                </c:pt>
                <c:pt idx="6">
                  <c:v>981032453.65475094</c:v>
                </c:pt>
                <c:pt idx="7">
                  <c:v>1003091875.9216123</c:v>
                </c:pt>
                <c:pt idx="8">
                  <c:v>992815529.12761188</c:v>
                </c:pt>
                <c:pt idx="9">
                  <c:v>1011503943.6054814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451C-B5E4-A8484DAB05FC}"/>
            </c:ext>
          </c:extLst>
        </c:ser>
        <c:ser>
          <c:idx val="1"/>
          <c:order val="1"/>
          <c:tx>
            <c:strRef>
              <c:f>'Model Annual Summary'!$N$3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Summary'!$N$4:$N$13</c:f>
              <c:numCache>
                <c:formatCode>#,##0</c:formatCode>
                <c:ptCount val="10"/>
                <c:pt idx="0">
                  <c:v>920648839.03121078</c:v>
                </c:pt>
                <c:pt idx="1">
                  <c:v>948429680.4333024</c:v>
                </c:pt>
                <c:pt idx="2">
                  <c:v>954939805.21261263</c:v>
                </c:pt>
                <c:pt idx="3">
                  <c:v>952358557.35848093</c:v>
                </c:pt>
                <c:pt idx="4">
                  <c:v>963176216.27468419</c:v>
                </c:pt>
                <c:pt idx="5">
                  <c:v>972368458.52510858</c:v>
                </c:pt>
                <c:pt idx="6">
                  <c:v>979401734.81302142</c:v>
                </c:pt>
                <c:pt idx="7">
                  <c:v>996290180.35569298</c:v>
                </c:pt>
                <c:pt idx="8">
                  <c:v>995908628.5250417</c:v>
                </c:pt>
                <c:pt idx="9">
                  <c:v>1024451887.6636877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451C-B5E4-A8484DAB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Summary'!$W$4:$W$13</c:f>
              <c:numCache>
                <c:formatCode>#,##0</c:formatCode>
                <c:ptCount val="10"/>
                <c:pt idx="0">
                  <c:v>271865804.30218202</c:v>
                </c:pt>
                <c:pt idx="1">
                  <c:v>295089951.25607103</c:v>
                </c:pt>
                <c:pt idx="2">
                  <c:v>321215291.54792941</c:v>
                </c:pt>
                <c:pt idx="3">
                  <c:v>307352197.44654351</c:v>
                </c:pt>
                <c:pt idx="4">
                  <c:v>301275992.14380634</c:v>
                </c:pt>
                <c:pt idx="5">
                  <c:v>312895351.29912758</c:v>
                </c:pt>
                <c:pt idx="6">
                  <c:v>311302177.58975667</c:v>
                </c:pt>
                <c:pt idx="7">
                  <c:v>328714008.20688087</c:v>
                </c:pt>
                <c:pt idx="8">
                  <c:v>310049536.61043382</c:v>
                </c:pt>
                <c:pt idx="9">
                  <c:v>322964807.86437124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2-40A6-BA25-ACE7C9DE506E}"/>
            </c:ext>
          </c:extLst>
        </c:ser>
        <c:ser>
          <c:idx val="1"/>
          <c:order val="1"/>
          <c:tx>
            <c:strRef>
              <c:f>'Model Annual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Summary'!$X$4:$X$13</c:f>
              <c:numCache>
                <c:formatCode>#,##0</c:formatCode>
                <c:ptCount val="10"/>
                <c:pt idx="0">
                  <c:v>287001322.93155688</c:v>
                </c:pt>
                <c:pt idx="1">
                  <c:v>298551637.56926191</c:v>
                </c:pt>
                <c:pt idx="2">
                  <c:v>301853268.66275126</c:v>
                </c:pt>
                <c:pt idx="3">
                  <c:v>304940815.92822284</c:v>
                </c:pt>
                <c:pt idx="4">
                  <c:v>306642082.15056467</c:v>
                </c:pt>
                <c:pt idx="5">
                  <c:v>306448429.57663774</c:v>
                </c:pt>
                <c:pt idx="6">
                  <c:v>310915961.97709024</c:v>
                </c:pt>
                <c:pt idx="7">
                  <c:v>318896688.26101142</c:v>
                </c:pt>
                <c:pt idx="8">
                  <c:v>319187695.67185652</c:v>
                </c:pt>
                <c:pt idx="9">
                  <c:v>328287215.538149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2-40A6-BA25-ACE7C9DE5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26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Summary'!$Q$3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Summary'!$Q$4:$Q$13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3-4791-B71E-75CEE555C344}"/>
            </c:ext>
          </c:extLst>
        </c:ser>
        <c:ser>
          <c:idx val="1"/>
          <c:order val="1"/>
          <c:tx>
            <c:strRef>
              <c:f>'Model Annual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Summary'!$R$4:$R$13</c:f>
              <c:numCache>
                <c:formatCode>#,##0</c:formatCode>
                <c:ptCount val="10"/>
                <c:pt idx="0">
                  <c:v>51306801.944982</c:v>
                </c:pt>
                <c:pt idx="1">
                  <c:v>49071887.882886</c:v>
                </c:pt>
                <c:pt idx="2">
                  <c:v>48794571.150462002</c:v>
                </c:pt>
                <c:pt idx="3">
                  <c:v>45796604.320539199</c:v>
                </c:pt>
                <c:pt idx="4">
                  <c:v>45730148.676554747</c:v>
                </c:pt>
                <c:pt idx="5">
                  <c:v>47596960.830868289</c:v>
                </c:pt>
                <c:pt idx="6">
                  <c:v>44614255.999194153</c:v>
                </c:pt>
                <c:pt idx="7">
                  <c:v>44469363.588965133</c:v>
                </c:pt>
                <c:pt idx="8">
                  <c:v>44747913.183567218</c:v>
                </c:pt>
                <c:pt idx="9">
                  <c:v>42157059.751604393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3-4791-B71E-75CEE555C344}"/>
            </c:ext>
          </c:extLst>
        </c:ser>
        <c:ser>
          <c:idx val="2"/>
          <c:order val="2"/>
          <c:tx>
            <c:strRef>
              <c:f>'Model Annual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Summary'!$S$4:$S$13</c:f>
              <c:numCache>
                <c:formatCode>#,##0</c:formatCode>
                <c:ptCount val="10"/>
                <c:pt idx="0">
                  <c:v>50129122.097767241</c:v>
                </c:pt>
                <c:pt idx="1">
                  <c:v>49300183.460214451</c:v>
                </c:pt>
                <c:pt idx="2">
                  <c:v>48471244.822661653</c:v>
                </c:pt>
                <c:pt idx="3">
                  <c:v>47790598.706022672</c:v>
                </c:pt>
                <c:pt idx="4">
                  <c:v>46813367.547556072</c:v>
                </c:pt>
                <c:pt idx="5">
                  <c:v>45984428.910003282</c:v>
                </c:pt>
                <c:pt idx="6">
                  <c:v>45155490.272450492</c:v>
                </c:pt>
                <c:pt idx="7">
                  <c:v>44474844.155811496</c:v>
                </c:pt>
                <c:pt idx="8">
                  <c:v>43497612.997344896</c:v>
                </c:pt>
                <c:pt idx="9">
                  <c:v>42668674.359792106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C-484D-924C-2339CB30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400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Summary'!$W$58:$W$67</c:f>
              <c:numCache>
                <c:formatCode>#,##0</c:formatCode>
                <c:ptCount val="10"/>
                <c:pt idx="0">
                  <c:v>238942133.03112504</c:v>
                </c:pt>
                <c:pt idx="1">
                  <c:v>244472233.66514638</c:v>
                </c:pt>
                <c:pt idx="2">
                  <c:v>258504691.02363744</c:v>
                </c:pt>
                <c:pt idx="3">
                  <c:v>258686257.46320164</c:v>
                </c:pt>
                <c:pt idx="4">
                  <c:v>260918203.00297934</c:v>
                </c:pt>
                <c:pt idx="5">
                  <c:v>260940604.23472461</c:v>
                </c:pt>
                <c:pt idx="6">
                  <c:v>254870414.56359208</c:v>
                </c:pt>
                <c:pt idx="7">
                  <c:v>271568756.28084087</c:v>
                </c:pt>
                <c:pt idx="8">
                  <c:v>258566899.13918212</c:v>
                </c:pt>
                <c:pt idx="9">
                  <c:v>266878760.62206021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5-43D8-BAA9-23DF36B6B94E}"/>
            </c:ext>
          </c:extLst>
        </c:ser>
        <c:ser>
          <c:idx val="1"/>
          <c:order val="1"/>
          <c:tx>
            <c:strRef>
              <c:f>'Model Annual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Summary'!$X$58:$X$67</c:f>
              <c:numCache>
                <c:formatCode>#,##0</c:formatCode>
                <c:ptCount val="10"/>
                <c:pt idx="0">
                  <c:v>242508635.22703955</c:v>
                </c:pt>
                <c:pt idx="1">
                  <c:v>252513419.58662128</c:v>
                </c:pt>
                <c:pt idx="2">
                  <c:v>253846097.48299971</c:v>
                </c:pt>
                <c:pt idx="3">
                  <c:v>256069851.58864415</c:v>
                </c:pt>
                <c:pt idx="4">
                  <c:v>256033935.14824495</c:v>
                </c:pt>
                <c:pt idx="5">
                  <c:v>254948643.72202531</c:v>
                </c:pt>
                <c:pt idx="6">
                  <c:v>258624311.25982416</c:v>
                </c:pt>
                <c:pt idx="7">
                  <c:v>265195922.80451491</c:v>
                </c:pt>
                <c:pt idx="8">
                  <c:v>263752141.17084149</c:v>
                </c:pt>
                <c:pt idx="9">
                  <c:v>270855995.0357312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5-43D8-BAA9-23DF36B6B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Summary'!$M$3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Summary'!$M$58:$M$67</c:f>
              <c:numCache>
                <c:formatCode>#,##0</c:formatCode>
                <c:ptCount val="10"/>
                <c:pt idx="0">
                  <c:v>907775263.65007961</c:v>
                </c:pt>
                <c:pt idx="1">
                  <c:v>947551859.48200023</c:v>
                </c:pt>
                <c:pt idx="2">
                  <c:v>950853579.726524</c:v>
                </c:pt>
                <c:pt idx="3">
                  <c:v>944819020.0418483</c:v>
                </c:pt>
                <c:pt idx="4">
                  <c:v>958788802.29242408</c:v>
                </c:pt>
                <c:pt idx="5">
                  <c:v>994301447.72916961</c:v>
                </c:pt>
                <c:pt idx="6">
                  <c:v>978824286.54479611</c:v>
                </c:pt>
                <c:pt idx="7">
                  <c:v>1000271405.6122744</c:v>
                </c:pt>
                <c:pt idx="8">
                  <c:v>989098794.4451412</c:v>
                </c:pt>
                <c:pt idx="9">
                  <c:v>1008409886.7007883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F-416D-94E5-688E0D035590}"/>
            </c:ext>
          </c:extLst>
        </c:ser>
        <c:ser>
          <c:idx val="1"/>
          <c:order val="1"/>
          <c:tx>
            <c:strRef>
              <c:f>'Model Annual Summary'!$N$3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Summary'!$N$58:$N$67</c:f>
              <c:numCache>
                <c:formatCode>#,##0</c:formatCode>
                <c:ptCount val="10"/>
                <c:pt idx="0">
                  <c:v>918274946.71483088</c:v>
                </c:pt>
                <c:pt idx="1">
                  <c:v>945960726.86862266</c:v>
                </c:pt>
                <c:pt idx="2">
                  <c:v>952389311.26367855</c:v>
                </c:pt>
                <c:pt idx="3">
                  <c:v>949771141.40007782</c:v>
                </c:pt>
                <c:pt idx="4">
                  <c:v>960522535.9134047</c:v>
                </c:pt>
                <c:pt idx="5">
                  <c:v>969618005.98307276</c:v>
                </c:pt>
                <c:pt idx="6">
                  <c:v>976570905.2109586</c:v>
                </c:pt>
                <c:pt idx="7">
                  <c:v>993374173.41631365</c:v>
                </c:pt>
                <c:pt idx="8">
                  <c:v>992881543.19619465</c:v>
                </c:pt>
                <c:pt idx="9">
                  <c:v>1021331056.2579067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F-416D-94E5-688E0D03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52160"/>
        <c:axId val="199453696"/>
      </c:lineChart>
      <c:catAx>
        <c:axId val="1994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53696"/>
        <c:crosses val="autoZero"/>
        <c:auto val="1"/>
        <c:lblAlgn val="ctr"/>
        <c:lblOffset val="100"/>
        <c:noMultiLvlLbl val="0"/>
      </c:catAx>
      <c:valAx>
        <c:axId val="199453696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Monthly'!$C$1</c:f>
              <c:strCache>
                <c:ptCount val="1"/>
                <c:pt idx="0">
                  <c:v>Residential_NO_CDM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'Res Normalized Monthly'!$C$2:$C$145</c:f>
              <c:numCache>
                <c:formatCode>General</c:formatCode>
                <c:ptCount val="144"/>
                <c:pt idx="0">
                  <c:v>59871639.469987579</c:v>
                </c:pt>
                <c:pt idx="1">
                  <c:v>50314490.087674581</c:v>
                </c:pt>
                <c:pt idx="2">
                  <c:v>49701259.077867575</c:v>
                </c:pt>
                <c:pt idx="3">
                  <c:v>43094637.623121575</c:v>
                </c:pt>
                <c:pt idx="4">
                  <c:v>41837246.165888578</c:v>
                </c:pt>
                <c:pt idx="5">
                  <c:v>50342302.386945575</c:v>
                </c:pt>
                <c:pt idx="6">
                  <c:v>60810554.498038575</c:v>
                </c:pt>
                <c:pt idx="7">
                  <c:v>64587027.745830581</c:v>
                </c:pt>
                <c:pt idx="8">
                  <c:v>49270432.95375558</c:v>
                </c:pt>
                <c:pt idx="9">
                  <c:v>45083293.96010758</c:v>
                </c:pt>
                <c:pt idx="10">
                  <c:v>46033170.645772576</c:v>
                </c:pt>
                <c:pt idx="11">
                  <c:v>56594449.192762576</c:v>
                </c:pt>
                <c:pt idx="12">
                  <c:v>57230062.23541832</c:v>
                </c:pt>
                <c:pt idx="13">
                  <c:v>48541585.314724319</c:v>
                </c:pt>
                <c:pt idx="14">
                  <c:v>46701990.468791321</c:v>
                </c:pt>
                <c:pt idx="15">
                  <c:v>40737141.674832322</c:v>
                </c:pt>
                <c:pt idx="16">
                  <c:v>48242779.236058325</c:v>
                </c:pt>
                <c:pt idx="17">
                  <c:v>65023461.895293318</c:v>
                </c:pt>
                <c:pt idx="18">
                  <c:v>81296181.759749323</c:v>
                </c:pt>
                <c:pt idx="19">
                  <c:v>75078483.539122328</c:v>
                </c:pt>
                <c:pt idx="20">
                  <c:v>49993208.971530318</c:v>
                </c:pt>
                <c:pt idx="21">
                  <c:v>42337839.47948432</c:v>
                </c:pt>
                <c:pt idx="22">
                  <c:v>45676188.057550319</c:v>
                </c:pt>
                <c:pt idx="23">
                  <c:v>56097840.297418319</c:v>
                </c:pt>
                <c:pt idx="24">
                  <c:v>57216324.683351137</c:v>
                </c:pt>
                <c:pt idx="25">
                  <c:v>49077423.393344134</c:v>
                </c:pt>
                <c:pt idx="26">
                  <c:v>49267213.176552139</c:v>
                </c:pt>
                <c:pt idx="27">
                  <c:v>43063023.121252134</c:v>
                </c:pt>
                <c:pt idx="28">
                  <c:v>46164662.055697136</c:v>
                </c:pt>
                <c:pt idx="29">
                  <c:v>60282224.690545134</c:v>
                </c:pt>
                <c:pt idx="30">
                  <c:v>81061488.555960134</c:v>
                </c:pt>
                <c:pt idx="31">
                  <c:v>71258545.409913138</c:v>
                </c:pt>
                <c:pt idx="32">
                  <c:v>49668107.280463137</c:v>
                </c:pt>
                <c:pt idx="33">
                  <c:v>43253414.186002135</c:v>
                </c:pt>
                <c:pt idx="34">
                  <c:v>44910887.27802214</c:v>
                </c:pt>
                <c:pt idx="35">
                  <c:v>53040629.64073614</c:v>
                </c:pt>
                <c:pt idx="36">
                  <c:v>53836254.463610977</c:v>
                </c:pt>
                <c:pt idx="37">
                  <c:v>47974878.753441975</c:v>
                </c:pt>
                <c:pt idx="38">
                  <c:v>44818017.847629979</c:v>
                </c:pt>
                <c:pt idx="39">
                  <c:v>40519756.964387976</c:v>
                </c:pt>
                <c:pt idx="40">
                  <c:v>47369873.151951976</c:v>
                </c:pt>
                <c:pt idx="41">
                  <c:v>66164429.476892978</c:v>
                </c:pt>
                <c:pt idx="42">
                  <c:v>83251368.938582972</c:v>
                </c:pt>
                <c:pt idx="43">
                  <c:v>68538520.76983498</c:v>
                </c:pt>
                <c:pt idx="44">
                  <c:v>50547782.282330975</c:v>
                </c:pt>
                <c:pt idx="45">
                  <c:v>42873857.88398198</c:v>
                </c:pt>
                <c:pt idx="46">
                  <c:v>45641430.12196698</c:v>
                </c:pt>
                <c:pt idx="47">
                  <c:v>52638100.62582498</c:v>
                </c:pt>
                <c:pt idx="48">
                  <c:v>54911356.121163584</c:v>
                </c:pt>
                <c:pt idx="49">
                  <c:v>48753761.194211587</c:v>
                </c:pt>
                <c:pt idx="50">
                  <c:v>49889124.102056585</c:v>
                </c:pt>
                <c:pt idx="51">
                  <c:v>43188284.981835589</c:v>
                </c:pt>
                <c:pt idx="52">
                  <c:v>45290631.481890589</c:v>
                </c:pt>
                <c:pt idx="53">
                  <c:v>56572380.058294587</c:v>
                </c:pt>
                <c:pt idx="54">
                  <c:v>69531972.104008585</c:v>
                </c:pt>
                <c:pt idx="55">
                  <c:v>62627316.669716507</c:v>
                </c:pt>
                <c:pt idx="56">
                  <c:v>52483630.869351625</c:v>
                </c:pt>
                <c:pt idx="57">
                  <c:v>44313505.933738872</c:v>
                </c:pt>
                <c:pt idx="58">
                  <c:v>47268963.680705905</c:v>
                </c:pt>
                <c:pt idx="59">
                  <c:v>57282294.93726933</c:v>
                </c:pt>
                <c:pt idx="60">
                  <c:v>61083284.63878455</c:v>
                </c:pt>
                <c:pt idx="61">
                  <c:v>51952415.072566412</c:v>
                </c:pt>
                <c:pt idx="62">
                  <c:v>51052991.482677959</c:v>
                </c:pt>
                <c:pt idx="63">
                  <c:v>41360165.193640947</c:v>
                </c:pt>
                <c:pt idx="64">
                  <c:v>43158849.921167485</c:v>
                </c:pt>
                <c:pt idx="65">
                  <c:v>55440642.71470008</c:v>
                </c:pt>
                <c:pt idx="66">
                  <c:v>61454907.375045419</c:v>
                </c:pt>
                <c:pt idx="67">
                  <c:v>60080885.539118305</c:v>
                </c:pt>
                <c:pt idx="68">
                  <c:v>48273397.042750143</c:v>
                </c:pt>
                <c:pt idx="69">
                  <c:v>41793076.89713157</c:v>
                </c:pt>
                <c:pt idx="70">
                  <c:v>46664422.649748906</c:v>
                </c:pt>
                <c:pt idx="71">
                  <c:v>53245388.227849908</c:v>
                </c:pt>
                <c:pt idx="72">
                  <c:v>55763896.18168027</c:v>
                </c:pt>
                <c:pt idx="73">
                  <c:v>50700386.356609277</c:v>
                </c:pt>
                <c:pt idx="74">
                  <c:v>48601161.77192767</c:v>
                </c:pt>
                <c:pt idx="75">
                  <c:v>40903456.917285234</c:v>
                </c:pt>
                <c:pt idx="76">
                  <c:v>44255377.816204593</c:v>
                </c:pt>
                <c:pt idx="77">
                  <c:v>52472039.303485408</c:v>
                </c:pt>
                <c:pt idx="78">
                  <c:v>65255972.638263904</c:v>
                </c:pt>
                <c:pt idx="79">
                  <c:v>67807607.144169539</c:v>
                </c:pt>
                <c:pt idx="80">
                  <c:v>53044043.734858684</c:v>
                </c:pt>
                <c:pt idx="81">
                  <c:v>41411011.439795353</c:v>
                </c:pt>
                <c:pt idx="82">
                  <c:v>42304554.515398659</c:v>
                </c:pt>
                <c:pt idx="83">
                  <c:v>49135427.22282929</c:v>
                </c:pt>
                <c:pt idx="84">
                  <c:v>52102836.708981939</c:v>
                </c:pt>
                <c:pt idx="85">
                  <c:v>46904127.650017522</c:v>
                </c:pt>
                <c:pt idx="86">
                  <c:v>45175173.087262981</c:v>
                </c:pt>
                <c:pt idx="87">
                  <c:v>40065253.610994443</c:v>
                </c:pt>
                <c:pt idx="88">
                  <c:v>45621730.560541235</c:v>
                </c:pt>
                <c:pt idx="89">
                  <c:v>62219414.444204442</c:v>
                </c:pt>
                <c:pt idx="90">
                  <c:v>78540515.183203891</c:v>
                </c:pt>
                <c:pt idx="91">
                  <c:v>76966973.631195873</c:v>
                </c:pt>
                <c:pt idx="92">
                  <c:v>56086414.527406082</c:v>
                </c:pt>
                <c:pt idx="93">
                  <c:v>42624018.777550466</c:v>
                </c:pt>
                <c:pt idx="94">
                  <c:v>42697547.749490358</c:v>
                </c:pt>
                <c:pt idx="95">
                  <c:v>51929745.792119883</c:v>
                </c:pt>
                <c:pt idx="96">
                  <c:v>52235221.996710055</c:v>
                </c:pt>
                <c:pt idx="97">
                  <c:v>43740261.306710057</c:v>
                </c:pt>
                <c:pt idx="98">
                  <c:v>45837850.07671006</c:v>
                </c:pt>
                <c:pt idx="99">
                  <c:v>39739104.176710062</c:v>
                </c:pt>
                <c:pt idx="100">
                  <c:v>43383845.156710058</c:v>
                </c:pt>
                <c:pt idx="101">
                  <c:v>58319622.406710058</c:v>
                </c:pt>
                <c:pt idx="102">
                  <c:v>70157146.256710052</c:v>
                </c:pt>
                <c:pt idx="103">
                  <c:v>62635034.536710061</c:v>
                </c:pt>
                <c:pt idx="104">
                  <c:v>53098958.586710058</c:v>
                </c:pt>
                <c:pt idx="105">
                  <c:v>46118064.906710058</c:v>
                </c:pt>
                <c:pt idx="106">
                  <c:v>45341675.606710061</c:v>
                </c:pt>
                <c:pt idx="107">
                  <c:v>54565027.176710062</c:v>
                </c:pt>
                <c:pt idx="108">
                  <c:v>56225086.293307021</c:v>
                </c:pt>
                <c:pt idx="109">
                  <c:v>47139422.787842415</c:v>
                </c:pt>
                <c:pt idx="110">
                  <c:v>48575569.512237363</c:v>
                </c:pt>
                <c:pt idx="111">
                  <c:v>43821696.032611214</c:v>
                </c:pt>
                <c:pt idx="112">
                  <c:v>48899921.933677331</c:v>
                </c:pt>
                <c:pt idx="113">
                  <c:v>66010052.584332302</c:v>
                </c:pt>
                <c:pt idx="114">
                  <c:v>78572912.328857943</c:v>
                </c:pt>
                <c:pt idx="115">
                  <c:v>75820147.472080186</c:v>
                </c:pt>
                <c:pt idx="116">
                  <c:v>59545277.389431417</c:v>
                </c:pt>
                <c:pt idx="117">
                  <c:v>46605104.794214346</c:v>
                </c:pt>
                <c:pt idx="118">
                  <c:v>47874988.187957972</c:v>
                </c:pt>
                <c:pt idx="119">
                  <c:v>52725596.952190973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4-43BC-BA37-A9082EFCF741}"/>
            </c:ext>
          </c:extLst>
        </c:ser>
        <c:ser>
          <c:idx val="1"/>
          <c:order val="1"/>
          <c:tx>
            <c:strRef>
              <c:f>'Res Normalized Monthly'!$T$1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'Res Normalized Monthly'!$T$2:$T$145</c:f>
              <c:numCache>
                <c:formatCode>General</c:formatCode>
                <c:ptCount val="144"/>
                <c:pt idx="0">
                  <c:v>57072025.331025906</c:v>
                </c:pt>
                <c:pt idx="1">
                  <c:v>49537178.015856929</c:v>
                </c:pt>
                <c:pt idx="2">
                  <c:v>48054940.843163036</c:v>
                </c:pt>
                <c:pt idx="3">
                  <c:v>41593464.755848877</c:v>
                </c:pt>
                <c:pt idx="4">
                  <c:v>47414766.184620097</c:v>
                </c:pt>
                <c:pt idx="5">
                  <c:v>59928707.187714554</c:v>
                </c:pt>
                <c:pt idx="6">
                  <c:v>73421042.561579347</c:v>
                </c:pt>
                <c:pt idx="7">
                  <c:v>68908467.39278537</c:v>
                </c:pt>
                <c:pt idx="8">
                  <c:v>52858034.535449453</c:v>
                </c:pt>
                <c:pt idx="9">
                  <c:v>44809326.570181839</c:v>
                </c:pt>
                <c:pt idx="10">
                  <c:v>45570293.941376336</c:v>
                </c:pt>
                <c:pt idx="11">
                  <c:v>54444692.738197006</c:v>
                </c:pt>
                <c:pt idx="12">
                  <c:v>56919071.115473896</c:v>
                </c:pt>
                <c:pt idx="13">
                  <c:v>49384223.800304919</c:v>
                </c:pt>
                <c:pt idx="14">
                  <c:v>47901986.627611026</c:v>
                </c:pt>
                <c:pt idx="15">
                  <c:v>41440510.540296867</c:v>
                </c:pt>
                <c:pt idx="16">
                  <c:v>47261811.969068088</c:v>
                </c:pt>
                <c:pt idx="17">
                  <c:v>59775752.972162545</c:v>
                </c:pt>
                <c:pt idx="18">
                  <c:v>73268088.34602733</c:v>
                </c:pt>
                <c:pt idx="19">
                  <c:v>68755513.177233368</c:v>
                </c:pt>
                <c:pt idx="20">
                  <c:v>52705080.319897443</c:v>
                </c:pt>
                <c:pt idx="21">
                  <c:v>44656372.35462983</c:v>
                </c:pt>
                <c:pt idx="22">
                  <c:v>45417339.725824326</c:v>
                </c:pt>
                <c:pt idx="23">
                  <c:v>54291738.522644997</c:v>
                </c:pt>
                <c:pt idx="24">
                  <c:v>56766116.899921887</c:v>
                </c:pt>
                <c:pt idx="25">
                  <c:v>49231269.58475291</c:v>
                </c:pt>
                <c:pt idx="26">
                  <c:v>47749032.412059017</c:v>
                </c:pt>
                <c:pt idx="27">
                  <c:v>41287556.324744858</c:v>
                </c:pt>
                <c:pt idx="28">
                  <c:v>47108857.753516078</c:v>
                </c:pt>
                <c:pt idx="29">
                  <c:v>59622798.756610535</c:v>
                </c:pt>
                <c:pt idx="30">
                  <c:v>73115134.130475327</c:v>
                </c:pt>
                <c:pt idx="31">
                  <c:v>68602558.961681351</c:v>
                </c:pt>
                <c:pt idx="32">
                  <c:v>52552126.104345433</c:v>
                </c:pt>
                <c:pt idx="33">
                  <c:v>44503418.13907782</c:v>
                </c:pt>
                <c:pt idx="34">
                  <c:v>45264385.510272317</c:v>
                </c:pt>
                <c:pt idx="35">
                  <c:v>54138784.307092987</c:v>
                </c:pt>
                <c:pt idx="36">
                  <c:v>56613162.684369877</c:v>
                </c:pt>
                <c:pt idx="37">
                  <c:v>50880248.7134431</c:v>
                </c:pt>
                <c:pt idx="38">
                  <c:v>47596078.196507007</c:v>
                </c:pt>
                <c:pt idx="39">
                  <c:v>41134602.109192848</c:v>
                </c:pt>
                <c:pt idx="40">
                  <c:v>46955903.537964068</c:v>
                </c:pt>
                <c:pt idx="41">
                  <c:v>59469844.541058525</c:v>
                </c:pt>
                <c:pt idx="42">
                  <c:v>72962179.91492331</c:v>
                </c:pt>
                <c:pt idx="43">
                  <c:v>68449604.746129349</c:v>
                </c:pt>
                <c:pt idx="44">
                  <c:v>52399171.888793424</c:v>
                </c:pt>
                <c:pt idx="45">
                  <c:v>44350463.92352581</c:v>
                </c:pt>
                <c:pt idx="46">
                  <c:v>45111431.294720307</c:v>
                </c:pt>
                <c:pt idx="47">
                  <c:v>53985830.091540977</c:v>
                </c:pt>
                <c:pt idx="48">
                  <c:v>56460208.468817867</c:v>
                </c:pt>
                <c:pt idx="49">
                  <c:v>48925361.153648891</c:v>
                </c:pt>
                <c:pt idx="50">
                  <c:v>47443123.980954997</c:v>
                </c:pt>
                <c:pt idx="51">
                  <c:v>40981647.893640839</c:v>
                </c:pt>
                <c:pt idx="52">
                  <c:v>46802949.322412066</c:v>
                </c:pt>
                <c:pt idx="53">
                  <c:v>59316890.325506516</c:v>
                </c:pt>
                <c:pt idx="54">
                  <c:v>72809225.699371308</c:v>
                </c:pt>
                <c:pt idx="55">
                  <c:v>68296650.530577332</c:v>
                </c:pt>
                <c:pt idx="56">
                  <c:v>52246217.673241422</c:v>
                </c:pt>
                <c:pt idx="57">
                  <c:v>44197509.707973801</c:v>
                </c:pt>
                <c:pt idx="58">
                  <c:v>44958477.079168297</c:v>
                </c:pt>
                <c:pt idx="59">
                  <c:v>53832875.875988968</c:v>
                </c:pt>
                <c:pt idx="60">
                  <c:v>56307254.253265865</c:v>
                </c:pt>
                <c:pt idx="61">
                  <c:v>48772406.938096881</c:v>
                </c:pt>
                <c:pt idx="62">
                  <c:v>47290169.765402988</c:v>
                </c:pt>
                <c:pt idx="63">
                  <c:v>40828693.678088829</c:v>
                </c:pt>
                <c:pt idx="64">
                  <c:v>46649995.106860057</c:v>
                </c:pt>
                <c:pt idx="65">
                  <c:v>59163936.109954506</c:v>
                </c:pt>
                <c:pt idx="66">
                  <c:v>72656271.483819306</c:v>
                </c:pt>
                <c:pt idx="67">
                  <c:v>68143696.31502533</c:v>
                </c:pt>
                <c:pt idx="68">
                  <c:v>52093263.457689412</c:v>
                </c:pt>
                <c:pt idx="69">
                  <c:v>44044555.492421791</c:v>
                </c:pt>
                <c:pt idx="70">
                  <c:v>44805522.863616288</c:v>
                </c:pt>
                <c:pt idx="71">
                  <c:v>53679921.660436958</c:v>
                </c:pt>
                <c:pt idx="72">
                  <c:v>56154300.037713856</c:v>
                </c:pt>
                <c:pt idx="73">
                  <c:v>48619452.722544871</c:v>
                </c:pt>
                <c:pt idx="74">
                  <c:v>47137215.549850978</c:v>
                </c:pt>
                <c:pt idx="75">
                  <c:v>40675739.462536819</c:v>
                </c:pt>
                <c:pt idx="76">
                  <c:v>46497040.891308047</c:v>
                </c:pt>
                <c:pt idx="77">
                  <c:v>59010981.894402497</c:v>
                </c:pt>
                <c:pt idx="78">
                  <c:v>72503317.268267289</c:v>
                </c:pt>
                <c:pt idx="79">
                  <c:v>67990742.099473312</c:v>
                </c:pt>
                <c:pt idx="80">
                  <c:v>51940309.242137402</c:v>
                </c:pt>
                <c:pt idx="81">
                  <c:v>43891601.276869781</c:v>
                </c:pt>
                <c:pt idx="82">
                  <c:v>44652568.648064278</c:v>
                </c:pt>
                <c:pt idx="83">
                  <c:v>53526967.444884948</c:v>
                </c:pt>
                <c:pt idx="84">
                  <c:v>56001345.822161846</c:v>
                </c:pt>
                <c:pt idx="85">
                  <c:v>50268431.851235062</c:v>
                </c:pt>
                <c:pt idx="86">
                  <c:v>46984261.334298968</c:v>
                </c:pt>
                <c:pt idx="87">
                  <c:v>40522785.24698481</c:v>
                </c:pt>
                <c:pt idx="88">
                  <c:v>46344086.675756037</c:v>
                </c:pt>
                <c:pt idx="89">
                  <c:v>58858027.678850487</c:v>
                </c:pt>
                <c:pt idx="90">
                  <c:v>72350363.052715287</c:v>
                </c:pt>
                <c:pt idx="91">
                  <c:v>67837787.88392131</c:v>
                </c:pt>
                <c:pt idx="92">
                  <c:v>51787355.026585393</c:v>
                </c:pt>
                <c:pt idx="93">
                  <c:v>43738647.061317772</c:v>
                </c:pt>
                <c:pt idx="94">
                  <c:v>44499614.432512268</c:v>
                </c:pt>
                <c:pt idx="95">
                  <c:v>53374013.229332939</c:v>
                </c:pt>
                <c:pt idx="96">
                  <c:v>55848391.606609836</c:v>
                </c:pt>
                <c:pt idx="97">
                  <c:v>48313544.291440852</c:v>
                </c:pt>
                <c:pt idx="98">
                  <c:v>46831307.118746959</c:v>
                </c:pt>
                <c:pt idx="99">
                  <c:v>40369831.031432807</c:v>
                </c:pt>
                <c:pt idx="100">
                  <c:v>46191132.460204028</c:v>
                </c:pt>
                <c:pt idx="101">
                  <c:v>58705073.463298477</c:v>
                </c:pt>
                <c:pt idx="102">
                  <c:v>72197408.83716327</c:v>
                </c:pt>
                <c:pt idx="103">
                  <c:v>67684833.668369293</c:v>
                </c:pt>
                <c:pt idx="104">
                  <c:v>51634400.811033383</c:v>
                </c:pt>
                <c:pt idx="105">
                  <c:v>43585692.845765762</c:v>
                </c:pt>
                <c:pt idx="106">
                  <c:v>44346660.216960259</c:v>
                </c:pt>
                <c:pt idx="107">
                  <c:v>53221059.013780937</c:v>
                </c:pt>
                <c:pt idx="108">
                  <c:v>55695437.391057827</c:v>
                </c:pt>
                <c:pt idx="109">
                  <c:v>48160590.075888842</c:v>
                </c:pt>
                <c:pt idx="110">
                  <c:v>46678352.903194949</c:v>
                </c:pt>
                <c:pt idx="111">
                  <c:v>40216876.815880798</c:v>
                </c:pt>
                <c:pt idx="112">
                  <c:v>46038178.244652018</c:v>
                </c:pt>
                <c:pt idx="113">
                  <c:v>58552119.247746468</c:v>
                </c:pt>
                <c:pt idx="114">
                  <c:v>72044454.621611267</c:v>
                </c:pt>
                <c:pt idx="115">
                  <c:v>67531879.452817291</c:v>
                </c:pt>
                <c:pt idx="116">
                  <c:v>51481446.595481373</c:v>
                </c:pt>
                <c:pt idx="117">
                  <c:v>43432738.630213752</c:v>
                </c:pt>
                <c:pt idx="118">
                  <c:v>44193706.001408249</c:v>
                </c:pt>
                <c:pt idx="119">
                  <c:v>53068104.798228927</c:v>
                </c:pt>
                <c:pt idx="120">
                  <c:v>55542483.175505817</c:v>
                </c:pt>
                <c:pt idx="121">
                  <c:v>48007635.860336833</c:v>
                </c:pt>
                <c:pt idx="122">
                  <c:v>46525398.687642939</c:v>
                </c:pt>
                <c:pt idx="123">
                  <c:v>40063922.600328788</c:v>
                </c:pt>
                <c:pt idx="124">
                  <c:v>45885224.029100008</c:v>
                </c:pt>
                <c:pt idx="125">
                  <c:v>58399165.032194458</c:v>
                </c:pt>
                <c:pt idx="126">
                  <c:v>71891500.40605925</c:v>
                </c:pt>
                <c:pt idx="127">
                  <c:v>67378925.237265274</c:v>
                </c:pt>
                <c:pt idx="128">
                  <c:v>51328492.379929364</c:v>
                </c:pt>
                <c:pt idx="129">
                  <c:v>43279784.414661743</c:v>
                </c:pt>
                <c:pt idx="130">
                  <c:v>44040751.785856239</c:v>
                </c:pt>
                <c:pt idx="131">
                  <c:v>52915150.582676917</c:v>
                </c:pt>
                <c:pt idx="132">
                  <c:v>55389528.959953807</c:v>
                </c:pt>
                <c:pt idx="133">
                  <c:v>49656614.989027023</c:v>
                </c:pt>
                <c:pt idx="134">
                  <c:v>46372444.47209093</c:v>
                </c:pt>
                <c:pt idx="135">
                  <c:v>39910968.384776779</c:v>
                </c:pt>
                <c:pt idx="136">
                  <c:v>45732269.813547999</c:v>
                </c:pt>
                <c:pt idx="137">
                  <c:v>58246210.816642448</c:v>
                </c:pt>
                <c:pt idx="138">
                  <c:v>71738546.190507248</c:v>
                </c:pt>
                <c:pt idx="139">
                  <c:v>67225971.021713272</c:v>
                </c:pt>
                <c:pt idx="140">
                  <c:v>51175538.164377354</c:v>
                </c:pt>
                <c:pt idx="141">
                  <c:v>43126830.199109733</c:v>
                </c:pt>
                <c:pt idx="142">
                  <c:v>43887797.57030423</c:v>
                </c:pt>
                <c:pt idx="143">
                  <c:v>52762196.367124908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4-43BC-BA37-A9082EFCF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&lt; 50 Normalized Monthly'!$C$1</c:f>
              <c:strCache>
                <c:ptCount val="1"/>
                <c:pt idx="0">
                  <c:v>GS_lt_50_No_CDM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&lt; 50 Normalized Monthly'!$C$2:$C$145</c:f>
              <c:numCache>
                <c:formatCode>General</c:formatCode>
                <c:ptCount val="144"/>
                <c:pt idx="0">
                  <c:v>20997000.576903876</c:v>
                </c:pt>
                <c:pt idx="1">
                  <c:v>18534901.320222881</c:v>
                </c:pt>
                <c:pt idx="2">
                  <c:v>18954018.30274988</c:v>
                </c:pt>
                <c:pt idx="3">
                  <c:v>16925516.165353876</c:v>
                </c:pt>
                <c:pt idx="4">
                  <c:v>17278203.842076879</c:v>
                </c:pt>
                <c:pt idx="5">
                  <c:v>18191454.642888878</c:v>
                </c:pt>
                <c:pt idx="6">
                  <c:v>20105262.722413879</c:v>
                </c:pt>
                <c:pt idx="7">
                  <c:v>20523724.411321878</c:v>
                </c:pt>
                <c:pt idx="8">
                  <c:v>18157087.066119879</c:v>
                </c:pt>
                <c:pt idx="9">
                  <c:v>17337285.180696879</c:v>
                </c:pt>
                <c:pt idx="10">
                  <c:v>17481165.503934875</c:v>
                </c:pt>
                <c:pt idx="11">
                  <c:v>19459671.383054875</c:v>
                </c:pt>
                <c:pt idx="12">
                  <c:v>20364989.12032054</c:v>
                </c:pt>
                <c:pt idx="13">
                  <c:v>18205145.489051539</c:v>
                </c:pt>
                <c:pt idx="14">
                  <c:v>18513709.375034541</c:v>
                </c:pt>
                <c:pt idx="15">
                  <c:v>16824162.846801538</c:v>
                </c:pt>
                <c:pt idx="16">
                  <c:v>18405787.843161542</c:v>
                </c:pt>
                <c:pt idx="17">
                  <c:v>20461415.969543539</c:v>
                </c:pt>
                <c:pt idx="18">
                  <c:v>22795593.036033537</c:v>
                </c:pt>
                <c:pt idx="19">
                  <c:v>22116079.594250541</c:v>
                </c:pt>
                <c:pt idx="20">
                  <c:v>18334763.226206541</c:v>
                </c:pt>
                <c:pt idx="21">
                  <c:v>17072567.952336539</c:v>
                </c:pt>
                <c:pt idx="22">
                  <c:v>17395857.750683539</c:v>
                </c:pt>
                <c:pt idx="23">
                  <c:v>19655364.768977538</c:v>
                </c:pt>
                <c:pt idx="24">
                  <c:v>20433168.712788858</c:v>
                </c:pt>
                <c:pt idx="25">
                  <c:v>18248985.66093586</c:v>
                </c:pt>
                <c:pt idx="26">
                  <c:v>18891983.127054855</c:v>
                </c:pt>
                <c:pt idx="27">
                  <c:v>17089616.625273857</c:v>
                </c:pt>
                <c:pt idx="28">
                  <c:v>17878369.437173858</c:v>
                </c:pt>
                <c:pt idx="29">
                  <c:v>19789305.953011855</c:v>
                </c:pt>
                <c:pt idx="30">
                  <c:v>22703572.420684855</c:v>
                </c:pt>
                <c:pt idx="31">
                  <c:v>21542109.43368886</c:v>
                </c:pt>
                <c:pt idx="32">
                  <c:v>18050834.514007859</c:v>
                </c:pt>
                <c:pt idx="33">
                  <c:v>17206685.452281859</c:v>
                </c:pt>
                <c:pt idx="34">
                  <c:v>17348028.408182859</c:v>
                </c:pt>
                <c:pt idx="35">
                  <c:v>18974962.525991857</c:v>
                </c:pt>
                <c:pt idx="36">
                  <c:v>19511148.082728777</c:v>
                </c:pt>
                <c:pt idx="37">
                  <c:v>18256163.68848278</c:v>
                </c:pt>
                <c:pt idx="38">
                  <c:v>18096668.85844278</c:v>
                </c:pt>
                <c:pt idx="39">
                  <c:v>16541459.767637776</c:v>
                </c:pt>
                <c:pt idx="40">
                  <c:v>18171949.748051777</c:v>
                </c:pt>
                <c:pt idx="41">
                  <c:v>20403300.909939777</c:v>
                </c:pt>
                <c:pt idx="42">
                  <c:v>22861363.392034773</c:v>
                </c:pt>
                <c:pt idx="43">
                  <c:v>21118978.986886777</c:v>
                </c:pt>
                <c:pt idx="44">
                  <c:v>18170205.46941378</c:v>
                </c:pt>
                <c:pt idx="45">
                  <c:v>17220595.803868778</c:v>
                </c:pt>
                <c:pt idx="46">
                  <c:v>17668478.376731779</c:v>
                </c:pt>
                <c:pt idx="47">
                  <c:v>19040828.537305772</c:v>
                </c:pt>
                <c:pt idx="48">
                  <c:v>19918645.038127154</c:v>
                </c:pt>
                <c:pt idx="49">
                  <c:v>18479022.427723158</c:v>
                </c:pt>
                <c:pt idx="50">
                  <c:v>19344536.573703159</c:v>
                </c:pt>
                <c:pt idx="51">
                  <c:v>17496135.743099157</c:v>
                </c:pt>
                <c:pt idx="52">
                  <c:v>18053028.241128158</c:v>
                </c:pt>
                <c:pt idx="53">
                  <c:v>19266723.806833159</c:v>
                </c:pt>
                <c:pt idx="54">
                  <c:v>21311982.975834161</c:v>
                </c:pt>
                <c:pt idx="55">
                  <c:v>20411785.122910541</c:v>
                </c:pt>
                <c:pt idx="56">
                  <c:v>18727336.210364576</c:v>
                </c:pt>
                <c:pt idx="57">
                  <c:v>17638387.428440351</c:v>
                </c:pt>
                <c:pt idx="58">
                  <c:v>18020884.044720925</c:v>
                </c:pt>
                <c:pt idx="59">
                  <c:v>20066633.254348345</c:v>
                </c:pt>
                <c:pt idx="60">
                  <c:v>21303777.783872336</c:v>
                </c:pt>
                <c:pt idx="61">
                  <c:v>19099984.13925432</c:v>
                </c:pt>
                <c:pt idx="62">
                  <c:v>19585691.607345648</c:v>
                </c:pt>
                <c:pt idx="63">
                  <c:v>16922663.676998418</c:v>
                </c:pt>
                <c:pt idx="64">
                  <c:v>17613446.724568356</c:v>
                </c:pt>
                <c:pt idx="65">
                  <c:v>18970931.054170139</c:v>
                </c:pt>
                <c:pt idx="66">
                  <c:v>19855708.900343191</c:v>
                </c:pt>
                <c:pt idx="67">
                  <c:v>19611045.207169671</c:v>
                </c:pt>
                <c:pt idx="68">
                  <c:v>17643769.2377556</c:v>
                </c:pt>
                <c:pt idx="69">
                  <c:v>16849179.511326332</c:v>
                </c:pt>
                <c:pt idx="70">
                  <c:v>17791302.050130848</c:v>
                </c:pt>
                <c:pt idx="71">
                  <c:v>19279930.467506785</c:v>
                </c:pt>
                <c:pt idx="72">
                  <c:v>20206900.384172045</c:v>
                </c:pt>
                <c:pt idx="73">
                  <c:v>18912952.911405765</c:v>
                </c:pt>
                <c:pt idx="74">
                  <c:v>19087194.693129994</c:v>
                </c:pt>
                <c:pt idx="75">
                  <c:v>16822886.277402826</c:v>
                </c:pt>
                <c:pt idx="76">
                  <c:v>17571335.804700233</c:v>
                </c:pt>
                <c:pt idx="77">
                  <c:v>18388369.415220134</c:v>
                </c:pt>
                <c:pt idx="78">
                  <c:v>20279519.473623894</c:v>
                </c:pt>
                <c:pt idx="79">
                  <c:v>20702927.092459753</c:v>
                </c:pt>
                <c:pt idx="80">
                  <c:v>18321540.160444587</c:v>
                </c:pt>
                <c:pt idx="81">
                  <c:v>16809498.477666974</c:v>
                </c:pt>
                <c:pt idx="82">
                  <c:v>16699458.042118514</c:v>
                </c:pt>
                <c:pt idx="83">
                  <c:v>18067085.348473221</c:v>
                </c:pt>
                <c:pt idx="84">
                  <c:v>19133061.760733683</c:v>
                </c:pt>
                <c:pt idx="85">
                  <c:v>18058710.330862306</c:v>
                </c:pt>
                <c:pt idx="86">
                  <c:v>17926685.621340387</c:v>
                </c:pt>
                <c:pt idx="87">
                  <c:v>16527168.639966492</c:v>
                </c:pt>
                <c:pt idx="88">
                  <c:v>17576723.658702593</c:v>
                </c:pt>
                <c:pt idx="89">
                  <c:v>19532905.229509365</c:v>
                </c:pt>
                <c:pt idx="90">
                  <c:v>21956762.489117898</c:v>
                </c:pt>
                <c:pt idx="91">
                  <c:v>21900969.806323256</c:v>
                </c:pt>
                <c:pt idx="92">
                  <c:v>18789309.137700778</c:v>
                </c:pt>
                <c:pt idx="93">
                  <c:v>16955472.071180869</c:v>
                </c:pt>
                <c:pt idx="94">
                  <c:v>16751612.589217924</c:v>
                </c:pt>
                <c:pt idx="95">
                  <c:v>18774069.716664497</c:v>
                </c:pt>
                <c:pt idx="96">
                  <c:v>18732513.136596769</c:v>
                </c:pt>
                <c:pt idx="97">
                  <c:v>16467205.256596768</c:v>
                </c:pt>
                <c:pt idx="98">
                  <c:v>17473640.656596765</c:v>
                </c:pt>
                <c:pt idx="99">
                  <c:v>15740126.976596767</c:v>
                </c:pt>
                <c:pt idx="100">
                  <c:v>16539773.226596767</c:v>
                </c:pt>
                <c:pt idx="101">
                  <c:v>18287536.646596767</c:v>
                </c:pt>
                <c:pt idx="102">
                  <c:v>20148670.466596767</c:v>
                </c:pt>
                <c:pt idx="103">
                  <c:v>19087552.926596768</c:v>
                </c:pt>
                <c:pt idx="104">
                  <c:v>17404207.736596767</c:v>
                </c:pt>
                <c:pt idx="105">
                  <c:v>16833839.906596765</c:v>
                </c:pt>
                <c:pt idx="106">
                  <c:v>16525687.126596767</c:v>
                </c:pt>
                <c:pt idx="107">
                  <c:v>18537220.016596768</c:v>
                </c:pt>
                <c:pt idx="108">
                  <c:v>19001303.515027311</c:v>
                </c:pt>
                <c:pt idx="109">
                  <c:v>16610806.131532103</c:v>
                </c:pt>
                <c:pt idx="110">
                  <c:v>17318740.120735005</c:v>
                </c:pt>
                <c:pt idx="111">
                  <c:v>16017226.272302017</c:v>
                </c:pt>
                <c:pt idx="112">
                  <c:v>16921821.134000421</c:v>
                </c:pt>
                <c:pt idx="113">
                  <c:v>18917894.230369061</c:v>
                </c:pt>
                <c:pt idx="114">
                  <c:v>20639533.873314146</c:v>
                </c:pt>
                <c:pt idx="115">
                  <c:v>20163539.185281534</c:v>
                </c:pt>
                <c:pt idx="116">
                  <c:v>17735720.163342077</c:v>
                </c:pt>
                <c:pt idx="117">
                  <c:v>16132772.491475061</c:v>
                </c:pt>
                <c:pt idx="118">
                  <c:v>16564637.253296278</c:v>
                </c:pt>
                <c:pt idx="119">
                  <c:v>17253745.033177346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63-BA01-6FBD1C4FAB62}"/>
            </c:ext>
          </c:extLst>
        </c:ser>
        <c:ser>
          <c:idx val="1"/>
          <c:order val="1"/>
          <c:tx>
            <c:strRef>
              <c:f>'GS &lt; 50 Normalized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&lt; 50 Normalized Monthly'!$V$2:$V$145</c:f>
              <c:numCache>
                <c:formatCode>General</c:formatCode>
                <c:ptCount val="144"/>
                <c:pt idx="0">
                  <c:v>20779529.428498995</c:v>
                </c:pt>
                <c:pt idx="1">
                  <c:v>18925825.062947001</c:v>
                </c:pt>
                <c:pt idx="2">
                  <c:v>19326560.207389601</c:v>
                </c:pt>
                <c:pt idx="3">
                  <c:v>17580587.176303253</c:v>
                </c:pt>
                <c:pt idx="4">
                  <c:v>18386563.334958304</c:v>
                </c:pt>
                <c:pt idx="5">
                  <c:v>19959898.903971106</c:v>
                </c:pt>
                <c:pt idx="6">
                  <c:v>21935636.262557279</c:v>
                </c:pt>
                <c:pt idx="7">
                  <c:v>21306925.839352019</c:v>
                </c:pt>
                <c:pt idx="8">
                  <c:v>18833609.240566678</c:v>
                </c:pt>
                <c:pt idx="9">
                  <c:v>17757312.055216793</c:v>
                </c:pt>
                <c:pt idx="10">
                  <c:v>17828930.523166973</c:v>
                </c:pt>
                <c:pt idx="11">
                  <c:v>19925196.818720307</c:v>
                </c:pt>
                <c:pt idx="12">
                  <c:v>20345293.670393094</c:v>
                </c:pt>
                <c:pt idx="13">
                  <c:v>18593939.24747698</c:v>
                </c:pt>
                <c:pt idx="14">
                  <c:v>19088836.339144588</c:v>
                </c:pt>
                <c:pt idx="15">
                  <c:v>17400179.275934327</c:v>
                </c:pt>
                <c:pt idx="16">
                  <c:v>18247095.411643729</c:v>
                </c:pt>
                <c:pt idx="17">
                  <c:v>19881840.94623806</c:v>
                </c:pt>
                <c:pt idx="18">
                  <c:v>21833014.318591624</c:v>
                </c:pt>
                <c:pt idx="19">
                  <c:v>21171551.913742881</c:v>
                </c:pt>
                <c:pt idx="20">
                  <c:v>18640919.347081449</c:v>
                </c:pt>
                <c:pt idx="21">
                  <c:v>17515494.189266346</c:v>
                </c:pt>
                <c:pt idx="22">
                  <c:v>17542078.682456739</c:v>
                </c:pt>
                <c:pt idx="23">
                  <c:v>19605592.99636659</c:v>
                </c:pt>
                <c:pt idx="24">
                  <c:v>20181261.760845911</c:v>
                </c:pt>
                <c:pt idx="25">
                  <c:v>18393061.35858088</c:v>
                </c:pt>
                <c:pt idx="26">
                  <c:v>18912522.4364811</c:v>
                </c:pt>
                <c:pt idx="27">
                  <c:v>17043729.474231694</c:v>
                </c:pt>
                <c:pt idx="28">
                  <c:v>17890645.609941095</c:v>
                </c:pt>
                <c:pt idx="29">
                  <c:v>19496733.16059738</c:v>
                </c:pt>
                <c:pt idx="30">
                  <c:v>21558444.470997691</c:v>
                </c:pt>
                <c:pt idx="31">
                  <c:v>20921546.05238156</c:v>
                </c:pt>
                <c:pt idx="32">
                  <c:v>18358161.504076649</c:v>
                </c:pt>
                <c:pt idx="33">
                  <c:v>17253206.334788721</c:v>
                </c:pt>
                <c:pt idx="34">
                  <c:v>17373952.775204118</c:v>
                </c:pt>
                <c:pt idx="35">
                  <c:v>19523441.04092811</c:v>
                </c:pt>
                <c:pt idx="36">
                  <c:v>19959913.883422635</c:v>
                </c:pt>
                <c:pt idx="37">
                  <c:v>18667777.375944529</c:v>
                </c:pt>
                <c:pt idx="38">
                  <c:v>18777148.510871962</c:v>
                </c:pt>
                <c:pt idx="39">
                  <c:v>17051645.468312785</c:v>
                </c:pt>
                <c:pt idx="40">
                  <c:v>17882185.613200448</c:v>
                </c:pt>
                <c:pt idx="41">
                  <c:v>19475991.170740426</c:v>
                </c:pt>
                <c:pt idx="42">
                  <c:v>21549984.474257044</c:v>
                </c:pt>
                <c:pt idx="43">
                  <c:v>20945838.037284393</c:v>
                </c:pt>
                <c:pt idx="44">
                  <c:v>18484803.43161536</c:v>
                </c:pt>
                <c:pt idx="45">
                  <c:v>17347096.28068395</c:v>
                </c:pt>
                <c:pt idx="46">
                  <c:v>17394150.762401517</c:v>
                </c:pt>
                <c:pt idx="47">
                  <c:v>19424913.094667889</c:v>
                </c:pt>
                <c:pt idx="48">
                  <c:v>19791787.976170018</c:v>
                </c:pt>
                <c:pt idx="49">
                  <c:v>18032245.557843037</c:v>
                </c:pt>
                <c:pt idx="50">
                  <c:v>18555800.633448686</c:v>
                </c:pt>
                <c:pt idx="51">
                  <c:v>16883519.561060168</c:v>
                </c:pt>
                <c:pt idx="52">
                  <c:v>17742717.689885877</c:v>
                </c:pt>
                <c:pt idx="53">
                  <c:v>19373369.226774771</c:v>
                </c:pt>
                <c:pt idx="54">
                  <c:v>21394140.560120732</c:v>
                </c:pt>
                <c:pt idx="55">
                  <c:v>20753148.143799163</c:v>
                </c:pt>
                <c:pt idx="56">
                  <c:v>18193857.593199685</c:v>
                </c:pt>
                <c:pt idx="57">
                  <c:v>17109372.412438933</c:v>
                </c:pt>
                <c:pt idx="58">
                  <c:v>17197366.871210855</c:v>
                </c:pt>
                <c:pt idx="59">
                  <c:v>19346855.136934843</c:v>
                </c:pt>
                <c:pt idx="60">
                  <c:v>19799703.970251109</c:v>
                </c:pt>
                <c:pt idx="61">
                  <c:v>17970563.590931728</c:v>
                </c:pt>
                <c:pt idx="62">
                  <c:v>18428614.703250419</c:v>
                </c:pt>
                <c:pt idx="63">
                  <c:v>16576197.731822755</c:v>
                </c:pt>
                <c:pt idx="64">
                  <c:v>17365797.899656065</c:v>
                </c:pt>
                <c:pt idx="65">
                  <c:v>18910475.484730825</c:v>
                </c:pt>
                <c:pt idx="66">
                  <c:v>20988562.785952874</c:v>
                </c:pt>
                <c:pt idx="67">
                  <c:v>20404886.337507401</c:v>
                </c:pt>
                <c:pt idx="68">
                  <c:v>18001167.699714459</c:v>
                </c:pt>
                <c:pt idx="69">
                  <c:v>16961716.493713491</c:v>
                </c:pt>
                <c:pt idx="70">
                  <c:v>17070180.941012587</c:v>
                </c:pt>
                <c:pt idx="71">
                  <c:v>19219669.206736576</c:v>
                </c:pt>
                <c:pt idx="72">
                  <c:v>19668424.042347409</c:v>
                </c:pt>
                <c:pt idx="73">
                  <c:v>17941633.605663903</c:v>
                </c:pt>
                <c:pt idx="74">
                  <c:v>18395590.72027716</c:v>
                </c:pt>
                <c:pt idx="75">
                  <c:v>16629147.700663634</c:v>
                </c:pt>
                <c:pt idx="76">
                  <c:v>17476063.836373035</c:v>
                </c:pt>
                <c:pt idx="77">
                  <c:v>19164031.34113802</c:v>
                </c:pt>
                <c:pt idx="78">
                  <c:v>21156144.690545935</c:v>
                </c:pt>
                <c:pt idx="79">
                  <c:v>20380050.349945012</c:v>
                </c:pt>
                <c:pt idx="80">
                  <c:v>17763443.831469443</c:v>
                </c:pt>
                <c:pt idx="81">
                  <c:v>16592984.698894551</c:v>
                </c:pt>
                <c:pt idx="82">
                  <c:v>16672791.1622556</c:v>
                </c:pt>
                <c:pt idx="83">
                  <c:v>18748587.469281763</c:v>
                </c:pt>
                <c:pt idx="84">
                  <c:v>19250564.275063246</c:v>
                </c:pt>
                <c:pt idx="85">
                  <c:v>18023931.730872102</c:v>
                </c:pt>
                <c:pt idx="86">
                  <c:v>18170148.845148452</c:v>
                </c:pt>
                <c:pt idx="87">
                  <c:v>16501961.770465367</c:v>
                </c:pt>
                <c:pt idx="88">
                  <c:v>17393911.880934555</c:v>
                </c:pt>
                <c:pt idx="89">
                  <c:v>19053221.401761495</c:v>
                </c:pt>
                <c:pt idx="90">
                  <c:v>21127214.705278113</c:v>
                </c:pt>
                <c:pt idx="91">
                  <c:v>20510786.275189158</c:v>
                </c:pt>
                <c:pt idx="92">
                  <c:v>18008811.692465771</c:v>
                </c:pt>
                <c:pt idx="93">
                  <c:v>16858822.548418056</c:v>
                </c:pt>
                <c:pt idx="94">
                  <c:v>16823997.076026924</c:v>
                </c:pt>
                <c:pt idx="95">
                  <c:v>18805631.435828075</c:v>
                </c:pt>
                <c:pt idx="96">
                  <c:v>19242104.2783226</c:v>
                </c:pt>
                <c:pt idx="97">
                  <c:v>17429339.889824957</c:v>
                </c:pt>
                <c:pt idx="98">
                  <c:v>17936518.974608872</c:v>
                </c:pt>
                <c:pt idx="99">
                  <c:v>16137323.973351862</c:v>
                </c:pt>
                <c:pt idx="100">
                  <c:v>16951488.127417784</c:v>
                </c:pt>
                <c:pt idx="101">
                  <c:v>18569857.671190374</c:v>
                </c:pt>
                <c:pt idx="102">
                  <c:v>20594723.002241768</c:v>
                </c:pt>
                <c:pt idx="103">
                  <c:v>20092926.507904999</c:v>
                </c:pt>
                <c:pt idx="104">
                  <c:v>17648267.893057704</c:v>
                </c:pt>
                <c:pt idx="105">
                  <c:v>16436868.78342846</c:v>
                </c:pt>
                <c:pt idx="106">
                  <c:v>16537145.235316686</c:v>
                </c:pt>
                <c:pt idx="107">
                  <c:v>18645693.523986325</c:v>
                </c:pt>
                <c:pt idx="108">
                  <c:v>19135238.829735912</c:v>
                </c:pt>
                <c:pt idx="109">
                  <c:v>17212285.352661248</c:v>
                </c:pt>
                <c:pt idx="110">
                  <c:v>17658194.011651523</c:v>
                </c:pt>
                <c:pt idx="111">
                  <c:v>15944873.29093159</c:v>
                </c:pt>
                <c:pt idx="112">
                  <c:v>16824401.868496586</c:v>
                </c:pt>
                <c:pt idx="113">
                  <c:v>18459057.698941555</c:v>
                </c:pt>
                <c:pt idx="114">
                  <c:v>20459418.846526578</c:v>
                </c:pt>
                <c:pt idx="115">
                  <c:v>19814362.333882697</c:v>
                </c:pt>
                <c:pt idx="116">
                  <c:v>17345099.864291966</c:v>
                </c:pt>
                <c:pt idx="117">
                  <c:v>16293237.092514507</c:v>
                </c:pt>
                <c:pt idx="118">
                  <c:v>16479198.449513383</c:v>
                </c:pt>
                <c:pt idx="119">
                  <c:v>18595815.128061414</c:v>
                </c:pt>
                <c:pt idx="120">
                  <c:v>19054547.239908151</c:v>
                </c:pt>
                <c:pt idx="121">
                  <c:v>17128106.000720114</c:v>
                </c:pt>
                <c:pt idx="122">
                  <c:v>17572619.554865036</c:v>
                </c:pt>
                <c:pt idx="123">
                  <c:v>15860295.337606067</c:v>
                </c:pt>
                <c:pt idx="124">
                  <c:v>16741219.020016411</c:v>
                </c:pt>
                <c:pt idx="125">
                  <c:v>18376771.703576252</c:v>
                </c:pt>
                <c:pt idx="126">
                  <c:v>20376534.949084695</c:v>
                </c:pt>
                <c:pt idx="127">
                  <c:v>19731179.485402524</c:v>
                </c:pt>
                <c:pt idx="128">
                  <c:v>17262315.61719618</c:v>
                </c:pt>
                <c:pt idx="129">
                  <c:v>16211748.299917977</c:v>
                </c:pt>
                <c:pt idx="130">
                  <c:v>16400599.516953655</c:v>
                </c:pt>
                <c:pt idx="131">
                  <c:v>18518411.999654844</c:v>
                </c:pt>
                <c:pt idx="132">
                  <c:v>18880775.423157968</c:v>
                </c:pt>
                <c:pt idx="133">
                  <c:v>17412029.239551663</c:v>
                </c:pt>
                <c:pt idx="134">
                  <c:v>17396715.734316073</c:v>
                </c:pt>
                <c:pt idx="135">
                  <c:v>15684826.619873179</c:v>
                </c:pt>
                <c:pt idx="136">
                  <c:v>16566359.446226034</c:v>
                </c:pt>
                <c:pt idx="137">
                  <c:v>18202303.722320344</c:v>
                </c:pt>
                <c:pt idx="138">
                  <c:v>20201805.906139143</c:v>
                </c:pt>
                <c:pt idx="139">
                  <c:v>19556319.911612146</c:v>
                </c:pt>
                <c:pt idx="140">
                  <c:v>17087630.084532231</c:v>
                </c:pt>
                <c:pt idx="141">
                  <c:v>16037628.400914932</c:v>
                </c:pt>
                <c:pt idx="142">
                  <c:v>16227741.416117234</c:v>
                </c:pt>
                <c:pt idx="143">
                  <c:v>18346076.02219772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63-BA01-6FBD1C4F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Normalized Monthly'!$C$1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Normalized Monthly'!$C$2:$C$145</c:f>
              <c:numCache>
                <c:formatCode>General</c:formatCode>
                <c:ptCount val="144"/>
                <c:pt idx="0">
                  <c:v>85381791.869069844</c:v>
                </c:pt>
                <c:pt idx="1">
                  <c:v>77417193.552256852</c:v>
                </c:pt>
                <c:pt idx="2">
                  <c:v>79227713.989697844</c:v>
                </c:pt>
                <c:pt idx="3">
                  <c:v>71027811.664813846</c:v>
                </c:pt>
                <c:pt idx="4">
                  <c:v>68182291.644476846</c:v>
                </c:pt>
                <c:pt idx="5">
                  <c:v>70571023.231205851</c:v>
                </c:pt>
                <c:pt idx="6">
                  <c:v>74557299.569310844</c:v>
                </c:pt>
                <c:pt idx="7">
                  <c:v>79205277.562828839</c:v>
                </c:pt>
                <c:pt idx="8">
                  <c:v>75059365.060484841</c:v>
                </c:pt>
                <c:pt idx="9">
                  <c:v>74478609.626164854</c:v>
                </c:pt>
                <c:pt idx="10">
                  <c:v>74097028.329366833</c:v>
                </c:pt>
                <c:pt idx="11">
                  <c:v>80736283.954950839</c:v>
                </c:pt>
                <c:pt idx="12">
                  <c:v>85427036.528221235</c:v>
                </c:pt>
                <c:pt idx="13">
                  <c:v>77459286.107347235</c:v>
                </c:pt>
                <c:pt idx="14">
                  <c:v>79469302.564392224</c:v>
                </c:pt>
                <c:pt idx="15">
                  <c:v>71033086.461556241</c:v>
                </c:pt>
                <c:pt idx="16">
                  <c:v>75509222.108001232</c:v>
                </c:pt>
                <c:pt idx="17">
                  <c:v>81034423.714442238</c:v>
                </c:pt>
                <c:pt idx="18">
                  <c:v>85939810.851727232</c:v>
                </c:pt>
                <c:pt idx="19">
                  <c:v>86205660.129896238</c:v>
                </c:pt>
                <c:pt idx="20">
                  <c:v>75144375.415312231</c:v>
                </c:pt>
                <c:pt idx="21">
                  <c:v>73712701.595507234</c:v>
                </c:pt>
                <c:pt idx="22">
                  <c:v>76223861.515962228</c:v>
                </c:pt>
                <c:pt idx="23">
                  <c:v>82782031.24842824</c:v>
                </c:pt>
                <c:pt idx="24">
                  <c:v>87926514.089346617</c:v>
                </c:pt>
                <c:pt idx="25">
                  <c:v>79445566.339861631</c:v>
                </c:pt>
                <c:pt idx="26">
                  <c:v>83484642.099464625</c:v>
                </c:pt>
                <c:pt idx="27">
                  <c:v>73145108.283973634</c:v>
                </c:pt>
                <c:pt idx="28">
                  <c:v>74301939.895448625</c:v>
                </c:pt>
                <c:pt idx="29">
                  <c:v>79491543.190818623</c:v>
                </c:pt>
                <c:pt idx="30">
                  <c:v>85669531.856941611</c:v>
                </c:pt>
                <c:pt idx="31">
                  <c:v>85461087.222262934</c:v>
                </c:pt>
                <c:pt idx="32">
                  <c:v>75648608.630284414</c:v>
                </c:pt>
                <c:pt idx="33">
                  <c:v>74971165.15079917</c:v>
                </c:pt>
                <c:pt idx="34">
                  <c:v>75882976.979724109</c:v>
                </c:pt>
                <c:pt idx="35">
                  <c:v>79287692.662937596</c:v>
                </c:pt>
                <c:pt idx="36">
                  <c:v>83627865.943462819</c:v>
                </c:pt>
                <c:pt idx="37">
                  <c:v>78960983.658556581</c:v>
                </c:pt>
                <c:pt idx="38">
                  <c:v>78967146.21412468</c:v>
                </c:pt>
                <c:pt idx="39">
                  <c:v>70404346.904171199</c:v>
                </c:pt>
                <c:pt idx="40">
                  <c:v>76707141.256383926</c:v>
                </c:pt>
                <c:pt idx="41">
                  <c:v>81073916.050987154</c:v>
                </c:pt>
                <c:pt idx="42">
                  <c:v>86497634.17916283</c:v>
                </c:pt>
                <c:pt idx="43">
                  <c:v>84955144.682128251</c:v>
                </c:pt>
                <c:pt idx="44">
                  <c:v>75637873.117112935</c:v>
                </c:pt>
                <c:pt idx="45">
                  <c:v>75854816.158008024</c:v>
                </c:pt>
                <c:pt idx="46">
                  <c:v>76825179.447514161</c:v>
                </c:pt>
                <c:pt idx="47">
                  <c:v>78089232.601768956</c:v>
                </c:pt>
                <c:pt idx="48">
                  <c:v>86172794.297903538</c:v>
                </c:pt>
                <c:pt idx="49">
                  <c:v>80116229.569861323</c:v>
                </c:pt>
                <c:pt idx="50">
                  <c:v>83295056.131635845</c:v>
                </c:pt>
                <c:pt idx="51">
                  <c:v>75368667.834339544</c:v>
                </c:pt>
                <c:pt idx="52">
                  <c:v>76645979.128271654</c:v>
                </c:pt>
                <c:pt idx="53">
                  <c:v>77950659.403683424</c:v>
                </c:pt>
                <c:pt idx="54">
                  <c:v>82611806.230879351</c:v>
                </c:pt>
                <c:pt idx="55">
                  <c:v>81402470.109881312</c:v>
                </c:pt>
                <c:pt idx="56">
                  <c:v>76153505.586661026</c:v>
                </c:pt>
                <c:pt idx="57">
                  <c:v>77422083.680861652</c:v>
                </c:pt>
                <c:pt idx="58">
                  <c:v>79988549.467103228</c:v>
                </c:pt>
                <c:pt idx="59">
                  <c:v>83719004.850571141</c:v>
                </c:pt>
                <c:pt idx="60">
                  <c:v>96510112.683375672</c:v>
                </c:pt>
                <c:pt idx="61">
                  <c:v>85964089.963368535</c:v>
                </c:pt>
                <c:pt idx="62">
                  <c:v>88422332.078679308</c:v>
                </c:pt>
                <c:pt idx="63">
                  <c:v>76199788.927618995</c:v>
                </c:pt>
                <c:pt idx="64">
                  <c:v>78731314.204411477</c:v>
                </c:pt>
                <c:pt idx="65">
                  <c:v>82040736.439185008</c:v>
                </c:pt>
                <c:pt idx="66">
                  <c:v>83536033.436047852</c:v>
                </c:pt>
                <c:pt idx="67">
                  <c:v>82890715.101407543</c:v>
                </c:pt>
                <c:pt idx="68">
                  <c:v>78138961.690904036</c:v>
                </c:pt>
                <c:pt idx="69">
                  <c:v>78077874.416335806</c:v>
                </c:pt>
                <c:pt idx="70">
                  <c:v>81347157.776762664</c:v>
                </c:pt>
                <c:pt idx="71">
                  <c:v>84624117.962985575</c:v>
                </c:pt>
                <c:pt idx="72">
                  <c:v>91047914.988406837</c:v>
                </c:pt>
                <c:pt idx="73">
                  <c:v>84953121.000252485</c:v>
                </c:pt>
                <c:pt idx="74">
                  <c:v>85185196.803851202</c:v>
                </c:pt>
                <c:pt idx="75">
                  <c:v>74690896.334334388</c:v>
                </c:pt>
                <c:pt idx="76">
                  <c:v>77420119.172960088</c:v>
                </c:pt>
                <c:pt idx="77">
                  <c:v>80301286.449218079</c:v>
                </c:pt>
                <c:pt idx="78">
                  <c:v>84741146.439340681</c:v>
                </c:pt>
                <c:pt idx="79">
                  <c:v>85831922.046712875</c:v>
                </c:pt>
                <c:pt idx="80">
                  <c:v>81721577.513162851</c:v>
                </c:pt>
                <c:pt idx="81">
                  <c:v>77593220.91340512</c:v>
                </c:pt>
                <c:pt idx="82">
                  <c:v>77813417.982195601</c:v>
                </c:pt>
                <c:pt idx="83">
                  <c:v>79732634.01091066</c:v>
                </c:pt>
                <c:pt idx="84">
                  <c:v>87340715.811404184</c:v>
                </c:pt>
                <c:pt idx="85">
                  <c:v>83154848.343503043</c:v>
                </c:pt>
                <c:pt idx="86">
                  <c:v>82620214.015487328</c:v>
                </c:pt>
                <c:pt idx="87">
                  <c:v>76969494.488034636</c:v>
                </c:pt>
                <c:pt idx="88">
                  <c:v>79885437.080991775</c:v>
                </c:pt>
                <c:pt idx="89">
                  <c:v>84108563.980985105</c:v>
                </c:pt>
                <c:pt idx="90">
                  <c:v>89208055.874293894</c:v>
                </c:pt>
                <c:pt idx="91">
                  <c:v>92081052.006418362</c:v>
                </c:pt>
                <c:pt idx="92">
                  <c:v>82625134.428336576</c:v>
                </c:pt>
                <c:pt idx="93">
                  <c:v>79761867.387980133</c:v>
                </c:pt>
                <c:pt idx="94">
                  <c:v>79632729.527031347</c:v>
                </c:pt>
                <c:pt idx="95">
                  <c:v>85703762.977146074</c:v>
                </c:pt>
                <c:pt idx="96">
                  <c:v>89452615.289801002</c:v>
                </c:pt>
                <c:pt idx="97">
                  <c:v>79369250.509801</c:v>
                </c:pt>
                <c:pt idx="98">
                  <c:v>85130613.079801008</c:v>
                </c:pt>
                <c:pt idx="99">
                  <c:v>75264677.349801004</c:v>
                </c:pt>
                <c:pt idx="100">
                  <c:v>78986166.629801005</c:v>
                </c:pt>
                <c:pt idx="101">
                  <c:v>82979146.239801005</c:v>
                </c:pt>
                <c:pt idx="102">
                  <c:v>86438186.809800997</c:v>
                </c:pt>
                <c:pt idx="103">
                  <c:v>86020553.329801008</c:v>
                </c:pt>
                <c:pt idx="104">
                  <c:v>80922821.089800999</c:v>
                </c:pt>
                <c:pt idx="105">
                  <c:v>79895134.919800997</c:v>
                </c:pt>
                <c:pt idx="106">
                  <c:v>81623489.689801008</c:v>
                </c:pt>
                <c:pt idx="107">
                  <c:v>86732874.189801008</c:v>
                </c:pt>
                <c:pt idx="108">
                  <c:v>93400783.231379122</c:v>
                </c:pt>
                <c:pt idx="109">
                  <c:v>82408782.703978285</c:v>
                </c:pt>
                <c:pt idx="110">
                  <c:v>87484965.565347284</c:v>
                </c:pt>
                <c:pt idx="111">
                  <c:v>80547273.998100206</c:v>
                </c:pt>
                <c:pt idx="112">
                  <c:v>81380421.939878672</c:v>
                </c:pt>
                <c:pt idx="113">
                  <c:v>84189429.225478336</c:v>
                </c:pt>
                <c:pt idx="114">
                  <c:v>88386784.550160423</c:v>
                </c:pt>
                <c:pt idx="115">
                  <c:v>89941585.72763437</c:v>
                </c:pt>
                <c:pt idx="116">
                  <c:v>81054253.659961343</c:v>
                </c:pt>
                <c:pt idx="117">
                  <c:v>79879338.784629419</c:v>
                </c:pt>
                <c:pt idx="118">
                  <c:v>81359765.42074655</c:v>
                </c:pt>
                <c:pt idx="119">
                  <c:v>81470558.798187256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3-4BA6-B4A6-009811B4780D}"/>
            </c:ext>
          </c:extLst>
        </c:ser>
        <c:ser>
          <c:idx val="1"/>
          <c:order val="1"/>
          <c:tx>
            <c:strRef>
              <c:f>'GS &gt; 50 Normalized Monthly'!$AB$1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Normalized Monthly'!$AB$2:$AB$145</c:f>
              <c:numCache>
                <c:formatCode>General</c:formatCode>
                <c:ptCount val="144"/>
                <c:pt idx="0">
                  <c:v>84131398.752140492</c:v>
                </c:pt>
                <c:pt idx="1">
                  <c:v>77342579.662102431</c:v>
                </c:pt>
                <c:pt idx="2">
                  <c:v>79900582.31756784</c:v>
                </c:pt>
                <c:pt idx="3">
                  <c:v>70914132.196972489</c:v>
                </c:pt>
                <c:pt idx="4">
                  <c:v>73119003.488924935</c:v>
                </c:pt>
                <c:pt idx="5">
                  <c:v>77512836.51328972</c:v>
                </c:pt>
                <c:pt idx="6">
                  <c:v>82059742.467493132</c:v>
                </c:pt>
                <c:pt idx="7">
                  <c:v>81427459.793539718</c:v>
                </c:pt>
                <c:pt idx="8">
                  <c:v>75380882.643960595</c:v>
                </c:pt>
                <c:pt idx="9">
                  <c:v>73224406.107276499</c:v>
                </c:pt>
                <c:pt idx="10">
                  <c:v>75803944.230560645</c:v>
                </c:pt>
                <c:pt idx="11">
                  <c:v>81633592.964995891</c:v>
                </c:pt>
                <c:pt idx="12">
                  <c:v>84342274.909069911</c:v>
                </c:pt>
                <c:pt idx="13">
                  <c:v>78207610.531238571</c:v>
                </c:pt>
                <c:pt idx="14">
                  <c:v>81419767.898910701</c:v>
                </c:pt>
                <c:pt idx="15">
                  <c:v>71779163.066108629</c:v>
                </c:pt>
                <c:pt idx="16">
                  <c:v>73984034.358061075</c:v>
                </c:pt>
                <c:pt idx="17">
                  <c:v>78377867.38242586</c:v>
                </c:pt>
                <c:pt idx="18">
                  <c:v>82270618.624422565</c:v>
                </c:pt>
                <c:pt idx="19">
                  <c:v>82946645.374882564</c:v>
                </c:pt>
                <c:pt idx="20">
                  <c:v>76245913.513096735</c:v>
                </c:pt>
                <c:pt idx="21">
                  <c:v>73435282.264205933</c:v>
                </c:pt>
                <c:pt idx="22">
                  <c:v>77323129.811903492</c:v>
                </c:pt>
                <c:pt idx="23">
                  <c:v>82498623.834132016</c:v>
                </c:pt>
                <c:pt idx="24">
                  <c:v>85113380.061933205</c:v>
                </c:pt>
                <c:pt idx="25">
                  <c:v>78978715.68410185</c:v>
                </c:pt>
                <c:pt idx="26">
                  <c:v>82190873.05177398</c:v>
                </c:pt>
                <c:pt idx="27">
                  <c:v>71896113.506765202</c:v>
                </c:pt>
                <c:pt idx="28">
                  <c:v>75409294.223131061</c:v>
                </c:pt>
                <c:pt idx="29">
                  <c:v>79148972.535289139</c:v>
                </c:pt>
                <c:pt idx="30">
                  <c:v>82387569.065079138</c:v>
                </c:pt>
                <c:pt idx="31">
                  <c:v>84371905.239952549</c:v>
                </c:pt>
                <c:pt idx="32">
                  <c:v>77017018.665960014</c:v>
                </c:pt>
                <c:pt idx="33">
                  <c:v>74206387.417069212</c:v>
                </c:pt>
                <c:pt idx="34">
                  <c:v>78094234.964766771</c:v>
                </c:pt>
                <c:pt idx="35">
                  <c:v>82615574.274788603</c:v>
                </c:pt>
                <c:pt idx="36">
                  <c:v>86194858.29547362</c:v>
                </c:pt>
                <c:pt idx="37">
                  <c:v>81178567.212315008</c:v>
                </c:pt>
                <c:pt idx="38">
                  <c:v>81964041.860900968</c:v>
                </c:pt>
                <c:pt idx="39">
                  <c:v>72323437.028098911</c:v>
                </c:pt>
                <c:pt idx="40">
                  <c:v>76490772.456671491</c:v>
                </c:pt>
                <c:pt idx="41">
                  <c:v>78922141.344416142</c:v>
                </c:pt>
                <c:pt idx="42">
                  <c:v>83469047.298619568</c:v>
                </c:pt>
                <c:pt idx="43">
                  <c:v>84799228.761286274</c:v>
                </c:pt>
                <c:pt idx="44">
                  <c:v>76136032.76288031</c:v>
                </c:pt>
                <c:pt idx="45">
                  <c:v>75942020.362816334</c:v>
                </c:pt>
                <c:pt idx="46">
                  <c:v>78521558.486100495</c:v>
                </c:pt>
                <c:pt idx="47">
                  <c:v>82388743.083915606</c:v>
                </c:pt>
                <c:pt idx="48">
                  <c:v>87274163.413540259</c:v>
                </c:pt>
                <c:pt idx="49">
                  <c:v>79831189.611295506</c:v>
                </c:pt>
                <c:pt idx="50">
                  <c:v>80426728.130140781</c:v>
                </c:pt>
                <c:pt idx="51">
                  <c:v>74711051.570578977</c:v>
                </c:pt>
                <c:pt idx="52">
                  <c:v>76915922.862531424</c:v>
                </c:pt>
                <c:pt idx="53">
                  <c:v>78693137.038069367</c:v>
                </c:pt>
                <c:pt idx="54">
                  <c:v>84548352.416686207</c:v>
                </c:pt>
                <c:pt idx="55">
                  <c:v>84570224.454939499</c:v>
                </c:pt>
                <c:pt idx="56">
                  <c:v>77215337.880946949</c:v>
                </c:pt>
                <c:pt idx="57">
                  <c:v>76367170.768676281</c:v>
                </c:pt>
                <c:pt idx="58">
                  <c:v>78292554.179753721</c:v>
                </c:pt>
                <c:pt idx="59">
                  <c:v>83468048.201982245</c:v>
                </c:pt>
                <c:pt idx="60">
                  <c:v>88029805.409791306</c:v>
                </c:pt>
                <c:pt idx="61">
                  <c:v>80586831.607546538</c:v>
                </c:pt>
                <c:pt idx="62">
                  <c:v>82490679.550805241</c:v>
                </c:pt>
                <c:pt idx="63">
                  <c:v>74158384.142416596</c:v>
                </c:pt>
                <c:pt idx="64">
                  <c:v>77671564.858782455</c:v>
                </c:pt>
                <c:pt idx="65">
                  <c:v>80102933.74652712</c:v>
                </c:pt>
                <c:pt idx="66">
                  <c:v>85303994.412937239</c:v>
                </c:pt>
                <c:pt idx="67">
                  <c:v>84671711.738983825</c:v>
                </c:pt>
                <c:pt idx="68">
                  <c:v>78625134.589404702</c:v>
                </c:pt>
                <c:pt idx="69">
                  <c:v>77122812.764927313</c:v>
                </c:pt>
                <c:pt idx="70">
                  <c:v>78394041.463798046</c:v>
                </c:pt>
                <c:pt idx="71">
                  <c:v>84877844.910439998</c:v>
                </c:pt>
                <c:pt idx="72">
                  <c:v>88250546.987329423</c:v>
                </c:pt>
                <c:pt idx="73">
                  <c:v>81461727.897291362</c:v>
                </c:pt>
                <c:pt idx="74">
                  <c:v>84019730.552756771</c:v>
                </c:pt>
                <c:pt idx="75">
                  <c:v>75033280.432161421</c:v>
                </c:pt>
                <c:pt idx="76">
                  <c:v>77238151.724113867</c:v>
                </c:pt>
                <c:pt idx="77">
                  <c:v>81631984.748478651</c:v>
                </c:pt>
                <c:pt idx="78">
                  <c:v>86178890.702682078</c:v>
                </c:pt>
                <c:pt idx="79">
                  <c:v>85546608.028728649</c:v>
                </c:pt>
                <c:pt idx="80">
                  <c:v>79500030.879149526</c:v>
                </c:pt>
                <c:pt idx="81">
                  <c:v>77343554.34246543</c:v>
                </c:pt>
                <c:pt idx="82">
                  <c:v>79923092.465749592</c:v>
                </c:pt>
                <c:pt idx="83">
                  <c:v>85752741.200184822</c:v>
                </c:pt>
                <c:pt idx="84">
                  <c:v>88445027.904383168</c:v>
                </c:pt>
                <c:pt idx="85">
                  <c:v>84082891.533431247</c:v>
                </c:pt>
                <c:pt idx="86">
                  <c:v>84214211.469810516</c:v>
                </c:pt>
                <c:pt idx="87">
                  <c:v>76536070.773628578</c:v>
                </c:pt>
                <c:pt idx="88">
                  <c:v>78740942.065581024</c:v>
                </c:pt>
                <c:pt idx="89">
                  <c:v>82480620.377739102</c:v>
                </c:pt>
                <c:pt idx="90">
                  <c:v>85719216.907529101</c:v>
                </c:pt>
                <c:pt idx="91">
                  <c:v>87703553.082402512</c:v>
                </c:pt>
                <c:pt idx="92">
                  <c:v>80348666.508409977</c:v>
                </c:pt>
                <c:pt idx="93">
                  <c:v>77538035.259519175</c:v>
                </c:pt>
                <c:pt idx="94">
                  <c:v>81425882.807216734</c:v>
                </c:pt>
                <c:pt idx="95">
                  <c:v>85947222.117238566</c:v>
                </c:pt>
                <c:pt idx="96">
                  <c:v>90678848.881600633</c:v>
                </c:pt>
                <c:pt idx="97">
                  <c:v>83235875.079355866</c:v>
                </c:pt>
                <c:pt idx="98">
                  <c:v>86448032.447027996</c:v>
                </c:pt>
                <c:pt idx="99">
                  <c:v>76153272.902019218</c:v>
                </c:pt>
                <c:pt idx="100">
                  <c:v>80320608.330591798</c:v>
                </c:pt>
                <c:pt idx="101">
                  <c:v>83406131.930543154</c:v>
                </c:pt>
                <c:pt idx="102">
                  <c:v>86644728.460333169</c:v>
                </c:pt>
                <c:pt idx="103">
                  <c:v>88629064.635206565</c:v>
                </c:pt>
                <c:pt idx="104">
                  <c:v>80620023.349007323</c:v>
                </c:pt>
                <c:pt idx="105">
                  <c:v>79117701.524529934</c:v>
                </c:pt>
                <c:pt idx="106">
                  <c:v>82351394.360020801</c:v>
                </c:pt>
                <c:pt idx="107">
                  <c:v>86218578.957835913</c:v>
                </c:pt>
                <c:pt idx="108">
                  <c:v>91415219.80598323</c:v>
                </c:pt>
                <c:pt idx="109">
                  <c:v>83972246.003738463</c:v>
                </c:pt>
                <c:pt idx="110">
                  <c:v>85876093.946997166</c:v>
                </c:pt>
                <c:pt idx="111">
                  <c:v>78197953.250815228</c:v>
                </c:pt>
                <c:pt idx="112">
                  <c:v>81056979.254974395</c:v>
                </c:pt>
                <c:pt idx="113">
                  <c:v>83488348.142719045</c:v>
                </c:pt>
                <c:pt idx="114">
                  <c:v>88035254.096922472</c:v>
                </c:pt>
                <c:pt idx="115">
                  <c:v>89365435.559589162</c:v>
                </c:pt>
                <c:pt idx="116">
                  <c:v>80702239.561183214</c:v>
                </c:pt>
                <c:pt idx="117">
                  <c:v>80508227.161119238</c:v>
                </c:pt>
                <c:pt idx="118">
                  <c:v>83087765.284403399</c:v>
                </c:pt>
                <c:pt idx="119">
                  <c:v>86954949.88221851</c:v>
                </c:pt>
                <c:pt idx="120">
                  <c:v>91980183.509840533</c:v>
                </c:pt>
                <c:pt idx="121">
                  <c:v>84537209.707595766</c:v>
                </c:pt>
                <c:pt idx="122">
                  <c:v>86441057.650854468</c:v>
                </c:pt>
                <c:pt idx="123">
                  <c:v>78108762.242465824</c:v>
                </c:pt>
                <c:pt idx="124">
                  <c:v>81621942.958831683</c:v>
                </c:pt>
                <c:pt idx="125">
                  <c:v>83399157.134369642</c:v>
                </c:pt>
                <c:pt idx="126">
                  <c:v>89254372.512986466</c:v>
                </c:pt>
                <c:pt idx="127">
                  <c:v>89276244.551239759</c:v>
                </c:pt>
                <c:pt idx="128">
                  <c:v>81921357.977247223</c:v>
                </c:pt>
                <c:pt idx="129">
                  <c:v>81073190.86497654</c:v>
                </c:pt>
                <c:pt idx="130">
                  <c:v>82998574.27605398</c:v>
                </c:pt>
                <c:pt idx="131">
                  <c:v>88174068.298282519</c:v>
                </c:pt>
                <c:pt idx="132">
                  <c:v>92525948.212571427</c:v>
                </c:pt>
                <c:pt idx="133">
                  <c:v>86201347.704999417</c:v>
                </c:pt>
                <c:pt idx="134">
                  <c:v>87640977.065792069</c:v>
                </c:pt>
                <c:pt idx="135">
                  <c:v>79308681.657403439</c:v>
                </c:pt>
                <c:pt idx="136">
                  <c:v>80859398.237149179</c:v>
                </c:pt>
                <c:pt idx="137">
                  <c:v>85253231.261513963</c:v>
                </c:pt>
                <c:pt idx="138">
                  <c:v>89800137.215717375</c:v>
                </c:pt>
                <c:pt idx="139">
                  <c:v>89167854.541763961</c:v>
                </c:pt>
                <c:pt idx="140">
                  <c:v>83121277.392184839</c:v>
                </c:pt>
                <c:pt idx="141">
                  <c:v>80964800.855500743</c:v>
                </c:pt>
                <c:pt idx="142">
                  <c:v>83544338.978784889</c:v>
                </c:pt>
                <c:pt idx="143">
                  <c:v>89373987.713220119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3-4BA6-B4A6-009811B47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Normalized Monthly (LC)'!$C$1</c:f>
              <c:strCache>
                <c:ptCount val="1"/>
                <c:pt idx="0">
                  <c:v> GSgt_LC_kWh_NoCDM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Normalized Monthly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Normalized Monthly (LC)'!$C$2:$C$145</c:f>
              <c:numCache>
                <c:formatCode>_(* #,##0_);_(* \(#,##0\);_(* "-"??_);_(@_)</c:formatCode>
                <c:ptCount val="144"/>
                <c:pt idx="0">
                  <c:v>85159952.300793856</c:v>
                </c:pt>
                <c:pt idx="1">
                  <c:v>77150159.110703424</c:v>
                </c:pt>
                <c:pt idx="2">
                  <c:v>79013110.838498071</c:v>
                </c:pt>
                <c:pt idx="3">
                  <c:v>70823487.399611965</c:v>
                </c:pt>
                <c:pt idx="4">
                  <c:v>68038651.825646743</c:v>
                </c:pt>
                <c:pt idx="5">
                  <c:v>70398886.351568192</c:v>
                </c:pt>
                <c:pt idx="6">
                  <c:v>74398674.841547519</c:v>
                </c:pt>
                <c:pt idx="7">
                  <c:v>79119319.646282628</c:v>
                </c:pt>
                <c:pt idx="8">
                  <c:v>74924986.598501608</c:v>
                </c:pt>
                <c:pt idx="9">
                  <c:v>74286504.53798908</c:v>
                </c:pt>
                <c:pt idx="10">
                  <c:v>73914526.594761461</c:v>
                </c:pt>
                <c:pt idx="11">
                  <c:v>80547003.604175091</c:v>
                </c:pt>
                <c:pt idx="12">
                  <c:v>85230308.495070994</c:v>
                </c:pt>
                <c:pt idx="13">
                  <c:v>77285135.745971113</c:v>
                </c:pt>
                <c:pt idx="14">
                  <c:v>79275413.945330843</c:v>
                </c:pt>
                <c:pt idx="15">
                  <c:v>70858250.304670826</c:v>
                </c:pt>
                <c:pt idx="16">
                  <c:v>75323997.158593893</c:v>
                </c:pt>
                <c:pt idx="17">
                  <c:v>80844184.049799278</c:v>
                </c:pt>
                <c:pt idx="18">
                  <c:v>85724188.764418766</c:v>
                </c:pt>
                <c:pt idx="19">
                  <c:v>85962780.097131476</c:v>
                </c:pt>
                <c:pt idx="20">
                  <c:v>74966407.254957601</c:v>
                </c:pt>
                <c:pt idx="21">
                  <c:v>73516726.053443059</c:v>
                </c:pt>
                <c:pt idx="22">
                  <c:v>76037403.300678432</c:v>
                </c:pt>
                <c:pt idx="23">
                  <c:v>82527064.311934069</c:v>
                </c:pt>
                <c:pt idx="24">
                  <c:v>87683932.225609511</c:v>
                </c:pt>
                <c:pt idx="25">
                  <c:v>79180941.496457949</c:v>
                </c:pt>
                <c:pt idx="26">
                  <c:v>83137506.790608495</c:v>
                </c:pt>
                <c:pt idx="27">
                  <c:v>72823673.283491805</c:v>
                </c:pt>
                <c:pt idx="28">
                  <c:v>73981180.889955714</c:v>
                </c:pt>
                <c:pt idx="29">
                  <c:v>79181645.291618466</c:v>
                </c:pt>
                <c:pt idx="30">
                  <c:v>85355428.522644609</c:v>
                </c:pt>
                <c:pt idx="31">
                  <c:v>85134730.124835938</c:v>
                </c:pt>
                <c:pt idx="32">
                  <c:v>75323276.540084928</c:v>
                </c:pt>
                <c:pt idx="33">
                  <c:v>74615749.934455335</c:v>
                </c:pt>
                <c:pt idx="34">
                  <c:v>75520032.988204405</c:v>
                </c:pt>
                <c:pt idx="35">
                  <c:v>78915481.638556749</c:v>
                </c:pt>
                <c:pt idx="36">
                  <c:v>83288190.285758287</c:v>
                </c:pt>
                <c:pt idx="37">
                  <c:v>78654916.51969178</c:v>
                </c:pt>
                <c:pt idx="38">
                  <c:v>78745075.172397777</c:v>
                </c:pt>
                <c:pt idx="39">
                  <c:v>70171446.615070298</c:v>
                </c:pt>
                <c:pt idx="40">
                  <c:v>76476013.338874042</c:v>
                </c:pt>
                <c:pt idx="41">
                  <c:v>80853337.839558035</c:v>
                </c:pt>
                <c:pt idx="42">
                  <c:v>86305793.146108955</c:v>
                </c:pt>
                <c:pt idx="43">
                  <c:v>84730807.802490592</c:v>
                </c:pt>
                <c:pt idx="44">
                  <c:v>75430602.576494262</c:v>
                </c:pt>
                <c:pt idx="45">
                  <c:v>75643415.791813552</c:v>
                </c:pt>
                <c:pt idx="46">
                  <c:v>76619857.861313909</c:v>
                </c:pt>
                <c:pt idx="47">
                  <c:v>77899563.092276812</c:v>
                </c:pt>
                <c:pt idx="48">
                  <c:v>85968723.082716107</c:v>
                </c:pt>
                <c:pt idx="49">
                  <c:v>79915847.629030645</c:v>
                </c:pt>
                <c:pt idx="50">
                  <c:v>83098114.173459113</c:v>
                </c:pt>
                <c:pt idx="51">
                  <c:v>75176128.76717177</c:v>
                </c:pt>
                <c:pt idx="52">
                  <c:v>76467660.683634475</c:v>
                </c:pt>
                <c:pt idx="53">
                  <c:v>77849227.68931511</c:v>
                </c:pt>
                <c:pt idx="54">
                  <c:v>82540445.770245254</c:v>
                </c:pt>
                <c:pt idx="55">
                  <c:v>81226483.659076646</c:v>
                </c:pt>
                <c:pt idx="56">
                  <c:v>75974010.308642328</c:v>
                </c:pt>
                <c:pt idx="57">
                  <c:v>77227978.159034535</c:v>
                </c:pt>
                <c:pt idx="58">
                  <c:v>79798645.323323712</c:v>
                </c:pt>
                <c:pt idx="59">
                  <c:v>83545537.046774283</c:v>
                </c:pt>
                <c:pt idx="60">
                  <c:v>96326688.900008604</c:v>
                </c:pt>
                <c:pt idx="61">
                  <c:v>85795493.413305894</c:v>
                </c:pt>
                <c:pt idx="62">
                  <c:v>88242965.31564568</c:v>
                </c:pt>
                <c:pt idx="63">
                  <c:v>76032615.997099578</c:v>
                </c:pt>
                <c:pt idx="64">
                  <c:v>78518698.920610771</c:v>
                </c:pt>
                <c:pt idx="65">
                  <c:v>81857571.227659523</c:v>
                </c:pt>
                <c:pt idx="66">
                  <c:v>83348919.115916789</c:v>
                </c:pt>
                <c:pt idx="67">
                  <c:v>82700521.432717174</c:v>
                </c:pt>
                <c:pt idx="68">
                  <c:v>77960422.026261076</c:v>
                </c:pt>
                <c:pt idx="69">
                  <c:v>77895587.782433912</c:v>
                </c:pt>
                <c:pt idx="70">
                  <c:v>81173246.366913959</c:v>
                </c:pt>
                <c:pt idx="71">
                  <c:v>84448717.230596632</c:v>
                </c:pt>
                <c:pt idx="72">
                  <c:v>90862720.009125739</c:v>
                </c:pt>
                <c:pt idx="73">
                  <c:v>84772321.173713028</c:v>
                </c:pt>
                <c:pt idx="74">
                  <c:v>84997101.121091247</c:v>
                </c:pt>
                <c:pt idx="75">
                  <c:v>74517514.750061482</c:v>
                </c:pt>
                <c:pt idx="76">
                  <c:v>77248422.661444232</c:v>
                </c:pt>
                <c:pt idx="77">
                  <c:v>80126569.719912887</c:v>
                </c:pt>
                <c:pt idx="78">
                  <c:v>84547068.372462004</c:v>
                </c:pt>
                <c:pt idx="79">
                  <c:v>85635461.672809049</c:v>
                </c:pt>
                <c:pt idx="80">
                  <c:v>81535891.399642572</c:v>
                </c:pt>
                <c:pt idx="81">
                  <c:v>77401672.199904114</c:v>
                </c:pt>
                <c:pt idx="82">
                  <c:v>77630447.981231928</c:v>
                </c:pt>
                <c:pt idx="83">
                  <c:v>79549095.483397886</c:v>
                </c:pt>
                <c:pt idx="84">
                  <c:v>87169946.03208454</c:v>
                </c:pt>
                <c:pt idx="85">
                  <c:v>82995259.984632462</c:v>
                </c:pt>
                <c:pt idx="86">
                  <c:v>82448056.619322732</c:v>
                </c:pt>
                <c:pt idx="87">
                  <c:v>76779556.596543834</c:v>
                </c:pt>
                <c:pt idx="88">
                  <c:v>79686689.360070512</c:v>
                </c:pt>
                <c:pt idx="89">
                  <c:v>83872675.506474167</c:v>
                </c:pt>
                <c:pt idx="90">
                  <c:v>88955763.55474104</c:v>
                </c:pt>
                <c:pt idx="91">
                  <c:v>91795187.170724034</c:v>
                </c:pt>
                <c:pt idx="92">
                  <c:v>82362063.434793159</c:v>
                </c:pt>
                <c:pt idx="93">
                  <c:v>79489363.40802446</c:v>
                </c:pt>
                <c:pt idx="94">
                  <c:v>79335132.283126563</c:v>
                </c:pt>
                <c:pt idx="95">
                  <c:v>85381711.661736995</c:v>
                </c:pt>
                <c:pt idx="96">
                  <c:v>89104940.431942269</c:v>
                </c:pt>
                <c:pt idx="97">
                  <c:v>79064176.789072469</c:v>
                </c:pt>
                <c:pt idx="98">
                  <c:v>84805567.54640986</c:v>
                </c:pt>
                <c:pt idx="99">
                  <c:v>74954400.188771799</c:v>
                </c:pt>
                <c:pt idx="100">
                  <c:v>78674140.138522223</c:v>
                </c:pt>
                <c:pt idx="101">
                  <c:v>82671566.563594013</c:v>
                </c:pt>
                <c:pt idx="102">
                  <c:v>86176054.430500627</c:v>
                </c:pt>
                <c:pt idx="103">
                  <c:v>85719841.727218375</c:v>
                </c:pt>
                <c:pt idx="104">
                  <c:v>80616907.03949745</c:v>
                </c:pt>
                <c:pt idx="105">
                  <c:v>79586762.162742123</c:v>
                </c:pt>
                <c:pt idx="106">
                  <c:v>81281637.015617713</c:v>
                </c:pt>
                <c:pt idx="107">
                  <c:v>86442800.41125229</c:v>
                </c:pt>
                <c:pt idx="108">
                  <c:v>93065533.775852472</c:v>
                </c:pt>
                <c:pt idx="109">
                  <c:v>82075594.518568248</c:v>
                </c:pt>
                <c:pt idx="110">
                  <c:v>87168792.866108581</c:v>
                </c:pt>
                <c:pt idx="111">
                  <c:v>80266356.00638777</c:v>
                </c:pt>
                <c:pt idx="112">
                  <c:v>81142404.969656065</c:v>
                </c:pt>
                <c:pt idx="113">
                  <c:v>83962098.407322794</c:v>
                </c:pt>
                <c:pt idx="114">
                  <c:v>88154358.02033484</c:v>
                </c:pt>
                <c:pt idx="115">
                  <c:v>89701635.106067449</c:v>
                </c:pt>
                <c:pt idx="116">
                  <c:v>80810700.426849648</c:v>
                </c:pt>
                <c:pt idx="117">
                  <c:v>79623950.011380896</c:v>
                </c:pt>
                <c:pt idx="118">
                  <c:v>81146978.237552956</c:v>
                </c:pt>
                <c:pt idx="119">
                  <c:v>81291484.354706481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F-46D9-ADBA-E8FDCFE54255}"/>
            </c:ext>
          </c:extLst>
        </c:ser>
        <c:ser>
          <c:idx val="1"/>
          <c:order val="1"/>
          <c:tx>
            <c:strRef>
              <c:f>'GS &gt; 50 Normalized Monthly (LC)'!$AB$1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Normalized Monthly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Normalized Monthly (LC)'!$AB$2:$AB$145</c:f>
              <c:numCache>
                <c:formatCode>General</c:formatCode>
                <c:ptCount val="144"/>
                <c:pt idx="0">
                  <c:v>83923443.319216788</c:v>
                </c:pt>
                <c:pt idx="1">
                  <c:v>77136888.86714074</c:v>
                </c:pt>
                <c:pt idx="2">
                  <c:v>79692000.469616294</c:v>
                </c:pt>
                <c:pt idx="3">
                  <c:v>70719891.828543812</c:v>
                </c:pt>
                <c:pt idx="4">
                  <c:v>72933152.66574049</c:v>
                </c:pt>
                <c:pt idx="5">
                  <c:v>77326837.930365264</c:v>
                </c:pt>
                <c:pt idx="6">
                  <c:v>81861579.484451666</c:v>
                </c:pt>
                <c:pt idx="7">
                  <c:v>81237881.189508006</c:v>
                </c:pt>
                <c:pt idx="8">
                  <c:v>75186453.329320967</c:v>
                </c:pt>
                <c:pt idx="9">
                  <c:v>73030173.540593386</c:v>
                </c:pt>
                <c:pt idx="10">
                  <c:v>75600163.703105658</c:v>
                </c:pt>
                <c:pt idx="11">
                  <c:v>81428607.033615142</c:v>
                </c:pt>
                <c:pt idx="12">
                  <c:v>84132779.996848971</c:v>
                </c:pt>
                <c:pt idx="13">
                  <c:v>77993912.703931347</c:v>
                </c:pt>
                <c:pt idx="14">
                  <c:v>81196711.465565309</c:v>
                </c:pt>
                <c:pt idx="15">
                  <c:v>71576915.665334418</c:v>
                </c:pt>
                <c:pt idx="16">
                  <c:v>73790176.502531096</c:v>
                </c:pt>
                <c:pt idx="17">
                  <c:v>78183861.767155871</c:v>
                </c:pt>
                <c:pt idx="18">
                  <c:v>82070916.162083864</c:v>
                </c:pt>
                <c:pt idx="19">
                  <c:v>82742592.185457021</c:v>
                </c:pt>
                <c:pt idx="20">
                  <c:v>76043477.166111588</c:v>
                </c:pt>
                <c:pt idx="21">
                  <c:v>73239510.218225583</c:v>
                </c:pt>
                <c:pt idx="22">
                  <c:v>77104874.699054673</c:v>
                </c:pt>
                <c:pt idx="23">
                  <c:v>82285630.870405763</c:v>
                </c:pt>
                <c:pt idx="24">
                  <c:v>84896747.52708967</c:v>
                </c:pt>
                <c:pt idx="25">
                  <c:v>78757880.234172031</c:v>
                </c:pt>
                <c:pt idx="26">
                  <c:v>81960678.995806009</c:v>
                </c:pt>
                <c:pt idx="27">
                  <c:v>71693196.036416709</c:v>
                </c:pt>
                <c:pt idx="28">
                  <c:v>75201831.191930205</c:v>
                </c:pt>
                <c:pt idx="29">
                  <c:v>78947829.29739657</c:v>
                </c:pt>
                <c:pt idx="30">
                  <c:v>82187196.53316617</c:v>
                </c:pt>
                <c:pt idx="31">
                  <c:v>84154246.874856114</c:v>
                </c:pt>
                <c:pt idx="32">
                  <c:v>76807444.696352273</c:v>
                </c:pt>
                <c:pt idx="33">
                  <c:v>74003477.748466283</c:v>
                </c:pt>
                <c:pt idx="34">
                  <c:v>77868842.229295373</c:v>
                </c:pt>
                <c:pt idx="35">
                  <c:v>82401911.241488054</c:v>
                </c:pt>
                <c:pt idx="36">
                  <c:v>85967802.749598265</c:v>
                </c:pt>
                <c:pt idx="37">
                  <c:v>80951707.826395363</c:v>
                </c:pt>
                <c:pt idx="38">
                  <c:v>81736359.899997786</c:v>
                </c:pt>
                <c:pt idx="39">
                  <c:v>72116564.09976691</c:v>
                </c:pt>
                <c:pt idx="40">
                  <c:v>76272886.414438784</c:v>
                </c:pt>
                <c:pt idx="41">
                  <c:v>78723510.201588362</c:v>
                </c:pt>
                <c:pt idx="42">
                  <c:v>83258251.75567475</c:v>
                </c:pt>
                <c:pt idx="43">
                  <c:v>84577614.9382063</c:v>
                </c:pt>
                <c:pt idx="44">
                  <c:v>75935438.441385657</c:v>
                </c:pt>
                <c:pt idx="45">
                  <c:v>75722220.130133271</c:v>
                </c:pt>
                <c:pt idx="46">
                  <c:v>78292210.292645559</c:v>
                </c:pt>
                <c:pt idx="47">
                  <c:v>82177592.145679832</c:v>
                </c:pt>
                <c:pt idx="48">
                  <c:v>87036704.971760169</c:v>
                </c:pt>
                <c:pt idx="49">
                  <c:v>79602463.360525742</c:v>
                </c:pt>
                <c:pt idx="50">
                  <c:v>80214513.485526085</c:v>
                </c:pt>
                <c:pt idx="51">
                  <c:v>74480840.640245631</c:v>
                </c:pt>
                <c:pt idx="52">
                  <c:v>76694101.477442294</c:v>
                </c:pt>
                <c:pt idx="53">
                  <c:v>78497038.105433464</c:v>
                </c:pt>
                <c:pt idx="54">
                  <c:v>84327153.977836668</c:v>
                </c:pt>
                <c:pt idx="55">
                  <c:v>84351142.842051417</c:v>
                </c:pt>
                <c:pt idx="56">
                  <c:v>77004340.663547575</c:v>
                </c:pt>
                <c:pt idx="57">
                  <c:v>76143435.193136796</c:v>
                </c:pt>
                <c:pt idx="58">
                  <c:v>78065738.196490675</c:v>
                </c:pt>
                <c:pt idx="59">
                  <c:v>83246494.36784175</c:v>
                </c:pt>
                <c:pt idx="60">
                  <c:v>87785352.477847338</c:v>
                </c:pt>
                <c:pt idx="61">
                  <c:v>80351110.866612896</c:v>
                </c:pt>
                <c:pt idx="62">
                  <c:v>82258535.309930056</c:v>
                </c:pt>
                <c:pt idx="63">
                  <c:v>73934113.828015983</c:v>
                </c:pt>
                <c:pt idx="64">
                  <c:v>77442748.983529463</c:v>
                </c:pt>
                <c:pt idx="65">
                  <c:v>79893372.770679027</c:v>
                </c:pt>
                <c:pt idx="66">
                  <c:v>85075801.483923838</c:v>
                </c:pt>
                <c:pt idx="67">
                  <c:v>84452103.188980177</c:v>
                </c:pt>
                <c:pt idx="68">
                  <c:v>78400675.328793138</c:v>
                </c:pt>
                <c:pt idx="69">
                  <c:v>76892082.699223951</c:v>
                </c:pt>
                <c:pt idx="70">
                  <c:v>78166698.543419436</c:v>
                </c:pt>
                <c:pt idx="71">
                  <c:v>84642829.033087313</c:v>
                </c:pt>
                <c:pt idx="72">
                  <c:v>88004463.258258164</c:v>
                </c:pt>
                <c:pt idx="73">
                  <c:v>81217908.806182131</c:v>
                </c:pt>
                <c:pt idx="74">
                  <c:v>83773020.408657685</c:v>
                </c:pt>
                <c:pt idx="75">
                  <c:v>74800911.767585203</c:v>
                </c:pt>
                <c:pt idx="76">
                  <c:v>77014172.604781881</c:v>
                </c:pt>
                <c:pt idx="77">
                  <c:v>81407857.869406655</c:v>
                </c:pt>
                <c:pt idx="78">
                  <c:v>85942599.423493057</c:v>
                </c:pt>
                <c:pt idx="79">
                  <c:v>85318901.128549397</c:v>
                </c:pt>
                <c:pt idx="80">
                  <c:v>79267473.268362373</c:v>
                </c:pt>
                <c:pt idx="81">
                  <c:v>77111193.479634762</c:v>
                </c:pt>
                <c:pt idx="82">
                  <c:v>79681183.642147064</c:v>
                </c:pt>
                <c:pt idx="83">
                  <c:v>85509626.972656548</c:v>
                </c:pt>
                <c:pt idx="84">
                  <c:v>88197556.456166446</c:v>
                </c:pt>
                <c:pt idx="85">
                  <c:v>83829148.692121968</c:v>
                </c:pt>
                <c:pt idx="86">
                  <c:v>83966113.606565982</c:v>
                </c:pt>
                <c:pt idx="87">
                  <c:v>76289379.283810318</c:v>
                </c:pt>
                <c:pt idx="88">
                  <c:v>78502640.121006966</c:v>
                </c:pt>
                <c:pt idx="89">
                  <c:v>82248638.226473346</c:v>
                </c:pt>
                <c:pt idx="90">
                  <c:v>85488005.462242946</c:v>
                </c:pt>
                <c:pt idx="91">
                  <c:v>87455055.80393289</c:v>
                </c:pt>
                <c:pt idx="92">
                  <c:v>80108253.625429064</c:v>
                </c:pt>
                <c:pt idx="93">
                  <c:v>77304286.677543059</c:v>
                </c:pt>
                <c:pt idx="94">
                  <c:v>81169651.158372149</c:v>
                </c:pt>
                <c:pt idx="95">
                  <c:v>85702720.17056483</c:v>
                </c:pt>
                <c:pt idx="96">
                  <c:v>90409875.464295641</c:v>
                </c:pt>
                <c:pt idx="97">
                  <c:v>82975633.853061199</c:v>
                </c:pt>
                <c:pt idx="98">
                  <c:v>86178432.614695176</c:v>
                </c:pt>
                <c:pt idx="99">
                  <c:v>75910949.655305877</c:v>
                </c:pt>
                <c:pt idx="100">
                  <c:v>80067271.969977766</c:v>
                </c:pt>
                <c:pt idx="101">
                  <c:v>83165582.916285738</c:v>
                </c:pt>
                <c:pt idx="102">
                  <c:v>86404950.152055323</c:v>
                </c:pt>
                <c:pt idx="103">
                  <c:v>88372000.493745282</c:v>
                </c:pt>
                <c:pt idx="104">
                  <c:v>80377511.156083047</c:v>
                </c:pt>
                <c:pt idx="105">
                  <c:v>78868918.526513845</c:v>
                </c:pt>
                <c:pt idx="106">
                  <c:v>82086595.848184541</c:v>
                </c:pt>
                <c:pt idx="107">
                  <c:v>85971977.701218814</c:v>
                </c:pt>
                <c:pt idx="108">
                  <c:v>91139430.278386444</c:v>
                </c:pt>
                <c:pt idx="109">
                  <c:v>83705188.667152002</c:v>
                </c:pt>
                <c:pt idx="110">
                  <c:v>85612613.110469162</c:v>
                </c:pt>
                <c:pt idx="111">
                  <c:v>77935878.787713498</c:v>
                </c:pt>
                <c:pt idx="112">
                  <c:v>80796826.78406857</c:v>
                </c:pt>
                <c:pt idx="113">
                  <c:v>83247450.571218133</c:v>
                </c:pt>
                <c:pt idx="114">
                  <c:v>87782192.12530455</c:v>
                </c:pt>
                <c:pt idx="115">
                  <c:v>89101555.307836071</c:v>
                </c:pt>
                <c:pt idx="116">
                  <c:v>80459378.811015427</c:v>
                </c:pt>
                <c:pt idx="117">
                  <c:v>80246160.499763057</c:v>
                </c:pt>
                <c:pt idx="118">
                  <c:v>82816150.662275329</c:v>
                </c:pt>
                <c:pt idx="119">
                  <c:v>86701532.515309602</c:v>
                </c:pt>
                <c:pt idx="120">
                  <c:v>91699164.477942511</c:v>
                </c:pt>
                <c:pt idx="121">
                  <c:v>84264922.866708085</c:v>
                </c:pt>
                <c:pt idx="122">
                  <c:v>86172347.310025245</c:v>
                </c:pt>
                <c:pt idx="123">
                  <c:v>77847925.828111157</c:v>
                </c:pt>
                <c:pt idx="124">
                  <c:v>81356560.983624637</c:v>
                </c:pt>
                <c:pt idx="125">
                  <c:v>83159497.611615807</c:v>
                </c:pt>
                <c:pt idx="126">
                  <c:v>88989613.484019011</c:v>
                </c:pt>
                <c:pt idx="127">
                  <c:v>89013602.348233759</c:v>
                </c:pt>
                <c:pt idx="128">
                  <c:v>81666800.169729918</c:v>
                </c:pt>
                <c:pt idx="129">
                  <c:v>80805894.699319124</c:v>
                </c:pt>
                <c:pt idx="130">
                  <c:v>82728197.702673018</c:v>
                </c:pt>
                <c:pt idx="131">
                  <c:v>87908953.874024093</c:v>
                </c:pt>
                <c:pt idx="132">
                  <c:v>92239877.389131948</c:v>
                </c:pt>
                <c:pt idx="133">
                  <c:v>85928408.147612244</c:v>
                </c:pt>
                <c:pt idx="134">
                  <c:v>87360747.380373076</c:v>
                </c:pt>
                <c:pt idx="135">
                  <c:v>79036325.898458987</c:v>
                </c:pt>
                <c:pt idx="136">
                  <c:v>80601899.576497257</c:v>
                </c:pt>
                <c:pt idx="137">
                  <c:v>84995584.841122046</c:v>
                </c:pt>
                <c:pt idx="138">
                  <c:v>89530326.395208433</c:v>
                </c:pt>
                <c:pt idx="139">
                  <c:v>88906628.100264788</c:v>
                </c:pt>
                <c:pt idx="140">
                  <c:v>82855200.240077764</c:v>
                </c:pt>
                <c:pt idx="141">
                  <c:v>80698920.451350152</c:v>
                </c:pt>
                <c:pt idx="142">
                  <c:v>83268910.613862455</c:v>
                </c:pt>
                <c:pt idx="143">
                  <c:v>89097353.944371939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F-46D9-ADBA-E8FDCFE54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'Intermediate Normalized Monthly'!$C$1</c:f>
              <c:strCache>
                <c:ptCount val="1"/>
                <c:pt idx="0">
                  <c:v>Intermediate_NO_CDM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'Intermediate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'Intermediate Normalized Monthly'!$C$2:$C$145</c:f>
              <c:numCache>
                <c:formatCode>General</c:formatCode>
                <c:ptCount val="144"/>
                <c:pt idx="0">
                  <c:v>4415320.5250500003</c:v>
                </c:pt>
                <c:pt idx="1">
                  <c:v>4063549.3825500002</c:v>
                </c:pt>
                <c:pt idx="2">
                  <c:v>4547876.9075999996</c:v>
                </c:pt>
                <c:pt idx="3">
                  <c:v>4092154.0065000001</c:v>
                </c:pt>
                <c:pt idx="4">
                  <c:v>4275362.9309440004</c:v>
                </c:pt>
                <c:pt idx="5">
                  <c:v>4339364.1067150002</c:v>
                </c:pt>
                <c:pt idx="6">
                  <c:v>4830360.0326429997</c:v>
                </c:pt>
                <c:pt idx="7">
                  <c:v>4185937.0571420002</c:v>
                </c:pt>
                <c:pt idx="8">
                  <c:v>4066294.1067980002</c:v>
                </c:pt>
                <c:pt idx="9">
                  <c:v>4216044.9663699996</c:v>
                </c:pt>
                <c:pt idx="10">
                  <c:v>4135261.855149</c:v>
                </c:pt>
                <c:pt idx="11">
                  <c:v>4139276.0675209998</c:v>
                </c:pt>
                <c:pt idx="12">
                  <c:v>3680290.2110469998</c:v>
                </c:pt>
                <c:pt idx="13">
                  <c:v>3458917.2119789999</c:v>
                </c:pt>
                <c:pt idx="14">
                  <c:v>3961328.3825309998</c:v>
                </c:pt>
                <c:pt idx="15">
                  <c:v>3819290.2417009999</c:v>
                </c:pt>
                <c:pt idx="16">
                  <c:v>4025317.4492390002</c:v>
                </c:pt>
                <c:pt idx="17">
                  <c:v>4225303.8981990004</c:v>
                </c:pt>
                <c:pt idx="18">
                  <c:v>4362344.081638</c:v>
                </c:pt>
                <c:pt idx="19">
                  <c:v>4421103.6722379997</c:v>
                </c:pt>
                <c:pt idx="20">
                  <c:v>4336552.6475419998</c:v>
                </c:pt>
                <c:pt idx="21">
                  <c:v>4409060.9406300001</c:v>
                </c:pt>
                <c:pt idx="22">
                  <c:v>4233860.37414</c:v>
                </c:pt>
                <c:pt idx="23">
                  <c:v>4138518.7720019999</c:v>
                </c:pt>
                <c:pt idx="24">
                  <c:v>4225575.7611889997</c:v>
                </c:pt>
                <c:pt idx="25">
                  <c:v>3677829.2420740002</c:v>
                </c:pt>
                <c:pt idx="26">
                  <c:v>4008991.4056159998</c:v>
                </c:pt>
                <c:pt idx="27">
                  <c:v>3911881.7842620001</c:v>
                </c:pt>
                <c:pt idx="28">
                  <c:v>4672710.2646949999</c:v>
                </c:pt>
                <c:pt idx="29">
                  <c:v>4411205.0579040004</c:v>
                </c:pt>
                <c:pt idx="30">
                  <c:v>4410294.6933960002</c:v>
                </c:pt>
                <c:pt idx="31">
                  <c:v>3989309.9328839998</c:v>
                </c:pt>
                <c:pt idx="32">
                  <c:v>3961994.71691</c:v>
                </c:pt>
                <c:pt idx="33">
                  <c:v>4046724.6678829999</c:v>
                </c:pt>
                <c:pt idx="34">
                  <c:v>3772717.8805010002</c:v>
                </c:pt>
                <c:pt idx="35">
                  <c:v>3705335.743148</c:v>
                </c:pt>
                <c:pt idx="36">
                  <c:v>3676968.9810556835</c:v>
                </c:pt>
                <c:pt idx="37">
                  <c:v>3497416.8930946835</c:v>
                </c:pt>
                <c:pt idx="38">
                  <c:v>3797437.6184126833</c:v>
                </c:pt>
                <c:pt idx="39">
                  <c:v>3517504.1996336835</c:v>
                </c:pt>
                <c:pt idx="40">
                  <c:v>4044937.4375086837</c:v>
                </c:pt>
                <c:pt idx="41">
                  <c:v>4101522.8000286836</c:v>
                </c:pt>
                <c:pt idx="42">
                  <c:v>4189025.0907676835</c:v>
                </c:pt>
                <c:pt idx="43">
                  <c:v>4037293.3264716836</c:v>
                </c:pt>
                <c:pt idx="44">
                  <c:v>3505149.0576776834</c:v>
                </c:pt>
                <c:pt idx="45">
                  <c:v>3665713.2215106837</c:v>
                </c:pt>
                <c:pt idx="46">
                  <c:v>4332336.8526676828</c:v>
                </c:pt>
                <c:pt idx="47">
                  <c:v>3431298.8417096836</c:v>
                </c:pt>
                <c:pt idx="48">
                  <c:v>3650792.2621592293</c:v>
                </c:pt>
                <c:pt idx="49">
                  <c:v>3160249.3168802294</c:v>
                </c:pt>
                <c:pt idx="50">
                  <c:v>2795571.2968722293</c:v>
                </c:pt>
                <c:pt idx="51">
                  <c:v>3642488.5188232292</c:v>
                </c:pt>
                <c:pt idx="52">
                  <c:v>4167859.4824122293</c:v>
                </c:pt>
                <c:pt idx="53">
                  <c:v>4054002.5970822293</c:v>
                </c:pt>
                <c:pt idx="54">
                  <c:v>4267179.141496229</c:v>
                </c:pt>
                <c:pt idx="55">
                  <c:v>3913373.0792622296</c:v>
                </c:pt>
                <c:pt idx="56">
                  <c:v>4476539.753896229</c:v>
                </c:pt>
                <c:pt idx="57">
                  <c:v>4212272.7133522294</c:v>
                </c:pt>
                <c:pt idx="58">
                  <c:v>3811378.5648942296</c:v>
                </c:pt>
                <c:pt idx="59">
                  <c:v>3578441.9494242296</c:v>
                </c:pt>
                <c:pt idx="60">
                  <c:v>3977286.2197341081</c:v>
                </c:pt>
                <c:pt idx="61">
                  <c:v>3319296.860103108</c:v>
                </c:pt>
                <c:pt idx="62">
                  <c:v>3885375.2901031082</c:v>
                </c:pt>
                <c:pt idx="63">
                  <c:v>3911958.4601031081</c:v>
                </c:pt>
                <c:pt idx="64">
                  <c:v>3824996.2101031081</c:v>
                </c:pt>
                <c:pt idx="65">
                  <c:v>4134163.2601031079</c:v>
                </c:pt>
                <c:pt idx="66">
                  <c:v>4416922.860103108</c:v>
                </c:pt>
                <c:pt idx="67">
                  <c:v>4004879.6001031082</c:v>
                </c:pt>
                <c:pt idx="68">
                  <c:v>4146273.0001031081</c:v>
                </c:pt>
                <c:pt idx="69">
                  <c:v>4193404.650103108</c:v>
                </c:pt>
                <c:pt idx="70">
                  <c:v>3890694.840103108</c:v>
                </c:pt>
                <c:pt idx="71">
                  <c:v>3891709.5801031082</c:v>
                </c:pt>
                <c:pt idx="72">
                  <c:v>4093961.0032661795</c:v>
                </c:pt>
                <c:pt idx="73">
                  <c:v>3523842.6232661791</c:v>
                </c:pt>
                <c:pt idx="74">
                  <c:v>3811662.5532661793</c:v>
                </c:pt>
                <c:pt idx="75">
                  <c:v>3577372.4732661792</c:v>
                </c:pt>
                <c:pt idx="76">
                  <c:v>3991285.1132661793</c:v>
                </c:pt>
                <c:pt idx="77">
                  <c:v>3758112.9032661794</c:v>
                </c:pt>
                <c:pt idx="78">
                  <c:v>4199678.1332661798</c:v>
                </c:pt>
                <c:pt idx="79">
                  <c:v>3385911.6132661789</c:v>
                </c:pt>
                <c:pt idx="80">
                  <c:v>3774070.6732661794</c:v>
                </c:pt>
                <c:pt idx="81">
                  <c:v>3704194.3132661795</c:v>
                </c:pt>
                <c:pt idx="82">
                  <c:v>3527052.9232661789</c:v>
                </c:pt>
                <c:pt idx="83">
                  <c:v>3267111.6732661794</c:v>
                </c:pt>
                <c:pt idx="84">
                  <c:v>3533933.7732470939</c:v>
                </c:pt>
                <c:pt idx="85">
                  <c:v>3495480.8832470938</c:v>
                </c:pt>
                <c:pt idx="86">
                  <c:v>3636082.5632470935</c:v>
                </c:pt>
                <c:pt idx="87">
                  <c:v>3430288.7432470941</c:v>
                </c:pt>
                <c:pt idx="88">
                  <c:v>3783247.3232470937</c:v>
                </c:pt>
                <c:pt idx="89">
                  <c:v>4068589.4732470941</c:v>
                </c:pt>
                <c:pt idx="90">
                  <c:v>3984566.7832470937</c:v>
                </c:pt>
                <c:pt idx="91">
                  <c:v>3315041.8332470939</c:v>
                </c:pt>
                <c:pt idx="92">
                  <c:v>3610685.643247094</c:v>
                </c:pt>
                <c:pt idx="93">
                  <c:v>3809029.3432470937</c:v>
                </c:pt>
                <c:pt idx="94">
                  <c:v>3762256.7532470939</c:v>
                </c:pt>
                <c:pt idx="95">
                  <c:v>4040160.4732470936</c:v>
                </c:pt>
                <c:pt idx="96">
                  <c:v>4673482.8519639345</c:v>
                </c:pt>
                <c:pt idx="97">
                  <c:v>3160702.7119639348</c:v>
                </c:pt>
                <c:pt idx="98">
                  <c:v>3516291.0219639349</c:v>
                </c:pt>
                <c:pt idx="99">
                  <c:v>3257803.3419639347</c:v>
                </c:pt>
                <c:pt idx="100">
                  <c:v>3505256.1119639347</c:v>
                </c:pt>
                <c:pt idx="101">
                  <c:v>3900962.201963935</c:v>
                </c:pt>
                <c:pt idx="102">
                  <c:v>3948803.201963935</c:v>
                </c:pt>
                <c:pt idx="103">
                  <c:v>2923548.0019639349</c:v>
                </c:pt>
                <c:pt idx="104">
                  <c:v>3551345.6319639347</c:v>
                </c:pt>
                <c:pt idx="105">
                  <c:v>4675960.2019639341</c:v>
                </c:pt>
                <c:pt idx="106">
                  <c:v>3582167.1319639347</c:v>
                </c:pt>
                <c:pt idx="107">
                  <c:v>4051590.7719639349</c:v>
                </c:pt>
                <c:pt idx="108">
                  <c:v>3830105.218467033</c:v>
                </c:pt>
                <c:pt idx="109">
                  <c:v>3294091.5384670328</c:v>
                </c:pt>
                <c:pt idx="110">
                  <c:v>3181748.4384670327</c:v>
                </c:pt>
                <c:pt idx="111">
                  <c:v>3438894.3684670329</c:v>
                </c:pt>
                <c:pt idx="112">
                  <c:v>3285743.2084670328</c:v>
                </c:pt>
                <c:pt idx="113">
                  <c:v>3353874.9084670329</c:v>
                </c:pt>
                <c:pt idx="114">
                  <c:v>3983410.6584670329</c:v>
                </c:pt>
                <c:pt idx="115">
                  <c:v>3230274.8984670327</c:v>
                </c:pt>
                <c:pt idx="116">
                  <c:v>3384714.4784670328</c:v>
                </c:pt>
                <c:pt idx="117">
                  <c:v>3691608.7784670331</c:v>
                </c:pt>
                <c:pt idx="118">
                  <c:v>3541248.8384670331</c:v>
                </c:pt>
                <c:pt idx="119">
                  <c:v>3941344.4184670327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9-4103-BAC7-437A216E2B80}"/>
            </c:ext>
          </c:extLst>
        </c:ser>
        <c:ser>
          <c:idx val="1"/>
          <c:order val="1"/>
          <c:tx>
            <c:strRef>
              <c:f>'Intermediate Normalized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'Intermediate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'Intermediate Normalized Monthly'!$R$2:$R$145</c:f>
              <c:numCache>
                <c:formatCode>General</c:formatCode>
                <c:ptCount val="144"/>
                <c:pt idx="0">
                  <c:v>4176083.6011950853</c:v>
                </c:pt>
                <c:pt idx="1">
                  <c:v>3725449.5201373221</c:v>
                </c:pt>
                <c:pt idx="2">
                  <c:v>4164570.5645624078</c:v>
                </c:pt>
                <c:pt idx="3">
                  <c:v>4010521.5253322599</c:v>
                </c:pt>
                <c:pt idx="4">
                  <c:v>4153057.5279297298</c:v>
                </c:pt>
                <c:pt idx="5">
                  <c:v>4345562.1097799325</c:v>
                </c:pt>
                <c:pt idx="6">
                  <c:v>4570110.4567811321</c:v>
                </c:pt>
                <c:pt idx="7">
                  <c:v>4135787.9729807135</c:v>
                </c:pt>
                <c:pt idx="8">
                  <c:v>4201397.9844628358</c:v>
                </c:pt>
                <c:pt idx="9">
                  <c:v>4343933.9870603057</c:v>
                </c:pt>
                <c:pt idx="10">
                  <c:v>4189884.9478301583</c:v>
                </c:pt>
                <c:pt idx="11">
                  <c:v>4112761.8997153579</c:v>
                </c:pt>
                <c:pt idx="12">
                  <c:v>4107005.3813990192</c:v>
                </c:pt>
                <c:pt idx="13">
                  <c:v>3656371.300341256</c:v>
                </c:pt>
                <c:pt idx="14">
                  <c:v>4095492.3447663416</c:v>
                </c:pt>
                <c:pt idx="15">
                  <c:v>3941443.3055361942</c:v>
                </c:pt>
                <c:pt idx="16">
                  <c:v>4083979.3081336636</c:v>
                </c:pt>
                <c:pt idx="17">
                  <c:v>4276483.8899838664</c:v>
                </c:pt>
                <c:pt idx="18">
                  <c:v>4501032.236985066</c:v>
                </c:pt>
                <c:pt idx="19">
                  <c:v>4066709.7531846473</c:v>
                </c:pt>
                <c:pt idx="20">
                  <c:v>4132319.7646667697</c:v>
                </c:pt>
                <c:pt idx="21">
                  <c:v>4274855.7672642395</c:v>
                </c:pt>
                <c:pt idx="22">
                  <c:v>4120806.7280340921</c:v>
                </c:pt>
                <c:pt idx="23">
                  <c:v>4043683.6799192922</c:v>
                </c:pt>
                <c:pt idx="24">
                  <c:v>4037927.1616029534</c:v>
                </c:pt>
                <c:pt idx="25">
                  <c:v>3587293.0805451898</c:v>
                </c:pt>
                <c:pt idx="26">
                  <c:v>4026414.1249702754</c:v>
                </c:pt>
                <c:pt idx="27">
                  <c:v>3872365.0857401281</c:v>
                </c:pt>
                <c:pt idx="28">
                  <c:v>4014901.0883375979</c:v>
                </c:pt>
                <c:pt idx="29">
                  <c:v>4207405.6701878002</c:v>
                </c:pt>
                <c:pt idx="30">
                  <c:v>4431954.0171889998</c:v>
                </c:pt>
                <c:pt idx="31">
                  <c:v>3997631.5333885811</c:v>
                </c:pt>
                <c:pt idx="32">
                  <c:v>4063241.5448707039</c:v>
                </c:pt>
                <c:pt idx="33">
                  <c:v>4205777.5474681733</c:v>
                </c:pt>
                <c:pt idx="34">
                  <c:v>4051728.5082380259</c:v>
                </c:pt>
                <c:pt idx="35">
                  <c:v>3974605.460123226</c:v>
                </c:pt>
                <c:pt idx="36">
                  <c:v>3968848.9418068873</c:v>
                </c:pt>
                <c:pt idx="37">
                  <c:v>3666507.3816629322</c:v>
                </c:pt>
                <c:pt idx="38">
                  <c:v>3957335.9051742093</c:v>
                </c:pt>
                <c:pt idx="39">
                  <c:v>3803286.8659440619</c:v>
                </c:pt>
                <c:pt idx="40">
                  <c:v>3945822.8685415317</c:v>
                </c:pt>
                <c:pt idx="41">
                  <c:v>4138327.450391734</c:v>
                </c:pt>
                <c:pt idx="42">
                  <c:v>4362875.7973929346</c:v>
                </c:pt>
                <c:pt idx="43">
                  <c:v>3928553.313592515</c:v>
                </c:pt>
                <c:pt idx="44">
                  <c:v>3994163.3250746378</c:v>
                </c:pt>
                <c:pt idx="45">
                  <c:v>4136699.3276721076</c:v>
                </c:pt>
                <c:pt idx="46">
                  <c:v>3982650.2884419598</c:v>
                </c:pt>
                <c:pt idx="47">
                  <c:v>3905527.2403271599</c:v>
                </c:pt>
                <c:pt idx="48">
                  <c:v>3899770.7220108211</c:v>
                </c:pt>
                <c:pt idx="49">
                  <c:v>3449136.6409530574</c:v>
                </c:pt>
                <c:pt idx="50">
                  <c:v>3888257.6853781436</c:v>
                </c:pt>
                <c:pt idx="51">
                  <c:v>3734208.6461479957</c:v>
                </c:pt>
                <c:pt idx="52">
                  <c:v>3876744.6487454656</c:v>
                </c:pt>
                <c:pt idx="53">
                  <c:v>4069249.2305956683</c:v>
                </c:pt>
                <c:pt idx="54">
                  <c:v>4293797.5775968684</c:v>
                </c:pt>
                <c:pt idx="55">
                  <c:v>3859475.0937964492</c:v>
                </c:pt>
                <c:pt idx="56">
                  <c:v>3925085.1052785716</c:v>
                </c:pt>
                <c:pt idx="57">
                  <c:v>4067621.1078760414</c:v>
                </c:pt>
                <c:pt idx="58">
                  <c:v>3913572.0686458941</c:v>
                </c:pt>
                <c:pt idx="59">
                  <c:v>3836449.0205310937</c:v>
                </c:pt>
                <c:pt idx="60">
                  <c:v>3830692.5022147549</c:v>
                </c:pt>
                <c:pt idx="61">
                  <c:v>3380058.4211569917</c:v>
                </c:pt>
                <c:pt idx="62">
                  <c:v>3819179.4655820774</c:v>
                </c:pt>
                <c:pt idx="63">
                  <c:v>3665130.42635193</c:v>
                </c:pt>
                <c:pt idx="64">
                  <c:v>3807666.4289493999</c:v>
                </c:pt>
                <c:pt idx="65">
                  <c:v>4000171.0107996021</c:v>
                </c:pt>
                <c:pt idx="66">
                  <c:v>4224719.3578008022</c:v>
                </c:pt>
                <c:pt idx="67">
                  <c:v>3790396.8740003831</c:v>
                </c:pt>
                <c:pt idx="68">
                  <c:v>3856006.8854825054</c:v>
                </c:pt>
                <c:pt idx="69">
                  <c:v>3998542.8880799753</c:v>
                </c:pt>
                <c:pt idx="70">
                  <c:v>3844493.8488498279</c:v>
                </c:pt>
                <c:pt idx="71">
                  <c:v>3767370.8007350275</c:v>
                </c:pt>
                <c:pt idx="72">
                  <c:v>3761614.2824186888</c:v>
                </c:pt>
                <c:pt idx="73">
                  <c:v>3310980.2013609256</c:v>
                </c:pt>
                <c:pt idx="74">
                  <c:v>3750101.2457860112</c:v>
                </c:pt>
                <c:pt idx="75">
                  <c:v>3596052.2065558638</c:v>
                </c:pt>
                <c:pt idx="76">
                  <c:v>3738588.2091533337</c:v>
                </c:pt>
                <c:pt idx="77">
                  <c:v>3931092.791003536</c:v>
                </c:pt>
                <c:pt idx="78">
                  <c:v>4155641.138004736</c:v>
                </c:pt>
                <c:pt idx="79">
                  <c:v>3721318.6542043169</c:v>
                </c:pt>
                <c:pt idx="80">
                  <c:v>3786928.6656864397</c:v>
                </c:pt>
                <c:pt idx="81">
                  <c:v>3929464.6682839091</c:v>
                </c:pt>
                <c:pt idx="82">
                  <c:v>3775415.6290537617</c:v>
                </c:pt>
                <c:pt idx="83">
                  <c:v>3698292.5809389614</c:v>
                </c:pt>
                <c:pt idx="84">
                  <c:v>3692536.0626226226</c:v>
                </c:pt>
                <c:pt idx="85">
                  <c:v>3390194.5024786675</c:v>
                </c:pt>
                <c:pt idx="86">
                  <c:v>3681023.025989945</c:v>
                </c:pt>
                <c:pt idx="87">
                  <c:v>3526973.9867597977</c:v>
                </c:pt>
                <c:pt idx="88">
                  <c:v>3669509.9893572675</c:v>
                </c:pt>
                <c:pt idx="89">
                  <c:v>3862014.5712074698</c:v>
                </c:pt>
                <c:pt idx="90">
                  <c:v>4086562.9182086699</c:v>
                </c:pt>
                <c:pt idx="91">
                  <c:v>3652240.4344082512</c:v>
                </c:pt>
                <c:pt idx="92">
                  <c:v>3717850.4458903736</c:v>
                </c:pt>
                <c:pt idx="93">
                  <c:v>3860386.4484878434</c:v>
                </c:pt>
                <c:pt idx="94">
                  <c:v>3706337.409257696</c:v>
                </c:pt>
                <c:pt idx="95">
                  <c:v>3629214.3611428952</c:v>
                </c:pt>
                <c:pt idx="96">
                  <c:v>3623457.8428265564</c:v>
                </c:pt>
                <c:pt idx="97">
                  <c:v>3172823.7617687937</c:v>
                </c:pt>
                <c:pt idx="98">
                  <c:v>3611944.8061938789</c:v>
                </c:pt>
                <c:pt idx="99">
                  <c:v>3457895.7669637315</c:v>
                </c:pt>
                <c:pt idx="100">
                  <c:v>3600431.7695612013</c:v>
                </c:pt>
                <c:pt idx="101">
                  <c:v>3792936.3514114041</c:v>
                </c:pt>
                <c:pt idx="102">
                  <c:v>4017484.6984126037</c:v>
                </c:pt>
                <c:pt idx="103">
                  <c:v>3583162.214612185</c:v>
                </c:pt>
                <c:pt idx="104">
                  <c:v>3648772.2260943074</c:v>
                </c:pt>
                <c:pt idx="105">
                  <c:v>3791308.2286917772</c:v>
                </c:pt>
                <c:pt idx="106">
                  <c:v>3637259.1894616298</c:v>
                </c:pt>
                <c:pt idx="107">
                  <c:v>3560136.1413468295</c:v>
                </c:pt>
                <c:pt idx="108">
                  <c:v>3554379.6230304902</c:v>
                </c:pt>
                <c:pt idx="109">
                  <c:v>3103745.5419727275</c:v>
                </c:pt>
                <c:pt idx="110">
                  <c:v>3542866.5863978127</c:v>
                </c:pt>
                <c:pt idx="111">
                  <c:v>3388817.5471676653</c:v>
                </c:pt>
                <c:pt idx="112">
                  <c:v>3531353.5497651352</c:v>
                </c:pt>
                <c:pt idx="113">
                  <c:v>3723858.1316153379</c:v>
                </c:pt>
                <c:pt idx="114">
                  <c:v>3948406.4786165375</c:v>
                </c:pt>
                <c:pt idx="115">
                  <c:v>3514083.9948161189</c:v>
                </c:pt>
                <c:pt idx="116">
                  <c:v>3579694.0062982412</c:v>
                </c:pt>
                <c:pt idx="117">
                  <c:v>3722230.008895711</c:v>
                </c:pt>
                <c:pt idx="118">
                  <c:v>3568180.9696655637</c:v>
                </c:pt>
                <c:pt idx="119">
                  <c:v>3491057.9215507633</c:v>
                </c:pt>
                <c:pt idx="120">
                  <c:v>3485301.4032344245</c:v>
                </c:pt>
                <c:pt idx="121">
                  <c:v>3034667.3221766613</c:v>
                </c:pt>
                <c:pt idx="122">
                  <c:v>3473788.3666017465</c:v>
                </c:pt>
                <c:pt idx="123">
                  <c:v>3319739.3273715992</c:v>
                </c:pt>
                <c:pt idx="124">
                  <c:v>3462275.329969069</c:v>
                </c:pt>
                <c:pt idx="125">
                  <c:v>3654779.9118192717</c:v>
                </c:pt>
                <c:pt idx="126">
                  <c:v>3879328.2588204714</c:v>
                </c:pt>
                <c:pt idx="127">
                  <c:v>3445005.7750200527</c:v>
                </c:pt>
                <c:pt idx="128">
                  <c:v>3510615.786502175</c:v>
                </c:pt>
                <c:pt idx="129">
                  <c:v>3653151.7890996449</c:v>
                </c:pt>
                <c:pt idx="130">
                  <c:v>3499102.7498694975</c:v>
                </c:pt>
                <c:pt idx="131">
                  <c:v>3421979.7017546976</c:v>
                </c:pt>
                <c:pt idx="132">
                  <c:v>3416223.1834383584</c:v>
                </c:pt>
                <c:pt idx="133">
                  <c:v>3113881.6232944033</c:v>
                </c:pt>
                <c:pt idx="134">
                  <c:v>3404710.1468056808</c:v>
                </c:pt>
                <c:pt idx="135">
                  <c:v>3250661.107575533</c:v>
                </c:pt>
                <c:pt idx="136">
                  <c:v>3393197.1101730028</c:v>
                </c:pt>
                <c:pt idx="137">
                  <c:v>3585701.6920232056</c:v>
                </c:pt>
                <c:pt idx="138">
                  <c:v>3810250.0390244052</c:v>
                </c:pt>
                <c:pt idx="139">
                  <c:v>3375927.5552239865</c:v>
                </c:pt>
                <c:pt idx="140">
                  <c:v>3441537.5667061089</c:v>
                </c:pt>
                <c:pt idx="141">
                  <c:v>3584073.5693035787</c:v>
                </c:pt>
                <c:pt idx="142">
                  <c:v>3430024.5300734313</c:v>
                </c:pt>
                <c:pt idx="143">
                  <c:v>3352901.4819586314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9-4103-BAC7-437A216E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&lt; 50 Predicted Monthly'!$D$1</c:f>
              <c:strCache>
                <c:ptCount val="1"/>
                <c:pt idx="0">
                  <c:v>GS_lt_50_No_CDM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'GS &lt; 50 Predicted Monthly'!$D$2:$D$121</c:f>
              <c:numCache>
                <c:formatCode>General</c:formatCode>
                <c:ptCount val="120"/>
                <c:pt idx="0">
                  <c:v>20997000.576903876</c:v>
                </c:pt>
                <c:pt idx="1">
                  <c:v>18534901.320222881</c:v>
                </c:pt>
                <c:pt idx="2">
                  <c:v>18954018.30274988</c:v>
                </c:pt>
                <c:pt idx="3">
                  <c:v>16925516.165353876</c:v>
                </c:pt>
                <c:pt idx="4">
                  <c:v>17278203.842076879</c:v>
                </c:pt>
                <c:pt idx="5">
                  <c:v>18191454.642888878</c:v>
                </c:pt>
                <c:pt idx="6">
                  <c:v>20105262.722413879</c:v>
                </c:pt>
                <c:pt idx="7">
                  <c:v>20523724.411321878</c:v>
                </c:pt>
                <c:pt idx="8">
                  <c:v>18157087.066119879</c:v>
                </c:pt>
                <c:pt idx="9">
                  <c:v>17337285.180696879</c:v>
                </c:pt>
                <c:pt idx="10">
                  <c:v>17481165.503934875</c:v>
                </c:pt>
                <c:pt idx="11">
                  <c:v>19459671.383054875</c:v>
                </c:pt>
                <c:pt idx="12">
                  <c:v>20364989.12032054</c:v>
                </c:pt>
                <c:pt idx="13">
                  <c:v>18205145.489051539</c:v>
                </c:pt>
                <c:pt idx="14">
                  <c:v>18513709.375034541</c:v>
                </c:pt>
                <c:pt idx="15">
                  <c:v>16824162.846801538</c:v>
                </c:pt>
                <c:pt idx="16">
                  <c:v>18405787.843161542</c:v>
                </c:pt>
                <c:pt idx="17">
                  <c:v>20461415.969543539</c:v>
                </c:pt>
                <c:pt idx="18">
                  <c:v>22795593.036033537</c:v>
                </c:pt>
                <c:pt idx="19">
                  <c:v>22116079.594250541</c:v>
                </c:pt>
                <c:pt idx="20">
                  <c:v>18334763.226206541</c:v>
                </c:pt>
                <c:pt idx="21">
                  <c:v>17072567.952336539</c:v>
                </c:pt>
                <c:pt idx="22">
                  <c:v>17395857.750683539</c:v>
                </c:pt>
                <c:pt idx="23">
                  <c:v>19655364.768977538</c:v>
                </c:pt>
                <c:pt idx="24">
                  <c:v>20433168.712788858</c:v>
                </c:pt>
                <c:pt idx="25">
                  <c:v>18248985.66093586</c:v>
                </c:pt>
                <c:pt idx="26">
                  <c:v>18891983.127054855</c:v>
                </c:pt>
                <c:pt idx="27">
                  <c:v>17089616.625273857</c:v>
                </c:pt>
                <c:pt idx="28">
                  <c:v>17878369.437173858</c:v>
                </c:pt>
                <c:pt idx="29">
                  <c:v>19789305.953011855</c:v>
                </c:pt>
                <c:pt idx="30">
                  <c:v>22703572.420684855</c:v>
                </c:pt>
                <c:pt idx="31">
                  <c:v>21542109.43368886</c:v>
                </c:pt>
                <c:pt idx="32">
                  <c:v>18050834.514007859</c:v>
                </c:pt>
                <c:pt idx="33">
                  <c:v>17206685.452281859</c:v>
                </c:pt>
                <c:pt idx="34">
                  <c:v>17348028.408182859</c:v>
                </c:pt>
                <c:pt idx="35">
                  <c:v>18974962.525991857</c:v>
                </c:pt>
                <c:pt idx="36">
                  <c:v>19511148.082728777</c:v>
                </c:pt>
                <c:pt idx="37">
                  <c:v>18256163.68848278</c:v>
                </c:pt>
                <c:pt idx="38">
                  <c:v>18096668.85844278</c:v>
                </c:pt>
                <c:pt idx="39">
                  <c:v>16541459.767637776</c:v>
                </c:pt>
                <c:pt idx="40">
                  <c:v>18171949.748051777</c:v>
                </c:pt>
                <c:pt idx="41">
                  <c:v>20403300.909939777</c:v>
                </c:pt>
                <c:pt idx="42">
                  <c:v>22861363.392034773</c:v>
                </c:pt>
                <c:pt idx="43">
                  <c:v>21118978.986886777</c:v>
                </c:pt>
                <c:pt idx="44">
                  <c:v>18170205.46941378</c:v>
                </c:pt>
                <c:pt idx="45">
                  <c:v>17220595.803868778</c:v>
                </c:pt>
                <c:pt idx="46">
                  <c:v>17668478.376731779</c:v>
                </c:pt>
                <c:pt idx="47">
                  <c:v>19040828.537305772</c:v>
                </c:pt>
                <c:pt idx="48">
                  <c:v>19918645.038127154</c:v>
                </c:pt>
                <c:pt idx="49">
                  <c:v>18479022.427723158</c:v>
                </c:pt>
                <c:pt idx="50">
                  <c:v>19344536.573703159</c:v>
                </c:pt>
                <c:pt idx="51">
                  <c:v>17496135.743099157</c:v>
                </c:pt>
                <c:pt idx="52">
                  <c:v>18053028.241128158</c:v>
                </c:pt>
                <c:pt idx="53">
                  <c:v>19266723.806833159</c:v>
                </c:pt>
                <c:pt idx="54">
                  <c:v>21311982.975834161</c:v>
                </c:pt>
                <c:pt idx="55">
                  <c:v>20411785.122910541</c:v>
                </c:pt>
                <c:pt idx="56">
                  <c:v>18727336.210364576</c:v>
                </c:pt>
                <c:pt idx="57">
                  <c:v>17638387.428440351</c:v>
                </c:pt>
                <c:pt idx="58">
                  <c:v>18020884.044720925</c:v>
                </c:pt>
                <c:pt idx="59">
                  <c:v>20066633.254348345</c:v>
                </c:pt>
                <c:pt idx="60">
                  <c:v>21303777.783872336</c:v>
                </c:pt>
                <c:pt idx="61">
                  <c:v>19099984.13925432</c:v>
                </c:pt>
                <c:pt idx="62">
                  <c:v>19585691.607345648</c:v>
                </c:pt>
                <c:pt idx="63">
                  <c:v>16922663.676998418</c:v>
                </c:pt>
                <c:pt idx="64">
                  <c:v>17613446.724568356</c:v>
                </c:pt>
                <c:pt idx="65">
                  <c:v>18970931.054170139</c:v>
                </c:pt>
                <c:pt idx="66">
                  <c:v>19855708.900343191</c:v>
                </c:pt>
                <c:pt idx="67">
                  <c:v>19611045.207169671</c:v>
                </c:pt>
                <c:pt idx="68">
                  <c:v>17643769.2377556</c:v>
                </c:pt>
                <c:pt idx="69">
                  <c:v>16849179.511326332</c:v>
                </c:pt>
                <c:pt idx="70">
                  <c:v>17791302.050130848</c:v>
                </c:pt>
                <c:pt idx="71">
                  <c:v>19279930.467506785</c:v>
                </c:pt>
                <c:pt idx="72">
                  <c:v>20206900.384172045</c:v>
                </c:pt>
                <c:pt idx="73">
                  <c:v>18912952.911405765</c:v>
                </c:pt>
                <c:pt idx="74">
                  <c:v>19087194.693129994</c:v>
                </c:pt>
                <c:pt idx="75">
                  <c:v>16822886.277402826</c:v>
                </c:pt>
                <c:pt idx="76">
                  <c:v>17571335.804700233</c:v>
                </c:pt>
                <c:pt idx="77">
                  <c:v>18388369.415220134</c:v>
                </c:pt>
                <c:pt idx="78">
                  <c:v>20279519.473623894</c:v>
                </c:pt>
                <c:pt idx="79">
                  <c:v>20702927.092459753</c:v>
                </c:pt>
                <c:pt idx="80">
                  <c:v>18321540.160444587</c:v>
                </c:pt>
                <c:pt idx="81">
                  <c:v>16809498.477666974</c:v>
                </c:pt>
                <c:pt idx="82">
                  <c:v>16699458.042118514</c:v>
                </c:pt>
                <c:pt idx="83">
                  <c:v>18067085.348473221</c:v>
                </c:pt>
                <c:pt idx="84">
                  <c:v>19133061.760733683</c:v>
                </c:pt>
                <c:pt idx="85">
                  <c:v>18058710.330862306</c:v>
                </c:pt>
                <c:pt idx="86">
                  <c:v>17926685.621340387</c:v>
                </c:pt>
                <c:pt idx="87">
                  <c:v>16527168.639966492</c:v>
                </c:pt>
                <c:pt idx="88">
                  <c:v>17576723.658702593</c:v>
                </c:pt>
                <c:pt idx="89">
                  <c:v>19532905.229509365</c:v>
                </c:pt>
                <c:pt idx="90">
                  <c:v>21956762.489117898</c:v>
                </c:pt>
                <c:pt idx="91">
                  <c:v>21900969.806323256</c:v>
                </c:pt>
                <c:pt idx="92">
                  <c:v>18789309.137700778</c:v>
                </c:pt>
                <c:pt idx="93">
                  <c:v>16955472.071180869</c:v>
                </c:pt>
                <c:pt idx="94">
                  <c:v>16751612.589217924</c:v>
                </c:pt>
                <c:pt idx="95">
                  <c:v>18774069.716664497</c:v>
                </c:pt>
                <c:pt idx="96">
                  <c:v>18732513.136596769</c:v>
                </c:pt>
                <c:pt idx="97">
                  <c:v>16467205.256596768</c:v>
                </c:pt>
                <c:pt idx="98">
                  <c:v>17473640.656596765</c:v>
                </c:pt>
                <c:pt idx="99">
                  <c:v>15740126.976596767</c:v>
                </c:pt>
                <c:pt idx="100">
                  <c:v>16539773.226596767</c:v>
                </c:pt>
                <c:pt idx="101">
                  <c:v>18287536.646596767</c:v>
                </c:pt>
                <c:pt idx="102">
                  <c:v>20148670.466596767</c:v>
                </c:pt>
                <c:pt idx="103">
                  <c:v>19087552.926596768</c:v>
                </c:pt>
                <c:pt idx="104">
                  <c:v>17404207.736596767</c:v>
                </c:pt>
                <c:pt idx="105">
                  <c:v>16833839.906596765</c:v>
                </c:pt>
                <c:pt idx="106">
                  <c:v>16525687.126596767</c:v>
                </c:pt>
                <c:pt idx="107">
                  <c:v>18537220.016596768</c:v>
                </c:pt>
                <c:pt idx="108">
                  <c:v>19001303.515027311</c:v>
                </c:pt>
                <c:pt idx="109">
                  <c:v>16610806.131532103</c:v>
                </c:pt>
                <c:pt idx="110">
                  <c:v>17318740.120735005</c:v>
                </c:pt>
                <c:pt idx="111">
                  <c:v>16017226.272302017</c:v>
                </c:pt>
                <c:pt idx="112">
                  <c:v>16921821.134000421</c:v>
                </c:pt>
                <c:pt idx="113">
                  <c:v>18917894.230369061</c:v>
                </c:pt>
                <c:pt idx="114">
                  <c:v>20639533.873314146</c:v>
                </c:pt>
                <c:pt idx="115">
                  <c:v>20163539.185281534</c:v>
                </c:pt>
                <c:pt idx="116">
                  <c:v>17735720.163342077</c:v>
                </c:pt>
                <c:pt idx="117">
                  <c:v>16132772.491475061</c:v>
                </c:pt>
                <c:pt idx="118">
                  <c:v>16564637.253296278</c:v>
                </c:pt>
                <c:pt idx="119">
                  <c:v>17253745.033177346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0-4CDD-98D4-17E2269F16CA}"/>
            </c:ext>
          </c:extLst>
        </c:ser>
        <c:ser>
          <c:idx val="1"/>
          <c:order val="1"/>
          <c:tx>
            <c:strRef>
              <c:f>'GS &lt; 50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'GS &lt; 50 Predicted Monthly'!$W$2:$W$121</c:f>
              <c:numCache>
                <c:formatCode>General</c:formatCode>
                <c:ptCount val="120"/>
                <c:pt idx="0">
                  <c:v>21255968.910504524</c:v>
                </c:pt>
                <c:pt idx="1">
                  <c:v>18787428.040515661</c:v>
                </c:pt>
                <c:pt idx="2">
                  <c:v>19316295.032896854</c:v>
                </c:pt>
                <c:pt idx="3">
                  <c:v>17829343.122431081</c:v>
                </c:pt>
                <c:pt idx="4">
                  <c:v>17527372.400902003</c:v>
                </c:pt>
                <c:pt idx="5">
                  <c:v>19132030.892299823</c:v>
                </c:pt>
                <c:pt idx="6">
                  <c:v>19907498.267700534</c:v>
                </c:pt>
                <c:pt idx="7">
                  <c:v>20702970.392839216</c:v>
                </c:pt>
                <c:pt idx="8">
                  <c:v>18369640.073836312</c:v>
                </c:pt>
                <c:pt idx="9">
                  <c:v>17732041.932326388</c:v>
                </c:pt>
                <c:pt idx="10">
                  <c:v>17581834.788801946</c:v>
                </c:pt>
                <c:pt idx="11">
                  <c:v>20036672.418469064</c:v>
                </c:pt>
                <c:pt idx="12">
                  <c:v>20362152.231199179</c:v>
                </c:pt>
                <c:pt idx="13">
                  <c:v>18530904.783687823</c:v>
                </c:pt>
                <c:pt idx="14">
                  <c:v>18802386.990205914</c:v>
                </c:pt>
                <c:pt idx="15">
                  <c:v>17135620.467515979</c:v>
                </c:pt>
                <c:pt idx="16">
                  <c:v>18503109.693772562</c:v>
                </c:pt>
                <c:pt idx="17">
                  <c:v>20302364.865204938</c:v>
                </c:pt>
                <c:pt idx="18">
                  <c:v>22813614.665921379</c:v>
                </c:pt>
                <c:pt idx="19">
                  <c:v>22403533.978946578</c:v>
                </c:pt>
                <c:pt idx="20">
                  <c:v>18347080.533434778</c:v>
                </c:pt>
                <c:pt idx="21">
                  <c:v>17204592.519784942</c:v>
                </c:pt>
                <c:pt idx="22">
                  <c:v>17604709.9954593</c:v>
                </c:pt>
                <c:pt idx="23">
                  <c:v>19994124.014013782</c:v>
                </c:pt>
                <c:pt idx="24">
                  <c:v>20373675.877332922</c:v>
                </c:pt>
                <c:pt idx="25">
                  <c:v>18442852.921891876</c:v>
                </c:pt>
                <c:pt idx="26">
                  <c:v>19152739.754585207</c:v>
                </c:pt>
                <c:pt idx="27">
                  <c:v>17124056.105493192</c:v>
                </c:pt>
                <c:pt idx="28">
                  <c:v>17703433.38062229</c:v>
                </c:pt>
                <c:pt idx="29">
                  <c:v>19458467.12589347</c:v>
                </c:pt>
                <c:pt idx="30">
                  <c:v>23215788.657825135</c:v>
                </c:pt>
                <c:pt idx="31">
                  <c:v>20911643.808612309</c:v>
                </c:pt>
                <c:pt idx="32">
                  <c:v>18134568.70068676</c:v>
                </c:pt>
                <c:pt idx="33">
                  <c:v>17093840.900720309</c:v>
                </c:pt>
                <c:pt idx="34">
                  <c:v>17091136.059286147</c:v>
                </c:pt>
                <c:pt idx="35">
                  <c:v>19214106.053114153</c:v>
                </c:pt>
                <c:pt idx="36">
                  <c:v>19525032.714101873</c:v>
                </c:pt>
                <c:pt idx="37">
                  <c:v>18322024.411815621</c:v>
                </c:pt>
                <c:pt idx="38">
                  <c:v>17983480.490103222</c:v>
                </c:pt>
                <c:pt idx="39">
                  <c:v>17108507.34095465</c:v>
                </c:pt>
                <c:pt idx="40">
                  <c:v>17971442.293000236</c:v>
                </c:pt>
                <c:pt idx="41">
                  <c:v>20190343.336411301</c:v>
                </c:pt>
                <c:pt idx="42">
                  <c:v>22732420.703542255</c:v>
                </c:pt>
                <c:pt idx="43">
                  <c:v>20563807.85914056</c:v>
                </c:pt>
                <c:pt idx="44">
                  <c:v>18033972.380314659</c:v>
                </c:pt>
                <c:pt idx="45">
                  <c:v>17351993.658509094</c:v>
                </c:pt>
                <c:pt idx="46">
                  <c:v>17582676.754291888</c:v>
                </c:pt>
                <c:pt idx="47">
                  <c:v>19110350.646138866</c:v>
                </c:pt>
                <c:pt idx="48">
                  <c:v>19525056.793183837</c:v>
                </c:pt>
                <c:pt idx="49">
                  <c:v>18045444.896148574</c:v>
                </c:pt>
                <c:pt idx="50">
                  <c:v>18756376.374463551</c:v>
                </c:pt>
                <c:pt idx="51">
                  <c:v>17046067.786254279</c:v>
                </c:pt>
                <c:pt idx="52">
                  <c:v>17955562.661702037</c:v>
                </c:pt>
                <c:pt idx="53">
                  <c:v>19071589.400958806</c:v>
                </c:pt>
                <c:pt idx="54">
                  <c:v>21141765.464159083</c:v>
                </c:pt>
                <c:pt idx="55">
                  <c:v>20150089.334241759</c:v>
                </c:pt>
                <c:pt idx="56">
                  <c:v>18046932.902905017</c:v>
                </c:pt>
                <c:pt idx="57">
                  <c:v>17293955.806371044</c:v>
                </c:pt>
                <c:pt idx="58">
                  <c:v>17470403.477994774</c:v>
                </c:pt>
                <c:pt idx="59">
                  <c:v>19599036.554264095</c:v>
                </c:pt>
                <c:pt idx="60">
                  <c:v>20346714.171910014</c:v>
                </c:pt>
                <c:pt idx="61">
                  <c:v>18416770.925135136</c:v>
                </c:pt>
                <c:pt idx="62">
                  <c:v>19006874.480928715</c:v>
                </c:pt>
                <c:pt idx="63">
                  <c:v>16536181.854308106</c:v>
                </c:pt>
                <c:pt idx="64">
                  <c:v>17095988.580002286</c:v>
                </c:pt>
                <c:pt idx="65">
                  <c:v>19025273.064552262</c:v>
                </c:pt>
                <c:pt idx="66">
                  <c:v>19279484.366101939</c:v>
                </c:pt>
                <c:pt idx="67">
                  <c:v>19702293.288022559</c:v>
                </c:pt>
                <c:pt idx="68">
                  <c:v>17572510.597039394</c:v>
                </c:pt>
                <c:pt idx="69">
                  <c:v>16806450.720427312</c:v>
                </c:pt>
                <c:pt idx="70">
                  <c:v>17417708.862986177</c:v>
                </c:pt>
                <c:pt idx="71">
                  <c:v>19034486.410905406</c:v>
                </c:pt>
                <c:pt idx="72">
                  <c:v>19952754.343074307</c:v>
                </c:pt>
                <c:pt idx="73">
                  <c:v>18750278.216111802</c:v>
                </c:pt>
                <c:pt idx="74">
                  <c:v>18611413.221710965</c:v>
                </c:pt>
                <c:pt idx="75">
                  <c:v>16605249.827020431</c:v>
                </c:pt>
                <c:pt idx="76">
                  <c:v>17768600.879865319</c:v>
                </c:pt>
                <c:pt idx="77">
                  <c:v>18525220.537210122</c:v>
                </c:pt>
                <c:pt idx="78">
                  <c:v>20385487.867980558</c:v>
                </c:pt>
                <c:pt idx="79">
                  <c:v>19890183.725572005</c:v>
                </c:pt>
                <c:pt idx="80">
                  <c:v>18526513.103198338</c:v>
                </c:pt>
                <c:pt idx="81">
                  <c:v>16311448.750318196</c:v>
                </c:pt>
                <c:pt idx="82">
                  <c:v>16355235.620566858</c:v>
                </c:pt>
                <c:pt idx="83">
                  <c:v>18033253.032597769</c:v>
                </c:pt>
                <c:pt idx="84">
                  <c:v>19072264.302506912</c:v>
                </c:pt>
                <c:pt idx="85">
                  <c:v>17757026.29919542</c:v>
                </c:pt>
                <c:pt idx="86">
                  <c:v>17698560.262551233</c:v>
                </c:pt>
                <c:pt idx="87">
                  <c:v>16729853.254597787</c:v>
                </c:pt>
                <c:pt idx="88">
                  <c:v>17464234.989208005</c:v>
                </c:pt>
                <c:pt idx="89">
                  <c:v>19274565.928543843</c:v>
                </c:pt>
                <c:pt idx="90">
                  <c:v>21777754.022116013</c:v>
                </c:pt>
                <c:pt idx="91">
                  <c:v>21913735.205108058</c:v>
                </c:pt>
                <c:pt idx="92">
                  <c:v>18306146.456406679</c:v>
                </c:pt>
                <c:pt idx="93">
                  <c:v>17003165.73347351</c:v>
                </c:pt>
                <c:pt idx="94">
                  <c:v>16512429.326176094</c:v>
                </c:pt>
                <c:pt idx="95">
                  <c:v>18913186.440040532</c:v>
                </c:pt>
                <c:pt idx="96">
                  <c:v>18854270.255437419</c:v>
                </c:pt>
                <c:pt idx="97">
                  <c:v>16732475.814334195</c:v>
                </c:pt>
                <c:pt idx="98">
                  <c:v>17982449.002803069</c:v>
                </c:pt>
                <c:pt idx="99">
                  <c:v>15908468.780575957</c:v>
                </c:pt>
                <c:pt idx="100">
                  <c:v>16641330.308009144</c:v>
                </c:pt>
                <c:pt idx="101">
                  <c:v>18800811.269453228</c:v>
                </c:pt>
                <c:pt idx="102">
                  <c:v>20447416.950408716</c:v>
                </c:pt>
                <c:pt idx="103">
                  <c:v>19186601.417816639</c:v>
                </c:pt>
                <c:pt idx="104">
                  <c:v>17806906.531847309</c:v>
                </c:pt>
                <c:pt idx="105">
                  <c:v>16540228.794394905</c:v>
                </c:pt>
                <c:pt idx="106">
                  <c:v>16612409.578380654</c:v>
                </c:pt>
                <c:pt idx="107">
                  <c:v>18985434.908292912</c:v>
                </c:pt>
                <c:pt idx="108">
                  <c:v>19187382.750368685</c:v>
                </c:pt>
                <c:pt idx="109">
                  <c:v>16887877.853118852</c:v>
                </c:pt>
                <c:pt idx="110">
                  <c:v>17882293.325884182</c:v>
                </c:pt>
                <c:pt idx="111">
                  <c:v>16255532.903052535</c:v>
                </c:pt>
                <c:pt idx="112">
                  <c:v>17121182.906196032</c:v>
                </c:pt>
                <c:pt idx="113">
                  <c:v>18559454.36829368</c:v>
                </c:pt>
                <c:pt idx="114">
                  <c:v>20893875.042682763</c:v>
                </c:pt>
                <c:pt idx="115">
                  <c:v>20870628.454795763</c:v>
                </c:pt>
                <c:pt idx="116">
                  <c:v>18190501.64228313</c:v>
                </c:pt>
                <c:pt idx="117">
                  <c:v>16740473.68315001</c:v>
                </c:pt>
                <c:pt idx="118">
                  <c:v>16882921.57417392</c:v>
                </c:pt>
                <c:pt idx="119">
                  <c:v>18352694.642638274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0-4CDD-98D4-17E2269F1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Normalized Monthly'!$C$1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Normalized Monthly'!$C$2:$C$145</c:f>
              <c:numCache>
                <c:formatCode>General</c:formatCode>
                <c:ptCount val="144"/>
                <c:pt idx="0">
                  <c:v>24657854.515772</c:v>
                </c:pt>
                <c:pt idx="1">
                  <c:v>22260143.476391003</c:v>
                </c:pt>
                <c:pt idx="2">
                  <c:v>20653970.599032998</c:v>
                </c:pt>
                <c:pt idx="3">
                  <c:v>19934511.746649001</c:v>
                </c:pt>
                <c:pt idx="4">
                  <c:v>20696037.706291001</c:v>
                </c:pt>
                <c:pt idx="5">
                  <c:v>23177348.254234999</c:v>
                </c:pt>
                <c:pt idx="6">
                  <c:v>24105091.778898001</c:v>
                </c:pt>
                <c:pt idx="7">
                  <c:v>25408029.314557001</c:v>
                </c:pt>
                <c:pt idx="8">
                  <c:v>24750387.851640001</c:v>
                </c:pt>
                <c:pt idx="9">
                  <c:v>22390724.243762001</c:v>
                </c:pt>
                <c:pt idx="10">
                  <c:v>21830185.762596998</c:v>
                </c:pt>
                <c:pt idx="11">
                  <c:v>22001519.052356999</c:v>
                </c:pt>
                <c:pt idx="12">
                  <c:v>23267481.492624</c:v>
                </c:pt>
                <c:pt idx="13">
                  <c:v>21795460.432082001</c:v>
                </c:pt>
                <c:pt idx="14">
                  <c:v>23702308.642981</c:v>
                </c:pt>
                <c:pt idx="15">
                  <c:v>22434537.258079</c:v>
                </c:pt>
                <c:pt idx="16">
                  <c:v>24754424.438850001</c:v>
                </c:pt>
                <c:pt idx="17">
                  <c:v>27908850.407844998</c:v>
                </c:pt>
                <c:pt idx="18">
                  <c:v>28114606.937438</c:v>
                </c:pt>
                <c:pt idx="19">
                  <c:v>28003793.798920002</c:v>
                </c:pt>
                <c:pt idx="20">
                  <c:v>25632165.922669999</c:v>
                </c:pt>
                <c:pt idx="21">
                  <c:v>22852757.804852001</c:v>
                </c:pt>
                <c:pt idx="22">
                  <c:v>23723679.543327</c:v>
                </c:pt>
                <c:pt idx="23">
                  <c:v>22899884.576402999</c:v>
                </c:pt>
                <c:pt idx="24">
                  <c:v>25034209.612390783</c:v>
                </c:pt>
                <c:pt idx="25">
                  <c:v>23164195.346903782</c:v>
                </c:pt>
                <c:pt idx="26">
                  <c:v>26459090.230250776</c:v>
                </c:pt>
                <c:pt idx="27">
                  <c:v>25022567.66299478</c:v>
                </c:pt>
                <c:pt idx="28">
                  <c:v>26704085.36537778</c:v>
                </c:pt>
                <c:pt idx="29">
                  <c:v>28111785.629975785</c:v>
                </c:pt>
                <c:pt idx="30">
                  <c:v>30190116.641824778</c:v>
                </c:pt>
                <c:pt idx="31">
                  <c:v>30861622.659266785</c:v>
                </c:pt>
                <c:pt idx="32">
                  <c:v>28060858.582085781</c:v>
                </c:pt>
                <c:pt idx="33">
                  <c:v>27577133.736433782</c:v>
                </c:pt>
                <c:pt idx="34">
                  <c:v>25509610.906105783</c:v>
                </c:pt>
                <c:pt idx="35">
                  <c:v>24520015.174318783</c:v>
                </c:pt>
                <c:pt idx="36">
                  <c:v>24619746.910415377</c:v>
                </c:pt>
                <c:pt idx="37">
                  <c:v>23358346.485932376</c:v>
                </c:pt>
                <c:pt idx="38">
                  <c:v>25697582.403648376</c:v>
                </c:pt>
                <c:pt idx="39">
                  <c:v>22724090.569431376</c:v>
                </c:pt>
                <c:pt idx="40">
                  <c:v>26147718.708103377</c:v>
                </c:pt>
                <c:pt idx="41">
                  <c:v>27110911.66941338</c:v>
                </c:pt>
                <c:pt idx="42">
                  <c:v>28651532.946666375</c:v>
                </c:pt>
                <c:pt idx="43">
                  <c:v>29135996.964846376</c:v>
                </c:pt>
                <c:pt idx="44">
                  <c:v>26827518.381083377</c:v>
                </c:pt>
                <c:pt idx="45">
                  <c:v>26040528.23985038</c:v>
                </c:pt>
                <c:pt idx="46">
                  <c:v>24522347.921087377</c:v>
                </c:pt>
                <c:pt idx="47">
                  <c:v>22515876.246065378</c:v>
                </c:pt>
                <c:pt idx="48">
                  <c:v>23925452.935251616</c:v>
                </c:pt>
                <c:pt idx="49">
                  <c:v>22074898.569297619</c:v>
                </c:pt>
                <c:pt idx="50">
                  <c:v>25957172.465708617</c:v>
                </c:pt>
                <c:pt idx="51">
                  <c:v>25334732.869080614</c:v>
                </c:pt>
                <c:pt idx="52">
                  <c:v>26406281.115671616</c:v>
                </c:pt>
                <c:pt idx="53">
                  <c:v>26304525.374992616</c:v>
                </c:pt>
                <c:pt idx="54">
                  <c:v>25876608.308857616</c:v>
                </c:pt>
                <c:pt idx="55">
                  <c:v>27134287.862933617</c:v>
                </c:pt>
                <c:pt idx="56">
                  <c:v>24944209.616773617</c:v>
                </c:pt>
                <c:pt idx="57">
                  <c:v>25745628.725316614</c:v>
                </c:pt>
                <c:pt idx="58">
                  <c:v>24932264.781123616</c:v>
                </c:pt>
                <c:pt idx="59">
                  <c:v>22639929.518798616</c:v>
                </c:pt>
                <c:pt idx="60">
                  <c:v>26670683.232928887</c:v>
                </c:pt>
                <c:pt idx="61">
                  <c:v>23471289.154199887</c:v>
                </c:pt>
                <c:pt idx="62">
                  <c:v>25265167.314199887</c:v>
                </c:pt>
                <c:pt idx="63">
                  <c:v>22877973.494199887</c:v>
                </c:pt>
                <c:pt idx="64">
                  <c:v>28623709.664199885</c:v>
                </c:pt>
                <c:pt idx="65">
                  <c:v>30426752.654199883</c:v>
                </c:pt>
                <c:pt idx="66">
                  <c:v>28757284.464199886</c:v>
                </c:pt>
                <c:pt idx="67">
                  <c:v>29410529.954199888</c:v>
                </c:pt>
                <c:pt idx="68">
                  <c:v>23959161.474199884</c:v>
                </c:pt>
                <c:pt idx="69">
                  <c:v>25930142.964199886</c:v>
                </c:pt>
                <c:pt idx="70">
                  <c:v>24626116.624199886</c:v>
                </c:pt>
                <c:pt idx="71">
                  <c:v>22876540.304199886</c:v>
                </c:pt>
                <c:pt idx="72">
                  <c:v>23987700.533313058</c:v>
                </c:pt>
                <c:pt idx="73">
                  <c:v>23738766.70331306</c:v>
                </c:pt>
                <c:pt idx="74">
                  <c:v>25313211.343313061</c:v>
                </c:pt>
                <c:pt idx="75">
                  <c:v>24471161.113313057</c:v>
                </c:pt>
                <c:pt idx="76">
                  <c:v>27691400.053313062</c:v>
                </c:pt>
                <c:pt idx="77">
                  <c:v>28284245.943313062</c:v>
                </c:pt>
                <c:pt idx="78">
                  <c:v>28027417.573313057</c:v>
                </c:pt>
                <c:pt idx="79">
                  <c:v>29750781.553313062</c:v>
                </c:pt>
                <c:pt idx="80">
                  <c:v>26713798.003313057</c:v>
                </c:pt>
                <c:pt idx="81">
                  <c:v>25441621.893313058</c:v>
                </c:pt>
                <c:pt idx="82">
                  <c:v>24220410.913313061</c:v>
                </c:pt>
                <c:pt idx="83">
                  <c:v>23661661.963313058</c:v>
                </c:pt>
                <c:pt idx="84">
                  <c:v>25090154.590573408</c:v>
                </c:pt>
                <c:pt idx="85">
                  <c:v>24396990.330573406</c:v>
                </c:pt>
                <c:pt idx="86">
                  <c:v>27149345.800573409</c:v>
                </c:pt>
                <c:pt idx="87">
                  <c:v>27647505.130573407</c:v>
                </c:pt>
                <c:pt idx="88">
                  <c:v>28570914.350573409</c:v>
                </c:pt>
                <c:pt idx="89">
                  <c:v>29314407.180573408</c:v>
                </c:pt>
                <c:pt idx="90">
                  <c:v>30213662.17057341</c:v>
                </c:pt>
                <c:pt idx="91">
                  <c:v>31803691.650573406</c:v>
                </c:pt>
                <c:pt idx="92">
                  <c:v>28562406.850573409</c:v>
                </c:pt>
                <c:pt idx="93">
                  <c:v>27098824.600573409</c:v>
                </c:pt>
                <c:pt idx="94">
                  <c:v>25594458.180573408</c:v>
                </c:pt>
                <c:pt idx="95">
                  <c:v>23271647.370573409</c:v>
                </c:pt>
                <c:pt idx="96">
                  <c:v>24541033.237536147</c:v>
                </c:pt>
                <c:pt idx="97">
                  <c:v>22499336.237536147</c:v>
                </c:pt>
                <c:pt idx="98">
                  <c:v>24743226.817536149</c:v>
                </c:pt>
                <c:pt idx="99">
                  <c:v>23949395.767536148</c:v>
                </c:pt>
                <c:pt idx="100">
                  <c:v>25751167.427536149</c:v>
                </c:pt>
                <c:pt idx="101">
                  <c:v>28230853.497536149</c:v>
                </c:pt>
                <c:pt idx="102">
                  <c:v>29806897.697536148</c:v>
                </c:pt>
                <c:pt idx="103">
                  <c:v>28084142.757536147</c:v>
                </c:pt>
                <c:pt idx="104">
                  <c:v>27096573.647536147</c:v>
                </c:pt>
                <c:pt idx="105">
                  <c:v>26885972.587536149</c:v>
                </c:pt>
                <c:pt idx="106">
                  <c:v>24700471.057536148</c:v>
                </c:pt>
                <c:pt idx="107">
                  <c:v>23760465.877536148</c:v>
                </c:pt>
                <c:pt idx="108">
                  <c:v>25945759.032864273</c:v>
                </c:pt>
                <c:pt idx="109">
                  <c:v>23723363.452864274</c:v>
                </c:pt>
                <c:pt idx="110">
                  <c:v>27257041.482864272</c:v>
                </c:pt>
                <c:pt idx="111">
                  <c:v>25500957.362864275</c:v>
                </c:pt>
                <c:pt idx="112">
                  <c:v>29537487.852864273</c:v>
                </c:pt>
                <c:pt idx="113">
                  <c:v>30656694.902864274</c:v>
                </c:pt>
                <c:pt idx="114">
                  <c:v>30904161.792864271</c:v>
                </c:pt>
                <c:pt idx="115">
                  <c:v>30192199.592864275</c:v>
                </c:pt>
                <c:pt idx="116">
                  <c:v>28299525.392864272</c:v>
                </c:pt>
                <c:pt idx="117">
                  <c:v>25590231.122864276</c:v>
                </c:pt>
                <c:pt idx="118">
                  <c:v>23444500.422864273</c:v>
                </c:pt>
                <c:pt idx="119">
                  <c:v>21912885.452864274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2-4175-9216-65F2D0CA2DF3}"/>
            </c:ext>
          </c:extLst>
        </c:ser>
        <c:ser>
          <c:idx val="1"/>
          <c:order val="1"/>
          <c:tx>
            <c:strRef>
              <c:f>'Large Use Normalized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Normalized Monthly'!$R$2:$R$145</c:f>
              <c:numCache>
                <c:formatCode>General</c:formatCode>
                <c:ptCount val="144"/>
                <c:pt idx="0">
                  <c:v>24105491.288865041</c:v>
                </c:pt>
                <c:pt idx="1">
                  <c:v>21914592.647116195</c:v>
                </c:pt>
                <c:pt idx="2">
                  <c:v>23861632.514864165</c:v>
                </c:pt>
                <c:pt idx="3">
                  <c:v>23155795.483280085</c:v>
                </c:pt>
                <c:pt idx="4">
                  <c:v>24941272.969010904</c:v>
                </c:pt>
                <c:pt idx="5">
                  <c:v>26005123.040957682</c:v>
                </c:pt>
                <c:pt idx="6">
                  <c:v>26927952.834890019</c:v>
                </c:pt>
                <c:pt idx="7">
                  <c:v>27841944.195233528</c:v>
                </c:pt>
                <c:pt idx="8">
                  <c:v>24931797.759220459</c:v>
                </c:pt>
                <c:pt idx="9">
                  <c:v>24035731.857667953</c:v>
                </c:pt>
                <c:pt idx="10">
                  <c:v>23116768.643735833</c:v>
                </c:pt>
                <c:pt idx="11">
                  <c:v>21601458.997829866</c:v>
                </c:pt>
                <c:pt idx="12">
                  <c:v>23849290.93081655</c:v>
                </c:pt>
                <c:pt idx="13">
                  <c:v>21794552.318713289</c:v>
                </c:pt>
                <c:pt idx="14">
                  <c:v>23898330.558118768</c:v>
                </c:pt>
                <c:pt idx="15">
                  <c:v>23291269.568191934</c:v>
                </c:pt>
                <c:pt idx="16">
                  <c:v>25237944.066349514</c:v>
                </c:pt>
                <c:pt idx="17">
                  <c:v>26511350.254451081</c:v>
                </c:pt>
                <c:pt idx="18">
                  <c:v>27513749.637496199</c:v>
                </c:pt>
                <c:pt idx="19">
                  <c:v>28417794.799200609</c:v>
                </c:pt>
                <c:pt idx="20">
                  <c:v>25394124.509755079</c:v>
                </c:pt>
                <c:pt idx="21">
                  <c:v>24424662.521693371</c:v>
                </c:pt>
                <c:pt idx="22">
                  <c:v>23465571.540837992</c:v>
                </c:pt>
                <c:pt idx="23">
                  <c:v>22012339.893334672</c:v>
                </c:pt>
                <c:pt idx="24">
                  <c:v>24327394.410226986</c:v>
                </c:pt>
                <c:pt idx="25">
                  <c:v>22303866.283508476</c:v>
                </c:pt>
                <c:pt idx="26">
                  <c:v>24416561.804452457</c:v>
                </c:pt>
                <c:pt idx="27">
                  <c:v>23807442.980324432</c:v>
                </c:pt>
                <c:pt idx="28">
                  <c:v>25714675.656292483</c:v>
                </c:pt>
                <c:pt idx="29">
                  <c:v>26927032.763092004</c:v>
                </c:pt>
                <c:pt idx="30">
                  <c:v>27873184.677971188</c:v>
                </c:pt>
                <c:pt idx="31">
                  <c:v>28790262.789616484</c:v>
                </c:pt>
                <c:pt idx="32">
                  <c:v>25800203.792123765</c:v>
                </c:pt>
                <c:pt idx="33">
                  <c:v>24824225.329091616</c:v>
                </c:pt>
                <c:pt idx="34">
                  <c:v>23832894.945750888</c:v>
                </c:pt>
                <c:pt idx="35">
                  <c:v>22318271.244578648</c:v>
                </c:pt>
                <c:pt idx="36">
                  <c:v>24558214.813127432</c:v>
                </c:pt>
                <c:pt idx="37">
                  <c:v>23169068.295058496</c:v>
                </c:pt>
                <c:pt idx="38">
                  <c:v>24572271.259009369</c:v>
                </c:pt>
                <c:pt idx="39">
                  <c:v>23979958.08085775</c:v>
                </c:pt>
                <c:pt idx="40">
                  <c:v>25866612.414813876</c:v>
                </c:pt>
                <c:pt idx="41">
                  <c:v>27034383.11392089</c:v>
                </c:pt>
                <c:pt idx="42">
                  <c:v>27971960.719628438</c:v>
                </c:pt>
                <c:pt idx="43">
                  <c:v>28878749.66026777</c:v>
                </c:pt>
                <c:pt idx="44">
                  <c:v>25913384.673189364</c:v>
                </c:pt>
                <c:pt idx="45">
                  <c:v>24967930.750808235</c:v>
                </c:pt>
                <c:pt idx="46">
                  <c:v>24037306.476402692</c:v>
                </c:pt>
                <c:pt idx="47">
                  <c:v>22568984.044757292</c:v>
                </c:pt>
                <c:pt idx="48">
                  <c:v>24850427.269696791</c:v>
                </c:pt>
                <c:pt idx="49">
                  <c:v>22838903.17581857</c:v>
                </c:pt>
                <c:pt idx="50">
                  <c:v>24939594.663922261</c:v>
                </c:pt>
                <c:pt idx="51">
                  <c:v>24333562.591096025</c:v>
                </c:pt>
                <c:pt idx="52">
                  <c:v>26247311.742034521</c:v>
                </c:pt>
                <c:pt idx="53">
                  <c:v>27452466.429129861</c:v>
                </c:pt>
                <c:pt idx="54">
                  <c:v>28423312.354423363</c:v>
                </c:pt>
                <c:pt idx="55">
                  <c:v>29326671.571394041</c:v>
                </c:pt>
                <c:pt idx="56">
                  <c:v>26379484.119759507</c:v>
                </c:pt>
                <c:pt idx="57">
                  <c:v>25449120.981520459</c:v>
                </c:pt>
                <c:pt idx="58">
                  <c:v>24488658.111197621</c:v>
                </c:pt>
                <c:pt idx="59">
                  <c:v>22945567.703575548</c:v>
                </c:pt>
                <c:pt idx="60">
                  <c:v>25157387.538041364</c:v>
                </c:pt>
                <c:pt idx="61">
                  <c:v>23094417.58913333</c:v>
                </c:pt>
                <c:pt idx="62">
                  <c:v>25197852.85617194</c:v>
                </c:pt>
                <c:pt idx="63">
                  <c:v>24610341.291156441</c:v>
                </c:pt>
                <c:pt idx="64">
                  <c:v>26485677.537006009</c:v>
                </c:pt>
                <c:pt idx="65">
                  <c:v>27624638.557296321</c:v>
                </c:pt>
                <c:pt idx="66">
                  <c:v>28554327.798565961</c:v>
                </c:pt>
                <c:pt idx="67">
                  <c:v>29450141.623465601</c:v>
                </c:pt>
                <c:pt idx="68">
                  <c:v>26520788.73490807</c:v>
                </c:pt>
                <c:pt idx="69">
                  <c:v>25624722.833355565</c:v>
                </c:pt>
                <c:pt idx="70">
                  <c:v>24672148.327470634</c:v>
                </c:pt>
                <c:pt idx="71">
                  <c:v>23126314.140913639</c:v>
                </c:pt>
                <c:pt idx="72">
                  <c:v>25285659.203249041</c:v>
                </c:pt>
                <c:pt idx="73">
                  <c:v>23215486.83463683</c:v>
                </c:pt>
                <c:pt idx="74">
                  <c:v>25320293.991142906</c:v>
                </c:pt>
                <c:pt idx="75">
                  <c:v>24705344.636778168</c:v>
                </c:pt>
                <c:pt idx="76">
                  <c:v>26608804.6167107</c:v>
                </c:pt>
                <c:pt idx="77">
                  <c:v>27816360.110374101</c:v>
                </c:pt>
                <c:pt idx="78">
                  <c:v>28817730.576318625</c:v>
                </c:pt>
                <c:pt idx="79">
                  <c:v>29722118.710389901</c:v>
                </c:pt>
                <c:pt idx="80">
                  <c:v>26714911.094553914</c:v>
                </c:pt>
                <c:pt idx="81">
                  <c:v>25738932.631521758</c:v>
                </c:pt>
                <c:pt idx="82">
                  <c:v>24743486.579778645</c:v>
                </c:pt>
                <c:pt idx="83">
                  <c:v>23262474.17055922</c:v>
                </c:pt>
                <c:pt idx="84">
                  <c:v>25528826.611356642</c:v>
                </c:pt>
                <c:pt idx="85">
                  <c:v>24190440.003583796</c:v>
                </c:pt>
                <c:pt idx="86">
                  <c:v>25607018.889842417</c:v>
                </c:pt>
                <c:pt idx="87">
                  <c:v>24987953.867075298</c:v>
                </c:pt>
                <c:pt idx="88">
                  <c:v>26896901.404877678</c:v>
                </c:pt>
                <c:pt idx="89">
                  <c:v>28082163.694694825</c:v>
                </c:pt>
                <c:pt idx="90">
                  <c:v>29002249.709692236</c:v>
                </c:pt>
                <c:pt idx="91">
                  <c:v>29865481.159739658</c:v>
                </c:pt>
                <c:pt idx="92">
                  <c:v>26879537.830649327</c:v>
                </c:pt>
                <c:pt idx="93">
                  <c:v>25981414.094895627</c:v>
                </c:pt>
                <c:pt idx="94">
                  <c:v>25063479.798064109</c:v>
                </c:pt>
                <c:pt idx="95">
                  <c:v>23579037.66517603</c:v>
                </c:pt>
                <c:pt idx="96">
                  <c:v>25846419.023074046</c:v>
                </c:pt>
                <c:pt idx="97">
                  <c:v>23823233.868722402</c:v>
                </c:pt>
                <c:pt idx="98">
                  <c:v>25933871.555465188</c:v>
                </c:pt>
                <c:pt idx="99">
                  <c:v>25308633.030094489</c:v>
                </c:pt>
                <c:pt idx="100">
                  <c:v>27190828.723281361</c:v>
                </c:pt>
                <c:pt idx="101">
                  <c:v>28368202.648660608</c:v>
                </c:pt>
                <c:pt idx="102">
                  <c:v>29355511.247563645</c:v>
                </c:pt>
                <c:pt idx="103">
                  <c:v>30303799.8445937</c:v>
                </c:pt>
                <c:pt idx="104">
                  <c:v>27427607.672900308</c:v>
                </c:pt>
                <c:pt idx="105">
                  <c:v>26540116.080519438</c:v>
                </c:pt>
                <c:pt idx="106">
                  <c:v>25648590.655936558</c:v>
                </c:pt>
                <c:pt idx="107">
                  <c:v>24169979.053285189</c:v>
                </c:pt>
                <c:pt idx="108">
                  <c:v>26249184.975756682</c:v>
                </c:pt>
                <c:pt idx="109">
                  <c:v>24020006.939663649</c:v>
                </c:pt>
                <c:pt idx="110">
                  <c:v>25952423.092161972</c:v>
                </c:pt>
                <c:pt idx="111">
                  <c:v>25409080.504556771</c:v>
                </c:pt>
                <c:pt idx="112">
                  <c:v>27508188.565747749</c:v>
                </c:pt>
                <c:pt idx="113">
                  <c:v>28988823.446799092</c:v>
                </c:pt>
                <c:pt idx="114">
                  <c:v>30207400.755621836</c:v>
                </c:pt>
                <c:pt idx="115">
                  <c:v>31096345.148406249</c:v>
                </c:pt>
                <c:pt idx="116">
                  <c:v>27977101.962587859</c:v>
                </c:pt>
                <c:pt idx="117">
                  <c:v>26882914.426969722</c:v>
                </c:pt>
                <c:pt idx="118">
                  <c:v>25925525.185097698</c:v>
                </c:pt>
                <c:pt idx="119">
                  <c:v>24475998.622419417</c:v>
                </c:pt>
                <c:pt idx="120">
                  <c:v>26848926.582278065</c:v>
                </c:pt>
                <c:pt idx="121">
                  <c:v>24615835.333795492</c:v>
                </c:pt>
                <c:pt idx="122">
                  <c:v>26544614.205547132</c:v>
                </c:pt>
                <c:pt idx="123">
                  <c:v>26003453.986389946</c:v>
                </c:pt>
                <c:pt idx="124">
                  <c:v>28108105.765132766</c:v>
                </c:pt>
                <c:pt idx="125">
                  <c:v>29596642.325047597</c:v>
                </c:pt>
                <c:pt idx="126">
                  <c:v>30822184.817461122</c:v>
                </c:pt>
                <c:pt idx="127">
                  <c:v>31711421.86501826</c:v>
                </c:pt>
                <c:pt idx="128">
                  <c:v>28588767.160706423</c:v>
                </c:pt>
                <c:pt idx="129">
                  <c:v>27491168.106594846</c:v>
                </c:pt>
                <c:pt idx="130">
                  <c:v>26534163.496709827</c:v>
                </c:pt>
                <c:pt idx="131">
                  <c:v>25086618.624921117</c:v>
                </c:pt>
                <c:pt idx="132">
                  <c:v>27110791.464978609</c:v>
                </c:pt>
                <c:pt idx="133">
                  <c:v>25565591.752209838</c:v>
                </c:pt>
                <c:pt idx="134">
                  <c:v>26803182.320142962</c:v>
                </c:pt>
                <c:pt idx="135">
                  <c:v>26262974.987447936</c:v>
                </c:pt>
                <c:pt idx="136">
                  <c:v>28370047.316858999</c:v>
                </c:pt>
                <c:pt idx="137">
                  <c:v>29862033.98292993</c:v>
                </c:pt>
                <c:pt idx="138">
                  <c:v>31090617.680029191</c:v>
                </c:pt>
                <c:pt idx="139">
                  <c:v>31979982.509295814</c:v>
                </c:pt>
                <c:pt idx="140">
                  <c:v>28855838.235341985</c:v>
                </c:pt>
                <c:pt idx="141">
                  <c:v>27756749.611588407</c:v>
                </c:pt>
                <c:pt idx="142">
                  <c:v>26799912.943378713</c:v>
                </c:pt>
                <c:pt idx="143">
                  <c:v>25353233.336308517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2-4175-9216-65F2D0CA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Norm Monthly (LC)'!$C$1</c:f>
              <c:strCache>
                <c:ptCount val="1"/>
                <c:pt idx="0">
                  <c:v> Large_Use_LC_kWh_NO_CDM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 Monthly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Norm Monthly (LC)'!$C$2:$C$145</c:f>
              <c:numCache>
                <c:formatCode>_(* #,##0.00_);_(* \(#,##0.00\);_(* "-"??_);_(@_)</c:formatCode>
                <c:ptCount val="144"/>
                <c:pt idx="0">
                  <c:v>22028250.725647919</c:v>
                </c:pt>
                <c:pt idx="1">
                  <c:v>19634474.347390488</c:v>
                </c:pt>
                <c:pt idx="2">
                  <c:v>19328255.735383421</c:v>
                </c:pt>
                <c:pt idx="3">
                  <c:v>18204586.06263255</c:v>
                </c:pt>
                <c:pt idx="4">
                  <c:v>18282543.475076191</c:v>
                </c:pt>
                <c:pt idx="5">
                  <c:v>21113808.408363659</c:v>
                </c:pt>
                <c:pt idx="6">
                  <c:v>22008982.677487984</c:v>
                </c:pt>
                <c:pt idx="7">
                  <c:v>22872095.056904018</c:v>
                </c:pt>
                <c:pt idx="8">
                  <c:v>20688385.851761155</c:v>
                </c:pt>
                <c:pt idx="9">
                  <c:v>18370827.816093475</c:v>
                </c:pt>
                <c:pt idx="10">
                  <c:v>17897159.701150067</c:v>
                </c:pt>
                <c:pt idx="11">
                  <c:v>18512763.173234116</c:v>
                </c:pt>
                <c:pt idx="12">
                  <c:v>19044313.514603201</c:v>
                </c:pt>
                <c:pt idx="13">
                  <c:v>17686133.268556133</c:v>
                </c:pt>
                <c:pt idx="14">
                  <c:v>19479538.882481217</c:v>
                </c:pt>
                <c:pt idx="15">
                  <c:v>18625659.098729182</c:v>
                </c:pt>
                <c:pt idx="16">
                  <c:v>20816001.059037603</c:v>
                </c:pt>
                <c:pt idx="17">
                  <c:v>23509898.345266234</c:v>
                </c:pt>
                <c:pt idx="18">
                  <c:v>24336162.481910329</c:v>
                </c:pt>
                <c:pt idx="19">
                  <c:v>23181072.6356427</c:v>
                </c:pt>
                <c:pt idx="20">
                  <c:v>21387323.124149039</c:v>
                </c:pt>
                <c:pt idx="21">
                  <c:v>18384718.318803035</c:v>
                </c:pt>
                <c:pt idx="22">
                  <c:v>19335451.797419466</c:v>
                </c:pt>
                <c:pt idx="23">
                  <c:v>18685961.138548218</c:v>
                </c:pt>
                <c:pt idx="24">
                  <c:v>20311443.914882537</c:v>
                </c:pt>
                <c:pt idx="25">
                  <c:v>18637137.92498688</c:v>
                </c:pt>
                <c:pt idx="26">
                  <c:v>21533862.722559217</c:v>
                </c:pt>
                <c:pt idx="27">
                  <c:v>20450919.389425918</c:v>
                </c:pt>
                <c:pt idx="28">
                  <c:v>21971453.581163168</c:v>
                </c:pt>
                <c:pt idx="29">
                  <c:v>22815807.153374083</c:v>
                </c:pt>
                <c:pt idx="30">
                  <c:v>25456437.547008239</c:v>
                </c:pt>
                <c:pt idx="31">
                  <c:v>24857683.720791303</c:v>
                </c:pt>
                <c:pt idx="32">
                  <c:v>22360661.77511223</c:v>
                </c:pt>
                <c:pt idx="33">
                  <c:v>21639744.647910222</c:v>
                </c:pt>
                <c:pt idx="34">
                  <c:v>19883497.74559721</c:v>
                </c:pt>
                <c:pt idx="35">
                  <c:v>18586040.900826391</c:v>
                </c:pt>
                <c:pt idx="36">
                  <c:v>19687814.33821645</c:v>
                </c:pt>
                <c:pt idx="37">
                  <c:v>18467697.406501543</c:v>
                </c:pt>
                <c:pt idx="38">
                  <c:v>20499238.476042025</c:v>
                </c:pt>
                <c:pt idx="39">
                  <c:v>19245043.973630149</c:v>
                </c:pt>
                <c:pt idx="40">
                  <c:v>22797281.19388999</c:v>
                </c:pt>
                <c:pt idx="41">
                  <c:v>23456120.90443496</c:v>
                </c:pt>
                <c:pt idx="42">
                  <c:v>25361430.625164669</c:v>
                </c:pt>
                <c:pt idx="43">
                  <c:v>24577913.731392249</c:v>
                </c:pt>
                <c:pt idx="44">
                  <c:v>22977997.316620789</c:v>
                </c:pt>
                <c:pt idx="45">
                  <c:v>21890662.71008677</c:v>
                </c:pt>
                <c:pt idx="46">
                  <c:v>20407767.89345184</c:v>
                </c:pt>
                <c:pt idx="47">
                  <c:v>19317288.89377021</c:v>
                </c:pt>
                <c:pt idx="48">
                  <c:v>20938144.430793405</c:v>
                </c:pt>
                <c:pt idx="49">
                  <c:v>19315820.07202718</c:v>
                </c:pt>
                <c:pt idx="50">
                  <c:v>23045320.972772148</c:v>
                </c:pt>
                <c:pt idx="51">
                  <c:v>22026086.518144023</c:v>
                </c:pt>
                <c:pt idx="52">
                  <c:v>22961717.117793832</c:v>
                </c:pt>
                <c:pt idx="53">
                  <c:v>22886135.390346128</c:v>
                </c:pt>
                <c:pt idx="54">
                  <c:v>23748691.39553849</c:v>
                </c:pt>
                <c:pt idx="55">
                  <c:v>24186748.846067321</c:v>
                </c:pt>
                <c:pt idx="56">
                  <c:v>21216640.257023308</c:v>
                </c:pt>
                <c:pt idx="57">
                  <c:v>21329674.185019702</c:v>
                </c:pt>
                <c:pt idx="58">
                  <c:v>20487706.051090527</c:v>
                </c:pt>
                <c:pt idx="59">
                  <c:v>18775517.766363285</c:v>
                </c:pt>
                <c:pt idx="60">
                  <c:v>22344717.219473366</c:v>
                </c:pt>
                <c:pt idx="61">
                  <c:v>19245805.380664725</c:v>
                </c:pt>
                <c:pt idx="62">
                  <c:v>21372491.534691606</c:v>
                </c:pt>
                <c:pt idx="63">
                  <c:v>19337845.24082401</c:v>
                </c:pt>
                <c:pt idx="64">
                  <c:v>23983038.364532318</c:v>
                </c:pt>
                <c:pt idx="65">
                  <c:v>25841742.160903648</c:v>
                </c:pt>
                <c:pt idx="66">
                  <c:v>24522462.771301858</c:v>
                </c:pt>
                <c:pt idx="67">
                  <c:v>24555956.255328741</c:v>
                </c:pt>
                <c:pt idx="68">
                  <c:v>19514912.902257554</c:v>
                </c:pt>
                <c:pt idx="69">
                  <c:v>21300946.547558703</c:v>
                </c:pt>
                <c:pt idx="70">
                  <c:v>20077193.487797629</c:v>
                </c:pt>
                <c:pt idx="71">
                  <c:v>18843492.369390458</c:v>
                </c:pt>
                <c:pt idx="72">
                  <c:v>19855535.451200701</c:v>
                </c:pt>
                <c:pt idx="73">
                  <c:v>19560967.066695973</c:v>
                </c:pt>
                <c:pt idx="74">
                  <c:v>20639792.5031121</c:v>
                </c:pt>
                <c:pt idx="75">
                  <c:v>19904757.315421704</c:v>
                </c:pt>
                <c:pt idx="76">
                  <c:v>22782928.092156403</c:v>
                </c:pt>
                <c:pt idx="77">
                  <c:v>23267604.066775616</c:v>
                </c:pt>
                <c:pt idx="78">
                  <c:v>23082254.412554607</c:v>
                </c:pt>
                <c:pt idx="79">
                  <c:v>24594093.912713893</c:v>
                </c:pt>
                <c:pt idx="80">
                  <c:v>21887907.167094178</c:v>
                </c:pt>
                <c:pt idx="81">
                  <c:v>20162332.659881637</c:v>
                </c:pt>
                <c:pt idx="82">
                  <c:v>19622172.550961778</c:v>
                </c:pt>
                <c:pt idx="83">
                  <c:v>19510069.365023497</c:v>
                </c:pt>
                <c:pt idx="84">
                  <c:v>20030911.941684473</c:v>
                </c:pt>
                <c:pt idx="85">
                  <c:v>19426538.084870137</c:v>
                </c:pt>
                <c:pt idx="86">
                  <c:v>21950234.988419168</c:v>
                </c:pt>
                <c:pt idx="87">
                  <c:v>22516546.642958738</c:v>
                </c:pt>
                <c:pt idx="88">
                  <c:v>23491879.387100104</c:v>
                </c:pt>
                <c:pt idx="89">
                  <c:v>25154852.535666555</c:v>
                </c:pt>
                <c:pt idx="90">
                  <c:v>26434818.565985125</c:v>
                </c:pt>
                <c:pt idx="91">
                  <c:v>28083591.400888056</c:v>
                </c:pt>
                <c:pt idx="92">
                  <c:v>23664869.487896521</c:v>
                </c:pt>
                <c:pt idx="93">
                  <c:v>21818348.034312647</c:v>
                </c:pt>
                <c:pt idx="94">
                  <c:v>20096745.128498808</c:v>
                </c:pt>
                <c:pt idx="95">
                  <c:v>18899420.082560532</c:v>
                </c:pt>
                <c:pt idx="96">
                  <c:v>20315496.805656914</c:v>
                </c:pt>
                <c:pt idx="97">
                  <c:v>18666295.813621074</c:v>
                </c:pt>
                <c:pt idx="98">
                  <c:v>20501069.907807238</c:v>
                </c:pt>
                <c:pt idx="99">
                  <c:v>19823217.414303008</c:v>
                </c:pt>
                <c:pt idx="100">
                  <c:v>21332197.715417989</c:v>
                </c:pt>
                <c:pt idx="101">
                  <c:v>23799303.944701213</c:v>
                </c:pt>
                <c:pt idx="102">
                  <c:v>25324504.630515054</c:v>
                </c:pt>
                <c:pt idx="103">
                  <c:v>23736935.932426449</c:v>
                </c:pt>
                <c:pt idx="104">
                  <c:v>22804130.018046163</c:v>
                </c:pt>
                <c:pt idx="105">
                  <c:v>22410894.722107884</c:v>
                </c:pt>
                <c:pt idx="106">
                  <c:v>20145414.625656914</c:v>
                </c:pt>
                <c:pt idx="107">
                  <c:v>19707437.608922221</c:v>
                </c:pt>
                <c:pt idx="108">
                  <c:v>21406178.403620746</c:v>
                </c:pt>
                <c:pt idx="109">
                  <c:v>19541869.543381821</c:v>
                </c:pt>
                <c:pt idx="110">
                  <c:v>22152171.57537286</c:v>
                </c:pt>
                <c:pt idx="111">
                  <c:v>20451823.134815373</c:v>
                </c:pt>
                <c:pt idx="112">
                  <c:v>24335320.01605479</c:v>
                </c:pt>
                <c:pt idx="113">
                  <c:v>25658165.154656086</c:v>
                </c:pt>
                <c:pt idx="114">
                  <c:v>25560862.437886547</c:v>
                </c:pt>
                <c:pt idx="115">
                  <c:v>24886166.479797948</c:v>
                </c:pt>
                <c:pt idx="116">
                  <c:v>23757578.362426121</c:v>
                </c:pt>
                <c:pt idx="117">
                  <c:v>20871681.533939313</c:v>
                </c:pt>
                <c:pt idx="118">
                  <c:v>18668697.394417163</c:v>
                </c:pt>
                <c:pt idx="119">
                  <c:v>19588246.58569143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C-4386-A71C-6D623AA6615C}"/>
            </c:ext>
          </c:extLst>
        </c:ser>
        <c:ser>
          <c:idx val="1"/>
          <c:order val="1"/>
          <c:tx>
            <c:strRef>
              <c:f>'Large Use Norm Monthly (LC)'!$R$1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 Monthly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Norm Monthly (LC)'!$R$2:$R$145</c:f>
              <c:numCache>
                <c:formatCode>General</c:formatCode>
                <c:ptCount val="144"/>
                <c:pt idx="0">
                  <c:v>20140530.067694619</c:v>
                </c:pt>
                <c:pt idx="1">
                  <c:v>18312722.995931976</c:v>
                </c:pt>
                <c:pt idx="2">
                  <c:v>19997328.323602792</c:v>
                </c:pt>
                <c:pt idx="3">
                  <c:v>19423742.481958196</c:v>
                </c:pt>
                <c:pt idx="4">
                  <c:v>21106684.116958506</c:v>
                </c:pt>
                <c:pt idx="5">
                  <c:v>22262856.829402439</c:v>
                </c:pt>
                <c:pt idx="6">
                  <c:v>23651874.597544219</c:v>
                </c:pt>
                <c:pt idx="7">
                  <c:v>23954235.564774528</c:v>
                </c:pt>
                <c:pt idx="8">
                  <c:v>21182933.185967769</c:v>
                </c:pt>
                <c:pt idx="9">
                  <c:v>20202779.503302045</c:v>
                </c:pt>
                <c:pt idx="10">
                  <c:v>19375058.428781141</c:v>
                </c:pt>
                <c:pt idx="11">
                  <c:v>18190994.350062687</c:v>
                </c:pt>
                <c:pt idx="12">
                  <c:v>19985190.240361381</c:v>
                </c:pt>
                <c:pt idx="13">
                  <c:v>18239939.944303282</c:v>
                </c:pt>
                <c:pt idx="14">
                  <c:v>20019579.142243564</c:v>
                </c:pt>
                <c:pt idx="15">
                  <c:v>19505883.354510579</c:v>
                </c:pt>
                <c:pt idx="16">
                  <c:v>21286562.230269417</c:v>
                </c:pt>
                <c:pt idx="17">
                  <c:v>22569793.355699442</c:v>
                </c:pt>
                <c:pt idx="18">
                  <c:v>24007055.88949224</c:v>
                </c:pt>
                <c:pt idx="19">
                  <c:v>24303386.261016168</c:v>
                </c:pt>
                <c:pt idx="20">
                  <c:v>21463251.910526276</c:v>
                </c:pt>
                <c:pt idx="21">
                  <c:v>20438596.590579011</c:v>
                </c:pt>
                <c:pt idx="22">
                  <c:v>19586545.18165651</c:v>
                </c:pt>
                <c:pt idx="23">
                  <c:v>18440120.338208895</c:v>
                </c:pt>
                <c:pt idx="24">
                  <c:v>20275074.737419657</c:v>
                </c:pt>
                <c:pt idx="25">
                  <c:v>18548748.034785017</c:v>
                </c:pt>
                <c:pt idx="26">
                  <c:v>20333793.973703433</c:v>
                </c:pt>
                <c:pt idx="27">
                  <c:v>19818850.476513956</c:v>
                </c:pt>
                <c:pt idx="28">
                  <c:v>21575614.921023369</c:v>
                </c:pt>
                <c:pt idx="29">
                  <c:v>22821830.665910799</c:v>
                </c:pt>
                <c:pt idx="30">
                  <c:v>24224989.141226154</c:v>
                </c:pt>
                <c:pt idx="31">
                  <c:v>24529221.672641195</c:v>
                </c:pt>
                <c:pt idx="32">
                  <c:v>21709466.576607339</c:v>
                </c:pt>
                <c:pt idx="33">
                  <c:v>20680860.176714517</c:v>
                </c:pt>
                <c:pt idx="34">
                  <c:v>19809261.319640309</c:v>
                </c:pt>
                <c:pt idx="35">
                  <c:v>18625613.144074019</c:v>
                </c:pt>
                <c:pt idx="36">
                  <c:v>20415026.148122832</c:v>
                </c:pt>
                <c:pt idx="37">
                  <c:v>19239811.345298149</c:v>
                </c:pt>
                <c:pt idx="38">
                  <c:v>20428203.989244651</c:v>
                </c:pt>
                <c:pt idx="39">
                  <c:v>19923450.119283192</c:v>
                </c:pt>
                <c:pt idx="40">
                  <c:v>21667737.469227687</c:v>
                </c:pt>
                <c:pt idx="41">
                  <c:v>22886919.50922446</c:v>
                </c:pt>
                <c:pt idx="42">
                  <c:v>24284879.195137762</c:v>
                </c:pt>
                <c:pt idx="43">
                  <c:v>24582873.179270349</c:v>
                </c:pt>
                <c:pt idx="44">
                  <c:v>21778090.596714392</c:v>
                </c:pt>
                <c:pt idx="45">
                  <c:v>20767991.887092866</c:v>
                </c:pt>
                <c:pt idx="46">
                  <c:v>19933200.458985168</c:v>
                </c:pt>
                <c:pt idx="47">
                  <c:v>18777625.746189944</c:v>
                </c:pt>
                <c:pt idx="48">
                  <c:v>20592200.890944675</c:v>
                </c:pt>
                <c:pt idx="49">
                  <c:v>18873152.493472904</c:v>
                </c:pt>
                <c:pt idx="50">
                  <c:v>20650920.12722845</c:v>
                </c:pt>
                <c:pt idx="51">
                  <c:v>20137848.194223709</c:v>
                </c:pt>
                <c:pt idx="52">
                  <c:v>21898563.718678683</c:v>
                </c:pt>
                <c:pt idx="53">
                  <c:v>23140412.480468389</c:v>
                </c:pt>
                <c:pt idx="54">
                  <c:v>24558543.469261643</c:v>
                </c:pt>
                <c:pt idx="55">
                  <c:v>24854457.93763341</c:v>
                </c:pt>
                <c:pt idx="56">
                  <c:v>22060696.788609799</c:v>
                </c:pt>
                <c:pt idx="57">
                  <c:v>21059747.948335879</c:v>
                </c:pt>
                <c:pt idx="58">
                  <c:v>20206864.733109053</c:v>
                </c:pt>
                <c:pt idx="59">
                  <c:v>19005956.576727957</c:v>
                </c:pt>
                <c:pt idx="60">
                  <c:v>20778317.551538046</c:v>
                </c:pt>
                <c:pt idx="61">
                  <c:v>19028076.417653978</c:v>
                </c:pt>
                <c:pt idx="62">
                  <c:v>20807507.664018176</c:v>
                </c:pt>
                <c:pt idx="63">
                  <c:v>20305665.116121866</c:v>
                </c:pt>
                <c:pt idx="64">
                  <c:v>22043090.064055655</c:v>
                </c:pt>
                <c:pt idx="65">
                  <c:v>23244804.171661541</c:v>
                </c:pt>
                <c:pt idx="66">
                  <c:v>24637980.971324958</c:v>
                </c:pt>
                <c:pt idx="67">
                  <c:v>24929320.505022921</c:v>
                </c:pt>
                <c:pt idx="68">
                  <c:v>22146372.837955572</c:v>
                </c:pt>
                <c:pt idx="69">
                  <c:v>21166219.155289851</c:v>
                </c:pt>
                <c:pt idx="70">
                  <c:v>20318118.826312911</c:v>
                </c:pt>
                <c:pt idx="71">
                  <c:v>19115547.057323162</c:v>
                </c:pt>
                <c:pt idx="72">
                  <c:v>20856091.440992706</c:v>
                </c:pt>
                <c:pt idx="73">
                  <c:v>19101483.324010916</c:v>
                </c:pt>
                <c:pt idx="74">
                  <c:v>20881746.376679443</c:v>
                </c:pt>
                <c:pt idx="75">
                  <c:v>20363267.702696577</c:v>
                </c:pt>
                <c:pt idx="76">
                  <c:v>22117744.679869086</c:v>
                </c:pt>
                <c:pt idx="77">
                  <c:v>23361049.102691367</c:v>
                </c:pt>
                <c:pt idx="78">
                  <c:v>24797687.78175592</c:v>
                </c:pt>
                <c:pt idx="79">
                  <c:v>25094226.104855932</c:v>
                </c:pt>
                <c:pt idx="80">
                  <c:v>22264073.430017974</c:v>
                </c:pt>
                <c:pt idx="81">
                  <c:v>21235467.030125149</c:v>
                </c:pt>
                <c:pt idx="82">
                  <c:v>20361372.754137963</c:v>
                </c:pt>
                <c:pt idx="83">
                  <c:v>19198103.833027706</c:v>
                </c:pt>
                <c:pt idx="84">
                  <c:v>21003529.108434826</c:v>
                </c:pt>
                <c:pt idx="85">
                  <c:v>19859091.138870277</c:v>
                </c:pt>
                <c:pt idx="86">
                  <c:v>21055593.89428398</c:v>
                </c:pt>
                <c:pt idx="87">
                  <c:v>20534619.801388122</c:v>
                </c:pt>
                <c:pt idx="88">
                  <c:v>22292424.003777944</c:v>
                </c:pt>
                <c:pt idx="89">
                  <c:v>23522211.574154899</c:v>
                </c:pt>
                <c:pt idx="90">
                  <c:v>24909565.729688022</c:v>
                </c:pt>
                <c:pt idx="91">
                  <c:v>25181149.863658197</c:v>
                </c:pt>
                <c:pt idx="92">
                  <c:v>22363890.186537325</c:v>
                </c:pt>
                <c:pt idx="93">
                  <c:v>21382488.794415109</c:v>
                </c:pt>
                <c:pt idx="94">
                  <c:v>20555391.574622449</c:v>
                </c:pt>
                <c:pt idx="95">
                  <c:v>19390043.137751371</c:v>
                </c:pt>
                <c:pt idx="96">
                  <c:v>21196092.267886739</c:v>
                </c:pt>
                <c:pt idx="97">
                  <c:v>19469973.516828179</c:v>
                </c:pt>
                <c:pt idx="98">
                  <c:v>21253771.746290103</c:v>
                </c:pt>
                <c:pt idx="99">
                  <c:v>20729054.525024772</c:v>
                </c:pt>
                <c:pt idx="100">
                  <c:v>22470638.504480202</c:v>
                </c:pt>
                <c:pt idx="101">
                  <c:v>23695643.188607268</c:v>
                </c:pt>
                <c:pt idx="102">
                  <c:v>25123755.85305246</c:v>
                </c:pt>
                <c:pt idx="103">
                  <c:v>25446911.977890968</c:v>
                </c:pt>
                <c:pt idx="104">
                  <c:v>22696196.805116326</c:v>
                </c:pt>
                <c:pt idx="105">
                  <c:v>21721241.91185265</c:v>
                </c:pt>
                <c:pt idx="106">
                  <c:v>20910156.963418305</c:v>
                </c:pt>
                <c:pt idx="107">
                  <c:v>19748343.70334062</c:v>
                </c:pt>
                <c:pt idx="108">
                  <c:v>21440297.990400158</c:v>
                </c:pt>
                <c:pt idx="109">
                  <c:v>19589281.292573206</c:v>
                </c:pt>
                <c:pt idx="110">
                  <c:v>21265019.944884341</c:v>
                </c:pt>
                <c:pt idx="111">
                  <c:v>20789958.004855499</c:v>
                </c:pt>
                <c:pt idx="112">
                  <c:v>22663060.652156912</c:v>
                </c:pt>
                <c:pt idx="113">
                  <c:v>24071939.023463219</c:v>
                </c:pt>
                <c:pt idx="114">
                  <c:v>25640274.916869346</c:v>
                </c:pt>
                <c:pt idx="115">
                  <c:v>25927449.365058511</c:v>
                </c:pt>
                <c:pt idx="116">
                  <c:v>23029367.097034924</c:v>
                </c:pt>
                <c:pt idx="117">
                  <c:v>21929087.975586988</c:v>
                </c:pt>
                <c:pt idx="118">
                  <c:v>21078068.367876068</c:v>
                </c:pt>
                <c:pt idx="119">
                  <c:v>19933889.997623727</c:v>
                </c:pt>
                <c:pt idx="120">
                  <c:v>21803934.319058053</c:v>
                </c:pt>
                <c:pt idx="121">
                  <c:v>19950544.955784656</c:v>
                </c:pt>
                <c:pt idx="122">
                  <c:v>21624078.245982103</c:v>
                </c:pt>
                <c:pt idx="123">
                  <c:v>21150339.52322147</c:v>
                </c:pt>
                <c:pt idx="124">
                  <c:v>23026803.446572017</c:v>
                </c:pt>
                <c:pt idx="125">
                  <c:v>24440472.776952881</c:v>
                </c:pt>
                <c:pt idx="126">
                  <c:v>26013031.812061768</c:v>
                </c:pt>
                <c:pt idx="127">
                  <c:v>26300383.70317962</c:v>
                </c:pt>
                <c:pt idx="128">
                  <c:v>23400232.957587332</c:v>
                </c:pt>
                <c:pt idx="129">
                  <c:v>22297885.358570702</c:v>
                </c:pt>
                <c:pt idx="130">
                  <c:v>21447098.961566053</c:v>
                </c:pt>
                <c:pt idx="131">
                  <c:v>20304122.133430827</c:v>
                </c:pt>
                <c:pt idx="132">
                  <c:v>21962708.670402408</c:v>
                </c:pt>
                <c:pt idx="133">
                  <c:v>20692875.434941165</c:v>
                </c:pt>
                <c:pt idx="134">
                  <c:v>21780853.695404369</c:v>
                </c:pt>
                <c:pt idx="135">
                  <c:v>21307692.728348795</c:v>
                </c:pt>
                <c:pt idx="136">
                  <c:v>23185624.284007587</c:v>
                </c:pt>
                <c:pt idx="137">
                  <c:v>24601385.488492966</c:v>
                </c:pt>
                <c:pt idx="138">
                  <c:v>26175788.471886571</c:v>
                </c:pt>
                <c:pt idx="139">
                  <c:v>26463217.839823112</c:v>
                </c:pt>
                <c:pt idx="140">
                  <c:v>23562163.935887285</c:v>
                </c:pt>
                <c:pt idx="141">
                  <c:v>22458913.178527117</c:v>
                </c:pt>
                <c:pt idx="142">
                  <c:v>21608228.608198456</c:v>
                </c:pt>
                <c:pt idx="143">
                  <c:v>20465776.408806901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C-4386-A71C-6D623AA6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617540503.80775297</c:v>
                </c:pt>
                <c:pt idx="1">
                  <c:v>656956762.92997289</c:v>
                </c:pt>
                <c:pt idx="2">
                  <c:v>648263943.47183859</c:v>
                </c:pt>
                <c:pt idx="3">
                  <c:v>644174271.28043866</c:v>
                </c:pt>
                <c:pt idx="4">
                  <c:v>632113222.13424337</c:v>
                </c:pt>
                <c:pt idx="5">
                  <c:v>615560426.75518167</c:v>
                </c:pt>
                <c:pt idx="6">
                  <c:v>611654935.04250789</c:v>
                </c:pt>
                <c:pt idx="7">
                  <c:v>640933751.72296906</c:v>
                </c:pt>
                <c:pt idx="8">
                  <c:v>615171812.19052064</c:v>
                </c:pt>
                <c:pt idx="9">
                  <c:v>671815776.26874053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A-4FDE-9F2D-2EB90D589438}"/>
            </c:ext>
          </c:extLst>
        </c:ser>
        <c:ser>
          <c:idx val="3"/>
          <c:order val="1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643612940.05779874</c:v>
                </c:pt>
                <c:pt idx="1">
                  <c:v>641777489.47117472</c:v>
                </c:pt>
                <c:pt idx="2">
                  <c:v>639942038.88455057</c:v>
                </c:pt>
                <c:pt idx="3">
                  <c:v>639908521.64216852</c:v>
                </c:pt>
                <c:pt idx="4">
                  <c:v>636271137.71130228</c:v>
                </c:pt>
                <c:pt idx="5">
                  <c:v>634435687.12467825</c:v>
                </c:pt>
                <c:pt idx="6">
                  <c:v>632600236.53805399</c:v>
                </c:pt>
                <c:pt idx="7">
                  <c:v>632566719.29567218</c:v>
                </c:pt>
                <c:pt idx="8">
                  <c:v>628929335.36480594</c:v>
                </c:pt>
                <c:pt idx="9">
                  <c:v>627093884.77818179</c:v>
                </c:pt>
                <c:pt idx="10">
                  <c:v>625258434.19155765</c:v>
                </c:pt>
                <c:pt idx="11">
                  <c:v>625224916.94917572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A-4FDE-9F2D-2EB90D589438}"/>
            </c:ext>
          </c:extLst>
        </c:ser>
        <c:ser>
          <c:idx val="1"/>
          <c:order val="2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604635108.51263404</c:v>
                </c:pt>
                <c:pt idx="1">
                  <c:v>647490324.95962501</c:v>
                </c:pt>
                <c:pt idx="2">
                  <c:v>636991610.62298107</c:v>
                </c:pt>
                <c:pt idx="3">
                  <c:v>631309635.844643</c:v>
                </c:pt>
                <c:pt idx="4">
                  <c:v>617011740.79367626</c:v>
                </c:pt>
                <c:pt idx="5">
                  <c:v>598157531.45016491</c:v>
                </c:pt>
                <c:pt idx="6">
                  <c:v>593984431.47600019</c:v>
                </c:pt>
                <c:pt idx="7">
                  <c:v>619568737.68663192</c:v>
                </c:pt>
                <c:pt idx="8">
                  <c:v>583858255.14999998</c:v>
                </c:pt>
                <c:pt idx="9">
                  <c:v>636798570.50953054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A-4FDE-9F2D-2EB90D589438}"/>
            </c:ext>
          </c:extLst>
        </c:ser>
        <c:ser>
          <c:idx val="2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630707544.76267982</c:v>
                </c:pt>
                <c:pt idx="1">
                  <c:v>632311051.50082684</c:v>
                </c:pt>
                <c:pt idx="2">
                  <c:v>628669706.03569293</c:v>
                </c:pt>
                <c:pt idx="3">
                  <c:v>627043886.20637274</c:v>
                </c:pt>
                <c:pt idx="4">
                  <c:v>621169656.37073529</c:v>
                </c:pt>
                <c:pt idx="5">
                  <c:v>617032791.81966138</c:v>
                </c:pt>
                <c:pt idx="6">
                  <c:v>614929732.97154629</c:v>
                </c:pt>
                <c:pt idx="7">
                  <c:v>611201705.25933492</c:v>
                </c:pt>
                <c:pt idx="8">
                  <c:v>597615778.32428527</c:v>
                </c:pt>
                <c:pt idx="9">
                  <c:v>592076679.01897192</c:v>
                </c:pt>
                <c:pt idx="10">
                  <c:v>590315580.81697154</c:v>
                </c:pt>
                <c:pt idx="11">
                  <c:v>591448250.7765609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8A-4FDE-9F2D-2EB90D58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56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Summary'!$N$5:$N$13</c:f>
              <c:numCache>
                <c:formatCode>#,##0</c:formatCode>
                <c:ptCount val="9"/>
                <c:pt idx="0">
                  <c:v>223945291.11773852</c:v>
                </c:pt>
                <c:pt idx="1">
                  <c:v>230145436.9724015</c:v>
                </c:pt>
                <c:pt idx="2">
                  <c:v>228157622.27107728</c:v>
                </c:pt>
                <c:pt idx="3">
                  <c:v>227061141.62152532</c:v>
                </c:pt>
                <c:pt idx="4">
                  <c:v>228735100.86723283</c:v>
                </c:pt>
                <c:pt idx="5">
                  <c:v>224527430.36044165</c:v>
                </c:pt>
                <c:pt idx="6">
                  <c:v>221869668.08081797</c:v>
                </c:pt>
                <c:pt idx="7">
                  <c:v>223883451.05132008</c:v>
                </c:pt>
                <c:pt idx="8">
                  <c:v>211777974.07916123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3-4DA1-89B9-88A9A227E0C3}"/>
            </c:ext>
          </c:extLst>
        </c:ser>
        <c:ser>
          <c:idx val="3"/>
          <c:order val="1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232546574.8536483</c:v>
                </c:pt>
                <c:pt idx="1">
                  <c:v>229865836.33833641</c:v>
                </c:pt>
                <c:pt idx="2">
                  <c:v>226906705.97905493</c:v>
                </c:pt>
                <c:pt idx="3">
                  <c:v>226961448.10340294</c:v>
                </c:pt>
                <c:pt idx="4">
                  <c:v>224374181.36288679</c:v>
                </c:pt>
                <c:pt idx="5">
                  <c:v>221697536.84528029</c:v>
                </c:pt>
                <c:pt idx="6">
                  <c:v>220588893.44885549</c:v>
                </c:pt>
                <c:pt idx="7">
                  <c:v>220529003.63745129</c:v>
                </c:pt>
                <c:pt idx="8">
                  <c:v>216222257.86065239</c:v>
                </c:pt>
                <c:pt idx="9">
                  <c:v>214221182.76720896</c:v>
                </c:pt>
                <c:pt idx="10">
                  <c:v>213234348.72490191</c:v>
                </c:pt>
                <c:pt idx="11">
                  <c:v>211600211.92695868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3-4DA1-89B9-88A9A227E0C3}"/>
            </c:ext>
          </c:extLst>
        </c:ser>
        <c:ser>
          <c:idx val="1"/>
          <c:order val="2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Summary'!$L$5:$L$13</c:f>
              <c:numCache>
                <c:formatCode>#,##0</c:formatCode>
                <c:ptCount val="9"/>
                <c:pt idx="0">
                  <c:v>220940436.27633598</c:v>
                </c:pt>
                <c:pt idx="1">
                  <c:v>223232845.52965501</c:v>
                </c:pt>
                <c:pt idx="2">
                  <c:v>218915071.69101101</c:v>
                </c:pt>
                <c:pt idx="3">
                  <c:v>216236228.69367602</c:v>
                </c:pt>
                <c:pt idx="4">
                  <c:v>217023476.48367095</c:v>
                </c:pt>
                <c:pt idx="5">
                  <c:v>212401261.73789737</c:v>
                </c:pt>
                <c:pt idx="6">
                  <c:v>207733154.94022256</c:v>
                </c:pt>
                <c:pt idx="7">
                  <c:v>208239182.30018815</c:v>
                </c:pt>
                <c:pt idx="8">
                  <c:v>199190042.63999999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3-4DA1-89B9-88A9A227E0C3}"/>
            </c:ext>
          </c:extLst>
        </c:ser>
        <c:ser>
          <c:idx val="2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229541720.0122458</c:v>
                </c:pt>
                <c:pt idx="1">
                  <c:v>222953244.89558995</c:v>
                </c:pt>
                <c:pt idx="2">
                  <c:v>217664155.39898863</c:v>
                </c:pt>
                <c:pt idx="3">
                  <c:v>216136535.17555362</c:v>
                </c:pt>
                <c:pt idx="4">
                  <c:v>212662556.97932491</c:v>
                </c:pt>
                <c:pt idx="5">
                  <c:v>209571368.222736</c:v>
                </c:pt>
                <c:pt idx="6">
                  <c:v>206452380.30826005</c:v>
                </c:pt>
                <c:pt idx="7">
                  <c:v>204884734.88631937</c:v>
                </c:pt>
                <c:pt idx="8">
                  <c:v>203634326.42149118</c:v>
                </c:pt>
                <c:pt idx="9">
                  <c:v>204018649.6875526</c:v>
                </c:pt>
                <c:pt idx="10">
                  <c:v>203542535.22024375</c:v>
                </c:pt>
                <c:pt idx="11">
                  <c:v>202283088.09926829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3-4DA1-89B9-88A9A227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Summary'!$W$5:$W$13</c:f>
              <c:numCache>
                <c:formatCode>#,##0</c:formatCode>
                <c:ptCount val="9"/>
                <c:pt idx="0">
                  <c:v>909941690.05462801</c:v>
                </c:pt>
                <c:pt idx="1">
                  <c:v>949940798.24079382</c:v>
                </c:pt>
                <c:pt idx="2">
                  <c:v>954716376.40186357</c:v>
                </c:pt>
                <c:pt idx="3">
                  <c:v>947601280.21338153</c:v>
                </c:pt>
                <c:pt idx="4">
                  <c:v>960846806.29165292</c:v>
                </c:pt>
                <c:pt idx="5">
                  <c:v>996483234.68108225</c:v>
                </c:pt>
                <c:pt idx="6">
                  <c:v>981032453.65475094</c:v>
                </c:pt>
                <c:pt idx="7">
                  <c:v>1003091875.9216123</c:v>
                </c:pt>
                <c:pt idx="8">
                  <c:v>992815529.12761188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A-4516-9E79-3590FE5C416B}"/>
            </c:ext>
          </c:extLst>
        </c:ser>
        <c:ser>
          <c:idx val="3"/>
          <c:order val="1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932450561.13882434</c:v>
                </c:pt>
                <c:pt idx="1">
                  <c:v>942830931.56845808</c:v>
                </c:pt>
                <c:pt idx="2">
                  <c:v>951430038.69061065</c:v>
                </c:pt>
                <c:pt idx="3">
                  <c:v>958330448.95349467</c:v>
                </c:pt>
                <c:pt idx="4">
                  <c:v>962313880.52914119</c:v>
                </c:pt>
                <c:pt idx="5">
                  <c:v>972035739.19636047</c:v>
                </c:pt>
                <c:pt idx="6">
                  <c:v>981880339.96109164</c:v>
                </c:pt>
                <c:pt idx="7">
                  <c:v>993182340.80688965</c:v>
                </c:pt>
                <c:pt idx="8">
                  <c:v>1003824260.8580723</c:v>
                </c:pt>
                <c:pt idx="9">
                  <c:v>1012660711.9506636</c:v>
                </c:pt>
                <c:pt idx="10">
                  <c:v>1018786121.6847444</c:v>
                </c:pt>
                <c:pt idx="11">
                  <c:v>1024520182.9783311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A-4516-9E79-3590FE5C416B}"/>
            </c:ext>
          </c:extLst>
        </c:ser>
        <c:ser>
          <c:idx val="1"/>
          <c:order val="2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Summary'!$U$5:$U$13</c:f>
              <c:numCache>
                <c:formatCode>#,##0</c:formatCode>
                <c:ptCount val="9"/>
                <c:pt idx="0">
                  <c:v>906614904.72799397</c:v>
                </c:pt>
                <c:pt idx="1">
                  <c:v>943095058.82937098</c:v>
                </c:pt>
                <c:pt idx="2">
                  <c:v>949533128.04511392</c:v>
                </c:pt>
                <c:pt idx="3">
                  <c:v>941638530.06494999</c:v>
                </c:pt>
                <c:pt idx="4">
                  <c:v>948224332.78106129</c:v>
                </c:pt>
                <c:pt idx="5">
                  <c:v>970184488.09365582</c:v>
                </c:pt>
                <c:pt idx="6">
                  <c:v>941653981.70491183</c:v>
                </c:pt>
                <c:pt idx="7">
                  <c:v>954879860.93795967</c:v>
                </c:pt>
                <c:pt idx="8">
                  <c:v>935689535.96999991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A-4516-9E79-3590FE5C416B}"/>
            </c:ext>
          </c:extLst>
        </c:ser>
        <c:ser>
          <c:idx val="2"/>
          <c:order val="3"/>
          <c:tx>
            <c:strRef>
              <c:f>'Normalized Annual Summary'!$AB$3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Summary'!$AB$5:$AB$16</c:f>
              <c:numCache>
                <c:formatCode>#,##0</c:formatCode>
                <c:ptCount val="12"/>
                <c:pt idx="0">
                  <c:v>929123775.81219018</c:v>
                </c:pt>
                <c:pt idx="1">
                  <c:v>935985192.15703523</c:v>
                </c:pt>
                <c:pt idx="2">
                  <c:v>943202745.34213531</c:v>
                </c:pt>
                <c:pt idx="3">
                  <c:v>945538430.0325526</c:v>
                </c:pt>
                <c:pt idx="4">
                  <c:v>942101798.42320251</c:v>
                </c:pt>
                <c:pt idx="5">
                  <c:v>942346822.48336196</c:v>
                </c:pt>
                <c:pt idx="6">
                  <c:v>942501868.01125264</c:v>
                </c:pt>
                <c:pt idx="7">
                  <c:v>944970325.82323682</c:v>
                </c:pt>
                <c:pt idx="8">
                  <c:v>946698267.70046031</c:v>
                </c:pt>
                <c:pt idx="9">
                  <c:v>937869077.8102895</c:v>
                </c:pt>
                <c:pt idx="10">
                  <c:v>946429187.74910879</c:v>
                </c:pt>
                <c:pt idx="11">
                  <c:v>956527556.36098576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A-4516-9E79-3590FE5C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Summary'!$AG$3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Summary'!$AG$5:$AG$13</c:f>
              <c:numCache>
                <c:formatCode>#,##0</c:formatCode>
                <c:ptCount val="9"/>
                <c:pt idx="0">
                  <c:v>51306801.944982</c:v>
                </c:pt>
                <c:pt idx="1">
                  <c:v>49071887.882886</c:v>
                </c:pt>
                <c:pt idx="2">
                  <c:v>48794571.150462002</c:v>
                </c:pt>
                <c:pt idx="3">
                  <c:v>45796604.320539199</c:v>
                </c:pt>
                <c:pt idx="4">
                  <c:v>45730148.676554747</c:v>
                </c:pt>
                <c:pt idx="5">
                  <c:v>47596960.830868289</c:v>
                </c:pt>
                <c:pt idx="6">
                  <c:v>44614255.999194153</c:v>
                </c:pt>
                <c:pt idx="7">
                  <c:v>44469363.588965133</c:v>
                </c:pt>
                <c:pt idx="8">
                  <c:v>44747913.183567218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C-4742-9CBB-C8E31CAD1F1E}"/>
            </c:ext>
          </c:extLst>
        </c:ser>
        <c:ser>
          <c:idx val="3"/>
          <c:order val="1"/>
          <c:tx>
            <c:strRef>
              <c:f>'Normalized Annual Summary'!$AI$3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Summary'!$AI$5:$AI$16</c:f>
              <c:numCache>
                <c:formatCode>#,##0</c:formatCode>
                <c:ptCount val="12"/>
                <c:pt idx="0">
                  <c:v>50129122.097767241</c:v>
                </c:pt>
                <c:pt idx="1">
                  <c:v>49300183.460214451</c:v>
                </c:pt>
                <c:pt idx="2">
                  <c:v>48471244.822661653</c:v>
                </c:pt>
                <c:pt idx="3">
                  <c:v>47790598.706022672</c:v>
                </c:pt>
                <c:pt idx="4">
                  <c:v>46813367.547556072</c:v>
                </c:pt>
                <c:pt idx="5">
                  <c:v>45984428.910003282</c:v>
                </c:pt>
                <c:pt idx="6">
                  <c:v>45155490.272450492</c:v>
                </c:pt>
                <c:pt idx="7">
                  <c:v>44474844.155811496</c:v>
                </c:pt>
                <c:pt idx="8">
                  <c:v>43497612.997344896</c:v>
                </c:pt>
                <c:pt idx="9">
                  <c:v>42668674.359792106</c:v>
                </c:pt>
                <c:pt idx="10">
                  <c:v>41839735.722239308</c:v>
                </c:pt>
                <c:pt idx="11">
                  <c:v>41159089.605600327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C-4742-9CBB-C8E31CAD1F1E}"/>
            </c:ext>
          </c:extLst>
        </c:ser>
        <c:ser>
          <c:idx val="1"/>
          <c:order val="2"/>
          <c:tx>
            <c:strRef>
              <c:f>'Normalized Annual Summary'!$AE$3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Summary'!$AE$5:$AE$13</c:f>
              <c:numCache>
                <c:formatCode>#,##0</c:formatCode>
                <c:ptCount val="9"/>
                <c:pt idx="0">
                  <c:v>51306801.944982</c:v>
                </c:pt>
                <c:pt idx="1">
                  <c:v>49071887.882886</c:v>
                </c:pt>
                <c:pt idx="2">
                  <c:v>48794571.150462002</c:v>
                </c:pt>
                <c:pt idx="3">
                  <c:v>45768539.737902999</c:v>
                </c:pt>
                <c:pt idx="4">
                  <c:v>45666584.426196001</c:v>
                </c:pt>
                <c:pt idx="5">
                  <c:v>47519841.509630993</c:v>
                </c:pt>
                <c:pt idx="6">
                  <c:v>44363940.879999988</c:v>
                </c:pt>
                <c:pt idx="7">
                  <c:v>44045563.989999995</c:v>
                </c:pt>
                <c:pt idx="8">
                  <c:v>44136954.399999991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C-4742-9CBB-C8E31CAD1F1E}"/>
            </c:ext>
          </c:extLst>
        </c:ser>
        <c:ser>
          <c:idx val="2"/>
          <c:order val="3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Summary'!$AK$5:$AK$16</c:f>
              <c:numCache>
                <c:formatCode>#,##0</c:formatCode>
                <c:ptCount val="12"/>
                <c:pt idx="0">
                  <c:v>50129122.097767241</c:v>
                </c:pt>
                <c:pt idx="1">
                  <c:v>49300183.460214451</c:v>
                </c:pt>
                <c:pt idx="2">
                  <c:v>48471244.822661653</c:v>
                </c:pt>
                <c:pt idx="3">
                  <c:v>47762534.123386472</c:v>
                </c:pt>
                <c:pt idx="4">
                  <c:v>46749803.29719732</c:v>
                </c:pt>
                <c:pt idx="5">
                  <c:v>45907309.588765986</c:v>
                </c:pt>
                <c:pt idx="6">
                  <c:v>44905175.153256342</c:v>
                </c:pt>
                <c:pt idx="7">
                  <c:v>44051044.556846365</c:v>
                </c:pt>
                <c:pt idx="8">
                  <c:v>42886654.213777684</c:v>
                </c:pt>
                <c:pt idx="9">
                  <c:v>41632181.698187709</c:v>
                </c:pt>
                <c:pt idx="10">
                  <c:v>40804277.431955516</c:v>
                </c:pt>
                <c:pt idx="11">
                  <c:v>40126967.285152338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C-4742-9CBB-C8E31CAD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4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04727079447855"/>
          <c:y val="5.1400554097404488E-2"/>
          <c:w val="0.58996318162964212"/>
          <c:h val="0.78278032954214061"/>
        </c:manualLayout>
      </c:layout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Summary'!$AP$5:$AP$13</c:f>
              <c:numCache>
                <c:formatCode>#,##0</c:formatCode>
                <c:ptCount val="9"/>
                <c:pt idx="0">
                  <c:v>271865804.30218202</c:v>
                </c:pt>
                <c:pt idx="1">
                  <c:v>295089951.25607103</c:v>
                </c:pt>
                <c:pt idx="2">
                  <c:v>321215291.54792941</c:v>
                </c:pt>
                <c:pt idx="3">
                  <c:v>307352197.44654351</c:v>
                </c:pt>
                <c:pt idx="4">
                  <c:v>301275992.14380634</c:v>
                </c:pt>
                <c:pt idx="5">
                  <c:v>312895351.29912758</c:v>
                </c:pt>
                <c:pt idx="6">
                  <c:v>311302177.58975667</c:v>
                </c:pt>
                <c:pt idx="7">
                  <c:v>328714008.20688087</c:v>
                </c:pt>
                <c:pt idx="8">
                  <c:v>310049536.61043382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A-47F9-A16E-1F52320070F1}"/>
            </c:ext>
          </c:extLst>
        </c:ser>
        <c:ser>
          <c:idx val="3"/>
          <c:order val="1"/>
          <c:tx>
            <c:strRef>
              <c:f>'Normalized Annual Summary'!$AR$3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Summary'!$AR$5:$AR$16</c:f>
              <c:numCache>
                <c:formatCode>#,##0</c:formatCode>
                <c:ptCount val="12"/>
                <c:pt idx="0">
                  <c:v>292439562.23267168</c:v>
                </c:pt>
                <c:pt idx="1">
                  <c:v>295810980.59895909</c:v>
                </c:pt>
                <c:pt idx="2">
                  <c:v>300936016.67702943</c:v>
                </c:pt>
                <c:pt idx="3">
                  <c:v>303518824.30184162</c:v>
                </c:pt>
                <c:pt idx="4">
                  <c:v>307675080.71356863</c:v>
                </c:pt>
                <c:pt idx="5">
                  <c:v>310118758.82748491</c:v>
                </c:pt>
                <c:pt idx="6">
                  <c:v>311951603.15601385</c:v>
                </c:pt>
                <c:pt idx="7">
                  <c:v>315664504.72964764</c:v>
                </c:pt>
                <c:pt idx="8">
                  <c:v>319916793.4040969</c:v>
                </c:pt>
                <c:pt idx="9">
                  <c:v>324692993.62578869</c:v>
                </c:pt>
                <c:pt idx="10">
                  <c:v>331951902.2696026</c:v>
                </c:pt>
                <c:pt idx="11">
                  <c:v>274265228.74472678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A-47F9-A16E-1F52320070F1}"/>
            </c:ext>
          </c:extLst>
        </c:ser>
        <c:ser>
          <c:idx val="1"/>
          <c:order val="2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Summary'!$AN$5:$AN$13</c:f>
              <c:numCache>
                <c:formatCode>#,##0</c:formatCode>
                <c:ptCount val="9"/>
                <c:pt idx="0">
                  <c:v>271865804.30218202</c:v>
                </c:pt>
                <c:pt idx="1">
                  <c:v>295089951.25607103</c:v>
                </c:pt>
                <c:pt idx="2">
                  <c:v>320621511.326684</c:v>
                </c:pt>
                <c:pt idx="3">
                  <c:v>304746367.45815498</c:v>
                </c:pt>
                <c:pt idx="4">
                  <c:v>295185913.80554301</c:v>
                </c:pt>
                <c:pt idx="5">
                  <c:v>304014292.368729</c:v>
                </c:pt>
                <c:pt idx="6">
                  <c:v>301194469.31</c:v>
                </c:pt>
                <c:pt idx="7">
                  <c:v>318162193.04000002</c:v>
                </c:pt>
                <c:pt idx="8">
                  <c:v>299472217.15999997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A-47F9-A16E-1F52320070F1}"/>
            </c:ext>
          </c:extLst>
        </c:ser>
        <c:ser>
          <c:idx val="2"/>
          <c:order val="3"/>
          <c:tx>
            <c:strRef>
              <c:f>'Normalized Annual Summary'!$AV$3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Summary'!$AV$5:$AV$16</c:f>
              <c:numCache>
                <c:formatCode>#,##0</c:formatCode>
                <c:ptCount val="12"/>
                <c:pt idx="0">
                  <c:v>292439562.23267168</c:v>
                </c:pt>
                <c:pt idx="1">
                  <c:v>295810980.59895909</c:v>
                </c:pt>
                <c:pt idx="2">
                  <c:v>300342236.45578402</c:v>
                </c:pt>
                <c:pt idx="3">
                  <c:v>300912994.31345308</c:v>
                </c:pt>
                <c:pt idx="4">
                  <c:v>301585002.37530524</c:v>
                </c:pt>
                <c:pt idx="5">
                  <c:v>301237699.89708626</c:v>
                </c:pt>
                <c:pt idx="6">
                  <c:v>301843894.87625712</c:v>
                </c:pt>
                <c:pt idx="7">
                  <c:v>305112689.56276673</c:v>
                </c:pt>
                <c:pt idx="8">
                  <c:v>309339473.95366311</c:v>
                </c:pt>
                <c:pt idx="9">
                  <c:v>314516690.49578923</c:v>
                </c:pt>
                <c:pt idx="10">
                  <c:v>321811842.75210875</c:v>
                </c:pt>
                <c:pt idx="11">
                  <c:v>265794377.04225573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1A-47F9-A16E-1F523200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991819029639939"/>
          <c:y val="0.33256561679790025"/>
          <c:w val="0.25008180970360067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Summary'!$BA$3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Summary'!$BA$5:$BA$13</c:f>
              <c:numCache>
                <c:formatCode>#,##0</c:formatCode>
                <c:ptCount val="9"/>
                <c:pt idx="0">
                  <c:v>253823156.07115111</c:v>
                </c:pt>
                <c:pt idx="1">
                  <c:v>287197655.7575056</c:v>
                </c:pt>
                <c:pt idx="2">
                  <c:v>265542337.9138996</c:v>
                </c:pt>
                <c:pt idx="3">
                  <c:v>284090856.82509613</c:v>
                </c:pt>
                <c:pt idx="4">
                  <c:v>274617082.89906323</c:v>
                </c:pt>
                <c:pt idx="5">
                  <c:v>279622953.38680828</c:v>
                </c:pt>
                <c:pt idx="6">
                  <c:v>256628509.45846894</c:v>
                </c:pt>
                <c:pt idx="7">
                  <c:v>281402082.26484948</c:v>
                </c:pt>
                <c:pt idx="8">
                  <c:v>274440449.04143035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5-4580-9132-9105E11D57BF}"/>
            </c:ext>
          </c:extLst>
        </c:ser>
        <c:ser>
          <c:idx val="3"/>
          <c:order val="1"/>
          <c:tx>
            <c:strRef>
              <c:f>'Normalized Annual Summary'!$BC$3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Summary'!$BC$5:$BC$16</c:f>
              <c:numCache>
                <c:formatCode>#,##0</c:formatCode>
                <c:ptCount val="12"/>
                <c:pt idx="0">
                  <c:v>276090122.32992023</c:v>
                </c:pt>
                <c:pt idx="1">
                  <c:v>276090122.32992023</c:v>
                </c:pt>
                <c:pt idx="2">
                  <c:v>276090122.32992023</c:v>
                </c:pt>
                <c:pt idx="3">
                  <c:v>276090122.32992023</c:v>
                </c:pt>
                <c:pt idx="4">
                  <c:v>276090122.32992023</c:v>
                </c:pt>
                <c:pt idx="5">
                  <c:v>276090122.32992023</c:v>
                </c:pt>
                <c:pt idx="6">
                  <c:v>276090122.32992023</c:v>
                </c:pt>
                <c:pt idx="7">
                  <c:v>276090122.32992023</c:v>
                </c:pt>
                <c:pt idx="8">
                  <c:v>276090122.32992023</c:v>
                </c:pt>
                <c:pt idx="9">
                  <c:v>276090122.32992023</c:v>
                </c:pt>
                <c:pt idx="10">
                  <c:v>276090122.32992023</c:v>
                </c:pt>
                <c:pt idx="11">
                  <c:v>276090122.32992023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5-4580-9132-9105E11D57BF}"/>
            </c:ext>
          </c:extLst>
        </c:ser>
        <c:ser>
          <c:idx val="1"/>
          <c:order val="2"/>
          <c:tx>
            <c:strRef>
              <c:f>'Normalized Annual Summary'!$AY$3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Summary'!$AY$5:$AY$13</c:f>
              <c:numCache>
                <c:formatCode>#,##0</c:formatCode>
                <c:ptCount val="9"/>
                <c:pt idx="0">
                  <c:v>253823156.07115111</c:v>
                </c:pt>
                <c:pt idx="1">
                  <c:v>287197655.7575056</c:v>
                </c:pt>
                <c:pt idx="2">
                  <c:v>265542337.9138996</c:v>
                </c:pt>
                <c:pt idx="3">
                  <c:v>280858035.097938</c:v>
                </c:pt>
                <c:pt idx="4">
                  <c:v>265541554.24181503</c:v>
                </c:pt>
                <c:pt idx="5">
                  <c:v>266219489.74002093</c:v>
                </c:pt>
                <c:pt idx="6">
                  <c:v>241052438.81000003</c:v>
                </c:pt>
                <c:pt idx="7">
                  <c:v>264027087.00000006</c:v>
                </c:pt>
                <c:pt idx="8">
                  <c:v>252589949.61000001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5-4580-9132-9105E11D57BF}"/>
            </c:ext>
          </c:extLst>
        </c:ser>
        <c:ser>
          <c:idx val="2"/>
          <c:order val="3"/>
          <c:tx>
            <c:strRef>
              <c:f>'Normalized Annual Summary'!$BE$3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Summary'!$BE$5:$BE$16</c:f>
              <c:numCache>
                <c:formatCode>#,##0</c:formatCode>
                <c:ptCount val="12"/>
                <c:pt idx="0">
                  <c:v>276090122.32992023</c:v>
                </c:pt>
                <c:pt idx="1">
                  <c:v>276090122.32992023</c:v>
                </c:pt>
                <c:pt idx="2">
                  <c:v>276090122.32992023</c:v>
                </c:pt>
                <c:pt idx="3">
                  <c:v>272857300.6027621</c:v>
                </c:pt>
                <c:pt idx="4">
                  <c:v>267014593.67267203</c:v>
                </c:pt>
                <c:pt idx="5">
                  <c:v>262686658.68313289</c:v>
                </c:pt>
                <c:pt idx="6">
                  <c:v>260514051.68145132</c:v>
                </c:pt>
                <c:pt idx="7">
                  <c:v>258715127.06507081</c:v>
                </c:pt>
                <c:pt idx="8">
                  <c:v>254239622.89848989</c:v>
                </c:pt>
                <c:pt idx="9">
                  <c:v>249456615.83775952</c:v>
                </c:pt>
                <c:pt idx="10">
                  <c:v>249737271.69682729</c:v>
                </c:pt>
                <c:pt idx="11">
                  <c:v>250089947.03802782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580-9132-9105E11D5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20000000.00000003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Summary'!$BJ$3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Summary'!$BJ$5:$BJ$13</c:f>
              <c:numCache>
                <c:formatCode>#,##0</c:formatCode>
                <c:ptCount val="9"/>
                <c:pt idx="0">
                  <c:v>50208448.727770001</c:v>
                </c:pt>
                <c:pt idx="1">
                  <c:v>54756020.297367997</c:v>
                </c:pt>
                <c:pt idx="2">
                  <c:v>41936988.305069</c:v>
                </c:pt>
                <c:pt idx="3">
                  <c:v>45364332.843108229</c:v>
                </c:pt>
                <c:pt idx="4">
                  <c:v>48181369.75930699</c:v>
                </c:pt>
                <c:pt idx="5">
                  <c:v>47363563.342695095</c:v>
                </c:pt>
                <c:pt idx="6">
                  <c:v>47257539.372726209</c:v>
                </c:pt>
                <c:pt idx="7">
                  <c:v>44425380.402726203</c:v>
                </c:pt>
                <c:pt idx="8">
                  <c:v>42928899.831479497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F-4ABA-83D8-13FD6A6D2CEB}"/>
            </c:ext>
          </c:extLst>
        </c:ser>
        <c:ser>
          <c:idx val="3"/>
          <c:order val="1"/>
          <c:tx>
            <c:strRef>
              <c:f>'Normalized Annual Summary'!$BL$3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Summary'!$BL$5:$BL$16</c:f>
              <c:numCache>
                <c:formatCode>#,##0</c:formatCode>
                <c:ptCount val="12"/>
                <c:pt idx="0">
                  <c:v>49694947.12727356</c:v>
                </c:pt>
                <c:pt idx="1">
                  <c:v>49055862.76325798</c:v>
                </c:pt>
                <c:pt idx="2">
                  <c:v>48416778.399242401</c:v>
                </c:pt>
                <c:pt idx="3">
                  <c:v>47777694.035226583</c:v>
                </c:pt>
                <c:pt idx="4">
                  <c:v>47138609.671211004</c:v>
                </c:pt>
                <c:pt idx="5">
                  <c:v>46499525.307195425</c:v>
                </c:pt>
                <c:pt idx="6">
                  <c:v>45860440.943179846</c:v>
                </c:pt>
                <c:pt idx="7">
                  <c:v>45221356.579164028</c:v>
                </c:pt>
                <c:pt idx="8">
                  <c:v>44582272.215148449</c:v>
                </c:pt>
                <c:pt idx="9">
                  <c:v>43943187.85113287</c:v>
                </c:pt>
                <c:pt idx="10">
                  <c:v>43304103.487117052</c:v>
                </c:pt>
                <c:pt idx="11">
                  <c:v>42665019.123101473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F-4ABA-83D8-13FD6A6D2CEB}"/>
            </c:ext>
          </c:extLst>
        </c:ser>
        <c:ser>
          <c:idx val="1"/>
          <c:order val="2"/>
          <c:tx>
            <c:strRef>
              <c:f>'Normalized Annual Summary'!$BH$3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Summary'!$BH$5:$BH$13</c:f>
              <c:numCache>
                <c:formatCode>#,##0</c:formatCode>
                <c:ptCount val="9"/>
                <c:pt idx="0">
                  <c:v>50208448.727770001</c:v>
                </c:pt>
                <c:pt idx="1">
                  <c:v>54756020.297367997</c:v>
                </c:pt>
                <c:pt idx="2">
                  <c:v>41936988.305069</c:v>
                </c:pt>
                <c:pt idx="3">
                  <c:v>45336838.931562997</c:v>
                </c:pt>
                <c:pt idx="4">
                  <c:v>48126674.812411003</c:v>
                </c:pt>
                <c:pt idx="5">
                  <c:v>47308908.679020993</c:v>
                </c:pt>
                <c:pt idx="6">
                  <c:v>47202925.820000008</c:v>
                </c:pt>
                <c:pt idx="7">
                  <c:v>44370766.850000001</c:v>
                </c:pt>
                <c:pt idx="8">
                  <c:v>42875821.289999999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F-4ABA-83D8-13FD6A6D2CEB}"/>
            </c:ext>
          </c:extLst>
        </c:ser>
        <c:ser>
          <c:idx val="2"/>
          <c:order val="3"/>
          <c:tx>
            <c:strRef>
              <c:f>'Normalized Annual Summary'!$BN$3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Summary'!$BN$5:$BN$16</c:f>
              <c:numCache>
                <c:formatCode>#,##0</c:formatCode>
                <c:ptCount val="12"/>
                <c:pt idx="0">
                  <c:v>49694947.12727356</c:v>
                </c:pt>
                <c:pt idx="1">
                  <c:v>49055862.76325798</c:v>
                </c:pt>
                <c:pt idx="2">
                  <c:v>48416778.399242401</c:v>
                </c:pt>
                <c:pt idx="3">
                  <c:v>47750200.123681352</c:v>
                </c:pt>
                <c:pt idx="4">
                  <c:v>47083914.724315017</c:v>
                </c:pt>
                <c:pt idx="5">
                  <c:v>46444870.643521324</c:v>
                </c:pt>
                <c:pt idx="6">
                  <c:v>45805827.390453644</c:v>
                </c:pt>
                <c:pt idx="7">
                  <c:v>45166743.026437826</c:v>
                </c:pt>
                <c:pt idx="8">
                  <c:v>44529193.673668951</c:v>
                </c:pt>
                <c:pt idx="9">
                  <c:v>43577795.201350845</c:v>
                </c:pt>
                <c:pt idx="10">
                  <c:v>42938710.833557054</c:v>
                </c:pt>
                <c:pt idx="11">
                  <c:v>42304757.8607333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F-4ABA-83D8-13FD6A6D2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3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 NM 20yr Trend'!$C$1</c:f>
              <c:strCache>
                <c:ptCount val="1"/>
                <c:pt idx="0">
                  <c:v>Residential_NO_CDM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'Res NM 20yr Trend'!$C$2:$C$145</c:f>
              <c:numCache>
                <c:formatCode>General</c:formatCode>
                <c:ptCount val="144"/>
                <c:pt idx="0">
                  <c:v>59871639.469987579</c:v>
                </c:pt>
                <c:pt idx="1">
                  <c:v>50314490.087674581</c:v>
                </c:pt>
                <c:pt idx="2">
                  <c:v>49701259.077867575</c:v>
                </c:pt>
                <c:pt idx="3">
                  <c:v>43094637.623121575</c:v>
                </c:pt>
                <c:pt idx="4">
                  <c:v>41837246.165888578</c:v>
                </c:pt>
                <c:pt idx="5">
                  <c:v>50342302.386945575</c:v>
                </c:pt>
                <c:pt idx="6">
                  <c:v>60810554.498038575</c:v>
                </c:pt>
                <c:pt idx="7">
                  <c:v>64587027.745830581</c:v>
                </c:pt>
                <c:pt idx="8">
                  <c:v>49270432.95375558</c:v>
                </c:pt>
                <c:pt idx="9">
                  <c:v>45083293.96010758</c:v>
                </c:pt>
                <c:pt idx="10">
                  <c:v>46033170.645772576</c:v>
                </c:pt>
                <c:pt idx="11">
                  <c:v>56594449.192762576</c:v>
                </c:pt>
                <c:pt idx="12">
                  <c:v>57230062.23541832</c:v>
                </c:pt>
                <c:pt idx="13">
                  <c:v>48541585.314724319</c:v>
                </c:pt>
                <c:pt idx="14">
                  <c:v>46701990.468791321</c:v>
                </c:pt>
                <c:pt idx="15">
                  <c:v>40737141.674832322</c:v>
                </c:pt>
                <c:pt idx="16">
                  <c:v>48242779.236058325</c:v>
                </c:pt>
                <c:pt idx="17">
                  <c:v>65023461.895293318</c:v>
                </c:pt>
                <c:pt idx="18">
                  <c:v>81296181.759749323</c:v>
                </c:pt>
                <c:pt idx="19">
                  <c:v>75078483.539122328</c:v>
                </c:pt>
                <c:pt idx="20">
                  <c:v>49993208.971530318</c:v>
                </c:pt>
                <c:pt idx="21">
                  <c:v>42337839.47948432</c:v>
                </c:pt>
                <c:pt idx="22">
                  <c:v>45676188.057550319</c:v>
                </c:pt>
                <c:pt idx="23">
                  <c:v>56097840.297418319</c:v>
                </c:pt>
                <c:pt idx="24">
                  <c:v>57216324.683351137</c:v>
                </c:pt>
                <c:pt idx="25">
                  <c:v>49077423.393344134</c:v>
                </c:pt>
                <c:pt idx="26">
                  <c:v>49267213.176552139</c:v>
                </c:pt>
                <c:pt idx="27">
                  <c:v>43063023.121252134</c:v>
                </c:pt>
                <c:pt idx="28">
                  <c:v>46164662.055697136</c:v>
                </c:pt>
                <c:pt idx="29">
                  <c:v>60282224.690545134</c:v>
                </c:pt>
                <c:pt idx="30">
                  <c:v>81061488.555960134</c:v>
                </c:pt>
                <c:pt idx="31">
                  <c:v>71258545.409913138</c:v>
                </c:pt>
                <c:pt idx="32">
                  <c:v>49668107.280463137</c:v>
                </c:pt>
                <c:pt idx="33">
                  <c:v>43253414.186002135</c:v>
                </c:pt>
                <c:pt idx="34">
                  <c:v>44910887.27802214</c:v>
                </c:pt>
                <c:pt idx="35">
                  <c:v>53040629.64073614</c:v>
                </c:pt>
                <c:pt idx="36">
                  <c:v>53836254.463610977</c:v>
                </c:pt>
                <c:pt idx="37">
                  <c:v>47974878.753441975</c:v>
                </c:pt>
                <c:pt idx="38">
                  <c:v>44818017.847629979</c:v>
                </c:pt>
                <c:pt idx="39">
                  <c:v>40519756.964387976</c:v>
                </c:pt>
                <c:pt idx="40">
                  <c:v>47369873.151951976</c:v>
                </c:pt>
                <c:pt idx="41">
                  <c:v>66164429.476892978</c:v>
                </c:pt>
                <c:pt idx="42">
                  <c:v>83251368.938582972</c:v>
                </c:pt>
                <c:pt idx="43">
                  <c:v>68538520.76983498</c:v>
                </c:pt>
                <c:pt idx="44">
                  <c:v>50547782.282330975</c:v>
                </c:pt>
                <c:pt idx="45">
                  <c:v>42873857.88398198</c:v>
                </c:pt>
                <c:pt idx="46">
                  <c:v>45641430.12196698</c:v>
                </c:pt>
                <c:pt idx="47">
                  <c:v>52638100.62582498</c:v>
                </c:pt>
                <c:pt idx="48">
                  <c:v>54911356.121163584</c:v>
                </c:pt>
                <c:pt idx="49">
                  <c:v>48753761.194211587</c:v>
                </c:pt>
                <c:pt idx="50">
                  <c:v>49889124.102056585</c:v>
                </c:pt>
                <c:pt idx="51">
                  <c:v>43188284.981835589</c:v>
                </c:pt>
                <c:pt idx="52">
                  <c:v>45290631.481890589</c:v>
                </c:pt>
                <c:pt idx="53">
                  <c:v>56572380.058294587</c:v>
                </c:pt>
                <c:pt idx="54">
                  <c:v>69531972.104008585</c:v>
                </c:pt>
                <c:pt idx="55">
                  <c:v>62627316.669716507</c:v>
                </c:pt>
                <c:pt idx="56">
                  <c:v>52483630.869351625</c:v>
                </c:pt>
                <c:pt idx="57">
                  <c:v>44313505.933738872</c:v>
                </c:pt>
                <c:pt idx="58">
                  <c:v>47268963.680705905</c:v>
                </c:pt>
                <c:pt idx="59">
                  <c:v>57282294.93726933</c:v>
                </c:pt>
                <c:pt idx="60">
                  <c:v>61083284.63878455</c:v>
                </c:pt>
                <c:pt idx="61">
                  <c:v>51952415.072566412</c:v>
                </c:pt>
                <c:pt idx="62">
                  <c:v>51052991.482677959</c:v>
                </c:pt>
                <c:pt idx="63">
                  <c:v>41360165.193640947</c:v>
                </c:pt>
                <c:pt idx="64">
                  <c:v>43158849.921167485</c:v>
                </c:pt>
                <c:pt idx="65">
                  <c:v>55440642.71470008</c:v>
                </c:pt>
                <c:pt idx="66">
                  <c:v>61454907.375045419</c:v>
                </c:pt>
                <c:pt idx="67">
                  <c:v>60080885.539118305</c:v>
                </c:pt>
                <c:pt idx="68">
                  <c:v>48273397.042750143</c:v>
                </c:pt>
                <c:pt idx="69">
                  <c:v>41793076.89713157</c:v>
                </c:pt>
                <c:pt idx="70">
                  <c:v>46664422.649748906</c:v>
                </c:pt>
                <c:pt idx="71">
                  <c:v>53245388.227849908</c:v>
                </c:pt>
                <c:pt idx="72">
                  <c:v>55763896.18168027</c:v>
                </c:pt>
                <c:pt idx="73">
                  <c:v>50700386.356609277</c:v>
                </c:pt>
                <c:pt idx="74">
                  <c:v>48601161.77192767</c:v>
                </c:pt>
                <c:pt idx="75">
                  <c:v>40903456.917285234</c:v>
                </c:pt>
                <c:pt idx="76">
                  <c:v>44255377.816204593</c:v>
                </c:pt>
                <c:pt idx="77">
                  <c:v>52472039.303485408</c:v>
                </c:pt>
                <c:pt idx="78">
                  <c:v>65255972.638263904</c:v>
                </c:pt>
                <c:pt idx="79">
                  <c:v>67807607.144169539</c:v>
                </c:pt>
                <c:pt idx="80">
                  <c:v>53044043.734858684</c:v>
                </c:pt>
                <c:pt idx="81">
                  <c:v>41411011.439795353</c:v>
                </c:pt>
                <c:pt idx="82">
                  <c:v>42304554.515398659</c:v>
                </c:pt>
                <c:pt idx="83">
                  <c:v>49135427.22282929</c:v>
                </c:pt>
                <c:pt idx="84">
                  <c:v>52102836.708981939</c:v>
                </c:pt>
                <c:pt idx="85">
                  <c:v>46904127.650017522</c:v>
                </c:pt>
                <c:pt idx="86">
                  <c:v>45175173.087262981</c:v>
                </c:pt>
                <c:pt idx="87">
                  <c:v>40065253.610994443</c:v>
                </c:pt>
                <c:pt idx="88">
                  <c:v>45621730.560541235</c:v>
                </c:pt>
                <c:pt idx="89">
                  <c:v>62219414.444204442</c:v>
                </c:pt>
                <c:pt idx="90">
                  <c:v>78540515.183203891</c:v>
                </c:pt>
                <c:pt idx="91">
                  <c:v>76966973.631195873</c:v>
                </c:pt>
                <c:pt idx="92">
                  <c:v>56086414.527406082</c:v>
                </c:pt>
                <c:pt idx="93">
                  <c:v>42624018.777550466</c:v>
                </c:pt>
                <c:pt idx="94">
                  <c:v>42697547.749490358</c:v>
                </c:pt>
                <c:pt idx="95">
                  <c:v>51929745.792119883</c:v>
                </c:pt>
                <c:pt idx="96">
                  <c:v>52235221.996710055</c:v>
                </c:pt>
                <c:pt idx="97">
                  <c:v>43740261.306710057</c:v>
                </c:pt>
                <c:pt idx="98">
                  <c:v>45837850.07671006</c:v>
                </c:pt>
                <c:pt idx="99">
                  <c:v>39739104.176710062</c:v>
                </c:pt>
                <c:pt idx="100">
                  <c:v>43383845.156710058</c:v>
                </c:pt>
                <c:pt idx="101">
                  <c:v>58319622.406710058</c:v>
                </c:pt>
                <c:pt idx="102">
                  <c:v>70157146.256710052</c:v>
                </c:pt>
                <c:pt idx="103">
                  <c:v>62635034.536710061</c:v>
                </c:pt>
                <c:pt idx="104">
                  <c:v>53098958.586710058</c:v>
                </c:pt>
                <c:pt idx="105">
                  <c:v>46118064.906710058</c:v>
                </c:pt>
                <c:pt idx="106">
                  <c:v>45341675.606710061</c:v>
                </c:pt>
                <c:pt idx="107">
                  <c:v>54565027.176710062</c:v>
                </c:pt>
                <c:pt idx="108">
                  <c:v>56225086.293307021</c:v>
                </c:pt>
                <c:pt idx="109">
                  <c:v>47139422.787842415</c:v>
                </c:pt>
                <c:pt idx="110">
                  <c:v>48575569.512237363</c:v>
                </c:pt>
                <c:pt idx="111">
                  <c:v>43821696.032611214</c:v>
                </c:pt>
                <c:pt idx="112">
                  <c:v>48899921.933677331</c:v>
                </c:pt>
                <c:pt idx="113">
                  <c:v>66010052.584332302</c:v>
                </c:pt>
                <c:pt idx="114">
                  <c:v>78572912.328857943</c:v>
                </c:pt>
                <c:pt idx="115">
                  <c:v>75820147.472080186</c:v>
                </c:pt>
                <c:pt idx="116">
                  <c:v>59545277.389431417</c:v>
                </c:pt>
                <c:pt idx="117">
                  <c:v>46605104.794214346</c:v>
                </c:pt>
                <c:pt idx="118">
                  <c:v>47874988.187957972</c:v>
                </c:pt>
                <c:pt idx="119">
                  <c:v>52725596.952190973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1-46D8-84F2-8D1C8B052712}"/>
            </c:ext>
          </c:extLst>
        </c:ser>
        <c:ser>
          <c:idx val="1"/>
          <c:order val="1"/>
          <c:tx>
            <c:strRef>
              <c:f>'Res NM 20yr Trend'!$T$1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'Res NM 20yr Trend'!$T$2:$T$145</c:f>
              <c:numCache>
                <c:formatCode>General</c:formatCode>
                <c:ptCount val="144"/>
                <c:pt idx="0">
                  <c:v>57210089.40076533</c:v>
                </c:pt>
                <c:pt idx="1">
                  <c:v>50488511.33825957</c:v>
                </c:pt>
                <c:pt idx="2">
                  <c:v>48096552.895396069</c:v>
                </c:pt>
                <c:pt idx="3">
                  <c:v>41362657.967807896</c:v>
                </c:pt>
                <c:pt idx="4">
                  <c:v>49168091.457601517</c:v>
                </c:pt>
                <c:pt idx="5">
                  <c:v>59658653.577785119</c:v>
                </c:pt>
                <c:pt idx="6">
                  <c:v>73658844.617740095</c:v>
                </c:pt>
                <c:pt idx="7">
                  <c:v>70270025.654402852</c:v>
                </c:pt>
                <c:pt idx="8">
                  <c:v>54539641.395837024</c:v>
                </c:pt>
                <c:pt idx="9">
                  <c:v>45421868.073053919</c:v>
                </c:pt>
                <c:pt idx="10">
                  <c:v>45913124.252971448</c:v>
                </c:pt>
                <c:pt idx="11">
                  <c:v>54260034.31391982</c:v>
                </c:pt>
                <c:pt idx="12">
                  <c:v>57057135.18521332</c:v>
                </c:pt>
                <c:pt idx="13">
                  <c:v>50335557.122707561</c:v>
                </c:pt>
                <c:pt idx="14">
                  <c:v>47943598.679844059</c:v>
                </c:pt>
                <c:pt idx="15">
                  <c:v>41209703.752255887</c:v>
                </c:pt>
                <c:pt idx="16">
                  <c:v>49015137.242049508</c:v>
                </c:pt>
                <c:pt idx="17">
                  <c:v>59505699.36223311</c:v>
                </c:pt>
                <c:pt idx="18">
                  <c:v>73505890.402188078</c:v>
                </c:pt>
                <c:pt idx="19">
                  <c:v>70117071.43885085</c:v>
                </c:pt>
                <c:pt idx="20">
                  <c:v>54386687.180285014</c:v>
                </c:pt>
                <c:pt idx="21">
                  <c:v>45268913.857501909</c:v>
                </c:pt>
                <c:pt idx="22">
                  <c:v>45760170.037419438</c:v>
                </c:pt>
                <c:pt idx="23">
                  <c:v>54107080.09836781</c:v>
                </c:pt>
                <c:pt idx="24">
                  <c:v>56904180.96966131</c:v>
                </c:pt>
                <c:pt idx="25">
                  <c:v>50182602.907155551</c:v>
                </c:pt>
                <c:pt idx="26">
                  <c:v>47790644.464292049</c:v>
                </c:pt>
                <c:pt idx="27">
                  <c:v>41056749.536703877</c:v>
                </c:pt>
                <c:pt idx="28">
                  <c:v>48862183.026497498</c:v>
                </c:pt>
                <c:pt idx="29">
                  <c:v>59352745.1466811</c:v>
                </c:pt>
                <c:pt idx="30">
                  <c:v>73352936.186636075</c:v>
                </c:pt>
                <c:pt idx="31">
                  <c:v>69964117.223298833</c:v>
                </c:pt>
                <c:pt idx="32">
                  <c:v>54233732.964733005</c:v>
                </c:pt>
                <c:pt idx="33">
                  <c:v>45115959.641949899</c:v>
                </c:pt>
                <c:pt idx="34">
                  <c:v>45607215.821867429</c:v>
                </c:pt>
                <c:pt idx="35">
                  <c:v>53954125.882815801</c:v>
                </c:pt>
                <c:pt idx="36">
                  <c:v>56751226.754109301</c:v>
                </c:pt>
                <c:pt idx="37">
                  <c:v>51831582.035845742</c:v>
                </c:pt>
                <c:pt idx="38">
                  <c:v>47637690.24874004</c:v>
                </c:pt>
                <c:pt idx="39">
                  <c:v>40903795.321151868</c:v>
                </c:pt>
                <c:pt idx="40">
                  <c:v>48709228.810945489</c:v>
                </c:pt>
                <c:pt idx="41">
                  <c:v>59199790.93112909</c:v>
                </c:pt>
                <c:pt idx="42">
                  <c:v>73199981.971084058</c:v>
                </c:pt>
                <c:pt idx="43">
                  <c:v>69811163.007746831</c:v>
                </c:pt>
                <c:pt idx="44">
                  <c:v>54080778.749180995</c:v>
                </c:pt>
                <c:pt idx="45">
                  <c:v>44963005.42639789</c:v>
                </c:pt>
                <c:pt idx="46">
                  <c:v>45454261.606315419</c:v>
                </c:pt>
                <c:pt idx="47">
                  <c:v>53801171.667263791</c:v>
                </c:pt>
                <c:pt idx="48">
                  <c:v>56598272.538557291</c:v>
                </c:pt>
                <c:pt idx="49">
                  <c:v>49876694.476051532</c:v>
                </c:pt>
                <c:pt idx="50">
                  <c:v>47484736.03318803</c:v>
                </c:pt>
                <c:pt idx="51">
                  <c:v>40750841.105599858</c:v>
                </c:pt>
                <c:pt idx="52">
                  <c:v>48556274.595393486</c:v>
                </c:pt>
                <c:pt idx="53">
                  <c:v>59046836.715577081</c:v>
                </c:pt>
                <c:pt idx="54">
                  <c:v>73047027.755532056</c:v>
                </c:pt>
                <c:pt idx="55">
                  <c:v>69658208.792194813</c:v>
                </c:pt>
                <c:pt idx="56">
                  <c:v>53927824.533628993</c:v>
                </c:pt>
                <c:pt idx="57">
                  <c:v>44810051.21084588</c:v>
                </c:pt>
                <c:pt idx="58">
                  <c:v>45301307.390763409</c:v>
                </c:pt>
                <c:pt idx="59">
                  <c:v>53648217.451711781</c:v>
                </c:pt>
                <c:pt idx="60">
                  <c:v>56445318.323005289</c:v>
                </c:pt>
                <c:pt idx="61">
                  <c:v>49723740.260499522</c:v>
                </c:pt>
                <c:pt idx="62">
                  <c:v>47331781.81763602</c:v>
                </c:pt>
                <c:pt idx="63">
                  <c:v>40597886.890047848</c:v>
                </c:pt>
                <c:pt idx="64">
                  <c:v>48403320.379841477</c:v>
                </c:pt>
                <c:pt idx="65">
                  <c:v>58893882.500025071</c:v>
                </c:pt>
                <c:pt idx="66">
                  <c:v>72894073.539980054</c:v>
                </c:pt>
                <c:pt idx="67">
                  <c:v>69505254.576642811</c:v>
                </c:pt>
                <c:pt idx="68">
                  <c:v>53774870.318076983</c:v>
                </c:pt>
                <c:pt idx="69">
                  <c:v>44657096.995293871</c:v>
                </c:pt>
                <c:pt idx="70">
                  <c:v>45148353.1752114</c:v>
                </c:pt>
                <c:pt idx="71">
                  <c:v>53495263.236159772</c:v>
                </c:pt>
                <c:pt idx="72">
                  <c:v>56292364.107453279</c:v>
                </c:pt>
                <c:pt idx="73">
                  <c:v>49570786.044947512</c:v>
                </c:pt>
                <c:pt idx="74">
                  <c:v>47178827.602084011</c:v>
                </c:pt>
                <c:pt idx="75">
                  <c:v>40444932.674495839</c:v>
                </c:pt>
                <c:pt idx="76">
                  <c:v>48250366.164289467</c:v>
                </c:pt>
                <c:pt idx="77">
                  <c:v>58740928.284473062</c:v>
                </c:pt>
                <c:pt idx="78">
                  <c:v>72741119.324428037</c:v>
                </c:pt>
                <c:pt idx="79">
                  <c:v>69352300.361090794</c:v>
                </c:pt>
                <c:pt idx="80">
                  <c:v>53621916.102524973</c:v>
                </c:pt>
                <c:pt idx="81">
                  <c:v>44504142.779741861</c:v>
                </c:pt>
                <c:pt idx="82">
                  <c:v>44995398.95965939</c:v>
                </c:pt>
                <c:pt idx="83">
                  <c:v>53342309.020607762</c:v>
                </c:pt>
                <c:pt idx="84">
                  <c:v>56139409.89190127</c:v>
                </c:pt>
                <c:pt idx="85">
                  <c:v>51219765.173637703</c:v>
                </c:pt>
                <c:pt idx="86">
                  <c:v>47025873.386532001</c:v>
                </c:pt>
                <c:pt idx="87">
                  <c:v>40291978.458943829</c:v>
                </c:pt>
                <c:pt idx="88">
                  <c:v>48097411.948737457</c:v>
                </c:pt>
                <c:pt idx="89">
                  <c:v>58587974.068921052</c:v>
                </c:pt>
                <c:pt idx="90">
                  <c:v>72588165.108876035</c:v>
                </c:pt>
                <c:pt idx="91">
                  <c:v>69199346.145538792</c:v>
                </c:pt>
                <c:pt idx="92">
                  <c:v>53468961.886972964</c:v>
                </c:pt>
                <c:pt idx="93">
                  <c:v>44351188.564189851</c:v>
                </c:pt>
                <c:pt idx="94">
                  <c:v>44842444.744107381</c:v>
                </c:pt>
                <c:pt idx="95">
                  <c:v>53189354.805055752</c:v>
                </c:pt>
                <c:pt idx="96">
                  <c:v>55986455.67634926</c:v>
                </c:pt>
                <c:pt idx="97">
                  <c:v>49264877.613843493</c:v>
                </c:pt>
                <c:pt idx="98">
                  <c:v>46872919.170979992</c:v>
                </c:pt>
                <c:pt idx="99">
                  <c:v>40139024.243391827</c:v>
                </c:pt>
                <c:pt idx="100">
                  <c:v>47944457.733185448</c:v>
                </c:pt>
                <c:pt idx="101">
                  <c:v>58435019.853369042</c:v>
                </c:pt>
                <c:pt idx="102">
                  <c:v>72435210.893324018</c:v>
                </c:pt>
                <c:pt idx="103">
                  <c:v>69046391.929986775</c:v>
                </c:pt>
                <c:pt idx="104">
                  <c:v>53316007.671420954</c:v>
                </c:pt>
                <c:pt idx="105">
                  <c:v>44198234.348637842</c:v>
                </c:pt>
                <c:pt idx="106">
                  <c:v>44689490.528555371</c:v>
                </c:pt>
                <c:pt idx="107">
                  <c:v>53036400.58950375</c:v>
                </c:pt>
                <c:pt idx="108">
                  <c:v>55833501.46079725</c:v>
                </c:pt>
                <c:pt idx="109">
                  <c:v>49111923.398291484</c:v>
                </c:pt>
                <c:pt idx="110">
                  <c:v>46719964.955427982</c:v>
                </c:pt>
                <c:pt idx="111">
                  <c:v>39986070.027839817</c:v>
                </c:pt>
                <c:pt idx="112">
                  <c:v>47791503.517633438</c:v>
                </c:pt>
                <c:pt idx="113">
                  <c:v>58282065.637817033</c:v>
                </c:pt>
                <c:pt idx="114">
                  <c:v>72282256.677772015</c:v>
                </c:pt>
                <c:pt idx="115">
                  <c:v>68893437.714434773</c:v>
                </c:pt>
                <c:pt idx="116">
                  <c:v>53163053.455868945</c:v>
                </c:pt>
                <c:pt idx="117">
                  <c:v>44045280.133085832</c:v>
                </c:pt>
                <c:pt idx="118">
                  <c:v>44536536.313003361</c:v>
                </c:pt>
                <c:pt idx="119">
                  <c:v>52883446.373951741</c:v>
                </c:pt>
                <c:pt idx="120">
                  <c:v>55680547.245245241</c:v>
                </c:pt>
                <c:pt idx="121">
                  <c:v>48958969.182739474</c:v>
                </c:pt>
                <c:pt idx="122">
                  <c:v>46567010.739875972</c:v>
                </c:pt>
                <c:pt idx="123">
                  <c:v>39833115.812287807</c:v>
                </c:pt>
                <c:pt idx="124">
                  <c:v>47638549.302081428</c:v>
                </c:pt>
                <c:pt idx="125">
                  <c:v>58129111.422265023</c:v>
                </c:pt>
                <c:pt idx="126">
                  <c:v>72129302.462219998</c:v>
                </c:pt>
                <c:pt idx="127">
                  <c:v>68740483.498882756</c:v>
                </c:pt>
                <c:pt idx="128">
                  <c:v>53010099.240316935</c:v>
                </c:pt>
                <c:pt idx="129">
                  <c:v>43892325.917533822</c:v>
                </c:pt>
                <c:pt idx="130">
                  <c:v>44383582.097451352</c:v>
                </c:pt>
                <c:pt idx="131">
                  <c:v>52730492.158399731</c:v>
                </c:pt>
                <c:pt idx="132">
                  <c:v>55527593.029693231</c:v>
                </c:pt>
                <c:pt idx="133">
                  <c:v>50607948.311429664</c:v>
                </c:pt>
                <c:pt idx="134">
                  <c:v>46414056.524323963</c:v>
                </c:pt>
                <c:pt idx="135">
                  <c:v>39680161.596735798</c:v>
                </c:pt>
                <c:pt idx="136">
                  <c:v>47485595.086529419</c:v>
                </c:pt>
                <c:pt idx="137">
                  <c:v>57976157.206713013</c:v>
                </c:pt>
                <c:pt idx="138">
                  <c:v>71976348.246667996</c:v>
                </c:pt>
                <c:pt idx="139">
                  <c:v>68587529.283330753</c:v>
                </c:pt>
                <c:pt idx="140">
                  <c:v>52857145.024764925</c:v>
                </c:pt>
                <c:pt idx="141">
                  <c:v>43739371.701981813</c:v>
                </c:pt>
                <c:pt idx="142">
                  <c:v>44230627.881899342</c:v>
                </c:pt>
                <c:pt idx="143">
                  <c:v>52577537.942847721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1-46D8-84F2-8D1C8B052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Predicted Monthly'!$D$1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'GS &gt; 50 Predicted Monthly'!$D$2:$D$121</c:f>
              <c:numCache>
                <c:formatCode>General</c:formatCode>
                <c:ptCount val="120"/>
                <c:pt idx="0">
                  <c:v>85381791.869069844</c:v>
                </c:pt>
                <c:pt idx="1">
                  <c:v>77417193.552256852</c:v>
                </c:pt>
                <c:pt idx="2">
                  <c:v>79227713.989697844</c:v>
                </c:pt>
                <c:pt idx="3">
                  <c:v>71027811.664813846</c:v>
                </c:pt>
                <c:pt idx="4">
                  <c:v>68182291.644476846</c:v>
                </c:pt>
                <c:pt idx="5">
                  <c:v>70571023.231205851</c:v>
                </c:pt>
                <c:pt idx="6">
                  <c:v>74557299.569310844</c:v>
                </c:pt>
                <c:pt idx="7">
                  <c:v>79205277.562828839</c:v>
                </c:pt>
                <c:pt idx="8">
                  <c:v>75059365.060484841</c:v>
                </c:pt>
                <c:pt idx="9">
                  <c:v>74478609.626164854</c:v>
                </c:pt>
                <c:pt idx="10">
                  <c:v>74097028.329366833</c:v>
                </c:pt>
                <c:pt idx="11">
                  <c:v>80736283.954950839</c:v>
                </c:pt>
                <c:pt idx="12">
                  <c:v>85427036.528221235</c:v>
                </c:pt>
                <c:pt idx="13">
                  <c:v>77459286.107347235</c:v>
                </c:pt>
                <c:pt idx="14">
                  <c:v>79469302.564392224</c:v>
                </c:pt>
                <c:pt idx="15">
                  <c:v>71033086.461556241</c:v>
                </c:pt>
                <c:pt idx="16">
                  <c:v>75509222.108001232</c:v>
                </c:pt>
                <c:pt idx="17">
                  <c:v>81034423.714442238</c:v>
                </c:pt>
                <c:pt idx="18">
                  <c:v>85939810.851727232</c:v>
                </c:pt>
                <c:pt idx="19">
                  <c:v>86205660.129896238</c:v>
                </c:pt>
                <c:pt idx="20">
                  <c:v>75144375.415312231</c:v>
                </c:pt>
                <c:pt idx="21">
                  <c:v>73712701.595507234</c:v>
                </c:pt>
                <c:pt idx="22">
                  <c:v>76223861.515962228</c:v>
                </c:pt>
                <c:pt idx="23">
                  <c:v>82782031.24842824</c:v>
                </c:pt>
                <c:pt idx="24">
                  <c:v>87926514.089346617</c:v>
                </c:pt>
                <c:pt idx="25">
                  <c:v>79445566.339861631</c:v>
                </c:pt>
                <c:pt idx="26">
                  <c:v>83484642.099464625</c:v>
                </c:pt>
                <c:pt idx="27">
                  <c:v>73145108.283973634</c:v>
                </c:pt>
                <c:pt idx="28">
                  <c:v>74301939.895448625</c:v>
                </c:pt>
                <c:pt idx="29">
                  <c:v>79491543.190818623</c:v>
                </c:pt>
                <c:pt idx="30">
                  <c:v>85669531.856941611</c:v>
                </c:pt>
                <c:pt idx="31">
                  <c:v>85461087.222262934</c:v>
                </c:pt>
                <c:pt idx="32">
                  <c:v>75648608.630284414</c:v>
                </c:pt>
                <c:pt idx="33">
                  <c:v>74971165.15079917</c:v>
                </c:pt>
                <c:pt idx="34">
                  <c:v>75882976.979724109</c:v>
                </c:pt>
                <c:pt idx="35">
                  <c:v>79287692.662937596</c:v>
                </c:pt>
                <c:pt idx="36">
                  <c:v>83627865.943462819</c:v>
                </c:pt>
                <c:pt idx="37">
                  <c:v>78960983.658556581</c:v>
                </c:pt>
                <c:pt idx="38">
                  <c:v>78967146.21412468</c:v>
                </c:pt>
                <c:pt idx="39">
                  <c:v>70404346.904171199</c:v>
                </c:pt>
                <c:pt idx="40">
                  <c:v>76707141.256383926</c:v>
                </c:pt>
                <c:pt idx="41">
                  <c:v>81073916.050987154</c:v>
                </c:pt>
                <c:pt idx="42">
                  <c:v>86497634.17916283</c:v>
                </c:pt>
                <c:pt idx="43">
                  <c:v>84955144.682128251</c:v>
                </c:pt>
                <c:pt idx="44">
                  <c:v>75637873.117112935</c:v>
                </c:pt>
                <c:pt idx="45">
                  <c:v>75854816.158008024</c:v>
                </c:pt>
                <c:pt idx="46">
                  <c:v>76825179.447514161</c:v>
                </c:pt>
                <c:pt idx="47">
                  <c:v>78089232.601768956</c:v>
                </c:pt>
                <c:pt idx="48">
                  <c:v>86172794.297903538</c:v>
                </c:pt>
                <c:pt idx="49">
                  <c:v>80116229.569861323</c:v>
                </c:pt>
                <c:pt idx="50">
                  <c:v>83295056.131635845</c:v>
                </c:pt>
                <c:pt idx="51">
                  <c:v>75368667.834339544</c:v>
                </c:pt>
                <c:pt idx="52">
                  <c:v>76645979.128271654</c:v>
                </c:pt>
                <c:pt idx="53">
                  <c:v>77950659.403683424</c:v>
                </c:pt>
                <c:pt idx="54">
                  <c:v>82611806.230879351</c:v>
                </c:pt>
                <c:pt idx="55">
                  <c:v>81402470.109881312</c:v>
                </c:pt>
                <c:pt idx="56">
                  <c:v>76153505.586661026</c:v>
                </c:pt>
                <c:pt idx="57">
                  <c:v>77422083.680861652</c:v>
                </c:pt>
                <c:pt idx="58">
                  <c:v>79988549.467103228</c:v>
                </c:pt>
                <c:pt idx="59">
                  <c:v>83719004.850571141</c:v>
                </c:pt>
                <c:pt idx="60">
                  <c:v>96510112.683375672</c:v>
                </c:pt>
                <c:pt idx="61">
                  <c:v>85964089.963368535</c:v>
                </c:pt>
                <c:pt idx="62">
                  <c:v>88422332.078679308</c:v>
                </c:pt>
                <c:pt idx="63">
                  <c:v>76199788.927618995</c:v>
                </c:pt>
                <c:pt idx="64">
                  <c:v>78731314.204411477</c:v>
                </c:pt>
                <c:pt idx="65">
                  <c:v>82040736.439185008</c:v>
                </c:pt>
                <c:pt idx="66">
                  <c:v>83536033.436047852</c:v>
                </c:pt>
                <c:pt idx="67">
                  <c:v>82890715.101407543</c:v>
                </c:pt>
                <c:pt idx="68">
                  <c:v>78138961.690904036</c:v>
                </c:pt>
                <c:pt idx="69">
                  <c:v>78077874.416335806</c:v>
                </c:pt>
                <c:pt idx="70">
                  <c:v>81347157.776762664</c:v>
                </c:pt>
                <c:pt idx="71">
                  <c:v>84624117.962985575</c:v>
                </c:pt>
                <c:pt idx="72">
                  <c:v>91047914.988406837</c:v>
                </c:pt>
                <c:pt idx="73">
                  <c:v>84953121.000252485</c:v>
                </c:pt>
                <c:pt idx="74">
                  <c:v>85185196.803851202</c:v>
                </c:pt>
                <c:pt idx="75">
                  <c:v>74690896.334334388</c:v>
                </c:pt>
                <c:pt idx="76">
                  <c:v>77420119.172960088</c:v>
                </c:pt>
                <c:pt idx="77">
                  <c:v>80301286.449218079</c:v>
                </c:pt>
                <c:pt idx="78">
                  <c:v>84741146.439340681</c:v>
                </c:pt>
                <c:pt idx="79">
                  <c:v>85831922.046712875</c:v>
                </c:pt>
                <c:pt idx="80">
                  <c:v>81721577.513162851</c:v>
                </c:pt>
                <c:pt idx="81">
                  <c:v>77593220.91340512</c:v>
                </c:pt>
                <c:pt idx="82">
                  <c:v>77813417.982195601</c:v>
                </c:pt>
                <c:pt idx="83">
                  <c:v>79732634.01091066</c:v>
                </c:pt>
                <c:pt idx="84">
                  <c:v>87340715.811404184</c:v>
                </c:pt>
                <c:pt idx="85">
                  <c:v>83154848.343503043</c:v>
                </c:pt>
                <c:pt idx="86">
                  <c:v>82620214.015487328</c:v>
                </c:pt>
                <c:pt idx="87">
                  <c:v>76969494.488034636</c:v>
                </c:pt>
                <c:pt idx="88">
                  <c:v>79885437.080991775</c:v>
                </c:pt>
                <c:pt idx="89">
                  <c:v>84108563.980985105</c:v>
                </c:pt>
                <c:pt idx="90">
                  <c:v>89208055.874293894</c:v>
                </c:pt>
                <c:pt idx="91">
                  <c:v>92081052.006418362</c:v>
                </c:pt>
                <c:pt idx="92">
                  <c:v>82625134.428336576</c:v>
                </c:pt>
                <c:pt idx="93">
                  <c:v>79761867.387980133</c:v>
                </c:pt>
                <c:pt idx="94">
                  <c:v>79632729.527031347</c:v>
                </c:pt>
                <c:pt idx="95">
                  <c:v>85703762.977146074</c:v>
                </c:pt>
                <c:pt idx="96">
                  <c:v>89452615.289801002</c:v>
                </c:pt>
                <c:pt idx="97">
                  <c:v>79369250.509801</c:v>
                </c:pt>
                <c:pt idx="98">
                  <c:v>85130613.079801008</c:v>
                </c:pt>
                <c:pt idx="99">
                  <c:v>75264677.349801004</c:v>
                </c:pt>
                <c:pt idx="100">
                  <c:v>78986166.629801005</c:v>
                </c:pt>
                <c:pt idx="101">
                  <c:v>82979146.239801005</c:v>
                </c:pt>
                <c:pt idx="102">
                  <c:v>86438186.809800997</c:v>
                </c:pt>
                <c:pt idx="103">
                  <c:v>86020553.329801008</c:v>
                </c:pt>
                <c:pt idx="104">
                  <c:v>80922821.089800999</c:v>
                </c:pt>
                <c:pt idx="105">
                  <c:v>79895134.919800997</c:v>
                </c:pt>
                <c:pt idx="106">
                  <c:v>81623489.689801008</c:v>
                </c:pt>
                <c:pt idx="107">
                  <c:v>86732874.189801008</c:v>
                </c:pt>
                <c:pt idx="108">
                  <c:v>93400783.231379122</c:v>
                </c:pt>
                <c:pt idx="109">
                  <c:v>82408782.703978285</c:v>
                </c:pt>
                <c:pt idx="110">
                  <c:v>87484965.565347284</c:v>
                </c:pt>
                <c:pt idx="111">
                  <c:v>80547273.998100206</c:v>
                </c:pt>
                <c:pt idx="112">
                  <c:v>81380421.939878672</c:v>
                </c:pt>
                <c:pt idx="113">
                  <c:v>84189429.225478336</c:v>
                </c:pt>
                <c:pt idx="114">
                  <c:v>88386784.550160423</c:v>
                </c:pt>
                <c:pt idx="115">
                  <c:v>89941585.72763437</c:v>
                </c:pt>
                <c:pt idx="116">
                  <c:v>81054253.659961343</c:v>
                </c:pt>
                <c:pt idx="117">
                  <c:v>79879338.784629419</c:v>
                </c:pt>
                <c:pt idx="118">
                  <c:v>81359765.42074655</c:v>
                </c:pt>
                <c:pt idx="119">
                  <c:v>81470558.798187256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1-48EF-8E1C-DA2560EC25C9}"/>
            </c:ext>
          </c:extLst>
        </c:ser>
        <c:ser>
          <c:idx val="1"/>
          <c:order val="1"/>
          <c:tx>
            <c:strRef>
              <c:f>'GS &gt; 50 Predicted Monthly'!$AC$1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'GS &gt; 50 Predicted Monthly'!$AC$2:$AC$121</c:f>
              <c:numCache>
                <c:formatCode>General</c:formatCode>
                <c:ptCount val="120"/>
                <c:pt idx="0">
                  <c:v>86783165.583241299</c:v>
                </c:pt>
                <c:pt idx="1">
                  <c:v>76572289.525647521</c:v>
                </c:pt>
                <c:pt idx="2">
                  <c:v>79872620.182954147</c:v>
                </c:pt>
                <c:pt idx="3">
                  <c:v>71826439.950575694</c:v>
                </c:pt>
                <c:pt idx="4">
                  <c:v>70431816.587921053</c:v>
                </c:pt>
                <c:pt idx="5">
                  <c:v>75204796.885812655</c:v>
                </c:pt>
                <c:pt idx="6">
                  <c:v>75962284.492776334</c:v>
                </c:pt>
                <c:pt idx="7">
                  <c:v>79660688.195004806</c:v>
                </c:pt>
                <c:pt idx="8">
                  <c:v>73910089.183937728</c:v>
                </c:pt>
                <c:pt idx="9">
                  <c:v>73738907.055928156</c:v>
                </c:pt>
                <c:pt idx="10">
                  <c:v>74431697.538189054</c:v>
                </c:pt>
                <c:pt idx="11">
                  <c:v>82254043.849222541</c:v>
                </c:pt>
                <c:pt idx="12">
                  <c:v>84436106.28546527</c:v>
                </c:pt>
                <c:pt idx="13">
                  <c:v>77856773.317687973</c:v>
                </c:pt>
                <c:pt idx="14">
                  <c:v>79854619.90810433</c:v>
                </c:pt>
                <c:pt idx="15">
                  <c:v>70162646.043213233</c:v>
                </c:pt>
                <c:pt idx="16">
                  <c:v>74659608.716356963</c:v>
                </c:pt>
                <c:pt idx="17">
                  <c:v>79584366.711059839</c:v>
                </c:pt>
                <c:pt idx="18">
                  <c:v>85212986.304184973</c:v>
                </c:pt>
                <c:pt idx="19">
                  <c:v>86633611.748657569</c:v>
                </c:pt>
                <c:pt idx="20">
                  <c:v>75418158.925808713</c:v>
                </c:pt>
                <c:pt idx="21">
                  <c:v>72274930.836305946</c:v>
                </c:pt>
                <c:pt idx="22">
                  <c:v>77674761.89516753</c:v>
                </c:pt>
                <c:pt idx="23">
                  <c:v>84661109.741290122</c:v>
                </c:pt>
                <c:pt idx="24">
                  <c:v>86184318.536192343</c:v>
                </c:pt>
                <c:pt idx="25">
                  <c:v>79255845.563223019</c:v>
                </c:pt>
                <c:pt idx="26">
                  <c:v>83557046.354558989</c:v>
                </c:pt>
                <c:pt idx="27">
                  <c:v>72472645.206294015</c:v>
                </c:pt>
                <c:pt idx="28">
                  <c:v>74985385.347468078</c:v>
                </c:pt>
                <c:pt idx="29">
                  <c:v>79017429.3080028</c:v>
                </c:pt>
                <c:pt idx="30">
                  <c:v>87364483.545179054</c:v>
                </c:pt>
                <c:pt idx="31">
                  <c:v>84325299.766090661</c:v>
                </c:pt>
                <c:pt idx="32">
                  <c:v>76549852.053684816</c:v>
                </c:pt>
                <c:pt idx="33">
                  <c:v>73810449.471628189</c:v>
                </c:pt>
                <c:pt idx="34">
                  <c:v>76523172.436105281</c:v>
                </c:pt>
                <c:pt idx="35">
                  <c:v>80893877.624185428</c:v>
                </c:pt>
                <c:pt idx="36">
                  <c:v>83774396.717812523</c:v>
                </c:pt>
                <c:pt idx="37">
                  <c:v>79254175.39203091</c:v>
                </c:pt>
                <c:pt idx="38">
                  <c:v>77284098.499086872</c:v>
                </c:pt>
                <c:pt idx="39">
                  <c:v>72538425.374928862</c:v>
                </c:pt>
                <c:pt idx="40">
                  <c:v>76262517.175806165</c:v>
                </c:pt>
                <c:pt idx="41">
                  <c:v>81083355.207420155</c:v>
                </c:pt>
                <c:pt idx="42">
                  <c:v>87018209.638131753</c:v>
                </c:pt>
                <c:pt idx="43">
                  <c:v>83641671.179945812</c:v>
                </c:pt>
                <c:pt idx="44">
                  <c:v>75005771.341663197</c:v>
                </c:pt>
                <c:pt idx="45">
                  <c:v>76284090.235656753</c:v>
                </c:pt>
                <c:pt idx="46">
                  <c:v>79573895.16311796</c:v>
                </c:pt>
                <c:pt idx="47">
                  <c:v>80637951.432879761</c:v>
                </c:pt>
                <c:pt idx="48">
                  <c:v>85789591.016463339</c:v>
                </c:pt>
                <c:pt idx="49">
                  <c:v>79904654.487388</c:v>
                </c:pt>
                <c:pt idx="50">
                  <c:v>81572264.346311405</c:v>
                </c:pt>
                <c:pt idx="51">
                  <c:v>75775599.474381134</c:v>
                </c:pt>
                <c:pt idx="52">
                  <c:v>77339070.571600392</c:v>
                </c:pt>
                <c:pt idx="53">
                  <c:v>77848532.902845278</c:v>
                </c:pt>
                <c:pt idx="54">
                  <c:v>83800655.760055497</c:v>
                </c:pt>
                <c:pt idx="55">
                  <c:v>82753746.284369752</c:v>
                </c:pt>
                <c:pt idx="56">
                  <c:v>76864940.560843945</c:v>
                </c:pt>
                <c:pt idx="57">
                  <c:v>76840261.325471118</c:v>
                </c:pt>
                <c:pt idx="58">
                  <c:v>79815260.030432671</c:v>
                </c:pt>
                <c:pt idx="59">
                  <c:v>84871639.514521569</c:v>
                </c:pt>
                <c:pt idx="60">
                  <c:v>91074354.746733144</c:v>
                </c:pt>
                <c:pt idx="61">
                  <c:v>83070332.352811754</c:v>
                </c:pt>
                <c:pt idx="62">
                  <c:v>85738329.548236161</c:v>
                </c:pt>
                <c:pt idx="63">
                  <c:v>74095500.779452845</c:v>
                </c:pt>
                <c:pt idx="64">
                  <c:v>76836556.725565165</c:v>
                </c:pt>
                <c:pt idx="65">
                  <c:v>80373580.476050004</c:v>
                </c:pt>
                <c:pt idx="66">
                  <c:v>80167979.539152995</c:v>
                </c:pt>
                <c:pt idx="67">
                  <c:v>82550421.46274665</c:v>
                </c:pt>
                <c:pt idx="68">
                  <c:v>77606134.024369031</c:v>
                </c:pt>
                <c:pt idx="69">
                  <c:v>76676763.27923578</c:v>
                </c:pt>
                <c:pt idx="70">
                  <c:v>80331351.070642531</c:v>
                </c:pt>
                <c:pt idx="71">
                  <c:v>83847154.520112693</c:v>
                </c:pt>
                <c:pt idx="72">
                  <c:v>89833072.552529663</c:v>
                </c:pt>
                <c:pt idx="73">
                  <c:v>85962482.005888283</c:v>
                </c:pt>
                <c:pt idx="74">
                  <c:v>85250127.186856002</c:v>
                </c:pt>
                <c:pt idx="75">
                  <c:v>75060106.653865069</c:v>
                </c:pt>
                <c:pt idx="76">
                  <c:v>77849596.547714368</c:v>
                </c:pt>
                <c:pt idx="77">
                  <c:v>79756299.541635871</c:v>
                </c:pt>
                <c:pt idx="78">
                  <c:v>83877503.785585359</c:v>
                </c:pt>
                <c:pt idx="79">
                  <c:v>84092726.99647598</c:v>
                </c:pt>
                <c:pt idx="80">
                  <c:v>81546476.163342282</c:v>
                </c:pt>
                <c:pt idx="81">
                  <c:v>76273717.209739491</c:v>
                </c:pt>
                <c:pt idx="82">
                  <c:v>78128293.320078164</c:v>
                </c:pt>
                <c:pt idx="83">
                  <c:v>81771332.849311039</c:v>
                </c:pt>
                <c:pt idx="84">
                  <c:v>87452645.931292221</c:v>
                </c:pt>
                <c:pt idx="85">
                  <c:v>82597349.303006575</c:v>
                </c:pt>
                <c:pt idx="86">
                  <c:v>81618615.547013804</c:v>
                </c:pt>
                <c:pt idx="87">
                  <c:v>77964306.182839096</c:v>
                </c:pt>
                <c:pt idx="88">
                  <c:v>79154832.990861207</c:v>
                </c:pt>
                <c:pt idx="89">
                  <c:v>83107265.442497045</c:v>
                </c:pt>
                <c:pt idx="90">
                  <c:v>87669296.849583045</c:v>
                </c:pt>
                <c:pt idx="91">
                  <c:v>91904510.226789102</c:v>
                </c:pt>
                <c:pt idx="92">
                  <c:v>80963720.163998559</c:v>
                </c:pt>
                <c:pt idx="93">
                  <c:v>77616988.190495968</c:v>
                </c:pt>
                <c:pt idx="94">
                  <c:v>79694797.776175559</c:v>
                </c:pt>
                <c:pt idx="95">
                  <c:v>86545851.751140714</c:v>
                </c:pt>
                <c:pt idx="96">
                  <c:v>88520242.307833552</c:v>
                </c:pt>
                <c:pt idx="97">
                  <c:v>79357269.063344195</c:v>
                </c:pt>
                <c:pt idx="98">
                  <c:v>86732841.567065492</c:v>
                </c:pt>
                <c:pt idx="99">
                  <c:v>74668623.0809827</c:v>
                </c:pt>
                <c:pt idx="100">
                  <c:v>79741147.280695856</c:v>
                </c:pt>
                <c:pt idx="101">
                  <c:v>84031562.090654045</c:v>
                </c:pt>
                <c:pt idx="102">
                  <c:v>86196184.806199729</c:v>
                </c:pt>
                <c:pt idx="103">
                  <c:v>85908658.417543471</c:v>
                </c:pt>
                <c:pt idx="104">
                  <c:v>81034402.672181174</c:v>
                </c:pt>
                <c:pt idx="105">
                  <c:v>78834846.349922135</c:v>
                </c:pt>
                <c:pt idx="106">
                  <c:v>82773339.360997111</c:v>
                </c:pt>
                <c:pt idx="107">
                  <c:v>88109511.527622432</c:v>
                </c:pt>
                <c:pt idx="108">
                  <c:v>91705442.435299113</c:v>
                </c:pt>
                <c:pt idx="109">
                  <c:v>82166658.768554449</c:v>
                </c:pt>
                <c:pt idx="110">
                  <c:v>87152557.66511479</c:v>
                </c:pt>
                <c:pt idx="111">
                  <c:v>80086859.500209674</c:v>
                </c:pt>
                <c:pt idx="112">
                  <c:v>81412482.47888729</c:v>
                </c:pt>
                <c:pt idx="113">
                  <c:v>83733539.359825715</c:v>
                </c:pt>
                <c:pt idx="114">
                  <c:v>89335706.815008998</c:v>
                </c:pt>
                <c:pt idx="115">
                  <c:v>92524133.641346708</c:v>
                </c:pt>
                <c:pt idx="116">
                  <c:v>83206931.102190509</c:v>
                </c:pt>
                <c:pt idx="117">
                  <c:v>82187939.847589016</c:v>
                </c:pt>
                <c:pt idx="118">
                  <c:v>85337846.145899057</c:v>
                </c:pt>
                <c:pt idx="119">
                  <c:v>85601789.90376246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1-48EF-8E1C-DA2560EC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&lt; 50 NM 20yr Trend'!$C$1</c:f>
              <c:strCache>
                <c:ptCount val="1"/>
                <c:pt idx="0">
                  <c:v>GS_lt_50_No_CDM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&lt; 50 NM 20yr Trend'!$C$2:$C$145</c:f>
              <c:numCache>
                <c:formatCode>General</c:formatCode>
                <c:ptCount val="144"/>
                <c:pt idx="0">
                  <c:v>20997000.576903876</c:v>
                </c:pt>
                <c:pt idx="1">
                  <c:v>18534901.320222881</c:v>
                </c:pt>
                <c:pt idx="2">
                  <c:v>18954018.30274988</c:v>
                </c:pt>
                <c:pt idx="3">
                  <c:v>16925516.165353876</c:v>
                </c:pt>
                <c:pt idx="4">
                  <c:v>17278203.842076879</c:v>
                </c:pt>
                <c:pt idx="5">
                  <c:v>18191454.642888878</c:v>
                </c:pt>
                <c:pt idx="6">
                  <c:v>20105262.722413879</c:v>
                </c:pt>
                <c:pt idx="7">
                  <c:v>20523724.411321878</c:v>
                </c:pt>
                <c:pt idx="8">
                  <c:v>18157087.066119879</c:v>
                </c:pt>
                <c:pt idx="9">
                  <c:v>17337285.180696879</c:v>
                </c:pt>
                <c:pt idx="10">
                  <c:v>17481165.503934875</c:v>
                </c:pt>
                <c:pt idx="11">
                  <c:v>19459671.383054875</c:v>
                </c:pt>
                <c:pt idx="12">
                  <c:v>20364989.12032054</c:v>
                </c:pt>
                <c:pt idx="13">
                  <c:v>18205145.489051539</c:v>
                </c:pt>
                <c:pt idx="14">
                  <c:v>18513709.375034541</c:v>
                </c:pt>
                <c:pt idx="15">
                  <c:v>16824162.846801538</c:v>
                </c:pt>
                <c:pt idx="16">
                  <c:v>18405787.843161542</c:v>
                </c:pt>
                <c:pt idx="17">
                  <c:v>20461415.969543539</c:v>
                </c:pt>
                <c:pt idx="18">
                  <c:v>22795593.036033537</c:v>
                </c:pt>
                <c:pt idx="19">
                  <c:v>22116079.594250541</c:v>
                </c:pt>
                <c:pt idx="20">
                  <c:v>18334763.226206541</c:v>
                </c:pt>
                <c:pt idx="21">
                  <c:v>17072567.952336539</c:v>
                </c:pt>
                <c:pt idx="22">
                  <c:v>17395857.750683539</c:v>
                </c:pt>
                <c:pt idx="23">
                  <c:v>19655364.768977538</c:v>
                </c:pt>
                <c:pt idx="24">
                  <c:v>20433168.712788858</c:v>
                </c:pt>
                <c:pt idx="25">
                  <c:v>18248985.66093586</c:v>
                </c:pt>
                <c:pt idx="26">
                  <c:v>18891983.127054855</c:v>
                </c:pt>
                <c:pt idx="27">
                  <c:v>17089616.625273857</c:v>
                </c:pt>
                <c:pt idx="28">
                  <c:v>17878369.437173858</c:v>
                </c:pt>
                <c:pt idx="29">
                  <c:v>19789305.953011855</c:v>
                </c:pt>
                <c:pt idx="30">
                  <c:v>22703572.420684855</c:v>
                </c:pt>
                <c:pt idx="31">
                  <c:v>21542109.43368886</c:v>
                </c:pt>
                <c:pt idx="32">
                  <c:v>18050834.514007859</c:v>
                </c:pt>
                <c:pt idx="33">
                  <c:v>17206685.452281859</c:v>
                </c:pt>
                <c:pt idx="34">
                  <c:v>17348028.408182859</c:v>
                </c:pt>
                <c:pt idx="35">
                  <c:v>18974962.525991857</c:v>
                </c:pt>
                <c:pt idx="36">
                  <c:v>19511148.082728777</c:v>
                </c:pt>
                <c:pt idx="37">
                  <c:v>18256163.68848278</c:v>
                </c:pt>
                <c:pt idx="38">
                  <c:v>18096668.85844278</c:v>
                </c:pt>
                <c:pt idx="39">
                  <c:v>16541459.767637776</c:v>
                </c:pt>
                <c:pt idx="40">
                  <c:v>18171949.748051777</c:v>
                </c:pt>
                <c:pt idx="41">
                  <c:v>20403300.909939777</c:v>
                </c:pt>
                <c:pt idx="42">
                  <c:v>22861363.392034773</c:v>
                </c:pt>
                <c:pt idx="43">
                  <c:v>21118978.986886777</c:v>
                </c:pt>
                <c:pt idx="44">
                  <c:v>18170205.46941378</c:v>
                </c:pt>
                <c:pt idx="45">
                  <c:v>17220595.803868778</c:v>
                </c:pt>
                <c:pt idx="46">
                  <c:v>17668478.376731779</c:v>
                </c:pt>
                <c:pt idx="47">
                  <c:v>19040828.537305772</c:v>
                </c:pt>
                <c:pt idx="48">
                  <c:v>19918645.038127154</c:v>
                </c:pt>
                <c:pt idx="49">
                  <c:v>18479022.427723158</c:v>
                </c:pt>
                <c:pt idx="50">
                  <c:v>19344536.573703159</c:v>
                </c:pt>
                <c:pt idx="51">
                  <c:v>17496135.743099157</c:v>
                </c:pt>
                <c:pt idx="52">
                  <c:v>18053028.241128158</c:v>
                </c:pt>
                <c:pt idx="53">
                  <c:v>19266723.806833159</c:v>
                </c:pt>
                <c:pt idx="54">
                  <c:v>21311982.975834161</c:v>
                </c:pt>
                <c:pt idx="55">
                  <c:v>20411785.122910541</c:v>
                </c:pt>
                <c:pt idx="56">
                  <c:v>18727336.210364576</c:v>
                </c:pt>
                <c:pt idx="57">
                  <c:v>17638387.428440351</c:v>
                </c:pt>
                <c:pt idx="58">
                  <c:v>18020884.044720925</c:v>
                </c:pt>
                <c:pt idx="59">
                  <c:v>20066633.254348345</c:v>
                </c:pt>
                <c:pt idx="60">
                  <c:v>21303777.783872336</c:v>
                </c:pt>
                <c:pt idx="61">
                  <c:v>19099984.13925432</c:v>
                </c:pt>
                <c:pt idx="62">
                  <c:v>19585691.607345648</c:v>
                </c:pt>
                <c:pt idx="63">
                  <c:v>16922663.676998418</c:v>
                </c:pt>
                <c:pt idx="64">
                  <c:v>17613446.724568356</c:v>
                </c:pt>
                <c:pt idx="65">
                  <c:v>18970931.054170139</c:v>
                </c:pt>
                <c:pt idx="66">
                  <c:v>19855708.900343191</c:v>
                </c:pt>
                <c:pt idx="67">
                  <c:v>19611045.207169671</c:v>
                </c:pt>
                <c:pt idx="68">
                  <c:v>17643769.2377556</c:v>
                </c:pt>
                <c:pt idx="69">
                  <c:v>16849179.511326332</c:v>
                </c:pt>
                <c:pt idx="70">
                  <c:v>17791302.050130848</c:v>
                </c:pt>
                <c:pt idx="71">
                  <c:v>19279930.467506785</c:v>
                </c:pt>
                <c:pt idx="72">
                  <c:v>20206900.384172045</c:v>
                </c:pt>
                <c:pt idx="73">
                  <c:v>18912952.911405765</c:v>
                </c:pt>
                <c:pt idx="74">
                  <c:v>19087194.693129994</c:v>
                </c:pt>
                <c:pt idx="75">
                  <c:v>16822886.277402826</c:v>
                </c:pt>
                <c:pt idx="76">
                  <c:v>17571335.804700233</c:v>
                </c:pt>
                <c:pt idx="77">
                  <c:v>18388369.415220134</c:v>
                </c:pt>
                <c:pt idx="78">
                  <c:v>20279519.473623894</c:v>
                </c:pt>
                <c:pt idx="79">
                  <c:v>20702927.092459753</c:v>
                </c:pt>
                <c:pt idx="80">
                  <c:v>18321540.160444587</c:v>
                </c:pt>
                <c:pt idx="81">
                  <c:v>16809498.477666974</c:v>
                </c:pt>
                <c:pt idx="82">
                  <c:v>16699458.042118514</c:v>
                </c:pt>
                <c:pt idx="83">
                  <c:v>18067085.348473221</c:v>
                </c:pt>
                <c:pt idx="84">
                  <c:v>19133061.760733683</c:v>
                </c:pt>
                <c:pt idx="85">
                  <c:v>18058710.330862306</c:v>
                </c:pt>
                <c:pt idx="86">
                  <c:v>17926685.621340387</c:v>
                </c:pt>
                <c:pt idx="87">
                  <c:v>16527168.639966492</c:v>
                </c:pt>
                <c:pt idx="88">
                  <c:v>17576723.658702593</c:v>
                </c:pt>
                <c:pt idx="89">
                  <c:v>19532905.229509365</c:v>
                </c:pt>
                <c:pt idx="90">
                  <c:v>21956762.489117898</c:v>
                </c:pt>
                <c:pt idx="91">
                  <c:v>21900969.806323256</c:v>
                </c:pt>
                <c:pt idx="92">
                  <c:v>18789309.137700778</c:v>
                </c:pt>
                <c:pt idx="93">
                  <c:v>16955472.071180869</c:v>
                </c:pt>
                <c:pt idx="94">
                  <c:v>16751612.589217924</c:v>
                </c:pt>
                <c:pt idx="95">
                  <c:v>18774069.716664497</c:v>
                </c:pt>
                <c:pt idx="96">
                  <c:v>18732513.136596769</c:v>
                </c:pt>
                <c:pt idx="97">
                  <c:v>16467205.256596768</c:v>
                </c:pt>
                <c:pt idx="98">
                  <c:v>17473640.656596765</c:v>
                </c:pt>
                <c:pt idx="99">
                  <c:v>15740126.976596767</c:v>
                </c:pt>
                <c:pt idx="100">
                  <c:v>16539773.226596767</c:v>
                </c:pt>
                <c:pt idx="101">
                  <c:v>18287536.646596767</c:v>
                </c:pt>
                <c:pt idx="102">
                  <c:v>20148670.466596767</c:v>
                </c:pt>
                <c:pt idx="103">
                  <c:v>19087552.926596768</c:v>
                </c:pt>
                <c:pt idx="104">
                  <c:v>17404207.736596767</c:v>
                </c:pt>
                <c:pt idx="105">
                  <c:v>16833839.906596765</c:v>
                </c:pt>
                <c:pt idx="106">
                  <c:v>16525687.126596767</c:v>
                </c:pt>
                <c:pt idx="107">
                  <c:v>18537220.016596768</c:v>
                </c:pt>
                <c:pt idx="108">
                  <c:v>19001303.515027311</c:v>
                </c:pt>
                <c:pt idx="109">
                  <c:v>16610806.131532103</c:v>
                </c:pt>
                <c:pt idx="110">
                  <c:v>17318740.120735005</c:v>
                </c:pt>
                <c:pt idx="111">
                  <c:v>16017226.272302017</c:v>
                </c:pt>
                <c:pt idx="112">
                  <c:v>16921821.134000421</c:v>
                </c:pt>
                <c:pt idx="113">
                  <c:v>18917894.230369061</c:v>
                </c:pt>
                <c:pt idx="114">
                  <c:v>20639533.873314146</c:v>
                </c:pt>
                <c:pt idx="115">
                  <c:v>20163539.185281534</c:v>
                </c:pt>
                <c:pt idx="116">
                  <c:v>17735720.163342077</c:v>
                </c:pt>
                <c:pt idx="117">
                  <c:v>16132772.491475061</c:v>
                </c:pt>
                <c:pt idx="118">
                  <c:v>16564637.253296278</c:v>
                </c:pt>
                <c:pt idx="119">
                  <c:v>17253745.033177346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5-4881-9B31-969E2ACB7885}"/>
            </c:ext>
          </c:extLst>
        </c:ser>
        <c:ser>
          <c:idx val="1"/>
          <c:order val="1"/>
          <c:tx>
            <c:strRef>
              <c:f>'GS &lt; 50 NM 20yr Trend'!$V$1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&lt; 50 NM 20yr Trend'!$V$2:$V$145</c:f>
              <c:numCache>
                <c:formatCode>General</c:formatCode>
                <c:ptCount val="144"/>
                <c:pt idx="0">
                  <c:v>20804441.750678681</c:v>
                </c:pt>
                <c:pt idx="1">
                  <c:v>19097483.933156304</c:v>
                </c:pt>
                <c:pt idx="2">
                  <c:v>19334282.55531466</c:v>
                </c:pt>
                <c:pt idx="3">
                  <c:v>17555241.415058933</c:v>
                </c:pt>
                <c:pt idx="4">
                  <c:v>18636110.002738014</c:v>
                </c:pt>
                <c:pt idx="5">
                  <c:v>19913836.622796297</c:v>
                </c:pt>
                <c:pt idx="6">
                  <c:v>21968127.046169918</c:v>
                </c:pt>
                <c:pt idx="7">
                  <c:v>21492687.788477264</c:v>
                </c:pt>
                <c:pt idx="8">
                  <c:v>19060062.023628674</c:v>
                </c:pt>
                <c:pt idx="9">
                  <c:v>17820669.368759699</c:v>
                </c:pt>
                <c:pt idx="10">
                  <c:v>17890551.061147757</c:v>
                </c:pt>
                <c:pt idx="11">
                  <c:v>19891876.997223891</c:v>
                </c:pt>
                <c:pt idx="12">
                  <c:v>20370205.992572781</c:v>
                </c:pt>
                <c:pt idx="13">
                  <c:v>18765598.117686283</c:v>
                </c:pt>
                <c:pt idx="14">
                  <c:v>19096558.687069647</c:v>
                </c:pt>
                <c:pt idx="15">
                  <c:v>17374833.514690008</c:v>
                </c:pt>
                <c:pt idx="16">
                  <c:v>18496642.079423442</c:v>
                </c:pt>
                <c:pt idx="17">
                  <c:v>19835778.665063251</c:v>
                </c:pt>
                <c:pt idx="18">
                  <c:v>21865505.102204259</c:v>
                </c:pt>
                <c:pt idx="19">
                  <c:v>21357313.86286813</c:v>
                </c:pt>
                <c:pt idx="20">
                  <c:v>18867372.130143445</c:v>
                </c:pt>
                <c:pt idx="21">
                  <c:v>17578851.502809249</c:v>
                </c:pt>
                <c:pt idx="22">
                  <c:v>17603699.220437523</c:v>
                </c:pt>
                <c:pt idx="23">
                  <c:v>19572273.174870171</c:v>
                </c:pt>
                <c:pt idx="24">
                  <c:v>20206174.083025601</c:v>
                </c:pt>
                <c:pt idx="25">
                  <c:v>18564720.228790186</c:v>
                </c:pt>
                <c:pt idx="26">
                  <c:v>18920244.784406155</c:v>
                </c:pt>
                <c:pt idx="27">
                  <c:v>17018383.712987375</c:v>
                </c:pt>
                <c:pt idx="28">
                  <c:v>18140192.277720805</c:v>
                </c:pt>
                <c:pt idx="29">
                  <c:v>19450670.879422572</c:v>
                </c:pt>
                <c:pt idx="30">
                  <c:v>21590935.25461033</c:v>
                </c:pt>
                <c:pt idx="31">
                  <c:v>21107308.001506809</c:v>
                </c:pt>
                <c:pt idx="32">
                  <c:v>18584614.287138645</c:v>
                </c:pt>
                <c:pt idx="33">
                  <c:v>17316563.648331624</c:v>
                </c:pt>
                <c:pt idx="34">
                  <c:v>17435573.313184906</c:v>
                </c:pt>
                <c:pt idx="35">
                  <c:v>19490121.219431691</c:v>
                </c:pt>
                <c:pt idx="36">
                  <c:v>19984826.205602325</c:v>
                </c:pt>
                <c:pt idx="37">
                  <c:v>18839436.246153831</c:v>
                </c:pt>
                <c:pt idx="38">
                  <c:v>18784870.858797021</c:v>
                </c:pt>
                <c:pt idx="39">
                  <c:v>17026299.707068466</c:v>
                </c:pt>
                <c:pt idx="40">
                  <c:v>18131732.280980159</c:v>
                </c:pt>
                <c:pt idx="41">
                  <c:v>19429928.889565617</c:v>
                </c:pt>
                <c:pt idx="42">
                  <c:v>21582475.257869683</c:v>
                </c:pt>
                <c:pt idx="43">
                  <c:v>21131599.986409642</c:v>
                </c:pt>
                <c:pt idx="44">
                  <c:v>18711256.214677352</c:v>
                </c:pt>
                <c:pt idx="45">
                  <c:v>17410453.594226852</c:v>
                </c:pt>
                <c:pt idx="46">
                  <c:v>17455771.300382301</c:v>
                </c:pt>
                <c:pt idx="47">
                  <c:v>19391593.27317147</c:v>
                </c:pt>
                <c:pt idx="48">
                  <c:v>19816700.298349708</c:v>
                </c:pt>
                <c:pt idx="49">
                  <c:v>18203904.428052336</c:v>
                </c:pt>
                <c:pt idx="50">
                  <c:v>18563522.981373746</c:v>
                </c:pt>
                <c:pt idx="51">
                  <c:v>16858173.799815848</c:v>
                </c:pt>
                <c:pt idx="52">
                  <c:v>17992264.357665587</c:v>
                </c:pt>
                <c:pt idx="53">
                  <c:v>19327306.945599962</c:v>
                </c:pt>
                <c:pt idx="54">
                  <c:v>21426631.34373337</c:v>
                </c:pt>
                <c:pt idx="55">
                  <c:v>20938910.092924412</c:v>
                </c:pt>
                <c:pt idx="56">
                  <c:v>18420310.376261681</c:v>
                </c:pt>
                <c:pt idx="57">
                  <c:v>17172729.725981839</c:v>
                </c:pt>
                <c:pt idx="58">
                  <c:v>17258987.409191638</c:v>
                </c:pt>
                <c:pt idx="59">
                  <c:v>19313535.315438427</c:v>
                </c:pt>
                <c:pt idx="60">
                  <c:v>19824616.292430799</c:v>
                </c:pt>
                <c:pt idx="61">
                  <c:v>18142222.461141031</c:v>
                </c:pt>
                <c:pt idx="62">
                  <c:v>18436337.051175479</c:v>
                </c:pt>
                <c:pt idx="63">
                  <c:v>16550851.970578436</c:v>
                </c:pt>
                <c:pt idx="64">
                  <c:v>17615344.567435775</c:v>
                </c:pt>
                <c:pt idx="65">
                  <c:v>18864413.203556016</c:v>
                </c:pt>
                <c:pt idx="66">
                  <c:v>21021053.569565512</c:v>
                </c:pt>
                <c:pt idx="67">
                  <c:v>20590648.28663265</c:v>
                </c:pt>
                <c:pt idx="68">
                  <c:v>18227620.482776456</c:v>
                </c:pt>
                <c:pt idx="69">
                  <c:v>17025073.807256397</c:v>
                </c:pt>
                <c:pt idx="70">
                  <c:v>17131801.478993371</c:v>
                </c:pt>
                <c:pt idx="71">
                  <c:v>19186349.38524016</c:v>
                </c:pt>
                <c:pt idx="72">
                  <c:v>19693336.364527099</c:v>
                </c:pt>
                <c:pt idx="73">
                  <c:v>18113292.47587321</c:v>
                </c:pt>
                <c:pt idx="74">
                  <c:v>18403313.06820222</c:v>
                </c:pt>
                <c:pt idx="75">
                  <c:v>16603801.939419314</c:v>
                </c:pt>
                <c:pt idx="76">
                  <c:v>17725610.504152745</c:v>
                </c:pt>
                <c:pt idx="77">
                  <c:v>19117969.059963211</c:v>
                </c:pt>
                <c:pt idx="78">
                  <c:v>21188635.474158574</c:v>
                </c:pt>
                <c:pt idx="79">
                  <c:v>20565812.299070258</c:v>
                </c:pt>
                <c:pt idx="80">
                  <c:v>17989896.614531439</c:v>
                </c:pt>
                <c:pt idx="81">
                  <c:v>16656342.012437457</c:v>
                </c:pt>
                <c:pt idx="82">
                  <c:v>16734411.700236384</c:v>
                </c:pt>
                <c:pt idx="83">
                  <c:v>18715267.647785343</c:v>
                </c:pt>
                <c:pt idx="84">
                  <c:v>19275476.597242936</c:v>
                </c:pt>
                <c:pt idx="85">
                  <c:v>18195590.601081409</c:v>
                </c:pt>
                <c:pt idx="86">
                  <c:v>18177871.193073507</c:v>
                </c:pt>
                <c:pt idx="87">
                  <c:v>16476616.009221047</c:v>
                </c:pt>
                <c:pt idx="88">
                  <c:v>17643458.548714265</c:v>
                </c:pt>
                <c:pt idx="89">
                  <c:v>19007159.120586686</c:v>
                </c:pt>
                <c:pt idx="90">
                  <c:v>21159705.488890748</c:v>
                </c:pt>
                <c:pt idx="91">
                  <c:v>20696548.224314407</c:v>
                </c:pt>
                <c:pt idx="92">
                  <c:v>18235264.475527767</c:v>
                </c:pt>
                <c:pt idx="93">
                  <c:v>16922179.861960962</c:v>
                </c:pt>
                <c:pt idx="94">
                  <c:v>16885617.614007708</c:v>
                </c:pt>
                <c:pt idx="95">
                  <c:v>18772311.614331655</c:v>
                </c:pt>
                <c:pt idx="96">
                  <c:v>19267016.600502286</c:v>
                </c:pt>
                <c:pt idx="97">
                  <c:v>17600998.760034263</c:v>
                </c:pt>
                <c:pt idx="98">
                  <c:v>17944241.322533932</c:v>
                </c:pt>
                <c:pt idx="99">
                  <c:v>16111978.212107543</c:v>
                </c:pt>
                <c:pt idx="100">
                  <c:v>17201034.795197494</c:v>
                </c:pt>
                <c:pt idx="101">
                  <c:v>18523795.390015565</c:v>
                </c:pt>
                <c:pt idx="102">
                  <c:v>20627213.785854407</c:v>
                </c:pt>
                <c:pt idx="103">
                  <c:v>20278688.457030244</c:v>
                </c:pt>
                <c:pt idx="104">
                  <c:v>17874720.676119696</c:v>
                </c:pt>
                <c:pt idx="105">
                  <c:v>16500226.096971367</c:v>
                </c:pt>
                <c:pt idx="106">
                  <c:v>16598765.77329747</c:v>
                </c:pt>
                <c:pt idx="107">
                  <c:v>18612373.702489905</c:v>
                </c:pt>
                <c:pt idx="108">
                  <c:v>19160151.151915599</c:v>
                </c:pt>
                <c:pt idx="109">
                  <c:v>17383944.222870551</c:v>
                </c:pt>
                <c:pt idx="110">
                  <c:v>17665916.359576583</c:v>
                </c:pt>
                <c:pt idx="111">
                  <c:v>15919527.529687271</c:v>
                </c:pt>
                <c:pt idx="112">
                  <c:v>17073948.536276296</c:v>
                </c:pt>
                <c:pt idx="113">
                  <c:v>18412995.417766746</c:v>
                </c:pt>
                <c:pt idx="114">
                  <c:v>20491909.630139217</c:v>
                </c:pt>
                <c:pt idx="115">
                  <c:v>20000124.283007942</c:v>
                </c:pt>
                <c:pt idx="116">
                  <c:v>17571552.647353958</c:v>
                </c:pt>
                <c:pt idx="117">
                  <c:v>16356594.406057412</c:v>
                </c:pt>
                <c:pt idx="118">
                  <c:v>16540818.987494167</c:v>
                </c:pt>
                <c:pt idx="119">
                  <c:v>18562495.306564994</c:v>
                </c:pt>
                <c:pt idx="120">
                  <c:v>19079459.562087841</c:v>
                </c:pt>
                <c:pt idx="121">
                  <c:v>17299764.870929413</c:v>
                </c:pt>
                <c:pt idx="122">
                  <c:v>17580341.902790096</c:v>
                </c:pt>
                <c:pt idx="123">
                  <c:v>15834949.576361747</c:v>
                </c:pt>
                <c:pt idx="124">
                  <c:v>16990765.687796123</c:v>
                </c:pt>
                <c:pt idx="125">
                  <c:v>18330709.422401443</c:v>
                </c:pt>
                <c:pt idx="126">
                  <c:v>20409025.732697334</c:v>
                </c:pt>
                <c:pt idx="127">
                  <c:v>19916941.434527773</c:v>
                </c:pt>
                <c:pt idx="128">
                  <c:v>17488768.400258172</c:v>
                </c:pt>
                <c:pt idx="129">
                  <c:v>16275105.613460882</c:v>
                </c:pt>
                <c:pt idx="130">
                  <c:v>16462220.054934438</c:v>
                </c:pt>
                <c:pt idx="131">
                  <c:v>18485092.178158425</c:v>
                </c:pt>
                <c:pt idx="132">
                  <c:v>18905687.745337658</c:v>
                </c:pt>
                <c:pt idx="133">
                  <c:v>17583688.109760966</c:v>
                </c:pt>
                <c:pt idx="134">
                  <c:v>17404438.082241133</c:v>
                </c:pt>
                <c:pt idx="135">
                  <c:v>15659480.858628862</c:v>
                </c:pt>
                <c:pt idx="136">
                  <c:v>16815906.114005744</c:v>
                </c:pt>
                <c:pt idx="137">
                  <c:v>18156241.441145536</c:v>
                </c:pt>
                <c:pt idx="138">
                  <c:v>20234296.689751782</c:v>
                </c:pt>
                <c:pt idx="139">
                  <c:v>19742081.860737398</c:v>
                </c:pt>
                <c:pt idx="140">
                  <c:v>17314082.867594227</c:v>
                </c:pt>
                <c:pt idx="141">
                  <c:v>16100985.714457836</c:v>
                </c:pt>
                <c:pt idx="142">
                  <c:v>16289361.95409802</c:v>
                </c:pt>
                <c:pt idx="143">
                  <c:v>18312756.2007013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5-4881-9B31-969E2ACB7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NM 20yr Trend'!$C$1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NM 20yr Trend'!$C$2:$C$145</c:f>
              <c:numCache>
                <c:formatCode>General</c:formatCode>
                <c:ptCount val="144"/>
                <c:pt idx="0">
                  <c:v>85381791.869069844</c:v>
                </c:pt>
                <c:pt idx="1">
                  <c:v>77417193.552256852</c:v>
                </c:pt>
                <c:pt idx="2">
                  <c:v>79227713.989697844</c:v>
                </c:pt>
                <c:pt idx="3">
                  <c:v>71027811.664813846</c:v>
                </c:pt>
                <c:pt idx="4">
                  <c:v>68182291.644476846</c:v>
                </c:pt>
                <c:pt idx="5">
                  <c:v>70571023.231205851</c:v>
                </c:pt>
                <c:pt idx="6">
                  <c:v>74557299.569310844</c:v>
                </c:pt>
                <c:pt idx="7">
                  <c:v>79205277.562828839</c:v>
                </c:pt>
                <c:pt idx="8">
                  <c:v>75059365.060484841</c:v>
                </c:pt>
                <c:pt idx="9">
                  <c:v>74478609.626164854</c:v>
                </c:pt>
                <c:pt idx="10">
                  <c:v>74097028.329366833</c:v>
                </c:pt>
                <c:pt idx="11">
                  <c:v>80736283.954950839</c:v>
                </c:pt>
                <c:pt idx="12">
                  <c:v>85427036.528221235</c:v>
                </c:pt>
                <c:pt idx="13">
                  <c:v>77459286.107347235</c:v>
                </c:pt>
                <c:pt idx="14">
                  <c:v>79469302.564392224</c:v>
                </c:pt>
                <c:pt idx="15">
                  <c:v>71033086.461556241</c:v>
                </c:pt>
                <c:pt idx="16">
                  <c:v>75509222.108001232</c:v>
                </c:pt>
                <c:pt idx="17">
                  <c:v>81034423.714442238</c:v>
                </c:pt>
                <c:pt idx="18">
                  <c:v>85939810.851727232</c:v>
                </c:pt>
                <c:pt idx="19">
                  <c:v>86205660.129896238</c:v>
                </c:pt>
                <c:pt idx="20">
                  <c:v>75144375.415312231</c:v>
                </c:pt>
                <c:pt idx="21">
                  <c:v>73712701.595507234</c:v>
                </c:pt>
                <c:pt idx="22">
                  <c:v>76223861.515962228</c:v>
                </c:pt>
                <c:pt idx="23">
                  <c:v>82782031.24842824</c:v>
                </c:pt>
                <c:pt idx="24">
                  <c:v>87926514.089346617</c:v>
                </c:pt>
                <c:pt idx="25">
                  <c:v>79445566.339861631</c:v>
                </c:pt>
                <c:pt idx="26">
                  <c:v>83484642.099464625</c:v>
                </c:pt>
                <c:pt idx="27">
                  <c:v>73145108.283973634</c:v>
                </c:pt>
                <c:pt idx="28">
                  <c:v>74301939.895448625</c:v>
                </c:pt>
                <c:pt idx="29">
                  <c:v>79491543.190818623</c:v>
                </c:pt>
                <c:pt idx="30">
                  <c:v>85669531.856941611</c:v>
                </c:pt>
                <c:pt idx="31">
                  <c:v>85461087.222262934</c:v>
                </c:pt>
                <c:pt idx="32">
                  <c:v>75648608.630284414</c:v>
                </c:pt>
                <c:pt idx="33">
                  <c:v>74971165.15079917</c:v>
                </c:pt>
                <c:pt idx="34">
                  <c:v>75882976.979724109</c:v>
                </c:pt>
                <c:pt idx="35">
                  <c:v>79287692.662937596</c:v>
                </c:pt>
                <c:pt idx="36">
                  <c:v>83627865.943462819</c:v>
                </c:pt>
                <c:pt idx="37">
                  <c:v>78960983.658556581</c:v>
                </c:pt>
                <c:pt idx="38">
                  <c:v>78967146.21412468</c:v>
                </c:pt>
                <c:pt idx="39">
                  <c:v>70404346.904171199</c:v>
                </c:pt>
                <c:pt idx="40">
                  <c:v>76707141.256383926</c:v>
                </c:pt>
                <c:pt idx="41">
                  <c:v>81073916.050987154</c:v>
                </c:pt>
                <c:pt idx="42">
                  <c:v>86497634.17916283</c:v>
                </c:pt>
                <c:pt idx="43">
                  <c:v>84955144.682128251</c:v>
                </c:pt>
                <c:pt idx="44">
                  <c:v>75637873.117112935</c:v>
                </c:pt>
                <c:pt idx="45">
                  <c:v>75854816.158008024</c:v>
                </c:pt>
                <c:pt idx="46">
                  <c:v>76825179.447514161</c:v>
                </c:pt>
                <c:pt idx="47">
                  <c:v>78089232.601768956</c:v>
                </c:pt>
                <c:pt idx="48">
                  <c:v>86172794.297903538</c:v>
                </c:pt>
                <c:pt idx="49">
                  <c:v>80116229.569861323</c:v>
                </c:pt>
                <c:pt idx="50">
                  <c:v>83295056.131635845</c:v>
                </c:pt>
                <c:pt idx="51">
                  <c:v>75368667.834339544</c:v>
                </c:pt>
                <c:pt idx="52">
                  <c:v>76645979.128271654</c:v>
                </c:pt>
                <c:pt idx="53">
                  <c:v>77950659.403683424</c:v>
                </c:pt>
                <c:pt idx="54">
                  <c:v>82611806.230879351</c:v>
                </c:pt>
                <c:pt idx="55">
                  <c:v>81402470.109881312</c:v>
                </c:pt>
                <c:pt idx="56">
                  <c:v>76153505.586661026</c:v>
                </c:pt>
                <c:pt idx="57">
                  <c:v>77422083.680861652</c:v>
                </c:pt>
                <c:pt idx="58">
                  <c:v>79988549.467103228</c:v>
                </c:pt>
                <c:pt idx="59">
                  <c:v>83719004.850571141</c:v>
                </c:pt>
                <c:pt idx="60">
                  <c:v>96510112.683375672</c:v>
                </c:pt>
                <c:pt idx="61">
                  <c:v>85964089.963368535</c:v>
                </c:pt>
                <c:pt idx="62">
                  <c:v>88422332.078679308</c:v>
                </c:pt>
                <c:pt idx="63">
                  <c:v>76199788.927618995</c:v>
                </c:pt>
                <c:pt idx="64">
                  <c:v>78731314.204411477</c:v>
                </c:pt>
                <c:pt idx="65">
                  <c:v>82040736.439185008</c:v>
                </c:pt>
                <c:pt idx="66">
                  <c:v>83536033.436047852</c:v>
                </c:pt>
                <c:pt idx="67">
                  <c:v>82890715.101407543</c:v>
                </c:pt>
                <c:pt idx="68">
                  <c:v>78138961.690904036</c:v>
                </c:pt>
                <c:pt idx="69">
                  <c:v>78077874.416335806</c:v>
                </c:pt>
                <c:pt idx="70">
                  <c:v>81347157.776762664</c:v>
                </c:pt>
                <c:pt idx="71">
                  <c:v>84624117.962985575</c:v>
                </c:pt>
                <c:pt idx="72">
                  <c:v>91047914.988406837</c:v>
                </c:pt>
                <c:pt idx="73">
                  <c:v>84953121.000252485</c:v>
                </c:pt>
                <c:pt idx="74">
                  <c:v>85185196.803851202</c:v>
                </c:pt>
                <c:pt idx="75">
                  <c:v>74690896.334334388</c:v>
                </c:pt>
                <c:pt idx="76">
                  <c:v>77420119.172960088</c:v>
                </c:pt>
                <c:pt idx="77">
                  <c:v>80301286.449218079</c:v>
                </c:pt>
                <c:pt idx="78">
                  <c:v>84741146.439340681</c:v>
                </c:pt>
                <c:pt idx="79">
                  <c:v>85831922.046712875</c:v>
                </c:pt>
                <c:pt idx="80">
                  <c:v>81721577.513162851</c:v>
                </c:pt>
                <c:pt idx="81">
                  <c:v>77593220.91340512</c:v>
                </c:pt>
                <c:pt idx="82">
                  <c:v>77813417.982195601</c:v>
                </c:pt>
                <c:pt idx="83">
                  <c:v>79732634.01091066</c:v>
                </c:pt>
                <c:pt idx="84">
                  <c:v>87340715.811404184</c:v>
                </c:pt>
                <c:pt idx="85">
                  <c:v>83154848.343503043</c:v>
                </c:pt>
                <c:pt idx="86">
                  <c:v>82620214.015487328</c:v>
                </c:pt>
                <c:pt idx="87">
                  <c:v>76969494.488034636</c:v>
                </c:pt>
                <c:pt idx="88">
                  <c:v>79885437.080991775</c:v>
                </c:pt>
                <c:pt idx="89">
                  <c:v>84108563.980985105</c:v>
                </c:pt>
                <c:pt idx="90">
                  <c:v>89208055.874293894</c:v>
                </c:pt>
                <c:pt idx="91">
                  <c:v>92081052.006418362</c:v>
                </c:pt>
                <c:pt idx="92">
                  <c:v>82625134.428336576</c:v>
                </c:pt>
                <c:pt idx="93">
                  <c:v>79761867.387980133</c:v>
                </c:pt>
                <c:pt idx="94">
                  <c:v>79632729.527031347</c:v>
                </c:pt>
                <c:pt idx="95">
                  <c:v>85703762.977146074</c:v>
                </c:pt>
                <c:pt idx="96">
                  <c:v>89452615.289801002</c:v>
                </c:pt>
                <c:pt idx="97">
                  <c:v>79369250.509801</c:v>
                </c:pt>
                <c:pt idx="98">
                  <c:v>85130613.079801008</c:v>
                </c:pt>
                <c:pt idx="99">
                  <c:v>75264677.349801004</c:v>
                </c:pt>
                <c:pt idx="100">
                  <c:v>78986166.629801005</c:v>
                </c:pt>
                <c:pt idx="101">
                  <c:v>82979146.239801005</c:v>
                </c:pt>
                <c:pt idx="102">
                  <c:v>86438186.809800997</c:v>
                </c:pt>
                <c:pt idx="103">
                  <c:v>86020553.329801008</c:v>
                </c:pt>
                <c:pt idx="104">
                  <c:v>80922821.089800999</c:v>
                </c:pt>
                <c:pt idx="105">
                  <c:v>79895134.919800997</c:v>
                </c:pt>
                <c:pt idx="106">
                  <c:v>81623489.689801008</c:v>
                </c:pt>
                <c:pt idx="107">
                  <c:v>86732874.189801008</c:v>
                </c:pt>
                <c:pt idx="108">
                  <c:v>93400783.231379122</c:v>
                </c:pt>
                <c:pt idx="109">
                  <c:v>82408782.703978285</c:v>
                </c:pt>
                <c:pt idx="110">
                  <c:v>87484965.565347284</c:v>
                </c:pt>
                <c:pt idx="111">
                  <c:v>80547273.998100206</c:v>
                </c:pt>
                <c:pt idx="112">
                  <c:v>81380421.939878672</c:v>
                </c:pt>
                <c:pt idx="113">
                  <c:v>84189429.225478336</c:v>
                </c:pt>
                <c:pt idx="114">
                  <c:v>88386784.550160423</c:v>
                </c:pt>
                <c:pt idx="115">
                  <c:v>89941585.72763437</c:v>
                </c:pt>
                <c:pt idx="116">
                  <c:v>81054253.659961343</c:v>
                </c:pt>
                <c:pt idx="117">
                  <c:v>79879338.784629419</c:v>
                </c:pt>
                <c:pt idx="118">
                  <c:v>81359765.42074655</c:v>
                </c:pt>
                <c:pt idx="119">
                  <c:v>81470558.798187256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6-4896-AD8E-019B31349B66}"/>
            </c:ext>
          </c:extLst>
        </c:ser>
        <c:ser>
          <c:idx val="1"/>
          <c:order val="1"/>
          <c:tx>
            <c:strRef>
              <c:f>'GS &gt; 50 NM 20yr Trend'!$AB$1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NM 20yr Trend'!$AB$2:$AB$145</c:f>
              <c:numCache>
                <c:formatCode>General</c:formatCode>
                <c:ptCount val="144"/>
                <c:pt idx="0">
                  <c:v>84270055.752949297</c:v>
                </c:pt>
                <c:pt idx="1">
                  <c:v>78297998.588277787</c:v>
                </c:pt>
                <c:pt idx="2">
                  <c:v>79945254.080948338</c:v>
                </c:pt>
                <c:pt idx="3">
                  <c:v>70901936.744013473</c:v>
                </c:pt>
                <c:pt idx="4">
                  <c:v>73979630.604582369</c:v>
                </c:pt>
                <c:pt idx="5">
                  <c:v>77277542.237134337</c:v>
                </c:pt>
                <c:pt idx="6">
                  <c:v>82158214.191519111</c:v>
                </c:pt>
                <c:pt idx="7">
                  <c:v>81987670.471814677</c:v>
                </c:pt>
                <c:pt idx="8">
                  <c:v>76032705.747660562</c:v>
                </c:pt>
                <c:pt idx="9">
                  <c:v>73204122.259395763</c:v>
                </c:pt>
                <c:pt idx="10">
                  <c:v>76145015.467949226</c:v>
                </c:pt>
                <c:pt idx="11">
                  <c:v>81448141.505157843</c:v>
                </c:pt>
                <c:pt idx="12">
                  <c:v>84480931.909878746</c:v>
                </c:pt>
                <c:pt idx="13">
                  <c:v>79163029.457413927</c:v>
                </c:pt>
                <c:pt idx="14">
                  <c:v>81464439.662291184</c:v>
                </c:pt>
                <c:pt idx="15">
                  <c:v>71766967.613149613</c:v>
                </c:pt>
                <c:pt idx="16">
                  <c:v>74844661.473718509</c:v>
                </c:pt>
                <c:pt idx="17">
                  <c:v>78142573.106270477</c:v>
                </c:pt>
                <c:pt idx="18">
                  <c:v>82369090.348448545</c:v>
                </c:pt>
                <c:pt idx="19">
                  <c:v>83506856.053157538</c:v>
                </c:pt>
                <c:pt idx="20">
                  <c:v>76897736.616796702</c:v>
                </c:pt>
                <c:pt idx="21">
                  <c:v>73414998.416325182</c:v>
                </c:pt>
                <c:pt idx="22">
                  <c:v>77664201.049292073</c:v>
                </c:pt>
                <c:pt idx="23">
                  <c:v>82313172.374293983</c:v>
                </c:pt>
                <c:pt idx="24">
                  <c:v>85252037.06274201</c:v>
                </c:pt>
                <c:pt idx="25">
                  <c:v>79934134.610277206</c:v>
                </c:pt>
                <c:pt idx="26">
                  <c:v>82235544.815154478</c:v>
                </c:pt>
                <c:pt idx="27">
                  <c:v>71883918.053806186</c:v>
                </c:pt>
                <c:pt idx="28">
                  <c:v>76269921.338788494</c:v>
                </c:pt>
                <c:pt idx="29">
                  <c:v>78913678.259133756</c:v>
                </c:pt>
                <c:pt idx="30">
                  <c:v>82486040.789105117</c:v>
                </c:pt>
                <c:pt idx="31">
                  <c:v>84932115.918227509</c:v>
                </c:pt>
                <c:pt idx="32">
                  <c:v>77668841.769659981</c:v>
                </c:pt>
                <c:pt idx="33">
                  <c:v>74186103.569188461</c:v>
                </c:pt>
                <c:pt idx="34">
                  <c:v>78435306.202155352</c:v>
                </c:pt>
                <c:pt idx="35">
                  <c:v>82430122.814950556</c:v>
                </c:pt>
                <c:pt idx="36">
                  <c:v>86333515.29628244</c:v>
                </c:pt>
                <c:pt idx="37">
                  <c:v>82133986.138490364</c:v>
                </c:pt>
                <c:pt idx="38">
                  <c:v>82008713.624281466</c:v>
                </c:pt>
                <c:pt idx="39">
                  <c:v>72311241.575139895</c:v>
                </c:pt>
                <c:pt idx="40">
                  <c:v>77351399.572328925</c:v>
                </c:pt>
                <c:pt idx="41">
                  <c:v>78686847.068260759</c:v>
                </c:pt>
                <c:pt idx="42">
                  <c:v>83567519.022645533</c:v>
                </c:pt>
                <c:pt idx="43">
                  <c:v>85359439.439561233</c:v>
                </c:pt>
                <c:pt idx="44">
                  <c:v>76787855.866580278</c:v>
                </c:pt>
                <c:pt idx="45">
                  <c:v>75921736.514935598</c:v>
                </c:pt>
                <c:pt idx="46">
                  <c:v>78862629.723489061</c:v>
                </c:pt>
                <c:pt idx="47">
                  <c:v>82203291.624077559</c:v>
                </c:pt>
                <c:pt idx="48">
                  <c:v>87412820.414349079</c:v>
                </c:pt>
                <c:pt idx="49">
                  <c:v>80786608.537470877</c:v>
                </c:pt>
                <c:pt idx="50">
                  <c:v>80471399.893521279</c:v>
                </c:pt>
                <c:pt idx="51">
                  <c:v>74698856.117619962</c:v>
                </c:pt>
                <c:pt idx="52">
                  <c:v>77776549.978188857</c:v>
                </c:pt>
                <c:pt idx="53">
                  <c:v>78457842.761913985</c:v>
                </c:pt>
                <c:pt idx="54">
                  <c:v>84646824.140712187</c:v>
                </c:pt>
                <c:pt idx="55">
                  <c:v>85130435.133214459</c:v>
                </c:pt>
                <c:pt idx="56">
                  <c:v>77867160.984646916</c:v>
                </c:pt>
                <c:pt idx="57">
                  <c:v>76346886.920795545</c:v>
                </c:pt>
                <c:pt idx="58">
                  <c:v>78633625.417142287</c:v>
                </c:pt>
                <c:pt idx="59">
                  <c:v>83282596.742144212</c:v>
                </c:pt>
                <c:pt idx="60">
                  <c:v>88168462.410600126</c:v>
                </c:pt>
                <c:pt idx="61">
                  <c:v>81542250.533721909</c:v>
                </c:pt>
                <c:pt idx="62">
                  <c:v>82535351.314185739</c:v>
                </c:pt>
                <c:pt idx="63">
                  <c:v>74146188.68945758</c:v>
                </c:pt>
                <c:pt idx="64">
                  <c:v>78532191.974439889</c:v>
                </c:pt>
                <c:pt idx="65">
                  <c:v>79867639.470371738</c:v>
                </c:pt>
                <c:pt idx="66">
                  <c:v>85402466.136963233</c:v>
                </c:pt>
                <c:pt idx="67">
                  <c:v>85231922.417258784</c:v>
                </c:pt>
                <c:pt idx="68">
                  <c:v>79276957.693104669</c:v>
                </c:pt>
                <c:pt idx="69">
                  <c:v>77102528.917046577</c:v>
                </c:pt>
                <c:pt idx="70">
                  <c:v>78735112.701186627</c:v>
                </c:pt>
                <c:pt idx="71">
                  <c:v>84692393.45060195</c:v>
                </c:pt>
                <c:pt idx="72">
                  <c:v>88389203.988138244</c:v>
                </c:pt>
                <c:pt idx="73">
                  <c:v>82417146.823466748</c:v>
                </c:pt>
                <c:pt idx="74">
                  <c:v>84064402.316137269</c:v>
                </c:pt>
                <c:pt idx="75">
                  <c:v>75021084.979202405</c:v>
                </c:pt>
                <c:pt idx="76">
                  <c:v>78098778.839771301</c:v>
                </c:pt>
                <c:pt idx="77">
                  <c:v>81396690.472323269</c:v>
                </c:pt>
                <c:pt idx="78">
                  <c:v>86277362.426708058</c:v>
                </c:pt>
                <c:pt idx="79">
                  <c:v>86106818.707003623</c:v>
                </c:pt>
                <c:pt idx="80">
                  <c:v>80151853.982849494</c:v>
                </c:pt>
                <c:pt idx="81">
                  <c:v>77323270.494584695</c:v>
                </c:pt>
                <c:pt idx="82">
                  <c:v>80264163.703138158</c:v>
                </c:pt>
                <c:pt idx="83">
                  <c:v>85567289.740346789</c:v>
                </c:pt>
                <c:pt idx="84">
                  <c:v>88583684.905191973</c:v>
                </c:pt>
                <c:pt idx="85">
                  <c:v>85038310.459606603</c:v>
                </c:pt>
                <c:pt idx="86">
                  <c:v>84258883.233191013</c:v>
                </c:pt>
                <c:pt idx="87">
                  <c:v>76523875.320669562</c:v>
                </c:pt>
                <c:pt idx="88">
                  <c:v>79601569.181238458</c:v>
                </c:pt>
                <c:pt idx="89">
                  <c:v>82245326.101583719</c:v>
                </c:pt>
                <c:pt idx="90">
                  <c:v>85817688.63155508</c:v>
                </c:pt>
                <c:pt idx="91">
                  <c:v>88263763.760677472</c:v>
                </c:pt>
                <c:pt idx="92">
                  <c:v>81000489.612109944</c:v>
                </c:pt>
                <c:pt idx="93">
                  <c:v>77517751.411638424</c:v>
                </c:pt>
                <c:pt idx="94">
                  <c:v>81766954.044605315</c:v>
                </c:pt>
                <c:pt idx="95">
                  <c:v>85761770.657400519</c:v>
                </c:pt>
                <c:pt idx="96">
                  <c:v>90163351.170202747</c:v>
                </c:pt>
                <c:pt idx="97">
                  <c:v>84191294.005531251</c:v>
                </c:pt>
                <c:pt idx="98">
                  <c:v>86492704.210408494</c:v>
                </c:pt>
                <c:pt idx="99">
                  <c:v>75486922.73685348</c:v>
                </c:pt>
                <c:pt idx="100">
                  <c:v>81181235.446249232</c:v>
                </c:pt>
                <c:pt idx="101">
                  <c:v>83170837.654387772</c:v>
                </c:pt>
                <c:pt idx="102">
                  <c:v>86743200.184359148</c:v>
                </c:pt>
                <c:pt idx="103">
                  <c:v>89189275.313481539</c:v>
                </c:pt>
                <c:pt idx="104">
                  <c:v>81271846.452707291</c:v>
                </c:pt>
                <c:pt idx="105">
                  <c:v>79097417.676649198</c:v>
                </c:pt>
                <c:pt idx="106">
                  <c:v>82692465.597409368</c:v>
                </c:pt>
                <c:pt idx="107">
                  <c:v>86033127.49799788</c:v>
                </c:pt>
                <c:pt idx="108">
                  <c:v>91553876.806792051</c:v>
                </c:pt>
                <c:pt idx="109">
                  <c:v>84927664.929913849</c:v>
                </c:pt>
                <c:pt idx="110">
                  <c:v>85920765.710377663</c:v>
                </c:pt>
                <c:pt idx="111">
                  <c:v>77531603.085649505</c:v>
                </c:pt>
                <c:pt idx="112">
                  <c:v>81917606.370631829</c:v>
                </c:pt>
                <c:pt idx="113">
                  <c:v>83253053.866563663</c:v>
                </c:pt>
                <c:pt idx="114">
                  <c:v>88133725.820948452</c:v>
                </c:pt>
                <c:pt idx="115">
                  <c:v>89925646.237864137</c:v>
                </c:pt>
                <c:pt idx="116">
                  <c:v>81354062.664883181</c:v>
                </c:pt>
                <c:pt idx="117">
                  <c:v>80487943.313238502</c:v>
                </c:pt>
                <c:pt idx="118">
                  <c:v>83428836.521791965</c:v>
                </c:pt>
                <c:pt idx="119">
                  <c:v>86769498.422380477</c:v>
                </c:pt>
                <c:pt idx="120">
                  <c:v>92118840.510649338</c:v>
                </c:pt>
                <c:pt idx="121">
                  <c:v>85492628.633771122</c:v>
                </c:pt>
                <c:pt idx="122">
                  <c:v>86485729.414234966</c:v>
                </c:pt>
                <c:pt idx="123">
                  <c:v>78096566.789506808</c:v>
                </c:pt>
                <c:pt idx="124">
                  <c:v>82482570.074489117</c:v>
                </c:pt>
                <c:pt idx="125">
                  <c:v>83163862.858214244</c:v>
                </c:pt>
                <c:pt idx="126">
                  <c:v>89352844.237012446</c:v>
                </c:pt>
                <c:pt idx="127">
                  <c:v>89836455.229514718</c:v>
                </c:pt>
                <c:pt idx="128">
                  <c:v>82573181.080947191</c:v>
                </c:pt>
                <c:pt idx="129">
                  <c:v>81052907.017095804</c:v>
                </c:pt>
                <c:pt idx="130">
                  <c:v>83339645.513442561</c:v>
                </c:pt>
                <c:pt idx="131">
                  <c:v>87988616.838444471</c:v>
                </c:pt>
                <c:pt idx="132">
                  <c:v>92664605.213380262</c:v>
                </c:pt>
                <c:pt idx="133">
                  <c:v>87156766.631174773</c:v>
                </c:pt>
                <c:pt idx="134">
                  <c:v>87685648.829172567</c:v>
                </c:pt>
                <c:pt idx="135">
                  <c:v>79296486.204444423</c:v>
                </c:pt>
                <c:pt idx="136">
                  <c:v>81720025.352806613</c:v>
                </c:pt>
                <c:pt idx="137">
                  <c:v>85017936.985358566</c:v>
                </c:pt>
                <c:pt idx="138">
                  <c:v>89898608.939743355</c:v>
                </c:pt>
                <c:pt idx="139">
                  <c:v>89728065.220038936</c:v>
                </c:pt>
                <c:pt idx="140">
                  <c:v>83773100.495884806</c:v>
                </c:pt>
                <c:pt idx="141">
                  <c:v>80944517.007620007</c:v>
                </c:pt>
                <c:pt idx="142">
                  <c:v>83885410.21617347</c:v>
                </c:pt>
                <c:pt idx="143">
                  <c:v>89188536.253382087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6-4896-AD8E-019B3134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NM 20yr Trend (LC)'!$C$1</c:f>
              <c:strCache>
                <c:ptCount val="1"/>
                <c:pt idx="0">
                  <c:v>GS_gt_50_NO_CDM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NM 20yr Trend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NM 20yr Trend (LC)'!$C$2:$C$145</c:f>
              <c:numCache>
                <c:formatCode>_(* #,##0.00_);_(* \(#,##0.00\);_(* "-"??_);_(@_)</c:formatCode>
                <c:ptCount val="144"/>
                <c:pt idx="0">
                  <c:v>85159952.300793856</c:v>
                </c:pt>
                <c:pt idx="1">
                  <c:v>77150159.110703424</c:v>
                </c:pt>
                <c:pt idx="2">
                  <c:v>79013110.838498071</c:v>
                </c:pt>
                <c:pt idx="3">
                  <c:v>70823487.399611965</c:v>
                </c:pt>
                <c:pt idx="4">
                  <c:v>68038651.825646743</c:v>
                </c:pt>
                <c:pt idx="5">
                  <c:v>70398886.351568192</c:v>
                </c:pt>
                <c:pt idx="6">
                  <c:v>74398674.841547519</c:v>
                </c:pt>
                <c:pt idx="7">
                  <c:v>79119319.646282628</c:v>
                </c:pt>
                <c:pt idx="8">
                  <c:v>74924986.598501608</c:v>
                </c:pt>
                <c:pt idx="9">
                  <c:v>74286504.53798908</c:v>
                </c:pt>
                <c:pt idx="10">
                  <c:v>73914526.594761461</c:v>
                </c:pt>
                <c:pt idx="11">
                  <c:v>80547003.604175091</c:v>
                </c:pt>
                <c:pt idx="12">
                  <c:v>85230308.495070994</c:v>
                </c:pt>
                <c:pt idx="13">
                  <c:v>77285135.745971113</c:v>
                </c:pt>
                <c:pt idx="14">
                  <c:v>79275413.945330843</c:v>
                </c:pt>
                <c:pt idx="15">
                  <c:v>70858250.304670826</c:v>
                </c:pt>
                <c:pt idx="16">
                  <c:v>75323997.158593893</c:v>
                </c:pt>
                <c:pt idx="17">
                  <c:v>80844184.049799278</c:v>
                </c:pt>
                <c:pt idx="18">
                  <c:v>85724188.764418766</c:v>
                </c:pt>
                <c:pt idx="19">
                  <c:v>85962780.097131476</c:v>
                </c:pt>
                <c:pt idx="20">
                  <c:v>74966407.254957601</c:v>
                </c:pt>
                <c:pt idx="21">
                  <c:v>73516726.053443059</c:v>
                </c:pt>
                <c:pt idx="22">
                  <c:v>76037403.300678432</c:v>
                </c:pt>
                <c:pt idx="23">
                  <c:v>82527064.311934069</c:v>
                </c:pt>
                <c:pt idx="24">
                  <c:v>87683932.225609511</c:v>
                </c:pt>
                <c:pt idx="25">
                  <c:v>79180941.496457949</c:v>
                </c:pt>
                <c:pt idx="26">
                  <c:v>83137506.790608495</c:v>
                </c:pt>
                <c:pt idx="27">
                  <c:v>72823673.283491805</c:v>
                </c:pt>
                <c:pt idx="28">
                  <c:v>73981180.889955714</c:v>
                </c:pt>
                <c:pt idx="29">
                  <c:v>79181645.291618466</c:v>
                </c:pt>
                <c:pt idx="30">
                  <c:v>85355428.522644609</c:v>
                </c:pt>
                <c:pt idx="31">
                  <c:v>85134730.124835938</c:v>
                </c:pt>
                <c:pt idx="32">
                  <c:v>75323276.540084928</c:v>
                </c:pt>
                <c:pt idx="33">
                  <c:v>74615749.934455335</c:v>
                </c:pt>
                <c:pt idx="34">
                  <c:v>75520032.988204405</c:v>
                </c:pt>
                <c:pt idx="35">
                  <c:v>78915481.638556749</c:v>
                </c:pt>
                <c:pt idx="36">
                  <c:v>83288190.285758287</c:v>
                </c:pt>
                <c:pt idx="37">
                  <c:v>78654916.51969178</c:v>
                </c:pt>
                <c:pt idx="38">
                  <c:v>78745075.172397777</c:v>
                </c:pt>
                <c:pt idx="39">
                  <c:v>70171446.615070298</c:v>
                </c:pt>
                <c:pt idx="40">
                  <c:v>76476013.338874042</c:v>
                </c:pt>
                <c:pt idx="41">
                  <c:v>80853337.839558035</c:v>
                </c:pt>
                <c:pt idx="42">
                  <c:v>86305793.146108955</c:v>
                </c:pt>
                <c:pt idx="43">
                  <c:v>84730807.802490592</c:v>
                </c:pt>
                <c:pt idx="44">
                  <c:v>75430602.576494262</c:v>
                </c:pt>
                <c:pt idx="45">
                  <c:v>75643415.791813552</c:v>
                </c:pt>
                <c:pt idx="46">
                  <c:v>76619857.861313909</c:v>
                </c:pt>
                <c:pt idx="47">
                  <c:v>77899563.092276812</c:v>
                </c:pt>
                <c:pt idx="48">
                  <c:v>85968723.082716107</c:v>
                </c:pt>
                <c:pt idx="49">
                  <c:v>79915847.629030645</c:v>
                </c:pt>
                <c:pt idx="50">
                  <c:v>83098114.173459113</c:v>
                </c:pt>
                <c:pt idx="51">
                  <c:v>75176128.76717177</c:v>
                </c:pt>
                <c:pt idx="52">
                  <c:v>76467660.683634475</c:v>
                </c:pt>
                <c:pt idx="53">
                  <c:v>77849227.68931511</c:v>
                </c:pt>
                <c:pt idx="54">
                  <c:v>82540445.770245254</c:v>
                </c:pt>
                <c:pt idx="55">
                  <c:v>81226483.659076646</c:v>
                </c:pt>
                <c:pt idx="56">
                  <c:v>75974010.308642328</c:v>
                </c:pt>
                <c:pt idx="57">
                  <c:v>77227978.159034535</c:v>
                </c:pt>
                <c:pt idx="58">
                  <c:v>79798645.323323712</c:v>
                </c:pt>
                <c:pt idx="59">
                  <c:v>83545537.046774283</c:v>
                </c:pt>
                <c:pt idx="60">
                  <c:v>96326688.900008604</c:v>
                </c:pt>
                <c:pt idx="61">
                  <c:v>85795493.413305894</c:v>
                </c:pt>
                <c:pt idx="62">
                  <c:v>88242965.31564568</c:v>
                </c:pt>
                <c:pt idx="63">
                  <c:v>76032615.997099578</c:v>
                </c:pt>
                <c:pt idx="64">
                  <c:v>78518698.920610771</c:v>
                </c:pt>
                <c:pt idx="65">
                  <c:v>81857571.227659523</c:v>
                </c:pt>
                <c:pt idx="66">
                  <c:v>83348919.115916789</c:v>
                </c:pt>
                <c:pt idx="67">
                  <c:v>82700521.432717174</c:v>
                </c:pt>
                <c:pt idx="68">
                  <c:v>77960422.026261076</c:v>
                </c:pt>
                <c:pt idx="69">
                  <c:v>77895587.782433912</c:v>
                </c:pt>
                <c:pt idx="70">
                  <c:v>81173246.366913959</c:v>
                </c:pt>
                <c:pt idx="71">
                  <c:v>84448717.230596632</c:v>
                </c:pt>
                <c:pt idx="72">
                  <c:v>90862720.009125739</c:v>
                </c:pt>
                <c:pt idx="73">
                  <c:v>84772321.173713028</c:v>
                </c:pt>
                <c:pt idx="74">
                  <c:v>84997101.121091247</c:v>
                </c:pt>
                <c:pt idx="75">
                  <c:v>74517514.750061482</c:v>
                </c:pt>
                <c:pt idx="76">
                  <c:v>77248422.661444232</c:v>
                </c:pt>
                <c:pt idx="77">
                  <c:v>80126569.719912887</c:v>
                </c:pt>
                <c:pt idx="78">
                  <c:v>84547068.372462004</c:v>
                </c:pt>
                <c:pt idx="79">
                  <c:v>85635461.672809049</c:v>
                </c:pt>
                <c:pt idx="80">
                  <c:v>81535891.399642572</c:v>
                </c:pt>
                <c:pt idx="81">
                  <c:v>77401672.199904114</c:v>
                </c:pt>
                <c:pt idx="82">
                  <c:v>77630447.981231928</c:v>
                </c:pt>
                <c:pt idx="83">
                  <c:v>79549095.483397886</c:v>
                </c:pt>
                <c:pt idx="84">
                  <c:v>87169946.03208454</c:v>
                </c:pt>
                <c:pt idx="85">
                  <c:v>82995259.984632462</c:v>
                </c:pt>
                <c:pt idx="86">
                  <c:v>82448056.619322732</c:v>
                </c:pt>
                <c:pt idx="87">
                  <c:v>76779556.596543834</c:v>
                </c:pt>
                <c:pt idx="88">
                  <c:v>79686689.360070512</c:v>
                </c:pt>
                <c:pt idx="89">
                  <c:v>83872675.506474167</c:v>
                </c:pt>
                <c:pt idx="90">
                  <c:v>88955763.55474104</c:v>
                </c:pt>
                <c:pt idx="91">
                  <c:v>91795187.170724034</c:v>
                </c:pt>
                <c:pt idx="92">
                  <c:v>82362063.434793159</c:v>
                </c:pt>
                <c:pt idx="93">
                  <c:v>79489363.40802446</c:v>
                </c:pt>
                <c:pt idx="94">
                  <c:v>79335132.283126563</c:v>
                </c:pt>
                <c:pt idx="95">
                  <c:v>85381711.661736995</c:v>
                </c:pt>
                <c:pt idx="96">
                  <c:v>89104940.431942269</c:v>
                </c:pt>
                <c:pt idx="97">
                  <c:v>79064176.789072469</c:v>
                </c:pt>
                <c:pt idx="98">
                  <c:v>84805567.54640986</c:v>
                </c:pt>
                <c:pt idx="99">
                  <c:v>74954400.188771799</c:v>
                </c:pt>
                <c:pt idx="100">
                  <c:v>78674140.138522223</c:v>
                </c:pt>
                <c:pt idx="101">
                  <c:v>82671566.563594013</c:v>
                </c:pt>
                <c:pt idx="102">
                  <c:v>86176054.430500627</c:v>
                </c:pt>
                <c:pt idx="103">
                  <c:v>85719841.727218375</c:v>
                </c:pt>
                <c:pt idx="104">
                  <c:v>80616907.03949745</c:v>
                </c:pt>
                <c:pt idx="105">
                  <c:v>79586762.162742123</c:v>
                </c:pt>
                <c:pt idx="106">
                  <c:v>81281637.015617713</c:v>
                </c:pt>
                <c:pt idx="107">
                  <c:v>86442800.41125229</c:v>
                </c:pt>
                <c:pt idx="108">
                  <c:v>93065533.775852472</c:v>
                </c:pt>
                <c:pt idx="109">
                  <c:v>82075594.518568248</c:v>
                </c:pt>
                <c:pt idx="110">
                  <c:v>87168792.866108581</c:v>
                </c:pt>
                <c:pt idx="111">
                  <c:v>80266356.00638777</c:v>
                </c:pt>
                <c:pt idx="112">
                  <c:v>81142404.969656065</c:v>
                </c:pt>
                <c:pt idx="113">
                  <c:v>83962098.407322794</c:v>
                </c:pt>
                <c:pt idx="114">
                  <c:v>88154358.02033484</c:v>
                </c:pt>
                <c:pt idx="115">
                  <c:v>89701635.106067449</c:v>
                </c:pt>
                <c:pt idx="116">
                  <c:v>80810700.426849648</c:v>
                </c:pt>
                <c:pt idx="117">
                  <c:v>79623950.011380896</c:v>
                </c:pt>
                <c:pt idx="118">
                  <c:v>81146978.237552956</c:v>
                </c:pt>
                <c:pt idx="119">
                  <c:v>81291484.354706481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4-445E-9F59-F1BBBD361C6E}"/>
            </c:ext>
          </c:extLst>
        </c:ser>
        <c:ser>
          <c:idx val="1"/>
          <c:order val="1"/>
          <c:tx>
            <c:strRef>
              <c:f>'GS &gt; 50 NM 20yr Trend (LC)'!$AB$1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NM 20yr Trend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 &gt; 50 NM 20yr Trend (LC)'!$AB$2:$AB$145</c:f>
              <c:numCache>
                <c:formatCode>General</c:formatCode>
                <c:ptCount val="144"/>
                <c:pt idx="0">
                  <c:v>84061935.478475481</c:v>
                </c:pt>
                <c:pt idx="1">
                  <c:v>78091171.949212417</c:v>
                </c:pt>
                <c:pt idx="2">
                  <c:v>79736617.173860714</c:v>
                </c:pt>
                <c:pt idx="3">
                  <c:v>70707562.131753922</c:v>
                </c:pt>
                <c:pt idx="4">
                  <c:v>73793366.376982421</c:v>
                </c:pt>
                <c:pt idx="5">
                  <c:v>77091799.053496584</c:v>
                </c:pt>
                <c:pt idx="6">
                  <c:v>81960029.204613253</c:v>
                </c:pt>
                <c:pt idx="7">
                  <c:v>81797972.598035812</c:v>
                </c:pt>
                <c:pt idx="8">
                  <c:v>75838203.906909734</c:v>
                </c:pt>
                <c:pt idx="9">
                  <c:v>73010344.217317969</c:v>
                </c:pt>
                <c:pt idx="10">
                  <c:v>75940831.64868933</c:v>
                </c:pt>
                <c:pt idx="11">
                  <c:v>81243376.04664132</c:v>
                </c:pt>
                <c:pt idx="12">
                  <c:v>84271272.156107679</c:v>
                </c:pt>
                <c:pt idx="13">
                  <c:v>78948195.786003023</c:v>
                </c:pt>
                <c:pt idx="14">
                  <c:v>81241328.169809729</c:v>
                </c:pt>
                <c:pt idx="15">
                  <c:v>71564585.968544528</c:v>
                </c:pt>
                <c:pt idx="16">
                  <c:v>74650390.213773027</c:v>
                </c:pt>
                <c:pt idx="17">
                  <c:v>77948822.890287191</c:v>
                </c:pt>
                <c:pt idx="18">
                  <c:v>82169365.882245481</c:v>
                </c:pt>
                <c:pt idx="19">
                  <c:v>83302683.593984812</c:v>
                </c:pt>
                <c:pt idx="20">
                  <c:v>76695227.743700325</c:v>
                </c:pt>
                <c:pt idx="21">
                  <c:v>73219680.894950166</c:v>
                </c:pt>
                <c:pt idx="22">
                  <c:v>77445542.644638345</c:v>
                </c:pt>
                <c:pt idx="23">
                  <c:v>82100399.883431941</c:v>
                </c:pt>
                <c:pt idx="24">
                  <c:v>85035239.686348379</c:v>
                </c:pt>
                <c:pt idx="25">
                  <c:v>79712163.316243708</c:v>
                </c:pt>
                <c:pt idx="26">
                  <c:v>82005295.700050429</c:v>
                </c:pt>
                <c:pt idx="27">
                  <c:v>71680866.339626819</c:v>
                </c:pt>
                <c:pt idx="28">
                  <c:v>76062044.903172135</c:v>
                </c:pt>
                <c:pt idx="29">
                  <c:v>78712790.42052789</c:v>
                </c:pt>
                <c:pt idx="30">
                  <c:v>82285646.253327757</c:v>
                </c:pt>
                <c:pt idx="31">
                  <c:v>84714338.283383921</c:v>
                </c:pt>
                <c:pt idx="32">
                  <c:v>77459195.27394104</c:v>
                </c:pt>
                <c:pt idx="33">
                  <c:v>73983648.425190851</c:v>
                </c:pt>
                <c:pt idx="34">
                  <c:v>78209510.174879044</c:v>
                </c:pt>
                <c:pt idx="35">
                  <c:v>82216680.254514217</c:v>
                </c:pt>
                <c:pt idx="36">
                  <c:v>86106294.908856958</c:v>
                </c:pt>
                <c:pt idx="37">
                  <c:v>81905990.908467054</c:v>
                </c:pt>
                <c:pt idx="38">
                  <c:v>81780976.604242206</c:v>
                </c:pt>
                <c:pt idx="39">
                  <c:v>72104234.40297699</c:v>
                </c:pt>
                <c:pt idx="40">
                  <c:v>77133100.125680715</c:v>
                </c:pt>
                <c:pt idx="41">
                  <c:v>78488471.324719667</c:v>
                </c:pt>
                <c:pt idx="42">
                  <c:v>83356701.475836337</c:v>
                </c:pt>
                <c:pt idx="43">
                  <c:v>85137706.346734107</c:v>
                </c:pt>
                <c:pt idx="44">
                  <c:v>76587189.018974409</c:v>
                </c:pt>
                <c:pt idx="45">
                  <c:v>75702390.806857854</c:v>
                </c:pt>
                <c:pt idx="46">
                  <c:v>78632878.23822923</c:v>
                </c:pt>
                <c:pt idx="47">
                  <c:v>81992361.158706009</c:v>
                </c:pt>
                <c:pt idx="48">
                  <c:v>87175197.131018892</c:v>
                </c:pt>
                <c:pt idx="49">
                  <c:v>80556746.442597419</c:v>
                </c:pt>
                <c:pt idx="50">
                  <c:v>80259130.189770505</c:v>
                </c:pt>
                <c:pt idx="51">
                  <c:v>74468510.943455726</c:v>
                </c:pt>
                <c:pt idx="52">
                  <c:v>77554315.188684225</c:v>
                </c:pt>
                <c:pt idx="53">
                  <c:v>78261999.228564784</c:v>
                </c:pt>
                <c:pt idx="54">
                  <c:v>84425603.69799827</c:v>
                </c:pt>
                <c:pt idx="55">
                  <c:v>84911234.250579238</c:v>
                </c:pt>
                <c:pt idx="56">
                  <c:v>77656091.241136327</c:v>
                </c:pt>
                <c:pt idx="57">
                  <c:v>76123605.869861364</c:v>
                </c:pt>
                <c:pt idx="58">
                  <c:v>78406406.142074347</c:v>
                </c:pt>
                <c:pt idx="59">
                  <c:v>83061263.380867928</c:v>
                </c:pt>
                <c:pt idx="60">
                  <c:v>87923844.637106046</c:v>
                </c:pt>
                <c:pt idx="61">
                  <c:v>81305393.948684573</c:v>
                </c:pt>
                <c:pt idx="62">
                  <c:v>82303152.014174491</c:v>
                </c:pt>
                <c:pt idx="63">
                  <c:v>73921784.131226078</c:v>
                </c:pt>
                <c:pt idx="64">
                  <c:v>78302962.694771394</c:v>
                </c:pt>
                <c:pt idx="65">
                  <c:v>79658333.893810362</c:v>
                </c:pt>
                <c:pt idx="66">
                  <c:v>85174251.204085425</c:v>
                </c:pt>
                <c:pt idx="67">
                  <c:v>85012194.597507983</c:v>
                </c:pt>
                <c:pt idx="68">
                  <c:v>79052425.906381905</c:v>
                </c:pt>
                <c:pt idx="69">
                  <c:v>76872253.375948533</c:v>
                </c:pt>
                <c:pt idx="70">
                  <c:v>78507366.489003107</c:v>
                </c:pt>
                <c:pt idx="71">
                  <c:v>84457598.046113491</c:v>
                </c:pt>
                <c:pt idx="72">
                  <c:v>88142955.417516857</c:v>
                </c:pt>
                <c:pt idx="73">
                  <c:v>82172191.888253808</c:v>
                </c:pt>
                <c:pt idx="74">
                  <c:v>83817637.112902105</c:v>
                </c:pt>
                <c:pt idx="75">
                  <c:v>74788582.070795313</c:v>
                </c:pt>
                <c:pt idx="76">
                  <c:v>77874386.316023812</c:v>
                </c:pt>
                <c:pt idx="77">
                  <c:v>81172818.992537975</c:v>
                </c:pt>
                <c:pt idx="78">
                  <c:v>86041049.143654659</c:v>
                </c:pt>
                <c:pt idx="79">
                  <c:v>85878992.537077203</c:v>
                </c:pt>
                <c:pt idx="80">
                  <c:v>79919223.84595111</c:v>
                </c:pt>
                <c:pt idx="81">
                  <c:v>77091364.156359345</c:v>
                </c:pt>
                <c:pt idx="82">
                  <c:v>80021851.587730736</c:v>
                </c:pt>
                <c:pt idx="83">
                  <c:v>85324395.985682726</c:v>
                </c:pt>
                <c:pt idx="84">
                  <c:v>88336048.615425169</c:v>
                </c:pt>
                <c:pt idx="85">
                  <c:v>84783431.774193645</c:v>
                </c:pt>
                <c:pt idx="86">
                  <c:v>84010730.310810387</c:v>
                </c:pt>
                <c:pt idx="87">
                  <c:v>76277049.587020397</c:v>
                </c:pt>
                <c:pt idx="88">
                  <c:v>79362853.832248896</c:v>
                </c:pt>
                <c:pt idx="89">
                  <c:v>82013599.349604681</c:v>
                </c:pt>
                <c:pt idx="90">
                  <c:v>85586455.182404548</c:v>
                </c:pt>
                <c:pt idx="91">
                  <c:v>88015147.212460712</c:v>
                </c:pt>
                <c:pt idx="92">
                  <c:v>80760004.203017831</c:v>
                </c:pt>
                <c:pt idx="93">
                  <c:v>77284457.354267642</c:v>
                </c:pt>
                <c:pt idx="94">
                  <c:v>81510319.10395582</c:v>
                </c:pt>
                <c:pt idx="95">
                  <c:v>85517489.183591008</c:v>
                </c:pt>
                <c:pt idx="96">
                  <c:v>89900680.46439594</c:v>
                </c:pt>
                <c:pt idx="97">
                  <c:v>83929916.935132876</c:v>
                </c:pt>
                <c:pt idx="98">
                  <c:v>86223049.318939582</c:v>
                </c:pt>
                <c:pt idx="99">
                  <c:v>75250932.799357563</c:v>
                </c:pt>
                <c:pt idx="100">
                  <c:v>80927485.681219697</c:v>
                </c:pt>
                <c:pt idx="101">
                  <c:v>82930544.039417043</c:v>
                </c:pt>
                <c:pt idx="102">
                  <c:v>86503399.872216925</c:v>
                </c:pt>
                <c:pt idx="103">
                  <c:v>88932091.902273074</c:v>
                </c:pt>
                <c:pt idx="104">
                  <c:v>81029261.733671799</c:v>
                </c:pt>
                <c:pt idx="105">
                  <c:v>78849089.203238428</c:v>
                </c:pt>
                <c:pt idx="106">
                  <c:v>82427263.793768212</c:v>
                </c:pt>
                <c:pt idx="107">
                  <c:v>85786746.714244992</c:v>
                </c:pt>
                <c:pt idx="108">
                  <c:v>91277922.437645152</c:v>
                </c:pt>
                <c:pt idx="109">
                  <c:v>84659471.749223679</c:v>
                </c:pt>
                <c:pt idx="110">
                  <c:v>85657229.814713597</c:v>
                </c:pt>
                <c:pt idx="111">
                  <c:v>77275861.931765184</c:v>
                </c:pt>
                <c:pt idx="112">
                  <c:v>81657040.4953105</c:v>
                </c:pt>
                <c:pt idx="113">
                  <c:v>83012411.694349468</c:v>
                </c:pt>
                <c:pt idx="114">
                  <c:v>87880641.845466137</c:v>
                </c:pt>
                <c:pt idx="115">
                  <c:v>89661646.716363892</c:v>
                </c:pt>
                <c:pt idx="116">
                  <c:v>81111129.388604194</c:v>
                </c:pt>
                <c:pt idx="117">
                  <c:v>80226331.176487625</c:v>
                </c:pt>
                <c:pt idx="118">
                  <c:v>83156818.607859001</c:v>
                </c:pt>
                <c:pt idx="119">
                  <c:v>86516301.52833578</c:v>
                </c:pt>
                <c:pt idx="120">
                  <c:v>91837656.63720122</c:v>
                </c:pt>
                <c:pt idx="121">
                  <c:v>85219205.948779762</c:v>
                </c:pt>
                <c:pt idx="122">
                  <c:v>86216964.01426965</c:v>
                </c:pt>
                <c:pt idx="123">
                  <c:v>77835596.131321266</c:v>
                </c:pt>
                <c:pt idx="124">
                  <c:v>82216774.694866568</c:v>
                </c:pt>
                <c:pt idx="125">
                  <c:v>82924458.734747127</c:v>
                </c:pt>
                <c:pt idx="126">
                  <c:v>89088063.204180613</c:v>
                </c:pt>
                <c:pt idx="127">
                  <c:v>89573693.756761551</c:v>
                </c:pt>
                <c:pt idx="128">
                  <c:v>82318550.747318685</c:v>
                </c:pt>
                <c:pt idx="129">
                  <c:v>80786065.376043707</c:v>
                </c:pt>
                <c:pt idx="130">
                  <c:v>83068865.648256689</c:v>
                </c:pt>
                <c:pt idx="131">
                  <c:v>87723722.887050271</c:v>
                </c:pt>
                <c:pt idx="132">
                  <c:v>92378369.548390642</c:v>
                </c:pt>
                <c:pt idx="133">
                  <c:v>86882691.229683936</c:v>
                </c:pt>
                <c:pt idx="134">
                  <c:v>87405364.084617481</c:v>
                </c:pt>
                <c:pt idx="135">
                  <c:v>79023996.201669097</c:v>
                </c:pt>
                <c:pt idx="136">
                  <c:v>81462113.287739187</c:v>
                </c:pt>
                <c:pt idx="137">
                  <c:v>84760545.964253351</c:v>
                </c:pt>
                <c:pt idx="138">
                  <c:v>89628776.115370035</c:v>
                </c:pt>
                <c:pt idx="139">
                  <c:v>89466719.508792579</c:v>
                </c:pt>
                <c:pt idx="140">
                  <c:v>83506950.817666501</c:v>
                </c:pt>
                <c:pt idx="141">
                  <c:v>80679091.128074735</c:v>
                </c:pt>
                <c:pt idx="142">
                  <c:v>83609578.559446126</c:v>
                </c:pt>
                <c:pt idx="143">
                  <c:v>88912122.957398117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4-445E-9F59-F1BBBD361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'Intermediate NM 20yr Trend'!$C$1</c:f>
              <c:strCache>
                <c:ptCount val="1"/>
                <c:pt idx="0">
                  <c:v>Intermediate_NO_CDM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'Intermediate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'Intermediate NM 20yr Trend'!$C$2:$C$145</c:f>
              <c:numCache>
                <c:formatCode>General</c:formatCode>
                <c:ptCount val="144"/>
                <c:pt idx="0">
                  <c:v>4415320.5250500003</c:v>
                </c:pt>
                <c:pt idx="1">
                  <c:v>4063549.3825500002</c:v>
                </c:pt>
                <c:pt idx="2">
                  <c:v>4547876.9075999996</c:v>
                </c:pt>
                <c:pt idx="3">
                  <c:v>4092154.0065000001</c:v>
                </c:pt>
                <c:pt idx="4">
                  <c:v>4275362.9309440004</c:v>
                </c:pt>
                <c:pt idx="5">
                  <c:v>4339364.1067150002</c:v>
                </c:pt>
                <c:pt idx="6">
                  <c:v>4830360.0326429997</c:v>
                </c:pt>
                <c:pt idx="7">
                  <c:v>4185937.0571420002</c:v>
                </c:pt>
                <c:pt idx="8">
                  <c:v>4066294.1067980002</c:v>
                </c:pt>
                <c:pt idx="9">
                  <c:v>4216044.9663699996</c:v>
                </c:pt>
                <c:pt idx="10">
                  <c:v>4135261.855149</c:v>
                </c:pt>
                <c:pt idx="11">
                  <c:v>4139276.0675209998</c:v>
                </c:pt>
                <c:pt idx="12">
                  <c:v>3680290.2110469998</c:v>
                </c:pt>
                <c:pt idx="13">
                  <c:v>3458917.2119789999</c:v>
                </c:pt>
                <c:pt idx="14">
                  <c:v>3961328.3825309998</c:v>
                </c:pt>
                <c:pt idx="15">
                  <c:v>3819290.2417009999</c:v>
                </c:pt>
                <c:pt idx="16">
                  <c:v>4025317.4492390002</c:v>
                </c:pt>
                <c:pt idx="17">
                  <c:v>4225303.8981990004</c:v>
                </c:pt>
                <c:pt idx="18">
                  <c:v>4362344.081638</c:v>
                </c:pt>
                <c:pt idx="19">
                  <c:v>4421103.6722379997</c:v>
                </c:pt>
                <c:pt idx="20">
                  <c:v>4336552.6475419998</c:v>
                </c:pt>
                <c:pt idx="21">
                  <c:v>4409060.9406300001</c:v>
                </c:pt>
                <c:pt idx="22">
                  <c:v>4233860.37414</c:v>
                </c:pt>
                <c:pt idx="23">
                  <c:v>4138518.7720019999</c:v>
                </c:pt>
                <c:pt idx="24">
                  <c:v>4225575.7611889997</c:v>
                </c:pt>
                <c:pt idx="25">
                  <c:v>3677829.2420740002</c:v>
                </c:pt>
                <c:pt idx="26">
                  <c:v>4008991.4056159998</c:v>
                </c:pt>
                <c:pt idx="27">
                  <c:v>3911881.7842620001</c:v>
                </c:pt>
                <c:pt idx="28">
                  <c:v>4672710.2646949999</c:v>
                </c:pt>
                <c:pt idx="29">
                  <c:v>4411205.0579040004</c:v>
                </c:pt>
                <c:pt idx="30">
                  <c:v>4410294.6933960002</c:v>
                </c:pt>
                <c:pt idx="31">
                  <c:v>3989309.9328839998</c:v>
                </c:pt>
                <c:pt idx="32">
                  <c:v>3961994.71691</c:v>
                </c:pt>
                <c:pt idx="33">
                  <c:v>4046724.6678829999</c:v>
                </c:pt>
                <c:pt idx="34">
                  <c:v>3772717.8805010002</c:v>
                </c:pt>
                <c:pt idx="35">
                  <c:v>3705335.743148</c:v>
                </c:pt>
                <c:pt idx="36">
                  <c:v>3676968.9810556835</c:v>
                </c:pt>
                <c:pt idx="37">
                  <c:v>3497416.8930946835</c:v>
                </c:pt>
                <c:pt idx="38">
                  <c:v>3797437.6184126833</c:v>
                </c:pt>
                <c:pt idx="39">
                  <c:v>3517504.1996336835</c:v>
                </c:pt>
                <c:pt idx="40">
                  <c:v>4044937.4375086837</c:v>
                </c:pt>
                <c:pt idx="41">
                  <c:v>4101522.8000286836</c:v>
                </c:pt>
                <c:pt idx="42">
                  <c:v>4189025.0907676835</c:v>
                </c:pt>
                <c:pt idx="43">
                  <c:v>4037293.3264716836</c:v>
                </c:pt>
                <c:pt idx="44">
                  <c:v>3505149.0576776834</c:v>
                </c:pt>
                <c:pt idx="45">
                  <c:v>3665713.2215106837</c:v>
                </c:pt>
                <c:pt idx="46">
                  <c:v>4332336.8526676828</c:v>
                </c:pt>
                <c:pt idx="47">
                  <c:v>3431298.8417096836</c:v>
                </c:pt>
                <c:pt idx="48">
                  <c:v>3650792.2621592293</c:v>
                </c:pt>
                <c:pt idx="49">
                  <c:v>3160249.3168802294</c:v>
                </c:pt>
                <c:pt idx="50">
                  <c:v>2795571.2968722293</c:v>
                </c:pt>
                <c:pt idx="51">
                  <c:v>3642488.5188232292</c:v>
                </c:pt>
                <c:pt idx="52">
                  <c:v>4167859.4824122293</c:v>
                </c:pt>
                <c:pt idx="53">
                  <c:v>4054002.5970822293</c:v>
                </c:pt>
                <c:pt idx="54">
                  <c:v>4267179.141496229</c:v>
                </c:pt>
                <c:pt idx="55">
                  <c:v>3913373.0792622296</c:v>
                </c:pt>
                <c:pt idx="56">
                  <c:v>4476539.753896229</c:v>
                </c:pt>
                <c:pt idx="57">
                  <c:v>4212272.7133522294</c:v>
                </c:pt>
                <c:pt idx="58">
                  <c:v>3811378.5648942296</c:v>
                </c:pt>
                <c:pt idx="59">
                  <c:v>3578441.9494242296</c:v>
                </c:pt>
                <c:pt idx="60">
                  <c:v>3977286.2197341081</c:v>
                </c:pt>
                <c:pt idx="61">
                  <c:v>3319296.860103108</c:v>
                </c:pt>
                <c:pt idx="62">
                  <c:v>3885375.2901031082</c:v>
                </c:pt>
                <c:pt idx="63">
                  <c:v>3911958.4601031081</c:v>
                </c:pt>
                <c:pt idx="64">
                  <c:v>3824996.2101031081</c:v>
                </c:pt>
                <c:pt idx="65">
                  <c:v>4134163.2601031079</c:v>
                </c:pt>
                <c:pt idx="66">
                  <c:v>4416922.860103108</c:v>
                </c:pt>
                <c:pt idx="67">
                  <c:v>4004879.6001031082</c:v>
                </c:pt>
                <c:pt idx="68">
                  <c:v>4146273.0001031081</c:v>
                </c:pt>
                <c:pt idx="69">
                  <c:v>4193404.650103108</c:v>
                </c:pt>
                <c:pt idx="70">
                  <c:v>3890694.840103108</c:v>
                </c:pt>
                <c:pt idx="71">
                  <c:v>3891709.5801031082</c:v>
                </c:pt>
                <c:pt idx="72">
                  <c:v>4093961.0032661795</c:v>
                </c:pt>
                <c:pt idx="73">
                  <c:v>3523842.6232661791</c:v>
                </c:pt>
                <c:pt idx="74">
                  <c:v>3811662.5532661793</c:v>
                </c:pt>
                <c:pt idx="75">
                  <c:v>3577372.4732661792</c:v>
                </c:pt>
                <c:pt idx="76">
                  <c:v>3991285.1132661793</c:v>
                </c:pt>
                <c:pt idx="77">
                  <c:v>3758112.9032661794</c:v>
                </c:pt>
                <c:pt idx="78">
                  <c:v>4199678.1332661798</c:v>
                </c:pt>
                <c:pt idx="79">
                  <c:v>3385911.6132661789</c:v>
                </c:pt>
                <c:pt idx="80">
                  <c:v>3774070.6732661794</c:v>
                </c:pt>
                <c:pt idx="81">
                  <c:v>3704194.3132661795</c:v>
                </c:pt>
                <c:pt idx="82">
                  <c:v>3527052.9232661789</c:v>
                </c:pt>
                <c:pt idx="83">
                  <c:v>3267111.6732661794</c:v>
                </c:pt>
                <c:pt idx="84">
                  <c:v>3533933.7732470939</c:v>
                </c:pt>
                <c:pt idx="85">
                  <c:v>3495480.8832470938</c:v>
                </c:pt>
                <c:pt idx="86">
                  <c:v>3636082.5632470935</c:v>
                </c:pt>
                <c:pt idx="87">
                  <c:v>3430288.7432470941</c:v>
                </c:pt>
                <c:pt idx="88">
                  <c:v>3783247.3232470937</c:v>
                </c:pt>
                <c:pt idx="89">
                  <c:v>4068589.4732470941</c:v>
                </c:pt>
                <c:pt idx="90">
                  <c:v>3984566.7832470937</c:v>
                </c:pt>
                <c:pt idx="91">
                  <c:v>3315041.8332470939</c:v>
                </c:pt>
                <c:pt idx="92">
                  <c:v>3610685.643247094</c:v>
                </c:pt>
                <c:pt idx="93">
                  <c:v>3809029.3432470937</c:v>
                </c:pt>
                <c:pt idx="94">
                  <c:v>3762256.7532470939</c:v>
                </c:pt>
                <c:pt idx="95">
                  <c:v>4040160.4732470936</c:v>
                </c:pt>
                <c:pt idx="96">
                  <c:v>4673482.8519639345</c:v>
                </c:pt>
                <c:pt idx="97">
                  <c:v>3160702.7119639348</c:v>
                </c:pt>
                <c:pt idx="98">
                  <c:v>3516291.0219639349</c:v>
                </c:pt>
                <c:pt idx="99">
                  <c:v>3257803.3419639347</c:v>
                </c:pt>
                <c:pt idx="100">
                  <c:v>3505256.1119639347</c:v>
                </c:pt>
                <c:pt idx="101">
                  <c:v>3900962.201963935</c:v>
                </c:pt>
                <c:pt idx="102">
                  <c:v>3948803.201963935</c:v>
                </c:pt>
                <c:pt idx="103">
                  <c:v>2923548.0019639349</c:v>
                </c:pt>
                <c:pt idx="104">
                  <c:v>3551345.6319639347</c:v>
                </c:pt>
                <c:pt idx="105">
                  <c:v>4675960.2019639341</c:v>
                </c:pt>
                <c:pt idx="106">
                  <c:v>3582167.1319639347</c:v>
                </c:pt>
                <c:pt idx="107">
                  <c:v>4051590.7719639349</c:v>
                </c:pt>
                <c:pt idx="108">
                  <c:v>3830105.218467033</c:v>
                </c:pt>
                <c:pt idx="109">
                  <c:v>3294091.5384670328</c:v>
                </c:pt>
                <c:pt idx="110">
                  <c:v>3181748.4384670327</c:v>
                </c:pt>
                <c:pt idx="111">
                  <c:v>3438894.3684670329</c:v>
                </c:pt>
                <c:pt idx="112">
                  <c:v>3285743.2084670328</c:v>
                </c:pt>
                <c:pt idx="113">
                  <c:v>3353874.9084670329</c:v>
                </c:pt>
                <c:pt idx="114">
                  <c:v>3983410.6584670329</c:v>
                </c:pt>
                <c:pt idx="115">
                  <c:v>3230274.8984670327</c:v>
                </c:pt>
                <c:pt idx="116">
                  <c:v>3384714.4784670328</c:v>
                </c:pt>
                <c:pt idx="117">
                  <c:v>3691608.7784670331</c:v>
                </c:pt>
                <c:pt idx="118">
                  <c:v>3541248.8384670331</c:v>
                </c:pt>
                <c:pt idx="119">
                  <c:v>3941344.4184670327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A-4DC1-BA75-18C26FC48B4B}"/>
            </c:ext>
          </c:extLst>
        </c:ser>
        <c:ser>
          <c:idx val="1"/>
          <c:order val="1"/>
          <c:tx>
            <c:strRef>
              <c:f>'Intermediate NM 20yr Trend'!$R$1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'Intermediate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'Intermediate NM 20yr Trend'!$R$2:$R$145</c:f>
              <c:numCache>
                <c:formatCode>General</c:formatCode>
                <c:ptCount val="144"/>
                <c:pt idx="0">
                  <c:v>4176083.6011950853</c:v>
                </c:pt>
                <c:pt idx="1">
                  <c:v>3725449.5201373221</c:v>
                </c:pt>
                <c:pt idx="2">
                  <c:v>4164570.5645624078</c:v>
                </c:pt>
                <c:pt idx="3">
                  <c:v>4010521.5253322599</c:v>
                </c:pt>
                <c:pt idx="4">
                  <c:v>4153057.5279297298</c:v>
                </c:pt>
                <c:pt idx="5">
                  <c:v>4345562.1097799325</c:v>
                </c:pt>
                <c:pt idx="6">
                  <c:v>4570110.4567811321</c:v>
                </c:pt>
                <c:pt idx="7">
                  <c:v>4135787.9729807135</c:v>
                </c:pt>
                <c:pt idx="8">
                  <c:v>4201397.9844628358</c:v>
                </c:pt>
                <c:pt idx="9">
                  <c:v>4343933.9870603057</c:v>
                </c:pt>
                <c:pt idx="10">
                  <c:v>4189884.9478301583</c:v>
                </c:pt>
                <c:pt idx="11">
                  <c:v>4112761.8997153579</c:v>
                </c:pt>
                <c:pt idx="12">
                  <c:v>4107005.3813990192</c:v>
                </c:pt>
                <c:pt idx="13">
                  <c:v>3656371.300341256</c:v>
                </c:pt>
                <c:pt idx="14">
                  <c:v>4095492.3447663416</c:v>
                </c:pt>
                <c:pt idx="15">
                  <c:v>3941443.3055361942</c:v>
                </c:pt>
                <c:pt idx="16">
                  <c:v>4083979.3081336636</c:v>
                </c:pt>
                <c:pt idx="17">
                  <c:v>4276483.8899838664</c:v>
                </c:pt>
                <c:pt idx="18">
                  <c:v>4501032.236985066</c:v>
                </c:pt>
                <c:pt idx="19">
                  <c:v>4066709.7531846473</c:v>
                </c:pt>
                <c:pt idx="20">
                  <c:v>4132319.7646667697</c:v>
                </c:pt>
                <c:pt idx="21">
                  <c:v>4274855.7672642395</c:v>
                </c:pt>
                <c:pt idx="22">
                  <c:v>4120806.7280340921</c:v>
                </c:pt>
                <c:pt idx="23">
                  <c:v>4043683.6799192922</c:v>
                </c:pt>
                <c:pt idx="24">
                  <c:v>4037927.1616029534</c:v>
                </c:pt>
                <c:pt idx="25">
                  <c:v>3587293.0805451898</c:v>
                </c:pt>
                <c:pt idx="26">
                  <c:v>4026414.1249702754</c:v>
                </c:pt>
                <c:pt idx="27">
                  <c:v>3872365.0857401281</c:v>
                </c:pt>
                <c:pt idx="28">
                  <c:v>4014901.0883375979</c:v>
                </c:pt>
                <c:pt idx="29">
                  <c:v>4207405.6701878002</c:v>
                </c:pt>
                <c:pt idx="30">
                  <c:v>4431954.0171889998</c:v>
                </c:pt>
                <c:pt idx="31">
                  <c:v>3997631.5333885811</c:v>
                </c:pt>
                <c:pt idx="32">
                  <c:v>4063241.5448707039</c:v>
                </c:pt>
                <c:pt idx="33">
                  <c:v>4205777.5474681733</c:v>
                </c:pt>
                <c:pt idx="34">
                  <c:v>4051728.5082380259</c:v>
                </c:pt>
                <c:pt idx="35">
                  <c:v>3974605.460123226</c:v>
                </c:pt>
                <c:pt idx="36">
                  <c:v>3968848.9418068873</c:v>
                </c:pt>
                <c:pt idx="37">
                  <c:v>3666507.3816629322</c:v>
                </c:pt>
                <c:pt idx="38">
                  <c:v>3957335.9051742093</c:v>
                </c:pt>
                <c:pt idx="39">
                  <c:v>3803286.8659440619</c:v>
                </c:pt>
                <c:pt idx="40">
                  <c:v>3945822.8685415317</c:v>
                </c:pt>
                <c:pt idx="41">
                  <c:v>4138327.450391734</c:v>
                </c:pt>
                <c:pt idx="42">
                  <c:v>4362875.7973929346</c:v>
                </c:pt>
                <c:pt idx="43">
                  <c:v>3928553.313592515</c:v>
                </c:pt>
                <c:pt idx="44">
                  <c:v>3994163.3250746378</c:v>
                </c:pt>
                <c:pt idx="45">
                  <c:v>4136699.3276721076</c:v>
                </c:pt>
                <c:pt idx="46">
                  <c:v>3982650.2884419598</c:v>
                </c:pt>
                <c:pt idx="47">
                  <c:v>3905527.2403271599</c:v>
                </c:pt>
                <c:pt idx="48">
                  <c:v>3899770.7220108211</c:v>
                </c:pt>
                <c:pt idx="49">
                  <c:v>3449136.6409530574</c:v>
                </c:pt>
                <c:pt idx="50">
                  <c:v>3888257.6853781436</c:v>
                </c:pt>
                <c:pt idx="51">
                  <c:v>3734208.6461479957</c:v>
                </c:pt>
                <c:pt idx="52">
                  <c:v>3876744.6487454656</c:v>
                </c:pt>
                <c:pt idx="53">
                  <c:v>4069249.2305956683</c:v>
                </c:pt>
                <c:pt idx="54">
                  <c:v>4293797.5775968684</c:v>
                </c:pt>
                <c:pt idx="55">
                  <c:v>3859475.0937964492</c:v>
                </c:pt>
                <c:pt idx="56">
                  <c:v>3925085.1052785716</c:v>
                </c:pt>
                <c:pt idx="57">
                  <c:v>4067621.1078760414</c:v>
                </c:pt>
                <c:pt idx="58">
                  <c:v>3913572.0686458941</c:v>
                </c:pt>
                <c:pt idx="59">
                  <c:v>3836449.0205310937</c:v>
                </c:pt>
                <c:pt idx="60">
                  <c:v>3830692.5022147549</c:v>
                </c:pt>
                <c:pt idx="61">
                  <c:v>3380058.4211569917</c:v>
                </c:pt>
                <c:pt idx="62">
                  <c:v>3819179.4655820774</c:v>
                </c:pt>
                <c:pt idx="63">
                  <c:v>3665130.42635193</c:v>
                </c:pt>
                <c:pt idx="64">
                  <c:v>3807666.4289493999</c:v>
                </c:pt>
                <c:pt idx="65">
                  <c:v>4000171.0107996021</c:v>
                </c:pt>
                <c:pt idx="66">
                  <c:v>4224719.3578008022</c:v>
                </c:pt>
                <c:pt idx="67">
                  <c:v>3790396.8740003831</c:v>
                </c:pt>
                <c:pt idx="68">
                  <c:v>3856006.8854825054</c:v>
                </c:pt>
                <c:pt idx="69">
                  <c:v>3998542.8880799753</c:v>
                </c:pt>
                <c:pt idx="70">
                  <c:v>3844493.8488498279</c:v>
                </c:pt>
                <c:pt idx="71">
                  <c:v>3767370.8007350275</c:v>
                </c:pt>
                <c:pt idx="72">
                  <c:v>3761614.2824186888</c:v>
                </c:pt>
                <c:pt idx="73">
                  <c:v>3310980.2013609256</c:v>
                </c:pt>
                <c:pt idx="74">
                  <c:v>3750101.2457860112</c:v>
                </c:pt>
                <c:pt idx="75">
                  <c:v>3596052.2065558638</c:v>
                </c:pt>
                <c:pt idx="76">
                  <c:v>3738588.2091533337</c:v>
                </c:pt>
                <c:pt idx="77">
                  <c:v>3931092.791003536</c:v>
                </c:pt>
                <c:pt idx="78">
                  <c:v>4155641.138004736</c:v>
                </c:pt>
                <c:pt idx="79">
                  <c:v>3721318.6542043169</c:v>
                </c:pt>
                <c:pt idx="80">
                  <c:v>3786928.6656864397</c:v>
                </c:pt>
                <c:pt idx="81">
                  <c:v>3929464.6682839091</c:v>
                </c:pt>
                <c:pt idx="82">
                  <c:v>3775415.6290537617</c:v>
                </c:pt>
                <c:pt idx="83">
                  <c:v>3698292.5809389614</c:v>
                </c:pt>
                <c:pt idx="84">
                  <c:v>3692536.0626226226</c:v>
                </c:pt>
                <c:pt idx="85">
                  <c:v>3390194.5024786675</c:v>
                </c:pt>
                <c:pt idx="86">
                  <c:v>3681023.025989945</c:v>
                </c:pt>
                <c:pt idx="87">
                  <c:v>3526973.9867597977</c:v>
                </c:pt>
                <c:pt idx="88">
                  <c:v>3669509.9893572675</c:v>
                </c:pt>
                <c:pt idx="89">
                  <c:v>3862014.5712074698</c:v>
                </c:pt>
                <c:pt idx="90">
                  <c:v>4086562.9182086699</c:v>
                </c:pt>
                <c:pt idx="91">
                  <c:v>3652240.4344082512</c:v>
                </c:pt>
                <c:pt idx="92">
                  <c:v>3717850.4458903736</c:v>
                </c:pt>
                <c:pt idx="93">
                  <c:v>3860386.4484878434</c:v>
                </c:pt>
                <c:pt idx="94">
                  <c:v>3706337.409257696</c:v>
                </c:pt>
                <c:pt idx="95">
                  <c:v>3629214.3611428952</c:v>
                </c:pt>
                <c:pt idx="96">
                  <c:v>3623457.8428265564</c:v>
                </c:pt>
                <c:pt idx="97">
                  <c:v>3321116.2826826014</c:v>
                </c:pt>
                <c:pt idx="98">
                  <c:v>3611944.8061938789</c:v>
                </c:pt>
                <c:pt idx="99">
                  <c:v>3457895.7669637315</c:v>
                </c:pt>
                <c:pt idx="100">
                  <c:v>3600431.7695612013</c:v>
                </c:pt>
                <c:pt idx="101">
                  <c:v>3792936.3514114041</c:v>
                </c:pt>
                <c:pt idx="102">
                  <c:v>4017484.6984126037</c:v>
                </c:pt>
                <c:pt idx="103">
                  <c:v>3583162.214612185</c:v>
                </c:pt>
                <c:pt idx="104">
                  <c:v>3648772.2260943074</c:v>
                </c:pt>
                <c:pt idx="105">
                  <c:v>3791308.2286917772</c:v>
                </c:pt>
                <c:pt idx="106">
                  <c:v>3637259.1894616298</c:v>
                </c:pt>
                <c:pt idx="107">
                  <c:v>3560136.1413468295</c:v>
                </c:pt>
                <c:pt idx="108">
                  <c:v>3554379.6230304902</c:v>
                </c:pt>
                <c:pt idx="109">
                  <c:v>3252038.0628865352</c:v>
                </c:pt>
                <c:pt idx="110">
                  <c:v>3542866.5863978127</c:v>
                </c:pt>
                <c:pt idx="111">
                  <c:v>3388817.5471676653</c:v>
                </c:pt>
                <c:pt idx="112">
                  <c:v>3531353.5497651352</c:v>
                </c:pt>
                <c:pt idx="113">
                  <c:v>3723858.1316153379</c:v>
                </c:pt>
                <c:pt idx="114">
                  <c:v>3948406.4786165375</c:v>
                </c:pt>
                <c:pt idx="115">
                  <c:v>3514083.9948161189</c:v>
                </c:pt>
                <c:pt idx="116">
                  <c:v>3579694.0062982412</c:v>
                </c:pt>
                <c:pt idx="117">
                  <c:v>3722230.008895711</c:v>
                </c:pt>
                <c:pt idx="118">
                  <c:v>3568180.9696655637</c:v>
                </c:pt>
                <c:pt idx="119">
                  <c:v>3491057.9215507633</c:v>
                </c:pt>
                <c:pt idx="120">
                  <c:v>3485301.4032344245</c:v>
                </c:pt>
                <c:pt idx="121">
                  <c:v>3182959.8430904695</c:v>
                </c:pt>
                <c:pt idx="122">
                  <c:v>3473788.3666017465</c:v>
                </c:pt>
                <c:pt idx="123">
                  <c:v>3319739.3273715992</c:v>
                </c:pt>
                <c:pt idx="124">
                  <c:v>3462275.329969069</c:v>
                </c:pt>
                <c:pt idx="125">
                  <c:v>3654779.9118192717</c:v>
                </c:pt>
                <c:pt idx="126">
                  <c:v>3879328.2588204714</c:v>
                </c:pt>
                <c:pt idx="127">
                  <c:v>3445005.7750200527</c:v>
                </c:pt>
                <c:pt idx="128">
                  <c:v>3510615.786502175</c:v>
                </c:pt>
                <c:pt idx="129">
                  <c:v>3653151.7890996449</c:v>
                </c:pt>
                <c:pt idx="130">
                  <c:v>3499102.7498694975</c:v>
                </c:pt>
                <c:pt idx="131">
                  <c:v>3421979.7017546976</c:v>
                </c:pt>
                <c:pt idx="132">
                  <c:v>3416223.1834383584</c:v>
                </c:pt>
                <c:pt idx="133">
                  <c:v>3113881.6232944033</c:v>
                </c:pt>
                <c:pt idx="134">
                  <c:v>3404710.1468056808</c:v>
                </c:pt>
                <c:pt idx="135">
                  <c:v>3250661.107575533</c:v>
                </c:pt>
                <c:pt idx="136">
                  <c:v>3393197.1101730028</c:v>
                </c:pt>
                <c:pt idx="137">
                  <c:v>3585701.6920232056</c:v>
                </c:pt>
                <c:pt idx="138">
                  <c:v>3810250.0390244052</c:v>
                </c:pt>
                <c:pt idx="139">
                  <c:v>3375927.5552239865</c:v>
                </c:pt>
                <c:pt idx="140">
                  <c:v>3441537.5667061089</c:v>
                </c:pt>
                <c:pt idx="141">
                  <c:v>3584073.5693035787</c:v>
                </c:pt>
                <c:pt idx="142">
                  <c:v>3430024.5300734313</c:v>
                </c:pt>
                <c:pt idx="143">
                  <c:v>3352901.4819586314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A-4DC1-BA75-18C26FC4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NM 20yr Trend'!$C$1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NM 20yr Trend'!$C$2:$C$145</c:f>
              <c:numCache>
                <c:formatCode>General</c:formatCode>
                <c:ptCount val="144"/>
                <c:pt idx="0">
                  <c:v>24657854.515772</c:v>
                </c:pt>
                <c:pt idx="1">
                  <c:v>22260143.476391003</c:v>
                </c:pt>
                <c:pt idx="2">
                  <c:v>20653970.599032998</c:v>
                </c:pt>
                <c:pt idx="3">
                  <c:v>19934511.746649001</c:v>
                </c:pt>
                <c:pt idx="4">
                  <c:v>20696037.706291001</c:v>
                </c:pt>
                <c:pt idx="5">
                  <c:v>23177348.254234999</c:v>
                </c:pt>
                <c:pt idx="6">
                  <c:v>24105091.778898001</c:v>
                </c:pt>
                <c:pt idx="7">
                  <c:v>25408029.314557001</c:v>
                </c:pt>
                <c:pt idx="8">
                  <c:v>24750387.851640001</c:v>
                </c:pt>
                <c:pt idx="9">
                  <c:v>22390724.243762001</c:v>
                </c:pt>
                <c:pt idx="10">
                  <c:v>21830185.762596998</c:v>
                </c:pt>
                <c:pt idx="11">
                  <c:v>22001519.052356999</c:v>
                </c:pt>
                <c:pt idx="12">
                  <c:v>23267481.492624</c:v>
                </c:pt>
                <c:pt idx="13">
                  <c:v>21795460.432082001</c:v>
                </c:pt>
                <c:pt idx="14">
                  <c:v>23702308.642981</c:v>
                </c:pt>
                <c:pt idx="15">
                  <c:v>22434537.258079</c:v>
                </c:pt>
                <c:pt idx="16">
                  <c:v>24754424.438850001</c:v>
                </c:pt>
                <c:pt idx="17">
                  <c:v>27908850.407844998</c:v>
                </c:pt>
                <c:pt idx="18">
                  <c:v>28114606.937438</c:v>
                </c:pt>
                <c:pt idx="19">
                  <c:v>28003793.798920002</c:v>
                </c:pt>
                <c:pt idx="20">
                  <c:v>25632165.922669999</c:v>
                </c:pt>
                <c:pt idx="21">
                  <c:v>22852757.804852001</c:v>
                </c:pt>
                <c:pt idx="22">
                  <c:v>23723679.543327</c:v>
                </c:pt>
                <c:pt idx="23">
                  <c:v>22899884.576402999</c:v>
                </c:pt>
                <c:pt idx="24">
                  <c:v>25034209.612390783</c:v>
                </c:pt>
                <c:pt idx="25">
                  <c:v>23164195.346903782</c:v>
                </c:pt>
                <c:pt idx="26">
                  <c:v>26459090.230250776</c:v>
                </c:pt>
                <c:pt idx="27">
                  <c:v>25022567.66299478</c:v>
                </c:pt>
                <c:pt idx="28">
                  <c:v>26704085.36537778</c:v>
                </c:pt>
                <c:pt idx="29">
                  <c:v>28111785.629975785</c:v>
                </c:pt>
                <c:pt idx="30">
                  <c:v>30190116.641824778</c:v>
                </c:pt>
                <c:pt idx="31">
                  <c:v>30861622.659266785</c:v>
                </c:pt>
                <c:pt idx="32">
                  <c:v>28060858.582085781</c:v>
                </c:pt>
                <c:pt idx="33">
                  <c:v>27577133.736433782</c:v>
                </c:pt>
                <c:pt idx="34">
                  <c:v>25509610.906105783</c:v>
                </c:pt>
                <c:pt idx="35">
                  <c:v>24520015.174318783</c:v>
                </c:pt>
                <c:pt idx="36">
                  <c:v>24619746.910415377</c:v>
                </c:pt>
                <c:pt idx="37">
                  <c:v>23358346.485932376</c:v>
                </c:pt>
                <c:pt idx="38">
                  <c:v>25697582.403648376</c:v>
                </c:pt>
                <c:pt idx="39">
                  <c:v>22724090.569431376</c:v>
                </c:pt>
                <c:pt idx="40">
                  <c:v>26147718.708103377</c:v>
                </c:pt>
                <c:pt idx="41">
                  <c:v>27110911.66941338</c:v>
                </c:pt>
                <c:pt idx="42">
                  <c:v>28651532.946666375</c:v>
                </c:pt>
                <c:pt idx="43">
                  <c:v>29135996.964846376</c:v>
                </c:pt>
                <c:pt idx="44">
                  <c:v>26827518.381083377</c:v>
                </c:pt>
                <c:pt idx="45">
                  <c:v>26040528.23985038</c:v>
                </c:pt>
                <c:pt idx="46">
                  <c:v>24522347.921087377</c:v>
                </c:pt>
                <c:pt idx="47">
                  <c:v>22515876.246065378</c:v>
                </c:pt>
                <c:pt idx="48">
                  <c:v>23925452.935251616</c:v>
                </c:pt>
                <c:pt idx="49">
                  <c:v>22074898.569297619</c:v>
                </c:pt>
                <c:pt idx="50">
                  <c:v>25957172.465708617</c:v>
                </c:pt>
                <c:pt idx="51">
                  <c:v>25334732.869080614</c:v>
                </c:pt>
                <c:pt idx="52">
                  <c:v>26406281.115671616</c:v>
                </c:pt>
                <c:pt idx="53">
                  <c:v>26304525.374992616</c:v>
                </c:pt>
                <c:pt idx="54">
                  <c:v>25876608.308857616</c:v>
                </c:pt>
                <c:pt idx="55">
                  <c:v>27134287.862933617</c:v>
                </c:pt>
                <c:pt idx="56">
                  <c:v>24944209.616773617</c:v>
                </c:pt>
                <c:pt idx="57">
                  <c:v>25745628.725316614</c:v>
                </c:pt>
                <c:pt idx="58">
                  <c:v>24932264.781123616</c:v>
                </c:pt>
                <c:pt idx="59">
                  <c:v>22639929.518798616</c:v>
                </c:pt>
                <c:pt idx="60">
                  <c:v>26670683.232928887</c:v>
                </c:pt>
                <c:pt idx="61">
                  <c:v>23471289.154199887</c:v>
                </c:pt>
                <c:pt idx="62">
                  <c:v>25265167.314199887</c:v>
                </c:pt>
                <c:pt idx="63">
                  <c:v>22877973.494199887</c:v>
                </c:pt>
                <c:pt idx="64">
                  <c:v>28623709.664199885</c:v>
                </c:pt>
                <c:pt idx="65">
                  <c:v>30426752.654199883</c:v>
                </c:pt>
                <c:pt idx="66">
                  <c:v>28757284.464199886</c:v>
                </c:pt>
                <c:pt idx="67">
                  <c:v>29410529.954199888</c:v>
                </c:pt>
                <c:pt idx="68">
                  <c:v>23959161.474199884</c:v>
                </c:pt>
                <c:pt idx="69">
                  <c:v>25930142.964199886</c:v>
                </c:pt>
                <c:pt idx="70">
                  <c:v>24626116.624199886</c:v>
                </c:pt>
                <c:pt idx="71">
                  <c:v>22876540.304199886</c:v>
                </c:pt>
                <c:pt idx="72">
                  <c:v>23987700.533313058</c:v>
                </c:pt>
                <c:pt idx="73">
                  <c:v>23738766.70331306</c:v>
                </c:pt>
                <c:pt idx="74">
                  <c:v>25313211.343313061</c:v>
                </c:pt>
                <c:pt idx="75">
                  <c:v>24471161.113313057</c:v>
                </c:pt>
                <c:pt idx="76">
                  <c:v>27691400.053313062</c:v>
                </c:pt>
                <c:pt idx="77">
                  <c:v>28284245.943313062</c:v>
                </c:pt>
                <c:pt idx="78">
                  <c:v>28027417.573313057</c:v>
                </c:pt>
                <c:pt idx="79">
                  <c:v>29750781.553313062</c:v>
                </c:pt>
                <c:pt idx="80">
                  <c:v>26713798.003313057</c:v>
                </c:pt>
                <c:pt idx="81">
                  <c:v>25441621.893313058</c:v>
                </c:pt>
                <c:pt idx="82">
                  <c:v>24220410.913313061</c:v>
                </c:pt>
                <c:pt idx="83">
                  <c:v>23661661.963313058</c:v>
                </c:pt>
                <c:pt idx="84">
                  <c:v>25090154.590573408</c:v>
                </c:pt>
                <c:pt idx="85">
                  <c:v>24396990.330573406</c:v>
                </c:pt>
                <c:pt idx="86">
                  <c:v>27149345.800573409</c:v>
                </c:pt>
                <c:pt idx="87">
                  <c:v>27647505.130573407</c:v>
                </c:pt>
                <c:pt idx="88">
                  <c:v>28570914.350573409</c:v>
                </c:pt>
                <c:pt idx="89">
                  <c:v>29314407.180573408</c:v>
                </c:pt>
                <c:pt idx="90">
                  <c:v>30213662.17057341</c:v>
                </c:pt>
                <c:pt idx="91">
                  <c:v>31803691.650573406</c:v>
                </c:pt>
                <c:pt idx="92">
                  <c:v>28562406.850573409</c:v>
                </c:pt>
                <c:pt idx="93">
                  <c:v>27098824.600573409</c:v>
                </c:pt>
                <c:pt idx="94">
                  <c:v>25594458.180573408</c:v>
                </c:pt>
                <c:pt idx="95">
                  <c:v>23271647.370573409</c:v>
                </c:pt>
                <c:pt idx="96">
                  <c:v>24541033.237536147</c:v>
                </c:pt>
                <c:pt idx="97">
                  <c:v>22499336.237536147</c:v>
                </c:pt>
                <c:pt idx="98">
                  <c:v>24743226.817536149</c:v>
                </c:pt>
                <c:pt idx="99">
                  <c:v>23949395.767536148</c:v>
                </c:pt>
                <c:pt idx="100">
                  <c:v>25751167.427536149</c:v>
                </c:pt>
                <c:pt idx="101">
                  <c:v>28230853.497536149</c:v>
                </c:pt>
                <c:pt idx="102">
                  <c:v>29806897.697536148</c:v>
                </c:pt>
                <c:pt idx="103">
                  <c:v>28084142.757536147</c:v>
                </c:pt>
                <c:pt idx="104">
                  <c:v>27096573.647536147</c:v>
                </c:pt>
                <c:pt idx="105">
                  <c:v>26885972.587536149</c:v>
                </c:pt>
                <c:pt idx="106">
                  <c:v>24700471.057536148</c:v>
                </c:pt>
                <c:pt idx="107">
                  <c:v>23760465.877536148</c:v>
                </c:pt>
                <c:pt idx="108">
                  <c:v>25945759.032864273</c:v>
                </c:pt>
                <c:pt idx="109">
                  <c:v>23723363.452864274</c:v>
                </c:pt>
                <c:pt idx="110">
                  <c:v>27257041.482864272</c:v>
                </c:pt>
                <c:pt idx="111">
                  <c:v>25500957.362864275</c:v>
                </c:pt>
                <c:pt idx="112">
                  <c:v>29537487.852864273</c:v>
                </c:pt>
                <c:pt idx="113">
                  <c:v>30656694.902864274</c:v>
                </c:pt>
                <c:pt idx="114">
                  <c:v>30904161.792864271</c:v>
                </c:pt>
                <c:pt idx="115">
                  <c:v>30192199.592864275</c:v>
                </c:pt>
                <c:pt idx="116">
                  <c:v>28299525.392864272</c:v>
                </c:pt>
                <c:pt idx="117">
                  <c:v>25590231.122864276</c:v>
                </c:pt>
                <c:pt idx="118">
                  <c:v>23444500.422864273</c:v>
                </c:pt>
                <c:pt idx="119">
                  <c:v>21912885.452864274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8-4B13-8C93-CF9A6386BFD8}"/>
            </c:ext>
          </c:extLst>
        </c:ser>
        <c:ser>
          <c:idx val="1"/>
          <c:order val="1"/>
          <c:tx>
            <c:strRef>
              <c:f>'Large Use NM 20yr Trend'!$R$1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NM 20yr Trend'!$A$2:$A$145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NM 20yr Trend'!$R$2:$R$145</c:f>
              <c:numCache>
                <c:formatCode>General</c:formatCode>
                <c:ptCount val="144"/>
                <c:pt idx="0">
                  <c:v>24105491.288865041</c:v>
                </c:pt>
                <c:pt idx="1">
                  <c:v>21914592.647116195</c:v>
                </c:pt>
                <c:pt idx="2">
                  <c:v>23860897.351036884</c:v>
                </c:pt>
                <c:pt idx="3">
                  <c:v>23099758.117277976</c:v>
                </c:pt>
                <c:pt idx="4">
                  <c:v>25170989.808814049</c:v>
                </c:pt>
                <c:pt idx="5">
                  <c:v>25995957.336267836</c:v>
                </c:pt>
                <c:pt idx="6">
                  <c:v>26963767.234854139</c:v>
                </c:pt>
                <c:pt idx="7">
                  <c:v>28047921.204203319</c:v>
                </c:pt>
                <c:pt idx="8">
                  <c:v>25196416.998456046</c:v>
                </c:pt>
                <c:pt idx="9">
                  <c:v>24197885.154814795</c:v>
                </c:pt>
                <c:pt idx="10">
                  <c:v>23117593.219379947</c:v>
                </c:pt>
                <c:pt idx="11">
                  <c:v>21601458.997829866</c:v>
                </c:pt>
                <c:pt idx="12">
                  <c:v>23849290.93081655</c:v>
                </c:pt>
                <c:pt idx="13">
                  <c:v>21794552.318713289</c:v>
                </c:pt>
                <c:pt idx="14">
                  <c:v>23897595.394291487</c:v>
                </c:pt>
                <c:pt idx="15">
                  <c:v>23235232.202189825</c:v>
                </c:pt>
                <c:pt idx="16">
                  <c:v>25467660.906152658</c:v>
                </c:pt>
                <c:pt idx="17">
                  <c:v>26502184.549761236</c:v>
                </c:pt>
                <c:pt idx="18">
                  <c:v>27549564.03746032</c:v>
                </c:pt>
                <c:pt idx="19">
                  <c:v>28623771.808170401</c:v>
                </c:pt>
                <c:pt idx="20">
                  <c:v>25658743.748990666</c:v>
                </c:pt>
                <c:pt idx="21">
                  <c:v>24586815.818840213</c:v>
                </c:pt>
                <c:pt idx="22">
                  <c:v>23466396.116482105</c:v>
                </c:pt>
                <c:pt idx="23">
                  <c:v>22012339.893334672</c:v>
                </c:pt>
                <c:pt idx="24">
                  <c:v>24327394.410226986</c:v>
                </c:pt>
                <c:pt idx="25">
                  <c:v>22303866.283508476</c:v>
                </c:pt>
                <c:pt idx="26">
                  <c:v>24415826.640625175</c:v>
                </c:pt>
                <c:pt idx="27">
                  <c:v>23751405.614322323</c:v>
                </c:pt>
                <c:pt idx="28">
                  <c:v>25944392.496095628</c:v>
                </c:pt>
                <c:pt idx="29">
                  <c:v>26917867.058402158</c:v>
                </c:pt>
                <c:pt idx="30">
                  <c:v>27908999.077935308</c:v>
                </c:pt>
                <c:pt idx="31">
                  <c:v>28996239.798586275</c:v>
                </c:pt>
                <c:pt idx="32">
                  <c:v>26064823.031359352</c:v>
                </c:pt>
                <c:pt idx="33">
                  <c:v>24986378.626238458</c:v>
                </c:pt>
                <c:pt idx="34">
                  <c:v>23833719.521395002</c:v>
                </c:pt>
                <c:pt idx="35">
                  <c:v>22318271.244578648</c:v>
                </c:pt>
                <c:pt idx="36">
                  <c:v>24558214.813127432</c:v>
                </c:pt>
                <c:pt idx="37">
                  <c:v>23169068.295058496</c:v>
                </c:pt>
                <c:pt idx="38">
                  <c:v>24571536.095182087</c:v>
                </c:pt>
                <c:pt idx="39">
                  <c:v>23923920.714855641</c:v>
                </c:pt>
                <c:pt idx="40">
                  <c:v>26096329.25461702</c:v>
                </c:pt>
                <c:pt idx="41">
                  <c:v>27025217.409231044</c:v>
                </c:pt>
                <c:pt idx="42">
                  <c:v>28007775.119592559</c:v>
                </c:pt>
                <c:pt idx="43">
                  <c:v>29084726.669237562</c:v>
                </c:pt>
                <c:pt idx="44">
                  <c:v>26178003.912424952</c:v>
                </c:pt>
                <c:pt idx="45">
                  <c:v>25130084.047955077</c:v>
                </c:pt>
                <c:pt idx="46">
                  <c:v>24038131.052046806</c:v>
                </c:pt>
                <c:pt idx="47">
                  <c:v>22568984.044757292</c:v>
                </c:pt>
                <c:pt idx="48">
                  <c:v>24850427.269696791</c:v>
                </c:pt>
                <c:pt idx="49">
                  <c:v>22838903.17581857</c:v>
                </c:pt>
                <c:pt idx="50">
                  <c:v>24938859.50009498</c:v>
                </c:pt>
                <c:pt idx="51">
                  <c:v>24277525.225093916</c:v>
                </c:pt>
                <c:pt idx="52">
                  <c:v>26477028.581837665</c:v>
                </c:pt>
                <c:pt idx="53">
                  <c:v>27443300.724440016</c:v>
                </c:pt>
                <c:pt idx="54">
                  <c:v>28459126.754387483</c:v>
                </c:pt>
                <c:pt idx="55">
                  <c:v>29532648.580363832</c:v>
                </c:pt>
                <c:pt idx="56">
                  <c:v>26644103.358995095</c:v>
                </c:pt>
                <c:pt idx="57">
                  <c:v>25611274.278667301</c:v>
                </c:pt>
                <c:pt idx="58">
                  <c:v>24489482.686841734</c:v>
                </c:pt>
                <c:pt idx="59">
                  <c:v>22945567.703575548</c:v>
                </c:pt>
                <c:pt idx="60">
                  <c:v>25157387.538041364</c:v>
                </c:pt>
                <c:pt idx="61">
                  <c:v>23094417.58913333</c:v>
                </c:pt>
                <c:pt idx="62">
                  <c:v>25197117.692344658</c:v>
                </c:pt>
                <c:pt idx="63">
                  <c:v>24554303.925154332</c:v>
                </c:pt>
                <c:pt idx="64">
                  <c:v>26715394.376809154</c:v>
                </c:pt>
                <c:pt idx="65">
                  <c:v>27615472.852606475</c:v>
                </c:pt>
                <c:pt idx="66">
                  <c:v>28590142.198530082</c:v>
                </c:pt>
                <c:pt idx="67">
                  <c:v>29656118.632435393</c:v>
                </c:pt>
                <c:pt idx="68">
                  <c:v>26785407.974143658</c:v>
                </c:pt>
                <c:pt idx="69">
                  <c:v>25786876.130502407</c:v>
                </c:pt>
                <c:pt idx="70">
                  <c:v>24672972.903114747</c:v>
                </c:pt>
                <c:pt idx="71">
                  <c:v>23126314.140913639</c:v>
                </c:pt>
                <c:pt idx="72">
                  <c:v>25285659.203249041</c:v>
                </c:pt>
                <c:pt idx="73">
                  <c:v>23215486.83463683</c:v>
                </c:pt>
                <c:pt idx="74">
                  <c:v>25319558.827315625</c:v>
                </c:pt>
                <c:pt idx="75">
                  <c:v>24649307.270776059</c:v>
                </c:pt>
                <c:pt idx="76">
                  <c:v>26838521.456513844</c:v>
                </c:pt>
                <c:pt idx="77">
                  <c:v>27807194.405684255</c:v>
                </c:pt>
                <c:pt idx="78">
                  <c:v>28853544.976282746</c:v>
                </c:pt>
                <c:pt idx="79">
                  <c:v>29928095.719359692</c:v>
                </c:pt>
                <c:pt idx="80">
                  <c:v>26979530.333789501</c:v>
                </c:pt>
                <c:pt idx="81">
                  <c:v>25901085.9286686</c:v>
                </c:pt>
                <c:pt idx="82">
                  <c:v>24744311.155422758</c:v>
                </c:pt>
                <c:pt idx="83">
                  <c:v>23262474.17055922</c:v>
                </c:pt>
                <c:pt idx="84">
                  <c:v>25528826.611356642</c:v>
                </c:pt>
                <c:pt idx="85">
                  <c:v>24190440.003583796</c:v>
                </c:pt>
                <c:pt idx="86">
                  <c:v>25606283.726015136</c:v>
                </c:pt>
                <c:pt idx="87">
                  <c:v>24931916.501073189</c:v>
                </c:pt>
                <c:pt idx="88">
                  <c:v>27126618.244680822</c:v>
                </c:pt>
                <c:pt idx="89">
                  <c:v>28072997.990004979</c:v>
                </c:pt>
                <c:pt idx="90">
                  <c:v>29038064.109656356</c:v>
                </c:pt>
                <c:pt idx="91">
                  <c:v>30071458.168709449</c:v>
                </c:pt>
                <c:pt idx="92">
                  <c:v>27144157.069884915</c:v>
                </c:pt>
                <c:pt idx="93">
                  <c:v>26143567.392042469</c:v>
                </c:pt>
                <c:pt idx="94">
                  <c:v>25064304.373708222</c:v>
                </c:pt>
                <c:pt idx="95">
                  <c:v>23579037.66517603</c:v>
                </c:pt>
                <c:pt idx="96">
                  <c:v>25846419.023074046</c:v>
                </c:pt>
                <c:pt idx="97">
                  <c:v>24512834.028437316</c:v>
                </c:pt>
                <c:pt idx="98">
                  <c:v>25933136.391637906</c:v>
                </c:pt>
                <c:pt idx="99">
                  <c:v>25252595.664092381</c:v>
                </c:pt>
                <c:pt idx="100">
                  <c:v>27420545.563084505</c:v>
                </c:pt>
                <c:pt idx="101">
                  <c:v>28359036.943970762</c:v>
                </c:pt>
                <c:pt idx="102">
                  <c:v>29391325.647527765</c:v>
                </c:pt>
                <c:pt idx="103">
                  <c:v>30509776.853563491</c:v>
                </c:pt>
                <c:pt idx="104">
                  <c:v>27692226.912135895</c:v>
                </c:pt>
                <c:pt idx="105">
                  <c:v>26702269.37766628</c:v>
                </c:pt>
                <c:pt idx="106">
                  <c:v>25649415.231580671</c:v>
                </c:pt>
                <c:pt idx="107">
                  <c:v>24169979.053285189</c:v>
                </c:pt>
                <c:pt idx="108">
                  <c:v>26249184.975756682</c:v>
                </c:pt>
                <c:pt idx="109">
                  <c:v>24709607.099378563</c:v>
                </c:pt>
                <c:pt idx="110">
                  <c:v>25951687.928334691</c:v>
                </c:pt>
                <c:pt idx="111">
                  <c:v>25353043.138554662</c:v>
                </c:pt>
                <c:pt idx="112">
                  <c:v>27737905.405550893</c:v>
                </c:pt>
                <c:pt idx="113">
                  <c:v>28979657.742109247</c:v>
                </c:pt>
                <c:pt idx="114">
                  <c:v>30243215.155585956</c:v>
                </c:pt>
                <c:pt idx="115">
                  <c:v>31302322.15737604</c:v>
                </c:pt>
                <c:pt idx="116">
                  <c:v>28241721.201823447</c:v>
                </c:pt>
                <c:pt idx="117">
                  <c:v>27045067.724116564</c:v>
                </c:pt>
                <c:pt idx="118">
                  <c:v>25926349.760741811</c:v>
                </c:pt>
                <c:pt idx="119">
                  <c:v>24475998.622419417</c:v>
                </c:pt>
                <c:pt idx="120">
                  <c:v>26848926.582278065</c:v>
                </c:pt>
                <c:pt idx="121">
                  <c:v>25305435.493510406</c:v>
                </c:pt>
                <c:pt idx="122">
                  <c:v>26543879.04171985</c:v>
                </c:pt>
                <c:pt idx="123">
                  <c:v>25947416.620387837</c:v>
                </c:pt>
                <c:pt idx="124">
                  <c:v>28337822.604935911</c:v>
                </c:pt>
                <c:pt idx="125">
                  <c:v>29587476.620357752</c:v>
                </c:pt>
                <c:pt idx="126">
                  <c:v>30857999.217425242</c:v>
                </c:pt>
                <c:pt idx="127">
                  <c:v>31917398.873988051</c:v>
                </c:pt>
                <c:pt idx="128">
                  <c:v>28853386.399942011</c:v>
                </c:pt>
                <c:pt idx="129">
                  <c:v>27653321.403741688</c:v>
                </c:pt>
                <c:pt idx="130">
                  <c:v>26534988.07235394</c:v>
                </c:pt>
                <c:pt idx="131">
                  <c:v>25086618.624921117</c:v>
                </c:pt>
                <c:pt idx="132">
                  <c:v>27110791.464978609</c:v>
                </c:pt>
                <c:pt idx="133">
                  <c:v>25565591.752209838</c:v>
                </c:pt>
                <c:pt idx="134">
                  <c:v>26802447.156315681</c:v>
                </c:pt>
                <c:pt idx="135">
                  <c:v>26206937.621445827</c:v>
                </c:pt>
                <c:pt idx="136">
                  <c:v>28599764.156662144</c:v>
                </c:pt>
                <c:pt idx="137">
                  <c:v>29852868.278240085</c:v>
                </c:pt>
                <c:pt idx="138">
                  <c:v>31126432.079993311</c:v>
                </c:pt>
                <c:pt idx="139">
                  <c:v>32185959.518265605</c:v>
                </c:pt>
                <c:pt idx="140">
                  <c:v>29120457.474577572</c:v>
                </c:pt>
                <c:pt idx="141">
                  <c:v>27918902.908735249</c:v>
                </c:pt>
                <c:pt idx="142">
                  <c:v>26800737.519022826</c:v>
                </c:pt>
                <c:pt idx="143">
                  <c:v>25353233.336308517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8-4B13-8C93-CF9A6386B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NM 20yr Trend (LC)'!$C$1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NM 20yr Trend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NM 20yr Trend (LC)'!$C$2:$C$145</c:f>
              <c:numCache>
                <c:formatCode>General</c:formatCode>
                <c:ptCount val="144"/>
                <c:pt idx="0">
                  <c:v>22028250.725647919</c:v>
                </c:pt>
                <c:pt idx="1">
                  <c:v>19634474.347390488</c:v>
                </c:pt>
                <c:pt idx="2">
                  <c:v>19328255.735383421</c:v>
                </c:pt>
                <c:pt idx="3">
                  <c:v>18204586.06263255</c:v>
                </c:pt>
                <c:pt idx="4">
                  <c:v>18282543.475076191</c:v>
                </c:pt>
                <c:pt idx="5">
                  <c:v>21113808.408363659</c:v>
                </c:pt>
                <c:pt idx="6">
                  <c:v>22008982.677487984</c:v>
                </c:pt>
                <c:pt idx="7">
                  <c:v>22872095.056904018</c:v>
                </c:pt>
                <c:pt idx="8">
                  <c:v>20688385.851761155</c:v>
                </c:pt>
                <c:pt idx="9">
                  <c:v>18370827.816093475</c:v>
                </c:pt>
                <c:pt idx="10">
                  <c:v>17897159.701150067</c:v>
                </c:pt>
                <c:pt idx="11">
                  <c:v>18512763.173234116</c:v>
                </c:pt>
                <c:pt idx="12">
                  <c:v>19044313.514603201</c:v>
                </c:pt>
                <c:pt idx="13">
                  <c:v>17686133.268556133</c:v>
                </c:pt>
                <c:pt idx="14">
                  <c:v>19479538.882481217</c:v>
                </c:pt>
                <c:pt idx="15">
                  <c:v>18625659.098729182</c:v>
                </c:pt>
                <c:pt idx="16">
                  <c:v>20816001.059037603</c:v>
                </c:pt>
                <c:pt idx="17">
                  <c:v>23509898.345266234</c:v>
                </c:pt>
                <c:pt idx="18">
                  <c:v>24336162.481910329</c:v>
                </c:pt>
                <c:pt idx="19">
                  <c:v>23181072.6356427</c:v>
                </c:pt>
                <c:pt idx="20">
                  <c:v>21387323.124149039</c:v>
                </c:pt>
                <c:pt idx="21">
                  <c:v>18384718.318803035</c:v>
                </c:pt>
                <c:pt idx="22">
                  <c:v>19335451.797419466</c:v>
                </c:pt>
                <c:pt idx="23">
                  <c:v>18685961.138548218</c:v>
                </c:pt>
                <c:pt idx="24">
                  <c:v>20311443.914882537</c:v>
                </c:pt>
                <c:pt idx="25">
                  <c:v>18637137.92498688</c:v>
                </c:pt>
                <c:pt idx="26">
                  <c:v>21533862.722559217</c:v>
                </c:pt>
                <c:pt idx="27">
                  <c:v>20450919.389425918</c:v>
                </c:pt>
                <c:pt idx="28">
                  <c:v>21971453.581163168</c:v>
                </c:pt>
                <c:pt idx="29">
                  <c:v>22815807.153374083</c:v>
                </c:pt>
                <c:pt idx="30">
                  <c:v>25456437.547008239</c:v>
                </c:pt>
                <c:pt idx="31">
                  <c:v>24857683.720791303</c:v>
                </c:pt>
                <c:pt idx="32">
                  <c:v>22360661.77511223</c:v>
                </c:pt>
                <c:pt idx="33">
                  <c:v>21639744.647910222</c:v>
                </c:pt>
                <c:pt idx="34">
                  <c:v>19883497.74559721</c:v>
                </c:pt>
                <c:pt idx="35">
                  <c:v>18586040.900826391</c:v>
                </c:pt>
                <c:pt idx="36">
                  <c:v>19687814.33821645</c:v>
                </c:pt>
                <c:pt idx="37">
                  <c:v>18467697.406501543</c:v>
                </c:pt>
                <c:pt idx="38">
                  <c:v>20499238.476042025</c:v>
                </c:pt>
                <c:pt idx="39">
                  <c:v>19245043.973630149</c:v>
                </c:pt>
                <c:pt idx="40">
                  <c:v>22797281.19388999</c:v>
                </c:pt>
                <c:pt idx="41">
                  <c:v>23456120.90443496</c:v>
                </c:pt>
                <c:pt idx="42">
                  <c:v>25361430.625164669</c:v>
                </c:pt>
                <c:pt idx="43">
                  <c:v>24577913.731392249</c:v>
                </c:pt>
                <c:pt idx="44">
                  <c:v>22977997.316620789</c:v>
                </c:pt>
                <c:pt idx="45">
                  <c:v>21890662.71008677</c:v>
                </c:pt>
                <c:pt idx="46">
                  <c:v>20407767.89345184</c:v>
                </c:pt>
                <c:pt idx="47">
                  <c:v>19317288.89377021</c:v>
                </c:pt>
                <c:pt idx="48">
                  <c:v>20938144.430793405</c:v>
                </c:pt>
                <c:pt idx="49">
                  <c:v>19315820.07202718</c:v>
                </c:pt>
                <c:pt idx="50">
                  <c:v>23045320.972772148</c:v>
                </c:pt>
                <c:pt idx="51">
                  <c:v>22026086.518144023</c:v>
                </c:pt>
                <c:pt idx="52">
                  <c:v>22961717.117793832</c:v>
                </c:pt>
                <c:pt idx="53">
                  <c:v>22886135.390346128</c:v>
                </c:pt>
                <c:pt idx="54">
                  <c:v>23748691.39553849</c:v>
                </c:pt>
                <c:pt idx="55">
                  <c:v>24186748.846067321</c:v>
                </c:pt>
                <c:pt idx="56">
                  <c:v>21216640.257023308</c:v>
                </c:pt>
                <c:pt idx="57">
                  <c:v>21329674.185019702</c:v>
                </c:pt>
                <c:pt idx="58">
                  <c:v>20487706.051090527</c:v>
                </c:pt>
                <c:pt idx="59">
                  <c:v>18775517.766363285</c:v>
                </c:pt>
                <c:pt idx="60">
                  <c:v>22344717.219473366</c:v>
                </c:pt>
                <c:pt idx="61">
                  <c:v>19245805.380664725</c:v>
                </c:pt>
                <c:pt idx="62">
                  <c:v>21372491.534691606</c:v>
                </c:pt>
                <c:pt idx="63">
                  <c:v>19337845.24082401</c:v>
                </c:pt>
                <c:pt idx="64">
                  <c:v>23983038.364532318</c:v>
                </c:pt>
                <c:pt idx="65">
                  <c:v>25841742.160903648</c:v>
                </c:pt>
                <c:pt idx="66">
                  <c:v>24522462.771301858</c:v>
                </c:pt>
                <c:pt idx="67">
                  <c:v>24555956.255328741</c:v>
                </c:pt>
                <c:pt idx="68">
                  <c:v>19514912.902257554</c:v>
                </c:pt>
                <c:pt idx="69">
                  <c:v>21300946.547558703</c:v>
                </c:pt>
                <c:pt idx="70">
                  <c:v>20077193.487797629</c:v>
                </c:pt>
                <c:pt idx="71">
                  <c:v>18843492.369390458</c:v>
                </c:pt>
                <c:pt idx="72">
                  <c:v>19855535.451200701</c:v>
                </c:pt>
                <c:pt idx="73">
                  <c:v>19560967.066695973</c:v>
                </c:pt>
                <c:pt idx="74">
                  <c:v>20639792.5031121</c:v>
                </c:pt>
                <c:pt idx="75">
                  <c:v>19904757.315421704</c:v>
                </c:pt>
                <c:pt idx="76">
                  <c:v>22782928.092156403</c:v>
                </c:pt>
                <c:pt idx="77">
                  <c:v>23267604.066775616</c:v>
                </c:pt>
                <c:pt idx="78">
                  <c:v>23082254.412554607</c:v>
                </c:pt>
                <c:pt idx="79">
                  <c:v>24594093.912713893</c:v>
                </c:pt>
                <c:pt idx="80">
                  <c:v>21887907.167094178</c:v>
                </c:pt>
                <c:pt idx="81">
                  <c:v>20162332.659881637</c:v>
                </c:pt>
                <c:pt idx="82">
                  <c:v>19622172.550961778</c:v>
                </c:pt>
                <c:pt idx="83">
                  <c:v>19510069.365023497</c:v>
                </c:pt>
                <c:pt idx="84">
                  <c:v>20030911.941684473</c:v>
                </c:pt>
                <c:pt idx="85">
                  <c:v>19426538.084870137</c:v>
                </c:pt>
                <c:pt idx="86">
                  <c:v>21950234.988419168</c:v>
                </c:pt>
                <c:pt idx="87">
                  <c:v>22516546.642958738</c:v>
                </c:pt>
                <c:pt idx="88">
                  <c:v>23491879.387100104</c:v>
                </c:pt>
                <c:pt idx="89">
                  <c:v>25154852.535666555</c:v>
                </c:pt>
                <c:pt idx="90">
                  <c:v>26434818.565985125</c:v>
                </c:pt>
                <c:pt idx="91">
                  <c:v>28083591.400888056</c:v>
                </c:pt>
                <c:pt idx="92">
                  <c:v>23664869.487896521</c:v>
                </c:pt>
                <c:pt idx="93">
                  <c:v>21818348.034312647</c:v>
                </c:pt>
                <c:pt idx="94">
                  <c:v>20096745.128498808</c:v>
                </c:pt>
                <c:pt idx="95">
                  <c:v>18899420.082560532</c:v>
                </c:pt>
                <c:pt idx="96">
                  <c:v>20315496.805656914</c:v>
                </c:pt>
                <c:pt idx="97">
                  <c:v>18666295.813621074</c:v>
                </c:pt>
                <c:pt idx="98">
                  <c:v>20501069.907807238</c:v>
                </c:pt>
                <c:pt idx="99">
                  <c:v>19823217.414303008</c:v>
                </c:pt>
                <c:pt idx="100">
                  <c:v>21332197.715417989</c:v>
                </c:pt>
                <c:pt idx="101">
                  <c:v>23799303.944701213</c:v>
                </c:pt>
                <c:pt idx="102">
                  <c:v>25324504.630515054</c:v>
                </c:pt>
                <c:pt idx="103">
                  <c:v>23736935.932426449</c:v>
                </c:pt>
                <c:pt idx="104">
                  <c:v>22804130.018046163</c:v>
                </c:pt>
                <c:pt idx="105">
                  <c:v>22410894.722107884</c:v>
                </c:pt>
                <c:pt idx="106">
                  <c:v>20145414.625656914</c:v>
                </c:pt>
                <c:pt idx="107">
                  <c:v>19707437.608922221</c:v>
                </c:pt>
                <c:pt idx="108">
                  <c:v>21406178.403620746</c:v>
                </c:pt>
                <c:pt idx="109">
                  <c:v>19541869.543381821</c:v>
                </c:pt>
                <c:pt idx="110">
                  <c:v>22152171.57537286</c:v>
                </c:pt>
                <c:pt idx="111">
                  <c:v>20451823.134815373</c:v>
                </c:pt>
                <c:pt idx="112">
                  <c:v>24335320.01605479</c:v>
                </c:pt>
                <c:pt idx="113">
                  <c:v>25658165.154656086</c:v>
                </c:pt>
                <c:pt idx="114">
                  <c:v>25560862.437886547</c:v>
                </c:pt>
                <c:pt idx="115">
                  <c:v>24886166.479797948</c:v>
                </c:pt>
                <c:pt idx="116">
                  <c:v>23757578.362426121</c:v>
                </c:pt>
                <c:pt idx="117">
                  <c:v>20871681.533939313</c:v>
                </c:pt>
                <c:pt idx="118">
                  <c:v>18668697.394417163</c:v>
                </c:pt>
                <c:pt idx="119">
                  <c:v>19588246.58569143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9-4423-80D6-4C323F084C3A}"/>
            </c:ext>
          </c:extLst>
        </c:ser>
        <c:ser>
          <c:idx val="1"/>
          <c:order val="1"/>
          <c:tx>
            <c:strRef>
              <c:f>'Large Use NM 20yr Trend (LC)'!$R$1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NM 20yr Trend (LC)'!$A$2:$A$145</c:f>
              <c:numCache>
                <c:formatCode>m/d/yyyy</c:formatCode>
                <c:ptCount val="1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'Large Use NM 20yr Trend (LC)'!$R$2:$R$145</c:f>
              <c:numCache>
                <c:formatCode>General</c:formatCode>
                <c:ptCount val="144"/>
                <c:pt idx="0">
                  <c:v>20140530.067694619</c:v>
                </c:pt>
                <c:pt idx="1">
                  <c:v>18312722.995931976</c:v>
                </c:pt>
                <c:pt idx="2">
                  <c:v>19996612.779604912</c:v>
                </c:pt>
                <c:pt idx="3">
                  <c:v>19369200.624195389</c:v>
                </c:pt>
                <c:pt idx="4">
                  <c:v>21330270.343366656</c:v>
                </c:pt>
                <c:pt idx="5">
                  <c:v>22253935.736261293</c:v>
                </c:pt>
                <c:pt idx="6">
                  <c:v>23686733.193657208</c:v>
                </c:pt>
                <c:pt idx="7">
                  <c:v>24154715.521759216</c:v>
                </c:pt>
                <c:pt idx="8">
                  <c:v>21440490.347150996</c:v>
                </c:pt>
                <c:pt idx="9">
                  <c:v>20360605.302402236</c:v>
                </c:pt>
                <c:pt idx="10">
                  <c:v>19375860.998400383</c:v>
                </c:pt>
                <c:pt idx="11">
                  <c:v>18190994.350062687</c:v>
                </c:pt>
                <c:pt idx="12">
                  <c:v>19985190.240361381</c:v>
                </c:pt>
                <c:pt idx="13">
                  <c:v>18239939.944303282</c:v>
                </c:pt>
                <c:pt idx="14">
                  <c:v>20018863.598245684</c:v>
                </c:pt>
                <c:pt idx="15">
                  <c:v>19451341.496747773</c:v>
                </c:pt>
                <c:pt idx="16">
                  <c:v>21510148.456677567</c:v>
                </c:pt>
                <c:pt idx="17">
                  <c:v>22560872.262558289</c:v>
                </c:pt>
                <c:pt idx="18">
                  <c:v>24041914.485605229</c:v>
                </c:pt>
                <c:pt idx="19">
                  <c:v>24503866.218000855</c:v>
                </c:pt>
                <c:pt idx="20">
                  <c:v>21720809.071709502</c:v>
                </c:pt>
                <c:pt idx="21">
                  <c:v>20596422.389679201</c:v>
                </c:pt>
                <c:pt idx="22">
                  <c:v>19587347.751275755</c:v>
                </c:pt>
                <c:pt idx="23">
                  <c:v>18440120.338208895</c:v>
                </c:pt>
                <c:pt idx="24">
                  <c:v>20275074.737419657</c:v>
                </c:pt>
                <c:pt idx="25">
                  <c:v>18548748.034785017</c:v>
                </c:pt>
                <c:pt idx="26">
                  <c:v>20333078.429705553</c:v>
                </c:pt>
                <c:pt idx="27">
                  <c:v>19764308.61875115</c:v>
                </c:pt>
                <c:pt idx="28">
                  <c:v>21799201.147431515</c:v>
                </c:pt>
                <c:pt idx="29">
                  <c:v>22812909.572769649</c:v>
                </c:pt>
                <c:pt idx="30">
                  <c:v>24259847.737339143</c:v>
                </c:pt>
                <c:pt idx="31">
                  <c:v>24729701.629625883</c:v>
                </c:pt>
                <c:pt idx="32">
                  <c:v>21967023.737790562</c:v>
                </c:pt>
                <c:pt idx="33">
                  <c:v>20838685.975814704</c:v>
                </c:pt>
                <c:pt idx="34">
                  <c:v>19810063.889259554</c:v>
                </c:pt>
                <c:pt idx="35">
                  <c:v>18625613.144074019</c:v>
                </c:pt>
                <c:pt idx="36">
                  <c:v>20415026.148122832</c:v>
                </c:pt>
                <c:pt idx="37">
                  <c:v>19239811.345298149</c:v>
                </c:pt>
                <c:pt idx="38">
                  <c:v>20427488.445246771</c:v>
                </c:pt>
                <c:pt idx="39">
                  <c:v>19868908.261520386</c:v>
                </c:pt>
                <c:pt idx="40">
                  <c:v>21891323.695635833</c:v>
                </c:pt>
                <c:pt idx="41">
                  <c:v>22877998.416083306</c:v>
                </c:pt>
                <c:pt idx="42">
                  <c:v>24319737.79125075</c:v>
                </c:pt>
                <c:pt idx="43">
                  <c:v>24783353.136255033</c:v>
                </c:pt>
                <c:pt idx="44">
                  <c:v>22035647.757897615</c:v>
                </c:pt>
                <c:pt idx="45">
                  <c:v>20925817.686193053</c:v>
                </c:pt>
                <c:pt idx="46">
                  <c:v>19934003.028604411</c:v>
                </c:pt>
                <c:pt idx="47">
                  <c:v>18777625.746189944</c:v>
                </c:pt>
                <c:pt idx="48">
                  <c:v>20592200.890944675</c:v>
                </c:pt>
                <c:pt idx="49">
                  <c:v>18873152.493472904</c:v>
                </c:pt>
                <c:pt idx="50">
                  <c:v>20650204.58323057</c:v>
                </c:pt>
                <c:pt idx="51">
                  <c:v>20083306.336460903</c:v>
                </c:pt>
                <c:pt idx="52">
                  <c:v>22122149.945086829</c:v>
                </c:pt>
                <c:pt idx="53">
                  <c:v>23131491.387327239</c:v>
                </c:pt>
                <c:pt idx="54">
                  <c:v>24593402.065374631</c:v>
                </c:pt>
                <c:pt idx="55">
                  <c:v>25054937.894618098</c:v>
                </c:pt>
                <c:pt idx="56">
                  <c:v>22318253.949793026</c:v>
                </c:pt>
                <c:pt idx="57">
                  <c:v>21217573.747436069</c:v>
                </c:pt>
                <c:pt idx="58">
                  <c:v>20207667.302728295</c:v>
                </c:pt>
                <c:pt idx="59">
                  <c:v>19005956.576727957</c:v>
                </c:pt>
                <c:pt idx="60">
                  <c:v>20778317.551538046</c:v>
                </c:pt>
                <c:pt idx="61">
                  <c:v>19028076.417653978</c:v>
                </c:pt>
                <c:pt idx="62">
                  <c:v>20806792.1200203</c:v>
                </c:pt>
                <c:pt idx="63">
                  <c:v>20251123.25835906</c:v>
                </c:pt>
                <c:pt idx="64">
                  <c:v>22266676.290463805</c:v>
                </c:pt>
                <c:pt idx="65">
                  <c:v>23235883.078520391</c:v>
                </c:pt>
                <c:pt idx="66">
                  <c:v>24672839.567437947</c:v>
                </c:pt>
                <c:pt idx="67">
                  <c:v>25129800.462007608</c:v>
                </c:pt>
                <c:pt idx="68">
                  <c:v>22403929.999138802</c:v>
                </c:pt>
                <c:pt idx="69">
                  <c:v>21324044.954390042</c:v>
                </c:pt>
                <c:pt idx="70">
                  <c:v>20318921.395932153</c:v>
                </c:pt>
                <c:pt idx="71">
                  <c:v>19115547.057323162</c:v>
                </c:pt>
                <c:pt idx="72">
                  <c:v>20856091.440992706</c:v>
                </c:pt>
                <c:pt idx="73">
                  <c:v>19101483.324010916</c:v>
                </c:pt>
                <c:pt idx="74">
                  <c:v>20881030.832681566</c:v>
                </c:pt>
                <c:pt idx="75">
                  <c:v>20308725.844933771</c:v>
                </c:pt>
                <c:pt idx="76">
                  <c:v>22341330.906277232</c:v>
                </c:pt>
                <c:pt idx="77">
                  <c:v>23352128.009550218</c:v>
                </c:pt>
                <c:pt idx="78">
                  <c:v>24832546.377868909</c:v>
                </c:pt>
                <c:pt idx="79">
                  <c:v>25294706.061840616</c:v>
                </c:pt>
                <c:pt idx="80">
                  <c:v>22521630.591201201</c:v>
                </c:pt>
                <c:pt idx="81">
                  <c:v>21393292.829225339</c:v>
                </c:pt>
                <c:pt idx="82">
                  <c:v>20362175.323757209</c:v>
                </c:pt>
                <c:pt idx="83">
                  <c:v>19198103.833027706</c:v>
                </c:pt>
                <c:pt idx="84">
                  <c:v>21003529.108434826</c:v>
                </c:pt>
                <c:pt idx="85">
                  <c:v>19859091.138870277</c:v>
                </c:pt>
                <c:pt idx="86">
                  <c:v>21054878.350286096</c:v>
                </c:pt>
                <c:pt idx="87">
                  <c:v>20480077.943625316</c:v>
                </c:pt>
                <c:pt idx="88">
                  <c:v>22516010.230186094</c:v>
                </c:pt>
                <c:pt idx="89">
                  <c:v>23513290.481013753</c:v>
                </c:pt>
                <c:pt idx="90">
                  <c:v>24944424.325801011</c:v>
                </c:pt>
                <c:pt idx="91">
                  <c:v>25381629.820642885</c:v>
                </c:pt>
                <c:pt idx="92">
                  <c:v>22621447.347720549</c:v>
                </c:pt>
                <c:pt idx="93">
                  <c:v>21540314.593515299</c:v>
                </c:pt>
                <c:pt idx="94">
                  <c:v>20556194.144241691</c:v>
                </c:pt>
                <c:pt idx="95">
                  <c:v>19390043.137751371</c:v>
                </c:pt>
                <c:pt idx="96">
                  <c:v>21196092.267886739</c:v>
                </c:pt>
                <c:pt idx="97">
                  <c:v>20054565.620387338</c:v>
                </c:pt>
                <c:pt idx="98">
                  <c:v>21253056.202292223</c:v>
                </c:pt>
                <c:pt idx="99">
                  <c:v>20674512.667261966</c:v>
                </c:pt>
                <c:pt idx="100">
                  <c:v>22694224.730888352</c:v>
                </c:pt>
                <c:pt idx="101">
                  <c:v>23686722.095466122</c:v>
                </c:pt>
                <c:pt idx="102">
                  <c:v>25158614.449165449</c:v>
                </c:pt>
                <c:pt idx="103">
                  <c:v>25647391.934875652</c:v>
                </c:pt>
                <c:pt idx="104">
                  <c:v>22953753.966299549</c:v>
                </c:pt>
                <c:pt idx="105">
                  <c:v>21879067.710952841</c:v>
                </c:pt>
                <c:pt idx="106">
                  <c:v>20910959.533037547</c:v>
                </c:pt>
                <c:pt idx="107">
                  <c:v>19748343.70334062</c:v>
                </c:pt>
                <c:pt idx="108">
                  <c:v>21440297.990400158</c:v>
                </c:pt>
                <c:pt idx="109">
                  <c:v>20173873.396132361</c:v>
                </c:pt>
                <c:pt idx="110">
                  <c:v>21264304.400886461</c:v>
                </c:pt>
                <c:pt idx="111">
                  <c:v>20735416.147092693</c:v>
                </c:pt>
                <c:pt idx="112">
                  <c:v>22886646.878565058</c:v>
                </c:pt>
                <c:pt idx="113">
                  <c:v>24063017.930322066</c:v>
                </c:pt>
                <c:pt idx="114">
                  <c:v>25675133.512982335</c:v>
                </c:pt>
                <c:pt idx="115">
                  <c:v>26127929.322043195</c:v>
                </c:pt>
                <c:pt idx="116">
                  <c:v>23286924.258218147</c:v>
                </c:pt>
                <c:pt idx="117">
                  <c:v>22086913.774687178</c:v>
                </c:pt>
                <c:pt idx="118">
                  <c:v>21078870.93749531</c:v>
                </c:pt>
                <c:pt idx="119">
                  <c:v>19933889.997623727</c:v>
                </c:pt>
                <c:pt idx="120">
                  <c:v>21803934.319058053</c:v>
                </c:pt>
                <c:pt idx="121">
                  <c:v>20535137.059343807</c:v>
                </c:pt>
                <c:pt idx="122">
                  <c:v>21623362.701984223</c:v>
                </c:pt>
                <c:pt idx="123">
                  <c:v>21095797.665458664</c:v>
                </c:pt>
                <c:pt idx="124">
                  <c:v>23250389.672980167</c:v>
                </c:pt>
                <c:pt idx="125">
                  <c:v>24431551.683811732</c:v>
                </c:pt>
                <c:pt idx="126">
                  <c:v>26047890.408174757</c:v>
                </c:pt>
                <c:pt idx="127">
                  <c:v>26500863.660164308</c:v>
                </c:pt>
                <c:pt idx="128">
                  <c:v>23657790.118770562</c:v>
                </c:pt>
                <c:pt idx="129">
                  <c:v>22455711.157670893</c:v>
                </c:pt>
                <c:pt idx="130">
                  <c:v>21447901.531185299</c:v>
                </c:pt>
                <c:pt idx="131">
                  <c:v>20304122.133430827</c:v>
                </c:pt>
                <c:pt idx="132">
                  <c:v>21962708.670402408</c:v>
                </c:pt>
                <c:pt idx="133">
                  <c:v>20692875.434941165</c:v>
                </c:pt>
                <c:pt idx="134">
                  <c:v>21780138.151406489</c:v>
                </c:pt>
                <c:pt idx="135">
                  <c:v>21253150.870585989</c:v>
                </c:pt>
                <c:pt idx="136">
                  <c:v>23409210.510415733</c:v>
                </c:pt>
                <c:pt idx="137">
                  <c:v>24592464.395351812</c:v>
                </c:pt>
                <c:pt idx="138">
                  <c:v>26210647.06799956</c:v>
                </c:pt>
                <c:pt idx="139">
                  <c:v>26663697.796807796</c:v>
                </c:pt>
                <c:pt idx="140">
                  <c:v>23819721.097070515</c:v>
                </c:pt>
                <c:pt idx="141">
                  <c:v>22616738.977627307</c:v>
                </c:pt>
                <c:pt idx="142">
                  <c:v>21609031.177817702</c:v>
                </c:pt>
                <c:pt idx="143">
                  <c:v>20465776.408806901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9-4423-80D6-4C323F08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Trend'!$E$5:$E$16</c:f>
              <c:numCache>
                <c:formatCode>#,##0</c:formatCode>
                <c:ptCount val="12"/>
                <c:pt idx="0">
                  <c:v>617540503.80775297</c:v>
                </c:pt>
                <c:pt idx="1">
                  <c:v>656956762.92997289</c:v>
                </c:pt>
                <c:pt idx="2">
                  <c:v>648263943.47183859</c:v>
                </c:pt>
                <c:pt idx="3">
                  <c:v>644174271.28043866</c:v>
                </c:pt>
                <c:pt idx="4">
                  <c:v>632113222.13424337</c:v>
                </c:pt>
                <c:pt idx="5">
                  <c:v>615560426.75518167</c:v>
                </c:pt>
                <c:pt idx="6">
                  <c:v>611654935.04250789</c:v>
                </c:pt>
                <c:pt idx="7">
                  <c:v>640933751.72296906</c:v>
                </c:pt>
                <c:pt idx="8">
                  <c:v>615171812.19052064</c:v>
                </c:pt>
                <c:pt idx="9">
                  <c:v>671815776.26874053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F-491E-8126-77596044281C}"/>
            </c:ext>
          </c:extLst>
        </c:ser>
        <c:ser>
          <c:idx val="3"/>
          <c:order val="1"/>
          <c:tx>
            <c:strRef>
              <c:f>'Normalized AS 20yr Trend'!$G$3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Trend'!$G$5:$G$16</c:f>
              <c:numCache>
                <c:formatCode>#,##0</c:formatCode>
                <c:ptCount val="12"/>
                <c:pt idx="0">
                  <c:v>650048094.94554055</c:v>
                </c:pt>
                <c:pt idx="1">
                  <c:v>648212644.35891652</c:v>
                </c:pt>
                <c:pt idx="2">
                  <c:v>646377193.77229261</c:v>
                </c:pt>
                <c:pt idx="3">
                  <c:v>646343676.52991033</c:v>
                </c:pt>
                <c:pt idx="4">
                  <c:v>642706292.5990442</c:v>
                </c:pt>
                <c:pt idx="5">
                  <c:v>640870842.01242018</c:v>
                </c:pt>
                <c:pt idx="6">
                  <c:v>639035391.42579591</c:v>
                </c:pt>
                <c:pt idx="7">
                  <c:v>639001874.18341398</c:v>
                </c:pt>
                <c:pt idx="8">
                  <c:v>635364490.25254774</c:v>
                </c:pt>
                <c:pt idx="9">
                  <c:v>633529039.66592371</c:v>
                </c:pt>
                <c:pt idx="10">
                  <c:v>631693589.07929957</c:v>
                </c:pt>
                <c:pt idx="11">
                  <c:v>631660071.83691764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F-491E-8126-77596044281C}"/>
            </c:ext>
          </c:extLst>
        </c:ser>
        <c:ser>
          <c:idx val="1"/>
          <c:order val="2"/>
          <c:tx>
            <c:strRef>
              <c:f>'Normalized AS 20yr Trend'!$C$3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Trend'!$C$5:$C$16</c:f>
              <c:numCache>
                <c:formatCode>#,##0</c:formatCode>
                <c:ptCount val="12"/>
                <c:pt idx="0">
                  <c:v>604635108.51263404</c:v>
                </c:pt>
                <c:pt idx="1">
                  <c:v>647490324.95962501</c:v>
                </c:pt>
                <c:pt idx="2">
                  <c:v>636991610.62298107</c:v>
                </c:pt>
                <c:pt idx="3">
                  <c:v>631309635.844643</c:v>
                </c:pt>
                <c:pt idx="4">
                  <c:v>617011740.79367626</c:v>
                </c:pt>
                <c:pt idx="5">
                  <c:v>598157531.45016491</c:v>
                </c:pt>
                <c:pt idx="6">
                  <c:v>593984431.47600019</c:v>
                </c:pt>
                <c:pt idx="7">
                  <c:v>619568737.68663192</c:v>
                </c:pt>
                <c:pt idx="8">
                  <c:v>583858255.14999998</c:v>
                </c:pt>
                <c:pt idx="9">
                  <c:v>636798570.50953054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F-491E-8126-77596044281C}"/>
            </c:ext>
          </c:extLst>
        </c:ser>
        <c:ser>
          <c:idx val="2"/>
          <c:order val="3"/>
          <c:tx>
            <c:strRef>
              <c:f>'Normalized AS 20yr Trend'!$I$3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Trend'!$I$5:$I$16</c:f>
              <c:numCache>
                <c:formatCode>#,##0</c:formatCode>
                <c:ptCount val="12"/>
                <c:pt idx="0">
                  <c:v>637142699.65042162</c:v>
                </c:pt>
                <c:pt idx="1">
                  <c:v>638746206.38856864</c:v>
                </c:pt>
                <c:pt idx="2">
                  <c:v>635104860.92343497</c:v>
                </c:pt>
                <c:pt idx="3">
                  <c:v>633479041.09411454</c:v>
                </c:pt>
                <c:pt idx="4">
                  <c:v>627604811.25847721</c:v>
                </c:pt>
                <c:pt idx="5">
                  <c:v>623467946.7074033</c:v>
                </c:pt>
                <c:pt idx="6">
                  <c:v>621364887.85928822</c:v>
                </c:pt>
                <c:pt idx="7">
                  <c:v>617636860.14707673</c:v>
                </c:pt>
                <c:pt idx="8">
                  <c:v>604050933.21202707</c:v>
                </c:pt>
                <c:pt idx="9">
                  <c:v>598511833.90671384</c:v>
                </c:pt>
                <c:pt idx="10">
                  <c:v>596750735.70471358</c:v>
                </c:pt>
                <c:pt idx="11">
                  <c:v>597883405.66430283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8F-491E-8126-775960442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56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Trend'!$N$5:$N$13</c:f>
              <c:numCache>
                <c:formatCode>#,##0</c:formatCode>
                <c:ptCount val="9"/>
                <c:pt idx="0">
                  <c:v>223945291.11773852</c:v>
                </c:pt>
                <c:pt idx="1">
                  <c:v>230145436.9724015</c:v>
                </c:pt>
                <c:pt idx="2">
                  <c:v>228157622.27107728</c:v>
                </c:pt>
                <c:pt idx="3">
                  <c:v>227061141.62152532</c:v>
                </c:pt>
                <c:pt idx="4">
                  <c:v>228735100.86723283</c:v>
                </c:pt>
                <c:pt idx="5">
                  <c:v>224527430.36044165</c:v>
                </c:pt>
                <c:pt idx="6">
                  <c:v>221869668.08081797</c:v>
                </c:pt>
                <c:pt idx="7">
                  <c:v>223883451.05132008</c:v>
                </c:pt>
                <c:pt idx="8">
                  <c:v>211777974.07916123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1-4B41-ACBF-8D301D4CEA72}"/>
            </c:ext>
          </c:extLst>
        </c:ser>
        <c:ser>
          <c:idx val="3"/>
          <c:order val="1"/>
          <c:tx>
            <c:strRef>
              <c:f>'Normalized AS 20yr Trend'!$P$3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Trend'!$P$5:$P$16</c:f>
              <c:numCache>
                <c:formatCode>#,##0</c:formatCode>
                <c:ptCount val="12"/>
                <c:pt idx="0">
                  <c:v>233465370.56515008</c:v>
                </c:pt>
                <c:pt idx="1">
                  <c:v>230784632.04983819</c:v>
                </c:pt>
                <c:pt idx="2">
                  <c:v>227825501.6905567</c:v>
                </c:pt>
                <c:pt idx="3">
                  <c:v>227880243.81490475</c:v>
                </c:pt>
                <c:pt idx="4">
                  <c:v>225292977.07438853</c:v>
                </c:pt>
                <c:pt idx="5">
                  <c:v>222616332.5567821</c:v>
                </c:pt>
                <c:pt idx="6">
                  <c:v>221507689.16035724</c:v>
                </c:pt>
                <c:pt idx="7">
                  <c:v>221447799.34895313</c:v>
                </c:pt>
                <c:pt idx="8">
                  <c:v>217141053.57215413</c:v>
                </c:pt>
                <c:pt idx="9">
                  <c:v>215139978.47871074</c:v>
                </c:pt>
                <c:pt idx="10">
                  <c:v>214153144.43640369</c:v>
                </c:pt>
                <c:pt idx="11">
                  <c:v>212519007.63846046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1-4B41-ACBF-8D301D4CEA72}"/>
            </c:ext>
          </c:extLst>
        </c:ser>
        <c:ser>
          <c:idx val="1"/>
          <c:order val="2"/>
          <c:tx>
            <c:strRef>
              <c:f>'Normalized AS 20yr Trend'!$L$3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Trend'!$L$5:$L$13</c:f>
              <c:numCache>
                <c:formatCode>#,##0</c:formatCode>
                <c:ptCount val="9"/>
                <c:pt idx="0">
                  <c:v>220940436.27633598</c:v>
                </c:pt>
                <c:pt idx="1">
                  <c:v>223232845.52965501</c:v>
                </c:pt>
                <c:pt idx="2">
                  <c:v>218915071.69101101</c:v>
                </c:pt>
                <c:pt idx="3">
                  <c:v>216236228.69367602</c:v>
                </c:pt>
                <c:pt idx="4">
                  <c:v>217023476.48367095</c:v>
                </c:pt>
                <c:pt idx="5">
                  <c:v>212401261.73789737</c:v>
                </c:pt>
                <c:pt idx="6">
                  <c:v>207733154.94022256</c:v>
                </c:pt>
                <c:pt idx="7">
                  <c:v>208239182.30018815</c:v>
                </c:pt>
                <c:pt idx="8">
                  <c:v>199190042.63999999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1-4B41-ACBF-8D301D4CEA72}"/>
            </c:ext>
          </c:extLst>
        </c:ser>
        <c:ser>
          <c:idx val="2"/>
          <c:order val="3"/>
          <c:tx>
            <c:strRef>
              <c:f>'Normalized AS 20yr Trend'!$R$3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Trend'!$R$5:$R$16</c:f>
              <c:numCache>
                <c:formatCode>#,##0</c:formatCode>
                <c:ptCount val="12"/>
                <c:pt idx="0">
                  <c:v>230460515.72374758</c:v>
                </c:pt>
                <c:pt idx="1">
                  <c:v>223872040.60709172</c:v>
                </c:pt>
                <c:pt idx="2">
                  <c:v>218582951.11049041</c:v>
                </c:pt>
                <c:pt idx="3">
                  <c:v>217055330.88705543</c:v>
                </c:pt>
                <c:pt idx="4">
                  <c:v>213581352.69082665</c:v>
                </c:pt>
                <c:pt idx="5">
                  <c:v>210490163.93423778</c:v>
                </c:pt>
                <c:pt idx="6">
                  <c:v>207371176.0197618</c:v>
                </c:pt>
                <c:pt idx="7">
                  <c:v>205803530.59782121</c:v>
                </c:pt>
                <c:pt idx="8">
                  <c:v>204553122.13299292</c:v>
                </c:pt>
                <c:pt idx="9">
                  <c:v>204937445.39905438</c:v>
                </c:pt>
                <c:pt idx="10">
                  <c:v>204461330.93174553</c:v>
                </c:pt>
                <c:pt idx="11">
                  <c:v>203201883.81077006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51-4B41-ACBF-8D301D4CE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Trend'!$W$3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Trend'!$W$5:$W$13</c:f>
              <c:numCache>
                <c:formatCode>#,##0</c:formatCode>
                <c:ptCount val="9"/>
                <c:pt idx="0">
                  <c:v>909941690.05462801</c:v>
                </c:pt>
                <c:pt idx="1">
                  <c:v>949940798.24079382</c:v>
                </c:pt>
                <c:pt idx="2">
                  <c:v>954716376.40186357</c:v>
                </c:pt>
                <c:pt idx="3">
                  <c:v>947601280.21338153</c:v>
                </c:pt>
                <c:pt idx="4">
                  <c:v>960846806.29165292</c:v>
                </c:pt>
                <c:pt idx="5">
                  <c:v>996483234.68108225</c:v>
                </c:pt>
                <c:pt idx="6">
                  <c:v>981032453.65475094</c:v>
                </c:pt>
                <c:pt idx="7">
                  <c:v>1003091875.9216123</c:v>
                </c:pt>
                <c:pt idx="8">
                  <c:v>992815529.12761188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D-4189-BCE9-BA7BF8492A2F}"/>
            </c:ext>
          </c:extLst>
        </c:ser>
        <c:ser>
          <c:idx val="3"/>
          <c:order val="1"/>
          <c:tx>
            <c:strRef>
              <c:f>'Normalized AS 20yr Trend'!$Y$3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Trend'!$Y$5:$Y$16</c:f>
              <c:numCache>
                <c:formatCode>#,##0</c:formatCode>
                <c:ptCount val="12"/>
                <c:pt idx="0">
                  <c:v>935648287.65140271</c:v>
                </c:pt>
                <c:pt idx="1">
                  <c:v>946028658.08103657</c:v>
                </c:pt>
                <c:pt idx="2">
                  <c:v>954627765.20318925</c:v>
                </c:pt>
                <c:pt idx="3">
                  <c:v>961528175.46607304</c:v>
                </c:pt>
                <c:pt idx="4">
                  <c:v>965511607.04171968</c:v>
                </c:pt>
                <c:pt idx="5">
                  <c:v>975233465.70893872</c:v>
                </c:pt>
                <c:pt idx="6">
                  <c:v>985078066.47367001</c:v>
                </c:pt>
                <c:pt idx="7">
                  <c:v>996380067.3194679</c:v>
                </c:pt>
                <c:pt idx="8">
                  <c:v>1005713677.9462374</c:v>
                </c:pt>
                <c:pt idx="9">
                  <c:v>1015204283.7510352</c:v>
                </c:pt>
                <c:pt idx="10">
                  <c:v>1021983848.1973227</c:v>
                </c:pt>
                <c:pt idx="11">
                  <c:v>1027716319.4031019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D-4189-BCE9-BA7BF8492A2F}"/>
            </c:ext>
          </c:extLst>
        </c:ser>
        <c:ser>
          <c:idx val="1"/>
          <c:order val="2"/>
          <c:tx>
            <c:strRef>
              <c:f>'Normalized AS 20yr Trend'!$U$3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Trend'!$U$5:$U$13</c:f>
              <c:numCache>
                <c:formatCode>#,##0</c:formatCode>
                <c:ptCount val="9"/>
                <c:pt idx="0">
                  <c:v>906614904.72799397</c:v>
                </c:pt>
                <c:pt idx="1">
                  <c:v>943095058.82937098</c:v>
                </c:pt>
                <c:pt idx="2">
                  <c:v>949533128.04511392</c:v>
                </c:pt>
                <c:pt idx="3">
                  <c:v>941638530.06494999</c:v>
                </c:pt>
                <c:pt idx="4">
                  <c:v>948224332.78106129</c:v>
                </c:pt>
                <c:pt idx="5">
                  <c:v>970184488.09365582</c:v>
                </c:pt>
                <c:pt idx="6">
                  <c:v>941653981.70491183</c:v>
                </c:pt>
                <c:pt idx="7">
                  <c:v>954879860.93795967</c:v>
                </c:pt>
                <c:pt idx="8">
                  <c:v>935689535.96999991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D-4189-BCE9-BA7BF8492A2F}"/>
            </c:ext>
          </c:extLst>
        </c:ser>
        <c:ser>
          <c:idx val="2"/>
          <c:order val="3"/>
          <c:tx>
            <c:strRef>
              <c:f>'Normalized AS 20yr Trend'!$AB$3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Trend'!$AB$5:$AB$16</c:f>
              <c:numCache>
                <c:formatCode>#,##0</c:formatCode>
                <c:ptCount val="12"/>
                <c:pt idx="0">
                  <c:v>932321502.32476854</c:v>
                </c:pt>
                <c:pt idx="1">
                  <c:v>939182918.66961372</c:v>
                </c:pt>
                <c:pt idx="2">
                  <c:v>946400471.85471392</c:v>
                </c:pt>
                <c:pt idx="3">
                  <c:v>948736156.54513097</c:v>
                </c:pt>
                <c:pt idx="4">
                  <c:v>945299524.935781</c:v>
                </c:pt>
                <c:pt idx="5">
                  <c:v>945544548.99594021</c:v>
                </c:pt>
                <c:pt idx="6">
                  <c:v>945699594.52383101</c:v>
                </c:pt>
                <c:pt idx="7">
                  <c:v>948168052.33581507</c:v>
                </c:pt>
                <c:pt idx="8">
                  <c:v>948587684.78862548</c:v>
                </c:pt>
                <c:pt idx="9">
                  <c:v>940412649.61066115</c:v>
                </c:pt>
                <c:pt idx="10">
                  <c:v>949626914.26168716</c:v>
                </c:pt>
                <c:pt idx="11">
                  <c:v>959723692.78575659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D-4189-BCE9-BA7BF849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9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Trend'!$AG$3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Trend'!$AG$5:$AG$13</c:f>
              <c:numCache>
                <c:formatCode>#,##0</c:formatCode>
                <c:ptCount val="9"/>
                <c:pt idx="0">
                  <c:v>51306801.944982</c:v>
                </c:pt>
                <c:pt idx="1">
                  <c:v>49071887.882886</c:v>
                </c:pt>
                <c:pt idx="2">
                  <c:v>48794571.150462002</c:v>
                </c:pt>
                <c:pt idx="3">
                  <c:v>45796604.320539199</c:v>
                </c:pt>
                <c:pt idx="4">
                  <c:v>45730148.676554747</c:v>
                </c:pt>
                <c:pt idx="5">
                  <c:v>47596960.830868289</c:v>
                </c:pt>
                <c:pt idx="6">
                  <c:v>44614255.999194153</c:v>
                </c:pt>
                <c:pt idx="7">
                  <c:v>44469363.588965133</c:v>
                </c:pt>
                <c:pt idx="8">
                  <c:v>44747913.183567218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5-4A12-AADD-36F2F9F98975}"/>
            </c:ext>
          </c:extLst>
        </c:ser>
        <c:ser>
          <c:idx val="3"/>
          <c:order val="1"/>
          <c:tx>
            <c:strRef>
              <c:f>'Normalized AS 20yr Trend'!$AI$3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Trend'!$AI$5:$AI$16</c:f>
              <c:numCache>
                <c:formatCode>#,##0</c:formatCode>
                <c:ptCount val="12"/>
                <c:pt idx="0">
                  <c:v>50129122.097767241</c:v>
                </c:pt>
                <c:pt idx="1">
                  <c:v>49300183.460214451</c:v>
                </c:pt>
                <c:pt idx="2">
                  <c:v>48471244.822661653</c:v>
                </c:pt>
                <c:pt idx="3">
                  <c:v>47790598.706022672</c:v>
                </c:pt>
                <c:pt idx="4">
                  <c:v>46813367.547556072</c:v>
                </c:pt>
                <c:pt idx="5">
                  <c:v>45984428.910003282</c:v>
                </c:pt>
                <c:pt idx="6">
                  <c:v>45155490.272450492</c:v>
                </c:pt>
                <c:pt idx="7">
                  <c:v>44474844.155811496</c:v>
                </c:pt>
                <c:pt idx="8">
                  <c:v>43645905.518258706</c:v>
                </c:pt>
                <c:pt idx="9">
                  <c:v>42816966.880705915</c:v>
                </c:pt>
                <c:pt idx="10">
                  <c:v>41988028.243153118</c:v>
                </c:pt>
                <c:pt idx="11">
                  <c:v>41159089.605600327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5-4A12-AADD-36F2F9F98975}"/>
            </c:ext>
          </c:extLst>
        </c:ser>
        <c:ser>
          <c:idx val="1"/>
          <c:order val="2"/>
          <c:tx>
            <c:strRef>
              <c:f>'Normalized AS 20yr Trend'!$AE$3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Trend'!$AE$5:$AE$13</c:f>
              <c:numCache>
                <c:formatCode>#,##0</c:formatCode>
                <c:ptCount val="9"/>
                <c:pt idx="0">
                  <c:v>51306801.944982</c:v>
                </c:pt>
                <c:pt idx="1">
                  <c:v>49071887.882886</c:v>
                </c:pt>
                <c:pt idx="2">
                  <c:v>48794571.150462002</c:v>
                </c:pt>
                <c:pt idx="3">
                  <c:v>45768539.737902999</c:v>
                </c:pt>
                <c:pt idx="4">
                  <c:v>45666584.426196001</c:v>
                </c:pt>
                <c:pt idx="5">
                  <c:v>47519841.509630993</c:v>
                </c:pt>
                <c:pt idx="6">
                  <c:v>44363940.879999988</c:v>
                </c:pt>
                <c:pt idx="7">
                  <c:v>44045563.989999995</c:v>
                </c:pt>
                <c:pt idx="8">
                  <c:v>44136954.399999991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5-4A12-AADD-36F2F9F98975}"/>
            </c:ext>
          </c:extLst>
        </c:ser>
        <c:ser>
          <c:idx val="2"/>
          <c:order val="3"/>
          <c:tx>
            <c:strRef>
              <c:f>'Normalized AS 20yr Trend'!$AK$3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Trend'!$AK$5:$AK$16</c:f>
              <c:numCache>
                <c:formatCode>#,##0</c:formatCode>
                <c:ptCount val="12"/>
                <c:pt idx="0">
                  <c:v>50129122.097767241</c:v>
                </c:pt>
                <c:pt idx="1">
                  <c:v>49300183.460214451</c:v>
                </c:pt>
                <c:pt idx="2">
                  <c:v>48471244.822661653</c:v>
                </c:pt>
                <c:pt idx="3">
                  <c:v>47762534.123386472</c:v>
                </c:pt>
                <c:pt idx="4">
                  <c:v>46749803.29719732</c:v>
                </c:pt>
                <c:pt idx="5">
                  <c:v>45907309.588765986</c:v>
                </c:pt>
                <c:pt idx="6">
                  <c:v>44905175.153256342</c:v>
                </c:pt>
                <c:pt idx="7">
                  <c:v>44051044.556846365</c:v>
                </c:pt>
                <c:pt idx="8">
                  <c:v>43034946.734691493</c:v>
                </c:pt>
                <c:pt idx="9">
                  <c:v>41780474.219101518</c:v>
                </c:pt>
                <c:pt idx="10">
                  <c:v>40952569.952869326</c:v>
                </c:pt>
                <c:pt idx="11">
                  <c:v>40126967.285152338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5-4A12-AADD-36F2F9F9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4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'GS &gt; 50 Predicted Monthly (LC)'!$C$1</c:f>
              <c:strCache>
                <c:ptCount val="1"/>
                <c:pt idx="0">
                  <c:v> GSgt_LC_kWh_NoCDM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Predicted Monthly (LC)'!$A$2:$A$121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'GS &gt; 50 Predicted Monthly (LC)'!$C$2:$C$121</c:f>
              <c:numCache>
                <c:formatCode>_(* #,##0.00_);_(* \(#,##0.00\);_(* "-"??_);_(@_)</c:formatCode>
                <c:ptCount val="120"/>
                <c:pt idx="0">
                  <c:v>85159952.300793856</c:v>
                </c:pt>
                <c:pt idx="1">
                  <c:v>77150159.110703424</c:v>
                </c:pt>
                <c:pt idx="2">
                  <c:v>79013110.838498071</c:v>
                </c:pt>
                <c:pt idx="3">
                  <c:v>70823487.399611965</c:v>
                </c:pt>
                <c:pt idx="4">
                  <c:v>68038651.825646743</c:v>
                </c:pt>
                <c:pt idx="5">
                  <c:v>70398886.351568192</c:v>
                </c:pt>
                <c:pt idx="6">
                  <c:v>74398674.841547519</c:v>
                </c:pt>
                <c:pt idx="7">
                  <c:v>79119319.646282628</c:v>
                </c:pt>
                <c:pt idx="8">
                  <c:v>74924986.598501608</c:v>
                </c:pt>
                <c:pt idx="9">
                  <c:v>74286504.53798908</c:v>
                </c:pt>
                <c:pt idx="10">
                  <c:v>73914526.594761461</c:v>
                </c:pt>
                <c:pt idx="11">
                  <c:v>80547003.604175091</c:v>
                </c:pt>
                <c:pt idx="12">
                  <c:v>85230308.495070994</c:v>
                </c:pt>
                <c:pt idx="13">
                  <c:v>77285135.745971113</c:v>
                </c:pt>
                <c:pt idx="14">
                  <c:v>79275413.945330843</c:v>
                </c:pt>
                <c:pt idx="15">
                  <c:v>70858250.304670826</c:v>
                </c:pt>
                <c:pt idx="16">
                  <c:v>75323997.158593893</c:v>
                </c:pt>
                <c:pt idx="17">
                  <c:v>80844184.049799278</c:v>
                </c:pt>
                <c:pt idx="18">
                  <c:v>85724188.764418766</c:v>
                </c:pt>
                <c:pt idx="19">
                  <c:v>85962780.097131476</c:v>
                </c:pt>
                <c:pt idx="20">
                  <c:v>74966407.254957601</c:v>
                </c:pt>
                <c:pt idx="21">
                  <c:v>73516726.053443059</c:v>
                </c:pt>
                <c:pt idx="22">
                  <c:v>76037403.300678432</c:v>
                </c:pt>
                <c:pt idx="23">
                  <c:v>82527064.311934069</c:v>
                </c:pt>
                <c:pt idx="24">
                  <c:v>87683932.225609511</c:v>
                </c:pt>
                <c:pt idx="25">
                  <c:v>79180941.496457949</c:v>
                </c:pt>
                <c:pt idx="26">
                  <c:v>83137506.790608495</c:v>
                </c:pt>
                <c:pt idx="27">
                  <c:v>72823673.283491805</c:v>
                </c:pt>
                <c:pt idx="28">
                  <c:v>73981180.889955714</c:v>
                </c:pt>
                <c:pt idx="29">
                  <c:v>79181645.291618466</c:v>
                </c:pt>
                <c:pt idx="30">
                  <c:v>85355428.522644609</c:v>
                </c:pt>
                <c:pt idx="31">
                  <c:v>85134730.124835938</c:v>
                </c:pt>
                <c:pt idx="32">
                  <c:v>75323276.540084928</c:v>
                </c:pt>
                <c:pt idx="33">
                  <c:v>74615749.934455335</c:v>
                </c:pt>
                <c:pt idx="34">
                  <c:v>75520032.988204405</c:v>
                </c:pt>
                <c:pt idx="35">
                  <c:v>78915481.638556749</c:v>
                </c:pt>
                <c:pt idx="36">
                  <c:v>83288190.285758287</c:v>
                </c:pt>
                <c:pt idx="37">
                  <c:v>78654916.51969178</c:v>
                </c:pt>
                <c:pt idx="38">
                  <c:v>78745075.172397777</c:v>
                </c:pt>
                <c:pt idx="39">
                  <c:v>70171446.615070298</c:v>
                </c:pt>
                <c:pt idx="40">
                  <c:v>76476013.338874042</c:v>
                </c:pt>
                <c:pt idx="41">
                  <c:v>80853337.839558035</c:v>
                </c:pt>
                <c:pt idx="42">
                  <c:v>86305793.146108955</c:v>
                </c:pt>
                <c:pt idx="43">
                  <c:v>84730807.802490592</c:v>
                </c:pt>
                <c:pt idx="44">
                  <c:v>75430602.576494262</c:v>
                </c:pt>
                <c:pt idx="45">
                  <c:v>75643415.791813552</c:v>
                </c:pt>
                <c:pt idx="46">
                  <c:v>76619857.861313909</c:v>
                </c:pt>
                <c:pt idx="47">
                  <c:v>77899563.092276812</c:v>
                </c:pt>
                <c:pt idx="48">
                  <c:v>85968723.082716107</c:v>
                </c:pt>
                <c:pt idx="49">
                  <c:v>79915847.629030645</c:v>
                </c:pt>
                <c:pt idx="50">
                  <c:v>83098114.173459113</c:v>
                </c:pt>
                <c:pt idx="51">
                  <c:v>75176128.76717177</c:v>
                </c:pt>
                <c:pt idx="52">
                  <c:v>76467660.683634475</c:v>
                </c:pt>
                <c:pt idx="53">
                  <c:v>77849227.68931511</c:v>
                </c:pt>
                <c:pt idx="54">
                  <c:v>82540445.770245254</c:v>
                </c:pt>
                <c:pt idx="55">
                  <c:v>81226483.659076646</c:v>
                </c:pt>
                <c:pt idx="56">
                  <c:v>75974010.308642328</c:v>
                </c:pt>
                <c:pt idx="57">
                  <c:v>77227978.159034535</c:v>
                </c:pt>
                <c:pt idx="58">
                  <c:v>79798645.323323712</c:v>
                </c:pt>
                <c:pt idx="59">
                  <c:v>83545537.046774283</c:v>
                </c:pt>
                <c:pt idx="60">
                  <c:v>96326688.900008604</c:v>
                </c:pt>
                <c:pt idx="61">
                  <c:v>85795493.413305894</c:v>
                </c:pt>
                <c:pt idx="62">
                  <c:v>88242965.31564568</c:v>
                </c:pt>
                <c:pt idx="63">
                  <c:v>76032615.997099578</c:v>
                </c:pt>
                <c:pt idx="64">
                  <c:v>78518698.920610771</c:v>
                </c:pt>
                <c:pt idx="65">
                  <c:v>81857571.227659523</c:v>
                </c:pt>
                <c:pt idx="66">
                  <c:v>83348919.115916789</c:v>
                </c:pt>
                <c:pt idx="67">
                  <c:v>82700521.432717174</c:v>
                </c:pt>
                <c:pt idx="68">
                  <c:v>77960422.026261076</c:v>
                </c:pt>
                <c:pt idx="69">
                  <c:v>77895587.782433912</c:v>
                </c:pt>
                <c:pt idx="70">
                  <c:v>81173246.366913959</c:v>
                </c:pt>
                <c:pt idx="71">
                  <c:v>84448717.230596632</c:v>
                </c:pt>
                <c:pt idx="72">
                  <c:v>90862720.009125739</c:v>
                </c:pt>
                <c:pt idx="73">
                  <c:v>84772321.173713028</c:v>
                </c:pt>
                <c:pt idx="74">
                  <c:v>84997101.121091247</c:v>
                </c:pt>
                <c:pt idx="75">
                  <c:v>74517514.750061482</c:v>
                </c:pt>
                <c:pt idx="76">
                  <c:v>77248422.661444232</c:v>
                </c:pt>
                <c:pt idx="77">
                  <c:v>80126569.719912887</c:v>
                </c:pt>
                <c:pt idx="78">
                  <c:v>84547068.372462004</c:v>
                </c:pt>
                <c:pt idx="79">
                  <c:v>85635461.672809049</c:v>
                </c:pt>
                <c:pt idx="80">
                  <c:v>81535891.399642572</c:v>
                </c:pt>
                <c:pt idx="81">
                  <c:v>77401672.199904114</c:v>
                </c:pt>
                <c:pt idx="82">
                  <c:v>77630447.981231928</c:v>
                </c:pt>
                <c:pt idx="83">
                  <c:v>79549095.483397886</c:v>
                </c:pt>
                <c:pt idx="84">
                  <c:v>87169946.03208454</c:v>
                </c:pt>
                <c:pt idx="85">
                  <c:v>82995259.984632462</c:v>
                </c:pt>
                <c:pt idx="86">
                  <c:v>82448056.619322732</c:v>
                </c:pt>
                <c:pt idx="87">
                  <c:v>76779556.596543834</c:v>
                </c:pt>
                <c:pt idx="88">
                  <c:v>79686689.360070512</c:v>
                </c:pt>
                <c:pt idx="89">
                  <c:v>83872675.506474167</c:v>
                </c:pt>
                <c:pt idx="90">
                  <c:v>88955763.55474104</c:v>
                </c:pt>
                <c:pt idx="91">
                  <c:v>91795187.170724034</c:v>
                </c:pt>
                <c:pt idx="92">
                  <c:v>82362063.434793159</c:v>
                </c:pt>
                <c:pt idx="93">
                  <c:v>79489363.40802446</c:v>
                </c:pt>
                <c:pt idx="94">
                  <c:v>79335132.283126563</c:v>
                </c:pt>
                <c:pt idx="95">
                  <c:v>85381711.661736995</c:v>
                </c:pt>
                <c:pt idx="96">
                  <c:v>89104940.431942269</c:v>
                </c:pt>
                <c:pt idx="97">
                  <c:v>79064176.789072469</c:v>
                </c:pt>
                <c:pt idx="98">
                  <c:v>84805567.54640986</c:v>
                </c:pt>
                <c:pt idx="99">
                  <c:v>74954400.188771799</c:v>
                </c:pt>
                <c:pt idx="100">
                  <c:v>78674140.138522223</c:v>
                </c:pt>
                <c:pt idx="101">
                  <c:v>82671566.563594013</c:v>
                </c:pt>
                <c:pt idx="102">
                  <c:v>86176054.430500627</c:v>
                </c:pt>
                <c:pt idx="103">
                  <c:v>85719841.727218375</c:v>
                </c:pt>
                <c:pt idx="104">
                  <c:v>80616907.03949745</c:v>
                </c:pt>
                <c:pt idx="105">
                  <c:v>79586762.162742123</c:v>
                </c:pt>
                <c:pt idx="106">
                  <c:v>81281637.015617713</c:v>
                </c:pt>
                <c:pt idx="107">
                  <c:v>86442800.41125229</c:v>
                </c:pt>
                <c:pt idx="108">
                  <c:v>93065533.775852472</c:v>
                </c:pt>
                <c:pt idx="109">
                  <c:v>82075594.518568248</c:v>
                </c:pt>
                <c:pt idx="110">
                  <c:v>87168792.866108581</c:v>
                </c:pt>
                <c:pt idx="111">
                  <c:v>80266356.00638777</c:v>
                </c:pt>
                <c:pt idx="112">
                  <c:v>81142404.969656065</c:v>
                </c:pt>
                <c:pt idx="113">
                  <c:v>83962098.407322794</c:v>
                </c:pt>
                <c:pt idx="114">
                  <c:v>88154358.02033484</c:v>
                </c:pt>
                <c:pt idx="115">
                  <c:v>89701635.106067449</c:v>
                </c:pt>
                <c:pt idx="116">
                  <c:v>80810700.426849648</c:v>
                </c:pt>
                <c:pt idx="117">
                  <c:v>79623950.011380896</c:v>
                </c:pt>
                <c:pt idx="118">
                  <c:v>81146978.237552956</c:v>
                </c:pt>
                <c:pt idx="119">
                  <c:v>81291484.354706481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E-44A7-87C9-9885A9372DD7}"/>
            </c:ext>
          </c:extLst>
        </c:ser>
        <c:ser>
          <c:idx val="1"/>
          <c:order val="1"/>
          <c:tx>
            <c:strRef>
              <c:f>'GS &gt; 50 Predicted Monthly (LC)'!$AB$1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Predicted Monthly (LC)'!$A$2:$A$121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'GS &gt; 50 Predicted Monthly (LC)'!$AB$2:$AB$121</c:f>
              <c:numCache>
                <c:formatCode>General</c:formatCode>
                <c:ptCount val="120"/>
                <c:pt idx="0">
                  <c:v>86572057.613103867</c:v>
                </c:pt>
                <c:pt idx="1">
                  <c:v>76367514.485529751</c:v>
                </c:pt>
                <c:pt idx="2">
                  <c:v>79664037.908471689</c:v>
                </c:pt>
                <c:pt idx="3">
                  <c:v>71631660.009841025</c:v>
                </c:pt>
                <c:pt idx="4">
                  <c:v>70246742.545183286</c:v>
                </c:pt>
                <c:pt idx="5">
                  <c:v>75018887.950877354</c:v>
                </c:pt>
                <c:pt idx="6">
                  <c:v>75765379.43229492</c:v>
                </c:pt>
                <c:pt idx="7">
                  <c:v>79471369.426769584</c:v>
                </c:pt>
                <c:pt idx="8">
                  <c:v>73716125.478513658</c:v>
                </c:pt>
                <c:pt idx="9">
                  <c:v>73543306.674900874</c:v>
                </c:pt>
                <c:pt idx="10">
                  <c:v>74229544.890843689</c:v>
                </c:pt>
                <c:pt idx="11">
                  <c:v>82048320.298501045</c:v>
                </c:pt>
                <c:pt idx="12">
                  <c:v>84226499.822371006</c:v>
                </c:pt>
                <c:pt idx="13">
                  <c:v>77643492.581113875</c:v>
                </c:pt>
                <c:pt idx="14">
                  <c:v>79633390.522483766</c:v>
                </c:pt>
                <c:pt idx="15">
                  <c:v>69962486.670499429</c:v>
                </c:pt>
                <c:pt idx="16">
                  <c:v>74465812.584517002</c:v>
                </c:pt>
                <c:pt idx="17">
                  <c:v>79390235.644381091</c:v>
                </c:pt>
                <c:pt idx="18">
                  <c:v>85012689.088136435</c:v>
                </c:pt>
                <c:pt idx="19">
                  <c:v>86428834.045309782</c:v>
                </c:pt>
                <c:pt idx="20">
                  <c:v>75215774.435396552</c:v>
                </c:pt>
                <c:pt idx="21">
                  <c:v>72079880.315942779</c:v>
                </c:pt>
                <c:pt idx="22">
                  <c:v>77456085.239406511</c:v>
                </c:pt>
                <c:pt idx="23">
                  <c:v>84445545.919064373</c:v>
                </c:pt>
                <c:pt idx="24">
                  <c:v>85966412.822517976</c:v>
                </c:pt>
                <c:pt idx="25">
                  <c:v>79034680.649085909</c:v>
                </c:pt>
                <c:pt idx="26">
                  <c:v>83325194.462443322</c:v>
                </c:pt>
                <c:pt idx="27">
                  <c:v>72268892.922820881</c:v>
                </c:pt>
                <c:pt idx="28">
                  <c:v>74777712.912733078</c:v>
                </c:pt>
                <c:pt idx="29">
                  <c:v>78816348.461454272</c:v>
                </c:pt>
                <c:pt idx="30">
                  <c:v>87163096.606377721</c:v>
                </c:pt>
                <c:pt idx="31">
                  <c:v>84107686.987466201</c:v>
                </c:pt>
                <c:pt idx="32">
                  <c:v>76339936.329811633</c:v>
                </c:pt>
                <c:pt idx="33">
                  <c:v>73607443.747500077</c:v>
                </c:pt>
                <c:pt idx="34">
                  <c:v>76299643.941767097</c:v>
                </c:pt>
                <c:pt idx="35">
                  <c:v>80682261.419700325</c:v>
                </c:pt>
                <c:pt idx="36">
                  <c:v>83550218.723277062</c:v>
                </c:pt>
                <c:pt idx="37">
                  <c:v>79029603.807872742</c:v>
                </c:pt>
                <c:pt idx="38">
                  <c:v>77062283.283328071</c:v>
                </c:pt>
                <c:pt idx="39">
                  <c:v>72331413.999558508</c:v>
                </c:pt>
                <c:pt idx="40">
                  <c:v>76045739.312126845</c:v>
                </c:pt>
                <c:pt idx="41">
                  <c:v>80884249.219950318</c:v>
                </c:pt>
                <c:pt idx="42">
                  <c:v>86806694.181757182</c:v>
                </c:pt>
                <c:pt idx="43">
                  <c:v>83420315.41600953</c:v>
                </c:pt>
                <c:pt idx="44">
                  <c:v>74804929.156037942</c:v>
                </c:pt>
                <c:pt idx="45">
                  <c:v>76063519.989016861</c:v>
                </c:pt>
                <c:pt idx="46">
                  <c:v>79343292.398265168</c:v>
                </c:pt>
                <c:pt idx="47">
                  <c:v>80428881.91287753</c:v>
                </c:pt>
                <c:pt idx="48">
                  <c:v>85553897.499741271</c:v>
                </c:pt>
                <c:pt idx="49">
                  <c:v>79675840.898337558</c:v>
                </c:pt>
                <c:pt idx="50">
                  <c:v>81358654.168636173</c:v>
                </c:pt>
                <c:pt idx="51">
                  <c:v>75543938.483733997</c:v>
                </c:pt>
                <c:pt idx="52">
                  <c:v>77117625.034932524</c:v>
                </c:pt>
                <c:pt idx="53">
                  <c:v>77652474.2934407</c:v>
                </c:pt>
                <c:pt idx="54">
                  <c:v>83579587.958650395</c:v>
                </c:pt>
                <c:pt idx="55">
                  <c:v>82535046.730293363</c:v>
                </c:pt>
                <c:pt idx="56">
                  <c:v>76653820.503400937</c:v>
                </c:pt>
                <c:pt idx="57">
                  <c:v>76616603.032855168</c:v>
                </c:pt>
                <c:pt idx="58">
                  <c:v>79586630.280179322</c:v>
                </c:pt>
                <c:pt idx="59">
                  <c:v>84648417.029203415</c:v>
                </c:pt>
                <c:pt idx="60">
                  <c:v>90826282.320431262</c:v>
                </c:pt>
                <c:pt idx="61">
                  <c:v>82831659.116799027</c:v>
                </c:pt>
                <c:pt idx="62">
                  <c:v>85502290.688843518</c:v>
                </c:pt>
                <c:pt idx="63">
                  <c:v>73871120.744689405</c:v>
                </c:pt>
                <c:pt idx="64">
                  <c:v>76607964.064436466</c:v>
                </c:pt>
                <c:pt idx="65">
                  <c:v>80164122.816444665</c:v>
                </c:pt>
                <c:pt idx="66">
                  <c:v>79940841.457179368</c:v>
                </c:pt>
                <c:pt idx="67">
                  <c:v>82331269.754971236</c:v>
                </c:pt>
                <c:pt idx="68">
                  <c:v>77381308.656631991</c:v>
                </c:pt>
                <c:pt idx="69">
                  <c:v>76446080.905684128</c:v>
                </c:pt>
                <c:pt idx="70">
                  <c:v>80101701.484065831</c:v>
                </c:pt>
                <c:pt idx="71">
                  <c:v>83613363.972895861</c:v>
                </c:pt>
                <c:pt idx="72">
                  <c:v>89585107.447359502</c:v>
                </c:pt>
                <c:pt idx="73">
                  <c:v>85713312.22004573</c:v>
                </c:pt>
                <c:pt idx="74">
                  <c:v>85001920.623893633</c:v>
                </c:pt>
                <c:pt idx="75">
                  <c:v>74827521.618220255</c:v>
                </c:pt>
                <c:pt idx="76">
                  <c:v>77626064.025946662</c:v>
                </c:pt>
                <c:pt idx="77">
                  <c:v>79532463.777973041</c:v>
                </c:pt>
                <c:pt idx="78">
                  <c:v>83641654.084371909</c:v>
                </c:pt>
                <c:pt idx="79">
                  <c:v>83865279.717517391</c:v>
                </c:pt>
                <c:pt idx="80">
                  <c:v>81314025.564628154</c:v>
                </c:pt>
                <c:pt idx="81">
                  <c:v>76042054.438015491</c:v>
                </c:pt>
                <c:pt idx="82">
                  <c:v>77888549.797583669</c:v>
                </c:pt>
                <c:pt idx="83">
                  <c:v>81532951.895403177</c:v>
                </c:pt>
                <c:pt idx="84">
                  <c:v>87206354.270477518</c:v>
                </c:pt>
                <c:pt idx="85">
                  <c:v>82345372.539735913</c:v>
                </c:pt>
                <c:pt idx="86">
                  <c:v>81373569.77338475</c:v>
                </c:pt>
                <c:pt idx="87">
                  <c:v>77715732.264980912</c:v>
                </c:pt>
                <c:pt idx="88">
                  <c:v>78916013.041222394</c:v>
                </c:pt>
                <c:pt idx="89">
                  <c:v>82875236.942801371</c:v>
                </c:pt>
                <c:pt idx="90">
                  <c:v>87437695.323540747</c:v>
                </c:pt>
                <c:pt idx="91">
                  <c:v>91655182.416752145</c:v>
                </c:pt>
                <c:pt idx="92">
                  <c:v>80723776.242985845</c:v>
                </c:pt>
                <c:pt idx="93">
                  <c:v>77383981.862978533</c:v>
                </c:pt>
                <c:pt idx="94">
                  <c:v>79440620.61026369</c:v>
                </c:pt>
                <c:pt idx="95">
                  <c:v>86300638.1271898</c:v>
                </c:pt>
                <c:pt idx="96">
                  <c:v>88253835.137105659</c:v>
                </c:pt>
                <c:pt idx="97">
                  <c:v>79101638.894726008</c:v>
                </c:pt>
                <c:pt idx="98">
                  <c:v>86462869.471957281</c:v>
                </c:pt>
                <c:pt idx="99">
                  <c:v>74428308.251256377</c:v>
                </c:pt>
                <c:pt idx="100">
                  <c:v>79487176.190512732</c:v>
                </c:pt>
                <c:pt idx="101">
                  <c:v>83791031.301951781</c:v>
                </c:pt>
                <c:pt idx="102">
                  <c:v>85956511.166176185</c:v>
                </c:pt>
                <c:pt idx="103">
                  <c:v>85652146.106014118</c:v>
                </c:pt>
                <c:pt idx="104">
                  <c:v>80791938.657558173</c:v>
                </c:pt>
                <c:pt idx="105">
                  <c:v>78587390.056706846</c:v>
                </c:pt>
                <c:pt idx="106">
                  <c:v>82508035.715154931</c:v>
                </c:pt>
                <c:pt idx="107">
                  <c:v>87860662.247074664</c:v>
                </c:pt>
                <c:pt idx="108">
                  <c:v>91429307.878256872</c:v>
                </c:pt>
                <c:pt idx="109">
                  <c:v>81901747.993605569</c:v>
                </c:pt>
                <c:pt idx="110">
                  <c:v>86887525.643144876</c:v>
                </c:pt>
                <c:pt idx="111">
                  <c:v>79822354.943281591</c:v>
                </c:pt>
                <c:pt idx="112">
                  <c:v>81153403.542863578</c:v>
                </c:pt>
                <c:pt idx="113">
                  <c:v>83492712.237549067</c:v>
                </c:pt>
                <c:pt idx="114">
                  <c:v>89082388.757158577</c:v>
                </c:pt>
                <c:pt idx="115">
                  <c:v>92259637.838251069</c:v>
                </c:pt>
                <c:pt idx="116">
                  <c:v>82963632.580760852</c:v>
                </c:pt>
                <c:pt idx="117">
                  <c:v>81924810.58866626</c:v>
                </c:pt>
                <c:pt idx="118">
                  <c:v>85063553.021328464</c:v>
                </c:pt>
                <c:pt idx="119">
                  <c:v>85349981.233039886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E-44A7-87C9-9885A937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Trend'!$AP$3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Trend'!$AP$5:$AP$13</c:f>
              <c:numCache>
                <c:formatCode>#,##0</c:formatCode>
                <c:ptCount val="9"/>
                <c:pt idx="0">
                  <c:v>271865804.30218202</c:v>
                </c:pt>
                <c:pt idx="1">
                  <c:v>295089951.25607103</c:v>
                </c:pt>
                <c:pt idx="2">
                  <c:v>321215291.54792941</c:v>
                </c:pt>
                <c:pt idx="3">
                  <c:v>307352197.44654351</c:v>
                </c:pt>
                <c:pt idx="4">
                  <c:v>301275992.14380634</c:v>
                </c:pt>
                <c:pt idx="5">
                  <c:v>312895351.29912758</c:v>
                </c:pt>
                <c:pt idx="6">
                  <c:v>311302177.58975667</c:v>
                </c:pt>
                <c:pt idx="7">
                  <c:v>328714008.20688087</c:v>
                </c:pt>
                <c:pt idx="8">
                  <c:v>310049536.61043382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C-43D1-9591-8EAAAD7ECB05}"/>
            </c:ext>
          </c:extLst>
        </c:ser>
        <c:ser>
          <c:idx val="3"/>
          <c:order val="1"/>
          <c:tx>
            <c:strRef>
              <c:f>'Normalized AS 20yr Trend'!$AR$3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Trend'!$AR$5:$AR$16</c:f>
              <c:numCache>
                <c:formatCode>#,##0</c:formatCode>
                <c:ptCount val="12"/>
                <c:pt idx="0">
                  <c:v>293272729.35891604</c:v>
                </c:pt>
                <c:pt idx="1">
                  <c:v>296644147.72520345</c:v>
                </c:pt>
                <c:pt idx="2">
                  <c:v>301769183.8032738</c:v>
                </c:pt>
                <c:pt idx="3">
                  <c:v>304351991.42808598</c:v>
                </c:pt>
                <c:pt idx="4">
                  <c:v>308508247.83981299</c:v>
                </c:pt>
                <c:pt idx="5">
                  <c:v>310951925.95372921</c:v>
                </c:pt>
                <c:pt idx="6">
                  <c:v>312784770.28225821</c:v>
                </c:pt>
                <c:pt idx="7">
                  <c:v>316497671.85589206</c:v>
                </c:pt>
                <c:pt idx="8">
                  <c:v>321439560.6900562</c:v>
                </c:pt>
                <c:pt idx="9">
                  <c:v>326215760.91174799</c:v>
                </c:pt>
                <c:pt idx="10">
                  <c:v>333474669.55556196</c:v>
                </c:pt>
                <c:pt idx="11">
                  <c:v>275076160.55923337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C-43D1-9591-8EAAAD7ECB05}"/>
            </c:ext>
          </c:extLst>
        </c:ser>
        <c:ser>
          <c:idx val="1"/>
          <c:order val="2"/>
          <c:tx>
            <c:strRef>
              <c:f>'Normalized AS 20yr Trend'!$AN$3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Trend'!$AN$5:$AN$13</c:f>
              <c:numCache>
                <c:formatCode>#,##0</c:formatCode>
                <c:ptCount val="9"/>
                <c:pt idx="0">
                  <c:v>271865804.30218202</c:v>
                </c:pt>
                <c:pt idx="1">
                  <c:v>295089951.25607103</c:v>
                </c:pt>
                <c:pt idx="2">
                  <c:v>320621511.326684</c:v>
                </c:pt>
                <c:pt idx="3">
                  <c:v>304746367.45815498</c:v>
                </c:pt>
                <c:pt idx="4">
                  <c:v>295185913.80554301</c:v>
                </c:pt>
                <c:pt idx="5">
                  <c:v>304014292.368729</c:v>
                </c:pt>
                <c:pt idx="6">
                  <c:v>301194469.31</c:v>
                </c:pt>
                <c:pt idx="7">
                  <c:v>318162193.04000002</c:v>
                </c:pt>
                <c:pt idx="8">
                  <c:v>299472217.15999997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C-43D1-9591-8EAAAD7ECB05}"/>
            </c:ext>
          </c:extLst>
        </c:ser>
        <c:ser>
          <c:idx val="2"/>
          <c:order val="3"/>
          <c:tx>
            <c:strRef>
              <c:f>'Normalized AS 20yr Trend'!$AV$3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Trend'!$AV$5:$AV$16</c:f>
              <c:numCache>
                <c:formatCode>#,##0</c:formatCode>
                <c:ptCount val="12"/>
                <c:pt idx="0">
                  <c:v>293272729.35891604</c:v>
                </c:pt>
                <c:pt idx="1">
                  <c:v>296644147.72520345</c:v>
                </c:pt>
                <c:pt idx="2">
                  <c:v>301175403.58202839</c:v>
                </c:pt>
                <c:pt idx="3">
                  <c:v>301746161.43969744</c:v>
                </c:pt>
                <c:pt idx="4">
                  <c:v>302418169.5015496</c:v>
                </c:pt>
                <c:pt idx="5">
                  <c:v>302070867.02333057</c:v>
                </c:pt>
                <c:pt idx="6">
                  <c:v>302677062.00250149</c:v>
                </c:pt>
                <c:pt idx="7">
                  <c:v>305945856.68901116</c:v>
                </c:pt>
                <c:pt idx="8">
                  <c:v>310862241.23962241</c:v>
                </c:pt>
                <c:pt idx="9">
                  <c:v>316039457.78174853</c:v>
                </c:pt>
                <c:pt idx="10">
                  <c:v>323334610.03806812</c:v>
                </c:pt>
                <c:pt idx="11">
                  <c:v>266605308.85676232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C-43D1-9591-8EAAAD7EC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5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Trend'!$BA$3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Trend'!$BA$5:$BA$13</c:f>
              <c:numCache>
                <c:formatCode>#,##0</c:formatCode>
                <c:ptCount val="9"/>
                <c:pt idx="0">
                  <c:v>253823156.07115111</c:v>
                </c:pt>
                <c:pt idx="1">
                  <c:v>287197655.7575056</c:v>
                </c:pt>
                <c:pt idx="2">
                  <c:v>265542337.9138996</c:v>
                </c:pt>
                <c:pt idx="3">
                  <c:v>284090856.82509613</c:v>
                </c:pt>
                <c:pt idx="4">
                  <c:v>274617082.89906323</c:v>
                </c:pt>
                <c:pt idx="5">
                  <c:v>279622953.38680828</c:v>
                </c:pt>
                <c:pt idx="6">
                  <c:v>256628509.45846894</c:v>
                </c:pt>
                <c:pt idx="7">
                  <c:v>281402082.26484948</c:v>
                </c:pt>
                <c:pt idx="8">
                  <c:v>274440449.04143035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D-4234-BECD-D69E57EB4445}"/>
            </c:ext>
          </c:extLst>
        </c:ser>
        <c:ser>
          <c:idx val="3"/>
          <c:order val="1"/>
          <c:tx>
            <c:strRef>
              <c:f>'Normalized AS 20yr Trend'!$BC$3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Trend'!$BC$5:$BC$16</c:f>
              <c:numCache>
                <c:formatCode>#,##0</c:formatCode>
                <c:ptCount val="12"/>
                <c:pt idx="0">
                  <c:v>273863425.70404339</c:v>
                </c:pt>
                <c:pt idx="1">
                  <c:v>273863425.70404339</c:v>
                </c:pt>
                <c:pt idx="2">
                  <c:v>273863425.70404339</c:v>
                </c:pt>
                <c:pt idx="3">
                  <c:v>273863425.70404339</c:v>
                </c:pt>
                <c:pt idx="4">
                  <c:v>273863425.70404339</c:v>
                </c:pt>
                <c:pt idx="5">
                  <c:v>273863425.70404339</c:v>
                </c:pt>
                <c:pt idx="6">
                  <c:v>273863425.70404339</c:v>
                </c:pt>
                <c:pt idx="7">
                  <c:v>273863425.70404339</c:v>
                </c:pt>
                <c:pt idx="8">
                  <c:v>273863425.70404339</c:v>
                </c:pt>
                <c:pt idx="9">
                  <c:v>273863425.70404339</c:v>
                </c:pt>
                <c:pt idx="10">
                  <c:v>273863425.70404339</c:v>
                </c:pt>
                <c:pt idx="11">
                  <c:v>273863425.70404339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D-4234-BECD-D69E57EB4445}"/>
            </c:ext>
          </c:extLst>
        </c:ser>
        <c:ser>
          <c:idx val="1"/>
          <c:order val="2"/>
          <c:tx>
            <c:strRef>
              <c:f>'Normalized AS 20yr Trend'!$AY$3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Trend'!$AY$5:$AY$13</c:f>
              <c:numCache>
                <c:formatCode>#,##0</c:formatCode>
                <c:ptCount val="9"/>
                <c:pt idx="0">
                  <c:v>253823156.07115111</c:v>
                </c:pt>
                <c:pt idx="1">
                  <c:v>287197655.7575056</c:v>
                </c:pt>
                <c:pt idx="2">
                  <c:v>265542337.9138996</c:v>
                </c:pt>
                <c:pt idx="3">
                  <c:v>280858035.097938</c:v>
                </c:pt>
                <c:pt idx="4">
                  <c:v>265541554.24181503</c:v>
                </c:pt>
                <c:pt idx="5">
                  <c:v>266219489.74002093</c:v>
                </c:pt>
                <c:pt idx="6">
                  <c:v>241052438.81000003</c:v>
                </c:pt>
                <c:pt idx="7">
                  <c:v>264027087.00000006</c:v>
                </c:pt>
                <c:pt idx="8">
                  <c:v>252589949.61000001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D-4234-BECD-D69E57EB4445}"/>
            </c:ext>
          </c:extLst>
        </c:ser>
        <c:ser>
          <c:idx val="2"/>
          <c:order val="3"/>
          <c:tx>
            <c:strRef>
              <c:f>'Normalized AS 20yr Trend'!$BE$3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Trend'!$BE$5:$BE$16</c:f>
              <c:numCache>
                <c:formatCode>#,##0</c:formatCode>
                <c:ptCount val="12"/>
                <c:pt idx="0">
                  <c:v>273863425.70404339</c:v>
                </c:pt>
                <c:pt idx="1">
                  <c:v>273863425.70404339</c:v>
                </c:pt>
                <c:pt idx="2">
                  <c:v>273863425.70404339</c:v>
                </c:pt>
                <c:pt idx="3">
                  <c:v>270630603.97688526</c:v>
                </c:pt>
                <c:pt idx="4">
                  <c:v>264787897.04679519</c:v>
                </c:pt>
                <c:pt idx="5">
                  <c:v>260459962.05725604</c:v>
                </c:pt>
                <c:pt idx="6">
                  <c:v>258287355.05557448</c:v>
                </c:pt>
                <c:pt idx="7">
                  <c:v>256488430.43919396</c:v>
                </c:pt>
                <c:pt idx="8">
                  <c:v>252012926.27261305</c:v>
                </c:pt>
                <c:pt idx="9">
                  <c:v>247229919.21188268</c:v>
                </c:pt>
                <c:pt idx="10">
                  <c:v>247510575.07095045</c:v>
                </c:pt>
                <c:pt idx="11">
                  <c:v>247863250.41215098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ED-4234-BECD-D69E57EB4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220000000.00000003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AS 20yr Trend'!$BJ$3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Trend'!$BJ$5:$BJ$13</c:f>
              <c:numCache>
                <c:formatCode>#,##0</c:formatCode>
                <c:ptCount val="9"/>
                <c:pt idx="0">
                  <c:v>50208448.727770001</c:v>
                </c:pt>
                <c:pt idx="1">
                  <c:v>54756020.297367997</c:v>
                </c:pt>
                <c:pt idx="2">
                  <c:v>41936988.305069</c:v>
                </c:pt>
                <c:pt idx="3">
                  <c:v>45364332.843108229</c:v>
                </c:pt>
                <c:pt idx="4">
                  <c:v>48181369.75930699</c:v>
                </c:pt>
                <c:pt idx="5">
                  <c:v>47363563.342695095</c:v>
                </c:pt>
                <c:pt idx="6">
                  <c:v>47257539.372726209</c:v>
                </c:pt>
                <c:pt idx="7">
                  <c:v>44425380.402726203</c:v>
                </c:pt>
                <c:pt idx="8">
                  <c:v>42928899.831479497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0-450C-9BCC-34BAF76BA034}"/>
            </c:ext>
          </c:extLst>
        </c:ser>
        <c:ser>
          <c:idx val="3"/>
          <c:order val="1"/>
          <c:tx>
            <c:strRef>
              <c:f>'Normalized AS 20yr Trend'!$BL$3</c:f>
              <c:strCache>
                <c:ptCount val="1"/>
                <c:pt idx="0">
                  <c:v>Normalized No CDM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Trend'!$BL$5:$BL$16</c:f>
              <c:numCache>
                <c:formatCode>#,##0</c:formatCode>
                <c:ptCount val="12"/>
                <c:pt idx="0">
                  <c:v>50100490.273640156</c:v>
                </c:pt>
                <c:pt idx="1">
                  <c:v>49309327.229737043</c:v>
                </c:pt>
                <c:pt idx="2">
                  <c:v>48518164.185833931</c:v>
                </c:pt>
                <c:pt idx="3">
                  <c:v>47727001.141930819</c:v>
                </c:pt>
                <c:pt idx="4">
                  <c:v>46935838.098027706</c:v>
                </c:pt>
                <c:pt idx="5">
                  <c:v>46144675.054124594</c:v>
                </c:pt>
                <c:pt idx="6">
                  <c:v>45353512.010221481</c:v>
                </c:pt>
                <c:pt idx="7">
                  <c:v>44562348.966318369</c:v>
                </c:pt>
                <c:pt idx="8">
                  <c:v>43771185.922415495</c:v>
                </c:pt>
                <c:pt idx="9">
                  <c:v>42980022.878512383</c:v>
                </c:pt>
                <c:pt idx="10">
                  <c:v>42188859.83460927</c:v>
                </c:pt>
                <c:pt idx="11">
                  <c:v>41397696.790706158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0-450C-9BCC-34BAF76BA034}"/>
            </c:ext>
          </c:extLst>
        </c:ser>
        <c:ser>
          <c:idx val="1"/>
          <c:order val="2"/>
          <c:tx>
            <c:strRef>
              <c:f>'Normalized AS 20yr Trend'!$BH$3</c:f>
              <c:strCache>
                <c:ptCount val="1"/>
                <c:pt idx="0">
                  <c:v>Actual Adjusted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Trend'!$BH$5:$BH$13</c:f>
              <c:numCache>
                <c:formatCode>#,##0</c:formatCode>
                <c:ptCount val="9"/>
                <c:pt idx="0">
                  <c:v>50208448.727770001</c:v>
                </c:pt>
                <c:pt idx="1">
                  <c:v>54756020.297367997</c:v>
                </c:pt>
                <c:pt idx="2">
                  <c:v>41936988.305069</c:v>
                </c:pt>
                <c:pt idx="3">
                  <c:v>45336838.931562997</c:v>
                </c:pt>
                <c:pt idx="4">
                  <c:v>48126674.812411003</c:v>
                </c:pt>
                <c:pt idx="5">
                  <c:v>47308908.679020993</c:v>
                </c:pt>
                <c:pt idx="6">
                  <c:v>47202925.820000008</c:v>
                </c:pt>
                <c:pt idx="7">
                  <c:v>44370766.850000001</c:v>
                </c:pt>
                <c:pt idx="8">
                  <c:v>42875821.289999999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0-450C-9BCC-34BAF76BA034}"/>
            </c:ext>
          </c:extLst>
        </c:ser>
        <c:ser>
          <c:idx val="2"/>
          <c:order val="3"/>
          <c:tx>
            <c:strRef>
              <c:f>'Normalized AS 20yr Trend'!$BN$3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AS 20yr Trend'!$B$5:$B$16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AS 20yr Trend'!$BN$5:$BN$16</c:f>
              <c:numCache>
                <c:formatCode>#,##0</c:formatCode>
                <c:ptCount val="12"/>
                <c:pt idx="0">
                  <c:v>50100490.273640156</c:v>
                </c:pt>
                <c:pt idx="1">
                  <c:v>49309327.229737043</c:v>
                </c:pt>
                <c:pt idx="2">
                  <c:v>48518164.185833931</c:v>
                </c:pt>
                <c:pt idx="3">
                  <c:v>47699507.230385587</c:v>
                </c:pt>
                <c:pt idx="4">
                  <c:v>46881143.151131719</c:v>
                </c:pt>
                <c:pt idx="5">
                  <c:v>46090020.390450493</c:v>
                </c:pt>
                <c:pt idx="6">
                  <c:v>45298898.45749528</c:v>
                </c:pt>
                <c:pt idx="7">
                  <c:v>44507735.413592167</c:v>
                </c:pt>
                <c:pt idx="8">
                  <c:v>43718107.380935997</c:v>
                </c:pt>
                <c:pt idx="9">
                  <c:v>42614630.228730358</c:v>
                </c:pt>
                <c:pt idx="10">
                  <c:v>41823467.181049272</c:v>
                </c:pt>
                <c:pt idx="11">
                  <c:v>41037435.528337985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70-450C-9BCC-34BAF76BA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0768"/>
        <c:axId val="208402304"/>
      </c:lineChart>
      <c:catAx>
        <c:axId val="208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02304"/>
        <c:crosses val="autoZero"/>
        <c:auto val="1"/>
        <c:lblAlgn val="ctr"/>
        <c:lblOffset val="100"/>
        <c:noMultiLvlLbl val="0"/>
      </c:catAx>
      <c:valAx>
        <c:axId val="208402304"/>
        <c:scaling>
          <c:orientation val="minMax"/>
          <c:min val="3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'Intermediate Predicted Monthly'!$C$1</c:f>
              <c:strCache>
                <c:ptCount val="1"/>
                <c:pt idx="0">
                  <c:v>Intermediate_NO_CDM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'Intermediate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'Intermediate Predicted Monthly'!$C$2:$C$121</c:f>
              <c:numCache>
                <c:formatCode>General</c:formatCode>
                <c:ptCount val="120"/>
                <c:pt idx="0">
                  <c:v>4415320.5250500003</c:v>
                </c:pt>
                <c:pt idx="1">
                  <c:v>4063549.3825500002</c:v>
                </c:pt>
                <c:pt idx="2">
                  <c:v>4547876.9075999996</c:v>
                </c:pt>
                <c:pt idx="3">
                  <c:v>4092154.0065000001</c:v>
                </c:pt>
                <c:pt idx="4">
                  <c:v>4275362.9309440004</c:v>
                </c:pt>
                <c:pt idx="5">
                  <c:v>4339364.1067150002</c:v>
                </c:pt>
                <c:pt idx="6">
                  <c:v>4830360.0326429997</c:v>
                </c:pt>
                <c:pt idx="7">
                  <c:v>4185937.0571420002</c:v>
                </c:pt>
                <c:pt idx="8">
                  <c:v>4066294.1067980002</c:v>
                </c:pt>
                <c:pt idx="9">
                  <c:v>4216044.9663699996</c:v>
                </c:pt>
                <c:pt idx="10">
                  <c:v>4135261.855149</c:v>
                </c:pt>
                <c:pt idx="11">
                  <c:v>4139276.0675209998</c:v>
                </c:pt>
                <c:pt idx="12">
                  <c:v>3680290.2110469998</c:v>
                </c:pt>
                <c:pt idx="13">
                  <c:v>3458917.2119789999</c:v>
                </c:pt>
                <c:pt idx="14">
                  <c:v>3961328.3825309998</c:v>
                </c:pt>
                <c:pt idx="15">
                  <c:v>3819290.2417009999</c:v>
                </c:pt>
                <c:pt idx="16">
                  <c:v>4025317.4492390002</c:v>
                </c:pt>
                <c:pt idx="17">
                  <c:v>4225303.8981990004</c:v>
                </c:pt>
                <c:pt idx="18">
                  <c:v>4362344.081638</c:v>
                </c:pt>
                <c:pt idx="19">
                  <c:v>4421103.6722379997</c:v>
                </c:pt>
                <c:pt idx="20">
                  <c:v>4336552.6475419998</c:v>
                </c:pt>
                <c:pt idx="21">
                  <c:v>4409060.9406300001</c:v>
                </c:pt>
                <c:pt idx="22">
                  <c:v>4233860.37414</c:v>
                </c:pt>
                <c:pt idx="23">
                  <c:v>4138518.7720019999</c:v>
                </c:pt>
                <c:pt idx="24">
                  <c:v>4225575.7611889997</c:v>
                </c:pt>
                <c:pt idx="25">
                  <c:v>3677829.2420740002</c:v>
                </c:pt>
                <c:pt idx="26">
                  <c:v>4008991.4056159998</c:v>
                </c:pt>
                <c:pt idx="27">
                  <c:v>3911881.7842620001</c:v>
                </c:pt>
                <c:pt idx="28">
                  <c:v>4672710.2646949999</c:v>
                </c:pt>
                <c:pt idx="29">
                  <c:v>4411205.0579040004</c:v>
                </c:pt>
                <c:pt idx="30">
                  <c:v>4410294.6933960002</c:v>
                </c:pt>
                <c:pt idx="31">
                  <c:v>3989309.9328839998</c:v>
                </c:pt>
                <c:pt idx="32">
                  <c:v>3961994.71691</c:v>
                </c:pt>
                <c:pt idx="33">
                  <c:v>4046724.6678829999</c:v>
                </c:pt>
                <c:pt idx="34">
                  <c:v>3772717.8805010002</c:v>
                </c:pt>
                <c:pt idx="35">
                  <c:v>3705335.743148</c:v>
                </c:pt>
                <c:pt idx="36">
                  <c:v>3676968.9810556835</c:v>
                </c:pt>
                <c:pt idx="37">
                  <c:v>3497416.8930946835</c:v>
                </c:pt>
                <c:pt idx="38">
                  <c:v>3797437.6184126833</c:v>
                </c:pt>
                <c:pt idx="39">
                  <c:v>3517504.1996336835</c:v>
                </c:pt>
                <c:pt idx="40">
                  <c:v>4044937.4375086837</c:v>
                </c:pt>
                <c:pt idx="41">
                  <c:v>4101522.8000286836</c:v>
                </c:pt>
                <c:pt idx="42">
                  <c:v>4189025.0907676835</c:v>
                </c:pt>
                <c:pt idx="43">
                  <c:v>4037293.3264716836</c:v>
                </c:pt>
                <c:pt idx="44">
                  <c:v>3505149.0576776834</c:v>
                </c:pt>
                <c:pt idx="45">
                  <c:v>3665713.2215106837</c:v>
                </c:pt>
                <c:pt idx="46">
                  <c:v>4332336.8526676828</c:v>
                </c:pt>
                <c:pt idx="47">
                  <c:v>3431298.8417096836</c:v>
                </c:pt>
                <c:pt idx="48">
                  <c:v>3650792.2621592293</c:v>
                </c:pt>
                <c:pt idx="49">
                  <c:v>3160249.3168802294</c:v>
                </c:pt>
                <c:pt idx="50">
                  <c:v>2795571.2968722293</c:v>
                </c:pt>
                <c:pt idx="51">
                  <c:v>3642488.5188232292</c:v>
                </c:pt>
                <c:pt idx="52">
                  <c:v>4167859.4824122293</c:v>
                </c:pt>
                <c:pt idx="53">
                  <c:v>4054002.5970822293</c:v>
                </c:pt>
                <c:pt idx="54">
                  <c:v>4267179.141496229</c:v>
                </c:pt>
                <c:pt idx="55">
                  <c:v>3913373.0792622296</c:v>
                </c:pt>
                <c:pt idx="56">
                  <c:v>4476539.753896229</c:v>
                </c:pt>
                <c:pt idx="57">
                  <c:v>4212272.7133522294</c:v>
                </c:pt>
                <c:pt idx="58">
                  <c:v>3811378.5648942296</c:v>
                </c:pt>
                <c:pt idx="59">
                  <c:v>3578441.9494242296</c:v>
                </c:pt>
                <c:pt idx="60">
                  <c:v>3977286.2197341081</c:v>
                </c:pt>
                <c:pt idx="61">
                  <c:v>3319296.860103108</c:v>
                </c:pt>
                <c:pt idx="62">
                  <c:v>3885375.2901031082</c:v>
                </c:pt>
                <c:pt idx="63">
                  <c:v>3911958.4601031081</c:v>
                </c:pt>
                <c:pt idx="64">
                  <c:v>3824996.2101031081</c:v>
                </c:pt>
                <c:pt idx="65">
                  <c:v>4134163.2601031079</c:v>
                </c:pt>
                <c:pt idx="66">
                  <c:v>4416922.860103108</c:v>
                </c:pt>
                <c:pt idx="67">
                  <c:v>4004879.6001031082</c:v>
                </c:pt>
                <c:pt idx="68">
                  <c:v>4146273.0001031081</c:v>
                </c:pt>
                <c:pt idx="69">
                  <c:v>4193404.650103108</c:v>
                </c:pt>
                <c:pt idx="70">
                  <c:v>3890694.840103108</c:v>
                </c:pt>
                <c:pt idx="71">
                  <c:v>3891709.5801031082</c:v>
                </c:pt>
                <c:pt idx="72">
                  <c:v>4093961.0032661795</c:v>
                </c:pt>
                <c:pt idx="73">
                  <c:v>3523842.6232661791</c:v>
                </c:pt>
                <c:pt idx="74">
                  <c:v>3811662.5532661793</c:v>
                </c:pt>
                <c:pt idx="75">
                  <c:v>3577372.4732661792</c:v>
                </c:pt>
                <c:pt idx="76">
                  <c:v>3991285.1132661793</c:v>
                </c:pt>
                <c:pt idx="77">
                  <c:v>3758112.9032661794</c:v>
                </c:pt>
                <c:pt idx="78">
                  <c:v>4199678.1332661798</c:v>
                </c:pt>
                <c:pt idx="79">
                  <c:v>3385911.6132661789</c:v>
                </c:pt>
                <c:pt idx="80">
                  <c:v>3774070.6732661794</c:v>
                </c:pt>
                <c:pt idx="81">
                  <c:v>3704194.3132661795</c:v>
                </c:pt>
                <c:pt idx="82">
                  <c:v>3527052.9232661789</c:v>
                </c:pt>
                <c:pt idx="83">
                  <c:v>3267111.6732661794</c:v>
                </c:pt>
                <c:pt idx="84">
                  <c:v>3533933.7732470939</c:v>
                </c:pt>
                <c:pt idx="85">
                  <c:v>3495480.8832470938</c:v>
                </c:pt>
                <c:pt idx="86">
                  <c:v>3636082.5632470935</c:v>
                </c:pt>
                <c:pt idx="87">
                  <c:v>3430288.7432470941</c:v>
                </c:pt>
                <c:pt idx="88">
                  <c:v>3783247.3232470937</c:v>
                </c:pt>
                <c:pt idx="89">
                  <c:v>4068589.4732470941</c:v>
                </c:pt>
                <c:pt idx="90">
                  <c:v>3984566.7832470937</c:v>
                </c:pt>
                <c:pt idx="91">
                  <c:v>3315041.8332470939</c:v>
                </c:pt>
                <c:pt idx="92">
                  <c:v>3610685.643247094</c:v>
                </c:pt>
                <c:pt idx="93">
                  <c:v>3809029.3432470937</c:v>
                </c:pt>
                <c:pt idx="94">
                  <c:v>3762256.7532470939</c:v>
                </c:pt>
                <c:pt idx="95">
                  <c:v>4040160.4732470936</c:v>
                </c:pt>
                <c:pt idx="96">
                  <c:v>4673482.8519639345</c:v>
                </c:pt>
                <c:pt idx="97">
                  <c:v>3160702.7119639348</c:v>
                </c:pt>
                <c:pt idx="98">
                  <c:v>3516291.0219639349</c:v>
                </c:pt>
                <c:pt idx="99">
                  <c:v>3257803.3419639347</c:v>
                </c:pt>
                <c:pt idx="100">
                  <c:v>3505256.1119639347</c:v>
                </c:pt>
                <c:pt idx="101">
                  <c:v>3900962.201963935</c:v>
                </c:pt>
                <c:pt idx="102">
                  <c:v>3948803.201963935</c:v>
                </c:pt>
                <c:pt idx="103">
                  <c:v>2923548.0019639349</c:v>
                </c:pt>
                <c:pt idx="104">
                  <c:v>3551345.6319639347</c:v>
                </c:pt>
                <c:pt idx="105">
                  <c:v>4675960.2019639341</c:v>
                </c:pt>
                <c:pt idx="106">
                  <c:v>3582167.1319639347</c:v>
                </c:pt>
                <c:pt idx="107">
                  <c:v>4051590.7719639349</c:v>
                </c:pt>
                <c:pt idx="108">
                  <c:v>3830105.218467033</c:v>
                </c:pt>
                <c:pt idx="109">
                  <c:v>3294091.5384670328</c:v>
                </c:pt>
                <c:pt idx="110">
                  <c:v>3181748.4384670327</c:v>
                </c:pt>
                <c:pt idx="111">
                  <c:v>3438894.3684670329</c:v>
                </c:pt>
                <c:pt idx="112">
                  <c:v>3285743.2084670328</c:v>
                </c:pt>
                <c:pt idx="113">
                  <c:v>3353874.9084670329</c:v>
                </c:pt>
                <c:pt idx="114">
                  <c:v>3983410.6584670329</c:v>
                </c:pt>
                <c:pt idx="115">
                  <c:v>3230274.8984670327</c:v>
                </c:pt>
                <c:pt idx="116">
                  <c:v>3384714.4784670328</c:v>
                </c:pt>
                <c:pt idx="117">
                  <c:v>3691608.7784670331</c:v>
                </c:pt>
                <c:pt idx="118">
                  <c:v>3541248.8384670331</c:v>
                </c:pt>
                <c:pt idx="119">
                  <c:v>3941344.4184670327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1-4E53-98D0-5EDCB71D8456}"/>
            </c:ext>
          </c:extLst>
        </c:ser>
        <c:ser>
          <c:idx val="1"/>
          <c:order val="1"/>
          <c:tx>
            <c:strRef>
              <c:f>'Intermediate Predicted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'Intermediate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'Intermediate Predicted Monthly'!$R$2:$R$121</c:f>
              <c:numCache>
                <c:formatCode>General</c:formatCode>
                <c:ptCount val="120"/>
                <c:pt idx="0">
                  <c:v>4176083.6011950853</c:v>
                </c:pt>
                <c:pt idx="1">
                  <c:v>3725449.5201373221</c:v>
                </c:pt>
                <c:pt idx="2">
                  <c:v>4164570.5645624078</c:v>
                </c:pt>
                <c:pt idx="3">
                  <c:v>4010521.5253322599</c:v>
                </c:pt>
                <c:pt idx="4">
                  <c:v>4153057.5279297298</c:v>
                </c:pt>
                <c:pt idx="5">
                  <c:v>4345562.1097799325</c:v>
                </c:pt>
                <c:pt idx="6">
                  <c:v>4570110.4567811321</c:v>
                </c:pt>
                <c:pt idx="7">
                  <c:v>4135787.9729807135</c:v>
                </c:pt>
                <c:pt idx="8">
                  <c:v>4201397.9844628358</c:v>
                </c:pt>
                <c:pt idx="9">
                  <c:v>4343933.9870603057</c:v>
                </c:pt>
                <c:pt idx="10">
                  <c:v>4189884.9478301583</c:v>
                </c:pt>
                <c:pt idx="11">
                  <c:v>4112761.8997153579</c:v>
                </c:pt>
                <c:pt idx="12">
                  <c:v>4107005.3813990192</c:v>
                </c:pt>
                <c:pt idx="13">
                  <c:v>3656371.300341256</c:v>
                </c:pt>
                <c:pt idx="14">
                  <c:v>4095492.3447663416</c:v>
                </c:pt>
                <c:pt idx="15">
                  <c:v>3941443.3055361942</c:v>
                </c:pt>
                <c:pt idx="16">
                  <c:v>4083979.3081336636</c:v>
                </c:pt>
                <c:pt idx="17">
                  <c:v>4276483.8899838664</c:v>
                </c:pt>
                <c:pt idx="18">
                  <c:v>4501032.236985066</c:v>
                </c:pt>
                <c:pt idx="19">
                  <c:v>4066709.7531846473</c:v>
                </c:pt>
                <c:pt idx="20">
                  <c:v>4132319.7646667697</c:v>
                </c:pt>
                <c:pt idx="21">
                  <c:v>4274855.7672642395</c:v>
                </c:pt>
                <c:pt idx="22">
                  <c:v>4120806.7280340921</c:v>
                </c:pt>
                <c:pt idx="23">
                  <c:v>4043683.6799192922</c:v>
                </c:pt>
                <c:pt idx="24">
                  <c:v>4037927.1616029534</c:v>
                </c:pt>
                <c:pt idx="25">
                  <c:v>3587293.0805451898</c:v>
                </c:pt>
                <c:pt idx="26">
                  <c:v>4026414.1249702754</c:v>
                </c:pt>
                <c:pt idx="27">
                  <c:v>3872365.0857401281</c:v>
                </c:pt>
                <c:pt idx="28">
                  <c:v>4014901.0883375979</c:v>
                </c:pt>
                <c:pt idx="29">
                  <c:v>4207405.6701878002</c:v>
                </c:pt>
                <c:pt idx="30">
                  <c:v>4431954.0171889998</c:v>
                </c:pt>
                <c:pt idx="31">
                  <c:v>3997631.5333885811</c:v>
                </c:pt>
                <c:pt idx="32">
                  <c:v>4063241.5448707039</c:v>
                </c:pt>
                <c:pt idx="33">
                  <c:v>4205777.5474681733</c:v>
                </c:pt>
                <c:pt idx="34">
                  <c:v>4051728.5082380259</c:v>
                </c:pt>
                <c:pt idx="35">
                  <c:v>3974605.460123226</c:v>
                </c:pt>
                <c:pt idx="36">
                  <c:v>3968848.9418068873</c:v>
                </c:pt>
                <c:pt idx="37">
                  <c:v>3666507.3816629322</c:v>
                </c:pt>
                <c:pt idx="38">
                  <c:v>3957335.9051742093</c:v>
                </c:pt>
                <c:pt idx="39">
                  <c:v>3803286.8659440619</c:v>
                </c:pt>
                <c:pt idx="40">
                  <c:v>3945822.8685415317</c:v>
                </c:pt>
                <c:pt idx="41">
                  <c:v>4138327.450391734</c:v>
                </c:pt>
                <c:pt idx="42">
                  <c:v>4362875.7973929346</c:v>
                </c:pt>
                <c:pt idx="43">
                  <c:v>3928553.313592515</c:v>
                </c:pt>
                <c:pt idx="44">
                  <c:v>3994163.3250746378</c:v>
                </c:pt>
                <c:pt idx="45">
                  <c:v>4136699.3276721076</c:v>
                </c:pt>
                <c:pt idx="46">
                  <c:v>3982650.2884419598</c:v>
                </c:pt>
                <c:pt idx="47">
                  <c:v>3905527.2403271599</c:v>
                </c:pt>
                <c:pt idx="48">
                  <c:v>3899770.7220108211</c:v>
                </c:pt>
                <c:pt idx="49">
                  <c:v>3449136.6409530574</c:v>
                </c:pt>
                <c:pt idx="50">
                  <c:v>3888257.6853781436</c:v>
                </c:pt>
                <c:pt idx="51">
                  <c:v>3734208.6461479957</c:v>
                </c:pt>
                <c:pt idx="52">
                  <c:v>3876744.6487454656</c:v>
                </c:pt>
                <c:pt idx="53">
                  <c:v>4069249.2305956683</c:v>
                </c:pt>
                <c:pt idx="54">
                  <c:v>4293797.5775968684</c:v>
                </c:pt>
                <c:pt idx="55">
                  <c:v>3859475.0937964492</c:v>
                </c:pt>
                <c:pt idx="56">
                  <c:v>3925085.1052785716</c:v>
                </c:pt>
                <c:pt idx="57">
                  <c:v>4067621.1078760414</c:v>
                </c:pt>
                <c:pt idx="58">
                  <c:v>3913572.0686458941</c:v>
                </c:pt>
                <c:pt idx="59">
                  <c:v>3836449.0205310937</c:v>
                </c:pt>
                <c:pt idx="60">
                  <c:v>3830692.5022147549</c:v>
                </c:pt>
                <c:pt idx="61">
                  <c:v>3380058.4211569917</c:v>
                </c:pt>
                <c:pt idx="62">
                  <c:v>3819179.4655820774</c:v>
                </c:pt>
                <c:pt idx="63">
                  <c:v>3665130.42635193</c:v>
                </c:pt>
                <c:pt idx="64">
                  <c:v>3807666.4289493999</c:v>
                </c:pt>
                <c:pt idx="65">
                  <c:v>4000171.0107996021</c:v>
                </c:pt>
                <c:pt idx="66">
                  <c:v>4224719.3578008022</c:v>
                </c:pt>
                <c:pt idx="67">
                  <c:v>3790396.8740003831</c:v>
                </c:pt>
                <c:pt idx="68">
                  <c:v>3856006.8854825054</c:v>
                </c:pt>
                <c:pt idx="69">
                  <c:v>3998542.8880799753</c:v>
                </c:pt>
                <c:pt idx="70">
                  <c:v>3844493.8488498279</c:v>
                </c:pt>
                <c:pt idx="71">
                  <c:v>3767370.8007350275</c:v>
                </c:pt>
                <c:pt idx="72">
                  <c:v>3761614.2824186888</c:v>
                </c:pt>
                <c:pt idx="73">
                  <c:v>3310980.2013609256</c:v>
                </c:pt>
                <c:pt idx="74">
                  <c:v>3750101.2457860112</c:v>
                </c:pt>
                <c:pt idx="75">
                  <c:v>3596052.2065558638</c:v>
                </c:pt>
                <c:pt idx="76">
                  <c:v>3738588.2091533337</c:v>
                </c:pt>
                <c:pt idx="77">
                  <c:v>3931092.791003536</c:v>
                </c:pt>
                <c:pt idx="78">
                  <c:v>4155641.138004736</c:v>
                </c:pt>
                <c:pt idx="79">
                  <c:v>3721318.6542043169</c:v>
                </c:pt>
                <c:pt idx="80">
                  <c:v>3786928.6656864397</c:v>
                </c:pt>
                <c:pt idx="81">
                  <c:v>3929464.6682839091</c:v>
                </c:pt>
                <c:pt idx="82">
                  <c:v>3775415.6290537617</c:v>
                </c:pt>
                <c:pt idx="83">
                  <c:v>3698292.5809389614</c:v>
                </c:pt>
                <c:pt idx="84">
                  <c:v>3692536.0626226226</c:v>
                </c:pt>
                <c:pt idx="85">
                  <c:v>3390194.5024786675</c:v>
                </c:pt>
                <c:pt idx="86">
                  <c:v>3681023.025989945</c:v>
                </c:pt>
                <c:pt idx="87">
                  <c:v>3526973.9867597977</c:v>
                </c:pt>
                <c:pt idx="88">
                  <c:v>3669509.9893572675</c:v>
                </c:pt>
                <c:pt idx="89">
                  <c:v>3862014.5712074698</c:v>
                </c:pt>
                <c:pt idx="90">
                  <c:v>4086562.9182086699</c:v>
                </c:pt>
                <c:pt idx="91">
                  <c:v>3652240.4344082512</c:v>
                </c:pt>
                <c:pt idx="92">
                  <c:v>3717850.4458903736</c:v>
                </c:pt>
                <c:pt idx="93">
                  <c:v>3860386.4484878434</c:v>
                </c:pt>
                <c:pt idx="94">
                  <c:v>3706337.409257696</c:v>
                </c:pt>
                <c:pt idx="95">
                  <c:v>3629214.3611428952</c:v>
                </c:pt>
                <c:pt idx="96">
                  <c:v>3623457.8428265564</c:v>
                </c:pt>
                <c:pt idx="97">
                  <c:v>3172823.7617687937</c:v>
                </c:pt>
                <c:pt idx="98">
                  <c:v>3611944.8061938789</c:v>
                </c:pt>
                <c:pt idx="99">
                  <c:v>3457895.7669637315</c:v>
                </c:pt>
                <c:pt idx="100">
                  <c:v>3600431.7695612013</c:v>
                </c:pt>
                <c:pt idx="101">
                  <c:v>3792936.3514114041</c:v>
                </c:pt>
                <c:pt idx="102">
                  <c:v>4017484.6984126037</c:v>
                </c:pt>
                <c:pt idx="103">
                  <c:v>3583162.214612185</c:v>
                </c:pt>
                <c:pt idx="104">
                  <c:v>3648772.2260943074</c:v>
                </c:pt>
                <c:pt idx="105">
                  <c:v>3791308.2286917772</c:v>
                </c:pt>
                <c:pt idx="106">
                  <c:v>3637259.1894616298</c:v>
                </c:pt>
                <c:pt idx="107">
                  <c:v>3560136.1413468295</c:v>
                </c:pt>
                <c:pt idx="108">
                  <c:v>3554379.6230304902</c:v>
                </c:pt>
                <c:pt idx="109">
                  <c:v>3103745.5419727275</c:v>
                </c:pt>
                <c:pt idx="110">
                  <c:v>3542866.5863978127</c:v>
                </c:pt>
                <c:pt idx="111">
                  <c:v>3388817.5471676653</c:v>
                </c:pt>
                <c:pt idx="112">
                  <c:v>3531353.5497651352</c:v>
                </c:pt>
                <c:pt idx="113">
                  <c:v>3723858.1316153379</c:v>
                </c:pt>
                <c:pt idx="114">
                  <c:v>3948406.4786165375</c:v>
                </c:pt>
                <c:pt idx="115">
                  <c:v>3514083.9948161189</c:v>
                </c:pt>
                <c:pt idx="116">
                  <c:v>3579694.0062982412</c:v>
                </c:pt>
                <c:pt idx="117">
                  <c:v>3722230.008895711</c:v>
                </c:pt>
                <c:pt idx="118">
                  <c:v>3568180.9696655637</c:v>
                </c:pt>
                <c:pt idx="119">
                  <c:v>3491057.9215507633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1-4E53-98D0-5EDCB71D8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Predicted Monthly'!$C$1</c:f>
              <c:strCache>
                <c:ptCount val="1"/>
                <c:pt idx="0">
                  <c:v>Large_Use_NO_CDM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'Large Use Predicted Monthly'!$C$2:$C$121</c:f>
              <c:numCache>
                <c:formatCode>General</c:formatCode>
                <c:ptCount val="120"/>
                <c:pt idx="0">
                  <c:v>24657854.515772</c:v>
                </c:pt>
                <c:pt idx="1">
                  <c:v>22260143.476391003</c:v>
                </c:pt>
                <c:pt idx="2">
                  <c:v>20653970.599032998</c:v>
                </c:pt>
                <c:pt idx="3">
                  <c:v>19934511.746649001</c:v>
                </c:pt>
                <c:pt idx="4">
                  <c:v>20696037.706291001</c:v>
                </c:pt>
                <c:pt idx="5">
                  <c:v>23177348.254234999</c:v>
                </c:pt>
                <c:pt idx="6">
                  <c:v>24105091.778898001</c:v>
                </c:pt>
                <c:pt idx="7">
                  <c:v>25408029.314557001</c:v>
                </c:pt>
                <c:pt idx="8">
                  <c:v>24750387.851640001</c:v>
                </c:pt>
                <c:pt idx="9">
                  <c:v>22390724.243762001</c:v>
                </c:pt>
                <c:pt idx="10">
                  <c:v>21830185.762596998</c:v>
                </c:pt>
                <c:pt idx="11">
                  <c:v>22001519.052356999</c:v>
                </c:pt>
                <c:pt idx="12">
                  <c:v>23267481.492624</c:v>
                </c:pt>
                <c:pt idx="13">
                  <c:v>21795460.432082001</c:v>
                </c:pt>
                <c:pt idx="14">
                  <c:v>23702308.642981</c:v>
                </c:pt>
                <c:pt idx="15">
                  <c:v>22434537.258079</c:v>
                </c:pt>
                <c:pt idx="16">
                  <c:v>24754424.438850001</c:v>
                </c:pt>
                <c:pt idx="17">
                  <c:v>27908850.407844998</c:v>
                </c:pt>
                <c:pt idx="18">
                  <c:v>28114606.937438</c:v>
                </c:pt>
                <c:pt idx="19">
                  <c:v>28003793.798920002</c:v>
                </c:pt>
                <c:pt idx="20">
                  <c:v>25632165.922669999</c:v>
                </c:pt>
                <c:pt idx="21">
                  <c:v>22852757.804852001</c:v>
                </c:pt>
                <c:pt idx="22">
                  <c:v>23723679.543327</c:v>
                </c:pt>
                <c:pt idx="23">
                  <c:v>22899884.576402999</c:v>
                </c:pt>
                <c:pt idx="24">
                  <c:v>25034209.612390783</c:v>
                </c:pt>
                <c:pt idx="25">
                  <c:v>23164195.346903782</c:v>
                </c:pt>
                <c:pt idx="26">
                  <c:v>26459090.230250776</c:v>
                </c:pt>
                <c:pt idx="27">
                  <c:v>25022567.66299478</c:v>
                </c:pt>
                <c:pt idx="28">
                  <c:v>26704085.36537778</c:v>
                </c:pt>
                <c:pt idx="29">
                  <c:v>28111785.629975785</c:v>
                </c:pt>
                <c:pt idx="30">
                  <c:v>30190116.641824778</c:v>
                </c:pt>
                <c:pt idx="31">
                  <c:v>30861622.659266785</c:v>
                </c:pt>
                <c:pt idx="32">
                  <c:v>28060858.582085781</c:v>
                </c:pt>
                <c:pt idx="33">
                  <c:v>27577133.736433782</c:v>
                </c:pt>
                <c:pt idx="34">
                  <c:v>25509610.906105783</c:v>
                </c:pt>
                <c:pt idx="35">
                  <c:v>24520015.174318783</c:v>
                </c:pt>
                <c:pt idx="36">
                  <c:v>24619746.910415377</c:v>
                </c:pt>
                <c:pt idx="37">
                  <c:v>23358346.485932376</c:v>
                </c:pt>
                <c:pt idx="38">
                  <c:v>25697582.403648376</c:v>
                </c:pt>
                <c:pt idx="39">
                  <c:v>22724090.569431376</c:v>
                </c:pt>
                <c:pt idx="40">
                  <c:v>26147718.708103377</c:v>
                </c:pt>
                <c:pt idx="41">
                  <c:v>27110911.66941338</c:v>
                </c:pt>
                <c:pt idx="42">
                  <c:v>28651532.946666375</c:v>
                </c:pt>
                <c:pt idx="43">
                  <c:v>29135996.964846376</c:v>
                </c:pt>
                <c:pt idx="44">
                  <c:v>26827518.381083377</c:v>
                </c:pt>
                <c:pt idx="45">
                  <c:v>26040528.23985038</c:v>
                </c:pt>
                <c:pt idx="46">
                  <c:v>24522347.921087377</c:v>
                </c:pt>
                <c:pt idx="47">
                  <c:v>22515876.246065378</c:v>
                </c:pt>
                <c:pt idx="48">
                  <c:v>23925452.935251616</c:v>
                </c:pt>
                <c:pt idx="49">
                  <c:v>22074898.569297619</c:v>
                </c:pt>
                <c:pt idx="50">
                  <c:v>25957172.465708617</c:v>
                </c:pt>
                <c:pt idx="51">
                  <c:v>25334732.869080614</c:v>
                </c:pt>
                <c:pt idx="52">
                  <c:v>26406281.115671616</c:v>
                </c:pt>
                <c:pt idx="53">
                  <c:v>26304525.374992616</c:v>
                </c:pt>
                <c:pt idx="54">
                  <c:v>25876608.308857616</c:v>
                </c:pt>
                <c:pt idx="55">
                  <c:v>27134287.862933617</c:v>
                </c:pt>
                <c:pt idx="56">
                  <c:v>24944209.616773617</c:v>
                </c:pt>
                <c:pt idx="57">
                  <c:v>25745628.725316614</c:v>
                </c:pt>
                <c:pt idx="58">
                  <c:v>24932264.781123616</c:v>
                </c:pt>
                <c:pt idx="59">
                  <c:v>22639929.518798616</c:v>
                </c:pt>
                <c:pt idx="60">
                  <c:v>26670683.232928887</c:v>
                </c:pt>
                <c:pt idx="61">
                  <c:v>23471289.154199887</c:v>
                </c:pt>
                <c:pt idx="62">
                  <c:v>25265167.314199887</c:v>
                </c:pt>
                <c:pt idx="63">
                  <c:v>22877973.494199887</c:v>
                </c:pt>
                <c:pt idx="64">
                  <c:v>28623709.664199885</c:v>
                </c:pt>
                <c:pt idx="65">
                  <c:v>30426752.654199883</c:v>
                </c:pt>
                <c:pt idx="66">
                  <c:v>28757284.464199886</c:v>
                </c:pt>
                <c:pt idx="67">
                  <c:v>29410529.954199888</c:v>
                </c:pt>
                <c:pt idx="68">
                  <c:v>23959161.474199884</c:v>
                </c:pt>
                <c:pt idx="69">
                  <c:v>25930142.964199886</c:v>
                </c:pt>
                <c:pt idx="70">
                  <c:v>24626116.624199886</c:v>
                </c:pt>
                <c:pt idx="71">
                  <c:v>22876540.304199886</c:v>
                </c:pt>
                <c:pt idx="72">
                  <c:v>23987700.533313058</c:v>
                </c:pt>
                <c:pt idx="73">
                  <c:v>23738766.70331306</c:v>
                </c:pt>
                <c:pt idx="74">
                  <c:v>25313211.343313061</c:v>
                </c:pt>
                <c:pt idx="75">
                  <c:v>24471161.113313057</c:v>
                </c:pt>
                <c:pt idx="76">
                  <c:v>27691400.053313062</c:v>
                </c:pt>
                <c:pt idx="77">
                  <c:v>28284245.943313062</c:v>
                </c:pt>
                <c:pt idx="78">
                  <c:v>28027417.573313057</c:v>
                </c:pt>
                <c:pt idx="79">
                  <c:v>29750781.553313062</c:v>
                </c:pt>
                <c:pt idx="80">
                  <c:v>26713798.003313057</c:v>
                </c:pt>
                <c:pt idx="81">
                  <c:v>25441621.893313058</c:v>
                </c:pt>
                <c:pt idx="82">
                  <c:v>24220410.913313061</c:v>
                </c:pt>
                <c:pt idx="83">
                  <c:v>23661661.963313058</c:v>
                </c:pt>
                <c:pt idx="84">
                  <c:v>25090154.590573408</c:v>
                </c:pt>
                <c:pt idx="85">
                  <c:v>24396990.330573406</c:v>
                </c:pt>
                <c:pt idx="86">
                  <c:v>27149345.800573409</c:v>
                </c:pt>
                <c:pt idx="87">
                  <c:v>27647505.130573407</c:v>
                </c:pt>
                <c:pt idx="88">
                  <c:v>28570914.350573409</c:v>
                </c:pt>
                <c:pt idx="89">
                  <c:v>29314407.180573408</c:v>
                </c:pt>
                <c:pt idx="90">
                  <c:v>30213662.17057341</c:v>
                </c:pt>
                <c:pt idx="91">
                  <c:v>31803691.650573406</c:v>
                </c:pt>
                <c:pt idx="92">
                  <c:v>28562406.850573409</c:v>
                </c:pt>
                <c:pt idx="93">
                  <c:v>27098824.600573409</c:v>
                </c:pt>
                <c:pt idx="94">
                  <c:v>25594458.180573408</c:v>
                </c:pt>
                <c:pt idx="95">
                  <c:v>23271647.370573409</c:v>
                </c:pt>
                <c:pt idx="96">
                  <c:v>24541033.237536147</c:v>
                </c:pt>
                <c:pt idx="97">
                  <c:v>22499336.237536147</c:v>
                </c:pt>
                <c:pt idx="98">
                  <c:v>24743226.817536149</c:v>
                </c:pt>
                <c:pt idx="99">
                  <c:v>23949395.767536148</c:v>
                </c:pt>
                <c:pt idx="100">
                  <c:v>25751167.427536149</c:v>
                </c:pt>
                <c:pt idx="101">
                  <c:v>28230853.497536149</c:v>
                </c:pt>
                <c:pt idx="102">
                  <c:v>29806897.697536148</c:v>
                </c:pt>
                <c:pt idx="103">
                  <c:v>28084142.757536147</c:v>
                </c:pt>
                <c:pt idx="104">
                  <c:v>27096573.647536147</c:v>
                </c:pt>
                <c:pt idx="105">
                  <c:v>26885972.587536149</c:v>
                </c:pt>
                <c:pt idx="106">
                  <c:v>24700471.057536148</c:v>
                </c:pt>
                <c:pt idx="107">
                  <c:v>23760465.877536148</c:v>
                </c:pt>
                <c:pt idx="108">
                  <c:v>25945759.032864273</c:v>
                </c:pt>
                <c:pt idx="109">
                  <c:v>23723363.452864274</c:v>
                </c:pt>
                <c:pt idx="110">
                  <c:v>27257041.482864272</c:v>
                </c:pt>
                <c:pt idx="111">
                  <c:v>25500957.362864275</c:v>
                </c:pt>
                <c:pt idx="112">
                  <c:v>29537487.852864273</c:v>
                </c:pt>
                <c:pt idx="113">
                  <c:v>30656694.902864274</c:v>
                </c:pt>
                <c:pt idx="114">
                  <c:v>30904161.792864271</c:v>
                </c:pt>
                <c:pt idx="115">
                  <c:v>30192199.592864275</c:v>
                </c:pt>
                <c:pt idx="116">
                  <c:v>28299525.392864272</c:v>
                </c:pt>
                <c:pt idx="117">
                  <c:v>25590231.122864276</c:v>
                </c:pt>
                <c:pt idx="118">
                  <c:v>23444500.422864273</c:v>
                </c:pt>
                <c:pt idx="119">
                  <c:v>21912885.452864274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3-42EE-B6D5-B1EE5F816EC5}"/>
            </c:ext>
          </c:extLst>
        </c:ser>
        <c:ser>
          <c:idx val="1"/>
          <c:order val="1"/>
          <c:tx>
            <c:strRef>
              <c:f>'Large Use Predicted Monthly'!$R$1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'Large Use Predicted Monthly'!$R$2:$R$121</c:f>
              <c:numCache>
                <c:formatCode>General</c:formatCode>
                <c:ptCount val="120"/>
                <c:pt idx="0">
                  <c:v>24105491.288865041</c:v>
                </c:pt>
                <c:pt idx="1">
                  <c:v>21914592.647116195</c:v>
                </c:pt>
                <c:pt idx="2">
                  <c:v>23848947.958449688</c:v>
                </c:pt>
                <c:pt idx="3">
                  <c:v>23361126.740239423</c:v>
                </c:pt>
                <c:pt idx="4">
                  <c:v>24030363.261496313</c:v>
                </c:pt>
                <c:pt idx="5">
                  <c:v>25005157.176949788</c:v>
                </c:pt>
                <c:pt idx="6">
                  <c:v>24670894.577889111</c:v>
                </c:pt>
                <c:pt idx="7">
                  <c:v>27148521.777908813</c:v>
                </c:pt>
                <c:pt idx="8">
                  <c:v>24448463.30751051</c:v>
                </c:pt>
                <c:pt idx="9">
                  <c:v>23750857.861526169</c:v>
                </c:pt>
                <c:pt idx="10">
                  <c:v>23115447.335775994</c:v>
                </c:pt>
                <c:pt idx="11">
                  <c:v>21601458.997829866</c:v>
                </c:pt>
                <c:pt idx="12">
                  <c:v>23849290.93081655</c:v>
                </c:pt>
                <c:pt idx="13">
                  <c:v>21794552.318713289</c:v>
                </c:pt>
                <c:pt idx="14">
                  <c:v>23885646.001704291</c:v>
                </c:pt>
                <c:pt idx="15">
                  <c:v>23353899.565488413</c:v>
                </c:pt>
                <c:pt idx="16">
                  <c:v>25563778.609246377</c:v>
                </c:pt>
                <c:pt idx="17">
                  <c:v>27004462.385063857</c:v>
                </c:pt>
                <c:pt idx="18">
                  <c:v>28607528.366652828</c:v>
                </c:pt>
                <c:pt idx="19">
                  <c:v>29796183.262907054</c:v>
                </c:pt>
                <c:pt idx="20">
                  <c:v>25042920.854029261</c:v>
                </c:pt>
                <c:pt idx="21">
                  <c:v>24176785.148427144</c:v>
                </c:pt>
                <c:pt idx="22">
                  <c:v>23464250.232878152</c:v>
                </c:pt>
                <c:pt idx="23">
                  <c:v>22012339.893334672</c:v>
                </c:pt>
                <c:pt idx="24">
                  <c:v>24327394.410226986</c:v>
                </c:pt>
                <c:pt idx="25">
                  <c:v>22303866.283508476</c:v>
                </c:pt>
                <c:pt idx="26">
                  <c:v>24403877.248037979</c:v>
                </c:pt>
                <c:pt idx="27">
                  <c:v>23751155.261235192</c:v>
                </c:pt>
                <c:pt idx="28">
                  <c:v>25445921.617260762</c:v>
                </c:pt>
                <c:pt idx="29">
                  <c:v>26891621.709768258</c:v>
                </c:pt>
                <c:pt idx="30">
                  <c:v>29720108.944237359</c:v>
                </c:pt>
                <c:pt idx="31">
                  <c:v>28786563.127328929</c:v>
                </c:pt>
                <c:pt idx="32">
                  <c:v>25462213.215996362</c:v>
                </c:pt>
                <c:pt idx="33">
                  <c:v>24610701.962781262</c:v>
                </c:pt>
                <c:pt idx="34">
                  <c:v>23831573.637791049</c:v>
                </c:pt>
                <c:pt idx="35">
                  <c:v>22318271.244578648</c:v>
                </c:pt>
                <c:pt idx="36">
                  <c:v>24558214.813127432</c:v>
                </c:pt>
                <c:pt idx="37">
                  <c:v>23169068.295058496</c:v>
                </c:pt>
                <c:pt idx="38">
                  <c:v>24686432.266739655</c:v>
                </c:pt>
                <c:pt idx="39">
                  <c:v>24024089.76671645</c:v>
                </c:pt>
                <c:pt idx="40">
                  <c:v>26181876.49403201</c:v>
                </c:pt>
                <c:pt idx="41">
                  <c:v>27823468.227538113</c:v>
                </c:pt>
                <c:pt idx="42">
                  <c:v>29290361.801958092</c:v>
                </c:pt>
                <c:pt idx="43">
                  <c:v>28457516.682670362</c:v>
                </c:pt>
                <c:pt idx="44">
                  <c:v>25313775.121013384</c:v>
                </c:pt>
                <c:pt idx="45">
                  <c:v>24831043.246168677</c:v>
                </c:pt>
                <c:pt idx="46">
                  <c:v>24035985.168442853</c:v>
                </c:pt>
                <c:pt idx="47">
                  <c:v>22568984.044757292</c:v>
                </c:pt>
                <c:pt idx="48">
                  <c:v>24850427.269696791</c:v>
                </c:pt>
                <c:pt idx="49">
                  <c:v>22838903.17581857</c:v>
                </c:pt>
                <c:pt idx="50">
                  <c:v>24926910.107507784</c:v>
                </c:pt>
                <c:pt idx="51">
                  <c:v>24264061.792408373</c:v>
                </c:pt>
                <c:pt idx="52">
                  <c:v>26578431.51677075</c:v>
                </c:pt>
                <c:pt idx="53">
                  <c:v>27089371.001765475</c:v>
                </c:pt>
                <c:pt idx="54">
                  <c:v>28137645.573505674</c:v>
                </c:pt>
                <c:pt idx="55">
                  <c:v>28657032.697346471</c:v>
                </c:pt>
                <c:pt idx="56">
                  <c:v>26176266.955535915</c:v>
                </c:pt>
                <c:pt idx="57">
                  <c:v>25690127.553395513</c:v>
                </c:pt>
                <c:pt idx="58">
                  <c:v>24487336.803237781</c:v>
                </c:pt>
                <c:pt idx="59">
                  <c:v>22945567.703575548</c:v>
                </c:pt>
                <c:pt idx="60">
                  <c:v>25157387.538041364</c:v>
                </c:pt>
                <c:pt idx="61">
                  <c:v>23094417.58913333</c:v>
                </c:pt>
                <c:pt idx="62">
                  <c:v>25185168.299757462</c:v>
                </c:pt>
                <c:pt idx="63">
                  <c:v>24540840.492468789</c:v>
                </c:pt>
                <c:pt idx="64">
                  <c:v>26195782.570616826</c:v>
                </c:pt>
                <c:pt idx="65">
                  <c:v>27784781.082029086</c:v>
                </c:pt>
                <c:pt idx="66">
                  <c:v>26651380.074802518</c:v>
                </c:pt>
                <c:pt idx="67">
                  <c:v>28672155.496711042</c:v>
                </c:pt>
                <c:pt idx="68">
                  <c:v>25926464.414571453</c:v>
                </c:pt>
                <c:pt idx="69">
                  <c:v>25442910.8580814</c:v>
                </c:pt>
                <c:pt idx="70">
                  <c:v>24670827.019510794</c:v>
                </c:pt>
                <c:pt idx="71">
                  <c:v>23126314.140913639</c:v>
                </c:pt>
                <c:pt idx="72">
                  <c:v>25285659.203249041</c:v>
                </c:pt>
                <c:pt idx="73">
                  <c:v>23215486.83463683</c:v>
                </c:pt>
                <c:pt idx="74">
                  <c:v>25307609.434728429</c:v>
                </c:pt>
                <c:pt idx="75">
                  <c:v>24635843.838090517</c:v>
                </c:pt>
                <c:pt idx="76">
                  <c:v>27050914.260073598</c:v>
                </c:pt>
                <c:pt idx="77">
                  <c:v>27085941.070173834</c:v>
                </c:pt>
                <c:pt idx="78">
                  <c:v>27953330.908990446</c:v>
                </c:pt>
                <c:pt idx="79">
                  <c:v>29168754.936808363</c:v>
                </c:pt>
                <c:pt idx="80">
                  <c:v>27671802.319070984</c:v>
                </c:pt>
                <c:pt idx="81">
                  <c:v>25522766.64929172</c:v>
                </c:pt>
                <c:pt idx="82">
                  <c:v>24755378.351417217</c:v>
                </c:pt>
                <c:pt idx="83">
                  <c:v>23262474.17055922</c:v>
                </c:pt>
                <c:pt idx="84">
                  <c:v>25528826.611356642</c:v>
                </c:pt>
                <c:pt idx="85">
                  <c:v>24190440.003583796</c:v>
                </c:pt>
                <c:pt idx="86">
                  <c:v>25594334.33342794</c:v>
                </c:pt>
                <c:pt idx="87">
                  <c:v>24918453.068387646</c:v>
                </c:pt>
                <c:pt idx="88">
                  <c:v>26887123.72597485</c:v>
                </c:pt>
                <c:pt idx="89">
                  <c:v>28345368.240295216</c:v>
                </c:pt>
                <c:pt idx="90">
                  <c:v>29728704.826012984</c:v>
                </c:pt>
                <c:pt idx="91">
                  <c:v>31434137.969663247</c:v>
                </c:pt>
                <c:pt idx="92">
                  <c:v>27331689.41450702</c:v>
                </c:pt>
                <c:pt idx="93">
                  <c:v>26296413.912521794</c:v>
                </c:pt>
                <c:pt idx="94">
                  <c:v>25062158.490104269</c:v>
                </c:pt>
                <c:pt idx="95">
                  <c:v>23579037.66517603</c:v>
                </c:pt>
                <c:pt idx="96">
                  <c:v>25846419.023074046</c:v>
                </c:pt>
                <c:pt idx="97">
                  <c:v>23823233.868722402</c:v>
                </c:pt>
                <c:pt idx="98">
                  <c:v>25921186.99905071</c:v>
                </c:pt>
                <c:pt idx="99">
                  <c:v>25400331.802507475</c:v>
                </c:pt>
                <c:pt idx="100">
                  <c:v>26692167.099237256</c:v>
                </c:pt>
                <c:pt idx="101">
                  <c:v>28655190.737538137</c:v>
                </c:pt>
                <c:pt idx="102">
                  <c:v>29194047.414871037</c:v>
                </c:pt>
                <c:pt idx="103">
                  <c:v>29293263.516907074</c:v>
                </c:pt>
                <c:pt idx="104">
                  <c:v>27631353.360307839</c:v>
                </c:pt>
                <c:pt idx="105">
                  <c:v>26913253.448378623</c:v>
                </c:pt>
                <c:pt idx="106">
                  <c:v>25647269.347976718</c:v>
                </c:pt>
                <c:pt idx="107">
                  <c:v>24169979.053285189</c:v>
                </c:pt>
                <c:pt idx="108">
                  <c:v>26249184.975756682</c:v>
                </c:pt>
                <c:pt idx="109">
                  <c:v>24020006.939663649</c:v>
                </c:pt>
                <c:pt idx="110">
                  <c:v>25939738.535747495</c:v>
                </c:pt>
                <c:pt idx="111">
                  <c:v>25339579.70586912</c:v>
                </c:pt>
                <c:pt idx="112">
                  <c:v>28071858.541416049</c:v>
                </c:pt>
                <c:pt idx="113">
                  <c:v>29125182.428254716</c:v>
                </c:pt>
                <c:pt idx="114">
                  <c:v>30693377.823251467</c:v>
                </c:pt>
                <c:pt idx="115">
                  <c:v>32279180.034056179</c:v>
                </c:pt>
                <c:pt idx="116">
                  <c:v>28933993.187104929</c:v>
                </c:pt>
                <c:pt idx="117">
                  <c:v>27234910.867471445</c:v>
                </c:pt>
                <c:pt idx="118">
                  <c:v>25924203.877137858</c:v>
                </c:pt>
                <c:pt idx="119">
                  <c:v>24475998.622419417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3-42EE-B6D5-B1EE5F81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'Large Use Predicted Monthly (L)'!$C$1</c:f>
              <c:strCache>
                <c:ptCount val="1"/>
                <c:pt idx="0">
                  <c:v> Large_Use_LC_kWh_NO_CDM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 (L)'!$A$2:$A$121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'Large Use Predicted Monthly (L)'!$C$2:$C$121</c:f>
              <c:numCache>
                <c:formatCode>_(* #,##0.00_);_(* \(#,##0.00\);_(* "-"??_);_(@_)</c:formatCode>
                <c:ptCount val="120"/>
                <c:pt idx="0">
                  <c:v>22028250.725647919</c:v>
                </c:pt>
                <c:pt idx="1">
                  <c:v>19634474.347390488</c:v>
                </c:pt>
                <c:pt idx="2">
                  <c:v>19328255.735383421</c:v>
                </c:pt>
                <c:pt idx="3">
                  <c:v>18204586.06263255</c:v>
                </c:pt>
                <c:pt idx="4">
                  <c:v>18282543.475076191</c:v>
                </c:pt>
                <c:pt idx="5">
                  <c:v>21113808.408363659</c:v>
                </c:pt>
                <c:pt idx="6">
                  <c:v>22008982.677487984</c:v>
                </c:pt>
                <c:pt idx="7">
                  <c:v>22872095.056904018</c:v>
                </c:pt>
                <c:pt idx="8">
                  <c:v>20688385.851761155</c:v>
                </c:pt>
                <c:pt idx="9">
                  <c:v>18370827.816093475</c:v>
                </c:pt>
                <c:pt idx="10">
                  <c:v>17897159.701150067</c:v>
                </c:pt>
                <c:pt idx="11">
                  <c:v>18512763.173234116</c:v>
                </c:pt>
                <c:pt idx="12">
                  <c:v>19044313.514603201</c:v>
                </c:pt>
                <c:pt idx="13">
                  <c:v>17686133.268556133</c:v>
                </c:pt>
                <c:pt idx="14">
                  <c:v>19479538.882481217</c:v>
                </c:pt>
                <c:pt idx="15">
                  <c:v>18625659.098729182</c:v>
                </c:pt>
                <c:pt idx="16">
                  <c:v>20816001.059037603</c:v>
                </c:pt>
                <c:pt idx="17">
                  <c:v>23509898.345266234</c:v>
                </c:pt>
                <c:pt idx="18">
                  <c:v>24336162.481910329</c:v>
                </c:pt>
                <c:pt idx="19">
                  <c:v>23181072.6356427</c:v>
                </c:pt>
                <c:pt idx="20">
                  <c:v>21387323.124149039</c:v>
                </c:pt>
                <c:pt idx="21">
                  <c:v>18384718.318803035</c:v>
                </c:pt>
                <c:pt idx="22">
                  <c:v>19335451.797419466</c:v>
                </c:pt>
                <c:pt idx="23">
                  <c:v>18685961.138548218</c:v>
                </c:pt>
                <c:pt idx="24">
                  <c:v>20311443.914882537</c:v>
                </c:pt>
                <c:pt idx="25">
                  <c:v>18637137.92498688</c:v>
                </c:pt>
                <c:pt idx="26">
                  <c:v>21533862.722559217</c:v>
                </c:pt>
                <c:pt idx="27">
                  <c:v>20450919.389425918</c:v>
                </c:pt>
                <c:pt idx="28">
                  <c:v>21971453.581163168</c:v>
                </c:pt>
                <c:pt idx="29">
                  <c:v>22815807.153374083</c:v>
                </c:pt>
                <c:pt idx="30">
                  <c:v>25456437.547008239</c:v>
                </c:pt>
                <c:pt idx="31">
                  <c:v>24857683.720791303</c:v>
                </c:pt>
                <c:pt idx="32">
                  <c:v>22360661.77511223</c:v>
                </c:pt>
                <c:pt idx="33">
                  <c:v>21639744.647910222</c:v>
                </c:pt>
                <c:pt idx="34">
                  <c:v>19883497.74559721</c:v>
                </c:pt>
                <c:pt idx="35">
                  <c:v>18586040.900826391</c:v>
                </c:pt>
                <c:pt idx="36">
                  <c:v>19687814.33821645</c:v>
                </c:pt>
                <c:pt idx="37">
                  <c:v>18467697.406501543</c:v>
                </c:pt>
                <c:pt idx="38">
                  <c:v>20499238.476042025</c:v>
                </c:pt>
                <c:pt idx="39">
                  <c:v>19245043.973630149</c:v>
                </c:pt>
                <c:pt idx="40">
                  <c:v>22797281.19388999</c:v>
                </c:pt>
                <c:pt idx="41">
                  <c:v>23456120.90443496</c:v>
                </c:pt>
                <c:pt idx="42">
                  <c:v>25361430.625164669</c:v>
                </c:pt>
                <c:pt idx="43">
                  <c:v>24577913.731392249</c:v>
                </c:pt>
                <c:pt idx="44">
                  <c:v>22977997.316620789</c:v>
                </c:pt>
                <c:pt idx="45">
                  <c:v>21890662.71008677</c:v>
                </c:pt>
                <c:pt idx="46">
                  <c:v>20407767.89345184</c:v>
                </c:pt>
                <c:pt idx="47">
                  <c:v>19317288.89377021</c:v>
                </c:pt>
                <c:pt idx="48">
                  <c:v>20938144.430793405</c:v>
                </c:pt>
                <c:pt idx="49">
                  <c:v>19315820.07202718</c:v>
                </c:pt>
                <c:pt idx="50">
                  <c:v>23045320.972772148</c:v>
                </c:pt>
                <c:pt idx="51">
                  <c:v>22026086.518144023</c:v>
                </c:pt>
                <c:pt idx="52">
                  <c:v>22961717.117793832</c:v>
                </c:pt>
                <c:pt idx="53">
                  <c:v>22886135.390346128</c:v>
                </c:pt>
                <c:pt idx="54">
                  <c:v>23748691.39553849</c:v>
                </c:pt>
                <c:pt idx="55">
                  <c:v>24186748.846067321</c:v>
                </c:pt>
                <c:pt idx="56">
                  <c:v>21216640.257023308</c:v>
                </c:pt>
                <c:pt idx="57">
                  <c:v>21329674.185019702</c:v>
                </c:pt>
                <c:pt idx="58">
                  <c:v>20487706.051090527</c:v>
                </c:pt>
                <c:pt idx="59">
                  <c:v>18775517.766363285</c:v>
                </c:pt>
                <c:pt idx="60">
                  <c:v>22344717.219473366</c:v>
                </c:pt>
                <c:pt idx="61">
                  <c:v>19245805.380664725</c:v>
                </c:pt>
                <c:pt idx="62">
                  <c:v>21372491.534691606</c:v>
                </c:pt>
                <c:pt idx="63">
                  <c:v>19337845.24082401</c:v>
                </c:pt>
                <c:pt idx="64">
                  <c:v>23983038.364532318</c:v>
                </c:pt>
                <c:pt idx="65">
                  <c:v>25841742.160903648</c:v>
                </c:pt>
                <c:pt idx="66">
                  <c:v>24522462.771301858</c:v>
                </c:pt>
                <c:pt idx="67">
                  <c:v>24555956.255328741</c:v>
                </c:pt>
                <c:pt idx="68">
                  <c:v>19514912.902257554</c:v>
                </c:pt>
                <c:pt idx="69">
                  <c:v>21300946.547558703</c:v>
                </c:pt>
                <c:pt idx="70">
                  <c:v>20077193.487797629</c:v>
                </c:pt>
                <c:pt idx="71">
                  <c:v>18843492.369390458</c:v>
                </c:pt>
                <c:pt idx="72">
                  <c:v>19855535.451200701</c:v>
                </c:pt>
                <c:pt idx="73">
                  <c:v>19560967.066695973</c:v>
                </c:pt>
                <c:pt idx="74">
                  <c:v>20639792.5031121</c:v>
                </c:pt>
                <c:pt idx="75">
                  <c:v>19904757.315421704</c:v>
                </c:pt>
                <c:pt idx="76">
                  <c:v>22782928.092156403</c:v>
                </c:pt>
                <c:pt idx="77">
                  <c:v>23267604.066775616</c:v>
                </c:pt>
                <c:pt idx="78">
                  <c:v>23082254.412554607</c:v>
                </c:pt>
                <c:pt idx="79">
                  <c:v>24594093.912713893</c:v>
                </c:pt>
                <c:pt idx="80">
                  <c:v>21887907.167094178</c:v>
                </c:pt>
                <c:pt idx="81">
                  <c:v>20162332.659881637</c:v>
                </c:pt>
                <c:pt idx="82">
                  <c:v>19622172.550961778</c:v>
                </c:pt>
                <c:pt idx="83">
                  <c:v>19510069.365023497</c:v>
                </c:pt>
                <c:pt idx="84">
                  <c:v>20030911.941684473</c:v>
                </c:pt>
                <c:pt idx="85">
                  <c:v>19426538.084870137</c:v>
                </c:pt>
                <c:pt idx="86">
                  <c:v>21950234.988419168</c:v>
                </c:pt>
                <c:pt idx="87">
                  <c:v>22516546.642958738</c:v>
                </c:pt>
                <c:pt idx="88">
                  <c:v>23491879.387100104</c:v>
                </c:pt>
                <c:pt idx="89">
                  <c:v>25154852.535666555</c:v>
                </c:pt>
                <c:pt idx="90">
                  <c:v>26434818.565985125</c:v>
                </c:pt>
                <c:pt idx="91">
                  <c:v>28083591.400888056</c:v>
                </c:pt>
                <c:pt idx="92">
                  <c:v>23664869.487896521</c:v>
                </c:pt>
                <c:pt idx="93">
                  <c:v>21818348.034312647</c:v>
                </c:pt>
                <c:pt idx="94">
                  <c:v>20096745.128498808</c:v>
                </c:pt>
                <c:pt idx="95">
                  <c:v>18899420.082560532</c:v>
                </c:pt>
                <c:pt idx="96">
                  <c:v>20315496.805656914</c:v>
                </c:pt>
                <c:pt idx="97">
                  <c:v>18666295.813621074</c:v>
                </c:pt>
                <c:pt idx="98">
                  <c:v>20501069.907807238</c:v>
                </c:pt>
                <c:pt idx="99">
                  <c:v>19823217.414303008</c:v>
                </c:pt>
                <c:pt idx="100">
                  <c:v>21332197.715417989</c:v>
                </c:pt>
                <c:pt idx="101">
                  <c:v>23799303.944701213</c:v>
                </c:pt>
                <c:pt idx="102">
                  <c:v>25324504.630515054</c:v>
                </c:pt>
                <c:pt idx="103">
                  <c:v>23736935.932426449</c:v>
                </c:pt>
                <c:pt idx="104">
                  <c:v>22804130.018046163</c:v>
                </c:pt>
                <c:pt idx="105">
                  <c:v>22410894.722107884</c:v>
                </c:pt>
                <c:pt idx="106">
                  <c:v>20145414.625656914</c:v>
                </c:pt>
                <c:pt idx="107">
                  <c:v>19707437.608922221</c:v>
                </c:pt>
                <c:pt idx="108">
                  <c:v>21406178.403620746</c:v>
                </c:pt>
                <c:pt idx="109">
                  <c:v>19541869.543381821</c:v>
                </c:pt>
                <c:pt idx="110">
                  <c:v>22152171.57537286</c:v>
                </c:pt>
                <c:pt idx="111">
                  <c:v>20451823.134815373</c:v>
                </c:pt>
                <c:pt idx="112">
                  <c:v>24335320.01605479</c:v>
                </c:pt>
                <c:pt idx="113">
                  <c:v>25658165.154656086</c:v>
                </c:pt>
                <c:pt idx="114">
                  <c:v>25560862.437886547</c:v>
                </c:pt>
                <c:pt idx="115">
                  <c:v>24886166.479797948</c:v>
                </c:pt>
                <c:pt idx="116">
                  <c:v>23757578.362426121</c:v>
                </c:pt>
                <c:pt idx="117">
                  <c:v>20871681.533939313</c:v>
                </c:pt>
                <c:pt idx="118">
                  <c:v>18668697.394417163</c:v>
                </c:pt>
                <c:pt idx="119">
                  <c:v>19588246.58569143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7-409C-A580-525ACBA54472}"/>
            </c:ext>
          </c:extLst>
        </c:ser>
        <c:ser>
          <c:idx val="1"/>
          <c:order val="1"/>
          <c:tx>
            <c:strRef>
              <c:f>'Large Use Predicted Monthly (L)'!$R$1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 (L)'!$A$2:$A$121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'Large Use Predicted Monthly (L)'!$R$2:$R$121</c:f>
              <c:numCache>
                <c:formatCode>General</c:formatCode>
                <c:ptCount val="120"/>
                <c:pt idx="0">
                  <c:v>20140530.067694619</c:v>
                </c:pt>
                <c:pt idx="1">
                  <c:v>18312722.995931976</c:v>
                </c:pt>
                <c:pt idx="2">
                  <c:v>19984982.288785301</c:v>
                </c:pt>
                <c:pt idx="3">
                  <c:v>19623593.920566365</c:v>
                </c:pt>
                <c:pt idx="4">
                  <c:v>20220084.491627302</c:v>
                </c:pt>
                <c:pt idx="5">
                  <c:v>21289577.751290087</c:v>
                </c:pt>
                <c:pt idx="6">
                  <c:v>21455052.027206585</c:v>
                </c:pt>
                <c:pt idx="7">
                  <c:v>23279318.994751584</c:v>
                </c:pt>
                <c:pt idx="8">
                  <c:v>20712497.817609552</c:v>
                </c:pt>
                <c:pt idx="9">
                  <c:v>19925508.138025854</c:v>
                </c:pt>
                <c:pt idx="10">
                  <c:v>19373772.383487649</c:v>
                </c:pt>
                <c:pt idx="11">
                  <c:v>18190994.350062687</c:v>
                </c:pt>
                <c:pt idx="12">
                  <c:v>19985190.240361381</c:v>
                </c:pt>
                <c:pt idx="13">
                  <c:v>18239939.944303282</c:v>
                </c:pt>
                <c:pt idx="14">
                  <c:v>20007233.10742607</c:v>
                </c:pt>
                <c:pt idx="15">
                  <c:v>19566841.901421949</c:v>
                </c:pt>
                <c:pt idx="16">
                  <c:v>21603700.999643765</c:v>
                </c:pt>
                <c:pt idx="17">
                  <c:v>23049745.459229477</c:v>
                </c:pt>
                <c:pt idx="18">
                  <c:v>25071644.183442302</c:v>
                </c:pt>
                <c:pt idx="19">
                  <c:v>25644988.711183727</c:v>
                </c:pt>
                <c:pt idx="20">
                  <c:v>21121421.071516942</c:v>
                </c:pt>
                <c:pt idx="21">
                  <c:v>20197334.493520506</c:v>
                </c:pt>
                <c:pt idx="22">
                  <c:v>19585259.136363022</c:v>
                </c:pt>
                <c:pt idx="23">
                  <c:v>18440120.338208895</c:v>
                </c:pt>
                <c:pt idx="24">
                  <c:v>20275074.737419657</c:v>
                </c:pt>
                <c:pt idx="25">
                  <c:v>18548748.034785017</c:v>
                </c:pt>
                <c:pt idx="26">
                  <c:v>20321447.938885942</c:v>
                </c:pt>
                <c:pt idx="27">
                  <c:v>19764064.947011329</c:v>
                </c:pt>
                <c:pt idx="28">
                  <c:v>21314033.308327738</c:v>
                </c:pt>
                <c:pt idx="29">
                  <c:v>22787364.652045298</c:v>
                </c:pt>
                <c:pt idx="30">
                  <c:v>26022623.252464857</c:v>
                </c:pt>
                <c:pt idx="31">
                  <c:v>24525620.745819427</c:v>
                </c:pt>
                <c:pt idx="32">
                  <c:v>21380496.190532893</c:v>
                </c:pt>
                <c:pt idx="33">
                  <c:v>20473035.25728672</c:v>
                </c:pt>
                <c:pt idx="34">
                  <c:v>19807975.274346821</c:v>
                </c:pt>
                <c:pt idx="35">
                  <c:v>18625613.144074019</c:v>
                </c:pt>
                <c:pt idx="36">
                  <c:v>20415026.148122832</c:v>
                </c:pt>
                <c:pt idx="37">
                  <c:v>19239811.345298149</c:v>
                </c:pt>
                <c:pt idx="38">
                  <c:v>20539318.302602086</c:v>
                </c:pt>
                <c:pt idx="39">
                  <c:v>19966404.032085717</c:v>
                </c:pt>
                <c:pt idx="40">
                  <c:v>21974587.876254119</c:v>
                </c:pt>
                <c:pt idx="41">
                  <c:v>23654945.758495994</c:v>
                </c:pt>
                <c:pt idx="42">
                  <c:v>25568095.18898093</c:v>
                </c:pt>
                <c:pt idx="43">
                  <c:v>24172881.939706102</c:v>
                </c:pt>
                <c:pt idx="44">
                  <c:v>21194483.242529154</c:v>
                </c:pt>
                <c:pt idx="45">
                  <c:v>20634757.594687421</c:v>
                </c:pt>
                <c:pt idx="46">
                  <c:v>19931914.413691677</c:v>
                </c:pt>
                <c:pt idx="47">
                  <c:v>18777625.746189944</c:v>
                </c:pt>
                <c:pt idx="48">
                  <c:v>20592200.890944675</c:v>
                </c:pt>
                <c:pt idx="49">
                  <c:v>18873152.493472904</c:v>
                </c:pt>
                <c:pt idx="50">
                  <c:v>20638574.092410959</c:v>
                </c:pt>
                <c:pt idx="51">
                  <c:v>20070202.211786196</c:v>
                </c:pt>
                <c:pt idx="52">
                  <c:v>22220846.669226982</c:v>
                </c:pt>
                <c:pt idx="53">
                  <c:v>22787007.233817656</c:v>
                </c:pt>
                <c:pt idx="54">
                  <c:v>24280500.476809356</c:v>
                </c:pt>
                <c:pt idx="55">
                  <c:v>24202690.182893265</c:v>
                </c:pt>
                <c:pt idx="56">
                  <c:v>21862903.022471216</c:v>
                </c:pt>
                <c:pt idx="57">
                  <c:v>21294322.609868243</c:v>
                </c:pt>
                <c:pt idx="58">
                  <c:v>20205578.687815562</c:v>
                </c:pt>
                <c:pt idx="59">
                  <c:v>19005956.576727957</c:v>
                </c:pt>
                <c:pt idx="60">
                  <c:v>20778317.551538046</c:v>
                </c:pt>
                <c:pt idx="61">
                  <c:v>19028076.417653978</c:v>
                </c:pt>
                <c:pt idx="62">
                  <c:v>20795161.629200686</c:v>
                </c:pt>
                <c:pt idx="63">
                  <c:v>20238019.133684352</c:v>
                </c:pt>
                <c:pt idx="64">
                  <c:v>21760931.7266642</c:v>
                </c:pt>
                <c:pt idx="65">
                  <c:v>23400672.861232385</c:v>
                </c:pt>
                <c:pt idx="66">
                  <c:v>22785818.53964233</c:v>
                </c:pt>
                <c:pt idx="67">
                  <c:v>24172097.036216691</c:v>
                </c:pt>
                <c:pt idx="68">
                  <c:v>21567909.664944291</c:v>
                </c:pt>
                <c:pt idx="69">
                  <c:v>20989259.322905786</c:v>
                </c:pt>
                <c:pt idx="70">
                  <c:v>20316832.781019419</c:v>
                </c:pt>
                <c:pt idx="71">
                  <c:v>19115547.057323162</c:v>
                </c:pt>
                <c:pt idx="72">
                  <c:v>20856091.440992706</c:v>
                </c:pt>
                <c:pt idx="73">
                  <c:v>19101483.324010916</c:v>
                </c:pt>
                <c:pt idx="74">
                  <c:v>20869400.341861952</c:v>
                </c:pt>
                <c:pt idx="75">
                  <c:v>20295621.720259063</c:v>
                </c:pt>
                <c:pt idx="76">
                  <c:v>22548055.435070451</c:v>
                </c:pt>
                <c:pt idx="77">
                  <c:v>22650123.264450736</c:v>
                </c:pt>
                <c:pt idx="78">
                  <c:v>23956356.950755522</c:v>
                </c:pt>
                <c:pt idx="79">
                  <c:v>24555630.335942805</c:v>
                </c:pt>
                <c:pt idx="80">
                  <c:v>23195427.431562595</c:v>
                </c:pt>
                <c:pt idx="81">
                  <c:v>21025070.020110376</c:v>
                </c:pt>
                <c:pt idx="82">
                  <c:v>20372947.161779363</c:v>
                </c:pt>
                <c:pt idx="83">
                  <c:v>19198103.833027706</c:v>
                </c:pt>
                <c:pt idx="84">
                  <c:v>21003529.108434826</c:v>
                </c:pt>
                <c:pt idx="85">
                  <c:v>19859091.138870277</c:v>
                </c:pt>
                <c:pt idx="86">
                  <c:v>21043247.859466486</c:v>
                </c:pt>
                <c:pt idx="87">
                  <c:v>20466973.818950608</c:v>
                </c:pt>
                <c:pt idx="88">
                  <c:v>22282907.268606126</c:v>
                </c:pt>
                <c:pt idx="89">
                  <c:v>23778391.796617877</c:v>
                </c:pt>
                <c:pt idx="90">
                  <c:v>25616633.432048187</c:v>
                </c:pt>
                <c:pt idx="91">
                  <c:v>26707942.836088147</c:v>
                </c:pt>
                <c:pt idx="92">
                  <c:v>22803974.885969207</c:v>
                </c:pt>
                <c:pt idx="93">
                  <c:v>21689081.992382847</c:v>
                </c:pt>
                <c:pt idx="94">
                  <c:v>20554105.529328957</c:v>
                </c:pt>
                <c:pt idx="95">
                  <c:v>19390043.137751371</c:v>
                </c:pt>
                <c:pt idx="96">
                  <c:v>21196092.267886739</c:v>
                </c:pt>
                <c:pt idx="97">
                  <c:v>19469973.516828179</c:v>
                </c:pt>
                <c:pt idx="98">
                  <c:v>21241425.711472608</c:v>
                </c:pt>
                <c:pt idx="99">
                  <c:v>20818306.068392899</c:v>
                </c:pt>
                <c:pt idx="100">
                  <c:v>21985285.010717511</c:v>
                </c:pt>
                <c:pt idx="101">
                  <c:v>23974972.226353046</c:v>
                </c:pt>
                <c:pt idx="102">
                  <c:v>24966601.118188124</c:v>
                </c:pt>
                <c:pt idx="103">
                  <c:v>24463344.5374307</c:v>
                </c:pt>
                <c:pt idx="104">
                  <c:v>22894504.989372306</c:v>
                </c:pt>
                <c:pt idx="105">
                  <c:v>22084421.102733899</c:v>
                </c:pt>
                <c:pt idx="106">
                  <c:v>20908870.918124814</c:v>
                </c:pt>
                <c:pt idx="107">
                  <c:v>19748343.70334062</c:v>
                </c:pt>
                <c:pt idx="108">
                  <c:v>21440297.990400158</c:v>
                </c:pt>
                <c:pt idx="109">
                  <c:v>19589281.292573206</c:v>
                </c:pt>
                <c:pt idx="110">
                  <c:v>21252673.91006685</c:v>
                </c:pt>
                <c:pt idx="111">
                  <c:v>20722312.022417985</c:v>
                </c:pt>
                <c:pt idx="112">
                  <c:v>23211687.574359249</c:v>
                </c:pt>
                <c:pt idx="113">
                  <c:v>24204658.897751264</c:v>
                </c:pt>
                <c:pt idx="114">
                  <c:v>26113282.375814542</c:v>
                </c:pt>
                <c:pt idx="115">
                  <c:v>27078717.111789718</c:v>
                </c:pt>
                <c:pt idx="116">
                  <c:v>23960721.098579541</c:v>
                </c:pt>
                <c:pt idx="117">
                  <c:v>22271690.441772416</c:v>
                </c:pt>
                <c:pt idx="118">
                  <c:v>21076782.322582576</c:v>
                </c:pt>
                <c:pt idx="119">
                  <c:v>19933889.997623727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7-409C-A580-525ACBA54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Summary'!$C$4:$C$13</c:f>
              <c:numCache>
                <c:formatCode>#,##0</c:formatCode>
                <c:ptCount val="10"/>
                <c:pt idx="0">
                  <c:v>617540503.80775297</c:v>
                </c:pt>
                <c:pt idx="1">
                  <c:v>656956762.92997289</c:v>
                </c:pt>
                <c:pt idx="2">
                  <c:v>648263943.47183859</c:v>
                </c:pt>
                <c:pt idx="3">
                  <c:v>644174271.28043866</c:v>
                </c:pt>
                <c:pt idx="4">
                  <c:v>632113222.13424337</c:v>
                </c:pt>
                <c:pt idx="5">
                  <c:v>615560426.75518167</c:v>
                </c:pt>
                <c:pt idx="6">
                  <c:v>611654935.04250789</c:v>
                </c:pt>
                <c:pt idx="7">
                  <c:v>640933751.72296906</c:v>
                </c:pt>
                <c:pt idx="8">
                  <c:v>615171812.19052064</c:v>
                </c:pt>
                <c:pt idx="9">
                  <c:v>671815776.26874053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2-4608-BD3E-402B49E74297}"/>
            </c:ext>
          </c:extLst>
        </c:ser>
        <c:ser>
          <c:idx val="1"/>
          <c:order val="1"/>
          <c:tx>
            <c:strRef>
              <c:f>'Model Annual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Summary'!$D$4:$D$13</c:f>
              <c:numCache>
                <c:formatCode>#,##0</c:formatCode>
                <c:ptCount val="10"/>
                <c:pt idx="0">
                  <c:v>610641123.65144014</c:v>
                </c:pt>
                <c:pt idx="1">
                  <c:v>658046618.19671106</c:v>
                </c:pt>
                <c:pt idx="2">
                  <c:v>647016007.0728209</c:v>
                </c:pt>
                <c:pt idx="3">
                  <c:v>639510922.86208272</c:v>
                </c:pt>
                <c:pt idx="4">
                  <c:v>633098920.73328161</c:v>
                </c:pt>
                <c:pt idx="5">
                  <c:v>620444986.65971637</c:v>
                </c:pt>
                <c:pt idx="6">
                  <c:v>626091053.58715141</c:v>
                </c:pt>
                <c:pt idx="7">
                  <c:v>648273576.93442345</c:v>
                </c:pt>
                <c:pt idx="8">
                  <c:v>618202538.90050447</c:v>
                </c:pt>
                <c:pt idx="9">
                  <c:v>652859657.00602305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2-4608-BD3E-402B49E74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  <c:min val="60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Annual Summary'!$H$3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Summary'!$H$4:$H$13</c:f>
              <c:numCache>
                <c:formatCode>#,##0</c:formatCode>
                <c:ptCount val="10"/>
                <c:pt idx="0">
                  <c:v>223945291.11773852</c:v>
                </c:pt>
                <c:pt idx="1">
                  <c:v>230145436.9724015</c:v>
                </c:pt>
                <c:pt idx="2">
                  <c:v>228157622.27107728</c:v>
                </c:pt>
                <c:pt idx="3">
                  <c:v>227061141.62152532</c:v>
                </c:pt>
                <c:pt idx="4">
                  <c:v>228735100.86723283</c:v>
                </c:pt>
                <c:pt idx="5">
                  <c:v>224527430.36044165</c:v>
                </c:pt>
                <c:pt idx="6">
                  <c:v>221869668.08081797</c:v>
                </c:pt>
                <c:pt idx="7">
                  <c:v>223883451.05132008</c:v>
                </c:pt>
                <c:pt idx="8">
                  <c:v>211777974.07916123</c:v>
                </c:pt>
                <c:pt idx="9">
                  <c:v>213277739.4038524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3-40AB-AABE-D43744567B2A}"/>
            </c:ext>
          </c:extLst>
        </c:ser>
        <c:ser>
          <c:idx val="1"/>
          <c:order val="1"/>
          <c:tx>
            <c:strRef>
              <c:f>'Model Annual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Annual Summary'!$B$4:$B$13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'Model Annual Summary'!$I$4:$I$13</c:f>
              <c:numCache>
                <c:formatCode>#,##0</c:formatCode>
                <c:ptCount val="10"/>
                <c:pt idx="0">
                  <c:v>228179096.27352336</c:v>
                </c:pt>
                <c:pt idx="1">
                  <c:v>232004194.73914713</c:v>
                </c:pt>
                <c:pt idx="2">
                  <c:v>227916309.34606376</c:v>
                </c:pt>
                <c:pt idx="3">
                  <c:v>226476052.58832425</c:v>
                </c:pt>
                <c:pt idx="4">
                  <c:v>224102281.45264685</c:v>
                </c:pt>
                <c:pt idx="5">
                  <c:v>220240737.32231927</c:v>
                </c:pt>
                <c:pt idx="6">
                  <c:v>219715639.12522668</c:v>
                </c:pt>
                <c:pt idx="7">
                  <c:v>222422922.21992406</c:v>
                </c:pt>
                <c:pt idx="8">
                  <c:v>214498803.61175415</c:v>
                </c:pt>
                <c:pt idx="9">
                  <c:v>217824819.14663783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3-40AB-AABE-D4374456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04544"/>
        <c:axId val="199414528"/>
      </c:lineChart>
      <c:catAx>
        <c:axId val="1994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414528"/>
        <c:crosses val="autoZero"/>
        <c:auto val="1"/>
        <c:lblAlgn val="ctr"/>
        <c:lblOffset val="100"/>
        <c:noMultiLvlLbl val="0"/>
      </c:catAx>
      <c:valAx>
        <c:axId val="199414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404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19050</xdr:colOff>
      <xdr:row>2</xdr:row>
      <xdr:rowOff>123825</xdr:rowOff>
    </xdr:from>
    <xdr:to>
      <xdr:col>34</xdr:col>
      <xdr:colOff>148590</xdr:colOff>
      <xdr:row>26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6ACDED-2F75-4C06-B79E-3CD418B76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371475</xdr:colOff>
      <xdr:row>2</xdr:row>
      <xdr:rowOff>19050</xdr:rowOff>
    </xdr:from>
    <xdr:to>
      <xdr:col>34</xdr:col>
      <xdr:colOff>196215</xdr:colOff>
      <xdr:row>22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760F2F-9D10-4D3F-9699-87685AAE1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485775</xdr:colOff>
      <xdr:row>2</xdr:row>
      <xdr:rowOff>9525</xdr:rowOff>
    </xdr:from>
    <xdr:to>
      <xdr:col>40</xdr:col>
      <xdr:colOff>81915</xdr:colOff>
      <xdr:row>24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C6D580-B86C-4373-B10E-0A4B16EC2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485775</xdr:colOff>
      <xdr:row>2</xdr:row>
      <xdr:rowOff>9525</xdr:rowOff>
    </xdr:from>
    <xdr:to>
      <xdr:col>40</xdr:col>
      <xdr:colOff>81915</xdr:colOff>
      <xdr:row>24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EF2891-C8C9-4E86-BAEB-426ECFB92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333375</xdr:colOff>
      <xdr:row>2</xdr:row>
      <xdr:rowOff>142875</xdr:rowOff>
    </xdr:from>
    <xdr:to>
      <xdr:col>29</xdr:col>
      <xdr:colOff>462915</xdr:colOff>
      <xdr:row>26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7A5CFE-3185-4690-808A-7C87156F6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</xdr:row>
      <xdr:rowOff>28575</xdr:rowOff>
    </xdr:from>
    <xdr:to>
      <xdr:col>30</xdr:col>
      <xdr:colOff>24765</xdr:colOff>
      <xdr:row>25</xdr:row>
      <xdr:rowOff>137433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903379-2E65-49B5-92B1-FD2010850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</xdr:row>
      <xdr:rowOff>28575</xdr:rowOff>
    </xdr:from>
    <xdr:to>
      <xdr:col>30</xdr:col>
      <xdr:colOff>24765</xdr:colOff>
      <xdr:row>25</xdr:row>
      <xdr:rowOff>137433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DBE1F8-FF9B-4386-BDA8-EBD0D9CD8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17</xdr:row>
      <xdr:rowOff>9525</xdr:rowOff>
    </xdr:from>
    <xdr:to>
      <xdr:col>9</xdr:col>
      <xdr:colOff>19051</xdr:colOff>
      <xdr:row>34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788153-4DDE-49E6-9B60-375420E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447676</xdr:colOff>
      <xdr:row>33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6EDFBA-F807-42A7-87EA-19030FAFC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17</xdr:row>
      <xdr:rowOff>0</xdr:rowOff>
    </xdr:from>
    <xdr:to>
      <xdr:col>28</xdr:col>
      <xdr:colOff>426720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B8CB93-9AA2-484F-AAE8-6C657B3C9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93345</xdr:colOff>
      <xdr:row>17</xdr:row>
      <xdr:rowOff>0</xdr:rowOff>
    </xdr:from>
    <xdr:to>
      <xdr:col>37</xdr:col>
      <xdr:colOff>108585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A866EC-3943-463D-A365-ABD3E7AFF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17</xdr:row>
      <xdr:rowOff>0</xdr:rowOff>
    </xdr:from>
    <xdr:to>
      <xdr:col>47</xdr:col>
      <xdr:colOff>609599</xdr:colOff>
      <xdr:row>33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015C2-3611-4226-8495-4C91F7309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161925</xdr:colOff>
      <xdr:row>17</xdr:row>
      <xdr:rowOff>0</xdr:rowOff>
    </xdr:from>
    <xdr:to>
      <xdr:col>55</xdr:col>
      <xdr:colOff>1078230</xdr:colOff>
      <xdr:row>33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D5A13FA-0BA3-4EC7-9873-D9B7C0A2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0</xdr:colOff>
      <xdr:row>17</xdr:row>
      <xdr:rowOff>0</xdr:rowOff>
    </xdr:from>
    <xdr:to>
      <xdr:col>64</xdr:col>
      <xdr:colOff>1135380</xdr:colOff>
      <xdr:row>33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836815-0811-4F76-890B-02ED0E4C7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381000</xdr:colOff>
      <xdr:row>1</xdr:row>
      <xdr:rowOff>133350</xdr:rowOff>
    </xdr:from>
    <xdr:to>
      <xdr:col>32</xdr:col>
      <xdr:colOff>205740</xdr:colOff>
      <xdr:row>22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DAE1D8-9D02-4DCF-9995-F26E2FF28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323850</xdr:colOff>
      <xdr:row>1</xdr:row>
      <xdr:rowOff>57150</xdr:rowOff>
    </xdr:from>
    <xdr:to>
      <xdr:col>34</xdr:col>
      <xdr:colOff>148590</xdr:colOff>
      <xdr:row>22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7A5DC8-FB35-49DE-B5C2-250A4E45F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438150</xdr:colOff>
      <xdr:row>2</xdr:row>
      <xdr:rowOff>38100</xdr:rowOff>
    </xdr:from>
    <xdr:to>
      <xdr:col>40</xdr:col>
      <xdr:colOff>34290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0D4DFB-49FE-4ADF-A176-E72EB095F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419100</xdr:colOff>
      <xdr:row>1</xdr:row>
      <xdr:rowOff>133350</xdr:rowOff>
    </xdr:from>
    <xdr:to>
      <xdr:col>36</xdr:col>
      <xdr:colOff>15240</xdr:colOff>
      <xdr:row>25</xdr:row>
      <xdr:rowOff>80283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8493B4-A85E-417E-804D-6BEF0DF3C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438150</xdr:colOff>
      <xdr:row>2</xdr:row>
      <xdr:rowOff>38100</xdr:rowOff>
    </xdr:from>
    <xdr:to>
      <xdr:col>40</xdr:col>
      <xdr:colOff>34290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AB6202-F34A-4223-90E2-D76234DD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371475</xdr:colOff>
      <xdr:row>2</xdr:row>
      <xdr:rowOff>19050</xdr:rowOff>
    </xdr:from>
    <xdr:to>
      <xdr:col>29</xdr:col>
      <xdr:colOff>501015</xdr:colOff>
      <xdr:row>25</xdr:row>
      <xdr:rowOff>127908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4BE168-0BC3-47E8-861F-C7811685B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457200</xdr:colOff>
      <xdr:row>2</xdr:row>
      <xdr:rowOff>76200</xdr:rowOff>
    </xdr:from>
    <xdr:to>
      <xdr:col>30</xdr:col>
      <xdr:colOff>53340</xdr:colOff>
      <xdr:row>26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DE1D95-41A5-47E7-B0A4-6795325EC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457200</xdr:colOff>
      <xdr:row>2</xdr:row>
      <xdr:rowOff>76200</xdr:rowOff>
    </xdr:from>
    <xdr:to>
      <xdr:col>30</xdr:col>
      <xdr:colOff>53340</xdr:colOff>
      <xdr:row>26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366F5C-4275-43A6-8092-BD5511355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17</xdr:row>
      <xdr:rowOff>0</xdr:rowOff>
    </xdr:from>
    <xdr:to>
      <xdr:col>8</xdr:col>
      <xdr:colOff>647701</xdr:colOff>
      <xdr:row>33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C946F8-3D0B-4198-92CA-3872AAE30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447676</xdr:colOff>
      <xdr:row>33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0297C4-08DD-4954-8914-58D522FF0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17</xdr:row>
      <xdr:rowOff>0</xdr:rowOff>
    </xdr:from>
    <xdr:to>
      <xdr:col>28</xdr:col>
      <xdr:colOff>426720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EC3679-C402-47AC-9410-F038714E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7620</xdr:colOff>
      <xdr:row>17</xdr:row>
      <xdr:rowOff>0</xdr:rowOff>
    </xdr:from>
    <xdr:to>
      <xdr:col>37</xdr:col>
      <xdr:colOff>22860</xdr:colOff>
      <xdr:row>33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0FC17B-CAE4-4CF7-A164-E0AC3D79A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17</xdr:row>
      <xdr:rowOff>0</xdr:rowOff>
    </xdr:from>
    <xdr:to>
      <xdr:col>48</xdr:col>
      <xdr:colOff>144780</xdr:colOff>
      <xdr:row>33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D9319D-A240-4160-A113-79DBD162F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161925</xdr:colOff>
      <xdr:row>17</xdr:row>
      <xdr:rowOff>0</xdr:rowOff>
    </xdr:from>
    <xdr:to>
      <xdr:col>55</xdr:col>
      <xdr:colOff>1078230</xdr:colOff>
      <xdr:row>33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6D8F80D-99CF-4B1D-B50A-E7947F8E5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0</xdr:colOff>
      <xdr:row>17</xdr:row>
      <xdr:rowOff>0</xdr:rowOff>
    </xdr:from>
    <xdr:to>
      <xdr:col>64</xdr:col>
      <xdr:colOff>1135380</xdr:colOff>
      <xdr:row>33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B7DB0EF-362D-463A-BA19-F2A14B6F5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476250</xdr:colOff>
      <xdr:row>2</xdr:row>
      <xdr:rowOff>104775</xdr:rowOff>
    </xdr:from>
    <xdr:to>
      <xdr:col>42</xdr:col>
      <xdr:colOff>72390</xdr:colOff>
      <xdr:row>26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167B64-05B4-4EA4-AC90-28EC700B5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476250</xdr:colOff>
      <xdr:row>2</xdr:row>
      <xdr:rowOff>104775</xdr:rowOff>
    </xdr:from>
    <xdr:to>
      <xdr:col>41</xdr:col>
      <xdr:colOff>72390</xdr:colOff>
      <xdr:row>26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F5F440-B3D3-43E5-AAD2-948612E2C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371475</xdr:colOff>
      <xdr:row>3</xdr:row>
      <xdr:rowOff>104775</xdr:rowOff>
    </xdr:from>
    <xdr:to>
      <xdr:col>30</xdr:col>
      <xdr:colOff>501015</xdr:colOff>
      <xdr:row>27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DA2C81-D612-4E53-8126-11D1A9715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504825</xdr:colOff>
      <xdr:row>2</xdr:row>
      <xdr:rowOff>47625</xdr:rowOff>
    </xdr:from>
    <xdr:to>
      <xdr:col>31</xdr:col>
      <xdr:colOff>358140</xdr:colOff>
      <xdr:row>25</xdr:row>
      <xdr:rowOff>156483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BD32C0-538E-4095-A5FB-205736AB4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504825</xdr:colOff>
      <xdr:row>2</xdr:row>
      <xdr:rowOff>47625</xdr:rowOff>
    </xdr:from>
    <xdr:to>
      <xdr:col>31</xdr:col>
      <xdr:colOff>358140</xdr:colOff>
      <xdr:row>25</xdr:row>
      <xdr:rowOff>156483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14E2E5-9556-4E1E-861D-9347402CE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17</xdr:row>
      <xdr:rowOff>133350</xdr:rowOff>
    </xdr:from>
    <xdr:to>
      <xdr:col>7</xdr:col>
      <xdr:colOff>685800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B7B972-9578-411A-8B5D-90262148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38099</xdr:colOff>
      <xdr:row>36</xdr:row>
      <xdr:rowOff>38100</xdr:rowOff>
    </xdr:from>
    <xdr:to>
      <xdr:col>11</xdr:col>
      <xdr:colOff>561974</xdr:colOff>
      <xdr:row>53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24EE2C-A886-41E2-8869-E2C53DDBE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66674</xdr:colOff>
      <xdr:row>17</xdr:row>
      <xdr:rowOff>76200</xdr:rowOff>
    </xdr:from>
    <xdr:to>
      <xdr:col>17</xdr:col>
      <xdr:colOff>209550</xdr:colOff>
      <xdr:row>34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D51303-2A58-4974-BD29-454249C99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381000</xdr:colOff>
      <xdr:row>17</xdr:row>
      <xdr:rowOff>85725</xdr:rowOff>
    </xdr:from>
    <xdr:to>
      <xdr:col>27</xdr:col>
      <xdr:colOff>57150</xdr:colOff>
      <xdr:row>34</xdr:row>
      <xdr:rowOff>68580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195454-17C3-4C1D-9D94-168FEAA8C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333375</xdr:colOff>
      <xdr:row>36</xdr:row>
      <xdr:rowOff>49530</xdr:rowOff>
    </xdr:from>
    <xdr:to>
      <xdr:col>21</xdr:col>
      <xdr:colOff>447675</xdr:colOff>
      <xdr:row>53</xdr:row>
      <xdr:rowOff>40005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363373-1B72-4299-B4C8-A9FF8382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552450</xdr:colOff>
      <xdr:row>70</xdr:row>
      <xdr:rowOff>161925</xdr:rowOff>
    </xdr:from>
    <xdr:to>
      <xdr:col>27</xdr:col>
      <xdr:colOff>228600</xdr:colOff>
      <xdr:row>87</xdr:row>
      <xdr:rowOff>144780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2AB344-D7E7-4E73-BDA2-394C09BF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47625</xdr:colOff>
      <xdr:row>70</xdr:row>
      <xdr:rowOff>180975</xdr:rowOff>
    </xdr:from>
    <xdr:to>
      <xdr:col>17</xdr:col>
      <xdr:colOff>885826</xdr:colOff>
      <xdr:row>87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1C11D1B-EBF8-45A2-81CB-A0B81FB26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304800</xdr:colOff>
      <xdr:row>2</xdr:row>
      <xdr:rowOff>28575</xdr:rowOff>
    </xdr:from>
    <xdr:to>
      <xdr:col>32</xdr:col>
      <xdr:colOff>129540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C168C2-C6CD-4507-AFE6-2D427BA6D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D138"/>
  <sheetViews>
    <sheetView workbookViewId="0">
      <pane xSplit="1" ySplit="1" topLeftCell="AR98" activePane="bottomRight" state="frozen"/>
      <selection pane="topRight" activeCell="B1" sqref="B1"/>
      <selection pane="bottomLeft" activeCell="A2" sqref="A2"/>
      <selection pane="bottomRight" activeCell="L103" sqref="L103"/>
    </sheetView>
  </sheetViews>
  <sheetFormatPr defaultColWidth="8.83203125" defaultRowHeight="12.75"/>
  <cols>
    <col min="1" max="1" width="10.33203125" style="15" bestFit="1" customWidth="1"/>
    <col min="2" max="2" width="10.33203125" style="15" customWidth="1"/>
    <col min="3" max="3" width="16" style="16" bestFit="1" customWidth="1"/>
    <col min="4" max="4" width="20" style="15" customWidth="1"/>
    <col min="5" max="5" width="16.33203125" style="16" bestFit="1" customWidth="1"/>
    <col min="6" max="6" width="20" style="16" bestFit="1" customWidth="1"/>
    <col min="7" max="7" width="17" style="15" customWidth="1"/>
    <col min="8" max="8" width="14.5" style="15" bestFit="1" customWidth="1"/>
    <col min="9" max="9" width="14.83203125" style="15" bestFit="1" customWidth="1"/>
    <col min="10" max="10" width="18.1640625" style="15" bestFit="1" customWidth="1"/>
    <col min="11" max="11" width="19.6640625" style="15" customWidth="1"/>
    <col min="12" max="12" width="16.83203125" style="15" customWidth="1"/>
    <col min="13" max="13" width="15.1640625" style="15" bestFit="1" customWidth="1"/>
    <col min="14" max="14" width="19.6640625" style="15" customWidth="1"/>
    <col min="15" max="15" width="22.83203125" style="15" customWidth="1"/>
    <col min="16" max="16" width="20.6640625" style="15" customWidth="1"/>
    <col min="17" max="17" width="30.33203125" style="188" customWidth="1"/>
    <col min="18" max="18" width="22.5" style="188" customWidth="1"/>
    <col min="19" max="19" width="36.33203125" style="188" bestFit="1" customWidth="1"/>
    <col min="20" max="21" width="22.5" style="188" customWidth="1"/>
    <col min="22" max="22" width="20.5" style="15" customWidth="1"/>
    <col min="23" max="23" width="19.1640625" style="15" bestFit="1" customWidth="1"/>
    <col min="24" max="24" width="17.1640625" style="15" bestFit="1" customWidth="1"/>
    <col min="25" max="25" width="21.83203125" style="15" customWidth="1"/>
    <col min="26" max="26" width="24" style="15" customWidth="1"/>
    <col min="27" max="27" width="20.5" style="15" customWidth="1"/>
    <col min="28" max="28" width="15" style="15" bestFit="1" customWidth="1"/>
    <col min="29" max="29" width="15.83203125" style="15" bestFit="1" customWidth="1"/>
    <col min="30" max="30" width="19.1640625" style="15" customWidth="1"/>
    <col min="31" max="31" width="20" style="15" bestFit="1" customWidth="1"/>
    <col min="32" max="32" width="22.83203125" style="15" customWidth="1"/>
    <col min="33" max="33" width="22.1640625" style="15" customWidth="1"/>
    <col min="34" max="34" width="20.1640625" style="15" bestFit="1" customWidth="1"/>
    <col min="35" max="35" width="23" style="15" customWidth="1"/>
    <col min="36" max="36" width="29" style="15" customWidth="1"/>
    <col min="37" max="37" width="27.33203125" style="15" customWidth="1"/>
    <col min="38" max="38" width="23" style="15" customWidth="1"/>
    <col min="39" max="39" width="22.5" style="15" customWidth="1"/>
    <col min="40" max="40" width="28.6640625" style="188" customWidth="1"/>
    <col min="41" max="41" width="26.1640625" style="188" customWidth="1"/>
    <col min="42" max="42" width="28" style="188" customWidth="1"/>
    <col min="43" max="43" width="27.33203125" style="188" customWidth="1"/>
    <col min="44" max="44" width="22.5" style="188" customWidth="1"/>
    <col min="45" max="45" width="19.5" style="15" bestFit="1" customWidth="1"/>
    <col min="46" max="46" width="18.5" style="15" bestFit="1" customWidth="1"/>
    <col min="47" max="47" width="19.33203125" style="15" bestFit="1" customWidth="1"/>
    <col min="48" max="48" width="19.83203125" style="15" bestFit="1" customWidth="1"/>
    <col min="49" max="49" width="23.5" style="15" bestFit="1" customWidth="1"/>
    <col min="50" max="50" width="16.1640625" style="15" bestFit="1" customWidth="1"/>
    <col min="51" max="51" width="20.83203125" style="15" customWidth="1"/>
    <col min="52" max="52" width="21.1640625" style="15" customWidth="1"/>
    <col min="53" max="53" width="18.83203125" style="15" customWidth="1"/>
    <col min="54" max="54" width="20.83203125" style="15" customWidth="1"/>
    <col min="55" max="55" width="13.6640625" style="15" bestFit="1" customWidth="1"/>
    <col min="56" max="56" width="12.5" style="15" bestFit="1" customWidth="1"/>
    <col min="57" max="57" width="13.5" style="15" bestFit="1" customWidth="1"/>
    <col min="58" max="59" width="12" style="15" bestFit="1" customWidth="1"/>
    <col min="60" max="60" width="6.1640625" style="15" bestFit="1" customWidth="1"/>
    <col min="61" max="61" width="6.33203125" style="15" bestFit="1" customWidth="1"/>
    <col min="62" max="62" width="10.1640625" style="15" bestFit="1" customWidth="1"/>
    <col min="63" max="63" width="14.33203125" style="15" bestFit="1" customWidth="1"/>
    <col min="64" max="64" width="10" style="15" bestFit="1" customWidth="1"/>
    <col min="65" max="65" width="7" style="15" bestFit="1" customWidth="1"/>
    <col min="66" max="66" width="5.33203125" style="15" bestFit="1" customWidth="1"/>
    <col min="67" max="68" width="5.5" style="15" bestFit="1" customWidth="1"/>
    <col min="69" max="69" width="5.1640625" style="15" bestFit="1" customWidth="1"/>
    <col min="70" max="70" width="5.83203125" style="15" bestFit="1" customWidth="1"/>
    <col min="71" max="71" width="5.33203125" style="15" bestFit="1" customWidth="1"/>
    <col min="72" max="72" width="4.6640625" style="15" bestFit="1" customWidth="1"/>
    <col min="73" max="73" width="5.5" style="15" bestFit="1" customWidth="1"/>
    <col min="74" max="74" width="6" style="15" bestFit="1" customWidth="1"/>
    <col min="75" max="75" width="5.1640625" style="15" bestFit="1" customWidth="1"/>
    <col min="76" max="76" width="5.33203125" style="15" bestFit="1" customWidth="1"/>
    <col min="77" max="77" width="5.6640625" style="15" bestFit="1" customWidth="1"/>
    <col min="78" max="78" width="7.6640625" style="15" bestFit="1" customWidth="1"/>
    <col min="79" max="79" width="5.1640625" style="15" bestFit="1" customWidth="1"/>
    <col min="80" max="80" width="9.5" style="15" bestFit="1" customWidth="1"/>
    <col min="81" max="81" width="12" style="15" bestFit="1" customWidth="1"/>
    <col min="82" max="82" width="11.1640625" style="15" bestFit="1" customWidth="1"/>
    <col min="83" max="16384" width="8.83203125" style="15"/>
  </cols>
  <sheetData>
    <row r="1" spans="1:82">
      <c r="A1" s="15" t="s">
        <v>123</v>
      </c>
      <c r="B1" s="15" t="s">
        <v>124</v>
      </c>
      <c r="C1" s="16" t="s">
        <v>0</v>
      </c>
      <c r="D1" s="15" t="s">
        <v>1</v>
      </c>
      <c r="E1" s="16" t="s">
        <v>2</v>
      </c>
      <c r="F1" s="16" t="s">
        <v>3</v>
      </c>
      <c r="G1" s="16" t="s">
        <v>4</v>
      </c>
      <c r="H1" s="16" t="s">
        <v>5</v>
      </c>
      <c r="I1" s="16" t="s">
        <v>6</v>
      </c>
      <c r="J1" s="16" t="s">
        <v>7</v>
      </c>
      <c r="K1" s="16" t="s">
        <v>8</v>
      </c>
      <c r="L1" s="16" t="s">
        <v>9</v>
      </c>
      <c r="M1" s="16" t="s">
        <v>10</v>
      </c>
      <c r="N1" s="16" t="s">
        <v>11</v>
      </c>
      <c r="O1" s="16" t="s">
        <v>12</v>
      </c>
      <c r="P1" s="16" t="s">
        <v>118</v>
      </c>
      <c r="Q1" s="189" t="s">
        <v>284</v>
      </c>
      <c r="R1" s="189" t="s">
        <v>285</v>
      </c>
      <c r="S1" s="189" t="s">
        <v>286</v>
      </c>
      <c r="T1" s="189" t="s">
        <v>287</v>
      </c>
      <c r="U1" s="189" t="s">
        <v>288</v>
      </c>
      <c r="V1" s="16" t="s">
        <v>13</v>
      </c>
      <c r="W1" s="16" t="s">
        <v>14</v>
      </c>
      <c r="X1" s="16" t="s">
        <v>15</v>
      </c>
      <c r="Y1" s="16" t="s">
        <v>16</v>
      </c>
      <c r="Z1" s="16" t="s">
        <v>17</v>
      </c>
      <c r="AA1" s="16" t="s">
        <v>18</v>
      </c>
      <c r="AB1" s="16" t="s">
        <v>19</v>
      </c>
      <c r="AC1" s="16" t="s">
        <v>20</v>
      </c>
      <c r="AD1" s="16" t="s">
        <v>21</v>
      </c>
      <c r="AE1" s="16" t="s">
        <v>22</v>
      </c>
      <c r="AF1" s="16" t="s">
        <v>23</v>
      </c>
      <c r="AG1" s="16" t="s">
        <v>24</v>
      </c>
      <c r="AH1" s="16" t="s">
        <v>25</v>
      </c>
      <c r="AI1" s="16" t="s">
        <v>26</v>
      </c>
      <c r="AJ1" s="16" t="s">
        <v>27</v>
      </c>
      <c r="AK1" s="16" t="s">
        <v>117</v>
      </c>
      <c r="AL1" s="16" t="s">
        <v>115</v>
      </c>
      <c r="AM1" s="16" t="s">
        <v>116</v>
      </c>
      <c r="AN1" s="189" t="s">
        <v>283</v>
      </c>
      <c r="AO1" s="189" t="s">
        <v>282</v>
      </c>
      <c r="AP1" s="189" t="s">
        <v>289</v>
      </c>
      <c r="AQ1" s="189" t="s">
        <v>290</v>
      </c>
      <c r="AR1" s="189" t="s">
        <v>291</v>
      </c>
      <c r="AS1" s="16" t="s">
        <v>28</v>
      </c>
      <c r="AT1" s="16" t="s">
        <v>29</v>
      </c>
      <c r="AU1" s="16" t="s">
        <v>30</v>
      </c>
      <c r="AV1" s="16" t="s">
        <v>31</v>
      </c>
      <c r="AW1" s="16" t="s">
        <v>32</v>
      </c>
      <c r="AX1" s="16" t="s">
        <v>33</v>
      </c>
      <c r="AY1" s="16" t="s">
        <v>34</v>
      </c>
      <c r="AZ1" s="16" t="s">
        <v>35</v>
      </c>
      <c r="BA1" s="16" t="s">
        <v>36</v>
      </c>
      <c r="BB1" s="16" t="s">
        <v>37</v>
      </c>
      <c r="BC1" s="16" t="s">
        <v>38</v>
      </c>
      <c r="BD1" s="16" t="s">
        <v>39</v>
      </c>
      <c r="BE1" s="16" t="s">
        <v>40</v>
      </c>
      <c r="BF1" s="16" t="s">
        <v>41</v>
      </c>
      <c r="BG1" s="16" t="s">
        <v>42</v>
      </c>
      <c r="BH1" s="16" t="s">
        <v>43</v>
      </c>
      <c r="BI1" s="16" t="s">
        <v>44</v>
      </c>
      <c r="BJ1" s="16" t="s">
        <v>75</v>
      </c>
      <c r="BK1" s="16" t="s">
        <v>76</v>
      </c>
      <c r="BL1" s="16" t="s">
        <v>108</v>
      </c>
      <c r="BM1" s="16" t="s">
        <v>77</v>
      </c>
      <c r="BN1" s="16" t="s">
        <v>45</v>
      </c>
      <c r="BO1" s="16" t="s">
        <v>46</v>
      </c>
      <c r="BP1" s="16" t="s">
        <v>47</v>
      </c>
      <c r="BQ1" s="16" t="s">
        <v>48</v>
      </c>
      <c r="BR1" s="16" t="s">
        <v>49</v>
      </c>
      <c r="BS1" s="16" t="s">
        <v>78</v>
      </c>
      <c r="BT1" s="16" t="s">
        <v>79</v>
      </c>
      <c r="BU1" s="16" t="s">
        <v>80</v>
      </c>
      <c r="BV1" s="16" t="s">
        <v>53</v>
      </c>
      <c r="BW1" s="16" t="s">
        <v>54</v>
      </c>
      <c r="BX1" s="16" t="s">
        <v>55</v>
      </c>
      <c r="BY1" s="16" t="s">
        <v>56</v>
      </c>
      <c r="BZ1" s="16" t="s">
        <v>81</v>
      </c>
      <c r="CA1" s="16" t="s">
        <v>82</v>
      </c>
      <c r="CB1" s="16" t="s">
        <v>83</v>
      </c>
      <c r="CC1" s="16" t="s">
        <v>84</v>
      </c>
      <c r="CD1" s="16" t="s">
        <v>85</v>
      </c>
    </row>
    <row r="2" spans="1:82" s="188" customFormat="1" ht="15">
      <c r="A2" s="190">
        <v>39814</v>
      </c>
      <c r="B2" s="191">
        <f t="shared" ref="B2:B42" si="0">YEAR(A2)</f>
        <v>2009</v>
      </c>
      <c r="C2" s="186">
        <v>58796189.862061001</v>
      </c>
      <c r="D2" s="88">
        <f>('Customer Data'!$B26*2+'Customer Data'!$B29)/3</f>
        <v>76516.666666666672</v>
      </c>
      <c r="E2" s="188">
        <f ca="1">HLOOKUP($B2,CDM!$B$1:$Q$22,11,FALSE)/12</f>
        <v>1075449.6079265794</v>
      </c>
      <c r="F2" s="189">
        <f t="shared" ref="F2:F42" ca="1" si="1">C2+E2</f>
        <v>59871639.469987579</v>
      </c>
      <c r="G2" s="186">
        <v>20746596.006786998</v>
      </c>
      <c r="H2" s="88">
        <f>('Customer Data'!$C26*2+'Customer Data'!$C29)/3</f>
        <v>7032</v>
      </c>
      <c r="I2" s="188">
        <f ca="1">HLOOKUP($B2,CDM!$B$1:$Q$22,12,FALSE)/12</f>
        <v>250404.5701168763</v>
      </c>
      <c r="J2" s="188">
        <f t="shared" ref="J2:J42" ca="1" si="2">I2+G2</f>
        <v>20997000.576903876</v>
      </c>
      <c r="K2" s="186">
        <v>85104559.758516997</v>
      </c>
      <c r="L2" s="186">
        <v>211765.81171500002</v>
      </c>
      <c r="M2" s="88">
        <f>('Customer Data'!$D26*2+'Customer Data'!$D29)/3</f>
        <v>1189.6666666666667</v>
      </c>
      <c r="N2" s="126">
        <f ca="1">HLOOKUP($B2,CDM!$B$1:$Q$22,13,FALSE)/12</f>
        <v>277232.11055284267</v>
      </c>
      <c r="O2" s="126">
        <f ca="1">K2+N2</f>
        <v>85381791.869069844</v>
      </c>
      <c r="P2" s="188">
        <f t="shared" ref="P2:P32" si="3">L2</f>
        <v>211765.81171500002</v>
      </c>
      <c r="Q2" s="188">
        <v>221839.568275995</v>
      </c>
      <c r="R2" s="188">
        <v>755.7</v>
      </c>
      <c r="S2" s="229">
        <v>0</v>
      </c>
      <c r="T2" s="189">
        <f ca="1">O2-Q2-S2</f>
        <v>85159952.300793856</v>
      </c>
      <c r="U2" s="156">
        <f>P2-R2</f>
        <v>211010.11171500001</v>
      </c>
      <c r="V2" s="186">
        <v>4415320.5250500003</v>
      </c>
      <c r="W2" s="186">
        <v>10038.68694</v>
      </c>
      <c r="X2" s="88">
        <f>('Customer Data'!$E26*2+'Customer Data'!$E29)/3</f>
        <v>3</v>
      </c>
      <c r="Y2" s="126">
        <f ca="1">HLOOKUP($B2,CDM!$B$1:$Q$22,14,FALSE)/12</f>
        <v>0</v>
      </c>
      <c r="Z2" s="126">
        <f ca="1">V2+Y2</f>
        <v>4415320.5250500003</v>
      </c>
      <c r="AA2" s="186">
        <v>24657854.515772</v>
      </c>
      <c r="AB2" s="186">
        <v>50031.759268000002</v>
      </c>
      <c r="AC2" s="88">
        <f>('Customer Data'!$F26*2+'Customer Data'!$F29)/3</f>
        <v>6</v>
      </c>
      <c r="AD2" s="126">
        <f ca="1">HLOOKUP($B2,CDM!$B$1:$Q$22,15,FALSE)/12</f>
        <v>0</v>
      </c>
      <c r="AE2" s="188">
        <f t="shared" ref="AE2:AE42" ca="1" si="4">AA2+AD2</f>
        <v>24657854.515772</v>
      </c>
      <c r="AF2" s="186">
        <v>23236396.190880001</v>
      </c>
      <c r="AG2" s="186">
        <v>55487.744532000004</v>
      </c>
      <c r="AH2" s="88">
        <f>('Customer Data'!$G26*2+'Customer Data'!$G29)/3</f>
        <v>3</v>
      </c>
      <c r="AI2" s="126">
        <f ca="1">HLOOKUP($B2,CDM!$B$1:$Q$22,16,FALSE)/12</f>
        <v>0</v>
      </c>
      <c r="AJ2" s="188">
        <f t="shared" ref="AJ2:AJ9" ca="1" si="5">AF2+AI2-AL2</f>
        <v>17733958.659769997</v>
      </c>
      <c r="AK2" s="188">
        <f t="shared" ref="AK2:AK32" si="6">AG2-AM2</f>
        <v>37845.244532000004</v>
      </c>
      <c r="AL2" s="188">
        <v>5502437.5311100055</v>
      </c>
      <c r="AM2" s="188">
        <v>17642.5</v>
      </c>
      <c r="AN2" s="156">
        <v>2629603.7901240801</v>
      </c>
      <c r="AO2" s="156">
        <v>6119.7</v>
      </c>
      <c r="AP2" s="156">
        <v>0</v>
      </c>
      <c r="AQ2" s="156">
        <f ca="1">AE2-AN2-AP2</f>
        <v>22028250.725647919</v>
      </c>
      <c r="AR2" s="156">
        <f>AB2-AO2</f>
        <v>43912.059268000005</v>
      </c>
      <c r="AS2" s="186">
        <v>4175540.6635389999</v>
      </c>
      <c r="AT2" s="186">
        <v>7941.92256</v>
      </c>
      <c r="AU2" s="88">
        <f>('Customer Data'!$H26*2+'Customer Data'!$H29)/3</f>
        <v>1</v>
      </c>
      <c r="AV2" s="126">
        <f ca="1">HLOOKUP($B2,CDM!$B$1:$Q$22,17,FALSE)/12</f>
        <v>0</v>
      </c>
      <c r="AW2" s="188">
        <f t="shared" ref="AW2:AW42" ca="1" si="7">AS2+AV2</f>
        <v>4175540.6635389999</v>
      </c>
      <c r="AX2" s="105">
        <v>1768366.085</v>
      </c>
      <c r="AY2" s="105">
        <v>4060.42</v>
      </c>
      <c r="AZ2" s="88">
        <f>('Customer Data'!$I26*2+'Customer Data'!$I29)/3</f>
        <v>23414.333333333332</v>
      </c>
      <c r="BA2" s="126">
        <f ca="1">HLOOKUP($B2,CDM!$B$1:$Q$22,18,FALSE)/12</f>
        <v>0</v>
      </c>
      <c r="BB2" s="188">
        <f t="shared" ref="BB2:BB42" ca="1" si="8">BA2+AY2</f>
        <v>4060.42</v>
      </c>
      <c r="BC2" s="186">
        <v>86197.784495999993</v>
      </c>
      <c r="BD2" s="186">
        <v>247.48085499999999</v>
      </c>
      <c r="BE2" s="188">
        <f>('Customer Data'!$J26*2+'Customer Data'!$J29*1)/3</f>
        <v>688.08333333333337</v>
      </c>
      <c r="BF2" s="105">
        <v>360510.51903000002</v>
      </c>
      <c r="BG2" s="188">
        <f>('Customer Data'!$K26*2+'Customer Data'!$K29*1)/3</f>
        <v>759.58333333333337</v>
      </c>
      <c r="BH2" s="188">
        <f>Weather!B170</f>
        <v>768.79999999999973</v>
      </c>
      <c r="BI2" s="188">
        <f>Weather!$C170</f>
        <v>0</v>
      </c>
      <c r="BJ2" s="166">
        <f>Employment!B26</f>
        <v>6541.6</v>
      </c>
      <c r="BK2" s="188">
        <f>Employment!$C26</f>
        <v>151.5</v>
      </c>
      <c r="BL2" s="188">
        <f>Employment!D26</f>
        <v>539388</v>
      </c>
      <c r="BM2" s="188">
        <v>1</v>
      </c>
      <c r="BN2" s="188">
        <v>1</v>
      </c>
      <c r="BO2" s="188">
        <v>0</v>
      </c>
      <c r="BP2" s="188">
        <v>0</v>
      </c>
      <c r="BQ2" s="188">
        <v>0</v>
      </c>
      <c r="BR2" s="188">
        <v>0</v>
      </c>
      <c r="BS2" s="188">
        <v>0</v>
      </c>
      <c r="BT2" s="188">
        <v>0</v>
      </c>
      <c r="BU2" s="188">
        <v>0</v>
      </c>
      <c r="BV2" s="188">
        <v>0</v>
      </c>
      <c r="BW2" s="188">
        <v>0</v>
      </c>
      <c r="BX2" s="188">
        <v>0</v>
      </c>
      <c r="BY2" s="188">
        <v>0</v>
      </c>
      <c r="BZ2" s="188">
        <v>0</v>
      </c>
      <c r="CA2" s="188">
        <v>0</v>
      </c>
      <c r="CB2" s="188">
        <f>BZ2+CA2</f>
        <v>0</v>
      </c>
      <c r="CC2" s="188">
        <v>31</v>
      </c>
      <c r="CD2" s="121">
        <v>21</v>
      </c>
    </row>
    <row r="3" spans="1:82" s="188" customFormat="1" ht="15">
      <c r="A3" s="190">
        <v>39845</v>
      </c>
      <c r="B3" s="191">
        <f t="shared" si="0"/>
        <v>2009</v>
      </c>
      <c r="C3" s="186">
        <v>49239040.479748003</v>
      </c>
      <c r="D3" s="88">
        <f>('Customer Data'!$B26+'Customer Data'!$B29*2)/3</f>
        <v>76527.333333333328</v>
      </c>
      <c r="E3" s="188">
        <f ca="1">HLOOKUP($B3,CDM!$B$1:$Q$22,11,FALSE)/12</f>
        <v>1075449.6079265794</v>
      </c>
      <c r="F3" s="189">
        <f t="shared" ca="1" si="1"/>
        <v>50314490.087674581</v>
      </c>
      <c r="G3" s="186">
        <v>18284496.750106003</v>
      </c>
      <c r="H3" s="88">
        <f>('Customer Data'!$C26+'Customer Data'!$C29*2)/3</f>
        <v>7023</v>
      </c>
      <c r="I3" s="188">
        <f ca="1">HLOOKUP($B3,CDM!$B$1:$Q$22,12,FALSE)/12</f>
        <v>250404.5701168763</v>
      </c>
      <c r="J3" s="188">
        <f t="shared" ca="1" si="2"/>
        <v>18534901.320222881</v>
      </c>
      <c r="K3" s="186">
        <v>77139961.441704005</v>
      </c>
      <c r="L3" s="186">
        <v>205776.418202</v>
      </c>
      <c r="M3" s="88">
        <f>('Customer Data'!$D26+'Customer Data'!$D29*2)/3</f>
        <v>1188.3333333333333</v>
      </c>
      <c r="N3" s="126">
        <f ca="1">HLOOKUP($B3,CDM!$B$1:$Q$22,13,FALSE)/12</f>
        <v>277232.11055284267</v>
      </c>
      <c r="O3" s="188">
        <f t="shared" ref="O3:O32" ca="1" si="9">K3+N3</f>
        <v>77417193.552256852</v>
      </c>
      <c r="P3" s="188">
        <f t="shared" si="3"/>
        <v>205776.418202</v>
      </c>
      <c r="Q3" s="188">
        <v>267034.44155343546</v>
      </c>
      <c r="R3" s="188">
        <v>766.4</v>
      </c>
      <c r="S3" s="229">
        <v>0</v>
      </c>
      <c r="T3" s="189">
        <f t="shared" ref="T3:T66" ca="1" si="10">O3-Q3-S3</f>
        <v>77150159.110703424</v>
      </c>
      <c r="U3" s="156">
        <f t="shared" ref="U3:U66" si="11">P3-R3</f>
        <v>205010.01820200001</v>
      </c>
      <c r="V3" s="186">
        <v>4063549.3825500002</v>
      </c>
      <c r="W3" s="186">
        <v>11023.328367</v>
      </c>
      <c r="X3" s="88">
        <f>('Customer Data'!$E26+'Customer Data'!$E29*2)/3</f>
        <v>3</v>
      </c>
      <c r="Y3" s="126">
        <f ca="1">HLOOKUP($B3,CDM!$B$1:$Q$22,14,FALSE)/12</f>
        <v>0</v>
      </c>
      <c r="Z3" s="188">
        <f t="shared" ref="Z3:Z42" ca="1" si="12">V3+Y3</f>
        <v>4063549.3825500002</v>
      </c>
      <c r="AA3" s="186">
        <v>22260143.476391003</v>
      </c>
      <c r="AB3" s="186">
        <v>48094.515282</v>
      </c>
      <c r="AC3" s="88">
        <f>('Customer Data'!$F26+'Customer Data'!$F29*2)/3</f>
        <v>6</v>
      </c>
      <c r="AD3" s="126">
        <f ca="1">HLOOKUP($B3,CDM!$B$1:$Q$22,15,FALSE)/12</f>
        <v>0</v>
      </c>
      <c r="AE3" s="188">
        <f t="shared" ca="1" si="4"/>
        <v>22260143.476391003</v>
      </c>
      <c r="AF3" s="186">
        <v>28337485.245943002</v>
      </c>
      <c r="AG3" s="186">
        <v>60831.96154199999</v>
      </c>
      <c r="AH3" s="88">
        <f>('Customer Data'!$G26+'Customer Data'!$G29*2)/3</f>
        <v>3</v>
      </c>
      <c r="AI3" s="126">
        <f ca="1">HLOOKUP($B3,CDM!$B$1:$Q$22,16,FALSE)/12</f>
        <v>0</v>
      </c>
      <c r="AJ3" s="188">
        <f t="shared" ca="1" si="5"/>
        <v>21801920.925385512</v>
      </c>
      <c r="AK3" s="188">
        <f t="shared" si="6"/>
        <v>43121.761541999993</v>
      </c>
      <c r="AL3" s="188">
        <v>6535564.3205574919</v>
      </c>
      <c r="AM3" s="188">
        <v>17710.2</v>
      </c>
      <c r="AN3" s="156">
        <v>2625669.1290005133</v>
      </c>
      <c r="AO3" s="156">
        <v>5492.2</v>
      </c>
      <c r="AP3" s="156">
        <v>0</v>
      </c>
      <c r="AQ3" s="156">
        <f t="shared" ref="AQ3:AQ66" ca="1" si="13">AE3-AN3-AP3</f>
        <v>19634474.347390488</v>
      </c>
      <c r="AR3" s="156">
        <f t="shared" ref="AR3:AR66" si="14">AB3-AO3</f>
        <v>42602.315282000003</v>
      </c>
      <c r="AS3" s="186">
        <v>3997948.1384399999</v>
      </c>
      <c r="AT3" s="186">
        <v>7494.8544000000002</v>
      </c>
      <c r="AU3" s="88">
        <f>('Customer Data'!$H26+'Customer Data'!$H29*2)/3</f>
        <v>1</v>
      </c>
      <c r="AV3" s="126">
        <f ca="1">HLOOKUP($B3,CDM!$B$1:$Q$22,17,FALSE)/12</f>
        <v>0</v>
      </c>
      <c r="AW3" s="188">
        <f t="shared" ca="1" si="7"/>
        <v>3997948.1384399999</v>
      </c>
      <c r="AX3" s="105">
        <v>1484448.9010000001</v>
      </c>
      <c r="AY3" s="105">
        <v>4060.42</v>
      </c>
      <c r="AZ3" s="88">
        <f>('Customer Data'!$I26+'Customer Data'!$I29*2)/3</f>
        <v>23415.666666666668</v>
      </c>
      <c r="BA3" s="126">
        <f ca="1">HLOOKUP($B3,CDM!$B$1:$Q$22,18,FALSE)/12</f>
        <v>0</v>
      </c>
      <c r="BB3" s="188">
        <f t="shared" ca="1" si="8"/>
        <v>4060.42</v>
      </c>
      <c r="BC3" s="186">
        <v>77228.174367</v>
      </c>
      <c r="BD3" s="186">
        <v>216.29074</v>
      </c>
      <c r="BE3" s="188">
        <f>('Customer Data'!$J26*1+'Customer Data'!$J29*2)/3</f>
        <v>684.16666666666663</v>
      </c>
      <c r="BF3" s="105">
        <v>325637.22188500001</v>
      </c>
      <c r="BG3" s="188">
        <f>('Customer Data'!$K26*1+'Customer Data'!$K29*2)/3</f>
        <v>760.16666666666663</v>
      </c>
      <c r="BH3" s="188">
        <f>Weather!B171</f>
        <v>540</v>
      </c>
      <c r="BI3" s="188">
        <f>Weather!$C171</f>
        <v>0</v>
      </c>
      <c r="BJ3" s="166">
        <f>Employment!B27</f>
        <v>6506</v>
      </c>
      <c r="BK3" s="188">
        <f>Employment!$C27</f>
        <v>149.69999999999999</v>
      </c>
      <c r="BL3" s="188">
        <f>Employment!D27</f>
        <v>539388</v>
      </c>
      <c r="BM3" s="188">
        <f t="shared" ref="BM3:BM43" si="15">BM2+1</f>
        <v>2</v>
      </c>
      <c r="BN3" s="188">
        <v>0</v>
      </c>
      <c r="BO3" s="188">
        <v>1</v>
      </c>
      <c r="BP3" s="188">
        <v>0</v>
      </c>
      <c r="BQ3" s="188">
        <v>0</v>
      </c>
      <c r="BR3" s="188">
        <v>0</v>
      </c>
      <c r="BS3" s="188">
        <v>0</v>
      </c>
      <c r="BT3" s="188">
        <v>0</v>
      </c>
      <c r="BU3" s="188">
        <v>0</v>
      </c>
      <c r="BV3" s="188">
        <v>0</v>
      </c>
      <c r="BW3" s="188">
        <v>0</v>
      </c>
      <c r="BX3" s="188">
        <v>0</v>
      </c>
      <c r="BY3" s="188">
        <v>0</v>
      </c>
      <c r="BZ3" s="188">
        <v>0</v>
      </c>
      <c r="CA3" s="188">
        <v>0</v>
      </c>
      <c r="CB3" s="188">
        <f t="shared" ref="CB3:CB66" si="16">BZ3+CA3</f>
        <v>0</v>
      </c>
      <c r="CC3" s="188">
        <v>28</v>
      </c>
      <c r="CD3" s="121">
        <v>19</v>
      </c>
    </row>
    <row r="4" spans="1:82" s="188" customFormat="1" ht="15">
      <c r="A4" s="190">
        <v>39873</v>
      </c>
      <c r="B4" s="191">
        <f t="shared" si="0"/>
        <v>2009</v>
      </c>
      <c r="C4" s="186">
        <v>48625809.469940998</v>
      </c>
      <c r="D4" s="88">
        <f>'Customer Data'!$B29</f>
        <v>76538</v>
      </c>
      <c r="E4" s="188">
        <f ca="1">HLOOKUP($B4,CDM!$B$1:$Q$22,11,FALSE)/12</f>
        <v>1075449.6079265794</v>
      </c>
      <c r="F4" s="189">
        <f t="shared" ca="1" si="1"/>
        <v>49701259.077867575</v>
      </c>
      <c r="G4" s="186">
        <v>18703613.732633002</v>
      </c>
      <c r="H4" s="88">
        <f>'Customer Data'!$C29</f>
        <v>7014</v>
      </c>
      <c r="I4" s="188">
        <f ca="1">HLOOKUP($B4,CDM!$B$1:$Q$22,12,FALSE)/12</f>
        <v>250404.5701168763</v>
      </c>
      <c r="J4" s="188">
        <f t="shared" ca="1" si="2"/>
        <v>18954018.30274988</v>
      </c>
      <c r="K4" s="186">
        <v>78950481.879144996</v>
      </c>
      <c r="L4" s="186">
        <v>208162.752351</v>
      </c>
      <c r="M4" s="88">
        <f>'Customer Data'!$D29</f>
        <v>1187</v>
      </c>
      <c r="N4" s="126">
        <f ca="1">HLOOKUP($B4,CDM!$B$1:$Q$22,13,FALSE)/12</f>
        <v>277232.11055284267</v>
      </c>
      <c r="O4" s="188">
        <f t="shared" ca="1" si="9"/>
        <v>79227713.989697844</v>
      </c>
      <c r="P4" s="188">
        <f t="shared" si="3"/>
        <v>208162.752351</v>
      </c>
      <c r="Q4" s="188">
        <v>214603.1511997687</v>
      </c>
      <c r="R4" s="188">
        <v>571</v>
      </c>
      <c r="S4" s="229">
        <v>0</v>
      </c>
      <c r="T4" s="189">
        <f t="shared" ca="1" si="10"/>
        <v>79013110.838498071</v>
      </c>
      <c r="U4" s="156">
        <f t="shared" si="11"/>
        <v>207591.752351</v>
      </c>
      <c r="V4" s="186">
        <v>4547876.9075999996</v>
      </c>
      <c r="W4" s="186">
        <v>11149.678989</v>
      </c>
      <c r="X4" s="88">
        <f>'Customer Data'!$E29</f>
        <v>3</v>
      </c>
      <c r="Y4" s="126">
        <f ca="1">HLOOKUP($B4,CDM!$B$1:$Q$22,14,FALSE)/12</f>
        <v>0</v>
      </c>
      <c r="Z4" s="188">
        <f t="shared" ca="1" si="12"/>
        <v>4547876.9075999996</v>
      </c>
      <c r="AA4" s="186">
        <v>20653970.599032998</v>
      </c>
      <c r="AB4" s="186">
        <v>41472.934330999997</v>
      </c>
      <c r="AC4" s="88">
        <f>'Customer Data'!$F29</f>
        <v>6</v>
      </c>
      <c r="AD4" s="126">
        <f ca="1">HLOOKUP($B4,CDM!$B$1:$Q$22,15,FALSE)/12</f>
        <v>0</v>
      </c>
      <c r="AE4" s="188">
        <f t="shared" ca="1" si="4"/>
        <v>20653970.599032998</v>
      </c>
      <c r="AF4" s="186">
        <v>28433303.782875001</v>
      </c>
      <c r="AG4" s="186">
        <v>59568.343362</v>
      </c>
      <c r="AH4" s="88">
        <f>'Customer Data'!$G29</f>
        <v>3</v>
      </c>
      <c r="AI4" s="126">
        <f ca="1">HLOOKUP($B4,CDM!$B$1:$Q$22,16,FALSE)/12</f>
        <v>0</v>
      </c>
      <c r="AJ4" s="188">
        <f t="shared" ca="1" si="5"/>
        <v>22270404.549425524</v>
      </c>
      <c r="AK4" s="188">
        <f t="shared" si="6"/>
        <v>42332.743362000001</v>
      </c>
      <c r="AL4" s="188">
        <v>6162899.2334494777</v>
      </c>
      <c r="AM4" s="188">
        <v>17235.599999999999</v>
      </c>
      <c r="AN4" s="156">
        <v>1325714.8636495767</v>
      </c>
      <c r="AO4" s="156">
        <v>3689.2</v>
      </c>
      <c r="AP4" s="156">
        <v>0</v>
      </c>
      <c r="AQ4" s="156">
        <f t="shared" ca="1" si="13"/>
        <v>19328255.735383421</v>
      </c>
      <c r="AR4" s="156">
        <f t="shared" si="14"/>
        <v>37783.734331</v>
      </c>
      <c r="AS4" s="186">
        <v>3689602.6473579998</v>
      </c>
      <c r="AT4" s="186">
        <v>7284.2457599999998</v>
      </c>
      <c r="AU4" s="88">
        <f>'Customer Data'!$H29</f>
        <v>1</v>
      </c>
      <c r="AV4" s="126">
        <f ca="1">HLOOKUP($B4,CDM!$B$1:$Q$22,17,FALSE)/12</f>
        <v>0</v>
      </c>
      <c r="AW4" s="188">
        <f t="shared" ca="1" si="7"/>
        <v>3689602.6473579998</v>
      </c>
      <c r="AX4" s="105">
        <v>1477987.186</v>
      </c>
      <c r="AY4" s="105">
        <v>4060.42</v>
      </c>
      <c r="AZ4" s="88">
        <f>'Customer Data'!$I29</f>
        <v>23417</v>
      </c>
      <c r="BA4" s="126">
        <f ca="1">HLOOKUP($B4,CDM!$B$1:$Q$22,18,FALSE)/12</f>
        <v>0</v>
      </c>
      <c r="BB4" s="188">
        <f t="shared" ca="1" si="8"/>
        <v>4060.42</v>
      </c>
      <c r="BC4" s="186">
        <v>85401.122388999996</v>
      </c>
      <c r="BD4" s="186">
        <v>249.39086499999999</v>
      </c>
      <c r="BE4" s="188">
        <f>'Customer Data'!$J29</f>
        <v>680.25</v>
      </c>
      <c r="BF4" s="105">
        <v>360671.236065</v>
      </c>
      <c r="BG4" s="188">
        <f>'Customer Data'!$K29</f>
        <v>760.75</v>
      </c>
      <c r="BH4" s="188">
        <f>Weather!B172</f>
        <v>456.7999999999999</v>
      </c>
      <c r="BI4" s="188">
        <f>Weather!$C172</f>
        <v>0</v>
      </c>
      <c r="BJ4" s="166">
        <f>Employment!B28</f>
        <v>6466.8</v>
      </c>
      <c r="BK4" s="188">
        <f>Employment!$C28</f>
        <v>147.19999999999999</v>
      </c>
      <c r="BL4" s="188">
        <f>Employment!D28</f>
        <v>539388</v>
      </c>
      <c r="BM4" s="188">
        <f t="shared" si="15"/>
        <v>3</v>
      </c>
      <c r="BN4" s="188">
        <v>0</v>
      </c>
      <c r="BO4" s="188">
        <v>0</v>
      </c>
      <c r="BP4" s="188">
        <v>1</v>
      </c>
      <c r="BQ4" s="188">
        <v>0</v>
      </c>
      <c r="BR4" s="188">
        <v>0</v>
      </c>
      <c r="BS4" s="188">
        <v>0</v>
      </c>
      <c r="BT4" s="188">
        <v>0</v>
      </c>
      <c r="BU4" s="188">
        <v>0</v>
      </c>
      <c r="BV4" s="188">
        <v>0</v>
      </c>
      <c r="BW4" s="188">
        <v>0</v>
      </c>
      <c r="BX4" s="188">
        <v>0</v>
      </c>
      <c r="BY4" s="188">
        <v>0</v>
      </c>
      <c r="BZ4" s="188">
        <v>1</v>
      </c>
      <c r="CA4" s="188">
        <v>0</v>
      </c>
      <c r="CB4" s="188">
        <f t="shared" si="16"/>
        <v>1</v>
      </c>
      <c r="CC4" s="188">
        <v>31</v>
      </c>
      <c r="CD4" s="121">
        <v>22</v>
      </c>
    </row>
    <row r="5" spans="1:82" s="188" customFormat="1" ht="15">
      <c r="A5" s="190">
        <v>39904</v>
      </c>
      <c r="B5" s="191">
        <f t="shared" si="0"/>
        <v>2009</v>
      </c>
      <c r="C5" s="186">
        <v>42019188.015194997</v>
      </c>
      <c r="D5" s="88">
        <f>('Customer Data'!$B29*2+'Customer Data'!$B32)/3</f>
        <v>76428.333333333328</v>
      </c>
      <c r="E5" s="188">
        <f ca="1">HLOOKUP($B5,CDM!$B$1:$Q$22,11,FALSE)/12</f>
        <v>1075449.6079265794</v>
      </c>
      <c r="F5" s="189">
        <f t="shared" ca="1" si="1"/>
        <v>43094637.623121575</v>
      </c>
      <c r="G5" s="186">
        <v>16675111.595237</v>
      </c>
      <c r="H5" s="88">
        <f>('Customer Data'!$C29*2+'Customer Data'!$C32)/3</f>
        <v>6995.666666666667</v>
      </c>
      <c r="I5" s="188">
        <f ca="1">HLOOKUP($B5,CDM!$B$1:$Q$22,12,FALSE)/12</f>
        <v>250404.5701168763</v>
      </c>
      <c r="J5" s="188">
        <f t="shared" ca="1" si="2"/>
        <v>16925516.165353876</v>
      </c>
      <c r="K5" s="186">
        <v>70750579.554260999</v>
      </c>
      <c r="L5" s="186">
        <v>199215.54466299998</v>
      </c>
      <c r="M5" s="88">
        <f>('Customer Data'!$D29*2+'Customer Data'!$D32)/3</f>
        <v>1184</v>
      </c>
      <c r="N5" s="126">
        <f ca="1">HLOOKUP($B5,CDM!$B$1:$Q$22,13,FALSE)/12</f>
        <v>277232.11055284267</v>
      </c>
      <c r="O5" s="188">
        <f t="shared" ca="1" si="9"/>
        <v>71027811.664813846</v>
      </c>
      <c r="P5" s="188">
        <f t="shared" si="3"/>
        <v>199215.54466299998</v>
      </c>
      <c r="Q5" s="188">
        <v>204324.26520188877</v>
      </c>
      <c r="R5" s="188">
        <v>504.1</v>
      </c>
      <c r="S5" s="229">
        <v>0</v>
      </c>
      <c r="T5" s="189">
        <f t="shared" ca="1" si="10"/>
        <v>70823487.399611965</v>
      </c>
      <c r="U5" s="156">
        <f t="shared" si="11"/>
        <v>198711.44466299997</v>
      </c>
      <c r="V5" s="186">
        <v>4092154.0065000001</v>
      </c>
      <c r="W5" s="186">
        <v>10292.875019999999</v>
      </c>
      <c r="X5" s="88">
        <f>('Customer Data'!$E29*2+'Customer Data'!$E32)/3</f>
        <v>3</v>
      </c>
      <c r="Y5" s="126">
        <f ca="1">HLOOKUP($B5,CDM!$B$1:$Q$22,14,FALSE)/12</f>
        <v>0</v>
      </c>
      <c r="Z5" s="188">
        <f t="shared" ca="1" si="12"/>
        <v>4092154.0065000001</v>
      </c>
      <c r="AA5" s="186">
        <v>19934511.746649001</v>
      </c>
      <c r="AB5" s="186">
        <v>42853.985419000004</v>
      </c>
      <c r="AC5" s="88">
        <f>('Customer Data'!$F29*2+'Customer Data'!$F32)/3</f>
        <v>6</v>
      </c>
      <c r="AD5" s="126">
        <f ca="1">HLOOKUP($B5,CDM!$B$1:$Q$22,15,FALSE)/12</f>
        <v>0</v>
      </c>
      <c r="AE5" s="188">
        <f t="shared" ca="1" si="4"/>
        <v>19934511.746649001</v>
      </c>
      <c r="AF5" s="186">
        <v>25136735.369710002</v>
      </c>
      <c r="AG5" s="186">
        <v>59944.424363999999</v>
      </c>
      <c r="AH5" s="88">
        <f>('Customer Data'!$G29*2+'Customer Data'!$G32)/3</f>
        <v>3</v>
      </c>
      <c r="AI5" s="126">
        <f ca="1">HLOOKUP($B5,CDM!$B$1:$Q$22,16,FALSE)/12</f>
        <v>0</v>
      </c>
      <c r="AJ5" s="188">
        <f t="shared" ca="1" si="5"/>
        <v>20801124.190018613</v>
      </c>
      <c r="AK5" s="188">
        <f t="shared" si="6"/>
        <v>43340.124364000003</v>
      </c>
      <c r="AL5" s="188">
        <v>4335611.1796913883</v>
      </c>
      <c r="AM5" s="188">
        <v>16604.3</v>
      </c>
      <c r="AN5" s="156">
        <v>1729925.6840164519</v>
      </c>
      <c r="AO5" s="156">
        <v>4902.8</v>
      </c>
      <c r="AP5" s="156">
        <v>0</v>
      </c>
      <c r="AQ5" s="156">
        <f t="shared" ca="1" si="13"/>
        <v>18204586.06263255</v>
      </c>
      <c r="AR5" s="156">
        <f t="shared" si="14"/>
        <v>37951.185419000001</v>
      </c>
      <c r="AS5" s="186">
        <v>3730140.258533</v>
      </c>
      <c r="AT5" s="186">
        <v>7281.9647999999997</v>
      </c>
      <c r="AU5" s="88">
        <f>('Customer Data'!$H29*2+'Customer Data'!$H32)/3</f>
        <v>1</v>
      </c>
      <c r="AV5" s="126">
        <f ca="1">HLOOKUP($B5,CDM!$B$1:$Q$22,17,FALSE)/12</f>
        <v>0</v>
      </c>
      <c r="AW5" s="188">
        <f t="shared" ca="1" si="7"/>
        <v>3730140.258533</v>
      </c>
      <c r="AX5" s="105">
        <v>1262508.4369999999</v>
      </c>
      <c r="AY5" s="105">
        <v>4060.42</v>
      </c>
      <c r="AZ5" s="88">
        <f>('Customer Data'!$I29*2+'Customer Data'!$I32)/3</f>
        <v>23418.333333333332</v>
      </c>
      <c r="BA5" s="126">
        <f ca="1">HLOOKUP($B5,CDM!$B$1:$Q$22,18,FALSE)/12</f>
        <v>0</v>
      </c>
      <c r="BB5" s="188">
        <f t="shared" ca="1" si="8"/>
        <v>4060.42</v>
      </c>
      <c r="BC5" s="186">
        <v>82514.202327999999</v>
      </c>
      <c r="BD5" s="186">
        <v>212.16072600000001</v>
      </c>
      <c r="BE5" s="188">
        <f>('Customer Data'!$J29*2+'Customer Data'!$J32*1)/3</f>
        <v>676.33333333333337</v>
      </c>
      <c r="BF5" s="105">
        <v>348792.17663100001</v>
      </c>
      <c r="BG5" s="188">
        <f>('Customer Data'!$K29*2+'Customer Data'!$K32*1)/3</f>
        <v>761.33333333333337</v>
      </c>
      <c r="BH5" s="188">
        <f>Weather!B173</f>
        <v>263.29999999999995</v>
      </c>
      <c r="BI5" s="188">
        <f>Weather!$C173</f>
        <v>10.399999999999999</v>
      </c>
      <c r="BJ5" s="166">
        <f>Employment!B29</f>
        <v>6445.5</v>
      </c>
      <c r="BK5" s="188">
        <f>Employment!$C29</f>
        <v>147.4</v>
      </c>
      <c r="BL5" s="188">
        <f>Employment!D29</f>
        <v>539388</v>
      </c>
      <c r="BM5" s="188">
        <f t="shared" si="15"/>
        <v>4</v>
      </c>
      <c r="BN5" s="188">
        <v>0</v>
      </c>
      <c r="BO5" s="188">
        <v>0</v>
      </c>
      <c r="BP5" s="188">
        <v>0</v>
      </c>
      <c r="BQ5" s="188">
        <v>1</v>
      </c>
      <c r="BR5" s="188">
        <v>0</v>
      </c>
      <c r="BS5" s="188">
        <v>0</v>
      </c>
      <c r="BT5" s="188">
        <v>0</v>
      </c>
      <c r="BU5" s="188">
        <v>0</v>
      </c>
      <c r="BV5" s="188">
        <v>0</v>
      </c>
      <c r="BW5" s="188">
        <v>0</v>
      </c>
      <c r="BX5" s="188">
        <v>0</v>
      </c>
      <c r="BY5" s="188">
        <v>0</v>
      </c>
      <c r="BZ5" s="188">
        <v>1</v>
      </c>
      <c r="CA5" s="188">
        <v>0</v>
      </c>
      <c r="CB5" s="188">
        <f t="shared" si="16"/>
        <v>1</v>
      </c>
      <c r="CC5" s="188">
        <v>30</v>
      </c>
      <c r="CD5" s="121">
        <v>20</v>
      </c>
    </row>
    <row r="6" spans="1:82" s="188" customFormat="1" ht="15">
      <c r="A6" s="190">
        <v>39934</v>
      </c>
      <c r="B6" s="191">
        <f t="shared" si="0"/>
        <v>2009</v>
      </c>
      <c r="C6" s="186">
        <v>40761796.557962</v>
      </c>
      <c r="D6" s="88">
        <f>('Customer Data'!$B29+'Customer Data'!$B32*2)/3</f>
        <v>76318.666666666672</v>
      </c>
      <c r="E6" s="188">
        <f ca="1">HLOOKUP($B6,CDM!$B$1:$Q$22,11,FALSE)/12</f>
        <v>1075449.6079265794</v>
      </c>
      <c r="F6" s="189">
        <f t="shared" ca="1" si="1"/>
        <v>41837246.165888578</v>
      </c>
      <c r="G6" s="186">
        <v>17027799.271960001</v>
      </c>
      <c r="H6" s="88">
        <f>('Customer Data'!$C29+'Customer Data'!$C32*2)/3</f>
        <v>6977.333333333333</v>
      </c>
      <c r="I6" s="188">
        <f ca="1">HLOOKUP($B6,CDM!$B$1:$Q$22,12,FALSE)/12</f>
        <v>250404.5701168763</v>
      </c>
      <c r="J6" s="188">
        <f t="shared" ca="1" si="2"/>
        <v>17278203.842076879</v>
      </c>
      <c r="K6" s="186">
        <v>67905059.533923998</v>
      </c>
      <c r="L6" s="186">
        <v>196263.76750700001</v>
      </c>
      <c r="M6" s="88">
        <f>('Customer Data'!$D29+'Customer Data'!$D32*2)/3</f>
        <v>1181</v>
      </c>
      <c r="N6" s="126">
        <f ca="1">HLOOKUP($B6,CDM!$B$1:$Q$22,13,FALSE)/12</f>
        <v>277232.11055284267</v>
      </c>
      <c r="O6" s="188">
        <f t="shared" ca="1" si="9"/>
        <v>68182291.644476846</v>
      </c>
      <c r="P6" s="188">
        <f t="shared" si="3"/>
        <v>196263.76750700001</v>
      </c>
      <c r="Q6" s="188">
        <v>143639.81883010504</v>
      </c>
      <c r="R6" s="188">
        <v>404.5</v>
      </c>
      <c r="S6" s="229">
        <v>0</v>
      </c>
      <c r="T6" s="189">
        <f t="shared" ca="1" si="10"/>
        <v>68038651.825646743</v>
      </c>
      <c r="U6" s="156">
        <f t="shared" si="11"/>
        <v>195859.26750700001</v>
      </c>
      <c r="V6" s="186">
        <v>4275362.9309440004</v>
      </c>
      <c r="W6" s="186">
        <v>11150.772165</v>
      </c>
      <c r="X6" s="88">
        <f>('Customer Data'!$E29+'Customer Data'!$E32*2)/3</f>
        <v>3</v>
      </c>
      <c r="Y6" s="126">
        <f ca="1">HLOOKUP($B6,CDM!$B$1:$Q$22,14,FALSE)/12</f>
        <v>0</v>
      </c>
      <c r="Z6" s="188">
        <f t="shared" ca="1" si="12"/>
        <v>4275362.9309440004</v>
      </c>
      <c r="AA6" s="186">
        <v>20696037.706291001</v>
      </c>
      <c r="AB6" s="186">
        <v>45339.639599999995</v>
      </c>
      <c r="AC6" s="88">
        <f>('Customer Data'!$F29+'Customer Data'!$F32*2)/3</f>
        <v>6</v>
      </c>
      <c r="AD6" s="126">
        <f ca="1">HLOOKUP($B6,CDM!$B$1:$Q$22,15,FALSE)/12</f>
        <v>0</v>
      </c>
      <c r="AE6" s="188">
        <f t="shared" ca="1" si="4"/>
        <v>20696037.706291001</v>
      </c>
      <c r="AF6" s="186">
        <v>17671351.758880999</v>
      </c>
      <c r="AG6" s="186">
        <v>60224.469623999998</v>
      </c>
      <c r="AH6" s="88">
        <f>('Customer Data'!$G29+'Customer Data'!$G32*2)/3</f>
        <v>3</v>
      </c>
      <c r="AI6" s="126">
        <f ca="1">HLOOKUP($B6,CDM!$B$1:$Q$22,16,FALSE)/12</f>
        <v>0</v>
      </c>
      <c r="AJ6" s="188">
        <f t="shared" ca="1" si="5"/>
        <v>13543355.770827241</v>
      </c>
      <c r="AK6" s="188">
        <f t="shared" si="6"/>
        <v>42542.769623999993</v>
      </c>
      <c r="AL6" s="188">
        <v>4127995.9880537586</v>
      </c>
      <c r="AM6" s="188">
        <v>17681.7</v>
      </c>
      <c r="AN6" s="156">
        <v>2413494.2312148106</v>
      </c>
      <c r="AO6" s="156">
        <v>5177.8999999999996</v>
      </c>
      <c r="AP6" s="156">
        <v>0</v>
      </c>
      <c r="AQ6" s="156">
        <f t="shared" ca="1" si="13"/>
        <v>18282543.475076191</v>
      </c>
      <c r="AR6" s="156">
        <f t="shared" si="14"/>
        <v>40161.739599999994</v>
      </c>
      <c r="AS6" s="186">
        <v>3909178.1321620001</v>
      </c>
      <c r="AT6" s="186">
        <v>7868.9318400000002</v>
      </c>
      <c r="AU6" s="88">
        <f>('Customer Data'!$H29+'Customer Data'!$H32*2)/3</f>
        <v>1</v>
      </c>
      <c r="AV6" s="126">
        <f ca="1">HLOOKUP($B6,CDM!$B$1:$Q$22,17,FALSE)/12</f>
        <v>0</v>
      </c>
      <c r="AW6" s="188">
        <f t="shared" ca="1" si="7"/>
        <v>3909178.1321620001</v>
      </c>
      <c r="AX6" s="105">
        <v>1129440.9697459999</v>
      </c>
      <c r="AY6" s="105">
        <v>4062.11</v>
      </c>
      <c r="AZ6" s="88">
        <f>('Customer Data'!$I29+'Customer Data'!$I32*2)/3</f>
        <v>23419.666666666668</v>
      </c>
      <c r="BA6" s="126">
        <f ca="1">HLOOKUP($B6,CDM!$B$1:$Q$22,18,FALSE)/12</f>
        <v>0</v>
      </c>
      <c r="BB6" s="188">
        <f t="shared" ca="1" si="8"/>
        <v>4062.11</v>
      </c>
      <c r="BC6" s="186">
        <v>85440.537177000006</v>
      </c>
      <c r="BD6" s="186">
        <v>233.650171</v>
      </c>
      <c r="BE6" s="188">
        <f>('Customer Data'!$J29*1+'Customer Data'!$J32*2)/3</f>
        <v>672.41666666666663</v>
      </c>
      <c r="BF6" s="105">
        <v>359290.50858000002</v>
      </c>
      <c r="BG6" s="188">
        <f>('Customer Data'!$K29*1+'Customer Data'!$K32*2)/3</f>
        <v>761.91666666666663</v>
      </c>
      <c r="BH6" s="188">
        <f>Weather!B174</f>
        <v>83.40000000000002</v>
      </c>
      <c r="BI6" s="188">
        <f>Weather!$C174</f>
        <v>12.899999999999999</v>
      </c>
      <c r="BJ6" s="166">
        <f>Employment!B30</f>
        <v>6420.3</v>
      </c>
      <c r="BK6" s="188">
        <f>Employment!$C30</f>
        <v>147</v>
      </c>
      <c r="BL6" s="188">
        <f>Employment!D30</f>
        <v>539388</v>
      </c>
      <c r="BM6" s="188">
        <f t="shared" si="15"/>
        <v>5</v>
      </c>
      <c r="BN6" s="188">
        <v>0</v>
      </c>
      <c r="BO6" s="188">
        <v>0</v>
      </c>
      <c r="BP6" s="188">
        <v>0</v>
      </c>
      <c r="BQ6" s="188">
        <v>0</v>
      </c>
      <c r="BR6" s="188">
        <v>1</v>
      </c>
      <c r="BS6" s="188">
        <v>0</v>
      </c>
      <c r="BT6" s="188">
        <v>0</v>
      </c>
      <c r="BU6" s="188">
        <v>0</v>
      </c>
      <c r="BV6" s="188">
        <v>0</v>
      </c>
      <c r="BW6" s="188">
        <v>0</v>
      </c>
      <c r="BX6" s="188">
        <v>0</v>
      </c>
      <c r="BY6" s="188">
        <v>0</v>
      </c>
      <c r="BZ6" s="188">
        <v>1</v>
      </c>
      <c r="CA6" s="188">
        <v>0</v>
      </c>
      <c r="CB6" s="188">
        <f t="shared" si="16"/>
        <v>1</v>
      </c>
      <c r="CC6" s="188">
        <v>31</v>
      </c>
      <c r="CD6" s="121">
        <v>20</v>
      </c>
    </row>
    <row r="7" spans="1:82" s="188" customFormat="1" ht="15">
      <c r="A7" s="190">
        <v>39965</v>
      </c>
      <c r="B7" s="191">
        <f t="shared" si="0"/>
        <v>2009</v>
      </c>
      <c r="C7" s="186">
        <v>49266852.779018998</v>
      </c>
      <c r="D7" s="88">
        <f>'Customer Data'!$B32</f>
        <v>76209</v>
      </c>
      <c r="E7" s="188">
        <f ca="1">HLOOKUP($B7,CDM!$B$1:$Q$22,11,FALSE)/12</f>
        <v>1075449.6079265794</v>
      </c>
      <c r="F7" s="189">
        <f t="shared" ca="1" si="1"/>
        <v>50342302.386945575</v>
      </c>
      <c r="G7" s="186">
        <v>17941050.072772</v>
      </c>
      <c r="H7" s="88">
        <f>'Customer Data'!$C32</f>
        <v>6959</v>
      </c>
      <c r="I7" s="188">
        <f ca="1">HLOOKUP($B7,CDM!$B$1:$Q$22,12,FALSE)/12</f>
        <v>250404.5701168763</v>
      </c>
      <c r="J7" s="188">
        <f t="shared" ca="1" si="2"/>
        <v>18191454.642888878</v>
      </c>
      <c r="K7" s="186">
        <v>70293791.120653003</v>
      </c>
      <c r="L7" s="186">
        <v>198391.01806999999</v>
      </c>
      <c r="M7" s="88">
        <f>'Customer Data'!$D32</f>
        <v>1178</v>
      </c>
      <c r="N7" s="126">
        <f ca="1">HLOOKUP($B7,CDM!$B$1:$Q$22,13,FALSE)/12</f>
        <v>277232.11055284267</v>
      </c>
      <c r="O7" s="188">
        <f t="shared" ca="1" si="9"/>
        <v>70571023.231205851</v>
      </c>
      <c r="P7" s="188">
        <f t="shared" si="3"/>
        <v>198391.01806999999</v>
      </c>
      <c r="Q7" s="188">
        <v>172136.8796376602</v>
      </c>
      <c r="R7" s="188">
        <v>622.9</v>
      </c>
      <c r="S7" s="229">
        <v>0</v>
      </c>
      <c r="T7" s="189">
        <f t="shared" ca="1" si="10"/>
        <v>70398886.351568192</v>
      </c>
      <c r="U7" s="156">
        <f t="shared" si="11"/>
        <v>197768.11807</v>
      </c>
      <c r="V7" s="186">
        <v>4339364.1067150002</v>
      </c>
      <c r="W7" s="186">
        <v>11330.781813</v>
      </c>
      <c r="X7" s="88">
        <f>'Customer Data'!$E32</f>
        <v>3</v>
      </c>
      <c r="Y7" s="126">
        <f ca="1">HLOOKUP($B7,CDM!$B$1:$Q$22,14,FALSE)/12</f>
        <v>0</v>
      </c>
      <c r="Z7" s="188">
        <f t="shared" ca="1" si="12"/>
        <v>4339364.1067150002</v>
      </c>
      <c r="AA7" s="186">
        <v>23177348.254234999</v>
      </c>
      <c r="AB7" s="186">
        <v>47449.245277000002</v>
      </c>
      <c r="AC7" s="88">
        <f>'Customer Data'!$F32</f>
        <v>6</v>
      </c>
      <c r="AD7" s="126">
        <f ca="1">HLOOKUP($B7,CDM!$B$1:$Q$22,15,FALSE)/12</f>
        <v>0</v>
      </c>
      <c r="AE7" s="188">
        <f t="shared" ca="1" si="4"/>
        <v>23177348.254234999</v>
      </c>
      <c r="AF7" s="186">
        <v>21323477.084123999</v>
      </c>
      <c r="AG7" s="186">
        <v>62467.027128000002</v>
      </c>
      <c r="AH7" s="88">
        <f>'Customer Data'!$G32</f>
        <v>3</v>
      </c>
      <c r="AI7" s="126">
        <f ca="1">HLOOKUP($B7,CDM!$B$1:$Q$22,16,FALSE)/12</f>
        <v>0</v>
      </c>
      <c r="AJ7" s="188">
        <f t="shared" ca="1" si="5"/>
        <v>16379085.804880593</v>
      </c>
      <c r="AK7" s="188">
        <f t="shared" si="6"/>
        <v>44660.827128000004</v>
      </c>
      <c r="AL7" s="188">
        <v>4944391.279243405</v>
      </c>
      <c r="AM7" s="188">
        <v>17806.2</v>
      </c>
      <c r="AN7" s="156">
        <v>2063539.84587134</v>
      </c>
      <c r="AO7" s="156">
        <v>4967.7</v>
      </c>
      <c r="AP7" s="156">
        <v>0</v>
      </c>
      <c r="AQ7" s="156">
        <f t="shared" ca="1" si="13"/>
        <v>21113808.408363659</v>
      </c>
      <c r="AR7" s="156">
        <f t="shared" si="14"/>
        <v>42481.545277000005</v>
      </c>
      <c r="AS7" s="186">
        <v>4236564.3288770001</v>
      </c>
      <c r="AT7" s="186">
        <v>8584.0137900000009</v>
      </c>
      <c r="AU7" s="88">
        <f>'Customer Data'!$H32</f>
        <v>1</v>
      </c>
      <c r="AV7" s="126">
        <f ca="1">HLOOKUP($B7,CDM!$B$1:$Q$22,17,FALSE)/12</f>
        <v>0</v>
      </c>
      <c r="AW7" s="188">
        <f t="shared" ca="1" si="7"/>
        <v>4236564.3288770001</v>
      </c>
      <c r="AX7" s="105">
        <v>1027023.176784</v>
      </c>
      <c r="AY7" s="105">
        <v>4062.11</v>
      </c>
      <c r="AZ7" s="88">
        <f>'Customer Data'!$I32</f>
        <v>23421</v>
      </c>
      <c r="BA7" s="126">
        <f ca="1">HLOOKUP($B7,CDM!$B$1:$Q$22,18,FALSE)/12</f>
        <v>0</v>
      </c>
      <c r="BB7" s="188">
        <f t="shared" ca="1" si="8"/>
        <v>4062.11</v>
      </c>
      <c r="BC7" s="186">
        <v>82689.534551000004</v>
      </c>
      <c r="BD7" s="186">
        <v>246.45422500000001</v>
      </c>
      <c r="BE7" s="188">
        <f>'Customer Data'!$J32</f>
        <v>668.5</v>
      </c>
      <c r="BF7" s="105">
        <v>347832.21796799998</v>
      </c>
      <c r="BG7" s="188">
        <f>'Customer Data'!$K32</f>
        <v>762.5</v>
      </c>
      <c r="BH7" s="188">
        <f>Weather!B175</f>
        <v>25.299999999999997</v>
      </c>
      <c r="BI7" s="188">
        <f>Weather!$C175</f>
        <v>79.399999999999991</v>
      </c>
      <c r="BJ7" s="166">
        <f>Employment!B31</f>
        <v>6393.2</v>
      </c>
      <c r="BK7" s="188">
        <f>Employment!$C31</f>
        <v>146.4</v>
      </c>
      <c r="BL7" s="188">
        <f>Employment!D31</f>
        <v>539388</v>
      </c>
      <c r="BM7" s="188">
        <f t="shared" si="15"/>
        <v>6</v>
      </c>
      <c r="BN7" s="188">
        <v>0</v>
      </c>
      <c r="BO7" s="188">
        <v>0</v>
      </c>
      <c r="BP7" s="188">
        <v>0</v>
      </c>
      <c r="BQ7" s="188">
        <v>0</v>
      </c>
      <c r="BR7" s="188">
        <v>0</v>
      </c>
      <c r="BS7" s="188">
        <v>1</v>
      </c>
      <c r="BT7" s="188">
        <v>0</v>
      </c>
      <c r="BU7" s="188">
        <v>0</v>
      </c>
      <c r="BV7" s="188">
        <v>0</v>
      </c>
      <c r="BW7" s="188">
        <v>0</v>
      </c>
      <c r="BX7" s="188">
        <v>0</v>
      </c>
      <c r="BY7" s="188">
        <v>0</v>
      </c>
      <c r="BZ7" s="188">
        <v>0</v>
      </c>
      <c r="CA7" s="188">
        <v>0</v>
      </c>
      <c r="CB7" s="188">
        <f t="shared" si="16"/>
        <v>0</v>
      </c>
      <c r="CC7" s="188">
        <v>30</v>
      </c>
      <c r="CD7" s="121">
        <v>22</v>
      </c>
    </row>
    <row r="8" spans="1:82" s="188" customFormat="1" ht="15">
      <c r="A8" s="190">
        <v>39995</v>
      </c>
      <c r="B8" s="191">
        <f t="shared" si="0"/>
        <v>2009</v>
      </c>
      <c r="C8" s="186">
        <v>59735104.890111998</v>
      </c>
      <c r="D8" s="88">
        <f>('Customer Data'!$B32*2+'Customer Data'!$B35)/3</f>
        <v>76263.666666666672</v>
      </c>
      <c r="E8" s="188">
        <f ca="1">HLOOKUP($B8,CDM!$B$1:$Q$22,11,FALSE)/12</f>
        <v>1075449.6079265794</v>
      </c>
      <c r="F8" s="189">
        <f t="shared" ca="1" si="1"/>
        <v>60810554.498038575</v>
      </c>
      <c r="G8" s="186">
        <v>19854858.152297001</v>
      </c>
      <c r="H8" s="88">
        <f>('Customer Data'!$C32*2+'Customer Data'!$C35)/3</f>
        <v>6963</v>
      </c>
      <c r="I8" s="188">
        <f ca="1">HLOOKUP($B8,CDM!$B$1:$Q$22,12,FALSE)/12</f>
        <v>250404.5701168763</v>
      </c>
      <c r="J8" s="188">
        <f t="shared" ca="1" si="2"/>
        <v>20105262.722413879</v>
      </c>
      <c r="K8" s="186">
        <v>74280067.458757997</v>
      </c>
      <c r="L8" s="186">
        <v>204862.18790000002</v>
      </c>
      <c r="M8" s="88">
        <f>('Customer Data'!$D32*2+'Customer Data'!$D35)/3</f>
        <v>1173.3333333333333</v>
      </c>
      <c r="N8" s="126">
        <f ca="1">HLOOKUP($B8,CDM!$B$1:$Q$22,13,FALSE)/12</f>
        <v>277232.11055284267</v>
      </c>
      <c r="O8" s="188">
        <f t="shared" ca="1" si="9"/>
        <v>74557299.569310844</v>
      </c>
      <c r="P8" s="188">
        <f t="shared" si="3"/>
        <v>204862.18790000002</v>
      </c>
      <c r="Q8" s="188">
        <v>158624.72776332273</v>
      </c>
      <c r="R8" s="188">
        <v>452</v>
      </c>
      <c r="S8" s="229">
        <v>0</v>
      </c>
      <c r="T8" s="189">
        <f t="shared" ca="1" si="10"/>
        <v>74398674.841547519</v>
      </c>
      <c r="U8" s="156">
        <f t="shared" si="11"/>
        <v>204410.18790000002</v>
      </c>
      <c r="V8" s="186">
        <v>4830360.0326429997</v>
      </c>
      <c r="W8" s="186">
        <v>11974.63464</v>
      </c>
      <c r="X8" s="88">
        <f>('Customer Data'!$E32*2+'Customer Data'!$E35)/3</f>
        <v>3</v>
      </c>
      <c r="Y8" s="126">
        <f ca="1">HLOOKUP($B8,CDM!$B$1:$Q$22,14,FALSE)/12</f>
        <v>0</v>
      </c>
      <c r="Z8" s="188">
        <f t="shared" ca="1" si="12"/>
        <v>4830360.0326429997</v>
      </c>
      <c r="AA8" s="186">
        <v>24105091.778898001</v>
      </c>
      <c r="AB8" s="186">
        <v>47920.911851999997</v>
      </c>
      <c r="AC8" s="88">
        <f>('Customer Data'!$F32*2+'Customer Data'!$F35)/3</f>
        <v>6</v>
      </c>
      <c r="AD8" s="126">
        <f ca="1">HLOOKUP($B8,CDM!$B$1:$Q$22,15,FALSE)/12</f>
        <v>0</v>
      </c>
      <c r="AE8" s="188">
        <f t="shared" ca="1" si="4"/>
        <v>24105091.778898001</v>
      </c>
      <c r="AF8" s="186">
        <v>26415166.052472003</v>
      </c>
      <c r="AG8" s="186">
        <v>65760.763860000006</v>
      </c>
      <c r="AH8" s="88">
        <f>('Customer Data'!$G32*2+'Customer Data'!$G35)/3</f>
        <v>3</v>
      </c>
      <c r="AI8" s="126">
        <f ca="1">HLOOKUP($B8,CDM!$B$1:$Q$22,16,FALSE)/12</f>
        <v>0</v>
      </c>
      <c r="AJ8" s="188">
        <f t="shared" ca="1" si="5"/>
        <v>22219479.750829395</v>
      </c>
      <c r="AK8" s="188">
        <f t="shared" si="6"/>
        <v>47710.263860000006</v>
      </c>
      <c r="AL8" s="188">
        <v>4195686.3016426079</v>
      </c>
      <c r="AM8" s="188">
        <v>18050.5</v>
      </c>
      <c r="AN8" s="156">
        <v>2096109.1014100167</v>
      </c>
      <c r="AO8" s="156">
        <v>5174.3999999999996</v>
      </c>
      <c r="AP8" s="156">
        <v>0</v>
      </c>
      <c r="AQ8" s="156">
        <f t="shared" ca="1" si="13"/>
        <v>22008982.677487984</v>
      </c>
      <c r="AR8" s="156">
        <f t="shared" si="14"/>
        <v>42746.511851999996</v>
      </c>
      <c r="AS8" s="186">
        <v>4290133.8060520003</v>
      </c>
      <c r="AT8" s="186">
        <v>8503.0387200000005</v>
      </c>
      <c r="AU8" s="88">
        <f>('Customer Data'!$H32*2+'Customer Data'!$H35)/3</f>
        <v>1</v>
      </c>
      <c r="AV8" s="126">
        <f ca="1">HLOOKUP($B8,CDM!$B$1:$Q$22,17,FALSE)/12</f>
        <v>0</v>
      </c>
      <c r="AW8" s="188">
        <f t="shared" ca="1" si="7"/>
        <v>4290133.8060520003</v>
      </c>
      <c r="AX8" s="105">
        <v>1083522.6647719999</v>
      </c>
      <c r="AY8" s="105">
        <v>4062.11</v>
      </c>
      <c r="AZ8" s="88">
        <f>('Customer Data'!$I32*2+'Customer Data'!$I35)/3</f>
        <v>23422.333333333332</v>
      </c>
      <c r="BA8" s="126">
        <f ca="1">HLOOKUP($B8,CDM!$B$1:$Q$22,18,FALSE)/12</f>
        <v>0</v>
      </c>
      <c r="BB8" s="188">
        <f t="shared" ca="1" si="8"/>
        <v>4062.11</v>
      </c>
      <c r="BC8" s="186">
        <v>84121.248720000003</v>
      </c>
      <c r="BD8" s="186">
        <v>227.15499500000001</v>
      </c>
      <c r="BE8" s="188">
        <f>('Customer Data'!$J32*2+'Customer Data'!$J35*1)/3</f>
        <v>664.58333333333337</v>
      </c>
      <c r="BF8" s="105">
        <v>359228.93540800002</v>
      </c>
      <c r="BG8" s="188">
        <f>('Customer Data'!$K32*2+'Customer Data'!$K35*1)/3</f>
        <v>763.08333333333337</v>
      </c>
      <c r="BH8" s="188">
        <f>Weather!B176</f>
        <v>0.5</v>
      </c>
      <c r="BI8" s="188">
        <f>Weather!$C176</f>
        <v>100.19999999999999</v>
      </c>
      <c r="BJ8" s="166">
        <f>Employment!B32</f>
        <v>6390.2</v>
      </c>
      <c r="BK8" s="188">
        <f>Employment!$C32</f>
        <v>145.19999999999999</v>
      </c>
      <c r="BL8" s="188">
        <f>Employment!D32</f>
        <v>539388</v>
      </c>
      <c r="BM8" s="188">
        <f t="shared" si="15"/>
        <v>7</v>
      </c>
      <c r="BN8" s="188">
        <v>0</v>
      </c>
      <c r="BO8" s="188">
        <v>0</v>
      </c>
      <c r="BP8" s="188">
        <v>0</v>
      </c>
      <c r="BQ8" s="188">
        <v>0</v>
      </c>
      <c r="BR8" s="188">
        <v>0</v>
      </c>
      <c r="BS8" s="188">
        <v>0</v>
      </c>
      <c r="BT8" s="188">
        <v>1</v>
      </c>
      <c r="BU8" s="188">
        <v>0</v>
      </c>
      <c r="BV8" s="188">
        <v>0</v>
      </c>
      <c r="BW8" s="188">
        <v>0</v>
      </c>
      <c r="BX8" s="188">
        <v>0</v>
      </c>
      <c r="BY8" s="188">
        <v>0</v>
      </c>
      <c r="BZ8" s="188">
        <v>0</v>
      </c>
      <c r="CA8" s="188">
        <v>0</v>
      </c>
      <c r="CB8" s="188">
        <f t="shared" si="16"/>
        <v>0</v>
      </c>
      <c r="CC8" s="188">
        <v>31</v>
      </c>
      <c r="CD8" s="121">
        <v>22</v>
      </c>
    </row>
    <row r="9" spans="1:82" s="188" customFormat="1" ht="15">
      <c r="A9" s="190">
        <v>40026</v>
      </c>
      <c r="B9" s="191">
        <f t="shared" si="0"/>
        <v>2009</v>
      </c>
      <c r="C9" s="186">
        <v>63511578.137904003</v>
      </c>
      <c r="D9" s="88">
        <f>('Customer Data'!$B32+'Customer Data'!$B35*2)/3</f>
        <v>76318.333333333328</v>
      </c>
      <c r="E9" s="188">
        <f ca="1">HLOOKUP($B9,CDM!$B$1:$Q$22,11,FALSE)/12</f>
        <v>1075449.6079265794</v>
      </c>
      <c r="F9" s="189">
        <f t="shared" ca="1" si="1"/>
        <v>64587027.745830581</v>
      </c>
      <c r="G9" s="186">
        <v>20273319.841205001</v>
      </c>
      <c r="H9" s="88">
        <f>('Customer Data'!$C32+'Customer Data'!$C35*2)/3</f>
        <v>6967</v>
      </c>
      <c r="I9" s="188">
        <f ca="1">HLOOKUP($B9,CDM!$B$1:$Q$22,12,FALSE)/12</f>
        <v>250404.5701168763</v>
      </c>
      <c r="J9" s="188">
        <f t="shared" ca="1" si="2"/>
        <v>20523724.411321878</v>
      </c>
      <c r="K9" s="186">
        <v>78928045.452275991</v>
      </c>
      <c r="L9" s="186">
        <v>207933.41100600001</v>
      </c>
      <c r="M9" s="88">
        <f>('Customer Data'!$D32+'Customer Data'!$D35*2)/3</f>
        <v>1168.6666666666667</v>
      </c>
      <c r="N9" s="126">
        <f ca="1">HLOOKUP($B9,CDM!$B$1:$Q$22,13,FALSE)/12</f>
        <v>277232.11055284267</v>
      </c>
      <c r="O9" s="188">
        <f t="shared" ca="1" si="9"/>
        <v>79205277.562828839</v>
      </c>
      <c r="P9" s="188">
        <f t="shared" si="3"/>
        <v>207933.41100600001</v>
      </c>
      <c r="Q9" s="188">
        <v>85957.916546207955</v>
      </c>
      <c r="R9" s="188">
        <v>390.7</v>
      </c>
      <c r="S9" s="229">
        <v>0</v>
      </c>
      <c r="T9" s="189">
        <f t="shared" ca="1" si="10"/>
        <v>79119319.646282628</v>
      </c>
      <c r="U9" s="156">
        <f t="shared" si="11"/>
        <v>207542.711006</v>
      </c>
      <c r="V9" s="186">
        <v>4185937.0571420002</v>
      </c>
      <c r="W9" s="186">
        <v>11256.34455</v>
      </c>
      <c r="X9" s="88">
        <f>('Customer Data'!$E32+'Customer Data'!$E35*2)/3</f>
        <v>3</v>
      </c>
      <c r="Y9" s="126">
        <f ca="1">HLOOKUP($B9,CDM!$B$1:$Q$22,14,FALSE)/12</f>
        <v>0</v>
      </c>
      <c r="Z9" s="188">
        <f t="shared" ca="1" si="12"/>
        <v>4185937.0571420002</v>
      </c>
      <c r="AA9" s="186">
        <v>25408029.314557001</v>
      </c>
      <c r="AB9" s="186">
        <v>47055.859939000002</v>
      </c>
      <c r="AC9" s="88">
        <f>('Customer Data'!$F32+'Customer Data'!$F35*2)/3</f>
        <v>6</v>
      </c>
      <c r="AD9" s="126">
        <f ca="1">HLOOKUP($B9,CDM!$B$1:$Q$22,15,FALSE)/12</f>
        <v>0</v>
      </c>
      <c r="AE9" s="188">
        <f t="shared" ca="1" si="4"/>
        <v>25408029.314557001</v>
      </c>
      <c r="AF9" s="186">
        <v>36943609.448458999</v>
      </c>
      <c r="AG9" s="186">
        <v>69928.301123999991</v>
      </c>
      <c r="AH9" s="88">
        <f>('Customer Data'!$G32+'Customer Data'!$G35*2)/3</f>
        <v>3</v>
      </c>
      <c r="AI9" s="126">
        <f ca="1">HLOOKUP($B9,CDM!$B$1:$Q$22,16,FALSE)/12</f>
        <v>0</v>
      </c>
      <c r="AJ9" s="188">
        <f t="shared" ca="1" si="5"/>
        <v>27020607.547015496</v>
      </c>
      <c r="AK9" s="188">
        <f t="shared" si="6"/>
        <v>50311.501123999988</v>
      </c>
      <c r="AL9" s="188">
        <v>9923001.9014435057</v>
      </c>
      <c r="AM9" s="188">
        <v>19616.8</v>
      </c>
      <c r="AN9" s="156">
        <v>2535934.2576529845</v>
      </c>
      <c r="AO9" s="156">
        <v>5886.8</v>
      </c>
      <c r="AP9" s="156">
        <v>0</v>
      </c>
      <c r="AQ9" s="156">
        <f t="shared" ca="1" si="13"/>
        <v>22872095.056904018</v>
      </c>
      <c r="AR9" s="156">
        <f t="shared" si="14"/>
        <v>41169.059938999999</v>
      </c>
      <c r="AS9" s="186">
        <v>4398591.1622059997</v>
      </c>
      <c r="AT9" s="186">
        <v>8831.1167999999998</v>
      </c>
      <c r="AU9" s="88">
        <f>('Customer Data'!$H32+'Customer Data'!$H35*2)/3</f>
        <v>1</v>
      </c>
      <c r="AV9" s="126">
        <f ca="1">HLOOKUP($B9,CDM!$B$1:$Q$22,17,FALSE)/12</f>
        <v>0</v>
      </c>
      <c r="AW9" s="188">
        <f t="shared" ca="1" si="7"/>
        <v>4398591.1622059997</v>
      </c>
      <c r="AX9" s="105">
        <v>1226621.7047999999</v>
      </c>
      <c r="AY9" s="105">
        <v>4062.21</v>
      </c>
      <c r="AZ9" s="88">
        <f>('Customer Data'!$I32+'Customer Data'!$I35*2)/3</f>
        <v>23423.666666666668</v>
      </c>
      <c r="BA9" s="126">
        <f ca="1">HLOOKUP($B9,CDM!$B$1:$Q$22,18,FALSE)/12</f>
        <v>0</v>
      </c>
      <c r="BB9" s="188">
        <f t="shared" ca="1" si="8"/>
        <v>4062.21</v>
      </c>
      <c r="BC9" s="186">
        <v>84021.163832000006</v>
      </c>
      <c r="BD9" s="186">
        <v>222.168744</v>
      </c>
      <c r="BE9" s="188">
        <f>('Customer Data'!$J32*1+'Customer Data'!$J35*2)/3</f>
        <v>660.66666666666663</v>
      </c>
      <c r="BF9" s="105">
        <v>359312.97703800001</v>
      </c>
      <c r="BG9" s="188">
        <f>('Customer Data'!$K32*1+'Customer Data'!$K35*2)/3</f>
        <v>763.66666666666663</v>
      </c>
      <c r="BH9" s="188">
        <f>Weather!B177</f>
        <v>5.9</v>
      </c>
      <c r="BI9" s="188">
        <f>Weather!$C177</f>
        <v>133.4</v>
      </c>
      <c r="BJ9" s="166">
        <f>Employment!B33</f>
        <v>6401</v>
      </c>
      <c r="BK9" s="188">
        <f>Employment!$C33</f>
        <v>145.30000000000001</v>
      </c>
      <c r="BL9" s="188">
        <f>Employment!D33</f>
        <v>539388</v>
      </c>
      <c r="BM9" s="188">
        <f t="shared" si="15"/>
        <v>8</v>
      </c>
      <c r="BN9" s="188">
        <v>0</v>
      </c>
      <c r="BO9" s="188">
        <v>0</v>
      </c>
      <c r="BP9" s="188">
        <v>0</v>
      </c>
      <c r="BQ9" s="188">
        <v>0</v>
      </c>
      <c r="BR9" s="188">
        <v>0</v>
      </c>
      <c r="BS9" s="188">
        <v>0</v>
      </c>
      <c r="BT9" s="188">
        <v>0</v>
      </c>
      <c r="BU9" s="188">
        <v>1</v>
      </c>
      <c r="BV9" s="188">
        <v>0</v>
      </c>
      <c r="BW9" s="188">
        <v>0</v>
      </c>
      <c r="BX9" s="188">
        <v>0</v>
      </c>
      <c r="BY9" s="188">
        <v>0</v>
      </c>
      <c r="BZ9" s="188">
        <v>0</v>
      </c>
      <c r="CA9" s="188">
        <v>0</v>
      </c>
      <c r="CB9" s="188">
        <f t="shared" si="16"/>
        <v>0</v>
      </c>
      <c r="CC9" s="188">
        <v>31</v>
      </c>
      <c r="CD9" s="121">
        <v>20</v>
      </c>
    </row>
    <row r="10" spans="1:82" s="188" customFormat="1" ht="15">
      <c r="A10" s="190">
        <v>40057</v>
      </c>
      <c r="B10" s="191">
        <f t="shared" si="0"/>
        <v>2009</v>
      </c>
      <c r="C10" s="186">
        <v>48194983.345829003</v>
      </c>
      <c r="D10" s="88">
        <f>'Customer Data'!$B35</f>
        <v>76373</v>
      </c>
      <c r="E10" s="188">
        <f ca="1">HLOOKUP($B10,CDM!$B$1:$Q$22,11,FALSE)/12</f>
        <v>1075449.6079265794</v>
      </c>
      <c r="F10" s="189">
        <f t="shared" ca="1" si="1"/>
        <v>49270432.95375558</v>
      </c>
      <c r="G10" s="186">
        <v>17906682.496003002</v>
      </c>
      <c r="H10" s="88">
        <f>'Customer Data'!$C35</f>
        <v>6971</v>
      </c>
      <c r="I10" s="188">
        <f ca="1">HLOOKUP($B10,CDM!$B$1:$Q$22,12,FALSE)/12</f>
        <v>250404.5701168763</v>
      </c>
      <c r="J10" s="188">
        <f t="shared" ca="1" si="2"/>
        <v>18157087.066119879</v>
      </c>
      <c r="K10" s="186">
        <v>74782132.949931994</v>
      </c>
      <c r="L10" s="186">
        <v>205151.00870399998</v>
      </c>
      <c r="M10" s="88">
        <f>'Customer Data'!$D35</f>
        <v>1164</v>
      </c>
      <c r="N10" s="126">
        <f ca="1">HLOOKUP($B10,CDM!$B$1:$Q$22,13,FALSE)/12</f>
        <v>277232.11055284267</v>
      </c>
      <c r="O10" s="188">
        <f t="shared" ca="1" si="9"/>
        <v>75059365.060484841</v>
      </c>
      <c r="P10" s="188">
        <f t="shared" si="3"/>
        <v>205151.00870399998</v>
      </c>
      <c r="Q10" s="188">
        <v>134378.46198323215</v>
      </c>
      <c r="R10" s="188">
        <v>385.8</v>
      </c>
      <c r="S10" s="229">
        <v>0</v>
      </c>
      <c r="T10" s="189">
        <f t="shared" ca="1" si="10"/>
        <v>74924986.598501608</v>
      </c>
      <c r="U10" s="156">
        <f t="shared" si="11"/>
        <v>204765.20870399999</v>
      </c>
      <c r="V10" s="186">
        <v>4066294.1067980002</v>
      </c>
      <c r="W10" s="186">
        <v>10969.680492</v>
      </c>
      <c r="X10" s="88">
        <f>'Customer Data'!$E35</f>
        <v>3</v>
      </c>
      <c r="Y10" s="126">
        <f ca="1">HLOOKUP($B10,CDM!$B$1:$Q$22,14,FALSE)/12</f>
        <v>0</v>
      </c>
      <c r="Z10" s="188">
        <f t="shared" ca="1" si="12"/>
        <v>4066294.1067980002</v>
      </c>
      <c r="AA10" s="186">
        <v>24750387.851640001</v>
      </c>
      <c r="AB10" s="186">
        <v>51255.790964</v>
      </c>
      <c r="AC10" s="88">
        <f>'Customer Data'!$F35</f>
        <v>6</v>
      </c>
      <c r="AD10" s="126">
        <f ca="1">HLOOKUP($B10,CDM!$B$1:$Q$22,15,FALSE)/12</f>
        <v>0</v>
      </c>
      <c r="AE10" s="188">
        <f t="shared" ca="1" si="4"/>
        <v>24750387.851640001</v>
      </c>
      <c r="AF10" s="186">
        <v>35013498.829303995</v>
      </c>
      <c r="AG10" s="186">
        <v>67394.66085</v>
      </c>
      <c r="AH10" s="88">
        <f>'Customer Data'!$G35</f>
        <v>3</v>
      </c>
      <c r="AI10" s="126">
        <f ca="1">HLOOKUP($B10,CDM!$B$1:$Q$22,16,FALSE)/12</f>
        <v>0</v>
      </c>
      <c r="AJ10" s="188">
        <f t="shared" ref="AJ10:AJ30" ca="1" si="17">AF10+AI10-AL10</f>
        <v>26398389.202624053</v>
      </c>
      <c r="AK10" s="188">
        <f t="shared" si="6"/>
        <v>48312.16085</v>
      </c>
      <c r="AL10" s="188">
        <v>8615109.6266799401</v>
      </c>
      <c r="AM10" s="188">
        <v>19082.5</v>
      </c>
      <c r="AN10" s="156">
        <v>4062001.9998788447</v>
      </c>
      <c r="AO10" s="156">
        <v>7766.1</v>
      </c>
      <c r="AP10" s="156">
        <v>0</v>
      </c>
      <c r="AQ10" s="156">
        <f t="shared" ca="1" si="13"/>
        <v>20688385.851761155</v>
      </c>
      <c r="AR10" s="156">
        <f t="shared" si="14"/>
        <v>43489.690964000001</v>
      </c>
      <c r="AS10" s="186">
        <v>4631057.505314</v>
      </c>
      <c r="AT10" s="186">
        <v>8438.7916800000003</v>
      </c>
      <c r="AU10" s="88">
        <f>'Customer Data'!$H35</f>
        <v>1</v>
      </c>
      <c r="AV10" s="126">
        <f ca="1">HLOOKUP($B10,CDM!$B$1:$Q$22,17,FALSE)/12</f>
        <v>0</v>
      </c>
      <c r="AW10" s="188">
        <f t="shared" ca="1" si="7"/>
        <v>4631057.505314</v>
      </c>
      <c r="AX10" s="105">
        <v>1347223.4318059999</v>
      </c>
      <c r="AY10" s="105">
        <v>4062.21</v>
      </c>
      <c r="AZ10" s="88">
        <f>'Customer Data'!$I35</f>
        <v>23425</v>
      </c>
      <c r="BA10" s="126">
        <f ca="1">HLOOKUP($B10,CDM!$B$1:$Q$22,18,FALSE)/12</f>
        <v>0</v>
      </c>
      <c r="BB10" s="188">
        <f t="shared" ca="1" si="8"/>
        <v>4062.21</v>
      </c>
      <c r="BC10" s="186">
        <v>80800.282554000005</v>
      </c>
      <c r="BD10" s="186">
        <v>260.37668600000001</v>
      </c>
      <c r="BE10" s="188">
        <f>'Customer Data'!$J35</f>
        <v>656.75</v>
      </c>
      <c r="BF10" s="105">
        <v>342814.57739300001</v>
      </c>
      <c r="BG10" s="188">
        <f>'Customer Data'!$K35</f>
        <v>764.25</v>
      </c>
      <c r="BH10" s="188">
        <f>Weather!B178</f>
        <v>26.2</v>
      </c>
      <c r="BI10" s="188">
        <f>Weather!$C178</f>
        <v>54.699999999999989</v>
      </c>
      <c r="BJ10" s="166">
        <f>Employment!B34</f>
        <v>6421.2</v>
      </c>
      <c r="BK10" s="188">
        <f>Employment!$C34</f>
        <v>145.6</v>
      </c>
      <c r="BL10" s="188">
        <f>Employment!D34</f>
        <v>539388</v>
      </c>
      <c r="BM10" s="188">
        <f t="shared" si="15"/>
        <v>9</v>
      </c>
      <c r="BN10" s="188">
        <v>0</v>
      </c>
      <c r="BO10" s="188">
        <v>0</v>
      </c>
      <c r="BP10" s="188">
        <v>0</v>
      </c>
      <c r="BQ10" s="188">
        <v>0</v>
      </c>
      <c r="BR10" s="188">
        <v>0</v>
      </c>
      <c r="BS10" s="188">
        <v>0</v>
      </c>
      <c r="BT10" s="188">
        <v>0</v>
      </c>
      <c r="BU10" s="188">
        <v>0</v>
      </c>
      <c r="BV10" s="188">
        <v>1</v>
      </c>
      <c r="BW10" s="188">
        <v>0</v>
      </c>
      <c r="BX10" s="188">
        <v>0</v>
      </c>
      <c r="BY10" s="188">
        <v>0</v>
      </c>
      <c r="BZ10" s="188">
        <v>0</v>
      </c>
      <c r="CA10" s="188">
        <v>1</v>
      </c>
      <c r="CB10" s="188">
        <f t="shared" si="16"/>
        <v>1</v>
      </c>
      <c r="CC10" s="188">
        <v>30</v>
      </c>
      <c r="CD10" s="121">
        <v>21</v>
      </c>
    </row>
    <row r="11" spans="1:82" s="188" customFormat="1" ht="15">
      <c r="A11" s="190">
        <v>40087</v>
      </c>
      <c r="B11" s="191">
        <f t="shared" si="0"/>
        <v>2009</v>
      </c>
      <c r="C11" s="186">
        <v>44007844.352181002</v>
      </c>
      <c r="D11" s="88">
        <f>('Customer Data'!$B35*2+'Customer Data'!$B38)/3</f>
        <v>76434</v>
      </c>
      <c r="E11" s="188">
        <f ca="1">HLOOKUP($B11,CDM!$B$1:$Q$22,11,FALSE)/12</f>
        <v>1075449.6079265794</v>
      </c>
      <c r="F11" s="189">
        <f t="shared" ca="1" si="1"/>
        <v>45083293.96010758</v>
      </c>
      <c r="G11" s="186">
        <v>17086880.610580001</v>
      </c>
      <c r="H11" s="88">
        <f>('Customer Data'!$C35*2+'Customer Data'!$C38)/3</f>
        <v>6959.666666666667</v>
      </c>
      <c r="I11" s="188">
        <f ca="1">HLOOKUP($B11,CDM!$B$1:$Q$22,12,FALSE)/12</f>
        <v>250404.5701168763</v>
      </c>
      <c r="J11" s="188">
        <f t="shared" ca="1" si="2"/>
        <v>17337285.180696879</v>
      </c>
      <c r="K11" s="186">
        <v>74201377.515612006</v>
      </c>
      <c r="L11" s="186">
        <v>195682.66140499999</v>
      </c>
      <c r="M11" s="88">
        <f>('Customer Data'!$D35*2+'Customer Data'!$D38)/3</f>
        <v>1167</v>
      </c>
      <c r="N11" s="126">
        <f ca="1">HLOOKUP($B11,CDM!$B$1:$Q$22,13,FALSE)/12</f>
        <v>277232.11055284267</v>
      </c>
      <c r="O11" s="188">
        <f t="shared" ca="1" si="9"/>
        <v>74478609.626164854</v>
      </c>
      <c r="P11" s="188">
        <f t="shared" si="3"/>
        <v>195682.66140499999</v>
      </c>
      <c r="Q11" s="188">
        <v>192105.08817577333</v>
      </c>
      <c r="R11" s="188">
        <v>437.7</v>
      </c>
      <c r="S11" s="229">
        <v>0</v>
      </c>
      <c r="T11" s="189">
        <f t="shared" ca="1" si="10"/>
        <v>74286504.53798908</v>
      </c>
      <c r="U11" s="156">
        <f t="shared" si="11"/>
        <v>195244.96140499998</v>
      </c>
      <c r="V11" s="186">
        <v>4216044.9663699996</v>
      </c>
      <c r="W11" s="186">
        <v>10083.559886999999</v>
      </c>
      <c r="X11" s="88">
        <f>('Customer Data'!$E35*2+'Customer Data'!$E38)/3</f>
        <v>3</v>
      </c>
      <c r="Y11" s="126">
        <f ca="1">HLOOKUP($B11,CDM!$B$1:$Q$22,14,FALSE)/12</f>
        <v>0</v>
      </c>
      <c r="Z11" s="188">
        <f t="shared" ca="1" si="12"/>
        <v>4216044.9663699996</v>
      </c>
      <c r="AA11" s="186">
        <v>22390724.243762001</v>
      </c>
      <c r="AB11" s="186">
        <v>44786.903130999999</v>
      </c>
      <c r="AC11" s="88">
        <f>('Customer Data'!$F35*2+'Customer Data'!$F38)/3</f>
        <v>6</v>
      </c>
      <c r="AD11" s="126">
        <f ca="1">HLOOKUP($B11,CDM!$B$1:$Q$22,15,FALSE)/12</f>
        <v>0</v>
      </c>
      <c r="AE11" s="188">
        <f t="shared" ca="1" si="4"/>
        <v>22390724.243762001</v>
      </c>
      <c r="AF11" s="186">
        <v>30456575.965140998</v>
      </c>
      <c r="AG11" s="186">
        <v>58704.489557999994</v>
      </c>
      <c r="AH11" s="88">
        <f>('Customer Data'!$G35*2+'Customer Data'!$G38)/3</f>
        <v>3</v>
      </c>
      <c r="AI11" s="126">
        <f ca="1">HLOOKUP($B11,CDM!$B$1:$Q$22,16,FALSE)/12</f>
        <v>0</v>
      </c>
      <c r="AJ11" s="188">
        <f t="shared" ca="1" si="17"/>
        <v>22884672.879028503</v>
      </c>
      <c r="AK11" s="188">
        <f t="shared" si="6"/>
        <v>41685.389557999995</v>
      </c>
      <c r="AL11" s="188">
        <v>7571903.0861124946</v>
      </c>
      <c r="AM11" s="188">
        <v>17019.099999999999</v>
      </c>
      <c r="AN11" s="156">
        <v>4019896.4276685282</v>
      </c>
      <c r="AO11" s="156">
        <v>7908.3</v>
      </c>
      <c r="AP11" s="156">
        <v>0</v>
      </c>
      <c r="AQ11" s="156">
        <f t="shared" ca="1" si="13"/>
        <v>18370827.816093475</v>
      </c>
      <c r="AR11" s="156">
        <f t="shared" si="14"/>
        <v>36878.603130999996</v>
      </c>
      <c r="AS11" s="186">
        <v>4864540.398244</v>
      </c>
      <c r="AT11" s="186">
        <v>7631.7120000000004</v>
      </c>
      <c r="AU11" s="88">
        <f>('Customer Data'!$H35*2+'Customer Data'!$H38)/3</f>
        <v>1</v>
      </c>
      <c r="AV11" s="126">
        <f ca="1">HLOOKUP($B11,CDM!$B$1:$Q$22,17,FALSE)/12</f>
        <v>0</v>
      </c>
      <c r="AW11" s="188">
        <f t="shared" ca="1" si="7"/>
        <v>4864540.398244</v>
      </c>
      <c r="AX11" s="105">
        <v>1603120.4157710001</v>
      </c>
      <c r="AY11" s="105">
        <v>4062.21</v>
      </c>
      <c r="AZ11" s="88">
        <f>('Customer Data'!$I35*2+'Customer Data'!$I38)/3</f>
        <v>23426.333333333332</v>
      </c>
      <c r="BA11" s="126">
        <f ca="1">HLOOKUP($B11,CDM!$B$1:$Q$22,18,FALSE)/12</f>
        <v>0</v>
      </c>
      <c r="BB11" s="188">
        <f t="shared" ca="1" si="8"/>
        <v>4062.21</v>
      </c>
      <c r="BC11" s="186">
        <v>82535.502481000003</v>
      </c>
      <c r="BD11" s="186">
        <v>230.28392700000001</v>
      </c>
      <c r="BE11" s="188">
        <f>('Customer Data'!$J35*2+'Customer Data'!$J38*1)/3</f>
        <v>652.83333333333337</v>
      </c>
      <c r="BF11" s="105">
        <v>354203.267269</v>
      </c>
      <c r="BG11" s="188">
        <f>('Customer Data'!$K35*2+'Customer Data'!$K38*1)/3</f>
        <v>764.83333333333337</v>
      </c>
      <c r="BH11" s="188">
        <f>Weather!B179</f>
        <v>230.79999999999995</v>
      </c>
      <c r="BI11" s="188">
        <f>Weather!$C179</f>
        <v>0</v>
      </c>
      <c r="BJ11" s="166">
        <f>Employment!B35</f>
        <v>6438.2</v>
      </c>
      <c r="BK11" s="188">
        <f>Employment!$C35</f>
        <v>146.30000000000001</v>
      </c>
      <c r="BL11" s="188">
        <f>Employment!D35</f>
        <v>539388</v>
      </c>
      <c r="BM11" s="188">
        <f t="shared" si="15"/>
        <v>10</v>
      </c>
      <c r="BN11" s="188">
        <v>0</v>
      </c>
      <c r="BO11" s="188">
        <v>0</v>
      </c>
      <c r="BP11" s="188">
        <v>0</v>
      </c>
      <c r="BQ11" s="188">
        <v>0</v>
      </c>
      <c r="BR11" s="188">
        <v>0</v>
      </c>
      <c r="BS11" s="188">
        <v>0</v>
      </c>
      <c r="BT11" s="188">
        <v>0</v>
      </c>
      <c r="BU11" s="188">
        <v>0</v>
      </c>
      <c r="BV11" s="188">
        <v>0</v>
      </c>
      <c r="BW11" s="188">
        <v>1</v>
      </c>
      <c r="BX11" s="188">
        <v>0</v>
      </c>
      <c r="BY11" s="188">
        <v>0</v>
      </c>
      <c r="BZ11" s="188">
        <v>0</v>
      </c>
      <c r="CA11" s="188">
        <v>1</v>
      </c>
      <c r="CB11" s="188">
        <f t="shared" si="16"/>
        <v>1</v>
      </c>
      <c r="CC11" s="188">
        <v>31</v>
      </c>
      <c r="CD11" s="121">
        <v>21</v>
      </c>
    </row>
    <row r="12" spans="1:82" s="188" customFormat="1" ht="15">
      <c r="A12" s="190">
        <v>40118</v>
      </c>
      <c r="B12" s="191">
        <f t="shared" si="0"/>
        <v>2009</v>
      </c>
      <c r="C12" s="186">
        <v>44957721.037845999</v>
      </c>
      <c r="D12" s="88">
        <f>('Customer Data'!$B35+'Customer Data'!$B38*2)/3</f>
        <v>76495</v>
      </c>
      <c r="E12" s="188">
        <f ca="1">HLOOKUP($B12,CDM!$B$1:$Q$22,11,FALSE)/12</f>
        <v>1075449.6079265794</v>
      </c>
      <c r="F12" s="189">
        <f t="shared" ca="1" si="1"/>
        <v>46033170.645772576</v>
      </c>
      <c r="G12" s="186">
        <v>17230760.933817998</v>
      </c>
      <c r="H12" s="88">
        <f>('Customer Data'!$C35+'Customer Data'!$C38*2)/3</f>
        <v>6948.333333333333</v>
      </c>
      <c r="I12" s="188">
        <f ca="1">HLOOKUP($B12,CDM!$B$1:$Q$22,12,FALSE)/12</f>
        <v>250404.5701168763</v>
      </c>
      <c r="J12" s="188">
        <f t="shared" ca="1" si="2"/>
        <v>17481165.503934875</v>
      </c>
      <c r="K12" s="186">
        <v>73819796.218813986</v>
      </c>
      <c r="L12" s="186">
        <v>186162.88486600001</v>
      </c>
      <c r="M12" s="88">
        <f>('Customer Data'!$D35+'Customer Data'!$D38*2)/3</f>
        <v>1170</v>
      </c>
      <c r="N12" s="126">
        <f ca="1">HLOOKUP($B12,CDM!$B$1:$Q$22,13,FALSE)/12</f>
        <v>277232.11055284267</v>
      </c>
      <c r="O12" s="188">
        <f t="shared" ca="1" si="9"/>
        <v>74097028.329366833</v>
      </c>
      <c r="P12" s="188">
        <f t="shared" si="3"/>
        <v>186162.88486600001</v>
      </c>
      <c r="Q12" s="188">
        <v>182501.73460537725</v>
      </c>
      <c r="R12" s="188">
        <v>455.1</v>
      </c>
      <c r="S12" s="229">
        <v>0</v>
      </c>
      <c r="T12" s="189">
        <f t="shared" ca="1" si="10"/>
        <v>73914526.594761461</v>
      </c>
      <c r="U12" s="156">
        <f t="shared" si="11"/>
        <v>185707.784866</v>
      </c>
      <c r="V12" s="186">
        <v>4135261.855149</v>
      </c>
      <c r="W12" s="186">
        <v>10404.144387</v>
      </c>
      <c r="X12" s="88">
        <f>('Customer Data'!$E35+'Customer Data'!$E38*2)/3</f>
        <v>3</v>
      </c>
      <c r="Y12" s="126">
        <f ca="1">HLOOKUP($B12,CDM!$B$1:$Q$22,14,FALSE)/12</f>
        <v>0</v>
      </c>
      <c r="Z12" s="188">
        <f t="shared" ca="1" si="12"/>
        <v>4135261.855149</v>
      </c>
      <c r="AA12" s="186">
        <v>21830185.762596998</v>
      </c>
      <c r="AB12" s="186">
        <v>40308.236179000007</v>
      </c>
      <c r="AC12" s="88">
        <f>('Customer Data'!$F35+'Customer Data'!$F38*2)/3</f>
        <v>6</v>
      </c>
      <c r="AD12" s="126">
        <f ca="1">HLOOKUP($B12,CDM!$B$1:$Q$22,15,FALSE)/12</f>
        <v>0</v>
      </c>
      <c r="AE12" s="188">
        <f t="shared" ca="1" si="4"/>
        <v>21830185.762596998</v>
      </c>
      <c r="AF12" s="186">
        <v>28595255.326694999</v>
      </c>
      <c r="AG12" s="186">
        <v>58313.377980000005</v>
      </c>
      <c r="AH12" s="88">
        <f>('Customer Data'!$G35+'Customer Data'!$G38*2)/3</f>
        <v>3</v>
      </c>
      <c r="AI12" s="126">
        <f ca="1">HLOOKUP($B12,CDM!$B$1:$Q$22,16,FALSE)/12</f>
        <v>0</v>
      </c>
      <c r="AJ12" s="188">
        <f t="shared" ca="1" si="17"/>
        <v>22313100.563131034</v>
      </c>
      <c r="AK12" s="188">
        <f t="shared" si="6"/>
        <v>41292.077980000002</v>
      </c>
      <c r="AL12" s="188">
        <v>6282154.7635639627</v>
      </c>
      <c r="AM12" s="188">
        <v>17021.3</v>
      </c>
      <c r="AN12" s="156">
        <v>3933026.0614469298</v>
      </c>
      <c r="AO12" s="156">
        <v>7871.2</v>
      </c>
      <c r="AP12" s="156">
        <v>0</v>
      </c>
      <c r="AQ12" s="156">
        <f t="shared" ca="1" si="13"/>
        <v>17897159.701150067</v>
      </c>
      <c r="AR12" s="156">
        <f t="shared" si="14"/>
        <v>32437.036179000006</v>
      </c>
      <c r="AS12" s="186">
        <v>4320540.5294300001</v>
      </c>
      <c r="AT12" s="186">
        <v>7491.8141100000003</v>
      </c>
      <c r="AU12" s="88">
        <f>('Customer Data'!$H35+'Customer Data'!$H38*2)/3</f>
        <v>1</v>
      </c>
      <c r="AV12" s="126">
        <f ca="1">HLOOKUP($B12,CDM!$B$1:$Q$22,17,FALSE)/12</f>
        <v>0</v>
      </c>
      <c r="AW12" s="188">
        <f t="shared" ca="1" si="7"/>
        <v>4320540.5294300001</v>
      </c>
      <c r="AX12" s="105">
        <v>1685112.8427639999</v>
      </c>
      <c r="AY12" s="105">
        <v>4062.21</v>
      </c>
      <c r="AZ12" s="88">
        <f>('Customer Data'!$I35+'Customer Data'!$I38*2)/3</f>
        <v>23427.666666666668</v>
      </c>
      <c r="BA12" s="126">
        <f ca="1">HLOOKUP($B12,CDM!$B$1:$Q$22,18,FALSE)/12</f>
        <v>0</v>
      </c>
      <c r="BB12" s="188">
        <f t="shared" ca="1" si="8"/>
        <v>4062.21</v>
      </c>
      <c r="BC12" s="186">
        <v>79499.053285999995</v>
      </c>
      <c r="BD12" s="186">
        <v>221.878389</v>
      </c>
      <c r="BE12" s="188">
        <f>('Customer Data'!$J35*1+'Customer Data'!$J38*2)/3</f>
        <v>648.91666666666663</v>
      </c>
      <c r="BF12" s="105">
        <v>342776.31890299998</v>
      </c>
      <c r="BG12" s="188">
        <f>('Customer Data'!$K35*1+'Customer Data'!$K38*2)/3</f>
        <v>765.41666666666663</v>
      </c>
      <c r="BH12" s="188">
        <f>Weather!B180</f>
        <v>305.49999999999989</v>
      </c>
      <c r="BI12" s="188">
        <f>Weather!$C180</f>
        <v>0</v>
      </c>
      <c r="BJ12" s="166">
        <f>Employment!B36</f>
        <v>6454</v>
      </c>
      <c r="BK12" s="188">
        <f>Employment!$C36</f>
        <v>146.4</v>
      </c>
      <c r="BL12" s="188">
        <f>Employment!D36</f>
        <v>539388</v>
      </c>
      <c r="BM12" s="188">
        <f t="shared" si="15"/>
        <v>11</v>
      </c>
      <c r="BN12" s="188">
        <v>0</v>
      </c>
      <c r="BO12" s="188">
        <v>0</v>
      </c>
      <c r="BP12" s="188">
        <v>0</v>
      </c>
      <c r="BQ12" s="188">
        <v>0</v>
      </c>
      <c r="BR12" s="188">
        <v>0</v>
      </c>
      <c r="BS12" s="188">
        <v>0</v>
      </c>
      <c r="BT12" s="188">
        <v>0</v>
      </c>
      <c r="BU12" s="188">
        <v>0</v>
      </c>
      <c r="BV12" s="188">
        <v>0</v>
      </c>
      <c r="BW12" s="188">
        <v>0</v>
      </c>
      <c r="BX12" s="188">
        <v>1</v>
      </c>
      <c r="BY12" s="188">
        <v>0</v>
      </c>
      <c r="BZ12" s="188">
        <v>0</v>
      </c>
      <c r="CA12" s="188">
        <v>1</v>
      </c>
      <c r="CB12" s="188">
        <f t="shared" si="16"/>
        <v>1</v>
      </c>
      <c r="CC12" s="188">
        <v>30</v>
      </c>
      <c r="CD12" s="121">
        <v>21</v>
      </c>
    </row>
    <row r="13" spans="1:82" s="188" customFormat="1" ht="15">
      <c r="A13" s="190">
        <v>40148</v>
      </c>
      <c r="B13" s="191">
        <f t="shared" si="0"/>
        <v>2009</v>
      </c>
      <c r="C13" s="186">
        <v>55518999.584835999</v>
      </c>
      <c r="D13" s="88">
        <f>'Customer Data'!$B38</f>
        <v>76556</v>
      </c>
      <c r="E13" s="188">
        <f ca="1">HLOOKUP($B13,CDM!$B$1:$Q$22,11,FALSE)/12</f>
        <v>1075449.6079265794</v>
      </c>
      <c r="F13" s="189">
        <f t="shared" ca="1" si="1"/>
        <v>56594449.192762576</v>
      </c>
      <c r="G13" s="186">
        <v>19209266.812937997</v>
      </c>
      <c r="H13" s="88">
        <f>'Customer Data'!$C38</f>
        <v>6937</v>
      </c>
      <c r="I13" s="188">
        <f ca="1">HLOOKUP($B13,CDM!$B$1:$Q$22,12,FALSE)/12</f>
        <v>250404.5701168763</v>
      </c>
      <c r="J13" s="188">
        <f t="shared" ca="1" si="2"/>
        <v>19459671.383054875</v>
      </c>
      <c r="K13" s="186">
        <v>80459051.844397992</v>
      </c>
      <c r="L13" s="186">
        <v>192032.75099899998</v>
      </c>
      <c r="M13" s="88">
        <f>'Customer Data'!$D38</f>
        <v>1173</v>
      </c>
      <c r="N13" s="126">
        <f ca="1">HLOOKUP($B13,CDM!$B$1:$Q$22,13,FALSE)/12</f>
        <v>277232.11055284267</v>
      </c>
      <c r="O13" s="188">
        <f t="shared" ca="1" si="9"/>
        <v>80736283.954950839</v>
      </c>
      <c r="P13" s="188">
        <f t="shared" si="3"/>
        <v>192032.75099899998</v>
      </c>
      <c r="Q13" s="188">
        <v>189280.35077575405</v>
      </c>
      <c r="R13" s="188">
        <v>442.3</v>
      </c>
      <c r="S13" s="229">
        <v>0</v>
      </c>
      <c r="T13" s="189">
        <f t="shared" ca="1" si="10"/>
        <v>80547003.604175091</v>
      </c>
      <c r="U13" s="156">
        <f t="shared" si="11"/>
        <v>191590.45099899999</v>
      </c>
      <c r="V13" s="186">
        <v>4139276.0675209998</v>
      </c>
      <c r="W13" s="186">
        <v>10382.826086999999</v>
      </c>
      <c r="X13" s="88">
        <f>'Customer Data'!$E38</f>
        <v>3</v>
      </c>
      <c r="Y13" s="126">
        <f ca="1">HLOOKUP($B13,CDM!$B$1:$Q$22,14,FALSE)/12</f>
        <v>0</v>
      </c>
      <c r="Z13" s="188">
        <f t="shared" ca="1" si="12"/>
        <v>4139276.0675209998</v>
      </c>
      <c r="AA13" s="186">
        <v>22001519.052356999</v>
      </c>
      <c r="AB13" s="186">
        <v>43515.649263000007</v>
      </c>
      <c r="AC13" s="88">
        <f>'Customer Data'!$F38</f>
        <v>6</v>
      </c>
      <c r="AD13" s="126">
        <f ca="1">HLOOKUP($B13,CDM!$B$1:$Q$22,15,FALSE)/12</f>
        <v>0</v>
      </c>
      <c r="AE13" s="188">
        <f t="shared" ca="1" si="4"/>
        <v>22001519.052356999</v>
      </c>
      <c r="AF13" s="186">
        <v>26648445.307358999</v>
      </c>
      <c r="AG13" s="186">
        <v>60597.360845999996</v>
      </c>
      <c r="AH13" s="88">
        <f>'Customer Data'!$G38</f>
        <v>3</v>
      </c>
      <c r="AI13" s="126">
        <f ca="1">HLOOKUP($B13,CDM!$B$1:$Q$22,16,FALSE)/12</f>
        <v>0</v>
      </c>
      <c r="AJ13" s="188">
        <f t="shared" ca="1" si="17"/>
        <v>20457056.228215147</v>
      </c>
      <c r="AK13" s="188">
        <f t="shared" si="6"/>
        <v>43502.760845999997</v>
      </c>
      <c r="AL13" s="188">
        <v>6191389.0791438529</v>
      </c>
      <c r="AM13" s="188">
        <v>17094.599999999999</v>
      </c>
      <c r="AN13" s="156">
        <v>3488755.8791228822</v>
      </c>
      <c r="AO13" s="156">
        <v>7998.6</v>
      </c>
      <c r="AP13" s="156">
        <v>0</v>
      </c>
      <c r="AQ13" s="156">
        <f t="shared" ca="1" si="13"/>
        <v>18512763.173234116</v>
      </c>
      <c r="AR13" s="156">
        <f t="shared" si="14"/>
        <v>35517.049263000008</v>
      </c>
      <c r="AS13" s="186">
        <v>3964611.1576149999</v>
      </c>
      <c r="AT13" s="186">
        <v>7718.0083199999999</v>
      </c>
      <c r="AU13" s="88">
        <f>'Customer Data'!$H38</f>
        <v>1</v>
      </c>
      <c r="AV13" s="126">
        <f ca="1">HLOOKUP($B13,CDM!$B$1:$Q$22,17,FALSE)/12</f>
        <v>0</v>
      </c>
      <c r="AW13" s="188">
        <f t="shared" ca="1" si="7"/>
        <v>3964611.1576149999</v>
      </c>
      <c r="AX13" s="105">
        <v>1834952.150751</v>
      </c>
      <c r="AY13" s="105">
        <v>4062.21</v>
      </c>
      <c r="AZ13" s="88">
        <f>'Customer Data'!$I38</f>
        <v>23429</v>
      </c>
      <c r="BA13" s="126">
        <f ca="1">HLOOKUP($B13,CDM!$B$1:$Q$22,18,FALSE)/12</f>
        <v>0</v>
      </c>
      <c r="BB13" s="188">
        <f t="shared" ca="1" si="8"/>
        <v>4062.21</v>
      </c>
      <c r="BC13" s="186">
        <v>82024.741743999999</v>
      </c>
      <c r="BD13" s="186">
        <v>182.18356800000001</v>
      </c>
      <c r="BE13" s="188">
        <f>'Customer Data'!$J38</f>
        <v>645</v>
      </c>
      <c r="BF13" s="105">
        <v>353796.88825800002</v>
      </c>
      <c r="BG13" s="188">
        <f>'Customer Data'!$K38</f>
        <v>766</v>
      </c>
      <c r="BH13" s="188">
        <f>Weather!B181</f>
        <v>582</v>
      </c>
      <c r="BI13" s="188">
        <f>Weather!$C181</f>
        <v>0</v>
      </c>
      <c r="BJ13" s="166">
        <f>Employment!B37</f>
        <v>6458.5</v>
      </c>
      <c r="BK13" s="188">
        <f>Employment!$C37</f>
        <v>147.1</v>
      </c>
      <c r="BL13" s="188">
        <f>Employment!D37</f>
        <v>539388</v>
      </c>
      <c r="BM13" s="188">
        <f t="shared" si="15"/>
        <v>12</v>
      </c>
      <c r="BN13" s="188">
        <v>0</v>
      </c>
      <c r="BO13" s="188">
        <v>0</v>
      </c>
      <c r="BP13" s="188">
        <v>0</v>
      </c>
      <c r="BQ13" s="188">
        <v>0</v>
      </c>
      <c r="BR13" s="188">
        <v>0</v>
      </c>
      <c r="BS13" s="188">
        <v>0</v>
      </c>
      <c r="BT13" s="188">
        <v>0</v>
      </c>
      <c r="BU13" s="188">
        <v>0</v>
      </c>
      <c r="BV13" s="188">
        <v>0</v>
      </c>
      <c r="BW13" s="188">
        <v>0</v>
      </c>
      <c r="BX13" s="188">
        <v>0</v>
      </c>
      <c r="BY13" s="188">
        <v>1</v>
      </c>
      <c r="BZ13" s="188">
        <v>0</v>
      </c>
      <c r="CA13" s="188">
        <v>0</v>
      </c>
      <c r="CB13" s="188">
        <f t="shared" si="16"/>
        <v>0</v>
      </c>
      <c r="CC13" s="188">
        <v>31</v>
      </c>
      <c r="CD13" s="121">
        <v>21</v>
      </c>
    </row>
    <row r="14" spans="1:82" s="188" customFormat="1" ht="15">
      <c r="A14" s="190">
        <v>40179</v>
      </c>
      <c r="B14" s="191">
        <f t="shared" si="0"/>
        <v>2010</v>
      </c>
      <c r="C14" s="186">
        <v>56441192.404555999</v>
      </c>
      <c r="D14" s="88">
        <f>('Customer Data'!$B38*2+'Customer Data'!$B41)/3</f>
        <v>76607</v>
      </c>
      <c r="E14" s="188">
        <f ca="1">HLOOKUP($B14,CDM!$B$1:$Q$22,11,FALSE)/12</f>
        <v>788869.83086232108</v>
      </c>
      <c r="F14" s="189">
        <f t="shared" ca="1" si="1"/>
        <v>57230062.23541832</v>
      </c>
      <c r="G14" s="186">
        <v>19788939.833425</v>
      </c>
      <c r="H14" s="88">
        <f>('Customer Data'!$C38*2+'Customer Data'!$C41)/3</f>
        <v>6943.333333333333</v>
      </c>
      <c r="I14" s="188">
        <f ca="1">HLOOKUP($B14,CDM!$B$1:$Q$22,12,FALSE)/12</f>
        <v>576049.28689553868</v>
      </c>
      <c r="J14" s="188">
        <f t="shared" ca="1" si="2"/>
        <v>20364989.12032054</v>
      </c>
      <c r="K14" s="186">
        <v>84856558.243936002</v>
      </c>
      <c r="L14" s="186">
        <v>200487.42327999999</v>
      </c>
      <c r="M14" s="88">
        <f>('Customer Data'!$D38*2+'Customer Data'!$D41)/3</f>
        <v>1175.3333333333333</v>
      </c>
      <c r="N14" s="126">
        <f ca="1">HLOOKUP($B14,CDM!$B$1:$Q$22,13,FALSE)/12</f>
        <v>570478.28428523254</v>
      </c>
      <c r="O14" s="188">
        <f t="shared" ca="1" si="9"/>
        <v>85427036.528221235</v>
      </c>
      <c r="P14" s="188">
        <f t="shared" si="3"/>
        <v>200487.42327999999</v>
      </c>
      <c r="Q14" s="188">
        <v>196728.03315023609</v>
      </c>
      <c r="R14" s="188">
        <v>468.5</v>
      </c>
      <c r="S14" s="229">
        <v>0</v>
      </c>
      <c r="T14" s="189">
        <f t="shared" ca="1" si="10"/>
        <v>85230308.495070994</v>
      </c>
      <c r="U14" s="156">
        <f t="shared" si="11"/>
        <v>200018.92327999999</v>
      </c>
      <c r="V14" s="186">
        <v>3680290.2110469998</v>
      </c>
      <c r="W14" s="186">
        <v>9495.6858179999999</v>
      </c>
      <c r="X14" s="88">
        <f>('Customer Data'!$E38*2+'Customer Data'!$E41)/3</f>
        <v>3</v>
      </c>
      <c r="Y14" s="126">
        <f ca="1">HLOOKUP($B14,CDM!$B$1:$Q$22,14,FALSE)/12</f>
        <v>0</v>
      </c>
      <c r="Z14" s="188">
        <f t="shared" ca="1" si="12"/>
        <v>3680290.2110469998</v>
      </c>
      <c r="AA14" s="186">
        <v>23267481.492624</v>
      </c>
      <c r="AB14" s="186">
        <v>46625.376198999998</v>
      </c>
      <c r="AC14" s="88">
        <f>('Customer Data'!$F38*2+'Customer Data'!$F41)/3</f>
        <v>6</v>
      </c>
      <c r="AD14" s="126">
        <f ca="1">HLOOKUP($B14,CDM!$B$1:$Q$22,15,FALSE)/12</f>
        <v>0</v>
      </c>
      <c r="AE14" s="188">
        <f t="shared" ca="1" si="4"/>
        <v>23267481.492624</v>
      </c>
      <c r="AF14" s="186">
        <v>26632915.556476999</v>
      </c>
      <c r="AG14" s="186">
        <v>59472.208817999999</v>
      </c>
      <c r="AH14" s="88">
        <f>('Customer Data'!$G38*2+'Customer Data'!$G41)/3</f>
        <v>3</v>
      </c>
      <c r="AI14" s="126">
        <f ca="1">HLOOKUP($B14,CDM!$B$1:$Q$22,16,FALSE)/12</f>
        <v>0</v>
      </c>
      <c r="AJ14" s="188">
        <f t="shared" ca="1" si="17"/>
        <v>19426785.033828914</v>
      </c>
      <c r="AK14" s="188">
        <f t="shared" si="6"/>
        <v>42411.408817999996</v>
      </c>
      <c r="AL14" s="188">
        <v>7206130.522648084</v>
      </c>
      <c r="AM14" s="188">
        <v>17060.8</v>
      </c>
      <c r="AN14" s="156">
        <v>4223167.9780207975</v>
      </c>
      <c r="AO14" s="156">
        <v>8358.2999999999993</v>
      </c>
      <c r="AP14" s="156">
        <v>0</v>
      </c>
      <c r="AQ14" s="156">
        <f t="shared" ca="1" si="13"/>
        <v>19044313.514603201</v>
      </c>
      <c r="AR14" s="156">
        <f t="shared" si="14"/>
        <v>38267.076199000003</v>
      </c>
      <c r="AS14" s="186">
        <v>4473196.0781810004</v>
      </c>
      <c r="AT14" s="186">
        <v>7859.0476799999997</v>
      </c>
      <c r="AU14" s="88">
        <f>('Customer Data'!$H38*2+'Customer Data'!$H41)/3</f>
        <v>1</v>
      </c>
      <c r="AV14" s="126">
        <f ca="1">HLOOKUP($B14,CDM!$B$1:$Q$22,17,FALSE)/12</f>
        <v>0</v>
      </c>
      <c r="AW14" s="188">
        <f t="shared" ca="1" si="7"/>
        <v>4473196.0781810004</v>
      </c>
      <c r="AX14" s="105">
        <v>1786360.1597500001</v>
      </c>
      <c r="AY14" s="105">
        <v>4062.21</v>
      </c>
      <c r="AZ14" s="88">
        <f>('Customer Data'!$I38*2+'Customer Data'!$I41)/3</f>
        <v>23429</v>
      </c>
      <c r="BA14" s="126">
        <f ca="1">HLOOKUP($B14,CDM!$B$1:$Q$22,18,FALSE)/12</f>
        <v>0</v>
      </c>
      <c r="BB14" s="188">
        <f t="shared" ca="1" si="8"/>
        <v>4062.21</v>
      </c>
      <c r="BC14" s="186">
        <v>81942.799171000006</v>
      </c>
      <c r="BD14" s="186">
        <v>222.639343</v>
      </c>
      <c r="BE14" s="188">
        <f>('Customer Data'!$J38*2+'Customer Data'!$J41*1)/3</f>
        <v>654</v>
      </c>
      <c r="BF14" s="105">
        <v>352307.11244900001</v>
      </c>
      <c r="BG14" s="188">
        <f>('Customer Data'!$K38*2+'Customer Data'!$K41*1)/3</f>
        <v>767</v>
      </c>
      <c r="BH14" s="188">
        <f>Weather!B182</f>
        <v>663.29999999999984</v>
      </c>
      <c r="BI14" s="188">
        <f>Weather!$C182</f>
        <v>0</v>
      </c>
      <c r="BJ14" s="166">
        <f>Employment!B38</f>
        <v>6466.9</v>
      </c>
      <c r="BK14" s="188">
        <f>Employment!$C38</f>
        <v>146.9</v>
      </c>
      <c r="BL14" s="188">
        <f>Employment!D38</f>
        <v>555907.5</v>
      </c>
      <c r="BM14" s="188">
        <f t="shared" si="15"/>
        <v>13</v>
      </c>
      <c r="BN14" s="188">
        <f t="shared" ref="BN14:CA14" si="18">BN2</f>
        <v>1</v>
      </c>
      <c r="BO14" s="188">
        <f t="shared" si="18"/>
        <v>0</v>
      </c>
      <c r="BP14" s="188">
        <f t="shared" si="18"/>
        <v>0</v>
      </c>
      <c r="BQ14" s="188">
        <f t="shared" si="18"/>
        <v>0</v>
      </c>
      <c r="BR14" s="188">
        <f t="shared" si="18"/>
        <v>0</v>
      </c>
      <c r="BS14" s="188">
        <f t="shared" si="18"/>
        <v>0</v>
      </c>
      <c r="BT14" s="188">
        <f t="shared" si="18"/>
        <v>0</v>
      </c>
      <c r="BU14" s="188">
        <f t="shared" si="18"/>
        <v>0</v>
      </c>
      <c r="BV14" s="188">
        <f t="shared" si="18"/>
        <v>0</v>
      </c>
      <c r="BW14" s="188">
        <f t="shared" si="18"/>
        <v>0</v>
      </c>
      <c r="BX14" s="188">
        <f t="shared" si="18"/>
        <v>0</v>
      </c>
      <c r="BY14" s="188">
        <f t="shared" si="18"/>
        <v>0</v>
      </c>
      <c r="BZ14" s="188">
        <f t="shared" si="18"/>
        <v>0</v>
      </c>
      <c r="CA14" s="188">
        <f t="shared" si="18"/>
        <v>0</v>
      </c>
      <c r="CB14" s="188">
        <f t="shared" si="16"/>
        <v>0</v>
      </c>
      <c r="CC14" s="188">
        <f>CC2</f>
        <v>31</v>
      </c>
      <c r="CD14" s="121">
        <v>20</v>
      </c>
    </row>
    <row r="15" spans="1:82" s="188" customFormat="1" ht="15">
      <c r="A15" s="190">
        <v>40210</v>
      </c>
      <c r="B15" s="191">
        <f t="shared" si="0"/>
        <v>2010</v>
      </c>
      <c r="C15" s="186">
        <v>47752715.483861998</v>
      </c>
      <c r="D15" s="88">
        <f>('Customer Data'!$B38+'Customer Data'!$B41*2)/3</f>
        <v>76658</v>
      </c>
      <c r="E15" s="188">
        <f ca="1">HLOOKUP($B15,CDM!$B$1:$Q$22,11,FALSE)/12</f>
        <v>788869.83086232108</v>
      </c>
      <c r="F15" s="189">
        <f t="shared" ca="1" si="1"/>
        <v>48541585.314724319</v>
      </c>
      <c r="G15" s="186">
        <v>17629096.202156</v>
      </c>
      <c r="H15" s="88">
        <f>('Customer Data'!$C38+'Customer Data'!$C41*2)/3</f>
        <v>6949.666666666667</v>
      </c>
      <c r="I15" s="188">
        <f ca="1">HLOOKUP($B15,CDM!$B$1:$Q$22,12,FALSE)/12</f>
        <v>576049.28689553868</v>
      </c>
      <c r="J15" s="188">
        <f t="shared" ca="1" si="2"/>
        <v>18205145.489051539</v>
      </c>
      <c r="K15" s="186">
        <v>76888807.823062003</v>
      </c>
      <c r="L15" s="186">
        <v>188375.72919699998</v>
      </c>
      <c r="M15" s="88">
        <f>('Customer Data'!$D38+'Customer Data'!$D41*2)/3</f>
        <v>1177.6666666666667</v>
      </c>
      <c r="N15" s="126">
        <f ca="1">HLOOKUP($B15,CDM!$B$1:$Q$22,13,FALSE)/12</f>
        <v>570478.28428523254</v>
      </c>
      <c r="O15" s="188">
        <f t="shared" ca="1" si="9"/>
        <v>77459286.107347235</v>
      </c>
      <c r="P15" s="188">
        <f t="shared" si="3"/>
        <v>188375.72919699998</v>
      </c>
      <c r="Q15" s="188">
        <v>174150.36137612024</v>
      </c>
      <c r="R15" s="188">
        <v>506.7</v>
      </c>
      <c r="S15" s="229">
        <v>0</v>
      </c>
      <c r="T15" s="189">
        <f t="shared" ca="1" si="10"/>
        <v>77285135.745971113</v>
      </c>
      <c r="U15" s="156">
        <f t="shared" si="11"/>
        <v>187869.02919699997</v>
      </c>
      <c r="V15" s="186">
        <v>3458917.2119789999</v>
      </c>
      <c r="W15" s="186">
        <v>9521.5352669999993</v>
      </c>
      <c r="X15" s="88">
        <f>('Customer Data'!$E38+'Customer Data'!$E41*2)/3</f>
        <v>3</v>
      </c>
      <c r="Y15" s="126">
        <f ca="1">HLOOKUP($B15,CDM!$B$1:$Q$22,14,FALSE)/12</f>
        <v>0</v>
      </c>
      <c r="Z15" s="188">
        <f t="shared" ca="1" si="12"/>
        <v>3458917.2119789999</v>
      </c>
      <c r="AA15" s="186">
        <v>21795460.432082001</v>
      </c>
      <c r="AB15" s="186">
        <v>45738.850661000004</v>
      </c>
      <c r="AC15" s="88">
        <f>('Customer Data'!$F38+'Customer Data'!$F41*2)/3</f>
        <v>6</v>
      </c>
      <c r="AD15" s="126">
        <f ca="1">HLOOKUP($B15,CDM!$B$1:$Q$22,15,FALSE)/12</f>
        <v>0</v>
      </c>
      <c r="AE15" s="188">
        <f t="shared" ca="1" si="4"/>
        <v>21795460.432082001</v>
      </c>
      <c r="AF15" s="186">
        <v>29636009.10035</v>
      </c>
      <c r="AG15" s="186">
        <v>59347.079549999995</v>
      </c>
      <c r="AH15" s="88">
        <f>('Customer Data'!$G38+'Customer Data'!$G41*2)/3</f>
        <v>3</v>
      </c>
      <c r="AI15" s="126">
        <f ca="1">HLOOKUP($B15,CDM!$B$1:$Q$22,16,FALSE)/12</f>
        <v>0</v>
      </c>
      <c r="AJ15" s="188">
        <f t="shared" ca="1" si="17"/>
        <v>22891575.09338136</v>
      </c>
      <c r="AK15" s="188">
        <f t="shared" si="6"/>
        <v>42157.279549999992</v>
      </c>
      <c r="AL15" s="188">
        <v>6744434.0069686417</v>
      </c>
      <c r="AM15" s="188">
        <v>17189.8</v>
      </c>
      <c r="AN15" s="156">
        <v>4109327.1635258687</v>
      </c>
      <c r="AO15" s="156">
        <v>8020.4</v>
      </c>
      <c r="AP15" s="156">
        <v>0</v>
      </c>
      <c r="AQ15" s="156">
        <f t="shared" ca="1" si="13"/>
        <v>17686133.268556133</v>
      </c>
      <c r="AR15" s="156">
        <f t="shared" si="14"/>
        <v>37718.450661000003</v>
      </c>
      <c r="AS15" s="186">
        <v>4319987.3926720005</v>
      </c>
      <c r="AT15" s="186">
        <v>7971.19488</v>
      </c>
      <c r="AU15" s="88">
        <f>('Customer Data'!$H38+'Customer Data'!$H41*2)/3</f>
        <v>1</v>
      </c>
      <c r="AV15" s="126">
        <f ca="1">HLOOKUP($B15,CDM!$B$1:$Q$22,17,FALSE)/12</f>
        <v>0</v>
      </c>
      <c r="AW15" s="188">
        <f t="shared" ca="1" si="7"/>
        <v>4319987.3926720005</v>
      </c>
      <c r="AX15" s="105">
        <v>1493802.826782</v>
      </c>
      <c r="AY15" s="105">
        <v>4062.21</v>
      </c>
      <c r="AZ15" s="88">
        <f>('Customer Data'!$I38+'Customer Data'!$I41*2)/3</f>
        <v>23429</v>
      </c>
      <c r="BA15" s="126">
        <f ca="1">HLOOKUP($B15,CDM!$B$1:$Q$22,18,FALSE)/12</f>
        <v>0</v>
      </c>
      <c r="BB15" s="188">
        <f t="shared" ca="1" si="8"/>
        <v>4062.21</v>
      </c>
      <c r="BC15" s="186">
        <v>74050.099176999996</v>
      </c>
      <c r="BD15" s="186">
        <v>206.59420900000001</v>
      </c>
      <c r="BE15" s="188">
        <f>('Customer Data'!$J38*1+'Customer Data'!$J41*2)/3</f>
        <v>663</v>
      </c>
      <c r="BF15" s="105">
        <v>318198.93155500002</v>
      </c>
      <c r="BG15" s="188">
        <f>('Customer Data'!$K38*1+'Customer Data'!$K41*2)/3</f>
        <v>768</v>
      </c>
      <c r="BH15" s="188">
        <f>Weather!B183</f>
        <v>557.29999999999995</v>
      </c>
      <c r="BI15" s="188">
        <f>Weather!$C183</f>
        <v>0</v>
      </c>
      <c r="BJ15" s="166">
        <f>Employment!B39</f>
        <v>6471</v>
      </c>
      <c r="BK15" s="188">
        <f>Employment!$C39</f>
        <v>147.6</v>
      </c>
      <c r="BL15" s="188">
        <f>Employment!D39</f>
        <v>555907.5</v>
      </c>
      <c r="BM15" s="188">
        <f t="shared" si="15"/>
        <v>14</v>
      </c>
      <c r="BN15" s="188">
        <f t="shared" ref="BN15:CA15" si="19">BN3</f>
        <v>0</v>
      </c>
      <c r="BO15" s="188">
        <f t="shared" si="19"/>
        <v>1</v>
      </c>
      <c r="BP15" s="188">
        <f t="shared" si="19"/>
        <v>0</v>
      </c>
      <c r="BQ15" s="188">
        <f t="shared" si="19"/>
        <v>0</v>
      </c>
      <c r="BR15" s="188">
        <f t="shared" si="19"/>
        <v>0</v>
      </c>
      <c r="BS15" s="188">
        <f t="shared" si="19"/>
        <v>0</v>
      </c>
      <c r="BT15" s="188">
        <f t="shared" si="19"/>
        <v>0</v>
      </c>
      <c r="BU15" s="188">
        <f t="shared" si="19"/>
        <v>0</v>
      </c>
      <c r="BV15" s="188">
        <f t="shared" si="19"/>
        <v>0</v>
      </c>
      <c r="BW15" s="188">
        <f t="shared" si="19"/>
        <v>0</v>
      </c>
      <c r="BX15" s="188">
        <f t="shared" si="19"/>
        <v>0</v>
      </c>
      <c r="BY15" s="188">
        <f t="shared" si="19"/>
        <v>0</v>
      </c>
      <c r="BZ15" s="188">
        <f t="shared" si="19"/>
        <v>0</v>
      </c>
      <c r="CA15" s="188">
        <f t="shared" si="19"/>
        <v>0</v>
      </c>
      <c r="CB15" s="188">
        <f t="shared" si="16"/>
        <v>0</v>
      </c>
      <c r="CC15" s="188">
        <f t="shared" ref="CC15:CC49" si="20">CC3</f>
        <v>28</v>
      </c>
      <c r="CD15" s="121">
        <v>19</v>
      </c>
    </row>
    <row r="16" spans="1:82" s="188" customFormat="1" ht="15">
      <c r="A16" s="190">
        <v>40238</v>
      </c>
      <c r="B16" s="191">
        <f t="shared" si="0"/>
        <v>2010</v>
      </c>
      <c r="C16" s="186">
        <v>45913120.637929</v>
      </c>
      <c r="D16" s="88">
        <f>'Customer Data'!$B41</f>
        <v>76709</v>
      </c>
      <c r="E16" s="188">
        <f ca="1">HLOOKUP($B16,CDM!$B$1:$Q$22,11,FALSE)/12</f>
        <v>788869.83086232108</v>
      </c>
      <c r="F16" s="189">
        <f t="shared" ca="1" si="1"/>
        <v>46701990.468791321</v>
      </c>
      <c r="G16" s="186">
        <v>17937660.088139001</v>
      </c>
      <c r="H16" s="88">
        <f>'Customer Data'!$C41</f>
        <v>6956</v>
      </c>
      <c r="I16" s="188">
        <f ca="1">HLOOKUP($B16,CDM!$B$1:$Q$22,12,FALSE)/12</f>
        <v>576049.28689553868</v>
      </c>
      <c r="J16" s="188">
        <f t="shared" ca="1" si="2"/>
        <v>18513709.375034541</v>
      </c>
      <c r="K16" s="186">
        <v>78898824.280106992</v>
      </c>
      <c r="L16" s="186">
        <v>204031.79412699997</v>
      </c>
      <c r="M16" s="88">
        <f>'Customer Data'!$D41</f>
        <v>1180</v>
      </c>
      <c r="N16" s="126">
        <f ca="1">HLOOKUP($B16,CDM!$B$1:$Q$22,13,FALSE)/12</f>
        <v>570478.28428523254</v>
      </c>
      <c r="O16" s="188">
        <f t="shared" ca="1" si="9"/>
        <v>79469302.564392224</v>
      </c>
      <c r="P16" s="188">
        <f t="shared" si="3"/>
        <v>204031.79412699997</v>
      </c>
      <c r="Q16" s="188">
        <v>193888.61906138575</v>
      </c>
      <c r="R16" s="188">
        <v>521.20000000000005</v>
      </c>
      <c r="S16" s="229">
        <v>0</v>
      </c>
      <c r="T16" s="189">
        <f t="shared" ca="1" si="10"/>
        <v>79275413.945330843</v>
      </c>
      <c r="U16" s="156">
        <f t="shared" si="11"/>
        <v>203510.59412699996</v>
      </c>
      <c r="V16" s="186">
        <v>3961328.3825309998</v>
      </c>
      <c r="W16" s="186">
        <v>10918.840221</v>
      </c>
      <c r="X16" s="88">
        <f>'Customer Data'!$E41</f>
        <v>3</v>
      </c>
      <c r="Y16" s="126">
        <f ca="1">HLOOKUP($B16,CDM!$B$1:$Q$22,14,FALSE)/12</f>
        <v>0</v>
      </c>
      <c r="Z16" s="188">
        <f t="shared" ca="1" si="12"/>
        <v>3961328.3825309998</v>
      </c>
      <c r="AA16" s="186">
        <v>23702308.642981</v>
      </c>
      <c r="AB16" s="186">
        <v>45557.476646000003</v>
      </c>
      <c r="AC16" s="88">
        <f>'Customer Data'!$F41</f>
        <v>6</v>
      </c>
      <c r="AD16" s="126">
        <f ca="1">HLOOKUP($B16,CDM!$B$1:$Q$22,15,FALSE)/12</f>
        <v>0</v>
      </c>
      <c r="AE16" s="188">
        <f t="shared" ca="1" si="4"/>
        <v>23702308.642981</v>
      </c>
      <c r="AF16" s="186">
        <v>31931093.715440001</v>
      </c>
      <c r="AG16" s="186">
        <v>58726.532105999999</v>
      </c>
      <c r="AH16" s="88">
        <f>'Customer Data'!$G41</f>
        <v>3</v>
      </c>
      <c r="AI16" s="126">
        <f ca="1">HLOOKUP($B16,CDM!$B$1:$Q$22,16,FALSE)/12</f>
        <v>0</v>
      </c>
      <c r="AJ16" s="188">
        <f t="shared" ca="1" si="17"/>
        <v>24643829.673628155</v>
      </c>
      <c r="AK16" s="188">
        <f t="shared" si="6"/>
        <v>41670.032105999999</v>
      </c>
      <c r="AL16" s="188">
        <v>7287264.0418118471</v>
      </c>
      <c r="AM16" s="188">
        <v>17056.5</v>
      </c>
      <c r="AN16" s="156">
        <v>4222769.7604997819</v>
      </c>
      <c r="AO16" s="156">
        <v>7849.4</v>
      </c>
      <c r="AP16" s="156">
        <v>0</v>
      </c>
      <c r="AQ16" s="156">
        <f t="shared" ca="1" si="13"/>
        <v>19479538.882481217</v>
      </c>
      <c r="AR16" s="156">
        <f t="shared" si="14"/>
        <v>37708.076646000001</v>
      </c>
      <c r="AS16" s="186">
        <v>4839359.7264710004</v>
      </c>
      <c r="AT16" s="186">
        <v>7948.3852800000004</v>
      </c>
      <c r="AU16" s="88">
        <f>'Customer Data'!$H41</f>
        <v>1</v>
      </c>
      <c r="AV16" s="126">
        <f ca="1">HLOOKUP($B16,CDM!$B$1:$Q$22,17,FALSE)/12</f>
        <v>0</v>
      </c>
      <c r="AW16" s="188">
        <f t="shared" ca="1" si="7"/>
        <v>4839359.7264710004</v>
      </c>
      <c r="AX16" s="105">
        <v>1475460.7887820001</v>
      </c>
      <c r="AY16" s="105">
        <v>4062.21</v>
      </c>
      <c r="AZ16" s="88">
        <f>'Customer Data'!$I41</f>
        <v>23429</v>
      </c>
      <c r="BA16" s="126">
        <f ca="1">HLOOKUP($B16,CDM!$B$1:$Q$22,18,FALSE)/12</f>
        <v>0</v>
      </c>
      <c r="BB16" s="188">
        <f t="shared" ca="1" si="8"/>
        <v>4062.21</v>
      </c>
      <c r="BC16" s="186">
        <v>82666.526830999996</v>
      </c>
      <c r="BD16" s="186">
        <v>270.47938099999999</v>
      </c>
      <c r="BE16" s="188">
        <f>'Customer Data'!$J41</f>
        <v>672</v>
      </c>
      <c r="BF16" s="105">
        <v>352300.53136099997</v>
      </c>
      <c r="BG16" s="188">
        <f>'Customer Data'!$K41</f>
        <v>769</v>
      </c>
      <c r="BH16" s="188">
        <f>Weather!B184</f>
        <v>393.39999999999986</v>
      </c>
      <c r="BI16" s="188">
        <f>Weather!$C184</f>
        <v>0</v>
      </c>
      <c r="BJ16" s="166">
        <f>Employment!B40</f>
        <v>6477.5</v>
      </c>
      <c r="BK16" s="188">
        <f>Employment!$C40</f>
        <v>147.4</v>
      </c>
      <c r="BL16" s="188">
        <f>Employment!D40</f>
        <v>555907.5</v>
      </c>
      <c r="BM16" s="188">
        <f t="shared" si="15"/>
        <v>15</v>
      </c>
      <c r="BN16" s="188">
        <f t="shared" ref="BN16:CA16" si="21">BN4</f>
        <v>0</v>
      </c>
      <c r="BO16" s="188">
        <f t="shared" si="21"/>
        <v>0</v>
      </c>
      <c r="BP16" s="188">
        <f t="shared" si="21"/>
        <v>1</v>
      </c>
      <c r="BQ16" s="188">
        <f t="shared" si="21"/>
        <v>0</v>
      </c>
      <c r="BR16" s="188">
        <f t="shared" si="21"/>
        <v>0</v>
      </c>
      <c r="BS16" s="188">
        <f t="shared" si="21"/>
        <v>0</v>
      </c>
      <c r="BT16" s="188">
        <f t="shared" si="21"/>
        <v>0</v>
      </c>
      <c r="BU16" s="188">
        <f t="shared" si="21"/>
        <v>0</v>
      </c>
      <c r="BV16" s="188">
        <f t="shared" si="21"/>
        <v>0</v>
      </c>
      <c r="BW16" s="188">
        <f t="shared" si="21"/>
        <v>0</v>
      </c>
      <c r="BX16" s="188">
        <f t="shared" si="21"/>
        <v>0</v>
      </c>
      <c r="BY16" s="188">
        <f t="shared" si="21"/>
        <v>0</v>
      </c>
      <c r="BZ16" s="188">
        <f t="shared" si="21"/>
        <v>1</v>
      </c>
      <c r="CA16" s="188">
        <f t="shared" si="21"/>
        <v>0</v>
      </c>
      <c r="CB16" s="188">
        <f t="shared" si="16"/>
        <v>1</v>
      </c>
      <c r="CC16" s="188">
        <f t="shared" si="20"/>
        <v>31</v>
      </c>
      <c r="CD16" s="121">
        <v>23</v>
      </c>
    </row>
    <row r="17" spans="1:82" s="188" customFormat="1" ht="15">
      <c r="A17" s="190">
        <v>40269</v>
      </c>
      <c r="B17" s="191">
        <f t="shared" si="0"/>
        <v>2010</v>
      </c>
      <c r="C17" s="186">
        <v>39948271.843970001</v>
      </c>
      <c r="D17" s="88">
        <f>('Customer Data'!$B41*2+'Customer Data'!$B44)/3</f>
        <v>76631</v>
      </c>
      <c r="E17" s="188">
        <f ca="1">HLOOKUP($B17,CDM!$B$1:$Q$22,11,FALSE)/12</f>
        <v>788869.83086232108</v>
      </c>
      <c r="F17" s="189">
        <f t="shared" ca="1" si="1"/>
        <v>40737141.674832322</v>
      </c>
      <c r="G17" s="186">
        <v>16248113.559906</v>
      </c>
      <c r="H17" s="88">
        <f>('Customer Data'!$C41*2+'Customer Data'!$C44)/3</f>
        <v>6967.666666666667</v>
      </c>
      <c r="I17" s="188">
        <f ca="1">HLOOKUP($B17,CDM!$B$1:$Q$22,12,FALSE)/12</f>
        <v>576049.28689553868</v>
      </c>
      <c r="J17" s="188">
        <f t="shared" ca="1" si="2"/>
        <v>16824162.846801538</v>
      </c>
      <c r="K17" s="186">
        <v>70462608.177271008</v>
      </c>
      <c r="L17" s="186">
        <v>190370.97730999999</v>
      </c>
      <c r="M17" s="88">
        <f>('Customer Data'!$D41*2+'Customer Data'!$D44)/3</f>
        <v>1193</v>
      </c>
      <c r="N17" s="126">
        <f ca="1">HLOOKUP($B17,CDM!$B$1:$Q$22,13,FALSE)/12</f>
        <v>570478.28428523254</v>
      </c>
      <c r="O17" s="188">
        <f t="shared" ca="1" si="9"/>
        <v>71033086.461556241</v>
      </c>
      <c r="P17" s="188">
        <f t="shared" si="3"/>
        <v>190370.97730999999</v>
      </c>
      <c r="Q17" s="188">
        <v>174836.15688541968</v>
      </c>
      <c r="R17" s="188">
        <v>475.9</v>
      </c>
      <c r="S17" s="229">
        <v>0</v>
      </c>
      <c r="T17" s="189">
        <f t="shared" ca="1" si="10"/>
        <v>70858250.304670826</v>
      </c>
      <c r="U17" s="156">
        <f t="shared" si="11"/>
        <v>189895.07730999999</v>
      </c>
      <c r="V17" s="186">
        <v>3819290.2417009999</v>
      </c>
      <c r="W17" s="186">
        <v>9755.9165790000006</v>
      </c>
      <c r="X17" s="88">
        <f>('Customer Data'!$E41*2+'Customer Data'!$E44)/3</f>
        <v>3</v>
      </c>
      <c r="Y17" s="126">
        <f ca="1">HLOOKUP($B17,CDM!$B$1:$Q$22,14,FALSE)/12</f>
        <v>0</v>
      </c>
      <c r="Z17" s="188">
        <f t="shared" ca="1" si="12"/>
        <v>3819290.2417009999</v>
      </c>
      <c r="AA17" s="186">
        <v>22434537.258079</v>
      </c>
      <c r="AB17" s="186">
        <v>45652.236818000005</v>
      </c>
      <c r="AC17" s="88">
        <f>('Customer Data'!$F41*2+'Customer Data'!$F44)/3</f>
        <v>6</v>
      </c>
      <c r="AD17" s="126">
        <f ca="1">HLOOKUP($B17,CDM!$B$1:$Q$22,15,FALSE)/12</f>
        <v>0</v>
      </c>
      <c r="AE17" s="188">
        <f t="shared" ca="1" si="4"/>
        <v>22434537.258079</v>
      </c>
      <c r="AF17" s="186">
        <v>29867712.718721997</v>
      </c>
      <c r="AG17" s="186">
        <v>61808.791967999998</v>
      </c>
      <c r="AH17" s="88">
        <f>('Customer Data'!$G41*2+'Customer Data'!$G44)/3</f>
        <v>3</v>
      </c>
      <c r="AI17" s="126">
        <f ca="1">HLOOKUP($B17,CDM!$B$1:$Q$22,16,FALSE)/12</f>
        <v>0</v>
      </c>
      <c r="AJ17" s="188">
        <f t="shared" ca="1" si="17"/>
        <v>23307873.883480582</v>
      </c>
      <c r="AK17" s="188">
        <f t="shared" si="6"/>
        <v>44737.091967999993</v>
      </c>
      <c r="AL17" s="188">
        <v>6559838.8352414146</v>
      </c>
      <c r="AM17" s="188">
        <v>17071.7</v>
      </c>
      <c r="AN17" s="156">
        <v>3808878.1593498182</v>
      </c>
      <c r="AO17" s="156">
        <v>7381.8</v>
      </c>
      <c r="AP17" s="156">
        <v>0</v>
      </c>
      <c r="AQ17" s="156">
        <f t="shared" ca="1" si="13"/>
        <v>18625659.098729182</v>
      </c>
      <c r="AR17" s="156">
        <f t="shared" si="14"/>
        <v>38270.436818000002</v>
      </c>
      <c r="AS17" s="186">
        <v>4205328.0825279998</v>
      </c>
      <c r="AT17" s="186">
        <v>8025.5577599999997</v>
      </c>
      <c r="AU17" s="88">
        <f>('Customer Data'!$H41*2+'Customer Data'!$H44)/3</f>
        <v>1</v>
      </c>
      <c r="AV17" s="126">
        <f ca="1">HLOOKUP($B17,CDM!$B$1:$Q$22,17,FALSE)/12</f>
        <v>0</v>
      </c>
      <c r="AW17" s="188">
        <f t="shared" ca="1" si="7"/>
        <v>4205328.0825279998</v>
      </c>
      <c r="AX17" s="105">
        <v>1263363.3217430001</v>
      </c>
      <c r="AY17" s="105">
        <v>4066.5</v>
      </c>
      <c r="AZ17" s="88">
        <f>('Customer Data'!$I41*2+'Customer Data'!$I44)/3</f>
        <v>23429</v>
      </c>
      <c r="BA17" s="126">
        <f ca="1">HLOOKUP($B17,CDM!$B$1:$Q$22,18,FALSE)/12</f>
        <v>0</v>
      </c>
      <c r="BB17" s="188">
        <f t="shared" ca="1" si="8"/>
        <v>4066.5</v>
      </c>
      <c r="BC17" s="186">
        <v>79770.363221000007</v>
      </c>
      <c r="BD17" s="186">
        <v>190.02340699999999</v>
      </c>
      <c r="BE17" s="188">
        <f>('Customer Data'!$J41*2+'Customer Data'!$J44*1)/3</f>
        <v>673.66666666666663</v>
      </c>
      <c r="BF17" s="105">
        <v>340935.99809299997</v>
      </c>
      <c r="BG17" s="188">
        <f>('Customer Data'!$K41*2+'Customer Data'!$K44*1)/3</f>
        <v>769</v>
      </c>
      <c r="BH17" s="188">
        <f>Weather!B185</f>
        <v>174.9</v>
      </c>
      <c r="BI17" s="188">
        <f>Weather!$C185</f>
        <v>5</v>
      </c>
      <c r="BJ17" s="166">
        <f>Employment!B41</f>
        <v>6485</v>
      </c>
      <c r="BK17" s="188">
        <f>Employment!$C41</f>
        <v>149</v>
      </c>
      <c r="BL17" s="188">
        <f>Employment!D41</f>
        <v>555907.5</v>
      </c>
      <c r="BM17" s="188">
        <f t="shared" si="15"/>
        <v>16</v>
      </c>
      <c r="BN17" s="188">
        <f t="shared" ref="BN17:CA17" si="22">BN5</f>
        <v>0</v>
      </c>
      <c r="BO17" s="188">
        <f t="shared" si="22"/>
        <v>0</v>
      </c>
      <c r="BP17" s="188">
        <f t="shared" si="22"/>
        <v>0</v>
      </c>
      <c r="BQ17" s="188">
        <f t="shared" si="22"/>
        <v>1</v>
      </c>
      <c r="BR17" s="188">
        <f t="shared" si="22"/>
        <v>0</v>
      </c>
      <c r="BS17" s="188">
        <f t="shared" si="22"/>
        <v>0</v>
      </c>
      <c r="BT17" s="188">
        <f t="shared" si="22"/>
        <v>0</v>
      </c>
      <c r="BU17" s="188">
        <f t="shared" si="22"/>
        <v>0</v>
      </c>
      <c r="BV17" s="188">
        <f t="shared" si="22"/>
        <v>0</v>
      </c>
      <c r="BW17" s="188">
        <f t="shared" si="22"/>
        <v>0</v>
      </c>
      <c r="BX17" s="188">
        <f t="shared" si="22"/>
        <v>0</v>
      </c>
      <c r="BY17" s="188">
        <f t="shared" si="22"/>
        <v>0</v>
      </c>
      <c r="BZ17" s="188">
        <f t="shared" si="22"/>
        <v>1</v>
      </c>
      <c r="CA17" s="188">
        <f t="shared" si="22"/>
        <v>0</v>
      </c>
      <c r="CB17" s="188">
        <f t="shared" si="16"/>
        <v>1</v>
      </c>
      <c r="CC17" s="188">
        <f t="shared" si="20"/>
        <v>30</v>
      </c>
      <c r="CD17" s="121">
        <v>20</v>
      </c>
    </row>
    <row r="18" spans="1:82" s="188" customFormat="1" ht="15">
      <c r="A18" s="190">
        <v>40299</v>
      </c>
      <c r="B18" s="191">
        <f t="shared" si="0"/>
        <v>2010</v>
      </c>
      <c r="C18" s="186">
        <v>47453909.405196004</v>
      </c>
      <c r="D18" s="88">
        <f>('Customer Data'!$B41+'Customer Data'!$B44*2)/3</f>
        <v>76553</v>
      </c>
      <c r="E18" s="188">
        <f ca="1">HLOOKUP($B18,CDM!$B$1:$Q$22,11,FALSE)/12</f>
        <v>788869.83086232108</v>
      </c>
      <c r="F18" s="189">
        <f t="shared" ca="1" si="1"/>
        <v>48242779.236058325</v>
      </c>
      <c r="G18" s="186">
        <v>17829738.556266002</v>
      </c>
      <c r="H18" s="88">
        <f>('Customer Data'!$C41+'Customer Data'!$C44*2)/3</f>
        <v>6979.333333333333</v>
      </c>
      <c r="I18" s="188">
        <f ca="1">HLOOKUP($B18,CDM!$B$1:$Q$22,12,FALSE)/12</f>
        <v>576049.28689553868</v>
      </c>
      <c r="J18" s="188">
        <f t="shared" ca="1" si="2"/>
        <v>18405787.843161542</v>
      </c>
      <c r="K18" s="186">
        <v>74938743.823716</v>
      </c>
      <c r="L18" s="186">
        <v>198444.73263899999</v>
      </c>
      <c r="M18" s="88">
        <f>('Customer Data'!$D41+'Customer Data'!$D44*2)/3</f>
        <v>1206</v>
      </c>
      <c r="N18" s="126">
        <f ca="1">HLOOKUP($B18,CDM!$B$1:$Q$22,13,FALSE)/12</f>
        <v>570478.28428523254</v>
      </c>
      <c r="O18" s="126">
        <f ca="1">K18+N18</f>
        <v>75509222.108001232</v>
      </c>
      <c r="P18" s="188">
        <f t="shared" si="3"/>
        <v>198444.73263899999</v>
      </c>
      <c r="Q18" s="188">
        <v>185224.94940734314</v>
      </c>
      <c r="R18" s="188">
        <v>522.9</v>
      </c>
      <c r="S18" s="229">
        <v>0</v>
      </c>
      <c r="T18" s="189">
        <f t="shared" ca="1" si="10"/>
        <v>75323997.158593893</v>
      </c>
      <c r="U18" s="156">
        <f t="shared" si="11"/>
        <v>197921.832639</v>
      </c>
      <c r="V18" s="186">
        <v>4025317.4492390002</v>
      </c>
      <c r="W18" s="186">
        <v>10571.522373</v>
      </c>
      <c r="X18" s="88">
        <f>('Customer Data'!$E41+'Customer Data'!$E44*2)/3</f>
        <v>3</v>
      </c>
      <c r="Y18" s="126">
        <f ca="1">HLOOKUP($B18,CDM!$B$1:$Q$22,14,FALSE)/12</f>
        <v>0</v>
      </c>
      <c r="Z18" s="188">
        <f t="shared" ca="1" si="12"/>
        <v>4025317.4492390002</v>
      </c>
      <c r="AA18" s="186">
        <v>24754424.438850001</v>
      </c>
      <c r="AB18" s="186">
        <v>50575.116478000004</v>
      </c>
      <c r="AC18" s="88">
        <f>('Customer Data'!$F41+'Customer Data'!$F44*2)/3</f>
        <v>6</v>
      </c>
      <c r="AD18" s="126">
        <f ca="1">HLOOKUP($B18,CDM!$B$1:$Q$22,15,FALSE)/12</f>
        <v>0</v>
      </c>
      <c r="AE18" s="188">
        <f t="shared" ca="1" si="4"/>
        <v>24754424.438850001</v>
      </c>
      <c r="AF18" s="186">
        <v>31531222.427383997</v>
      </c>
      <c r="AG18" s="186">
        <v>68496.463728000002</v>
      </c>
      <c r="AH18" s="88">
        <f>('Customer Data'!$G41+'Customer Data'!$G44*2)/3</f>
        <v>3</v>
      </c>
      <c r="AI18" s="126">
        <f ca="1">HLOOKUP($B18,CDM!$B$1:$Q$22,16,FALSE)/12</f>
        <v>0</v>
      </c>
      <c r="AJ18" s="188">
        <f t="shared" ca="1" si="17"/>
        <v>24677727.365163986</v>
      </c>
      <c r="AK18" s="188">
        <f t="shared" si="6"/>
        <v>49439.963728000002</v>
      </c>
      <c r="AL18" s="188">
        <v>6853495.06222001</v>
      </c>
      <c r="AM18" s="188">
        <v>19056.5</v>
      </c>
      <c r="AN18" s="156">
        <v>3938423.3798123961</v>
      </c>
      <c r="AO18" s="156">
        <v>7583.9</v>
      </c>
      <c r="AP18" s="156">
        <v>0</v>
      </c>
      <c r="AQ18" s="156">
        <f t="shared" ca="1" si="13"/>
        <v>20816001.059037603</v>
      </c>
      <c r="AR18" s="156">
        <f t="shared" si="14"/>
        <v>42991.216478000002</v>
      </c>
      <c r="AS18" s="186">
        <v>4567734.617451</v>
      </c>
      <c r="AT18" s="186">
        <v>9345.0931199999995</v>
      </c>
      <c r="AU18" s="88">
        <f>('Customer Data'!$H41+'Customer Data'!$H44*2)/3</f>
        <v>1</v>
      </c>
      <c r="AV18" s="126">
        <f ca="1">HLOOKUP($B18,CDM!$B$1:$Q$22,17,FALSE)/12</f>
        <v>0</v>
      </c>
      <c r="AW18" s="188">
        <f t="shared" ca="1" si="7"/>
        <v>4567734.617451</v>
      </c>
      <c r="AX18" s="105">
        <v>1148692.760727</v>
      </c>
      <c r="AY18" s="105">
        <v>4066.5</v>
      </c>
      <c r="AZ18" s="88">
        <f>('Customer Data'!$I41+'Customer Data'!$I44*2)/3</f>
        <v>23429</v>
      </c>
      <c r="BA18" s="126">
        <f ca="1">HLOOKUP($B18,CDM!$B$1:$Q$22,18,FALSE)/12</f>
        <v>0</v>
      </c>
      <c r="BB18" s="188">
        <f t="shared" ca="1" si="8"/>
        <v>4066.5</v>
      </c>
      <c r="BC18" s="186">
        <v>82350.961406999995</v>
      </c>
      <c r="BD18" s="186">
        <v>221.37358399999999</v>
      </c>
      <c r="BE18" s="188">
        <f>('Customer Data'!$J41*1+'Customer Data'!$J44*2)/3</f>
        <v>675.33333333333337</v>
      </c>
      <c r="BF18" s="105">
        <v>334891.63339700003</v>
      </c>
      <c r="BG18" s="188">
        <f>('Customer Data'!$K41*1+'Customer Data'!$K44*2)/3</f>
        <v>769</v>
      </c>
      <c r="BH18" s="188">
        <f>Weather!B186</f>
        <v>84.300000000000011</v>
      </c>
      <c r="BI18" s="188">
        <f>Weather!$C186</f>
        <v>59.699999999999989</v>
      </c>
      <c r="BJ18" s="166">
        <f>Employment!B42</f>
        <v>6506.8</v>
      </c>
      <c r="BK18" s="188">
        <f>Employment!$C42</f>
        <v>149.6</v>
      </c>
      <c r="BL18" s="188">
        <f>Employment!D42</f>
        <v>555907.5</v>
      </c>
      <c r="BM18" s="188">
        <f t="shared" si="15"/>
        <v>17</v>
      </c>
      <c r="BN18" s="188">
        <f t="shared" ref="BN18:CA18" si="23">BN6</f>
        <v>0</v>
      </c>
      <c r="BO18" s="188">
        <f t="shared" si="23"/>
        <v>0</v>
      </c>
      <c r="BP18" s="188">
        <f t="shared" si="23"/>
        <v>0</v>
      </c>
      <c r="BQ18" s="188">
        <f t="shared" si="23"/>
        <v>0</v>
      </c>
      <c r="BR18" s="188">
        <f t="shared" si="23"/>
        <v>1</v>
      </c>
      <c r="BS18" s="188">
        <f t="shared" si="23"/>
        <v>0</v>
      </c>
      <c r="BT18" s="188">
        <f t="shared" si="23"/>
        <v>0</v>
      </c>
      <c r="BU18" s="188">
        <f t="shared" si="23"/>
        <v>0</v>
      </c>
      <c r="BV18" s="188">
        <f t="shared" si="23"/>
        <v>0</v>
      </c>
      <c r="BW18" s="188">
        <f t="shared" si="23"/>
        <v>0</v>
      </c>
      <c r="BX18" s="188">
        <f t="shared" si="23"/>
        <v>0</v>
      </c>
      <c r="BY18" s="188">
        <f t="shared" si="23"/>
        <v>0</v>
      </c>
      <c r="BZ18" s="188">
        <f t="shared" si="23"/>
        <v>1</v>
      </c>
      <c r="CA18" s="188">
        <f t="shared" si="23"/>
        <v>0</v>
      </c>
      <c r="CB18" s="188">
        <f t="shared" si="16"/>
        <v>1</v>
      </c>
      <c r="CC18" s="188">
        <f t="shared" si="20"/>
        <v>31</v>
      </c>
      <c r="CD18" s="121">
        <v>20</v>
      </c>
    </row>
    <row r="19" spans="1:82" s="188" customFormat="1" ht="15">
      <c r="A19" s="190">
        <v>40330</v>
      </c>
      <c r="B19" s="191">
        <f t="shared" si="0"/>
        <v>2010</v>
      </c>
      <c r="C19" s="186">
        <v>64234592.064430997</v>
      </c>
      <c r="D19" s="88">
        <f>'Customer Data'!$B44</f>
        <v>76475</v>
      </c>
      <c r="E19" s="188">
        <f ca="1">HLOOKUP($B19,CDM!$B$1:$Q$22,11,FALSE)/12</f>
        <v>788869.83086232108</v>
      </c>
      <c r="F19" s="189">
        <f t="shared" ca="1" si="1"/>
        <v>65023461.895293318</v>
      </c>
      <c r="G19" s="186">
        <v>19885366.682647999</v>
      </c>
      <c r="H19" s="88">
        <f>'Customer Data'!$C44</f>
        <v>6991</v>
      </c>
      <c r="I19" s="188">
        <f ca="1">HLOOKUP($B19,CDM!$B$1:$Q$22,12,FALSE)/12</f>
        <v>576049.28689553868</v>
      </c>
      <c r="J19" s="188">
        <f t="shared" ca="1" si="2"/>
        <v>20461415.969543539</v>
      </c>
      <c r="K19" s="186">
        <v>80463945.430157006</v>
      </c>
      <c r="L19" s="186">
        <v>217207.25713699998</v>
      </c>
      <c r="M19" s="88">
        <f>'Customer Data'!$D44</f>
        <v>1219</v>
      </c>
      <c r="N19" s="126">
        <f ca="1">HLOOKUP($B19,CDM!$B$1:$Q$22,13,FALSE)/12</f>
        <v>570478.28428523254</v>
      </c>
      <c r="O19" s="188">
        <f t="shared" ca="1" si="9"/>
        <v>81034423.714442238</v>
      </c>
      <c r="P19" s="188">
        <f t="shared" si="3"/>
        <v>217207.25713699998</v>
      </c>
      <c r="Q19" s="188">
        <v>190239.66464296039</v>
      </c>
      <c r="R19" s="188">
        <v>532.4</v>
      </c>
      <c r="S19" s="229">
        <v>0</v>
      </c>
      <c r="T19" s="189">
        <f t="shared" ca="1" si="10"/>
        <v>80844184.049799278</v>
      </c>
      <c r="U19" s="156">
        <f t="shared" si="11"/>
        <v>216674.85713699998</v>
      </c>
      <c r="V19" s="186">
        <v>4225303.8981990004</v>
      </c>
      <c r="W19" s="186">
        <v>11326.020974999999</v>
      </c>
      <c r="X19" s="88">
        <f>'Customer Data'!$E44</f>
        <v>3</v>
      </c>
      <c r="Y19" s="126">
        <f ca="1">HLOOKUP($B19,CDM!$B$1:$Q$22,14,FALSE)/12</f>
        <v>0</v>
      </c>
      <c r="Z19" s="188">
        <f t="shared" ca="1" si="12"/>
        <v>4225303.8981990004</v>
      </c>
      <c r="AA19" s="186">
        <v>27908850.407844998</v>
      </c>
      <c r="AB19" s="186">
        <v>52784.428545000002</v>
      </c>
      <c r="AC19" s="88">
        <f>'Customer Data'!$F44</f>
        <v>6</v>
      </c>
      <c r="AD19" s="126">
        <f ca="1">HLOOKUP($B19,CDM!$B$1:$Q$22,15,FALSE)/12</f>
        <v>0</v>
      </c>
      <c r="AE19" s="188">
        <f t="shared" ca="1" si="4"/>
        <v>27908850.407844998</v>
      </c>
      <c r="AF19" s="186">
        <v>37803537.651022002</v>
      </c>
      <c r="AG19" s="186">
        <v>70643.342088000005</v>
      </c>
      <c r="AH19" s="88">
        <f>'Customer Data'!$G44</f>
        <v>3</v>
      </c>
      <c r="AI19" s="126">
        <f ca="1">HLOOKUP($B19,CDM!$B$1:$Q$22,16,FALSE)/12</f>
        <v>0</v>
      </c>
      <c r="AJ19" s="188">
        <f t="shared" ca="1" si="17"/>
        <v>28602732.195571527</v>
      </c>
      <c r="AK19" s="188">
        <f t="shared" si="6"/>
        <v>50948.442088000003</v>
      </c>
      <c r="AL19" s="188">
        <v>9200805.4554504734</v>
      </c>
      <c r="AM19" s="188">
        <v>19694.900000000001</v>
      </c>
      <c r="AN19" s="156">
        <v>4398952.0625787629</v>
      </c>
      <c r="AO19" s="156">
        <v>7764.5</v>
      </c>
      <c r="AP19" s="156">
        <v>0</v>
      </c>
      <c r="AQ19" s="156">
        <f t="shared" ca="1" si="13"/>
        <v>23509898.345266234</v>
      </c>
      <c r="AR19" s="156">
        <f t="shared" si="14"/>
        <v>45019.928545000002</v>
      </c>
      <c r="AS19" s="186">
        <v>5506979.2687330004</v>
      </c>
      <c r="AT19" s="186">
        <v>9928.6387200000008</v>
      </c>
      <c r="AU19" s="88">
        <f>'Customer Data'!$H44</f>
        <v>1</v>
      </c>
      <c r="AV19" s="126">
        <f ca="1">HLOOKUP($B19,CDM!$B$1:$Q$22,17,FALSE)/12</f>
        <v>0</v>
      </c>
      <c r="AW19" s="188">
        <f t="shared" ca="1" si="7"/>
        <v>5506979.2687330004</v>
      </c>
      <c r="AX19" s="105">
        <v>1029233.76676</v>
      </c>
      <c r="AY19" s="105">
        <v>4066.5</v>
      </c>
      <c r="AZ19" s="88">
        <f>'Customer Data'!$I44</f>
        <v>23429</v>
      </c>
      <c r="BA19" s="126">
        <f ca="1">HLOOKUP($B19,CDM!$B$1:$Q$22,18,FALSE)/12</f>
        <v>0</v>
      </c>
      <c r="BB19" s="188">
        <f t="shared" ca="1" si="8"/>
        <v>4066.5</v>
      </c>
      <c r="BC19" s="186">
        <v>79570.517663000006</v>
      </c>
      <c r="BD19" s="186">
        <v>260.56338799999997</v>
      </c>
      <c r="BE19" s="188">
        <f>'Customer Data'!$J44</f>
        <v>677</v>
      </c>
      <c r="BF19" s="105">
        <v>324088.67747900001</v>
      </c>
      <c r="BG19" s="188">
        <f>'Customer Data'!$K44</f>
        <v>769</v>
      </c>
      <c r="BH19" s="188">
        <f>Weather!B187</f>
        <v>3.9000000000000004</v>
      </c>
      <c r="BI19" s="188">
        <f>Weather!$C187</f>
        <v>135.89999999999998</v>
      </c>
      <c r="BJ19" s="166">
        <f>Employment!B43</f>
        <v>6540.8</v>
      </c>
      <c r="BK19" s="188">
        <f>Employment!$C43</f>
        <v>150.5</v>
      </c>
      <c r="BL19" s="188">
        <f>Employment!D43</f>
        <v>555907.5</v>
      </c>
      <c r="BM19" s="188">
        <f t="shared" si="15"/>
        <v>18</v>
      </c>
      <c r="BN19" s="188">
        <f t="shared" ref="BN19:CA19" si="24">BN7</f>
        <v>0</v>
      </c>
      <c r="BO19" s="188">
        <f t="shared" si="24"/>
        <v>0</v>
      </c>
      <c r="BP19" s="188">
        <f t="shared" si="24"/>
        <v>0</v>
      </c>
      <c r="BQ19" s="188">
        <f t="shared" si="24"/>
        <v>0</v>
      </c>
      <c r="BR19" s="188">
        <f t="shared" si="24"/>
        <v>0</v>
      </c>
      <c r="BS19" s="188">
        <f t="shared" si="24"/>
        <v>1</v>
      </c>
      <c r="BT19" s="188">
        <f t="shared" si="24"/>
        <v>0</v>
      </c>
      <c r="BU19" s="188">
        <f t="shared" si="24"/>
        <v>0</v>
      </c>
      <c r="BV19" s="188">
        <f t="shared" si="24"/>
        <v>0</v>
      </c>
      <c r="BW19" s="188">
        <f t="shared" si="24"/>
        <v>0</v>
      </c>
      <c r="BX19" s="188">
        <f t="shared" si="24"/>
        <v>0</v>
      </c>
      <c r="BY19" s="188">
        <f t="shared" si="24"/>
        <v>0</v>
      </c>
      <c r="BZ19" s="188">
        <f t="shared" si="24"/>
        <v>0</v>
      </c>
      <c r="CA19" s="188">
        <f t="shared" si="24"/>
        <v>0</v>
      </c>
      <c r="CB19" s="188">
        <f t="shared" si="16"/>
        <v>0</v>
      </c>
      <c r="CC19" s="188">
        <f t="shared" si="20"/>
        <v>30</v>
      </c>
      <c r="CD19" s="121">
        <v>22</v>
      </c>
    </row>
    <row r="20" spans="1:82" s="188" customFormat="1" ht="15">
      <c r="A20" s="190">
        <v>40360</v>
      </c>
      <c r="B20" s="191">
        <f t="shared" si="0"/>
        <v>2010</v>
      </c>
      <c r="C20" s="186">
        <v>80507311.928886995</v>
      </c>
      <c r="D20" s="88">
        <f>('Customer Data'!$B44*2+'Customer Data'!$B47)/3</f>
        <v>76488.333333333328</v>
      </c>
      <c r="E20" s="188">
        <f ca="1">HLOOKUP($B20,CDM!$B$1:$Q$22,11,FALSE)/12</f>
        <v>788869.83086232108</v>
      </c>
      <c r="F20" s="189">
        <f t="shared" ca="1" si="1"/>
        <v>81296181.759749323</v>
      </c>
      <c r="G20" s="186">
        <v>22219543.749137998</v>
      </c>
      <c r="H20" s="88">
        <f>('Customer Data'!$C44*2+'Customer Data'!$C47)/3</f>
        <v>6962.333333333333</v>
      </c>
      <c r="I20" s="188">
        <f ca="1">HLOOKUP($B20,CDM!$B$1:$Q$22,12,FALSE)/12</f>
        <v>576049.28689553868</v>
      </c>
      <c r="J20" s="188">
        <f t="shared" ca="1" si="2"/>
        <v>22795593.036033537</v>
      </c>
      <c r="K20" s="186">
        <v>85369332.567442</v>
      </c>
      <c r="L20" s="186">
        <v>208616.73598300002</v>
      </c>
      <c r="M20" s="88">
        <f>('Customer Data'!$D44*2+'Customer Data'!$D47)/3</f>
        <v>1205</v>
      </c>
      <c r="N20" s="126">
        <f ca="1">HLOOKUP($B20,CDM!$B$1:$Q$22,13,FALSE)/12</f>
        <v>570478.28428523254</v>
      </c>
      <c r="O20" s="188">
        <f t="shared" ca="1" si="9"/>
        <v>85939810.851727232</v>
      </c>
      <c r="P20" s="188">
        <f t="shared" si="3"/>
        <v>208616.73598300002</v>
      </c>
      <c r="Q20" s="188">
        <v>215622.08730847065</v>
      </c>
      <c r="R20" s="188">
        <v>594.4</v>
      </c>
      <c r="S20" s="229">
        <v>0</v>
      </c>
      <c r="T20" s="189">
        <f t="shared" ca="1" si="10"/>
        <v>85724188.764418766</v>
      </c>
      <c r="U20" s="156">
        <f t="shared" si="11"/>
        <v>208022.33598300003</v>
      </c>
      <c r="V20" s="186">
        <v>4362344.081638</v>
      </c>
      <c r="W20" s="186">
        <v>12056.363036999999</v>
      </c>
      <c r="X20" s="88">
        <f>('Customer Data'!$E44*2+'Customer Data'!$E47)/3</f>
        <v>3</v>
      </c>
      <c r="Y20" s="126">
        <f ca="1">HLOOKUP($B20,CDM!$B$1:$Q$22,14,FALSE)/12</f>
        <v>0</v>
      </c>
      <c r="Z20" s="188">
        <f t="shared" ca="1" si="12"/>
        <v>4362344.081638</v>
      </c>
      <c r="AA20" s="186">
        <v>28114606.937438</v>
      </c>
      <c r="AB20" s="186">
        <v>53377.446679000001</v>
      </c>
      <c r="AC20" s="88">
        <f>('Customer Data'!$F44*2+'Customer Data'!$F47)/3</f>
        <v>6</v>
      </c>
      <c r="AD20" s="126">
        <f ca="1">HLOOKUP($B20,CDM!$B$1:$Q$22,15,FALSE)/12</f>
        <v>0</v>
      </c>
      <c r="AE20" s="188">
        <f t="shared" ca="1" si="4"/>
        <v>28114606.937438</v>
      </c>
      <c r="AF20" s="186">
        <v>30988503.815534003</v>
      </c>
      <c r="AG20" s="186">
        <v>69761.446127999996</v>
      </c>
      <c r="AH20" s="88">
        <f>('Customer Data'!$G44*2+'Customer Data'!$G47)/3</f>
        <v>3</v>
      </c>
      <c r="AI20" s="126">
        <f ca="1">HLOOKUP($B20,CDM!$B$1:$Q$22,16,FALSE)/12</f>
        <v>0</v>
      </c>
      <c r="AJ20" s="188">
        <f t="shared" ca="1" si="17"/>
        <v>22699970.843906328</v>
      </c>
      <c r="AK20" s="188">
        <f t="shared" si="6"/>
        <v>50358.046127999994</v>
      </c>
      <c r="AL20" s="188">
        <v>8288532.9716276759</v>
      </c>
      <c r="AM20" s="188">
        <v>19403.400000000001</v>
      </c>
      <c r="AN20" s="156">
        <v>3778444.4555276702</v>
      </c>
      <c r="AO20" s="156">
        <v>8387.1</v>
      </c>
      <c r="AP20" s="156">
        <v>0</v>
      </c>
      <c r="AQ20" s="156">
        <f t="shared" ca="1" si="13"/>
        <v>24336162.481910329</v>
      </c>
      <c r="AR20" s="156">
        <f t="shared" si="14"/>
        <v>44990.346679000002</v>
      </c>
      <c r="AS20" s="186">
        <v>4447324.4903659998</v>
      </c>
      <c r="AT20" s="186">
        <v>9327.2246099999993</v>
      </c>
      <c r="AU20" s="88">
        <f>('Customer Data'!$H44*2+'Customer Data'!$H47)/3</f>
        <v>1</v>
      </c>
      <c r="AV20" s="126">
        <f ca="1">HLOOKUP($B20,CDM!$B$1:$Q$22,17,FALSE)/12</f>
        <v>0</v>
      </c>
      <c r="AW20" s="188">
        <f t="shared" ca="1" si="7"/>
        <v>4447324.4903659998</v>
      </c>
      <c r="AX20" s="105">
        <v>1091610.4427380001</v>
      </c>
      <c r="AY20" s="105">
        <v>4066.5</v>
      </c>
      <c r="AZ20" s="88">
        <f>('Customer Data'!$I44*2+'Customer Data'!$I47)/3</f>
        <v>23433</v>
      </c>
      <c r="BA20" s="126">
        <f ca="1">HLOOKUP($B20,CDM!$B$1:$Q$22,18,FALSE)/12</f>
        <v>0</v>
      </c>
      <c r="BB20" s="188">
        <f t="shared" ca="1" si="8"/>
        <v>4066.5</v>
      </c>
      <c r="BC20" s="186">
        <v>82124.040299</v>
      </c>
      <c r="BD20" s="186">
        <v>221.38357400000001</v>
      </c>
      <c r="BE20" s="188">
        <f>('Customer Data'!$J44*2+'Customer Data'!$J47*1)/3</f>
        <v>673.66666666666663</v>
      </c>
      <c r="BF20" s="105">
        <v>334930.19945399999</v>
      </c>
      <c r="BG20" s="188">
        <f>('Customer Data'!$K44*2+'Customer Data'!$K47*1)/3</f>
        <v>769</v>
      </c>
      <c r="BH20" s="188">
        <f>Weather!B188</f>
        <v>0</v>
      </c>
      <c r="BI20" s="188">
        <f>Weather!$C188</f>
        <v>227.00000000000006</v>
      </c>
      <c r="BJ20" s="166">
        <f>Employment!B44</f>
        <v>6561</v>
      </c>
      <c r="BK20" s="188">
        <f>Employment!$C44</f>
        <v>148.69999999999999</v>
      </c>
      <c r="BL20" s="188">
        <f>Employment!D44</f>
        <v>555907.5</v>
      </c>
      <c r="BM20" s="188">
        <f t="shared" si="15"/>
        <v>19</v>
      </c>
      <c r="BN20" s="188">
        <f t="shared" ref="BN20:CA20" si="25">BN8</f>
        <v>0</v>
      </c>
      <c r="BO20" s="188">
        <f t="shared" si="25"/>
        <v>0</v>
      </c>
      <c r="BP20" s="188">
        <f t="shared" si="25"/>
        <v>0</v>
      </c>
      <c r="BQ20" s="188">
        <f t="shared" si="25"/>
        <v>0</v>
      </c>
      <c r="BR20" s="188">
        <f t="shared" si="25"/>
        <v>0</v>
      </c>
      <c r="BS20" s="188">
        <f t="shared" si="25"/>
        <v>0</v>
      </c>
      <c r="BT20" s="188">
        <f t="shared" si="25"/>
        <v>1</v>
      </c>
      <c r="BU20" s="188">
        <f t="shared" si="25"/>
        <v>0</v>
      </c>
      <c r="BV20" s="188">
        <f t="shared" si="25"/>
        <v>0</v>
      </c>
      <c r="BW20" s="188">
        <f t="shared" si="25"/>
        <v>0</v>
      </c>
      <c r="BX20" s="188">
        <f t="shared" si="25"/>
        <v>0</v>
      </c>
      <c r="BY20" s="188">
        <f t="shared" si="25"/>
        <v>0</v>
      </c>
      <c r="BZ20" s="188">
        <f t="shared" si="25"/>
        <v>0</v>
      </c>
      <c r="CA20" s="188">
        <f t="shared" si="25"/>
        <v>0</v>
      </c>
      <c r="CB20" s="188">
        <f t="shared" si="16"/>
        <v>0</v>
      </c>
      <c r="CC20" s="188">
        <f t="shared" si="20"/>
        <v>31</v>
      </c>
      <c r="CD20" s="121">
        <v>21</v>
      </c>
    </row>
    <row r="21" spans="1:82" s="188" customFormat="1" ht="15">
      <c r="A21" s="190">
        <v>40391</v>
      </c>
      <c r="B21" s="191">
        <f t="shared" si="0"/>
        <v>2010</v>
      </c>
      <c r="C21" s="186">
        <v>74289613.70826</v>
      </c>
      <c r="D21" s="88">
        <f>('Customer Data'!$B44+'Customer Data'!$B47*2)/3</f>
        <v>76501.666666666672</v>
      </c>
      <c r="E21" s="188">
        <f ca="1">HLOOKUP($B21,CDM!$B$1:$Q$22,11,FALSE)/12</f>
        <v>788869.83086232108</v>
      </c>
      <c r="F21" s="189">
        <f t="shared" ca="1" si="1"/>
        <v>75078483.539122328</v>
      </c>
      <c r="G21" s="186">
        <v>21540030.307355002</v>
      </c>
      <c r="H21" s="88">
        <f>('Customer Data'!$C44+'Customer Data'!$C47*2)/3</f>
        <v>6933.666666666667</v>
      </c>
      <c r="I21" s="188">
        <f ca="1">HLOOKUP($B21,CDM!$B$1:$Q$22,12,FALSE)/12</f>
        <v>576049.28689553868</v>
      </c>
      <c r="J21" s="188">
        <f t="shared" ca="1" si="2"/>
        <v>22116079.594250541</v>
      </c>
      <c r="K21" s="186">
        <v>85635181.845611006</v>
      </c>
      <c r="L21" s="186">
        <v>213498.659613</v>
      </c>
      <c r="M21" s="88">
        <f>('Customer Data'!$D44+'Customer Data'!$D47*2)/3</f>
        <v>1191</v>
      </c>
      <c r="N21" s="126">
        <f ca="1">HLOOKUP($B21,CDM!$B$1:$Q$22,13,FALSE)/12</f>
        <v>570478.28428523254</v>
      </c>
      <c r="O21" s="188">
        <f t="shared" ca="1" si="9"/>
        <v>86205660.129896238</v>
      </c>
      <c r="P21" s="188">
        <f t="shared" si="3"/>
        <v>213498.659613</v>
      </c>
      <c r="Q21" s="188">
        <v>242880.0327647682</v>
      </c>
      <c r="R21" s="188">
        <v>768.9</v>
      </c>
      <c r="S21" s="229">
        <v>0</v>
      </c>
      <c r="T21" s="189">
        <f t="shared" ca="1" si="10"/>
        <v>85962780.097131476</v>
      </c>
      <c r="U21" s="156">
        <f t="shared" si="11"/>
        <v>212729.759613</v>
      </c>
      <c r="V21" s="186">
        <v>4421103.6722379997</v>
      </c>
      <c r="W21" s="186">
        <v>12106.988415</v>
      </c>
      <c r="X21" s="88">
        <f>('Customer Data'!$E44+'Customer Data'!$E47*2)/3</f>
        <v>3</v>
      </c>
      <c r="Y21" s="126">
        <f ca="1">HLOOKUP($B21,CDM!$B$1:$Q$22,14,FALSE)/12</f>
        <v>0</v>
      </c>
      <c r="Z21" s="188">
        <f t="shared" ca="1" si="12"/>
        <v>4421103.6722379997</v>
      </c>
      <c r="AA21" s="186">
        <v>28003793.798920002</v>
      </c>
      <c r="AB21" s="186">
        <v>52440.371547999996</v>
      </c>
      <c r="AC21" s="88">
        <f>('Customer Data'!$F44+'Customer Data'!$F47*2)/3</f>
        <v>6</v>
      </c>
      <c r="AD21" s="126">
        <f ca="1">HLOOKUP($B21,CDM!$B$1:$Q$22,15,FALSE)/12</f>
        <v>0</v>
      </c>
      <c r="AE21" s="188">
        <f t="shared" ca="1" si="4"/>
        <v>28003793.798920002</v>
      </c>
      <c r="AF21" s="186">
        <v>33263892.043074001</v>
      </c>
      <c r="AG21" s="186">
        <v>58188.620556000009</v>
      </c>
      <c r="AH21" s="88">
        <f>('Customer Data'!$G44+'Customer Data'!$G47*2)/3</f>
        <v>3</v>
      </c>
      <c r="AI21" s="126">
        <f ca="1">HLOOKUP($B21,CDM!$B$1:$Q$22,16,FALSE)/12</f>
        <v>0</v>
      </c>
      <c r="AJ21" s="188">
        <f t="shared" ca="1" si="17"/>
        <v>30582495.567215364</v>
      </c>
      <c r="AK21" s="188">
        <f t="shared" si="6"/>
        <v>52612.820556000006</v>
      </c>
      <c r="AL21" s="188">
        <v>2681396.4758586362</v>
      </c>
      <c r="AM21" s="188">
        <v>5575.8</v>
      </c>
      <c r="AN21" s="156">
        <v>4822721.1632773001</v>
      </c>
      <c r="AO21" s="156">
        <v>8509.6</v>
      </c>
      <c r="AP21" s="156">
        <v>0</v>
      </c>
      <c r="AQ21" s="156">
        <f t="shared" ca="1" si="13"/>
        <v>23181072.6356427</v>
      </c>
      <c r="AR21" s="156">
        <f t="shared" si="14"/>
        <v>43930.771547999997</v>
      </c>
      <c r="AS21" s="186">
        <v>5425577.0711439997</v>
      </c>
      <c r="AT21" s="186">
        <v>9505.5206400000006</v>
      </c>
      <c r="AU21" s="88">
        <f>('Customer Data'!$H44+'Customer Data'!$H47*2)/3</f>
        <v>1</v>
      </c>
      <c r="AV21" s="126">
        <f ca="1">HLOOKUP($B21,CDM!$B$1:$Q$22,17,FALSE)/12</f>
        <v>0</v>
      </c>
      <c r="AW21" s="188">
        <f t="shared" ca="1" si="7"/>
        <v>5425577.0711439997</v>
      </c>
      <c r="AX21" s="105">
        <v>1224368.6148049999</v>
      </c>
      <c r="AY21" s="105">
        <v>4067.73</v>
      </c>
      <c r="AZ21" s="88">
        <f>('Customer Data'!$I44+'Customer Data'!$I47*2)/3</f>
        <v>23437</v>
      </c>
      <c r="BA21" s="126">
        <f ca="1">HLOOKUP($B21,CDM!$B$1:$Q$22,18,FALSE)/12</f>
        <v>0</v>
      </c>
      <c r="BB21" s="188">
        <f t="shared" ca="1" si="8"/>
        <v>4067.73</v>
      </c>
      <c r="BC21" s="186">
        <v>82124.040307999996</v>
      </c>
      <c r="BD21" s="186">
        <v>222.303574</v>
      </c>
      <c r="BE21" s="188">
        <f>('Customer Data'!$J44*1+'Customer Data'!$J47*2)/3</f>
        <v>670.33333333333337</v>
      </c>
      <c r="BF21" s="105">
        <v>335496.95284599997</v>
      </c>
      <c r="BG21" s="188">
        <f>('Customer Data'!$K44*1+'Customer Data'!$K47*2)/3</f>
        <v>769</v>
      </c>
      <c r="BH21" s="188">
        <f>Weather!B189</f>
        <v>0</v>
      </c>
      <c r="BI21" s="188">
        <f>Weather!$C189</f>
        <v>211.80000000000004</v>
      </c>
      <c r="BJ21" s="166">
        <f>Employment!B45</f>
        <v>6568.9</v>
      </c>
      <c r="BK21" s="188">
        <f>Employment!$C45</f>
        <v>148</v>
      </c>
      <c r="BL21" s="188">
        <f>Employment!D45</f>
        <v>555907.5</v>
      </c>
      <c r="BM21" s="188">
        <f t="shared" si="15"/>
        <v>20</v>
      </c>
      <c r="BN21" s="188">
        <f t="shared" ref="BN21:CA21" si="26">BN9</f>
        <v>0</v>
      </c>
      <c r="BO21" s="188">
        <f t="shared" si="26"/>
        <v>0</v>
      </c>
      <c r="BP21" s="188">
        <f t="shared" si="26"/>
        <v>0</v>
      </c>
      <c r="BQ21" s="188">
        <f t="shared" si="26"/>
        <v>0</v>
      </c>
      <c r="BR21" s="188">
        <f t="shared" si="26"/>
        <v>0</v>
      </c>
      <c r="BS21" s="188">
        <f t="shared" si="26"/>
        <v>0</v>
      </c>
      <c r="BT21" s="188">
        <f t="shared" si="26"/>
        <v>0</v>
      </c>
      <c r="BU21" s="188">
        <f t="shared" si="26"/>
        <v>1</v>
      </c>
      <c r="BV21" s="188">
        <f t="shared" si="26"/>
        <v>0</v>
      </c>
      <c r="BW21" s="188">
        <f t="shared" si="26"/>
        <v>0</v>
      </c>
      <c r="BX21" s="188">
        <f t="shared" si="26"/>
        <v>0</v>
      </c>
      <c r="BY21" s="188">
        <f t="shared" si="26"/>
        <v>0</v>
      </c>
      <c r="BZ21" s="188">
        <f t="shared" si="26"/>
        <v>0</v>
      </c>
      <c r="CA21" s="188">
        <f t="shared" si="26"/>
        <v>0</v>
      </c>
      <c r="CB21" s="188">
        <f t="shared" si="16"/>
        <v>0</v>
      </c>
      <c r="CC21" s="188">
        <f t="shared" si="20"/>
        <v>31</v>
      </c>
      <c r="CD21" s="121">
        <v>21</v>
      </c>
    </row>
    <row r="22" spans="1:82" s="188" customFormat="1" ht="15">
      <c r="A22" s="190">
        <v>40422</v>
      </c>
      <c r="B22" s="191">
        <f t="shared" si="0"/>
        <v>2010</v>
      </c>
      <c r="C22" s="186">
        <v>49204339.140667997</v>
      </c>
      <c r="D22" s="88">
        <f>'Customer Data'!$B47</f>
        <v>76515</v>
      </c>
      <c r="E22" s="188">
        <f ca="1">HLOOKUP($B22,CDM!$B$1:$Q$22,11,FALSE)/12</f>
        <v>788869.83086232108</v>
      </c>
      <c r="F22" s="189">
        <f t="shared" ca="1" si="1"/>
        <v>49993208.971530318</v>
      </c>
      <c r="G22" s="186">
        <v>17758713.939311001</v>
      </c>
      <c r="H22" s="88">
        <f>'Customer Data'!$C47</f>
        <v>6905</v>
      </c>
      <c r="I22" s="188">
        <f ca="1">HLOOKUP($B22,CDM!$B$1:$Q$22,12,FALSE)/12</f>
        <v>576049.28689553868</v>
      </c>
      <c r="J22" s="188">
        <f t="shared" ca="1" si="2"/>
        <v>18334763.226206541</v>
      </c>
      <c r="K22" s="186">
        <v>74573897.131026998</v>
      </c>
      <c r="L22" s="186">
        <v>213966.51137700002</v>
      </c>
      <c r="M22" s="88">
        <f>'Customer Data'!$D47</f>
        <v>1177</v>
      </c>
      <c r="N22" s="126">
        <f ca="1">HLOOKUP($B22,CDM!$B$1:$Q$22,13,FALSE)/12</f>
        <v>570478.28428523254</v>
      </c>
      <c r="O22" s="188">
        <f t="shared" ca="1" si="9"/>
        <v>75144375.415312231</v>
      </c>
      <c r="P22" s="188">
        <f t="shared" si="3"/>
        <v>213966.51137700002</v>
      </c>
      <c r="Q22" s="188">
        <v>177968.16035463041</v>
      </c>
      <c r="R22" s="188">
        <v>542.9</v>
      </c>
      <c r="S22" s="229">
        <v>0</v>
      </c>
      <c r="T22" s="189">
        <f t="shared" ca="1" si="10"/>
        <v>74966407.254957601</v>
      </c>
      <c r="U22" s="156">
        <f t="shared" si="11"/>
        <v>213423.61137700002</v>
      </c>
      <c r="V22" s="186">
        <v>4336552.6475419998</v>
      </c>
      <c r="W22" s="186">
        <v>11551.566645000001</v>
      </c>
      <c r="X22" s="88">
        <f>'Customer Data'!$E47</f>
        <v>3</v>
      </c>
      <c r="Y22" s="126">
        <f ca="1">HLOOKUP($B22,CDM!$B$1:$Q$22,14,FALSE)/12</f>
        <v>0</v>
      </c>
      <c r="Z22" s="188">
        <f t="shared" ca="1" si="12"/>
        <v>4336552.6475419998</v>
      </c>
      <c r="AA22" s="186">
        <v>25632165.922669999</v>
      </c>
      <c r="AB22" s="186">
        <v>51565.613297999997</v>
      </c>
      <c r="AC22" s="88">
        <f>'Customer Data'!$F47</f>
        <v>6</v>
      </c>
      <c r="AD22" s="126">
        <f ca="1">HLOOKUP($B22,CDM!$B$1:$Q$22,15,FALSE)/12</f>
        <v>0</v>
      </c>
      <c r="AE22" s="188">
        <f t="shared" ca="1" si="4"/>
        <v>25632165.922669999</v>
      </c>
      <c r="AF22" s="186">
        <v>27823102.454672001</v>
      </c>
      <c r="AG22" s="186">
        <v>55400.574240000002</v>
      </c>
      <c r="AH22" s="88">
        <f>'Customer Data'!$G47</f>
        <v>3</v>
      </c>
      <c r="AI22" s="126">
        <f ca="1">HLOOKUP($B22,CDM!$B$1:$Q$22,16,FALSE)/12</f>
        <v>0</v>
      </c>
      <c r="AJ22" s="188">
        <f t="shared" ca="1" si="17"/>
        <v>25658166.715498284</v>
      </c>
      <c r="AK22" s="188">
        <f t="shared" si="6"/>
        <v>51140.67424</v>
      </c>
      <c r="AL22" s="188">
        <v>2164935.7391737187</v>
      </c>
      <c r="AM22" s="188">
        <v>4259.8999999999996</v>
      </c>
      <c r="AN22" s="156">
        <v>4244842.7985209608</v>
      </c>
      <c r="AO22" s="156">
        <v>8021.7</v>
      </c>
      <c r="AP22" s="156">
        <v>0</v>
      </c>
      <c r="AQ22" s="156">
        <f t="shared" ca="1" si="13"/>
        <v>21387323.124149039</v>
      </c>
      <c r="AR22" s="156">
        <f t="shared" si="14"/>
        <v>43543.913297999999</v>
      </c>
      <c r="AS22" s="186">
        <v>5026382.8490239996</v>
      </c>
      <c r="AT22" s="186">
        <v>9304.4159999999993</v>
      </c>
      <c r="AU22" s="88">
        <f>'Customer Data'!$H47</f>
        <v>1</v>
      </c>
      <c r="AV22" s="126">
        <f ca="1">HLOOKUP($B22,CDM!$B$1:$Q$22,17,FALSE)/12</f>
        <v>0</v>
      </c>
      <c r="AW22" s="188">
        <f t="shared" ca="1" si="7"/>
        <v>5026382.8490239996</v>
      </c>
      <c r="AX22" s="105">
        <v>1369524.2628860001</v>
      </c>
      <c r="AY22" s="105">
        <v>4068.86</v>
      </c>
      <c r="AZ22" s="88">
        <f>'Customer Data'!$I47</f>
        <v>23441</v>
      </c>
      <c r="BA22" s="126">
        <f ca="1">HLOOKUP($B22,CDM!$B$1:$Q$22,18,FALSE)/12</f>
        <v>0</v>
      </c>
      <c r="BB22" s="188">
        <f t="shared" ca="1" si="8"/>
        <v>4068.86</v>
      </c>
      <c r="BC22" s="186">
        <v>78665.602276999998</v>
      </c>
      <c r="BD22" s="186">
        <v>222.62356</v>
      </c>
      <c r="BE22" s="188">
        <f>'Customer Data'!$J47</f>
        <v>667</v>
      </c>
      <c r="BF22" s="105">
        <v>324556.71313500003</v>
      </c>
      <c r="BG22" s="188">
        <f>'Customer Data'!$K47</f>
        <v>769</v>
      </c>
      <c r="BH22" s="188">
        <f>Weather!B190</f>
        <v>38</v>
      </c>
      <c r="BI22" s="188">
        <f>Weather!$C190</f>
        <v>59.699999999999989</v>
      </c>
      <c r="BJ22" s="166">
        <f>Employment!B46</f>
        <v>6556</v>
      </c>
      <c r="BK22" s="188">
        <f>Employment!$C46</f>
        <v>146.9</v>
      </c>
      <c r="BL22" s="188">
        <f>Employment!D46</f>
        <v>555907.5</v>
      </c>
      <c r="BM22" s="188">
        <f t="shared" si="15"/>
        <v>21</v>
      </c>
      <c r="BN22" s="188">
        <f t="shared" ref="BN22:CA22" si="27">BN10</f>
        <v>0</v>
      </c>
      <c r="BO22" s="188">
        <f t="shared" si="27"/>
        <v>0</v>
      </c>
      <c r="BP22" s="188">
        <f t="shared" si="27"/>
        <v>0</v>
      </c>
      <c r="BQ22" s="188">
        <f t="shared" si="27"/>
        <v>0</v>
      </c>
      <c r="BR22" s="188">
        <f t="shared" si="27"/>
        <v>0</v>
      </c>
      <c r="BS22" s="188">
        <f t="shared" si="27"/>
        <v>0</v>
      </c>
      <c r="BT22" s="188">
        <f t="shared" si="27"/>
        <v>0</v>
      </c>
      <c r="BU22" s="188">
        <f t="shared" si="27"/>
        <v>0</v>
      </c>
      <c r="BV22" s="188">
        <f t="shared" si="27"/>
        <v>1</v>
      </c>
      <c r="BW22" s="188">
        <f t="shared" si="27"/>
        <v>0</v>
      </c>
      <c r="BX22" s="188">
        <f t="shared" si="27"/>
        <v>0</v>
      </c>
      <c r="BY22" s="188">
        <f t="shared" si="27"/>
        <v>0</v>
      </c>
      <c r="BZ22" s="188">
        <f t="shared" si="27"/>
        <v>0</v>
      </c>
      <c r="CA22" s="188">
        <f t="shared" si="27"/>
        <v>1</v>
      </c>
      <c r="CB22" s="188">
        <f t="shared" si="16"/>
        <v>1</v>
      </c>
      <c r="CC22" s="188">
        <f t="shared" si="20"/>
        <v>30</v>
      </c>
      <c r="CD22" s="121">
        <v>21</v>
      </c>
    </row>
    <row r="23" spans="1:82" s="188" customFormat="1" ht="15">
      <c r="A23" s="190">
        <v>40452</v>
      </c>
      <c r="B23" s="191">
        <f t="shared" si="0"/>
        <v>2010</v>
      </c>
      <c r="C23" s="186">
        <v>41548969.648621999</v>
      </c>
      <c r="D23" s="88">
        <f>('Customer Data'!$B47*2+'Customer Data'!$B50)/3</f>
        <v>76583.333333333328</v>
      </c>
      <c r="E23" s="188">
        <f ca="1">HLOOKUP($B23,CDM!$B$1:$Q$22,11,FALSE)/12</f>
        <v>788869.83086232108</v>
      </c>
      <c r="F23" s="189">
        <f t="shared" ca="1" si="1"/>
        <v>42337839.47948432</v>
      </c>
      <c r="G23" s="186">
        <v>16496518.665440999</v>
      </c>
      <c r="H23" s="88">
        <f>('Customer Data'!$C47*2+'Customer Data'!$C50)/3</f>
        <v>6916.666666666667</v>
      </c>
      <c r="I23" s="188">
        <f ca="1">HLOOKUP($B23,CDM!$B$1:$Q$22,12,FALSE)/12</f>
        <v>576049.28689553868</v>
      </c>
      <c r="J23" s="188">
        <f t="shared" ca="1" si="2"/>
        <v>17072567.952336539</v>
      </c>
      <c r="K23" s="186">
        <v>73142223.311222002</v>
      </c>
      <c r="L23" s="186">
        <v>193334.74792299999</v>
      </c>
      <c r="M23" s="88">
        <f>('Customer Data'!$D47*2+'Customer Data'!$D50)/3</f>
        <v>1177.3333333333333</v>
      </c>
      <c r="N23" s="126">
        <f ca="1">HLOOKUP($B23,CDM!$B$1:$Q$22,13,FALSE)/12</f>
        <v>570478.28428523254</v>
      </c>
      <c r="O23" s="188">
        <f t="shared" ca="1" si="9"/>
        <v>73712701.595507234</v>
      </c>
      <c r="P23" s="188">
        <f t="shared" si="3"/>
        <v>193334.74792299999</v>
      </c>
      <c r="Q23" s="188">
        <v>195975.54206418039</v>
      </c>
      <c r="R23" s="188">
        <v>572.1</v>
      </c>
      <c r="S23" s="229">
        <v>0</v>
      </c>
      <c r="T23" s="189">
        <f t="shared" ca="1" si="10"/>
        <v>73516726.053443059</v>
      </c>
      <c r="U23" s="156">
        <f t="shared" si="11"/>
        <v>192762.64792299998</v>
      </c>
      <c r="V23" s="186">
        <v>4409060.9406300001</v>
      </c>
      <c r="W23" s="186">
        <v>11325.781944</v>
      </c>
      <c r="X23" s="88">
        <f>('Customer Data'!$E47*2+'Customer Data'!$E50)/3</f>
        <v>3</v>
      </c>
      <c r="Y23" s="126">
        <f ca="1">HLOOKUP($B23,CDM!$B$1:$Q$22,14,FALSE)/12</f>
        <v>0</v>
      </c>
      <c r="Z23" s="188">
        <f t="shared" ca="1" si="12"/>
        <v>4409060.9406300001</v>
      </c>
      <c r="AA23" s="186">
        <v>22852757.804852001</v>
      </c>
      <c r="AB23" s="186">
        <v>44921.158302000003</v>
      </c>
      <c r="AC23" s="88">
        <f>('Customer Data'!$F47*2+'Customer Data'!$F50)/3</f>
        <v>6</v>
      </c>
      <c r="AD23" s="126">
        <f ca="1">HLOOKUP($B23,CDM!$B$1:$Q$22,15,FALSE)/12</f>
        <v>0</v>
      </c>
      <c r="AE23" s="188">
        <f t="shared" ca="1" si="4"/>
        <v>22852757.804852001</v>
      </c>
      <c r="AF23" s="186">
        <v>27097283.641787998</v>
      </c>
      <c r="AG23" s="186">
        <v>46757.527344000002</v>
      </c>
      <c r="AH23" s="88">
        <f>('Customer Data'!$G47*2+'Customer Data'!$G50)/3</f>
        <v>3</v>
      </c>
      <c r="AI23" s="126">
        <f ca="1">HLOOKUP($B23,CDM!$B$1:$Q$22,16,FALSE)/12</f>
        <v>0</v>
      </c>
      <c r="AJ23" s="188">
        <f t="shared" ca="1" si="17"/>
        <v>25066301.431733243</v>
      </c>
      <c r="AK23" s="188">
        <f t="shared" si="6"/>
        <v>43448.427344000003</v>
      </c>
      <c r="AL23" s="188">
        <v>2030982.2100547536</v>
      </c>
      <c r="AM23" s="188">
        <v>3309.1</v>
      </c>
      <c r="AN23" s="156">
        <v>4468039.4860489657</v>
      </c>
      <c r="AO23" s="156">
        <v>7643</v>
      </c>
      <c r="AP23" s="156">
        <v>0</v>
      </c>
      <c r="AQ23" s="156">
        <f t="shared" ca="1" si="13"/>
        <v>18384718.318803035</v>
      </c>
      <c r="AR23" s="156">
        <f t="shared" si="14"/>
        <v>37278.158302000003</v>
      </c>
      <c r="AS23" s="186">
        <v>5035921.8326509995</v>
      </c>
      <c r="AT23" s="186">
        <v>8252.5132799999992</v>
      </c>
      <c r="AU23" s="88">
        <f>('Customer Data'!$H47*2+'Customer Data'!$H50)/3</f>
        <v>1</v>
      </c>
      <c r="AV23" s="126">
        <f ca="1">HLOOKUP($B23,CDM!$B$1:$Q$22,17,FALSE)/12</f>
        <v>0</v>
      </c>
      <c r="AW23" s="188">
        <f t="shared" ca="1" si="7"/>
        <v>5035921.8326509995</v>
      </c>
      <c r="AX23" s="105">
        <v>1581210.9748750001</v>
      </c>
      <c r="AY23" s="105">
        <v>4067.73</v>
      </c>
      <c r="AZ23" s="88">
        <f>('Customer Data'!$I47*2+'Customer Data'!$I50)/3</f>
        <v>23442.666666666668</v>
      </c>
      <c r="BA23" s="126">
        <f ca="1">HLOOKUP($B23,CDM!$B$1:$Q$22,18,FALSE)/12</f>
        <v>0</v>
      </c>
      <c r="BB23" s="188">
        <f t="shared" ca="1" si="8"/>
        <v>4067.73</v>
      </c>
      <c r="BC23" s="186">
        <v>77868.503660999995</v>
      </c>
      <c r="BD23" s="186">
        <v>180.223814</v>
      </c>
      <c r="BE23" s="188">
        <f>('Customer Data'!$J47*2+'Customer Data'!$J50*1)/3</f>
        <v>661.33333333333337</v>
      </c>
      <c r="BF23" s="105">
        <v>324684.13391999999</v>
      </c>
      <c r="BG23" s="188">
        <f>('Customer Data'!$K47*2+'Customer Data'!$K50*1)/3</f>
        <v>770</v>
      </c>
      <c r="BH23" s="188">
        <f>Weather!B191</f>
        <v>157.6</v>
      </c>
      <c r="BI23" s="188">
        <f>Weather!$C191</f>
        <v>1.4000000000000001</v>
      </c>
      <c r="BJ23" s="166">
        <f>Employment!B47</f>
        <v>6551.6</v>
      </c>
      <c r="BK23" s="188">
        <f>Employment!$C47</f>
        <v>146.4</v>
      </c>
      <c r="BL23" s="188">
        <f>Employment!D47</f>
        <v>555907.5</v>
      </c>
      <c r="BM23" s="188">
        <f t="shared" si="15"/>
        <v>22</v>
      </c>
      <c r="BN23" s="188">
        <f t="shared" ref="BN23:CA23" si="28">BN11</f>
        <v>0</v>
      </c>
      <c r="BO23" s="188">
        <f t="shared" si="28"/>
        <v>0</v>
      </c>
      <c r="BP23" s="188">
        <f t="shared" si="28"/>
        <v>0</v>
      </c>
      <c r="BQ23" s="188">
        <f t="shared" si="28"/>
        <v>0</v>
      </c>
      <c r="BR23" s="188">
        <f t="shared" si="28"/>
        <v>0</v>
      </c>
      <c r="BS23" s="188">
        <f t="shared" si="28"/>
        <v>0</v>
      </c>
      <c r="BT23" s="188">
        <f t="shared" si="28"/>
        <v>0</v>
      </c>
      <c r="BU23" s="188">
        <f t="shared" si="28"/>
        <v>0</v>
      </c>
      <c r="BV23" s="188">
        <f t="shared" si="28"/>
        <v>0</v>
      </c>
      <c r="BW23" s="188">
        <f t="shared" si="28"/>
        <v>1</v>
      </c>
      <c r="BX23" s="188">
        <f t="shared" si="28"/>
        <v>0</v>
      </c>
      <c r="BY23" s="188">
        <f t="shared" si="28"/>
        <v>0</v>
      </c>
      <c r="BZ23" s="188">
        <f t="shared" si="28"/>
        <v>0</v>
      </c>
      <c r="CA23" s="188">
        <f t="shared" si="28"/>
        <v>1</v>
      </c>
      <c r="CB23" s="188">
        <f t="shared" si="16"/>
        <v>1</v>
      </c>
      <c r="CC23" s="188">
        <f t="shared" si="20"/>
        <v>31</v>
      </c>
      <c r="CD23" s="121">
        <v>20</v>
      </c>
    </row>
    <row r="24" spans="1:82" s="188" customFormat="1" ht="15">
      <c r="A24" s="190">
        <v>40483</v>
      </c>
      <c r="B24" s="191">
        <f t="shared" si="0"/>
        <v>2010</v>
      </c>
      <c r="C24" s="186">
        <v>44887318.226687998</v>
      </c>
      <c r="D24" s="88">
        <f>('Customer Data'!$B47+'Customer Data'!$B50*2)/3</f>
        <v>76651.666666666672</v>
      </c>
      <c r="E24" s="188">
        <f ca="1">HLOOKUP($B24,CDM!$B$1:$Q$22,11,FALSE)/12</f>
        <v>788869.83086232108</v>
      </c>
      <c r="F24" s="189">
        <f t="shared" ca="1" si="1"/>
        <v>45676188.057550319</v>
      </c>
      <c r="G24" s="186">
        <v>16819808.463787999</v>
      </c>
      <c r="H24" s="88">
        <f>('Customer Data'!$C47+'Customer Data'!$C50*2)/3</f>
        <v>6928.333333333333</v>
      </c>
      <c r="I24" s="188">
        <f ca="1">HLOOKUP($B24,CDM!$B$1:$Q$22,12,FALSE)/12</f>
        <v>576049.28689553868</v>
      </c>
      <c r="J24" s="188">
        <f t="shared" ca="1" si="2"/>
        <v>17395857.750683539</v>
      </c>
      <c r="K24" s="186">
        <v>75653383.231676996</v>
      </c>
      <c r="L24" s="186">
        <v>195680.03027699998</v>
      </c>
      <c r="M24" s="88">
        <f>('Customer Data'!$D47+'Customer Data'!$D50*2)/3</f>
        <v>1177.6666666666667</v>
      </c>
      <c r="N24" s="126">
        <f ca="1">HLOOKUP($B24,CDM!$B$1:$Q$22,13,FALSE)/12</f>
        <v>570478.28428523254</v>
      </c>
      <c r="O24" s="188">
        <f t="shared" ca="1" si="9"/>
        <v>76223861.515962228</v>
      </c>
      <c r="P24" s="188">
        <f t="shared" si="3"/>
        <v>195680.03027699998</v>
      </c>
      <c r="Q24" s="188">
        <v>186458.2152838007</v>
      </c>
      <c r="R24" s="188">
        <v>496.6</v>
      </c>
      <c r="S24" s="229">
        <v>0</v>
      </c>
      <c r="T24" s="189">
        <f t="shared" ca="1" si="10"/>
        <v>76037403.300678432</v>
      </c>
      <c r="U24" s="156">
        <f t="shared" si="11"/>
        <v>195183.43027699998</v>
      </c>
      <c r="V24" s="186">
        <v>4233860.37414</v>
      </c>
      <c r="W24" s="186">
        <v>11058.923304</v>
      </c>
      <c r="X24" s="88">
        <f>('Customer Data'!$E47+'Customer Data'!$E50*2)/3</f>
        <v>3</v>
      </c>
      <c r="Y24" s="126">
        <f ca="1">HLOOKUP($B24,CDM!$B$1:$Q$22,14,FALSE)/12</f>
        <v>0</v>
      </c>
      <c r="Z24" s="188">
        <f t="shared" ca="1" si="12"/>
        <v>4233860.37414</v>
      </c>
      <c r="AA24" s="186">
        <v>23723679.543327</v>
      </c>
      <c r="AB24" s="186">
        <v>44182.930100999998</v>
      </c>
      <c r="AC24" s="88">
        <f>('Customer Data'!$F47+'Customer Data'!$F50*2)/3</f>
        <v>6</v>
      </c>
      <c r="AD24" s="126">
        <f ca="1">HLOOKUP($B24,CDM!$B$1:$Q$22,15,FALSE)/12</f>
        <v>0</v>
      </c>
      <c r="AE24" s="188">
        <f t="shared" ca="1" si="4"/>
        <v>23723679.543327</v>
      </c>
      <c r="AF24" s="186">
        <v>21618152.654238999</v>
      </c>
      <c r="AG24" s="186">
        <v>44737.895862000005</v>
      </c>
      <c r="AH24" s="88">
        <f>('Customer Data'!$G47+'Customer Data'!$G50*2)/3</f>
        <v>3</v>
      </c>
      <c r="AI24" s="126">
        <f ca="1">HLOOKUP($B24,CDM!$B$1:$Q$22,16,FALSE)/12</f>
        <v>0</v>
      </c>
      <c r="AJ24" s="188">
        <f t="shared" ca="1" si="17"/>
        <v>19838497.114169311</v>
      </c>
      <c r="AK24" s="188">
        <f t="shared" si="6"/>
        <v>41356.395862000005</v>
      </c>
      <c r="AL24" s="188">
        <v>1779655.5400696865</v>
      </c>
      <c r="AM24" s="188">
        <v>3381.5</v>
      </c>
      <c r="AN24" s="156">
        <v>4388227.7459075358</v>
      </c>
      <c r="AO24" s="156">
        <v>7958.2</v>
      </c>
      <c r="AP24" s="156">
        <v>0</v>
      </c>
      <c r="AQ24" s="156">
        <f t="shared" ca="1" si="13"/>
        <v>19335451.797419466</v>
      </c>
      <c r="AR24" s="156">
        <f t="shared" si="14"/>
        <v>36224.730101000001</v>
      </c>
      <c r="AS24" s="186">
        <v>3671621.1060739998</v>
      </c>
      <c r="AT24" s="186">
        <v>6130.4611500000001</v>
      </c>
      <c r="AU24" s="88">
        <f>('Customer Data'!$H47+'Customer Data'!$H50*2)/3</f>
        <v>1</v>
      </c>
      <c r="AV24" s="126">
        <f ca="1">HLOOKUP($B24,CDM!$B$1:$Q$22,17,FALSE)/12</f>
        <v>0</v>
      </c>
      <c r="AW24" s="188">
        <f t="shared" ca="1" si="7"/>
        <v>3671621.1060739998</v>
      </c>
      <c r="AX24" s="105">
        <v>1695505.5898740001</v>
      </c>
      <c r="AY24" s="105">
        <v>4067.76</v>
      </c>
      <c r="AZ24" s="88">
        <f>('Customer Data'!$I47+'Customer Data'!$I50*2)/3</f>
        <v>23444.333333333332</v>
      </c>
      <c r="BA24" s="126">
        <f ca="1">HLOOKUP($B24,CDM!$B$1:$Q$22,18,FALSE)/12</f>
        <v>0</v>
      </c>
      <c r="BB24" s="188">
        <f t="shared" ca="1" si="8"/>
        <v>4067.76</v>
      </c>
      <c r="BC24" s="186">
        <v>74887.423349000004</v>
      </c>
      <c r="BD24" s="186">
        <v>242.86344800000001</v>
      </c>
      <c r="BE24" s="188">
        <f>('Customer Data'!$J47*1+'Customer Data'!$J50*2)/3</f>
        <v>655.66666666666663</v>
      </c>
      <c r="BF24" s="105">
        <v>314154.56845899997</v>
      </c>
      <c r="BG24" s="188">
        <f>('Customer Data'!$K47*1+'Customer Data'!$K50*2)/3</f>
        <v>771</v>
      </c>
      <c r="BH24" s="188">
        <f>Weather!B192</f>
        <v>376.59999999999991</v>
      </c>
      <c r="BI24" s="188">
        <f>Weather!$C192</f>
        <v>0</v>
      </c>
      <c r="BJ24" s="166">
        <f>Employment!B48</f>
        <v>6555.7</v>
      </c>
      <c r="BK24" s="188">
        <f>Employment!$C48</f>
        <v>145.4</v>
      </c>
      <c r="BL24" s="188">
        <f>Employment!D48</f>
        <v>555907.5</v>
      </c>
      <c r="BM24" s="188">
        <f t="shared" si="15"/>
        <v>23</v>
      </c>
      <c r="BN24" s="188">
        <f t="shared" ref="BN24:CA24" si="29">BN12</f>
        <v>0</v>
      </c>
      <c r="BO24" s="188">
        <f t="shared" si="29"/>
        <v>0</v>
      </c>
      <c r="BP24" s="188">
        <f t="shared" si="29"/>
        <v>0</v>
      </c>
      <c r="BQ24" s="188">
        <f t="shared" si="29"/>
        <v>0</v>
      </c>
      <c r="BR24" s="188">
        <f t="shared" si="29"/>
        <v>0</v>
      </c>
      <c r="BS24" s="188">
        <f t="shared" si="29"/>
        <v>0</v>
      </c>
      <c r="BT24" s="188">
        <f t="shared" si="29"/>
        <v>0</v>
      </c>
      <c r="BU24" s="188">
        <f t="shared" si="29"/>
        <v>0</v>
      </c>
      <c r="BV24" s="188">
        <f t="shared" si="29"/>
        <v>0</v>
      </c>
      <c r="BW24" s="188">
        <f t="shared" si="29"/>
        <v>0</v>
      </c>
      <c r="BX24" s="188">
        <f t="shared" si="29"/>
        <v>1</v>
      </c>
      <c r="BY24" s="188">
        <f t="shared" si="29"/>
        <v>0</v>
      </c>
      <c r="BZ24" s="188">
        <f t="shared" si="29"/>
        <v>0</v>
      </c>
      <c r="CA24" s="188">
        <f t="shared" si="29"/>
        <v>1</v>
      </c>
      <c r="CB24" s="188">
        <f t="shared" si="16"/>
        <v>1</v>
      </c>
      <c r="CC24" s="188">
        <f t="shared" si="20"/>
        <v>30</v>
      </c>
      <c r="CD24" s="121">
        <v>22</v>
      </c>
    </row>
    <row r="25" spans="1:82" s="188" customFormat="1" ht="15">
      <c r="A25" s="190">
        <v>40513</v>
      </c>
      <c r="B25" s="191">
        <f t="shared" si="0"/>
        <v>2010</v>
      </c>
      <c r="C25" s="186">
        <v>55308970.466555998</v>
      </c>
      <c r="D25" s="88">
        <f>'Customer Data'!$B50</f>
        <v>76720</v>
      </c>
      <c r="E25" s="188">
        <f ca="1">HLOOKUP($B25,CDM!$B$1:$Q$22,11,FALSE)/12</f>
        <v>788869.83086232108</v>
      </c>
      <c r="F25" s="189">
        <f t="shared" ca="1" si="1"/>
        <v>56097840.297418319</v>
      </c>
      <c r="G25" s="186">
        <v>19079315.482081998</v>
      </c>
      <c r="H25" s="88">
        <f>'Customer Data'!$C50</f>
        <v>6940</v>
      </c>
      <c r="I25" s="188">
        <f ca="1">HLOOKUP($B25,CDM!$B$1:$Q$22,12,FALSE)/12</f>
        <v>576049.28689553868</v>
      </c>
      <c r="J25" s="188">
        <f t="shared" ca="1" si="2"/>
        <v>19655364.768977538</v>
      </c>
      <c r="K25" s="186">
        <v>82211552.964143008</v>
      </c>
      <c r="L25" s="186">
        <v>188305.93303900003</v>
      </c>
      <c r="M25" s="88">
        <f>'Customer Data'!$D50</f>
        <v>1178</v>
      </c>
      <c r="N25" s="126">
        <f ca="1">HLOOKUP($B25,CDM!$B$1:$Q$22,13,FALSE)/12</f>
        <v>570478.28428523254</v>
      </c>
      <c r="O25" s="188">
        <f t="shared" ca="1" si="9"/>
        <v>82782031.24842824</v>
      </c>
      <c r="P25" s="188">
        <f t="shared" si="3"/>
        <v>188305.93303900003</v>
      </c>
      <c r="Q25" s="188">
        <v>254966.93649416979</v>
      </c>
      <c r="R25" s="188">
        <v>631</v>
      </c>
      <c r="S25" s="229">
        <v>0</v>
      </c>
      <c r="T25" s="189">
        <f t="shared" ca="1" si="10"/>
        <v>82527064.311934069</v>
      </c>
      <c r="U25" s="156">
        <f t="shared" si="11"/>
        <v>187674.93303900003</v>
      </c>
      <c r="V25" s="186">
        <v>4138518.7720019999</v>
      </c>
      <c r="W25" s="186">
        <v>10576.532510999999</v>
      </c>
      <c r="X25" s="88">
        <f>'Customer Data'!$E50</f>
        <v>3</v>
      </c>
      <c r="Y25" s="126">
        <f ca="1">HLOOKUP($B25,CDM!$B$1:$Q$22,14,FALSE)/12</f>
        <v>0</v>
      </c>
      <c r="Z25" s="188">
        <f t="shared" ca="1" si="12"/>
        <v>4138518.7720019999</v>
      </c>
      <c r="AA25" s="186">
        <v>22899884.576402999</v>
      </c>
      <c r="AB25" s="186">
        <v>45818.620298000002</v>
      </c>
      <c r="AC25" s="88">
        <f>'Customer Data'!$F50</f>
        <v>6</v>
      </c>
      <c r="AD25" s="126">
        <f ca="1">HLOOKUP($B25,CDM!$B$1:$Q$22,15,FALSE)/12</f>
        <v>0</v>
      </c>
      <c r="AE25" s="188">
        <f t="shared" ca="1" si="4"/>
        <v>22899884.576402999</v>
      </c>
      <c r="AF25" s="186">
        <v>21232989.899162002</v>
      </c>
      <c r="AG25" s="186">
        <v>44722.658277000002</v>
      </c>
      <c r="AH25" s="88">
        <f>'Customer Data'!$G50</f>
        <v>3</v>
      </c>
      <c r="AI25" s="126">
        <f ca="1">HLOOKUP($B25,CDM!$B$1:$Q$22,16,FALSE)/12</f>
        <v>0</v>
      </c>
      <c r="AJ25" s="188">
        <f t="shared" ca="1" si="17"/>
        <v>19801700.839928553</v>
      </c>
      <c r="AK25" s="188">
        <f t="shared" si="6"/>
        <v>41581.358276999999</v>
      </c>
      <c r="AL25" s="188">
        <v>1431289.0592334496</v>
      </c>
      <c r="AM25" s="188">
        <v>3141.3</v>
      </c>
      <c r="AN25" s="156">
        <v>4213923.4378547799</v>
      </c>
      <c r="AO25" s="156">
        <v>8164.4</v>
      </c>
      <c r="AP25" s="156">
        <v>0</v>
      </c>
      <c r="AQ25" s="156">
        <f t="shared" ca="1" si="13"/>
        <v>18685961.138548218</v>
      </c>
      <c r="AR25" s="156">
        <f t="shared" si="14"/>
        <v>37654.220298</v>
      </c>
      <c r="AS25" s="186">
        <v>3236607.782073</v>
      </c>
      <c r="AT25" s="186">
        <v>5931.2563200000004</v>
      </c>
      <c r="AU25" s="88">
        <f>'Customer Data'!$H50</f>
        <v>1</v>
      </c>
      <c r="AV25" s="126">
        <f ca="1">HLOOKUP($B25,CDM!$B$1:$Q$22,17,FALSE)/12</f>
        <v>0</v>
      </c>
      <c r="AW25" s="188">
        <f t="shared" ca="1" si="7"/>
        <v>3236607.782073</v>
      </c>
      <c r="AX25" s="105">
        <v>1837935.047849</v>
      </c>
      <c r="AY25" s="105">
        <v>4085.37</v>
      </c>
      <c r="AZ25" s="88">
        <f>'Customer Data'!$I50</f>
        <v>23446</v>
      </c>
      <c r="BA25" s="126">
        <f ca="1">HLOOKUP($B25,CDM!$B$1:$Q$22,18,FALSE)/12</f>
        <v>0</v>
      </c>
      <c r="BB25" s="188">
        <f t="shared" ca="1" si="8"/>
        <v>4085.37</v>
      </c>
      <c r="BC25" s="186">
        <v>77496.025674000004</v>
      </c>
      <c r="BD25" s="186">
        <v>163.15895800000001</v>
      </c>
      <c r="BE25" s="188">
        <f>'Customer Data'!$J50</f>
        <v>650</v>
      </c>
      <c r="BF25" s="105">
        <v>324014.16432799998</v>
      </c>
      <c r="BG25" s="188">
        <f>'Customer Data'!$K50</f>
        <v>772</v>
      </c>
      <c r="BH25" s="188">
        <f>Weather!B193</f>
        <v>645.59999999999991</v>
      </c>
      <c r="BI25" s="188">
        <f>Weather!$C193</f>
        <v>0</v>
      </c>
      <c r="BJ25" s="166">
        <f>Employment!B49</f>
        <v>6578.3</v>
      </c>
      <c r="BK25" s="188">
        <f>Employment!$C49</f>
        <v>145.30000000000001</v>
      </c>
      <c r="BL25" s="188">
        <f>Employment!D49</f>
        <v>555907.5</v>
      </c>
      <c r="BM25" s="188">
        <f t="shared" si="15"/>
        <v>24</v>
      </c>
      <c r="BN25" s="188">
        <f t="shared" ref="BN25:CA25" si="30">BN13</f>
        <v>0</v>
      </c>
      <c r="BO25" s="188">
        <f t="shared" si="30"/>
        <v>0</v>
      </c>
      <c r="BP25" s="188">
        <f t="shared" si="30"/>
        <v>0</v>
      </c>
      <c r="BQ25" s="188">
        <f t="shared" si="30"/>
        <v>0</v>
      </c>
      <c r="BR25" s="188">
        <f t="shared" si="30"/>
        <v>0</v>
      </c>
      <c r="BS25" s="188">
        <f t="shared" si="30"/>
        <v>0</v>
      </c>
      <c r="BT25" s="188">
        <f t="shared" si="30"/>
        <v>0</v>
      </c>
      <c r="BU25" s="188">
        <f t="shared" si="30"/>
        <v>0</v>
      </c>
      <c r="BV25" s="188">
        <f t="shared" si="30"/>
        <v>0</v>
      </c>
      <c r="BW25" s="188">
        <f t="shared" si="30"/>
        <v>0</v>
      </c>
      <c r="BX25" s="188">
        <f t="shared" si="30"/>
        <v>0</v>
      </c>
      <c r="BY25" s="188">
        <f t="shared" si="30"/>
        <v>1</v>
      </c>
      <c r="BZ25" s="188">
        <f t="shared" si="30"/>
        <v>0</v>
      </c>
      <c r="CA25" s="188">
        <f t="shared" si="30"/>
        <v>0</v>
      </c>
      <c r="CB25" s="188">
        <f t="shared" si="16"/>
        <v>0</v>
      </c>
      <c r="CC25" s="188">
        <f t="shared" si="20"/>
        <v>31</v>
      </c>
      <c r="CD25" s="121">
        <v>21</v>
      </c>
    </row>
    <row r="26" spans="1:82" s="188" customFormat="1" ht="15">
      <c r="A26" s="190">
        <v>40544</v>
      </c>
      <c r="B26" s="191">
        <f t="shared" si="0"/>
        <v>2011</v>
      </c>
      <c r="C26" s="186">
        <v>56276963.612613</v>
      </c>
      <c r="D26" s="88">
        <f>('Customer Data'!$B50*2+'Customer Data'!$B53)/3</f>
        <v>76739</v>
      </c>
      <c r="E26" s="188">
        <f ca="1">HLOOKUP($B26,CDM!$B$1:$Q$22,11,FALSE)/12</f>
        <v>939361.07073813642</v>
      </c>
      <c r="F26" s="189">
        <f t="shared" ca="1" si="1"/>
        <v>57216324.683351137</v>
      </c>
      <c r="G26" s="186">
        <v>19662956.164450001</v>
      </c>
      <c r="H26" s="88">
        <f>('Customer Data'!$C50*2+'Customer Data'!$C53)/3</f>
        <v>6937.666666666667</v>
      </c>
      <c r="I26" s="188">
        <f ca="1">HLOOKUP($B26,CDM!$B$1:$Q$22,12,FALSE)/12</f>
        <v>770212.54833885829</v>
      </c>
      <c r="J26" s="188">
        <f t="shared" ca="1" si="2"/>
        <v>20433168.712788858</v>
      </c>
      <c r="K26" s="186">
        <v>87240906.310306996</v>
      </c>
      <c r="L26" s="186">
        <v>203724.561545</v>
      </c>
      <c r="M26" s="88">
        <f>('Customer Data'!$D50*2+'Customer Data'!$D53)/3</f>
        <v>1179</v>
      </c>
      <c r="N26" s="126">
        <f ca="1">HLOOKUP($B26,CDM!$B$1:$Q$22,13,FALSE)/12</f>
        <v>685607.7790396146</v>
      </c>
      <c r="O26" s="188">
        <f t="shared" ca="1" si="9"/>
        <v>87926514.089346617</v>
      </c>
      <c r="P26" s="188">
        <f t="shared" si="3"/>
        <v>203724.561545</v>
      </c>
      <c r="Q26" s="188">
        <v>242581.86373711092</v>
      </c>
      <c r="R26" s="188">
        <v>588.4</v>
      </c>
      <c r="S26" s="229">
        <v>0</v>
      </c>
      <c r="T26" s="189">
        <f t="shared" ca="1" si="10"/>
        <v>87683932.225609511</v>
      </c>
      <c r="U26" s="156">
        <f t="shared" si="11"/>
        <v>203136.16154500001</v>
      </c>
      <c r="V26" s="186">
        <v>4225575.7611889997</v>
      </c>
      <c r="W26" s="186">
        <v>10811.904372000001</v>
      </c>
      <c r="X26" s="88">
        <f>('Customer Data'!$E50*2+'Customer Data'!$E53)/3</f>
        <v>3</v>
      </c>
      <c r="Y26" s="126">
        <f ca="1">HLOOKUP($B26,CDM!$B$1:$Q$22,14,FALSE)/12</f>
        <v>0</v>
      </c>
      <c r="Z26" s="188">
        <f t="shared" ca="1" si="12"/>
        <v>4225575.7611889997</v>
      </c>
      <c r="AA26" s="186">
        <v>24984727.927287001</v>
      </c>
      <c r="AB26" s="186">
        <v>45010.662206000001</v>
      </c>
      <c r="AC26" s="88">
        <f>('Customer Data'!$F50*2+'Customer Data'!$F53)/3</f>
        <v>6</v>
      </c>
      <c r="AD26" s="126">
        <f ca="1">HLOOKUP($B26,CDM!$B$1:$Q$22,15,FALSE)/12</f>
        <v>49481.685103782911</v>
      </c>
      <c r="AE26" s="188">
        <f t="shared" ca="1" si="4"/>
        <v>25034209.612390783</v>
      </c>
      <c r="AF26" s="186">
        <v>22186756.417919002</v>
      </c>
      <c r="AG26" s="186">
        <v>44692.472682</v>
      </c>
      <c r="AH26" s="88">
        <f>('Customer Data'!$G50*2+'Customer Data'!$G53)/3</f>
        <v>3</v>
      </c>
      <c r="AI26" s="126">
        <f ca="1">HLOOKUP($B26,CDM!$B$1:$Q$22,16,FALSE)/12</f>
        <v>0</v>
      </c>
      <c r="AJ26" s="188">
        <f t="shared" ca="1" si="17"/>
        <v>20996742.271577537</v>
      </c>
      <c r="AK26" s="188">
        <f t="shared" si="6"/>
        <v>42160.172681999997</v>
      </c>
      <c r="AL26" s="188">
        <v>1190014.1463414636</v>
      </c>
      <c r="AM26" s="188">
        <v>2532.3000000000002</v>
      </c>
      <c r="AN26" s="156">
        <v>4722765.6975082448</v>
      </c>
      <c r="AO26" s="156">
        <v>8114.1</v>
      </c>
      <c r="AP26" s="156">
        <v>0</v>
      </c>
      <c r="AQ26" s="156">
        <f t="shared" ca="1" si="13"/>
        <v>20311443.914882537</v>
      </c>
      <c r="AR26" s="156">
        <f t="shared" si="14"/>
        <v>36896.562206000002</v>
      </c>
      <c r="AS26" s="186">
        <v>3597388.4033539998</v>
      </c>
      <c r="AT26" s="186">
        <v>5800.1011200000003</v>
      </c>
      <c r="AU26" s="88">
        <f>('Customer Data'!$H50*2+'Customer Data'!$H53)/3</f>
        <v>1</v>
      </c>
      <c r="AV26" s="126">
        <f ca="1">HLOOKUP($B26,CDM!$B$1:$Q$22,17,FALSE)/12</f>
        <v>0</v>
      </c>
      <c r="AW26" s="188">
        <f t="shared" ca="1" si="7"/>
        <v>3597388.4033539998</v>
      </c>
      <c r="AX26" s="105">
        <v>1796742.480893</v>
      </c>
      <c r="AY26" s="105">
        <v>4086.02</v>
      </c>
      <c r="AZ26" s="88">
        <f>('Customer Data'!$I50*2+'Customer Data'!$I53)/3</f>
        <v>23479.333333333332</v>
      </c>
      <c r="BA26" s="126">
        <f ca="1">HLOOKUP($B26,CDM!$B$1:$Q$22,18,FALSE)/12</f>
        <v>0</v>
      </c>
      <c r="BB26" s="188">
        <f t="shared" ca="1" si="8"/>
        <v>4086.02</v>
      </c>
      <c r="BC26" s="186">
        <v>77512.002833000006</v>
      </c>
      <c r="BD26" s="186">
        <v>224.27850100000001</v>
      </c>
      <c r="BE26" s="188">
        <f>('Customer Data'!$J50*2+'Customer Data'!$J53*1)/3</f>
        <v>654</v>
      </c>
      <c r="BF26" s="105">
        <v>324014.16432099999</v>
      </c>
      <c r="BG26" s="188">
        <f>('Customer Data'!$K50*2+'Customer Data'!$K53*1)/3</f>
        <v>776</v>
      </c>
      <c r="BH26" s="188">
        <f>Weather!B194</f>
        <v>703.59999999999991</v>
      </c>
      <c r="BI26" s="188">
        <f>Weather!$C194</f>
        <v>0</v>
      </c>
      <c r="BJ26" s="166">
        <f>Employment!B50</f>
        <v>6606.3</v>
      </c>
      <c r="BK26" s="188">
        <f>Employment!$C50</f>
        <v>148.9</v>
      </c>
      <c r="BL26" s="188">
        <f>Employment!D50</f>
        <v>570633.30000000005</v>
      </c>
      <c r="BM26" s="188">
        <f t="shared" si="15"/>
        <v>25</v>
      </c>
      <c r="BN26" s="188">
        <f t="shared" ref="BN26:CA26" si="31">BN14</f>
        <v>1</v>
      </c>
      <c r="BO26" s="188">
        <f t="shared" si="31"/>
        <v>0</v>
      </c>
      <c r="BP26" s="188">
        <f t="shared" si="31"/>
        <v>0</v>
      </c>
      <c r="BQ26" s="188">
        <f t="shared" si="31"/>
        <v>0</v>
      </c>
      <c r="BR26" s="188">
        <f t="shared" si="31"/>
        <v>0</v>
      </c>
      <c r="BS26" s="188">
        <f t="shared" si="31"/>
        <v>0</v>
      </c>
      <c r="BT26" s="188">
        <f t="shared" si="31"/>
        <v>0</v>
      </c>
      <c r="BU26" s="188">
        <f t="shared" si="31"/>
        <v>0</v>
      </c>
      <c r="BV26" s="188">
        <f t="shared" si="31"/>
        <v>0</v>
      </c>
      <c r="BW26" s="188">
        <f t="shared" si="31"/>
        <v>0</v>
      </c>
      <c r="BX26" s="188">
        <f t="shared" si="31"/>
        <v>0</v>
      </c>
      <c r="BY26" s="188">
        <f t="shared" si="31"/>
        <v>0</v>
      </c>
      <c r="BZ26" s="188">
        <f t="shared" si="31"/>
        <v>0</v>
      </c>
      <c r="CA26" s="188">
        <f t="shared" si="31"/>
        <v>0</v>
      </c>
      <c r="CB26" s="188">
        <f t="shared" si="16"/>
        <v>0</v>
      </c>
      <c r="CC26" s="188">
        <f t="shared" si="20"/>
        <v>31</v>
      </c>
      <c r="CD26" s="121">
        <v>20</v>
      </c>
    </row>
    <row r="27" spans="1:82" s="188" customFormat="1" ht="15">
      <c r="A27" s="190">
        <v>40575</v>
      </c>
      <c r="B27" s="191">
        <f t="shared" si="0"/>
        <v>2011</v>
      </c>
      <c r="C27" s="186">
        <v>48138062.322605997</v>
      </c>
      <c r="D27" s="88">
        <f>('Customer Data'!$B50+'Customer Data'!$B53*2)/3</f>
        <v>76758</v>
      </c>
      <c r="E27" s="188">
        <f ca="1">HLOOKUP($B27,CDM!$B$1:$Q$22,11,FALSE)/12</f>
        <v>939361.07073813642</v>
      </c>
      <c r="F27" s="189">
        <f t="shared" ca="1" si="1"/>
        <v>49077423.393344134</v>
      </c>
      <c r="G27" s="186">
        <v>17478773.112597004</v>
      </c>
      <c r="H27" s="88">
        <f>('Customer Data'!$C50+'Customer Data'!$C53*2)/3</f>
        <v>6935.333333333333</v>
      </c>
      <c r="I27" s="188">
        <f ca="1">HLOOKUP($B27,CDM!$B$1:$Q$22,12,FALSE)/12</f>
        <v>770212.54833885829</v>
      </c>
      <c r="J27" s="188">
        <f t="shared" ca="1" si="2"/>
        <v>18248985.66093586</v>
      </c>
      <c r="K27" s="186">
        <v>78759958.56082201</v>
      </c>
      <c r="L27" s="186">
        <v>194643.732743</v>
      </c>
      <c r="M27" s="88">
        <f>('Customer Data'!$D50+'Customer Data'!$D53*2)/3</f>
        <v>1180</v>
      </c>
      <c r="N27" s="126">
        <f ca="1">HLOOKUP($B27,CDM!$B$1:$Q$22,13,FALSE)/12</f>
        <v>685607.7790396146</v>
      </c>
      <c r="O27" s="188">
        <f t="shared" ca="1" si="9"/>
        <v>79445566.339861631</v>
      </c>
      <c r="P27" s="188">
        <f t="shared" si="3"/>
        <v>194643.732743</v>
      </c>
      <c r="Q27" s="188">
        <v>264624.84340368124</v>
      </c>
      <c r="R27" s="188">
        <v>687.3</v>
      </c>
      <c r="S27" s="229">
        <v>0</v>
      </c>
      <c r="T27" s="189">
        <f t="shared" ca="1" si="10"/>
        <v>79180941.496457949</v>
      </c>
      <c r="U27" s="156">
        <f t="shared" si="11"/>
        <v>193956.43274300001</v>
      </c>
      <c r="V27" s="186">
        <v>3677829.2420740002</v>
      </c>
      <c r="W27" s="186">
        <v>10751.261508</v>
      </c>
      <c r="X27" s="88">
        <f>('Customer Data'!$E50+'Customer Data'!$E53*2)/3</f>
        <v>3</v>
      </c>
      <c r="Y27" s="126">
        <f ca="1">HLOOKUP($B27,CDM!$B$1:$Q$22,14,FALSE)/12</f>
        <v>0</v>
      </c>
      <c r="Z27" s="188">
        <f t="shared" ca="1" si="12"/>
        <v>3677829.2420740002</v>
      </c>
      <c r="AA27" s="186">
        <v>23114713.661800001</v>
      </c>
      <c r="AB27" s="186">
        <v>45201.258839000002</v>
      </c>
      <c r="AC27" s="88">
        <f>('Customer Data'!$F50+'Customer Data'!$F53*2)/3</f>
        <v>6</v>
      </c>
      <c r="AD27" s="126">
        <f ca="1">HLOOKUP($B27,CDM!$B$1:$Q$22,15,FALSE)/12</f>
        <v>49481.685103782911</v>
      </c>
      <c r="AE27" s="188">
        <f t="shared" ca="1" si="4"/>
        <v>23164195.346903782</v>
      </c>
      <c r="AF27" s="186">
        <v>20216396.48849</v>
      </c>
      <c r="AG27" s="186">
        <v>44083.262420999999</v>
      </c>
      <c r="AH27" s="88">
        <f>('Customer Data'!$G50+'Customer Data'!$G53*2)/3</f>
        <v>3</v>
      </c>
      <c r="AI27" s="126">
        <f ca="1">HLOOKUP($B27,CDM!$B$1:$Q$22,16,FALSE)/12</f>
        <v>0</v>
      </c>
      <c r="AJ27" s="188">
        <f t="shared" ca="1" si="17"/>
        <v>19281851.749814041</v>
      </c>
      <c r="AK27" s="188">
        <f t="shared" si="6"/>
        <v>41899.362420999998</v>
      </c>
      <c r="AL27" s="188">
        <v>934544.73867595813</v>
      </c>
      <c r="AM27" s="188">
        <v>2183.9</v>
      </c>
      <c r="AN27" s="156">
        <v>4527057.421916903</v>
      </c>
      <c r="AO27" s="156">
        <v>8782.4</v>
      </c>
      <c r="AP27" s="156">
        <v>0</v>
      </c>
      <c r="AQ27" s="156">
        <f t="shared" ca="1" si="13"/>
        <v>18637137.92498688</v>
      </c>
      <c r="AR27" s="156">
        <f t="shared" si="14"/>
        <v>36418.858839</v>
      </c>
      <c r="AS27" s="186">
        <v>3303972.9973320002</v>
      </c>
      <c r="AT27" s="186">
        <v>5557.5590400000001</v>
      </c>
      <c r="AU27" s="88">
        <f>('Customer Data'!$H50+'Customer Data'!$H53*2)/3</f>
        <v>1</v>
      </c>
      <c r="AV27" s="126">
        <f ca="1">HLOOKUP($B27,CDM!$B$1:$Q$22,17,FALSE)/12</f>
        <v>0</v>
      </c>
      <c r="AW27" s="188">
        <f t="shared" ca="1" si="7"/>
        <v>3303972.9973320002</v>
      </c>
      <c r="AX27" s="105">
        <v>1494405.0609510001</v>
      </c>
      <c r="AY27" s="105">
        <v>4086.02</v>
      </c>
      <c r="AZ27" s="88">
        <f>('Customer Data'!$I50+'Customer Data'!$I53*2)/3</f>
        <v>23512.666666666668</v>
      </c>
      <c r="BA27" s="126">
        <f ca="1">HLOOKUP($B27,CDM!$B$1:$Q$22,18,FALSE)/12</f>
        <v>0</v>
      </c>
      <c r="BB27" s="188">
        <f t="shared" ca="1" si="8"/>
        <v>4086.02</v>
      </c>
      <c r="BC27" s="186">
        <v>69973.559097000005</v>
      </c>
      <c r="BD27" s="186">
        <v>194.26735300000001</v>
      </c>
      <c r="BE27" s="188">
        <f>('Customer Data'!$J50*1+'Customer Data'!$J53*2)/3</f>
        <v>658</v>
      </c>
      <c r="BF27" s="105">
        <v>289093.53356100002</v>
      </c>
      <c r="BG27" s="188">
        <f>('Customer Data'!$K50*1+'Customer Data'!$K53*2)/3</f>
        <v>780</v>
      </c>
      <c r="BH27" s="188">
        <f>Weather!B195</f>
        <v>583.20000000000005</v>
      </c>
      <c r="BI27" s="188">
        <f>Weather!$C195</f>
        <v>0</v>
      </c>
      <c r="BJ27" s="166">
        <f>Employment!B51</f>
        <v>6619.5</v>
      </c>
      <c r="BK27" s="188">
        <f>Employment!$C51</f>
        <v>148.69999999999999</v>
      </c>
      <c r="BL27" s="188">
        <f>Employment!D51</f>
        <v>570633.30000000005</v>
      </c>
      <c r="BM27" s="188">
        <f t="shared" si="15"/>
        <v>26</v>
      </c>
      <c r="BN27" s="188">
        <f t="shared" ref="BN27:CA27" si="32">BN15</f>
        <v>0</v>
      </c>
      <c r="BO27" s="188">
        <f t="shared" si="32"/>
        <v>1</v>
      </c>
      <c r="BP27" s="188">
        <f t="shared" si="32"/>
        <v>0</v>
      </c>
      <c r="BQ27" s="188">
        <f t="shared" si="32"/>
        <v>0</v>
      </c>
      <c r="BR27" s="188">
        <f t="shared" si="32"/>
        <v>0</v>
      </c>
      <c r="BS27" s="188">
        <f t="shared" si="32"/>
        <v>0</v>
      </c>
      <c r="BT27" s="188">
        <f t="shared" si="32"/>
        <v>0</v>
      </c>
      <c r="BU27" s="188">
        <f t="shared" si="32"/>
        <v>0</v>
      </c>
      <c r="BV27" s="188">
        <f t="shared" si="32"/>
        <v>0</v>
      </c>
      <c r="BW27" s="188">
        <f t="shared" si="32"/>
        <v>0</v>
      </c>
      <c r="BX27" s="188">
        <f t="shared" si="32"/>
        <v>0</v>
      </c>
      <c r="BY27" s="188">
        <f t="shared" si="32"/>
        <v>0</v>
      </c>
      <c r="BZ27" s="188">
        <f t="shared" si="32"/>
        <v>0</v>
      </c>
      <c r="CA27" s="188">
        <f t="shared" si="32"/>
        <v>0</v>
      </c>
      <c r="CB27" s="188">
        <f t="shared" si="16"/>
        <v>0</v>
      </c>
      <c r="CC27" s="188">
        <f t="shared" si="20"/>
        <v>28</v>
      </c>
      <c r="CD27" s="121">
        <v>19</v>
      </c>
    </row>
    <row r="28" spans="1:82" s="188" customFormat="1" ht="15">
      <c r="A28" s="190">
        <v>40603</v>
      </c>
      <c r="B28" s="191">
        <f t="shared" si="0"/>
        <v>2011</v>
      </c>
      <c r="C28" s="186">
        <v>48327852.105814002</v>
      </c>
      <c r="D28" s="88">
        <f>'Customer Data'!$B53</f>
        <v>76777</v>
      </c>
      <c r="E28" s="188">
        <f ca="1">HLOOKUP($B28,CDM!$B$1:$Q$22,11,FALSE)/12</f>
        <v>939361.07073813642</v>
      </c>
      <c r="F28" s="189">
        <f t="shared" ca="1" si="1"/>
        <v>49267213.176552139</v>
      </c>
      <c r="G28" s="186">
        <v>18121770.578715999</v>
      </c>
      <c r="H28" s="88">
        <f>'Customer Data'!$C53</f>
        <v>6933</v>
      </c>
      <c r="I28" s="188">
        <f ca="1">HLOOKUP($B28,CDM!$B$1:$Q$22,12,FALSE)/12</f>
        <v>770212.54833885829</v>
      </c>
      <c r="J28" s="188">
        <f t="shared" ca="1" si="2"/>
        <v>18891983.127054855</v>
      </c>
      <c r="K28" s="186">
        <v>82799034.320425004</v>
      </c>
      <c r="L28" s="186">
        <v>207654.35227999999</v>
      </c>
      <c r="M28" s="88">
        <f>'Customer Data'!$D53</f>
        <v>1181</v>
      </c>
      <c r="N28" s="126">
        <f ca="1">HLOOKUP($B28,CDM!$B$1:$Q$22,13,FALSE)/12</f>
        <v>685607.7790396146</v>
      </c>
      <c r="O28" s="188">
        <f t="shared" ca="1" si="9"/>
        <v>83484642.099464625</v>
      </c>
      <c r="P28" s="188">
        <f t="shared" si="3"/>
        <v>207654.35227999999</v>
      </c>
      <c r="Q28" s="188">
        <v>347135.30885612412</v>
      </c>
      <c r="R28" s="188">
        <v>725.2</v>
      </c>
      <c r="S28" s="229">
        <v>0</v>
      </c>
      <c r="T28" s="189">
        <f t="shared" ca="1" si="10"/>
        <v>83137506.790608495</v>
      </c>
      <c r="U28" s="156">
        <f t="shared" si="11"/>
        <v>206929.15227999998</v>
      </c>
      <c r="V28" s="186">
        <v>4008991.4056159998</v>
      </c>
      <c r="W28" s="186">
        <v>10937.148057</v>
      </c>
      <c r="X28" s="88">
        <f>'Customer Data'!$E53</f>
        <v>3</v>
      </c>
      <c r="Y28" s="126">
        <f ca="1">HLOOKUP($B28,CDM!$B$1:$Q$22,14,FALSE)/12</f>
        <v>0</v>
      </c>
      <c r="Z28" s="188">
        <f t="shared" ca="1" si="12"/>
        <v>4008991.4056159998</v>
      </c>
      <c r="AA28" s="186">
        <v>26409608.545146994</v>
      </c>
      <c r="AB28" s="186">
        <v>47540.735767999999</v>
      </c>
      <c r="AC28" s="88">
        <f>'Customer Data'!$F53</f>
        <v>6</v>
      </c>
      <c r="AD28" s="126">
        <f ca="1">HLOOKUP($B28,CDM!$B$1:$Q$22,15,FALSE)/12</f>
        <v>49481.685103782911</v>
      </c>
      <c r="AE28" s="188">
        <f t="shared" ca="1" si="4"/>
        <v>26459090.230250776</v>
      </c>
      <c r="AF28" s="186">
        <v>23467984.571440004</v>
      </c>
      <c r="AG28" s="186">
        <v>44702.088552000001</v>
      </c>
      <c r="AH28" s="88">
        <f>'Customer Data'!$G53</f>
        <v>3</v>
      </c>
      <c r="AI28" s="126">
        <f ca="1">HLOOKUP($B28,CDM!$B$1:$Q$22,16,FALSE)/12</f>
        <v>0</v>
      </c>
      <c r="AJ28" s="188">
        <f t="shared" ca="1" si="17"/>
        <v>22589832.446004465</v>
      </c>
      <c r="AK28" s="188">
        <f t="shared" si="6"/>
        <v>42665.888552000004</v>
      </c>
      <c r="AL28" s="188">
        <v>878152.12543554022</v>
      </c>
      <c r="AM28" s="188">
        <v>2036.2</v>
      </c>
      <c r="AN28" s="156">
        <v>4925227.5076915585</v>
      </c>
      <c r="AO28" s="156">
        <v>8470.5</v>
      </c>
      <c r="AP28" s="156">
        <v>0</v>
      </c>
      <c r="AQ28" s="156">
        <f t="shared" ca="1" si="13"/>
        <v>21533862.722559217</v>
      </c>
      <c r="AR28" s="156">
        <f t="shared" si="14"/>
        <v>39070.235767999999</v>
      </c>
      <c r="AS28" s="186">
        <v>3505883.8745329999</v>
      </c>
      <c r="AT28" s="186">
        <v>5486.4691199999997</v>
      </c>
      <c r="AU28" s="88">
        <f>'Customer Data'!$H53</f>
        <v>1</v>
      </c>
      <c r="AV28" s="126">
        <f ca="1">HLOOKUP($B28,CDM!$B$1:$Q$22,17,FALSE)/12</f>
        <v>0</v>
      </c>
      <c r="AW28" s="188">
        <f t="shared" ca="1" si="7"/>
        <v>3505883.8745329999</v>
      </c>
      <c r="AX28" s="105">
        <v>1499320.7659450001</v>
      </c>
      <c r="AY28" s="105">
        <v>4086.02</v>
      </c>
      <c r="AZ28" s="88">
        <f>'Customer Data'!$I53</f>
        <v>23546</v>
      </c>
      <c r="BA28" s="126">
        <f ca="1">HLOOKUP($B28,CDM!$B$1:$Q$22,18,FALSE)/12</f>
        <v>0</v>
      </c>
      <c r="BB28" s="188">
        <f t="shared" ca="1" si="8"/>
        <v>4086.02</v>
      </c>
      <c r="BC28" s="186">
        <v>77477.786491000006</v>
      </c>
      <c r="BD28" s="186">
        <v>263.078304</v>
      </c>
      <c r="BE28" s="188">
        <f>'Customer Data'!$J53</f>
        <v>662</v>
      </c>
      <c r="BF28" s="105">
        <v>313088.04949100001</v>
      </c>
      <c r="BG28" s="188">
        <f>'Customer Data'!$K53</f>
        <v>784</v>
      </c>
      <c r="BH28" s="188">
        <f>Weather!B196</f>
        <v>514.30000000000007</v>
      </c>
      <c r="BI28" s="188">
        <f>Weather!$C196</f>
        <v>0</v>
      </c>
      <c r="BJ28" s="166">
        <f>Employment!B52</f>
        <v>6628.6</v>
      </c>
      <c r="BK28" s="188">
        <f>Employment!$C52</f>
        <v>149.1</v>
      </c>
      <c r="BL28" s="188">
        <f>Employment!D52</f>
        <v>570633.30000000005</v>
      </c>
      <c r="BM28" s="188">
        <f t="shared" si="15"/>
        <v>27</v>
      </c>
      <c r="BN28" s="188">
        <f t="shared" ref="BN28:CA28" si="33">BN16</f>
        <v>0</v>
      </c>
      <c r="BO28" s="188">
        <f t="shared" si="33"/>
        <v>0</v>
      </c>
      <c r="BP28" s="188">
        <f t="shared" si="33"/>
        <v>1</v>
      </c>
      <c r="BQ28" s="188">
        <f t="shared" si="33"/>
        <v>0</v>
      </c>
      <c r="BR28" s="188">
        <f t="shared" si="33"/>
        <v>0</v>
      </c>
      <c r="BS28" s="188">
        <f t="shared" si="33"/>
        <v>0</v>
      </c>
      <c r="BT28" s="188">
        <f t="shared" si="33"/>
        <v>0</v>
      </c>
      <c r="BU28" s="188">
        <f t="shared" si="33"/>
        <v>0</v>
      </c>
      <c r="BV28" s="188">
        <f t="shared" si="33"/>
        <v>0</v>
      </c>
      <c r="BW28" s="188">
        <f t="shared" si="33"/>
        <v>0</v>
      </c>
      <c r="BX28" s="188">
        <f t="shared" si="33"/>
        <v>0</v>
      </c>
      <c r="BY28" s="188">
        <f t="shared" si="33"/>
        <v>0</v>
      </c>
      <c r="BZ28" s="188">
        <f t="shared" si="33"/>
        <v>1</v>
      </c>
      <c r="CA28" s="188">
        <f t="shared" si="33"/>
        <v>0</v>
      </c>
      <c r="CB28" s="188">
        <f t="shared" si="16"/>
        <v>1</v>
      </c>
      <c r="CC28" s="188">
        <f t="shared" si="20"/>
        <v>31</v>
      </c>
      <c r="CD28" s="121">
        <v>23</v>
      </c>
    </row>
    <row r="29" spans="1:82" s="188" customFormat="1" ht="15">
      <c r="A29" s="190">
        <v>40634</v>
      </c>
      <c r="B29" s="191">
        <f t="shared" si="0"/>
        <v>2011</v>
      </c>
      <c r="C29" s="186">
        <v>42123662.050513998</v>
      </c>
      <c r="D29" s="88">
        <f>('Customer Data'!$B53*2+'Customer Data'!$B56)/3</f>
        <v>76675</v>
      </c>
      <c r="E29" s="188">
        <f ca="1">HLOOKUP($B29,CDM!$B$1:$Q$22,11,FALSE)/12</f>
        <v>939361.07073813642</v>
      </c>
      <c r="F29" s="189">
        <f t="shared" ca="1" si="1"/>
        <v>43063023.121252134</v>
      </c>
      <c r="G29" s="186">
        <v>16319404.076935001</v>
      </c>
      <c r="H29" s="88">
        <f>('Customer Data'!$C53*2+'Customer Data'!$C56)/3</f>
        <v>6932.1111111111122</v>
      </c>
      <c r="I29" s="188">
        <f ca="1">HLOOKUP($B29,CDM!$B$1:$Q$22,12,FALSE)/12</f>
        <v>770212.54833885829</v>
      </c>
      <c r="J29" s="188">
        <f t="shared" ca="1" si="2"/>
        <v>17089616.625273857</v>
      </c>
      <c r="K29" s="186">
        <v>72459500.504934013</v>
      </c>
      <c r="L29" s="186">
        <v>193817.16988499998</v>
      </c>
      <c r="M29" s="88">
        <f>('Customer Data'!$D53*2+'Customer Data'!$D56)/3</f>
        <v>1205</v>
      </c>
      <c r="N29" s="126">
        <f ca="1">HLOOKUP($B29,CDM!$B$1:$Q$22,13,FALSE)/12</f>
        <v>685607.7790396146</v>
      </c>
      <c r="O29" s="188">
        <f t="shared" ca="1" si="9"/>
        <v>73145108.283973634</v>
      </c>
      <c r="P29" s="188">
        <f t="shared" si="3"/>
        <v>193817.16988499998</v>
      </c>
      <c r="Q29" s="188">
        <v>321435.00048183481</v>
      </c>
      <c r="R29" s="188">
        <v>652</v>
      </c>
      <c r="S29" s="229">
        <v>0</v>
      </c>
      <c r="T29" s="189">
        <f t="shared" ca="1" si="10"/>
        <v>72823673.283491805</v>
      </c>
      <c r="U29" s="156">
        <f t="shared" si="11"/>
        <v>193165.16988499998</v>
      </c>
      <c r="V29" s="186">
        <v>3911881.7842620001</v>
      </c>
      <c r="W29" s="186">
        <v>11437.574597999999</v>
      </c>
      <c r="X29" s="88">
        <f>('Customer Data'!$E53*2+'Customer Data'!$E56)/3</f>
        <v>3</v>
      </c>
      <c r="Y29" s="126">
        <f ca="1">HLOOKUP($B29,CDM!$B$1:$Q$22,14,FALSE)/12</f>
        <v>0</v>
      </c>
      <c r="Z29" s="188">
        <f t="shared" ca="1" si="12"/>
        <v>3911881.7842620001</v>
      </c>
      <c r="AA29" s="186">
        <v>24973085.977890998</v>
      </c>
      <c r="AB29" s="186">
        <v>46576.036676000003</v>
      </c>
      <c r="AC29" s="88">
        <f>('Customer Data'!$F53*2+'Customer Data'!$F56)/3</f>
        <v>6</v>
      </c>
      <c r="AD29" s="126">
        <f ca="1">HLOOKUP($B29,CDM!$B$1:$Q$22,15,FALSE)/12</f>
        <v>49481.685103782911</v>
      </c>
      <c r="AE29" s="188">
        <f t="shared" ca="1" si="4"/>
        <v>25022567.66299478</v>
      </c>
      <c r="AF29" s="186">
        <v>19204120.680624999</v>
      </c>
      <c r="AG29" s="186">
        <v>44040.513725999997</v>
      </c>
      <c r="AH29" s="88">
        <f>('Customer Data'!$G53*2+'Customer Data'!$G56)/3</f>
        <v>3</v>
      </c>
      <c r="AI29" s="126">
        <f ca="1">HLOOKUP($B29,CDM!$B$1:$Q$22,16,FALSE)/12</f>
        <v>0</v>
      </c>
      <c r="AJ29" s="188">
        <f t="shared" ca="1" si="17"/>
        <v>18567076.230649889</v>
      </c>
      <c r="AK29" s="188">
        <f t="shared" si="6"/>
        <v>42197.613725999996</v>
      </c>
      <c r="AL29" s="188">
        <v>637044.4499751121</v>
      </c>
      <c r="AM29" s="188">
        <v>1842.9</v>
      </c>
      <c r="AN29" s="156">
        <v>4571648.273568863</v>
      </c>
      <c r="AO29" s="156">
        <v>9400.1</v>
      </c>
      <c r="AP29" s="156">
        <v>0</v>
      </c>
      <c r="AQ29" s="156">
        <f t="shared" ca="1" si="13"/>
        <v>20450919.389425918</v>
      </c>
      <c r="AR29" s="156">
        <f t="shared" si="14"/>
        <v>37175.936676000005</v>
      </c>
      <c r="AS29" s="186">
        <v>3113037.1522539998</v>
      </c>
      <c r="AT29" s="186">
        <v>5476.2048000000004</v>
      </c>
      <c r="AU29" s="88">
        <f>('Customer Data'!$H53*2+'Customer Data'!$H56)/3</f>
        <v>1</v>
      </c>
      <c r="AV29" s="126">
        <f ca="1">HLOOKUP($B29,CDM!$B$1:$Q$22,17,FALSE)/12</f>
        <v>0</v>
      </c>
      <c r="AW29" s="188">
        <f t="shared" ca="1" si="7"/>
        <v>3113037.1522539998</v>
      </c>
      <c r="AX29" s="105">
        <v>1113376.8819530001</v>
      </c>
      <c r="AY29" s="105">
        <v>4086.02</v>
      </c>
      <c r="AZ29" s="88">
        <f>('Customer Data'!$I53*2+'Customer Data'!$I56)/3</f>
        <v>23546</v>
      </c>
      <c r="BA29" s="126">
        <f ca="1">HLOOKUP($B29,CDM!$B$1:$Q$22,18,FALSE)/12</f>
        <v>0</v>
      </c>
      <c r="BB29" s="188">
        <f t="shared" ca="1" si="8"/>
        <v>4086.02</v>
      </c>
      <c r="BC29" s="186">
        <v>75025.063028999997</v>
      </c>
      <c r="BD29" s="186">
        <v>201.588674</v>
      </c>
      <c r="BE29" s="188">
        <f>('Customer Data'!$J53*2+'Customer Data'!$J56*1)/3</f>
        <v>662.33333333333337</v>
      </c>
      <c r="BF29" s="105">
        <v>302801.20046199998</v>
      </c>
      <c r="BG29" s="188">
        <f>('Customer Data'!$K53*2+'Customer Data'!$K56*1)/3</f>
        <v>788</v>
      </c>
      <c r="BH29" s="188">
        <f>Weather!B197</f>
        <v>278.59999999999985</v>
      </c>
      <c r="BI29" s="188">
        <f>Weather!$C197</f>
        <v>0.5</v>
      </c>
      <c r="BJ29" s="166">
        <f>Employment!B53</f>
        <v>6635.5</v>
      </c>
      <c r="BK29" s="188">
        <f>Employment!$C53</f>
        <v>146.30000000000001</v>
      </c>
      <c r="BL29" s="188">
        <f>Employment!D53</f>
        <v>570633.30000000005</v>
      </c>
      <c r="BM29" s="188">
        <f t="shared" si="15"/>
        <v>28</v>
      </c>
      <c r="BN29" s="188">
        <f t="shared" ref="BN29:CA29" si="34">BN17</f>
        <v>0</v>
      </c>
      <c r="BO29" s="188">
        <f t="shared" si="34"/>
        <v>0</v>
      </c>
      <c r="BP29" s="188">
        <f t="shared" si="34"/>
        <v>0</v>
      </c>
      <c r="BQ29" s="188">
        <f t="shared" si="34"/>
        <v>1</v>
      </c>
      <c r="BR29" s="188">
        <f t="shared" si="34"/>
        <v>0</v>
      </c>
      <c r="BS29" s="188">
        <f t="shared" si="34"/>
        <v>0</v>
      </c>
      <c r="BT29" s="188">
        <f t="shared" si="34"/>
        <v>0</v>
      </c>
      <c r="BU29" s="188">
        <f t="shared" si="34"/>
        <v>0</v>
      </c>
      <c r="BV29" s="188">
        <f t="shared" si="34"/>
        <v>0</v>
      </c>
      <c r="BW29" s="188">
        <f t="shared" si="34"/>
        <v>0</v>
      </c>
      <c r="BX29" s="188">
        <f t="shared" si="34"/>
        <v>0</v>
      </c>
      <c r="BY29" s="188">
        <f t="shared" si="34"/>
        <v>0</v>
      </c>
      <c r="BZ29" s="188">
        <f t="shared" si="34"/>
        <v>1</v>
      </c>
      <c r="CA29" s="188">
        <f t="shared" si="34"/>
        <v>0</v>
      </c>
      <c r="CB29" s="188">
        <f t="shared" si="16"/>
        <v>1</v>
      </c>
      <c r="CC29" s="188">
        <f t="shared" si="20"/>
        <v>30</v>
      </c>
      <c r="CD29" s="121">
        <v>19</v>
      </c>
    </row>
    <row r="30" spans="1:82" s="188" customFormat="1" ht="15">
      <c r="A30" s="190">
        <v>40664</v>
      </c>
      <c r="B30" s="191">
        <f t="shared" si="0"/>
        <v>2011</v>
      </c>
      <c r="C30" s="186">
        <v>45225300.984958999</v>
      </c>
      <c r="D30" s="88">
        <f>('Customer Data'!$B53+'Customer Data'!$B56*2)/3</f>
        <v>76573</v>
      </c>
      <c r="E30" s="188">
        <f ca="1">HLOOKUP($B30,CDM!$B$1:$Q$22,11,FALSE)/12</f>
        <v>939361.07073813642</v>
      </c>
      <c r="F30" s="189">
        <f t="shared" ca="1" si="1"/>
        <v>46164662.055697136</v>
      </c>
      <c r="G30" s="186">
        <v>17108156.888835002</v>
      </c>
      <c r="H30" s="88">
        <f>('Customer Data'!$C53+'Customer Data'!$C56*2)/3</f>
        <v>6931.2222222222226</v>
      </c>
      <c r="I30" s="188">
        <f ca="1">HLOOKUP($B30,CDM!$B$1:$Q$22,12,FALSE)/12</f>
        <v>770212.54833885829</v>
      </c>
      <c r="J30" s="188">
        <f t="shared" ca="1" si="2"/>
        <v>17878369.437173858</v>
      </c>
      <c r="K30" s="186">
        <v>73616332.116409004</v>
      </c>
      <c r="L30" s="186">
        <v>201433.641191</v>
      </c>
      <c r="M30" s="88">
        <f>('Customer Data'!$D53+'Customer Data'!$D56*2)/3</f>
        <v>1229</v>
      </c>
      <c r="N30" s="126">
        <f ca="1">HLOOKUP($B30,CDM!$B$1:$Q$22,13,FALSE)/12</f>
        <v>685607.7790396146</v>
      </c>
      <c r="O30" s="188">
        <f t="shared" ca="1" si="9"/>
        <v>74301939.895448625</v>
      </c>
      <c r="P30" s="188">
        <f t="shared" si="3"/>
        <v>201433.641191</v>
      </c>
      <c r="Q30" s="188">
        <v>320759.00549291703</v>
      </c>
      <c r="R30" s="188">
        <v>683.7</v>
      </c>
      <c r="S30" s="229">
        <v>0</v>
      </c>
      <c r="T30" s="189">
        <f t="shared" ca="1" si="10"/>
        <v>73981180.889955714</v>
      </c>
      <c r="U30" s="156">
        <f t="shared" si="11"/>
        <v>200749.94119099999</v>
      </c>
      <c r="V30" s="186">
        <v>4672710.2646949999</v>
      </c>
      <c r="W30" s="186">
        <v>11592.220445999999</v>
      </c>
      <c r="X30" s="88">
        <f>('Customer Data'!$E53+'Customer Data'!$E56*2)/3</f>
        <v>3</v>
      </c>
      <c r="Y30" s="126">
        <f ca="1">HLOOKUP($B30,CDM!$B$1:$Q$22,14,FALSE)/12</f>
        <v>0</v>
      </c>
      <c r="Z30" s="188">
        <f t="shared" ca="1" si="12"/>
        <v>4672710.2646949999</v>
      </c>
      <c r="AA30" s="186">
        <v>26654603.680273999</v>
      </c>
      <c r="AB30" s="186">
        <v>51839.749051999999</v>
      </c>
      <c r="AC30" s="88">
        <f>('Customer Data'!$F53+'Customer Data'!$F56*2)/3</f>
        <v>6</v>
      </c>
      <c r="AD30" s="126">
        <f ca="1">HLOOKUP($B30,CDM!$B$1:$Q$22,15,FALSE)/12</f>
        <v>49481.685103782911</v>
      </c>
      <c r="AE30" s="188">
        <f t="shared" ca="1" si="4"/>
        <v>26704085.36537778</v>
      </c>
      <c r="AF30" s="186">
        <v>23426336.403983999</v>
      </c>
      <c r="AG30" s="186">
        <v>51529.611474000005</v>
      </c>
      <c r="AH30" s="88">
        <f>('Customer Data'!$G53+'Customer Data'!$G56*2)/3</f>
        <v>3</v>
      </c>
      <c r="AI30" s="126">
        <f ca="1">HLOOKUP($B30,CDM!$B$1:$Q$22,16,FALSE)/12</f>
        <v>0</v>
      </c>
      <c r="AJ30" s="188">
        <f t="shared" ca="1" si="17"/>
        <v>22892198.823097985</v>
      </c>
      <c r="AK30" s="188">
        <f t="shared" si="6"/>
        <v>49439.711474000003</v>
      </c>
      <c r="AL30" s="188">
        <v>534137.58088601287</v>
      </c>
      <c r="AM30" s="188">
        <v>2089.9</v>
      </c>
      <c r="AN30" s="156">
        <v>4732631.784214613</v>
      </c>
      <c r="AO30" s="156">
        <v>9423.7999999999993</v>
      </c>
      <c r="AP30" s="156">
        <v>0</v>
      </c>
      <c r="AQ30" s="156">
        <f t="shared" ca="1" si="13"/>
        <v>21971453.581163168</v>
      </c>
      <c r="AR30" s="156">
        <f t="shared" si="14"/>
        <v>42415.949051999996</v>
      </c>
      <c r="AS30" s="186">
        <v>3406627.503151</v>
      </c>
      <c r="AT30" s="186">
        <v>6881.2761600000003</v>
      </c>
      <c r="AU30" s="88">
        <f>('Customer Data'!$H53+'Customer Data'!$H56*2)/3</f>
        <v>1</v>
      </c>
      <c r="AV30" s="126">
        <f ca="1">HLOOKUP($B30,CDM!$B$1:$Q$22,17,FALSE)/12</f>
        <v>0</v>
      </c>
      <c r="AW30" s="188">
        <f t="shared" ca="1" si="7"/>
        <v>3406627.503151</v>
      </c>
      <c r="AX30" s="105">
        <v>1184458.3718040001</v>
      </c>
      <c r="AY30" s="105">
        <v>4095.42</v>
      </c>
      <c r="AZ30" s="88">
        <f>('Customer Data'!$I53+'Customer Data'!$I56*2)/3</f>
        <v>23546</v>
      </c>
      <c r="BA30" s="126">
        <f ca="1">HLOOKUP($B30,CDM!$B$1:$Q$22,18,FALSE)/12</f>
        <v>0</v>
      </c>
      <c r="BB30" s="188">
        <f t="shared" ca="1" si="8"/>
        <v>4095.42</v>
      </c>
      <c r="BC30" s="186">
        <v>77224.947306999995</v>
      </c>
      <c r="BD30" s="186">
        <v>218.373626</v>
      </c>
      <c r="BE30" s="188">
        <f>('Customer Data'!$J53*1+'Customer Data'!$J56*2)/3</f>
        <v>662.66666666666663</v>
      </c>
      <c r="BF30" s="105">
        <v>313068.17381000001</v>
      </c>
      <c r="BG30" s="188">
        <f>('Customer Data'!$K53*1+'Customer Data'!$K56*2)/3</f>
        <v>792</v>
      </c>
      <c r="BH30" s="188">
        <f>Weather!B198</f>
        <v>105.20000000000003</v>
      </c>
      <c r="BI30" s="188">
        <f>Weather!$C198</f>
        <v>37.200000000000003</v>
      </c>
      <c r="BJ30" s="166">
        <f>Employment!B54</f>
        <v>6645.8</v>
      </c>
      <c r="BK30" s="188">
        <f>Employment!$C54</f>
        <v>146.9</v>
      </c>
      <c r="BL30" s="188">
        <f>Employment!D54</f>
        <v>570633.30000000005</v>
      </c>
      <c r="BM30" s="188">
        <f t="shared" si="15"/>
        <v>29</v>
      </c>
      <c r="BN30" s="188">
        <f t="shared" ref="BN30:CA30" si="35">BN18</f>
        <v>0</v>
      </c>
      <c r="BO30" s="188">
        <f t="shared" si="35"/>
        <v>0</v>
      </c>
      <c r="BP30" s="188">
        <f t="shared" si="35"/>
        <v>0</v>
      </c>
      <c r="BQ30" s="188">
        <f t="shared" si="35"/>
        <v>0</v>
      </c>
      <c r="BR30" s="188">
        <f t="shared" si="35"/>
        <v>1</v>
      </c>
      <c r="BS30" s="188">
        <f t="shared" si="35"/>
        <v>0</v>
      </c>
      <c r="BT30" s="188">
        <f t="shared" si="35"/>
        <v>0</v>
      </c>
      <c r="BU30" s="188">
        <f t="shared" si="35"/>
        <v>0</v>
      </c>
      <c r="BV30" s="188">
        <f t="shared" si="35"/>
        <v>0</v>
      </c>
      <c r="BW30" s="188">
        <f t="shared" si="35"/>
        <v>0</v>
      </c>
      <c r="BX30" s="188">
        <f t="shared" si="35"/>
        <v>0</v>
      </c>
      <c r="BY30" s="188">
        <f t="shared" si="35"/>
        <v>0</v>
      </c>
      <c r="BZ30" s="188">
        <f t="shared" si="35"/>
        <v>1</v>
      </c>
      <c r="CA30" s="188">
        <f t="shared" si="35"/>
        <v>0</v>
      </c>
      <c r="CB30" s="188">
        <f t="shared" si="16"/>
        <v>1</v>
      </c>
      <c r="CC30" s="188">
        <f t="shared" si="20"/>
        <v>31</v>
      </c>
      <c r="CD30" s="121">
        <v>21</v>
      </c>
    </row>
    <row r="31" spans="1:82" s="188" customFormat="1" ht="15">
      <c r="A31" s="190">
        <v>40695</v>
      </c>
      <c r="B31" s="191">
        <f t="shared" si="0"/>
        <v>2011</v>
      </c>
      <c r="C31" s="186">
        <v>59342863.619806997</v>
      </c>
      <c r="D31" s="88">
        <f>'Customer Data'!$B56</f>
        <v>76471</v>
      </c>
      <c r="E31" s="188">
        <f ca="1">HLOOKUP($B31,CDM!$B$1:$Q$22,11,FALSE)/12</f>
        <v>939361.07073813642</v>
      </c>
      <c r="F31" s="189">
        <f t="shared" ca="1" si="1"/>
        <v>60282224.690545134</v>
      </c>
      <c r="G31" s="186">
        <v>19019093.404672999</v>
      </c>
      <c r="H31" s="88">
        <f>'Customer Data'!$C56</f>
        <v>6930.3333333333339</v>
      </c>
      <c r="I31" s="188">
        <f ca="1">HLOOKUP($B31,CDM!$B$1:$Q$22,12,FALSE)/12</f>
        <v>770212.54833885829</v>
      </c>
      <c r="J31" s="188">
        <f t="shared" ca="1" si="2"/>
        <v>19789305.953011855</v>
      </c>
      <c r="K31" s="186">
        <v>78805935.411779001</v>
      </c>
      <c r="L31" s="186">
        <v>213579.19348100002</v>
      </c>
      <c r="M31" s="88">
        <f>'Customer Data'!$D56</f>
        <v>1253</v>
      </c>
      <c r="N31" s="126">
        <f ca="1">HLOOKUP($B31,CDM!$B$1:$Q$22,13,FALSE)/12</f>
        <v>685607.7790396146</v>
      </c>
      <c r="O31" s="188">
        <f t="shared" ca="1" si="9"/>
        <v>79491543.190818623</v>
      </c>
      <c r="P31" s="188">
        <f t="shared" si="3"/>
        <v>213579.19348100002</v>
      </c>
      <c r="Q31" s="188">
        <v>309897.89920015418</v>
      </c>
      <c r="R31" s="188">
        <v>670.6</v>
      </c>
      <c r="S31" s="229">
        <v>0</v>
      </c>
      <c r="T31" s="189">
        <f t="shared" ca="1" si="10"/>
        <v>79181645.291618466</v>
      </c>
      <c r="U31" s="156">
        <f t="shared" si="11"/>
        <v>212908.59348100002</v>
      </c>
      <c r="V31" s="186">
        <v>4411205.0579040004</v>
      </c>
      <c r="W31" s="186">
        <v>11862.488681999999</v>
      </c>
      <c r="X31" s="88">
        <f>'Customer Data'!$E56</f>
        <v>3</v>
      </c>
      <c r="Y31" s="126">
        <f ca="1">HLOOKUP($B31,CDM!$B$1:$Q$22,14,FALSE)/12</f>
        <v>0</v>
      </c>
      <c r="Z31" s="188">
        <f t="shared" ca="1" si="12"/>
        <v>4411205.0579040004</v>
      </c>
      <c r="AA31" s="186">
        <v>28062303.944872003</v>
      </c>
      <c r="AB31" s="186">
        <v>55219.722989000002</v>
      </c>
      <c r="AC31" s="88">
        <f>'Customer Data'!$F56</f>
        <v>6</v>
      </c>
      <c r="AD31" s="126">
        <f ca="1">HLOOKUP($B31,CDM!$B$1:$Q$22,15,FALSE)/12</f>
        <v>49481.685103782911</v>
      </c>
      <c r="AE31" s="188">
        <f t="shared" ca="1" si="4"/>
        <v>28111785.629975785</v>
      </c>
      <c r="AF31" s="186">
        <v>24390172.205830999</v>
      </c>
      <c r="AG31" s="186">
        <v>51288.634583999999</v>
      </c>
      <c r="AH31" s="88">
        <f>'Customer Data'!$G56</f>
        <v>3</v>
      </c>
      <c r="AI31" s="126">
        <f ca="1">HLOOKUP($B31,CDM!$B$1:$Q$22,16,FALSE)/12</f>
        <v>0</v>
      </c>
      <c r="AJ31" s="188">
        <f ca="1">AF31+AI31-AL31</f>
        <v>23869269.26904653</v>
      </c>
      <c r="AK31" s="188">
        <f t="shared" si="6"/>
        <v>49257.734583999998</v>
      </c>
      <c r="AL31" s="188">
        <v>520902.93678446993</v>
      </c>
      <c r="AM31" s="188">
        <v>2030.9</v>
      </c>
      <c r="AN31" s="156">
        <v>5295978.4766016994</v>
      </c>
      <c r="AO31" s="156">
        <v>9539.7000000000007</v>
      </c>
      <c r="AP31" s="156">
        <v>0</v>
      </c>
      <c r="AQ31" s="156">
        <f t="shared" ca="1" si="13"/>
        <v>22815807.153374083</v>
      </c>
      <c r="AR31" s="156">
        <f t="shared" si="14"/>
        <v>45680.022989000005</v>
      </c>
      <c r="AS31" s="186">
        <v>3766848.9011559999</v>
      </c>
      <c r="AT31" s="186">
        <v>7389.1699200000003</v>
      </c>
      <c r="AU31" s="88">
        <f>'Customer Data'!$H56</f>
        <v>1</v>
      </c>
      <c r="AV31" s="126">
        <f ca="1">HLOOKUP($B31,CDM!$B$1:$Q$22,17,FALSE)/12</f>
        <v>0</v>
      </c>
      <c r="AW31" s="188">
        <f t="shared" ca="1" si="7"/>
        <v>3766848.9011559999</v>
      </c>
      <c r="AX31" s="105">
        <v>1033050.905781</v>
      </c>
      <c r="AY31" s="105">
        <v>4111.37</v>
      </c>
      <c r="AZ31" s="88">
        <f>'Customer Data'!$I56</f>
        <v>23546</v>
      </c>
      <c r="BA31" s="126">
        <f ca="1">HLOOKUP($B31,CDM!$B$1:$Q$22,18,FALSE)/12</f>
        <v>0</v>
      </c>
      <c r="BB31" s="188">
        <f t="shared" ca="1" si="8"/>
        <v>4111.37</v>
      </c>
      <c r="BC31" s="186">
        <v>74269.303866000002</v>
      </c>
      <c r="BD31" s="186">
        <v>222.33853500000001</v>
      </c>
      <c r="BE31" s="188">
        <f>'Customer Data'!$J56</f>
        <v>663</v>
      </c>
      <c r="BF31" s="105">
        <v>302449.93713999999</v>
      </c>
      <c r="BG31" s="188">
        <f>'Customer Data'!$K56</f>
        <v>796</v>
      </c>
      <c r="BH31" s="188">
        <f>Weather!B199</f>
        <v>7.6000000000000005</v>
      </c>
      <c r="BI31" s="188">
        <f>Weather!$C199</f>
        <v>115.89999999999998</v>
      </c>
      <c r="BJ31" s="166">
        <f>Employment!B55</f>
        <v>6662</v>
      </c>
      <c r="BK31" s="188">
        <f>Employment!$C55</f>
        <v>147.1</v>
      </c>
      <c r="BL31" s="188">
        <f>Employment!D55</f>
        <v>570633.30000000005</v>
      </c>
      <c r="BM31" s="188">
        <f t="shared" si="15"/>
        <v>30</v>
      </c>
      <c r="BN31" s="188">
        <f t="shared" ref="BN31:CA31" si="36">BN19</f>
        <v>0</v>
      </c>
      <c r="BO31" s="188">
        <f t="shared" si="36"/>
        <v>0</v>
      </c>
      <c r="BP31" s="188">
        <f t="shared" si="36"/>
        <v>0</v>
      </c>
      <c r="BQ31" s="188">
        <f t="shared" si="36"/>
        <v>0</v>
      </c>
      <c r="BR31" s="188">
        <f t="shared" si="36"/>
        <v>0</v>
      </c>
      <c r="BS31" s="188">
        <f t="shared" si="36"/>
        <v>1</v>
      </c>
      <c r="BT31" s="188">
        <f t="shared" si="36"/>
        <v>0</v>
      </c>
      <c r="BU31" s="188">
        <f t="shared" si="36"/>
        <v>0</v>
      </c>
      <c r="BV31" s="188">
        <f t="shared" si="36"/>
        <v>0</v>
      </c>
      <c r="BW31" s="188">
        <f t="shared" si="36"/>
        <v>0</v>
      </c>
      <c r="BX31" s="188">
        <f t="shared" si="36"/>
        <v>0</v>
      </c>
      <c r="BY31" s="188">
        <f t="shared" si="36"/>
        <v>0</v>
      </c>
      <c r="BZ31" s="188">
        <f t="shared" si="36"/>
        <v>0</v>
      </c>
      <c r="CA31" s="188">
        <f t="shared" si="36"/>
        <v>0</v>
      </c>
      <c r="CB31" s="188">
        <f t="shared" si="16"/>
        <v>0</v>
      </c>
      <c r="CC31" s="188">
        <f t="shared" si="20"/>
        <v>30</v>
      </c>
      <c r="CD31" s="121">
        <v>22</v>
      </c>
    </row>
    <row r="32" spans="1:82" s="188" customFormat="1" ht="15">
      <c r="A32" s="190">
        <v>40725</v>
      </c>
      <c r="B32" s="191">
        <f t="shared" si="0"/>
        <v>2011</v>
      </c>
      <c r="C32" s="186">
        <v>80122127.485221997</v>
      </c>
      <c r="D32" s="88">
        <f>('Customer Data'!$B56*2+'Customer Data'!$B59)/3</f>
        <v>76589</v>
      </c>
      <c r="E32" s="188">
        <f ca="1">HLOOKUP($B32,CDM!$B$1:$Q$22,11,FALSE)/12</f>
        <v>939361.07073813642</v>
      </c>
      <c r="F32" s="189">
        <f t="shared" ca="1" si="1"/>
        <v>81061488.555960134</v>
      </c>
      <c r="G32" s="186">
        <v>21933359.872345999</v>
      </c>
      <c r="H32" s="88">
        <f>('Customer Data'!$C56*2+'Customer Data'!$C59)/3</f>
        <v>6929.4444444444453</v>
      </c>
      <c r="I32" s="188">
        <f ca="1">HLOOKUP($B32,CDM!$B$1:$Q$22,12,FALSE)/12</f>
        <v>770212.54833885829</v>
      </c>
      <c r="J32" s="188">
        <f t="shared" ca="1" si="2"/>
        <v>22703572.420684855</v>
      </c>
      <c r="K32" s="186">
        <v>84983924.077901989</v>
      </c>
      <c r="L32" s="186">
        <v>217210.60982800002</v>
      </c>
      <c r="M32" s="88">
        <f>('Customer Data'!$D56*2+'Customer Data'!$D59)/3</f>
        <v>1226.6666666666667</v>
      </c>
      <c r="N32" s="126">
        <f ca="1">HLOOKUP($B32,CDM!$B$1:$Q$22,13,FALSE)/12</f>
        <v>685607.7790396146</v>
      </c>
      <c r="O32" s="188">
        <f t="shared" ca="1" si="9"/>
        <v>85669531.856941611</v>
      </c>
      <c r="P32" s="188">
        <f t="shared" si="3"/>
        <v>217210.60982800002</v>
      </c>
      <c r="Q32" s="188">
        <v>314103.33429700299</v>
      </c>
      <c r="R32" s="188">
        <v>689</v>
      </c>
      <c r="S32" s="229">
        <v>0</v>
      </c>
      <c r="T32" s="189">
        <f t="shared" ca="1" si="10"/>
        <v>85355428.522644609</v>
      </c>
      <c r="U32" s="156">
        <f t="shared" si="11"/>
        <v>216521.60982800002</v>
      </c>
      <c r="V32" s="186">
        <v>4410294.6933960002</v>
      </c>
      <c r="W32" s="186">
        <v>11753.327799000001</v>
      </c>
      <c r="X32" s="88">
        <f>('Customer Data'!$E56*2+'Customer Data'!$E59)/3</f>
        <v>3</v>
      </c>
      <c r="Y32" s="126">
        <f ca="1">HLOOKUP($B32,CDM!$B$1:$Q$22,14,FALSE)/12</f>
        <v>0</v>
      </c>
      <c r="Z32" s="188">
        <f t="shared" ca="1" si="12"/>
        <v>4410294.6933960002</v>
      </c>
      <c r="AA32" s="186">
        <v>30140634.956720997</v>
      </c>
      <c r="AB32" s="186">
        <v>54443.577996</v>
      </c>
      <c r="AC32" s="88">
        <f>('Customer Data'!$F56*2+'Customer Data'!$F59)/3</f>
        <v>6</v>
      </c>
      <c r="AD32" s="126">
        <f ca="1">HLOOKUP($B32,CDM!$B$1:$Q$22,15,FALSE)/12</f>
        <v>49481.685103782911</v>
      </c>
      <c r="AE32" s="188">
        <f t="shared" ca="1" si="4"/>
        <v>30190116.641824778</v>
      </c>
      <c r="AF32" s="186">
        <v>22313308.053564001</v>
      </c>
      <c r="AG32" s="186">
        <v>53727.14585700001</v>
      </c>
      <c r="AH32" s="88">
        <f>('Customer Data'!$G56*2+'Customer Data'!$G59)/3</f>
        <v>3</v>
      </c>
      <c r="AI32" s="126">
        <f ca="1">HLOOKUP($B32,CDM!$B$1:$Q$22,16,FALSE)/12</f>
        <v>0</v>
      </c>
      <c r="AJ32" s="188">
        <f ca="1">AF32+AI32-AL32</f>
        <v>21802972.702643145</v>
      </c>
      <c r="AK32" s="188">
        <f t="shared" si="6"/>
        <v>51703.745857000009</v>
      </c>
      <c r="AL32" s="188">
        <v>510335.35092085617</v>
      </c>
      <c r="AM32" s="188">
        <v>2023.4</v>
      </c>
      <c r="AN32" s="156">
        <v>4733679.0948165376</v>
      </c>
      <c r="AO32" s="156">
        <v>9731.5</v>
      </c>
      <c r="AP32" s="156">
        <v>0</v>
      </c>
      <c r="AQ32" s="156">
        <f t="shared" ca="1" si="13"/>
        <v>25456437.547008239</v>
      </c>
      <c r="AR32" s="156">
        <f t="shared" si="14"/>
        <v>44712.077996</v>
      </c>
      <c r="AS32" s="186">
        <v>3616495.237038</v>
      </c>
      <c r="AT32" s="186">
        <v>7434.7891200000004</v>
      </c>
      <c r="AU32" s="88">
        <f>('Customer Data'!$H56*2+'Customer Data'!$H59)/3</f>
        <v>1</v>
      </c>
      <c r="AV32" s="126">
        <f ca="1">HLOOKUP($B32,CDM!$B$1:$Q$22,17,FALSE)/12</f>
        <v>0</v>
      </c>
      <c r="AW32" s="188">
        <f t="shared" ca="1" si="7"/>
        <v>3616495.237038</v>
      </c>
      <c r="AX32" s="105">
        <v>1101767.1757650001</v>
      </c>
      <c r="AY32" s="105">
        <v>4111.37</v>
      </c>
      <c r="AZ32" s="88">
        <f>('Customer Data'!$I56*2+'Customer Data'!$I59)/3</f>
        <v>23450.666666666668</v>
      </c>
      <c r="BA32" s="126">
        <f ca="1">HLOOKUP($B32,CDM!$B$1:$Q$22,18,FALSE)/12</f>
        <v>0</v>
      </c>
      <c r="BB32" s="188">
        <f t="shared" ca="1" si="8"/>
        <v>4111.37</v>
      </c>
      <c r="BC32" s="186">
        <v>76744.947322000007</v>
      </c>
      <c r="BD32" s="186">
        <v>200.338707</v>
      </c>
      <c r="BE32" s="188">
        <f>('Customer Data'!$J56*2+'Customer Data'!$J59*1)/3</f>
        <v>660.33333333333337</v>
      </c>
      <c r="BF32" s="105">
        <v>309425.55329399998</v>
      </c>
      <c r="BG32" s="188">
        <f>('Customer Data'!$K56*2+'Customer Data'!$K59*1)/3</f>
        <v>795.66666666666663</v>
      </c>
      <c r="BH32" s="188">
        <f>Weather!B200</f>
        <v>0</v>
      </c>
      <c r="BI32" s="188">
        <f>Weather!$C200</f>
        <v>255.50000000000006</v>
      </c>
      <c r="BJ32" s="166">
        <f>Employment!B56</f>
        <v>6665.8</v>
      </c>
      <c r="BK32" s="188">
        <f>Employment!$C56</f>
        <v>148</v>
      </c>
      <c r="BL32" s="188">
        <f>Employment!D56</f>
        <v>570633.30000000005</v>
      </c>
      <c r="BM32" s="188">
        <f t="shared" si="15"/>
        <v>31</v>
      </c>
      <c r="BN32" s="188">
        <f t="shared" ref="BN32:CA32" si="37">BN20</f>
        <v>0</v>
      </c>
      <c r="BO32" s="188">
        <f t="shared" si="37"/>
        <v>0</v>
      </c>
      <c r="BP32" s="188">
        <f t="shared" si="37"/>
        <v>0</v>
      </c>
      <c r="BQ32" s="188">
        <f t="shared" si="37"/>
        <v>0</v>
      </c>
      <c r="BR32" s="188">
        <f t="shared" si="37"/>
        <v>0</v>
      </c>
      <c r="BS32" s="188">
        <f t="shared" si="37"/>
        <v>0</v>
      </c>
      <c r="BT32" s="188">
        <f t="shared" si="37"/>
        <v>1</v>
      </c>
      <c r="BU32" s="188">
        <f t="shared" si="37"/>
        <v>0</v>
      </c>
      <c r="BV32" s="188">
        <f t="shared" si="37"/>
        <v>0</v>
      </c>
      <c r="BW32" s="188">
        <f t="shared" si="37"/>
        <v>0</v>
      </c>
      <c r="BX32" s="188">
        <f t="shared" si="37"/>
        <v>0</v>
      </c>
      <c r="BY32" s="188">
        <f t="shared" si="37"/>
        <v>0</v>
      </c>
      <c r="BZ32" s="188">
        <f t="shared" si="37"/>
        <v>0</v>
      </c>
      <c r="CA32" s="188">
        <f t="shared" si="37"/>
        <v>0</v>
      </c>
      <c r="CB32" s="188">
        <f t="shared" si="16"/>
        <v>0</v>
      </c>
      <c r="CC32" s="188">
        <f t="shared" si="20"/>
        <v>31</v>
      </c>
      <c r="CD32" s="121">
        <v>20</v>
      </c>
    </row>
    <row r="33" spans="1:82" s="188" customFormat="1" ht="15">
      <c r="A33" s="190">
        <v>40756</v>
      </c>
      <c r="B33" s="191">
        <f t="shared" si="0"/>
        <v>2011</v>
      </c>
      <c r="C33" s="186">
        <v>70319184.339175001</v>
      </c>
      <c r="D33" s="88">
        <f>('Customer Data'!$B56+'Customer Data'!$B59*2)/3</f>
        <v>76707</v>
      </c>
      <c r="E33" s="188">
        <f ca="1">HLOOKUP($B33,CDM!$B$1:$Q$22,11,FALSE)/12</f>
        <v>939361.07073813642</v>
      </c>
      <c r="F33" s="189">
        <f t="shared" ca="1" si="1"/>
        <v>71258545.409913138</v>
      </c>
      <c r="G33" s="186">
        <v>20771896.885350004</v>
      </c>
      <c r="H33" s="88">
        <f>('Customer Data'!$C56+'Customer Data'!$C59*2)/3</f>
        <v>6928.5555555555557</v>
      </c>
      <c r="I33" s="188">
        <f ca="1">HLOOKUP($B33,CDM!$B$1:$Q$22,12,FALSE)/12</f>
        <v>770212.54833885829</v>
      </c>
      <c r="J33" s="188">
        <f t="shared" ca="1" si="2"/>
        <v>21542109.43368886</v>
      </c>
      <c r="K33" s="186">
        <v>85263514.496275008</v>
      </c>
      <c r="L33" s="186">
        <v>219924.33288900001</v>
      </c>
      <c r="M33" s="88">
        <f>('Customer Data'!$D56+'Customer Data'!$D59*2)/3</f>
        <v>1200.3333333333333</v>
      </c>
      <c r="N33" s="126">
        <f ca="1">HLOOKUP($B33,CDM!$B$1:$Q$22,13,FALSE)/12</f>
        <v>685607.7790396146</v>
      </c>
      <c r="O33" s="188">
        <f t="shared" ref="O33:O64" ca="1" si="38">K33+N33-AL33</f>
        <v>85461087.222262934</v>
      </c>
      <c r="P33" s="188">
        <f t="shared" ref="P33:P64" si="39">L33-AM33</f>
        <v>217870.632889</v>
      </c>
      <c r="Q33" s="188">
        <v>326357.09742700204</v>
      </c>
      <c r="R33" s="188">
        <v>710.9</v>
      </c>
      <c r="S33" s="229">
        <v>0</v>
      </c>
      <c r="T33" s="189">
        <f t="shared" ca="1" si="10"/>
        <v>85134730.124835938</v>
      </c>
      <c r="U33" s="156">
        <f t="shared" si="11"/>
        <v>217159.73288900001</v>
      </c>
      <c r="V33" s="186">
        <v>3989309.9328839998</v>
      </c>
      <c r="W33" s="186">
        <v>10482.448779</v>
      </c>
      <c r="X33" s="88">
        <f>('Customer Data'!$E56+'Customer Data'!$E59*2)/3</f>
        <v>3</v>
      </c>
      <c r="Y33" s="126">
        <f ca="1">HLOOKUP($B33,CDM!$B$1:$Q$22,14,FALSE)/12</f>
        <v>0</v>
      </c>
      <c r="Z33" s="188">
        <f t="shared" ca="1" si="12"/>
        <v>3989309.9328839998</v>
      </c>
      <c r="AA33" s="186">
        <v>30812140.974163003</v>
      </c>
      <c r="AB33" s="186">
        <v>52964.797579999999</v>
      </c>
      <c r="AC33" s="88">
        <f>('Customer Data'!$F56+'Customer Data'!$F59*2)/3</f>
        <v>6</v>
      </c>
      <c r="AD33" s="126">
        <f ca="1">HLOOKUP($B33,CDM!$B$1:$Q$22,15,FALSE)/12</f>
        <v>49481.685103782911</v>
      </c>
      <c r="AE33" s="188">
        <f t="shared" ca="1" si="4"/>
        <v>30861622.659266785</v>
      </c>
      <c r="AF33" s="186">
        <v>28628930.606412001</v>
      </c>
      <c r="AG33" s="186">
        <v>54105.632855999997</v>
      </c>
      <c r="AH33" s="88">
        <f>('Customer Data'!$G56+'Customer Data'!$G59*2)/3</f>
        <v>3</v>
      </c>
      <c r="AI33" s="126">
        <f ca="1">HLOOKUP($B33,CDM!$B$1:$Q$22,16,FALSE)/12</f>
        <v>0</v>
      </c>
      <c r="AJ33" s="188">
        <f ca="1">AF33+AI33</f>
        <v>28628930.606412001</v>
      </c>
      <c r="AK33" s="188">
        <f>AG33</f>
        <v>54105.632855999997</v>
      </c>
      <c r="AL33" s="188">
        <v>488035.05305168882</v>
      </c>
      <c r="AM33" s="188">
        <v>2053.6999999999998</v>
      </c>
      <c r="AN33" s="156">
        <v>6003938.9384754812</v>
      </c>
      <c r="AO33" s="156">
        <v>9977.2999999999993</v>
      </c>
      <c r="AP33" s="156">
        <v>0</v>
      </c>
      <c r="AQ33" s="156">
        <f t="shared" ca="1" si="13"/>
        <v>24857683.720791303</v>
      </c>
      <c r="AR33" s="156">
        <f t="shared" si="14"/>
        <v>42987.497579999996</v>
      </c>
      <c r="AS33" s="186">
        <v>4118060.4745080001</v>
      </c>
      <c r="AT33" s="186">
        <v>7345.4515199999996</v>
      </c>
      <c r="AU33" s="88">
        <f>('Customer Data'!$H56+'Customer Data'!$H59*2)/3</f>
        <v>1</v>
      </c>
      <c r="AV33" s="126">
        <f ca="1">HLOOKUP($B33,CDM!$B$1:$Q$22,17,FALSE)/12</f>
        <v>0</v>
      </c>
      <c r="AW33" s="188">
        <f t="shared" ca="1" si="7"/>
        <v>4118060.4745080001</v>
      </c>
      <c r="AX33" s="105">
        <v>1238370.9897370001</v>
      </c>
      <c r="AY33" s="105">
        <v>4111.37</v>
      </c>
      <c r="AZ33" s="88">
        <f>('Customer Data'!$I56+'Customer Data'!$I59*2)/3</f>
        <v>23355.333333333332</v>
      </c>
      <c r="BA33" s="126">
        <f ca="1">HLOOKUP($B33,CDM!$B$1:$Q$22,18,FALSE)/12</f>
        <v>0</v>
      </c>
      <c r="BB33" s="188">
        <f t="shared" ca="1" si="8"/>
        <v>4111.37</v>
      </c>
      <c r="BC33" s="186">
        <v>76529.189761000001</v>
      </c>
      <c r="BD33" s="186">
        <v>212.978602</v>
      </c>
      <c r="BE33" s="188">
        <f>('Customer Data'!$J56*1+'Customer Data'!$J59*2)/3</f>
        <v>657.66666666666663</v>
      </c>
      <c r="BF33" s="105">
        <v>309353.557325</v>
      </c>
      <c r="BG33" s="188">
        <f>('Customer Data'!$K56*1+'Customer Data'!$K59*2)/3</f>
        <v>795.33333333333337</v>
      </c>
      <c r="BH33" s="188">
        <f>Weather!B201</f>
        <v>0</v>
      </c>
      <c r="BI33" s="188">
        <f>Weather!$C201</f>
        <v>159.50000000000003</v>
      </c>
      <c r="BJ33" s="166">
        <f>Employment!B57</f>
        <v>6677.5</v>
      </c>
      <c r="BK33" s="188">
        <f>Employment!$C57</f>
        <v>147.9</v>
      </c>
      <c r="BL33" s="188">
        <f>Employment!D57</f>
        <v>570633.30000000005</v>
      </c>
      <c r="BM33" s="188">
        <f t="shared" si="15"/>
        <v>32</v>
      </c>
      <c r="BN33" s="188">
        <f t="shared" ref="BN33:CA33" si="40">BN21</f>
        <v>0</v>
      </c>
      <c r="BO33" s="188">
        <f t="shared" si="40"/>
        <v>0</v>
      </c>
      <c r="BP33" s="188">
        <f t="shared" si="40"/>
        <v>0</v>
      </c>
      <c r="BQ33" s="188">
        <f t="shared" si="40"/>
        <v>0</v>
      </c>
      <c r="BR33" s="188">
        <f t="shared" si="40"/>
        <v>0</v>
      </c>
      <c r="BS33" s="188">
        <f t="shared" si="40"/>
        <v>0</v>
      </c>
      <c r="BT33" s="188">
        <f t="shared" si="40"/>
        <v>0</v>
      </c>
      <c r="BU33" s="188">
        <f t="shared" si="40"/>
        <v>1</v>
      </c>
      <c r="BV33" s="188">
        <f t="shared" si="40"/>
        <v>0</v>
      </c>
      <c r="BW33" s="188">
        <f t="shared" si="40"/>
        <v>0</v>
      </c>
      <c r="BX33" s="188">
        <f t="shared" si="40"/>
        <v>0</v>
      </c>
      <c r="BY33" s="188">
        <f t="shared" si="40"/>
        <v>0</v>
      </c>
      <c r="BZ33" s="188">
        <f t="shared" si="40"/>
        <v>0</v>
      </c>
      <c r="CA33" s="188">
        <f t="shared" si="40"/>
        <v>0</v>
      </c>
      <c r="CB33" s="188">
        <f t="shared" si="16"/>
        <v>0</v>
      </c>
      <c r="CC33" s="188">
        <f t="shared" si="20"/>
        <v>31</v>
      </c>
      <c r="CD33" s="121">
        <v>22</v>
      </c>
    </row>
    <row r="34" spans="1:82" s="188" customFormat="1" ht="15">
      <c r="A34" s="190">
        <v>40787</v>
      </c>
      <c r="B34" s="191">
        <f t="shared" si="0"/>
        <v>2011</v>
      </c>
      <c r="C34" s="186">
        <v>48728746.209725</v>
      </c>
      <c r="D34" s="88">
        <f>'Customer Data'!$B59</f>
        <v>76825</v>
      </c>
      <c r="E34" s="188">
        <f ca="1">HLOOKUP($B34,CDM!$B$1:$Q$22,11,FALSE)/12</f>
        <v>939361.07073813642</v>
      </c>
      <c r="F34" s="189">
        <f t="shared" ca="1" si="1"/>
        <v>49668107.280463137</v>
      </c>
      <c r="G34" s="186">
        <v>17280621.965669002</v>
      </c>
      <c r="H34" s="88">
        <f>'Customer Data'!$C59</f>
        <v>6927.666666666667</v>
      </c>
      <c r="I34" s="188">
        <f ca="1">HLOOKUP($B34,CDM!$B$1:$Q$22,12,FALSE)/12</f>
        <v>770212.54833885829</v>
      </c>
      <c r="J34" s="188">
        <f t="shared" ca="1" si="2"/>
        <v>18050834.514007859</v>
      </c>
      <c r="K34" s="186">
        <v>75428759.071823001</v>
      </c>
      <c r="L34" s="186">
        <v>209846.54828699998</v>
      </c>
      <c r="M34" s="88">
        <f>'Customer Data'!$D59</f>
        <v>1174</v>
      </c>
      <c r="N34" s="126">
        <f ca="1">HLOOKUP($B34,CDM!$B$1:$Q$22,13,FALSE)/12</f>
        <v>685607.7790396146</v>
      </c>
      <c r="O34" s="188">
        <f t="shared" ca="1" si="38"/>
        <v>75648608.630284414</v>
      </c>
      <c r="P34" s="188">
        <f t="shared" si="39"/>
        <v>207842.54828699998</v>
      </c>
      <c r="Q34" s="188">
        <v>325332.0901994796</v>
      </c>
      <c r="R34" s="188">
        <v>720.1</v>
      </c>
      <c r="S34" s="229">
        <v>0</v>
      </c>
      <c r="T34" s="189">
        <f t="shared" ca="1" si="10"/>
        <v>75323276.540084928</v>
      </c>
      <c r="U34" s="156">
        <f t="shared" si="11"/>
        <v>207122.44828699998</v>
      </c>
      <c r="V34" s="186">
        <v>3961994.71691</v>
      </c>
      <c r="W34" s="186">
        <v>10917.661419</v>
      </c>
      <c r="X34" s="88">
        <f>'Customer Data'!$E59</f>
        <v>3</v>
      </c>
      <c r="Y34" s="126">
        <f ca="1">HLOOKUP($B34,CDM!$B$1:$Q$22,14,FALSE)/12</f>
        <v>0</v>
      </c>
      <c r="Z34" s="188">
        <f t="shared" ca="1" si="12"/>
        <v>3961994.71691</v>
      </c>
      <c r="AA34" s="186">
        <v>28011376.896981999</v>
      </c>
      <c r="AB34" s="186">
        <v>54942.892864000001</v>
      </c>
      <c r="AC34" s="88">
        <f>'Customer Data'!$F59</f>
        <v>6</v>
      </c>
      <c r="AD34" s="126">
        <f ca="1">HLOOKUP($B34,CDM!$B$1:$Q$22,15,FALSE)/12</f>
        <v>49481.685103782911</v>
      </c>
      <c r="AE34" s="188">
        <f t="shared" ca="1" si="4"/>
        <v>28060858.582085781</v>
      </c>
      <c r="AF34" s="186">
        <v>24153372.255553998</v>
      </c>
      <c r="AG34" s="186">
        <v>51749.060912999994</v>
      </c>
      <c r="AH34" s="88">
        <f>'Customer Data'!$G59</f>
        <v>3</v>
      </c>
      <c r="AI34" s="126">
        <f ca="1">HLOOKUP($B34,CDM!$B$1:$Q$22,16,FALSE)/12</f>
        <v>0</v>
      </c>
      <c r="AJ34" s="188">
        <f t="shared" ref="AJ34:AJ42" ca="1" si="41">AF34+AI34</f>
        <v>24153372.255553998</v>
      </c>
      <c r="AK34" s="188">
        <f>AG34</f>
        <v>51749.060912999994</v>
      </c>
      <c r="AL34" s="188">
        <v>465758.22057821468</v>
      </c>
      <c r="AM34" s="188">
        <v>2004</v>
      </c>
      <c r="AN34" s="156">
        <v>5700196.8069735505</v>
      </c>
      <c r="AO34" s="156">
        <v>10225.1</v>
      </c>
      <c r="AP34" s="156">
        <v>0</v>
      </c>
      <c r="AQ34" s="156">
        <f t="shared" ca="1" si="13"/>
        <v>22360661.77511223</v>
      </c>
      <c r="AR34" s="156">
        <f t="shared" si="14"/>
        <v>44717.792864000003</v>
      </c>
      <c r="AS34" s="186">
        <v>3482259.2144610002</v>
      </c>
      <c r="AT34" s="186">
        <v>7248.5107200000002</v>
      </c>
      <c r="AU34" s="88">
        <f>'Customer Data'!$H59</f>
        <v>1</v>
      </c>
      <c r="AV34" s="126">
        <f ca="1">HLOOKUP($B34,CDM!$B$1:$Q$22,17,FALSE)/12</f>
        <v>0</v>
      </c>
      <c r="AW34" s="188">
        <f t="shared" ca="1" si="7"/>
        <v>3482259.2144610002</v>
      </c>
      <c r="AX34" s="105">
        <v>1387805.7257109999</v>
      </c>
      <c r="AY34" s="105">
        <v>4111.37</v>
      </c>
      <c r="AZ34" s="88">
        <f>'Customer Data'!$I59</f>
        <v>23260</v>
      </c>
      <c r="BA34" s="126">
        <f ca="1">HLOOKUP($B34,CDM!$B$1:$Q$22,18,FALSE)/12</f>
        <v>0</v>
      </c>
      <c r="BB34" s="188">
        <f t="shared" ca="1" si="8"/>
        <v>4111.37</v>
      </c>
      <c r="BC34" s="186">
        <v>74016.346718000001</v>
      </c>
      <c r="BD34" s="186">
        <v>206.988654</v>
      </c>
      <c r="BE34" s="188">
        <f>'Customer Data'!$J59</f>
        <v>655</v>
      </c>
      <c r="BF34" s="105">
        <v>297989.04894299997</v>
      </c>
      <c r="BG34" s="188">
        <f>'Customer Data'!$K59</f>
        <v>795</v>
      </c>
      <c r="BH34" s="188">
        <f>Weather!B202</f>
        <v>51.4</v>
      </c>
      <c r="BI34" s="188">
        <f>Weather!$C202</f>
        <v>60.199999999999989</v>
      </c>
      <c r="BJ34" s="166">
        <f>Employment!B58</f>
        <v>6674.4</v>
      </c>
      <c r="BK34" s="188">
        <f>Employment!$C58</f>
        <v>146</v>
      </c>
      <c r="BL34" s="188">
        <f>Employment!D58</f>
        <v>570633.30000000005</v>
      </c>
      <c r="BM34" s="188">
        <f t="shared" si="15"/>
        <v>33</v>
      </c>
      <c r="BN34" s="188">
        <f t="shared" ref="BN34:CA34" si="42">BN22</f>
        <v>0</v>
      </c>
      <c r="BO34" s="188">
        <f t="shared" si="42"/>
        <v>0</v>
      </c>
      <c r="BP34" s="188">
        <f t="shared" si="42"/>
        <v>0</v>
      </c>
      <c r="BQ34" s="188">
        <f t="shared" si="42"/>
        <v>0</v>
      </c>
      <c r="BR34" s="188">
        <f t="shared" si="42"/>
        <v>0</v>
      </c>
      <c r="BS34" s="188">
        <f t="shared" si="42"/>
        <v>0</v>
      </c>
      <c r="BT34" s="188">
        <f t="shared" si="42"/>
        <v>0</v>
      </c>
      <c r="BU34" s="188">
        <f t="shared" si="42"/>
        <v>0</v>
      </c>
      <c r="BV34" s="188">
        <f t="shared" si="42"/>
        <v>1</v>
      </c>
      <c r="BW34" s="188">
        <f t="shared" si="42"/>
        <v>0</v>
      </c>
      <c r="BX34" s="188">
        <f t="shared" si="42"/>
        <v>0</v>
      </c>
      <c r="BY34" s="188">
        <f t="shared" si="42"/>
        <v>0</v>
      </c>
      <c r="BZ34" s="188">
        <f t="shared" si="42"/>
        <v>0</v>
      </c>
      <c r="CA34" s="188">
        <f t="shared" si="42"/>
        <v>1</v>
      </c>
      <c r="CB34" s="188">
        <f t="shared" si="16"/>
        <v>1</v>
      </c>
      <c r="CC34" s="188">
        <f t="shared" si="20"/>
        <v>30</v>
      </c>
      <c r="CD34" s="121">
        <v>21</v>
      </c>
    </row>
    <row r="35" spans="1:82" s="188" customFormat="1" ht="15">
      <c r="A35" s="190">
        <v>40817</v>
      </c>
      <c r="B35" s="191">
        <f t="shared" si="0"/>
        <v>2011</v>
      </c>
      <c r="C35" s="186">
        <v>42314053.115263999</v>
      </c>
      <c r="D35" s="88">
        <f>('Customer Data'!$B59*2+'Customer Data'!$B62)/3</f>
        <v>76855</v>
      </c>
      <c r="E35" s="188">
        <f ca="1">HLOOKUP($B35,CDM!$B$1:$Q$22,11,FALSE)/12</f>
        <v>939361.07073813642</v>
      </c>
      <c r="F35" s="189">
        <f t="shared" ca="1" si="1"/>
        <v>43253414.186002135</v>
      </c>
      <c r="G35" s="186">
        <v>16436472.903943</v>
      </c>
      <c r="H35" s="88">
        <f>('Customer Data'!$C59*2+'Customer Data'!$C62)/3</f>
        <v>6926.7777777777783</v>
      </c>
      <c r="I35" s="188">
        <f ca="1">HLOOKUP($B35,CDM!$B$1:$Q$22,12,FALSE)/12</f>
        <v>770212.54833885829</v>
      </c>
      <c r="J35" s="188">
        <f t="shared" ca="1" si="2"/>
        <v>17206685.452281859</v>
      </c>
      <c r="K35" s="186">
        <v>74706515.563134998</v>
      </c>
      <c r="L35" s="186">
        <v>194369.46246100002</v>
      </c>
      <c r="M35" s="88">
        <f>('Customer Data'!$D59*2+'Customer Data'!$D62)/3</f>
        <v>1173.3333333333333</v>
      </c>
      <c r="N35" s="126">
        <f ca="1">HLOOKUP($B35,CDM!$B$1:$Q$22,13,FALSE)/12</f>
        <v>685607.7790396146</v>
      </c>
      <c r="O35" s="188">
        <f t="shared" ca="1" si="38"/>
        <v>74971165.15079917</v>
      </c>
      <c r="P35" s="188">
        <f t="shared" si="39"/>
        <v>192509.66246100003</v>
      </c>
      <c r="Q35" s="188">
        <v>355415.21634383732</v>
      </c>
      <c r="R35" s="188">
        <v>759.5</v>
      </c>
      <c r="S35" s="229">
        <v>0</v>
      </c>
      <c r="T35" s="189">
        <f t="shared" ca="1" si="10"/>
        <v>74615749.934455335</v>
      </c>
      <c r="U35" s="156">
        <f t="shared" si="11"/>
        <v>191750.16246100003</v>
      </c>
      <c r="V35" s="186">
        <v>4046724.6678829999</v>
      </c>
      <c r="W35" s="186">
        <v>9967.3034850000004</v>
      </c>
      <c r="X35" s="88">
        <f>('Customer Data'!$E59*2+'Customer Data'!$E62)/3</f>
        <v>3</v>
      </c>
      <c r="Y35" s="126">
        <f ca="1">HLOOKUP($B35,CDM!$B$1:$Q$22,14,FALSE)/12</f>
        <v>0</v>
      </c>
      <c r="Z35" s="188">
        <f t="shared" ca="1" si="12"/>
        <v>4046724.6678829999</v>
      </c>
      <c r="AA35" s="186">
        <v>27527652.05133</v>
      </c>
      <c r="AB35" s="186">
        <v>51265.607951000005</v>
      </c>
      <c r="AC35" s="88">
        <f>('Customer Data'!$F59*2+'Customer Data'!$F62)/3</f>
        <v>6</v>
      </c>
      <c r="AD35" s="126">
        <f ca="1">HLOOKUP($B35,CDM!$B$1:$Q$22,15,FALSE)/12</f>
        <v>49481.685103782911</v>
      </c>
      <c r="AE35" s="188">
        <f t="shared" ca="1" si="4"/>
        <v>27577133.736433782</v>
      </c>
      <c r="AF35" s="186">
        <v>20322380.081131</v>
      </c>
      <c r="AG35" s="186">
        <v>45079.382303999999</v>
      </c>
      <c r="AH35" s="88">
        <f>('Customer Data'!$G59*2+'Customer Data'!$G62)/3</f>
        <v>3</v>
      </c>
      <c r="AI35" s="126">
        <f ca="1">HLOOKUP($B35,CDM!$B$1:$Q$22,16,FALSE)/12</f>
        <v>0</v>
      </c>
      <c r="AJ35" s="188">
        <f t="shared" ca="1" si="41"/>
        <v>20322380.081131</v>
      </c>
      <c r="AK35" s="188">
        <f t="shared" ref="AK35:AK98" si="43">AG35</f>
        <v>45079.382303999999</v>
      </c>
      <c r="AL35" s="188">
        <v>420958.19137545017</v>
      </c>
      <c r="AM35" s="188">
        <v>1859.8</v>
      </c>
      <c r="AN35" s="156">
        <v>5937389.0885235574</v>
      </c>
      <c r="AO35" s="156">
        <v>9960.9500000000007</v>
      </c>
      <c r="AP35" s="156">
        <v>0</v>
      </c>
      <c r="AQ35" s="156">
        <f t="shared" ca="1" si="13"/>
        <v>21639744.647910222</v>
      </c>
      <c r="AR35" s="156">
        <f t="shared" si="14"/>
        <v>41304.657951000001</v>
      </c>
      <c r="AS35" s="186">
        <v>3550074.8233079999</v>
      </c>
      <c r="AT35" s="186">
        <v>6236.1446400000004</v>
      </c>
      <c r="AU35" s="88">
        <f>('Customer Data'!$H59*2+'Customer Data'!$H62)/3</f>
        <v>1</v>
      </c>
      <c r="AV35" s="126">
        <f ca="1">HLOOKUP($B35,CDM!$B$1:$Q$22,17,FALSE)/12</f>
        <v>0</v>
      </c>
      <c r="AW35" s="188">
        <f t="shared" ca="1" si="7"/>
        <v>3550074.8233079999</v>
      </c>
      <c r="AX35" s="105">
        <v>1614483.3177449999</v>
      </c>
      <c r="AY35" s="105">
        <v>4121.29</v>
      </c>
      <c r="AZ35" s="88">
        <f>('Customer Data'!$I59*2+'Customer Data'!$I62)/3</f>
        <v>23270.666666666668</v>
      </c>
      <c r="BA35" s="126">
        <f ca="1">HLOOKUP($B35,CDM!$B$1:$Q$22,18,FALSE)/12</f>
        <v>0</v>
      </c>
      <c r="BB35" s="188">
        <f t="shared" ca="1" si="8"/>
        <v>4121.29</v>
      </c>
      <c r="BC35" s="186">
        <v>76796.786416999996</v>
      </c>
      <c r="BD35" s="186">
        <v>209.223626</v>
      </c>
      <c r="BE35" s="188">
        <f>('Customer Data'!$J59*2+'Customer Data'!$J62*1)/3</f>
        <v>659.33333333333337</v>
      </c>
      <c r="BF35" s="105">
        <v>303538.18802599999</v>
      </c>
      <c r="BG35" s="188">
        <f>('Customer Data'!$K59*2+'Customer Data'!$K62*1)/3</f>
        <v>795.33333333333337</v>
      </c>
      <c r="BH35" s="188">
        <f>Weather!B203</f>
        <v>185.29999999999998</v>
      </c>
      <c r="BI35" s="188">
        <f>Weather!$C203</f>
        <v>2.6999999999999997</v>
      </c>
      <c r="BJ35" s="166">
        <f>Employment!B59</f>
        <v>6668.1</v>
      </c>
      <c r="BK35" s="188">
        <f>Employment!$C59</f>
        <v>146</v>
      </c>
      <c r="BL35" s="188">
        <f>Employment!D59</f>
        <v>570633.30000000005</v>
      </c>
      <c r="BM35" s="188">
        <f t="shared" si="15"/>
        <v>34</v>
      </c>
      <c r="BN35" s="188">
        <f t="shared" ref="BN35:CA35" si="44">BN23</f>
        <v>0</v>
      </c>
      <c r="BO35" s="188">
        <f t="shared" si="44"/>
        <v>0</v>
      </c>
      <c r="BP35" s="188">
        <f t="shared" si="44"/>
        <v>0</v>
      </c>
      <c r="BQ35" s="188">
        <f t="shared" si="44"/>
        <v>0</v>
      </c>
      <c r="BR35" s="188">
        <f t="shared" si="44"/>
        <v>0</v>
      </c>
      <c r="BS35" s="188">
        <f t="shared" si="44"/>
        <v>0</v>
      </c>
      <c r="BT35" s="188">
        <f t="shared" si="44"/>
        <v>0</v>
      </c>
      <c r="BU35" s="188">
        <f t="shared" si="44"/>
        <v>0</v>
      </c>
      <c r="BV35" s="188">
        <f t="shared" si="44"/>
        <v>0</v>
      </c>
      <c r="BW35" s="188">
        <f t="shared" si="44"/>
        <v>1</v>
      </c>
      <c r="BX35" s="188">
        <f t="shared" si="44"/>
        <v>0</v>
      </c>
      <c r="BY35" s="188">
        <f t="shared" si="44"/>
        <v>0</v>
      </c>
      <c r="BZ35" s="188">
        <f t="shared" si="44"/>
        <v>0</v>
      </c>
      <c r="CA35" s="188">
        <f t="shared" si="44"/>
        <v>1</v>
      </c>
      <c r="CB35" s="188">
        <f t="shared" si="16"/>
        <v>1</v>
      </c>
      <c r="CC35" s="188">
        <f t="shared" si="20"/>
        <v>31</v>
      </c>
      <c r="CD35" s="121">
        <v>20</v>
      </c>
    </row>
    <row r="36" spans="1:82" s="188" customFormat="1" ht="15">
      <c r="A36" s="190">
        <v>40848</v>
      </c>
      <c r="B36" s="191">
        <f t="shared" si="0"/>
        <v>2011</v>
      </c>
      <c r="C36" s="186">
        <v>43971526.207284003</v>
      </c>
      <c r="D36" s="88">
        <f>('Customer Data'!$B59+'Customer Data'!$B62*2)/3</f>
        <v>76885</v>
      </c>
      <c r="E36" s="188">
        <f ca="1">HLOOKUP($B36,CDM!$B$1:$Q$22,11,FALSE)/12</f>
        <v>939361.07073813642</v>
      </c>
      <c r="F36" s="189">
        <f t="shared" ca="1" si="1"/>
        <v>44910887.27802214</v>
      </c>
      <c r="G36" s="186">
        <v>16577815.859844001</v>
      </c>
      <c r="H36" s="88">
        <f>('Customer Data'!$C59+'Customer Data'!$C62*2)/3</f>
        <v>6925.8888888888896</v>
      </c>
      <c r="I36" s="188">
        <f ca="1">HLOOKUP($B36,CDM!$B$1:$Q$22,12,FALSE)/12</f>
        <v>770212.54833885829</v>
      </c>
      <c r="J36" s="188">
        <f t="shared" ca="1" si="2"/>
        <v>17348028.408182859</v>
      </c>
      <c r="K36" s="186">
        <v>75970188.815208003</v>
      </c>
      <c r="L36" s="186">
        <v>195906.093574</v>
      </c>
      <c r="M36" s="88">
        <f>('Customer Data'!$D59+'Customer Data'!$D62*2)/3</f>
        <v>1172.6666666666667</v>
      </c>
      <c r="N36" s="126">
        <f ca="1">HLOOKUP($B36,CDM!$B$1:$Q$22,13,FALSE)/12</f>
        <v>685607.7790396146</v>
      </c>
      <c r="O36" s="188">
        <f t="shared" ca="1" si="38"/>
        <v>75882976.979724109</v>
      </c>
      <c r="P36" s="188">
        <f t="shared" si="39"/>
        <v>193408.39357399999</v>
      </c>
      <c r="Q36" s="188">
        <v>362943.99151970702</v>
      </c>
      <c r="R36" s="188">
        <v>776.7</v>
      </c>
      <c r="S36" s="229">
        <v>0</v>
      </c>
      <c r="T36" s="189">
        <f t="shared" ca="1" si="10"/>
        <v>75520032.988204405</v>
      </c>
      <c r="U36" s="156">
        <f t="shared" si="11"/>
        <v>192631.69357399998</v>
      </c>
      <c r="V36" s="186">
        <v>3772717.8805010002</v>
      </c>
      <c r="W36" s="186">
        <v>10115.50347</v>
      </c>
      <c r="X36" s="88">
        <f>('Customer Data'!$E59+'Customer Data'!$E62*2)/3</f>
        <v>3</v>
      </c>
      <c r="Y36" s="126">
        <f ca="1">HLOOKUP($B36,CDM!$B$1:$Q$22,14,FALSE)/12</f>
        <v>0</v>
      </c>
      <c r="Z36" s="188">
        <f t="shared" ca="1" si="12"/>
        <v>3772717.8805010002</v>
      </c>
      <c r="AA36" s="186">
        <v>25460129.221002001</v>
      </c>
      <c r="AB36" s="186">
        <v>47919.590427000003</v>
      </c>
      <c r="AC36" s="88">
        <f>('Customer Data'!$F59+'Customer Data'!$F62*2)/3</f>
        <v>6</v>
      </c>
      <c r="AD36" s="126">
        <f ca="1">HLOOKUP($B36,CDM!$B$1:$Q$22,15,FALSE)/12</f>
        <v>49481.685103782911</v>
      </c>
      <c r="AE36" s="188">
        <f t="shared" ca="1" si="4"/>
        <v>25509610.906105783</v>
      </c>
      <c r="AF36" s="186">
        <v>21018936.105737999</v>
      </c>
      <c r="AG36" s="186">
        <v>44933.406210000001</v>
      </c>
      <c r="AH36" s="88">
        <f>('Customer Data'!$G59+'Customer Data'!$G62*2)/3</f>
        <v>3</v>
      </c>
      <c r="AI36" s="126">
        <f ca="1">HLOOKUP($B36,CDM!$B$1:$Q$22,16,FALSE)/12</f>
        <v>0</v>
      </c>
      <c r="AJ36" s="188">
        <f t="shared" ca="1" si="41"/>
        <v>21018936.105737999</v>
      </c>
      <c r="AK36" s="188">
        <f t="shared" si="43"/>
        <v>44933.406210000001</v>
      </c>
      <c r="AL36" s="188">
        <v>772819.61452350812</v>
      </c>
      <c r="AM36" s="188">
        <v>2497.6999999999998</v>
      </c>
      <c r="AN36" s="156">
        <v>5626113.1605085721</v>
      </c>
      <c r="AO36" s="156">
        <v>9897.91</v>
      </c>
      <c r="AP36" s="156">
        <v>0</v>
      </c>
      <c r="AQ36" s="156">
        <f t="shared" ca="1" si="13"/>
        <v>19883497.74559721</v>
      </c>
      <c r="AR36" s="156">
        <f t="shared" si="14"/>
        <v>38021.680426999999</v>
      </c>
      <c r="AS36" s="186">
        <v>3405704.1014379999</v>
      </c>
      <c r="AT36" s="186">
        <v>6127.8000300000003</v>
      </c>
      <c r="AU36" s="88">
        <f>('Customer Data'!$H59+'Customer Data'!$H62*2)/3</f>
        <v>1</v>
      </c>
      <c r="AV36" s="126">
        <f ca="1">HLOOKUP($B36,CDM!$B$1:$Q$22,17,FALSE)/12</f>
        <v>0</v>
      </c>
      <c r="AW36" s="188">
        <f t="shared" ca="1" si="7"/>
        <v>3405704.1014379999</v>
      </c>
      <c r="AX36" s="105">
        <v>1720123.20676</v>
      </c>
      <c r="AY36" s="105">
        <v>4121.29</v>
      </c>
      <c r="AZ36" s="88">
        <f>('Customer Data'!$I59+'Customer Data'!$I62*2)/3</f>
        <v>23281.333333333332</v>
      </c>
      <c r="BA36" s="126">
        <f ca="1">HLOOKUP($B36,CDM!$B$1:$Q$22,18,FALSE)/12</f>
        <v>0</v>
      </c>
      <c r="BB36" s="188">
        <f t="shared" ca="1" si="8"/>
        <v>4121.29</v>
      </c>
      <c r="BC36" s="186">
        <v>75261.453416999997</v>
      </c>
      <c r="BD36" s="186">
        <v>223.30154400000001</v>
      </c>
      <c r="BE36" s="188">
        <f>('Customer Data'!$J59*1+'Customer Data'!$J62*2)/3</f>
        <v>663.66666666666663</v>
      </c>
      <c r="BF36" s="105">
        <v>291598.04543300002</v>
      </c>
      <c r="BG36" s="188">
        <f>('Customer Data'!$K59*1+'Customer Data'!$K62*2)/3</f>
        <v>795.66666666666663</v>
      </c>
      <c r="BH36" s="188">
        <f>Weather!B204</f>
        <v>297.2999999999999</v>
      </c>
      <c r="BI36" s="188">
        <f>Weather!$C204</f>
        <v>0</v>
      </c>
      <c r="BJ36" s="166">
        <f>Employment!B60</f>
        <v>6662.8</v>
      </c>
      <c r="BK36" s="188">
        <f>Employment!$C60</f>
        <v>147.30000000000001</v>
      </c>
      <c r="BL36" s="188">
        <f>Employment!D60</f>
        <v>570633.30000000005</v>
      </c>
      <c r="BM36" s="188">
        <f t="shared" si="15"/>
        <v>35</v>
      </c>
      <c r="BN36" s="188">
        <f t="shared" ref="BN36:CA36" si="45">BN24</f>
        <v>0</v>
      </c>
      <c r="BO36" s="188">
        <f t="shared" si="45"/>
        <v>0</v>
      </c>
      <c r="BP36" s="188">
        <f t="shared" si="45"/>
        <v>0</v>
      </c>
      <c r="BQ36" s="188">
        <f t="shared" si="45"/>
        <v>0</v>
      </c>
      <c r="BR36" s="188">
        <f t="shared" si="45"/>
        <v>0</v>
      </c>
      <c r="BS36" s="188">
        <f t="shared" si="45"/>
        <v>0</v>
      </c>
      <c r="BT36" s="188">
        <f t="shared" si="45"/>
        <v>0</v>
      </c>
      <c r="BU36" s="188">
        <f t="shared" si="45"/>
        <v>0</v>
      </c>
      <c r="BV36" s="188">
        <f t="shared" si="45"/>
        <v>0</v>
      </c>
      <c r="BW36" s="188">
        <f t="shared" si="45"/>
        <v>0</v>
      </c>
      <c r="BX36" s="188">
        <f t="shared" si="45"/>
        <v>1</v>
      </c>
      <c r="BY36" s="188">
        <f t="shared" si="45"/>
        <v>0</v>
      </c>
      <c r="BZ36" s="188">
        <f t="shared" si="45"/>
        <v>0</v>
      </c>
      <c r="CA36" s="188">
        <f t="shared" si="45"/>
        <v>1</v>
      </c>
      <c r="CB36" s="188">
        <f t="shared" si="16"/>
        <v>1</v>
      </c>
      <c r="CC36" s="188">
        <f t="shared" si="20"/>
        <v>30</v>
      </c>
      <c r="CD36" s="121">
        <v>22</v>
      </c>
    </row>
    <row r="37" spans="1:82" s="188" customFormat="1" ht="15">
      <c r="A37" s="190">
        <v>40878</v>
      </c>
      <c r="B37" s="191">
        <f t="shared" si="0"/>
        <v>2011</v>
      </c>
      <c r="C37" s="186">
        <v>52101268.569998004</v>
      </c>
      <c r="D37" s="88">
        <f>'Customer Data'!$B62</f>
        <v>76915</v>
      </c>
      <c r="E37" s="188">
        <f ca="1">HLOOKUP($B37,CDM!$B$1:$Q$22,11,FALSE)/12</f>
        <v>939361.07073813642</v>
      </c>
      <c r="F37" s="189">
        <f t="shared" ca="1" si="1"/>
        <v>53040629.64073614</v>
      </c>
      <c r="G37" s="186">
        <v>18204749.977653001</v>
      </c>
      <c r="H37" s="88">
        <f>'Customer Data'!$C62</f>
        <v>6925</v>
      </c>
      <c r="I37" s="188">
        <f ca="1">HLOOKUP($B37,CDM!$B$1:$Q$22,12,FALSE)/12</f>
        <v>770212.54833885829</v>
      </c>
      <c r="J37" s="188">
        <f t="shared" ca="1" si="2"/>
        <v>18974962.525991857</v>
      </c>
      <c r="K37" s="186">
        <v>79498558.796094999</v>
      </c>
      <c r="L37" s="186">
        <v>183646.85382799999</v>
      </c>
      <c r="M37" s="88">
        <f>'Customer Data'!$D62</f>
        <v>1172</v>
      </c>
      <c r="N37" s="126">
        <f ca="1">HLOOKUP($B37,CDM!$B$1:$Q$22,13,FALSE)/12</f>
        <v>685607.7790396146</v>
      </c>
      <c r="O37" s="188">
        <f t="shared" ca="1" si="38"/>
        <v>79287692.662937596</v>
      </c>
      <c r="P37" s="188">
        <f t="shared" si="39"/>
        <v>181200.35382799999</v>
      </c>
      <c r="Q37" s="188">
        <v>372211.02438084222</v>
      </c>
      <c r="R37" s="188">
        <v>769.1</v>
      </c>
      <c r="S37" s="229">
        <v>0</v>
      </c>
      <c r="T37" s="189">
        <f t="shared" ca="1" si="10"/>
        <v>78915481.638556749</v>
      </c>
      <c r="U37" s="156">
        <f t="shared" si="11"/>
        <v>180431.25382799999</v>
      </c>
      <c r="V37" s="186">
        <v>3705335.743148</v>
      </c>
      <c r="W37" s="186">
        <v>10122.867063</v>
      </c>
      <c r="X37" s="88">
        <f>'Customer Data'!$E62</f>
        <v>3</v>
      </c>
      <c r="Y37" s="126">
        <f ca="1">HLOOKUP($B37,CDM!$B$1:$Q$22,14,FALSE)/12</f>
        <v>0</v>
      </c>
      <c r="Z37" s="188">
        <f t="shared" ca="1" si="12"/>
        <v>3705335.743148</v>
      </c>
      <c r="AA37" s="186">
        <v>24470533.489215001</v>
      </c>
      <c r="AB37" s="186">
        <v>45666.416821999999</v>
      </c>
      <c r="AC37" s="88">
        <f>'Customer Data'!$F62</f>
        <v>6</v>
      </c>
      <c r="AD37" s="126">
        <f ca="1">HLOOKUP($B37,CDM!$B$1:$Q$22,15,FALSE)/12</f>
        <v>49481.685103782911</v>
      </c>
      <c r="AE37" s="188">
        <f t="shared" ca="1" si="4"/>
        <v>24520015.174318783</v>
      </c>
      <c r="AF37" s="186">
        <v>21418775.372230999</v>
      </c>
      <c r="AG37" s="186">
        <v>44960.660118</v>
      </c>
      <c r="AH37" s="88">
        <f>'Customer Data'!$G62</f>
        <v>3</v>
      </c>
      <c r="AI37" s="126">
        <f ca="1">HLOOKUP($B37,CDM!$B$1:$Q$22,16,FALSE)/12</f>
        <v>0</v>
      </c>
      <c r="AJ37" s="188">
        <f t="shared" ca="1" si="41"/>
        <v>21418775.372230999</v>
      </c>
      <c r="AK37" s="188">
        <f t="shared" si="43"/>
        <v>44960.660118</v>
      </c>
      <c r="AL37" s="188">
        <v>896473.9121970213</v>
      </c>
      <c r="AM37" s="188">
        <v>2446.5</v>
      </c>
      <c r="AN37" s="156">
        <v>5933974.2734923931</v>
      </c>
      <c r="AO37" s="156">
        <v>10178.200000000001</v>
      </c>
      <c r="AP37" s="156">
        <v>0</v>
      </c>
      <c r="AQ37" s="156">
        <f t="shared" ca="1" si="13"/>
        <v>18586040.900826391</v>
      </c>
      <c r="AR37" s="156">
        <f t="shared" si="14"/>
        <v>35488.216822000002</v>
      </c>
      <c r="AS37" s="186">
        <v>3070635.6225359999</v>
      </c>
      <c r="AT37" s="186">
        <v>6171.1372799999999</v>
      </c>
      <c r="AU37" s="88">
        <f>'Customer Data'!$H62</f>
        <v>1</v>
      </c>
      <c r="AV37" s="126">
        <f ca="1">HLOOKUP($B37,CDM!$B$1:$Q$22,17,FALSE)/12</f>
        <v>0</v>
      </c>
      <c r="AW37" s="188">
        <f t="shared" ca="1" si="7"/>
        <v>3070635.6225359999</v>
      </c>
      <c r="AX37" s="105">
        <v>1877795.9707470001</v>
      </c>
      <c r="AY37" s="105">
        <v>4121.9399999999996</v>
      </c>
      <c r="AZ37" s="88">
        <f>'Customer Data'!$I62</f>
        <v>23292</v>
      </c>
      <c r="BA37" s="126">
        <f ca="1">HLOOKUP($B37,CDM!$B$1:$Q$22,18,FALSE)/12</f>
        <v>0</v>
      </c>
      <c r="BB37" s="188">
        <f t="shared" ca="1" si="8"/>
        <v>4121.9399999999996</v>
      </c>
      <c r="BC37" s="186">
        <v>77641.457718999998</v>
      </c>
      <c r="BD37" s="186">
        <v>189.11875900000001</v>
      </c>
      <c r="BE37" s="188">
        <f>'Customer Data'!$J62</f>
        <v>668</v>
      </c>
      <c r="BF37" s="105">
        <v>300840.66152700002</v>
      </c>
      <c r="BG37" s="188">
        <f>'Customer Data'!$K62</f>
        <v>796</v>
      </c>
      <c r="BH37" s="188">
        <f>Weather!B205</f>
        <v>485.4</v>
      </c>
      <c r="BI37" s="188">
        <f>Weather!$C205</f>
        <v>0</v>
      </c>
      <c r="BJ37" s="166">
        <f>Employment!B61</f>
        <v>6667.5</v>
      </c>
      <c r="BK37" s="188">
        <f>Employment!$C61</f>
        <v>149.30000000000001</v>
      </c>
      <c r="BL37" s="188">
        <f>Employment!D61</f>
        <v>570633.30000000005</v>
      </c>
      <c r="BM37" s="188">
        <f t="shared" si="15"/>
        <v>36</v>
      </c>
      <c r="BN37" s="188">
        <f t="shared" ref="BN37:CA37" si="46">BN25</f>
        <v>0</v>
      </c>
      <c r="BO37" s="188">
        <f t="shared" si="46"/>
        <v>0</v>
      </c>
      <c r="BP37" s="188">
        <f t="shared" si="46"/>
        <v>0</v>
      </c>
      <c r="BQ37" s="188">
        <f t="shared" si="46"/>
        <v>0</v>
      </c>
      <c r="BR37" s="188">
        <f t="shared" si="46"/>
        <v>0</v>
      </c>
      <c r="BS37" s="188">
        <f t="shared" si="46"/>
        <v>0</v>
      </c>
      <c r="BT37" s="188">
        <f t="shared" si="46"/>
        <v>0</v>
      </c>
      <c r="BU37" s="188">
        <f t="shared" si="46"/>
        <v>0</v>
      </c>
      <c r="BV37" s="188">
        <f t="shared" si="46"/>
        <v>0</v>
      </c>
      <c r="BW37" s="188">
        <f t="shared" si="46"/>
        <v>0</v>
      </c>
      <c r="BX37" s="188">
        <f t="shared" si="46"/>
        <v>0</v>
      </c>
      <c r="BY37" s="188">
        <f t="shared" si="46"/>
        <v>1</v>
      </c>
      <c r="BZ37" s="188">
        <f t="shared" si="46"/>
        <v>0</v>
      </c>
      <c r="CA37" s="188">
        <f t="shared" si="46"/>
        <v>0</v>
      </c>
      <c r="CB37" s="188">
        <f t="shared" si="16"/>
        <v>0</v>
      </c>
      <c r="CC37" s="188">
        <f t="shared" si="20"/>
        <v>31</v>
      </c>
      <c r="CD37" s="121">
        <v>20</v>
      </c>
    </row>
    <row r="38" spans="1:82" s="188" customFormat="1" ht="15">
      <c r="A38" s="190">
        <v>40909</v>
      </c>
      <c r="B38" s="191">
        <f t="shared" si="0"/>
        <v>2012</v>
      </c>
      <c r="C38" s="186">
        <v>52764201.510628</v>
      </c>
      <c r="D38" s="88">
        <f>('Customer Data'!$B62*2+'Customer Data'!$B65)/3</f>
        <v>76943.333333333328</v>
      </c>
      <c r="E38" s="188">
        <f ca="1">HLOOKUP($B38,CDM!$B$1:$Q$22,11,FALSE)/12</f>
        <v>1072052.9529829782</v>
      </c>
      <c r="F38" s="189">
        <f t="shared" ca="1" si="1"/>
        <v>53836254.463610977</v>
      </c>
      <c r="G38" s="186">
        <v>18609072.005408</v>
      </c>
      <c r="H38" s="88">
        <f>('Customer Data'!$C62*2+'Customer Data'!$C65)/3</f>
        <v>6919.666666666667</v>
      </c>
      <c r="I38" s="188">
        <f ca="1">HLOOKUP($B38,CDM!$B$1:$Q$22,12,FALSE)/12</f>
        <v>902076.07732077735</v>
      </c>
      <c r="J38" s="188">
        <f t="shared" ca="1" si="2"/>
        <v>19511148.082728777</v>
      </c>
      <c r="K38" s="186">
        <v>83338691.690770999</v>
      </c>
      <c r="L38" s="186">
        <v>194611.63008</v>
      </c>
      <c r="M38" s="88">
        <f>('Customer Data'!$D62*2+'Customer Data'!$D65)/3</f>
        <v>1173.6666666666667</v>
      </c>
      <c r="N38" s="126">
        <f ca="1">HLOOKUP($B38,CDM!$B$1:$Q$22,13,FALSE)/12</f>
        <v>1066001.5767451741</v>
      </c>
      <c r="O38" s="188">
        <f t="shared" ca="1" si="38"/>
        <v>83627865.943462819</v>
      </c>
      <c r="P38" s="188">
        <f t="shared" si="39"/>
        <v>192494.93007999999</v>
      </c>
      <c r="Q38" s="188">
        <v>339675.65770453884</v>
      </c>
      <c r="R38" s="188">
        <v>768.7</v>
      </c>
      <c r="S38" s="229">
        <v>0</v>
      </c>
      <c r="T38" s="189">
        <f t="shared" ca="1" si="10"/>
        <v>83288190.285758287</v>
      </c>
      <c r="U38" s="156">
        <f t="shared" si="11"/>
        <v>191726.23007999998</v>
      </c>
      <c r="V38" s="186">
        <v>3674630.265836</v>
      </c>
      <c r="W38" s="186">
        <v>9857.1758129999998</v>
      </c>
      <c r="X38" s="88">
        <f>('Customer Data'!$E62*2+'Customer Data'!$E65)/3</f>
        <v>3</v>
      </c>
      <c r="Y38" s="126">
        <f ca="1">HLOOKUP($B38,CDM!$B$1:$Q$22,14,FALSE)/12</f>
        <v>2338.7152196832499</v>
      </c>
      <c r="Z38" s="188">
        <f t="shared" ca="1" si="12"/>
        <v>3676968.9810556835</v>
      </c>
      <c r="AA38" s="186">
        <v>24402594.411382999</v>
      </c>
      <c r="AB38" s="186">
        <v>44625.951555</v>
      </c>
      <c r="AC38" s="88">
        <f>('Customer Data'!$F62*2+'Customer Data'!$F65)/3</f>
        <v>6</v>
      </c>
      <c r="AD38" s="126">
        <f ca="1">HLOOKUP($B38,CDM!$B$1:$Q$22,15,FALSE)/12</f>
        <v>217152.49903237671</v>
      </c>
      <c r="AE38" s="188">
        <f t="shared" ca="1" si="4"/>
        <v>24619746.910415377</v>
      </c>
      <c r="AF38" s="186">
        <v>21964502.145574</v>
      </c>
      <c r="AG38" s="186">
        <v>44731.865673</v>
      </c>
      <c r="AH38" s="88">
        <f>('Customer Data'!$G62*2+'Customer Data'!$G65)/3</f>
        <v>3</v>
      </c>
      <c r="AI38" s="126">
        <f ca="1">HLOOKUP($B38,CDM!$B$1:$Q$22,16,FALSE)/12</f>
        <v>269401.81059651141</v>
      </c>
      <c r="AJ38" s="188">
        <f t="shared" ca="1" si="41"/>
        <v>22233903.956170511</v>
      </c>
      <c r="AK38" s="188">
        <f t="shared" si="43"/>
        <v>44731.865673</v>
      </c>
      <c r="AL38" s="188">
        <v>776827.32405334362</v>
      </c>
      <c r="AM38" s="188">
        <v>2116.6999999999998</v>
      </c>
      <c r="AN38" s="156">
        <v>4931932.5721989283</v>
      </c>
      <c r="AO38" s="156">
        <v>8668.9</v>
      </c>
      <c r="AP38" s="156">
        <v>0</v>
      </c>
      <c r="AQ38" s="156">
        <f t="shared" ca="1" si="13"/>
        <v>19687814.33821645</v>
      </c>
      <c r="AR38" s="156">
        <f t="shared" si="14"/>
        <v>35957.051554999998</v>
      </c>
      <c r="AS38" s="186">
        <v>3607879.2690289998</v>
      </c>
      <c r="AT38" s="186">
        <v>6363.4982399999999</v>
      </c>
      <c r="AU38" s="88">
        <f>('Customer Data'!$H62*2+'Customer Data'!$H65)/3</f>
        <v>1</v>
      </c>
      <c r="AV38" s="126">
        <f ca="1">HLOOKUP($B38,CDM!$B$1:$Q$22,17,FALSE)/12</f>
        <v>2291.1592954360949</v>
      </c>
      <c r="AW38" s="188">
        <f t="shared" ca="1" si="7"/>
        <v>3610170.4283244358</v>
      </c>
      <c r="AX38" s="105">
        <v>1823734.729701</v>
      </c>
      <c r="AY38" s="105">
        <v>4126.71</v>
      </c>
      <c r="AZ38" s="88">
        <f>('Customer Data'!$I62*2+'Customer Data'!$I65)/3</f>
        <v>23309.333333333332</v>
      </c>
      <c r="BA38" s="126">
        <f ca="1">HLOOKUP($B38,CDM!$B$1:$Q$22,18,FALSE)/12</f>
        <v>0</v>
      </c>
      <c r="BB38" s="188">
        <f t="shared" ca="1" si="8"/>
        <v>4126.71</v>
      </c>
      <c r="BC38" s="186">
        <v>77637.737758999996</v>
      </c>
      <c r="BD38" s="186">
        <v>216.26857799999999</v>
      </c>
      <c r="BE38" s="188">
        <f>('Customer Data'!$J62*2+'Customer Data'!$J65*1)/3</f>
        <v>667.33333333333337</v>
      </c>
      <c r="BF38" s="105">
        <v>301448.89890600002</v>
      </c>
      <c r="BG38" s="188">
        <f>('Customer Data'!$K62*2+'Customer Data'!$K65*1)/3</f>
        <v>795.66666666666663</v>
      </c>
      <c r="BH38" s="188">
        <f>Weather!B206</f>
        <v>559.59999999999991</v>
      </c>
      <c r="BI38" s="188">
        <f>Weather!$C206</f>
        <v>0</v>
      </c>
      <c r="BJ38" s="166">
        <f>Employment!B62</f>
        <v>6673.6</v>
      </c>
      <c r="BK38" s="188">
        <f>Employment!$C62</f>
        <v>149.5</v>
      </c>
      <c r="BL38" s="188">
        <f>Employment!D62</f>
        <v>578793.9</v>
      </c>
      <c r="BM38" s="188">
        <f t="shared" si="15"/>
        <v>37</v>
      </c>
      <c r="BN38" s="188">
        <f t="shared" ref="BN38:CA38" si="47">BN26</f>
        <v>1</v>
      </c>
      <c r="BO38" s="188">
        <f t="shared" si="47"/>
        <v>0</v>
      </c>
      <c r="BP38" s="188">
        <f t="shared" si="47"/>
        <v>0</v>
      </c>
      <c r="BQ38" s="188">
        <f t="shared" si="47"/>
        <v>0</v>
      </c>
      <c r="BR38" s="188">
        <f t="shared" si="47"/>
        <v>0</v>
      </c>
      <c r="BS38" s="188">
        <f t="shared" si="47"/>
        <v>0</v>
      </c>
      <c r="BT38" s="188">
        <f t="shared" si="47"/>
        <v>0</v>
      </c>
      <c r="BU38" s="188">
        <f t="shared" si="47"/>
        <v>0</v>
      </c>
      <c r="BV38" s="188">
        <f t="shared" si="47"/>
        <v>0</v>
      </c>
      <c r="BW38" s="188">
        <f t="shared" si="47"/>
        <v>0</v>
      </c>
      <c r="BX38" s="188">
        <f t="shared" si="47"/>
        <v>0</v>
      </c>
      <c r="BY38" s="188">
        <f t="shared" si="47"/>
        <v>0</v>
      </c>
      <c r="BZ38" s="188">
        <f t="shared" si="47"/>
        <v>0</v>
      </c>
      <c r="CA38" s="188">
        <f t="shared" si="47"/>
        <v>0</v>
      </c>
      <c r="CB38" s="188">
        <f t="shared" si="16"/>
        <v>0</v>
      </c>
      <c r="CC38" s="188">
        <f t="shared" si="20"/>
        <v>31</v>
      </c>
      <c r="CD38" s="121">
        <v>21</v>
      </c>
    </row>
    <row r="39" spans="1:82" s="188" customFormat="1" ht="15">
      <c r="A39" s="190">
        <v>40940</v>
      </c>
      <c r="B39" s="191">
        <f t="shared" si="0"/>
        <v>2012</v>
      </c>
      <c r="C39" s="186">
        <v>46902825.800458997</v>
      </c>
      <c r="D39" s="88">
        <f>('Customer Data'!$B62+'Customer Data'!$B65*2)/3</f>
        <v>76971.666666666672</v>
      </c>
      <c r="E39" s="188">
        <f ca="1">HLOOKUP($B39,CDM!$B$1:$Q$22,11,FALSE)/12</f>
        <v>1072052.9529829782</v>
      </c>
      <c r="F39" s="189">
        <f t="shared" ca="1" si="1"/>
        <v>47974878.753441975</v>
      </c>
      <c r="G39" s="186">
        <v>17354087.611162003</v>
      </c>
      <c r="H39" s="88">
        <f>('Customer Data'!$C62+'Customer Data'!$C65*2)/3</f>
        <v>6914.333333333333</v>
      </c>
      <c r="I39" s="188">
        <f ca="1">HLOOKUP($B39,CDM!$B$1:$Q$22,12,FALSE)/12</f>
        <v>902076.07732077735</v>
      </c>
      <c r="J39" s="188">
        <f t="shared" ca="1" si="2"/>
        <v>18256163.68848278</v>
      </c>
      <c r="K39" s="186">
        <v>78544715.908346996</v>
      </c>
      <c r="L39" s="186">
        <v>194302.59198099998</v>
      </c>
      <c r="M39" s="88">
        <f>('Customer Data'!$D62+'Customer Data'!$D65*2)/3</f>
        <v>1175.3333333333333</v>
      </c>
      <c r="N39" s="126">
        <f ca="1">HLOOKUP($B39,CDM!$B$1:$Q$22,13,FALSE)/12</f>
        <v>1066001.5767451741</v>
      </c>
      <c r="O39" s="188">
        <f t="shared" ca="1" si="38"/>
        <v>78960983.658556581</v>
      </c>
      <c r="P39" s="188">
        <f t="shared" si="39"/>
        <v>192263.39198099996</v>
      </c>
      <c r="Q39" s="188">
        <v>306067.13886479713</v>
      </c>
      <c r="R39" s="188">
        <v>716.6</v>
      </c>
      <c r="S39" s="229">
        <v>0</v>
      </c>
      <c r="T39" s="189">
        <f t="shared" ca="1" si="10"/>
        <v>78654916.51969178</v>
      </c>
      <c r="U39" s="156">
        <f t="shared" si="11"/>
        <v>191546.79198099996</v>
      </c>
      <c r="V39" s="186">
        <v>3495078.1778750001</v>
      </c>
      <c r="W39" s="186">
        <v>10770.316578</v>
      </c>
      <c r="X39" s="88">
        <f>('Customer Data'!$E62+'Customer Data'!$E65*2)/3</f>
        <v>3</v>
      </c>
      <c r="Y39" s="126">
        <f ca="1">HLOOKUP($B39,CDM!$B$1:$Q$22,14,FALSE)/12</f>
        <v>2338.7152196832499</v>
      </c>
      <c r="Z39" s="188">
        <f t="shared" ca="1" si="12"/>
        <v>3497416.8930946835</v>
      </c>
      <c r="AA39" s="186">
        <v>23141193.986899998</v>
      </c>
      <c r="AB39" s="186">
        <v>44569.766477999998</v>
      </c>
      <c r="AC39" s="88">
        <f>('Customer Data'!$F62+'Customer Data'!$F65*2)/3</f>
        <v>6</v>
      </c>
      <c r="AD39" s="126">
        <f ca="1">HLOOKUP($B39,CDM!$B$1:$Q$22,15,FALSE)/12</f>
        <v>217152.49903237671</v>
      </c>
      <c r="AE39" s="188">
        <f t="shared" ca="1" si="4"/>
        <v>23358346.485932376</v>
      </c>
      <c r="AF39" s="186">
        <v>21477164.230816998</v>
      </c>
      <c r="AG39" s="186">
        <v>44514.512361000001</v>
      </c>
      <c r="AH39" s="88">
        <f>('Customer Data'!$G62+'Customer Data'!$G65*2)/3</f>
        <v>3</v>
      </c>
      <c r="AI39" s="126">
        <f ca="1">HLOOKUP($B39,CDM!$B$1:$Q$22,16,FALSE)/12</f>
        <v>269401.81059651141</v>
      </c>
      <c r="AJ39" s="188">
        <f t="shared" ca="1" si="41"/>
        <v>21746566.041413508</v>
      </c>
      <c r="AK39" s="188">
        <f t="shared" si="43"/>
        <v>44514.512361000001</v>
      </c>
      <c r="AL39" s="188">
        <v>649733.8265355787</v>
      </c>
      <c r="AM39" s="188">
        <v>2039.2</v>
      </c>
      <c r="AN39" s="156">
        <v>4890649.0794308335</v>
      </c>
      <c r="AO39" s="156">
        <v>8714.4</v>
      </c>
      <c r="AP39" s="156">
        <v>0</v>
      </c>
      <c r="AQ39" s="156">
        <f t="shared" ca="1" si="13"/>
        <v>18467697.406501543</v>
      </c>
      <c r="AR39" s="156">
        <f t="shared" si="14"/>
        <v>35855.366477999996</v>
      </c>
      <c r="AS39" s="186">
        <v>3460936.3994419998</v>
      </c>
      <c r="AT39" s="186">
        <v>6276.8217599999998</v>
      </c>
      <c r="AU39" s="88">
        <f>('Customer Data'!$H62+'Customer Data'!$H65*2)/3</f>
        <v>1</v>
      </c>
      <c r="AV39" s="126">
        <f ca="1">HLOOKUP($B39,CDM!$B$1:$Q$22,17,FALSE)/12</f>
        <v>2291.1592954360949</v>
      </c>
      <c r="AW39" s="188">
        <f t="shared" ca="1" si="7"/>
        <v>3463227.5587374358</v>
      </c>
      <c r="AX39" s="105">
        <v>1570873.8047120001</v>
      </c>
      <c r="AY39" s="105">
        <v>4126.71</v>
      </c>
      <c r="AZ39" s="88">
        <f>('Customer Data'!$I62+'Customer Data'!$I65*2)/3</f>
        <v>23326.666666666668</v>
      </c>
      <c r="BA39" s="126">
        <f ca="1">HLOOKUP($B39,CDM!$B$1:$Q$22,18,FALSE)/12</f>
        <v>0</v>
      </c>
      <c r="BB39" s="188">
        <f t="shared" ca="1" si="8"/>
        <v>4126.71</v>
      </c>
      <c r="BC39" s="186">
        <v>72628.851423</v>
      </c>
      <c r="BD39" s="186">
        <v>202.73867999999999</v>
      </c>
      <c r="BE39" s="188">
        <f>('Customer Data'!$J62*1+'Customer Data'!$J65*2)/3</f>
        <v>666.66666666666663</v>
      </c>
      <c r="BF39" s="105">
        <v>284116.485208</v>
      </c>
      <c r="BG39" s="188">
        <f>('Customer Data'!$K62*1+'Customer Data'!$K65*2)/3</f>
        <v>795.33333333333337</v>
      </c>
      <c r="BH39" s="188">
        <f>Weather!B207</f>
        <v>492.40000000000003</v>
      </c>
      <c r="BI39" s="188">
        <f>Weather!$C207</f>
        <v>0</v>
      </c>
      <c r="BJ39" s="166">
        <f>Employment!B63</f>
        <v>6670.7</v>
      </c>
      <c r="BK39" s="188">
        <f>Employment!$C63</f>
        <v>150.19999999999999</v>
      </c>
      <c r="BL39" s="188">
        <f>Employment!D63</f>
        <v>578793.9</v>
      </c>
      <c r="BM39" s="188">
        <f t="shared" si="15"/>
        <v>38</v>
      </c>
      <c r="BN39" s="188">
        <f t="shared" ref="BN39:CA39" si="48">BN27</f>
        <v>0</v>
      </c>
      <c r="BO39" s="188">
        <f t="shared" si="48"/>
        <v>1</v>
      </c>
      <c r="BP39" s="188">
        <f t="shared" si="48"/>
        <v>0</v>
      </c>
      <c r="BQ39" s="188">
        <f t="shared" si="48"/>
        <v>0</v>
      </c>
      <c r="BR39" s="188">
        <f t="shared" si="48"/>
        <v>0</v>
      </c>
      <c r="BS39" s="188">
        <f t="shared" si="48"/>
        <v>0</v>
      </c>
      <c r="BT39" s="188">
        <f t="shared" si="48"/>
        <v>0</v>
      </c>
      <c r="BU39" s="188">
        <f t="shared" si="48"/>
        <v>0</v>
      </c>
      <c r="BV39" s="188">
        <f t="shared" si="48"/>
        <v>0</v>
      </c>
      <c r="BW39" s="188">
        <f t="shared" si="48"/>
        <v>0</v>
      </c>
      <c r="BX39" s="188">
        <f t="shared" si="48"/>
        <v>0</v>
      </c>
      <c r="BY39" s="188">
        <f t="shared" si="48"/>
        <v>0</v>
      </c>
      <c r="BZ39" s="188">
        <f t="shared" si="48"/>
        <v>0</v>
      </c>
      <c r="CA39" s="188">
        <f t="shared" si="48"/>
        <v>0</v>
      </c>
      <c r="CB39" s="188">
        <f t="shared" si="16"/>
        <v>0</v>
      </c>
      <c r="CC39" s="188">
        <v>29</v>
      </c>
      <c r="CD39" s="121">
        <v>20</v>
      </c>
    </row>
    <row r="40" spans="1:82" s="188" customFormat="1" ht="15">
      <c r="A40" s="190">
        <v>40969</v>
      </c>
      <c r="B40" s="191">
        <f t="shared" si="0"/>
        <v>2012</v>
      </c>
      <c r="C40" s="186">
        <v>43745964.894647002</v>
      </c>
      <c r="D40" s="88">
        <f>'Customer Data'!$B65</f>
        <v>77000</v>
      </c>
      <c r="E40" s="188">
        <f ca="1">HLOOKUP($B40,CDM!$B$1:$Q$22,11,FALSE)/12</f>
        <v>1072052.9529829782</v>
      </c>
      <c r="F40" s="189">
        <f t="shared" ca="1" si="1"/>
        <v>44818017.847629979</v>
      </c>
      <c r="G40" s="186">
        <v>17194592.781122003</v>
      </c>
      <c r="H40" s="88">
        <f>'Customer Data'!$C65</f>
        <v>6909</v>
      </c>
      <c r="I40" s="188">
        <f ca="1">HLOOKUP($B40,CDM!$B$1:$Q$22,12,FALSE)/12</f>
        <v>902076.07732077735</v>
      </c>
      <c r="J40" s="188">
        <f t="shared" ca="1" si="2"/>
        <v>18096668.85844278</v>
      </c>
      <c r="K40" s="186">
        <v>78516120.47695899</v>
      </c>
      <c r="L40" s="186">
        <v>206728.50703799998</v>
      </c>
      <c r="M40" s="88">
        <f>'Customer Data'!$D65</f>
        <v>1177</v>
      </c>
      <c r="N40" s="126">
        <f ca="1">HLOOKUP($B40,CDM!$B$1:$Q$22,13,FALSE)/12</f>
        <v>1066001.5767451741</v>
      </c>
      <c r="O40" s="188">
        <f t="shared" ca="1" si="38"/>
        <v>78967146.21412468</v>
      </c>
      <c r="P40" s="188">
        <f t="shared" si="39"/>
        <v>204676.30703799997</v>
      </c>
      <c r="Q40" s="188">
        <v>222071.04172689602</v>
      </c>
      <c r="R40" s="188">
        <v>618.20000000000005</v>
      </c>
      <c r="S40" s="229">
        <v>0</v>
      </c>
      <c r="T40" s="189">
        <f t="shared" ca="1" si="10"/>
        <v>78745075.172397777</v>
      </c>
      <c r="U40" s="156">
        <f t="shared" si="11"/>
        <v>204058.10703799996</v>
      </c>
      <c r="V40" s="186">
        <v>3795098.9031929998</v>
      </c>
      <c r="W40" s="186">
        <v>10495.797200999999</v>
      </c>
      <c r="X40" s="88">
        <f>'Customer Data'!$E65</f>
        <v>3</v>
      </c>
      <c r="Y40" s="126">
        <f ca="1">HLOOKUP($B40,CDM!$B$1:$Q$22,14,FALSE)/12</f>
        <v>2338.7152196832499</v>
      </c>
      <c r="Z40" s="188">
        <f t="shared" ca="1" si="12"/>
        <v>3797437.6184126833</v>
      </c>
      <c r="AA40" s="186">
        <v>25480429.904615998</v>
      </c>
      <c r="AB40" s="186">
        <v>45800.658322000003</v>
      </c>
      <c r="AC40" s="88">
        <f>'Customer Data'!$F65</f>
        <v>6</v>
      </c>
      <c r="AD40" s="126">
        <f ca="1">HLOOKUP($B40,CDM!$B$1:$Q$22,15,FALSE)/12</f>
        <v>217152.49903237671</v>
      </c>
      <c r="AE40" s="188">
        <f t="shared" ca="1" si="4"/>
        <v>25697582.403648376</v>
      </c>
      <c r="AF40" s="186">
        <v>24130874.503518999</v>
      </c>
      <c r="AG40" s="186">
        <v>45558.767033999997</v>
      </c>
      <c r="AH40" s="88">
        <f>'Customer Data'!$G65</f>
        <v>3</v>
      </c>
      <c r="AI40" s="126">
        <f ca="1">HLOOKUP($B40,CDM!$B$1:$Q$22,16,FALSE)/12</f>
        <v>269401.81059651141</v>
      </c>
      <c r="AJ40" s="188">
        <f t="shared" ca="1" si="41"/>
        <v>24400276.314115509</v>
      </c>
      <c r="AK40" s="188">
        <f t="shared" si="43"/>
        <v>45558.767033999997</v>
      </c>
      <c r="AL40" s="188">
        <v>614975.83957948023</v>
      </c>
      <c r="AM40" s="188">
        <v>2052.1999999999998</v>
      </c>
      <c r="AN40" s="156">
        <v>5198343.9276063507</v>
      </c>
      <c r="AO40" s="156">
        <v>8729.1</v>
      </c>
      <c r="AP40" s="156">
        <v>0</v>
      </c>
      <c r="AQ40" s="156">
        <f t="shared" ca="1" si="13"/>
        <v>20499238.476042025</v>
      </c>
      <c r="AR40" s="156">
        <f t="shared" si="14"/>
        <v>37071.558322000004</v>
      </c>
      <c r="AS40" s="186">
        <v>3565516.5334419999</v>
      </c>
      <c r="AT40" s="186">
        <v>6413.6793600000001</v>
      </c>
      <c r="AU40" s="88">
        <f>'Customer Data'!$H65</f>
        <v>1</v>
      </c>
      <c r="AV40" s="126">
        <f ca="1">HLOOKUP($B40,CDM!$B$1:$Q$22,17,FALSE)/12</f>
        <v>2291.1592954360949</v>
      </c>
      <c r="AW40" s="188">
        <f t="shared" ca="1" si="7"/>
        <v>3567807.6927374359</v>
      </c>
      <c r="AX40" s="105">
        <v>1508297.6497150001</v>
      </c>
      <c r="AY40" s="105">
        <v>4129.8500000000004</v>
      </c>
      <c r="AZ40" s="88">
        <f>'Customer Data'!$I65</f>
        <v>23344</v>
      </c>
      <c r="BA40" s="126">
        <f ca="1">HLOOKUP($B40,CDM!$B$1:$Q$22,18,FALSE)/12</f>
        <v>0</v>
      </c>
      <c r="BB40" s="188">
        <f t="shared" ca="1" si="8"/>
        <v>4129.8500000000004</v>
      </c>
      <c r="BC40" s="186">
        <v>77500.099338999993</v>
      </c>
      <c r="BD40" s="186">
        <v>217.72855799999999</v>
      </c>
      <c r="BE40" s="188">
        <f>'Customer Data'!$J65</f>
        <v>666</v>
      </c>
      <c r="BF40" s="105">
        <v>303465.47791000002</v>
      </c>
      <c r="BG40" s="188">
        <f>'Customer Data'!$K65</f>
        <v>795</v>
      </c>
      <c r="BH40" s="188">
        <f>Weather!B208</f>
        <v>250.79999999999995</v>
      </c>
      <c r="BI40" s="188">
        <f>Weather!$C208</f>
        <v>4.8</v>
      </c>
      <c r="BJ40" s="166">
        <f>Employment!B64</f>
        <v>6674</v>
      </c>
      <c r="BK40" s="188">
        <f>Employment!$C64</f>
        <v>151.80000000000001</v>
      </c>
      <c r="BL40" s="188">
        <f>Employment!D64</f>
        <v>578793.9</v>
      </c>
      <c r="BM40" s="188">
        <f t="shared" si="15"/>
        <v>39</v>
      </c>
      <c r="BN40" s="188">
        <f t="shared" ref="BN40:CA40" si="49">BN28</f>
        <v>0</v>
      </c>
      <c r="BO40" s="188">
        <f t="shared" si="49"/>
        <v>0</v>
      </c>
      <c r="BP40" s="188">
        <f t="shared" si="49"/>
        <v>1</v>
      </c>
      <c r="BQ40" s="188">
        <f t="shared" si="49"/>
        <v>0</v>
      </c>
      <c r="BR40" s="188">
        <f t="shared" si="49"/>
        <v>0</v>
      </c>
      <c r="BS40" s="188">
        <f t="shared" si="49"/>
        <v>0</v>
      </c>
      <c r="BT40" s="188">
        <f t="shared" si="49"/>
        <v>0</v>
      </c>
      <c r="BU40" s="188">
        <f t="shared" si="49"/>
        <v>0</v>
      </c>
      <c r="BV40" s="188">
        <f t="shared" si="49"/>
        <v>0</v>
      </c>
      <c r="BW40" s="188">
        <f t="shared" si="49"/>
        <v>0</v>
      </c>
      <c r="BX40" s="188">
        <f t="shared" si="49"/>
        <v>0</v>
      </c>
      <c r="BY40" s="188">
        <f t="shared" si="49"/>
        <v>0</v>
      </c>
      <c r="BZ40" s="188">
        <f t="shared" si="49"/>
        <v>1</v>
      </c>
      <c r="CA40" s="188">
        <f t="shared" si="49"/>
        <v>0</v>
      </c>
      <c r="CB40" s="188">
        <f t="shared" si="16"/>
        <v>1</v>
      </c>
      <c r="CC40" s="188">
        <f t="shared" si="20"/>
        <v>31</v>
      </c>
      <c r="CD40" s="121">
        <v>22</v>
      </c>
    </row>
    <row r="41" spans="1:82" s="188" customFormat="1" ht="15">
      <c r="A41" s="190">
        <v>41000</v>
      </c>
      <c r="B41" s="191">
        <f t="shared" si="0"/>
        <v>2012</v>
      </c>
      <c r="C41" s="186">
        <v>39447704.011404999</v>
      </c>
      <c r="D41" s="88">
        <f>('Customer Data'!$B65*2+'Customer Data'!$B68)/3</f>
        <v>76971</v>
      </c>
      <c r="E41" s="188">
        <f ca="1">HLOOKUP($B41,CDM!$B$1:$Q$22,11,FALSE)/12</f>
        <v>1072052.9529829782</v>
      </c>
      <c r="F41" s="189">
        <f t="shared" ca="1" si="1"/>
        <v>40519756.964387976</v>
      </c>
      <c r="G41" s="186">
        <v>15639383.690316999</v>
      </c>
      <c r="H41" s="88">
        <f>('Customer Data'!$C65*2+'Customer Data'!$C68)/3</f>
        <v>6911.8888888888878</v>
      </c>
      <c r="I41" s="188">
        <f ca="1">HLOOKUP($B41,CDM!$B$1:$Q$22,12,FALSE)/12</f>
        <v>902076.07732077735</v>
      </c>
      <c r="J41" s="188">
        <f t="shared" ca="1" si="2"/>
        <v>16541459.767637776</v>
      </c>
      <c r="K41" s="186">
        <v>69759492.499624997</v>
      </c>
      <c r="L41" s="186">
        <v>191371.34793300001</v>
      </c>
      <c r="M41" s="88">
        <f>('Customer Data'!$D65*2+'Customer Data'!$D68)/3</f>
        <v>1177</v>
      </c>
      <c r="N41" s="126">
        <f ca="1">HLOOKUP($B41,CDM!$B$1:$Q$22,13,FALSE)/12</f>
        <v>1066001.5767451741</v>
      </c>
      <c r="O41" s="188">
        <f t="shared" ca="1" si="38"/>
        <v>70404346.904171199</v>
      </c>
      <c r="P41" s="188">
        <f t="shared" si="39"/>
        <v>189559.44793300002</v>
      </c>
      <c r="Q41" s="188">
        <v>232900.28910089619</v>
      </c>
      <c r="R41" s="188">
        <v>690.8</v>
      </c>
      <c r="S41" s="229">
        <v>0</v>
      </c>
      <c r="T41" s="189">
        <f t="shared" ca="1" si="10"/>
        <v>70171446.615070298</v>
      </c>
      <c r="U41" s="156">
        <f t="shared" si="11"/>
        <v>188868.64793300003</v>
      </c>
      <c r="V41" s="186">
        <v>3515165.4844140001</v>
      </c>
      <c r="W41" s="186">
        <v>9150.7033260000007</v>
      </c>
      <c r="X41" s="88">
        <f>('Customer Data'!$E65*2+'Customer Data'!$E68)/3</f>
        <v>3</v>
      </c>
      <c r="Y41" s="126">
        <f ca="1">HLOOKUP($B41,CDM!$B$1:$Q$22,14,FALSE)/12</f>
        <v>2338.7152196832499</v>
      </c>
      <c r="Z41" s="188">
        <f t="shared" ca="1" si="12"/>
        <v>3517504.1996336835</v>
      </c>
      <c r="AA41" s="186">
        <v>22506938.070398998</v>
      </c>
      <c r="AB41" s="186">
        <v>43328.327515999998</v>
      </c>
      <c r="AC41" s="88">
        <f>('Customer Data'!$F65*2+'Customer Data'!$F68)/3</f>
        <v>6</v>
      </c>
      <c r="AD41" s="126">
        <f ca="1">HLOOKUP($B41,CDM!$B$1:$Q$22,15,FALSE)/12</f>
        <v>217152.49903237671</v>
      </c>
      <c r="AE41" s="188">
        <f t="shared" ca="1" si="4"/>
        <v>22724090.569431376</v>
      </c>
      <c r="AF41" s="186">
        <v>21904259.288322002</v>
      </c>
      <c r="AG41" s="186">
        <v>44208.247149000003</v>
      </c>
      <c r="AH41" s="88">
        <f>('Customer Data'!$G65*2+'Customer Data'!$G68)/3</f>
        <v>3</v>
      </c>
      <c r="AI41" s="126">
        <f ca="1">HLOOKUP($B41,CDM!$B$1:$Q$22,16,FALSE)/12</f>
        <v>269401.81059651141</v>
      </c>
      <c r="AJ41" s="188">
        <f t="shared" ca="1" si="41"/>
        <v>22173661.098918512</v>
      </c>
      <c r="AK41" s="188">
        <f t="shared" si="43"/>
        <v>44208.247149000003</v>
      </c>
      <c r="AL41" s="188">
        <v>421147.17219896812</v>
      </c>
      <c r="AM41" s="188">
        <v>1811.9</v>
      </c>
      <c r="AN41" s="156">
        <v>3479046.5958012282</v>
      </c>
      <c r="AO41" s="156">
        <v>6703.1</v>
      </c>
      <c r="AP41" s="156">
        <v>0</v>
      </c>
      <c r="AQ41" s="156">
        <f t="shared" ca="1" si="13"/>
        <v>19245043.973630149</v>
      </c>
      <c r="AR41" s="156">
        <f t="shared" si="14"/>
        <v>36625.227515999999</v>
      </c>
      <c r="AS41" s="186">
        <v>3216604.905332</v>
      </c>
      <c r="AT41" s="186">
        <v>6311.79648</v>
      </c>
      <c r="AU41" s="88">
        <f>('Customer Data'!$H65*2+'Customer Data'!$H68)/3</f>
        <v>1</v>
      </c>
      <c r="AV41" s="126">
        <f ca="1">HLOOKUP($B41,CDM!$B$1:$Q$22,17,FALSE)/12</f>
        <v>2291.1592954360949</v>
      </c>
      <c r="AW41" s="188">
        <f t="shared" ca="1" si="7"/>
        <v>3218896.064627436</v>
      </c>
      <c r="AX41" s="105">
        <v>1276500.219761</v>
      </c>
      <c r="AY41" s="105">
        <v>4129.8500000000004</v>
      </c>
      <c r="AZ41" s="88">
        <f>('Customer Data'!$I65*2+'Customer Data'!$I68)/3</f>
        <v>23348.666666666668</v>
      </c>
      <c r="BA41" s="126">
        <f ca="1">HLOOKUP($B41,CDM!$B$1:$Q$22,18,FALSE)/12</f>
        <v>0</v>
      </c>
      <c r="BB41" s="188">
        <f t="shared" ca="1" si="8"/>
        <v>4129.8500000000004</v>
      </c>
      <c r="BC41" s="186">
        <v>74788.238519000006</v>
      </c>
      <c r="BD41" s="186">
        <v>202.98868400000001</v>
      </c>
      <c r="BE41" s="188">
        <f>('Customer Data'!$J65*2+'Customer Data'!$J68*1)/3</f>
        <v>665</v>
      </c>
      <c r="BF41" s="105">
        <v>290686.17016099999</v>
      </c>
      <c r="BG41" s="188">
        <f>('Customer Data'!$K65*2+'Customer Data'!$K68*1)/3</f>
        <v>795</v>
      </c>
      <c r="BH41" s="188">
        <f>Weather!B209</f>
        <v>252.49999999999991</v>
      </c>
      <c r="BI41" s="188">
        <f>Weather!$C209</f>
        <v>4.3</v>
      </c>
      <c r="BJ41" s="166">
        <f>Employment!B65</f>
        <v>6685.8</v>
      </c>
      <c r="BK41" s="188">
        <f>Employment!$C65</f>
        <v>152.5</v>
      </c>
      <c r="BL41" s="188">
        <f>Employment!D65</f>
        <v>578793.9</v>
      </c>
      <c r="BM41" s="188">
        <f t="shared" si="15"/>
        <v>40</v>
      </c>
      <c r="BN41" s="188">
        <f t="shared" ref="BN41:CA41" si="50">BN29</f>
        <v>0</v>
      </c>
      <c r="BO41" s="188">
        <f t="shared" si="50"/>
        <v>0</v>
      </c>
      <c r="BP41" s="188">
        <f t="shared" si="50"/>
        <v>0</v>
      </c>
      <c r="BQ41" s="188">
        <f t="shared" si="50"/>
        <v>1</v>
      </c>
      <c r="BR41" s="188">
        <f t="shared" si="50"/>
        <v>0</v>
      </c>
      <c r="BS41" s="188">
        <f t="shared" si="50"/>
        <v>0</v>
      </c>
      <c r="BT41" s="188">
        <f t="shared" si="50"/>
        <v>0</v>
      </c>
      <c r="BU41" s="188">
        <f t="shared" si="50"/>
        <v>0</v>
      </c>
      <c r="BV41" s="188">
        <f t="shared" si="50"/>
        <v>0</v>
      </c>
      <c r="BW41" s="188">
        <f t="shared" si="50"/>
        <v>0</v>
      </c>
      <c r="BX41" s="188">
        <f t="shared" si="50"/>
        <v>0</v>
      </c>
      <c r="BY41" s="188">
        <f t="shared" si="50"/>
        <v>0</v>
      </c>
      <c r="BZ41" s="188">
        <f t="shared" si="50"/>
        <v>1</v>
      </c>
      <c r="CA41" s="188">
        <f t="shared" si="50"/>
        <v>0</v>
      </c>
      <c r="CB41" s="188">
        <f t="shared" si="16"/>
        <v>1</v>
      </c>
      <c r="CC41" s="188">
        <f t="shared" si="20"/>
        <v>30</v>
      </c>
      <c r="CD41" s="121">
        <v>19</v>
      </c>
    </row>
    <row r="42" spans="1:82" s="188" customFormat="1" ht="15">
      <c r="A42" s="190">
        <v>41030</v>
      </c>
      <c r="B42" s="191">
        <f t="shared" si="0"/>
        <v>2012</v>
      </c>
      <c r="C42" s="186">
        <v>46297820.198968999</v>
      </c>
      <c r="D42" s="88">
        <f>('Customer Data'!$B65+'Customer Data'!$B68*2)/3</f>
        <v>76942</v>
      </c>
      <c r="E42" s="188">
        <f ca="1">HLOOKUP($B42,CDM!$B$1:$Q$22,11,FALSE)/12</f>
        <v>1072052.9529829782</v>
      </c>
      <c r="F42" s="189">
        <f t="shared" ca="1" si="1"/>
        <v>47369873.151951976</v>
      </c>
      <c r="G42" s="186">
        <v>17269873.670731001</v>
      </c>
      <c r="H42" s="88">
        <f>('Customer Data'!$C65+'Customer Data'!$C68*2)/3</f>
        <v>6914.7777777777774</v>
      </c>
      <c r="I42" s="188">
        <f ca="1">HLOOKUP($B42,CDM!$B$1:$Q$22,12,FALSE)/12</f>
        <v>902076.07732077735</v>
      </c>
      <c r="J42" s="188">
        <f t="shared" ca="1" si="2"/>
        <v>18171949.748051777</v>
      </c>
      <c r="K42" s="186">
        <v>76040808.023842007</v>
      </c>
      <c r="L42" s="186">
        <v>207004.440741</v>
      </c>
      <c r="M42" s="88">
        <f>('Customer Data'!$D65+'Customer Data'!$D68*2)/3</f>
        <v>1177</v>
      </c>
      <c r="N42" s="126">
        <f ca="1">HLOOKUP($B42,CDM!$B$1:$Q$22,13,FALSE)/12</f>
        <v>1066001.5767451741</v>
      </c>
      <c r="O42" s="188">
        <f t="shared" ca="1" si="38"/>
        <v>76707141.256383926</v>
      </c>
      <c r="P42" s="188">
        <f t="shared" si="39"/>
        <v>205214.34074099999</v>
      </c>
      <c r="Q42" s="188">
        <v>231127.91750987759</v>
      </c>
      <c r="R42" s="188">
        <v>510.2</v>
      </c>
      <c r="S42" s="229">
        <v>0</v>
      </c>
      <c r="T42" s="189">
        <f t="shared" ca="1" si="10"/>
        <v>76476013.338874042</v>
      </c>
      <c r="U42" s="156">
        <f t="shared" si="11"/>
        <v>204704.14074099998</v>
      </c>
      <c r="V42" s="186">
        <v>4042598.7222890002</v>
      </c>
      <c r="W42" s="186">
        <v>10663.699059</v>
      </c>
      <c r="X42" s="88">
        <f>('Customer Data'!$E65+'Customer Data'!$E68*2)/3</f>
        <v>3</v>
      </c>
      <c r="Y42" s="126">
        <f ca="1">HLOOKUP($B42,CDM!$B$1:$Q$22,14,FALSE)/12</f>
        <v>2338.7152196832499</v>
      </c>
      <c r="Z42" s="188">
        <f t="shared" ca="1" si="12"/>
        <v>4044937.4375086837</v>
      </c>
      <c r="AA42" s="186">
        <v>25930566.209070999</v>
      </c>
      <c r="AB42" s="186">
        <v>48463.675559999996</v>
      </c>
      <c r="AC42" s="88">
        <f>('Customer Data'!$F65+'Customer Data'!$F68*2)/3</f>
        <v>6</v>
      </c>
      <c r="AD42" s="126">
        <f ca="1">HLOOKUP($B42,CDM!$B$1:$Q$22,15,FALSE)/12</f>
        <v>217152.49903237671</v>
      </c>
      <c r="AE42" s="188">
        <f t="shared" ca="1" si="4"/>
        <v>26147718.708103377</v>
      </c>
      <c r="AF42" s="186">
        <v>25024391.613192998</v>
      </c>
      <c r="AG42" s="186">
        <v>50769.674505000003</v>
      </c>
      <c r="AH42" s="88">
        <f>('Customer Data'!$G65+'Customer Data'!$G68*2)/3</f>
        <v>3</v>
      </c>
      <c r="AI42" s="126">
        <f ca="1">HLOOKUP($B42,CDM!$B$1:$Q$22,16,FALSE)/12</f>
        <v>269401.81059651141</v>
      </c>
      <c r="AJ42" s="188">
        <f t="shared" ca="1" si="41"/>
        <v>25293793.423789509</v>
      </c>
      <c r="AK42" s="188">
        <f t="shared" si="43"/>
        <v>50769.674505000003</v>
      </c>
      <c r="AL42" s="188">
        <v>399668.34420325118</v>
      </c>
      <c r="AM42" s="188">
        <v>1790.1</v>
      </c>
      <c r="AN42" s="156">
        <v>3350437.5142133869</v>
      </c>
      <c r="AO42" s="156">
        <v>5746.8</v>
      </c>
      <c r="AP42" s="156">
        <v>0</v>
      </c>
      <c r="AQ42" s="156">
        <f t="shared" ca="1" si="13"/>
        <v>22797281.19388999</v>
      </c>
      <c r="AR42" s="156">
        <f t="shared" si="14"/>
        <v>42716.875559999993</v>
      </c>
      <c r="AS42" s="186">
        <v>3728898.6599309999</v>
      </c>
      <c r="AT42" s="186">
        <v>7875.3945599999997</v>
      </c>
      <c r="AU42" s="88">
        <f>('Customer Data'!$H65+'Customer Data'!$H68*2)/3</f>
        <v>1</v>
      </c>
      <c r="AV42" s="126">
        <f ca="1">HLOOKUP($B42,CDM!$B$1:$Q$22,17,FALSE)/12</f>
        <v>2291.1592954360949</v>
      </c>
      <c r="AW42" s="188">
        <f t="shared" ca="1" si="7"/>
        <v>3731189.8192264359</v>
      </c>
      <c r="AX42" s="105">
        <v>1163336.5677789999</v>
      </c>
      <c r="AY42" s="105">
        <v>4129.8500000000004</v>
      </c>
      <c r="AZ42" s="88">
        <f>('Customer Data'!$I65+'Customer Data'!$I68*2)/3</f>
        <v>23353.333333333332</v>
      </c>
      <c r="BA42" s="126">
        <f ca="1">HLOOKUP($B42,CDM!$B$1:$Q$22,18,FALSE)/12</f>
        <v>0</v>
      </c>
      <c r="BB42" s="188">
        <f t="shared" ca="1" si="8"/>
        <v>4129.8500000000004</v>
      </c>
      <c r="BC42" s="186">
        <v>77149.882975</v>
      </c>
      <c r="BD42" s="186">
        <v>213.893587</v>
      </c>
      <c r="BE42" s="188">
        <f>('Customer Data'!$J65*1+'Customer Data'!$J68*2)/3</f>
        <v>664</v>
      </c>
      <c r="BF42" s="105">
        <v>297029.79010899999</v>
      </c>
      <c r="BG42" s="188">
        <f>('Customer Data'!$K65*1+'Customer Data'!$K68*2)/3</f>
        <v>795</v>
      </c>
      <c r="BH42" s="188">
        <f>Weather!B210</f>
        <v>48.2</v>
      </c>
      <c r="BI42" s="188">
        <f>Weather!$C210</f>
        <v>59.3</v>
      </c>
      <c r="BJ42" s="166">
        <f>Employment!B66</f>
        <v>6690.1</v>
      </c>
      <c r="BK42" s="188">
        <f>Employment!$C66</f>
        <v>152.69999999999999</v>
      </c>
      <c r="BL42" s="188">
        <f>Employment!D66</f>
        <v>578793.9</v>
      </c>
      <c r="BM42" s="188">
        <f t="shared" si="15"/>
        <v>41</v>
      </c>
      <c r="BN42" s="188">
        <f t="shared" ref="BN42:CA42" si="51">BN30</f>
        <v>0</v>
      </c>
      <c r="BO42" s="188">
        <f t="shared" si="51"/>
        <v>0</v>
      </c>
      <c r="BP42" s="188">
        <f t="shared" si="51"/>
        <v>0</v>
      </c>
      <c r="BQ42" s="188">
        <f t="shared" si="51"/>
        <v>0</v>
      </c>
      <c r="BR42" s="188">
        <f t="shared" si="51"/>
        <v>1</v>
      </c>
      <c r="BS42" s="188">
        <f t="shared" si="51"/>
        <v>0</v>
      </c>
      <c r="BT42" s="188">
        <f t="shared" si="51"/>
        <v>0</v>
      </c>
      <c r="BU42" s="188">
        <f t="shared" si="51"/>
        <v>0</v>
      </c>
      <c r="BV42" s="188">
        <f t="shared" si="51"/>
        <v>0</v>
      </c>
      <c r="BW42" s="188">
        <f t="shared" si="51"/>
        <v>0</v>
      </c>
      <c r="BX42" s="188">
        <f t="shared" si="51"/>
        <v>0</v>
      </c>
      <c r="BY42" s="188">
        <f t="shared" si="51"/>
        <v>0</v>
      </c>
      <c r="BZ42" s="188">
        <f t="shared" si="51"/>
        <v>1</v>
      </c>
      <c r="CA42" s="188">
        <f t="shared" si="51"/>
        <v>0</v>
      </c>
      <c r="CB42" s="188">
        <f t="shared" si="16"/>
        <v>1</v>
      </c>
      <c r="CC42" s="188">
        <f t="shared" si="20"/>
        <v>31</v>
      </c>
      <c r="CD42" s="121">
        <v>22</v>
      </c>
    </row>
    <row r="43" spans="1:82" s="188" customFormat="1" ht="15">
      <c r="A43" s="190">
        <v>41061</v>
      </c>
      <c r="B43" s="191">
        <f t="shared" ref="B43:B106" si="52">YEAR(A43)</f>
        <v>2012</v>
      </c>
      <c r="C43" s="186">
        <v>65092376.523910001</v>
      </c>
      <c r="D43" s="88">
        <f>'Customer Data'!$B68</f>
        <v>76913</v>
      </c>
      <c r="E43" s="188">
        <f ca="1">HLOOKUP($B43,CDM!$B$1:$Q$22,11,FALSE)/12</f>
        <v>1072052.9529829782</v>
      </c>
      <c r="F43" s="189">
        <f t="shared" ref="F43:F106" ca="1" si="53">C43+E43</f>
        <v>66164429.476892978</v>
      </c>
      <c r="G43" s="186">
        <v>19501224.832619</v>
      </c>
      <c r="H43" s="88">
        <f>'Customer Data'!$C68</f>
        <v>6917.6666666666661</v>
      </c>
      <c r="I43" s="188">
        <f ca="1">HLOOKUP($B43,CDM!$B$1:$Q$22,12,FALSE)/12</f>
        <v>902076.07732077735</v>
      </c>
      <c r="J43" s="188">
        <f t="shared" ref="J43:J106" ca="1" si="54">I43+G43</f>
        <v>20403300.909939777</v>
      </c>
      <c r="K43" s="186">
        <v>80386969.784278005</v>
      </c>
      <c r="L43" s="186">
        <v>207957.233931</v>
      </c>
      <c r="M43" s="88">
        <f>'Customer Data'!$D68</f>
        <v>1177</v>
      </c>
      <c r="N43" s="126">
        <f ca="1">HLOOKUP($B43,CDM!$B$1:$Q$22,13,FALSE)/12</f>
        <v>1066001.5767451741</v>
      </c>
      <c r="O43" s="188">
        <f t="shared" ca="1" si="38"/>
        <v>81073916.050987154</v>
      </c>
      <c r="P43" s="188">
        <f t="shared" si="39"/>
        <v>206190.03393099998</v>
      </c>
      <c r="Q43" s="188">
        <v>220578.21142912208</v>
      </c>
      <c r="R43" s="188">
        <v>559.9</v>
      </c>
      <c r="S43" s="229">
        <v>0</v>
      </c>
      <c r="T43" s="189">
        <f t="shared" ca="1" si="10"/>
        <v>80853337.839558035</v>
      </c>
      <c r="U43" s="156">
        <f t="shared" si="11"/>
        <v>205630.13393099999</v>
      </c>
      <c r="V43" s="186">
        <v>4099184.0848090001</v>
      </c>
      <c r="W43" s="186">
        <v>11485.641618</v>
      </c>
      <c r="X43" s="88">
        <f>'Customer Data'!$E68</f>
        <v>3</v>
      </c>
      <c r="Y43" s="126">
        <f ca="1">HLOOKUP($B43,CDM!$B$1:$Q$22,14,FALSE)/12</f>
        <v>2338.7152196832499</v>
      </c>
      <c r="Z43" s="188">
        <f t="shared" ref="Z43:Z106" ca="1" si="55">V43+Y43</f>
        <v>4101522.8000286836</v>
      </c>
      <c r="AA43" s="186">
        <v>26893759.170381002</v>
      </c>
      <c r="AB43" s="186">
        <v>49289.375467999998</v>
      </c>
      <c r="AC43" s="88">
        <f>'Customer Data'!$F68</f>
        <v>6</v>
      </c>
      <c r="AD43" s="126">
        <f ca="1">HLOOKUP($B43,CDM!$B$1:$Q$22,15,FALSE)/12</f>
        <v>217152.49903237671</v>
      </c>
      <c r="AE43" s="188">
        <f t="shared" ref="AE43:AE106" ca="1" si="56">AA43+AD43</f>
        <v>27110911.66941338</v>
      </c>
      <c r="AF43" s="186">
        <v>26577086.285641998</v>
      </c>
      <c r="AG43" s="186">
        <v>54349.052571</v>
      </c>
      <c r="AH43" s="88">
        <f>'Customer Data'!$G68</f>
        <v>3</v>
      </c>
      <c r="AI43" s="126">
        <f ca="1">HLOOKUP($B43,CDM!$B$1:$Q$22,16,FALSE)/12</f>
        <v>269401.81059651141</v>
      </c>
      <c r="AJ43" s="188">
        <f t="shared" ref="AJ43:AJ106" ca="1" si="57">AF43+AI43</f>
        <v>26846488.096238509</v>
      </c>
      <c r="AK43" s="188">
        <f t="shared" si="43"/>
        <v>54349.052571</v>
      </c>
      <c r="AL43" s="188">
        <v>379055.31003601674</v>
      </c>
      <c r="AM43" s="188">
        <v>1767.2</v>
      </c>
      <c r="AN43" s="156">
        <v>3654790.76497842</v>
      </c>
      <c r="AO43" s="156">
        <v>7048.6</v>
      </c>
      <c r="AP43" s="156">
        <v>0</v>
      </c>
      <c r="AQ43" s="156">
        <f t="shared" ca="1" si="13"/>
        <v>23456120.90443496</v>
      </c>
      <c r="AR43" s="156">
        <f t="shared" si="14"/>
        <v>42240.775468</v>
      </c>
      <c r="AS43" s="186">
        <v>4310419.9138679998</v>
      </c>
      <c r="AT43" s="186">
        <v>7788.3379199999999</v>
      </c>
      <c r="AU43" s="88">
        <f>'Customer Data'!$H68</f>
        <v>1</v>
      </c>
      <c r="AV43" s="126">
        <f ca="1">HLOOKUP($B43,CDM!$B$1:$Q$22,17,FALSE)/12</f>
        <v>2291.1592954360949</v>
      </c>
      <c r="AW43" s="188">
        <f t="shared" ref="AW43:AW106" ca="1" si="58">AS43+AV43</f>
        <v>4312711.0731634358</v>
      </c>
      <c r="AX43" s="105">
        <v>1033305.817805</v>
      </c>
      <c r="AY43" s="105">
        <v>4131.63</v>
      </c>
      <c r="AZ43" s="88">
        <f>'Customer Data'!$I68</f>
        <v>23358</v>
      </c>
      <c r="BA43" s="126">
        <f ca="1">HLOOKUP($B43,CDM!$B$1:$Q$22,18,FALSE)/12</f>
        <v>0</v>
      </c>
      <c r="BB43" s="188">
        <f t="shared" ref="BB43:BB106" ca="1" si="59">BA43+AY43</f>
        <v>4131.63</v>
      </c>
      <c r="BC43" s="186">
        <v>74649.099749000001</v>
      </c>
      <c r="BD43" s="186">
        <v>207.358643</v>
      </c>
      <c r="BE43" s="188">
        <f>'Customer Data'!$J68</f>
        <v>663</v>
      </c>
      <c r="BF43" s="105">
        <v>285744.59445099998</v>
      </c>
      <c r="BG43" s="188">
        <f>'Customer Data'!$K68</f>
        <v>795</v>
      </c>
      <c r="BH43" s="188">
        <f>Weather!B211</f>
        <v>10.3</v>
      </c>
      <c r="BI43" s="188">
        <f>Weather!$C211</f>
        <v>147.09999999999997</v>
      </c>
      <c r="BJ43" s="166">
        <f>Employment!B67</f>
        <v>6693.3</v>
      </c>
      <c r="BK43" s="188">
        <f>Employment!$C67</f>
        <v>152.6</v>
      </c>
      <c r="BL43" s="188">
        <f>Employment!D67</f>
        <v>578793.9</v>
      </c>
      <c r="BM43" s="188">
        <f t="shared" si="15"/>
        <v>42</v>
      </c>
      <c r="BN43" s="188">
        <f t="shared" ref="BN43:CA43" si="60">BN31</f>
        <v>0</v>
      </c>
      <c r="BO43" s="188">
        <f t="shared" si="60"/>
        <v>0</v>
      </c>
      <c r="BP43" s="188">
        <f t="shared" si="60"/>
        <v>0</v>
      </c>
      <c r="BQ43" s="188">
        <f t="shared" si="60"/>
        <v>0</v>
      </c>
      <c r="BR43" s="188">
        <f t="shared" si="60"/>
        <v>0</v>
      </c>
      <c r="BS43" s="188">
        <f t="shared" si="60"/>
        <v>1</v>
      </c>
      <c r="BT43" s="188">
        <f t="shared" si="60"/>
        <v>0</v>
      </c>
      <c r="BU43" s="188">
        <f t="shared" si="60"/>
        <v>0</v>
      </c>
      <c r="BV43" s="188">
        <f t="shared" si="60"/>
        <v>0</v>
      </c>
      <c r="BW43" s="188">
        <f t="shared" si="60"/>
        <v>0</v>
      </c>
      <c r="BX43" s="188">
        <f t="shared" si="60"/>
        <v>0</v>
      </c>
      <c r="BY43" s="188">
        <f t="shared" si="60"/>
        <v>0</v>
      </c>
      <c r="BZ43" s="188">
        <f t="shared" si="60"/>
        <v>0</v>
      </c>
      <c r="CA43" s="188">
        <f t="shared" si="60"/>
        <v>0</v>
      </c>
      <c r="CB43" s="188">
        <f t="shared" si="16"/>
        <v>0</v>
      </c>
      <c r="CC43" s="188">
        <f t="shared" si="20"/>
        <v>30</v>
      </c>
      <c r="CD43" s="121">
        <v>21</v>
      </c>
    </row>
    <row r="44" spans="1:82" s="188" customFormat="1" ht="15">
      <c r="A44" s="190">
        <v>41091</v>
      </c>
      <c r="B44" s="191">
        <f t="shared" si="52"/>
        <v>2012</v>
      </c>
      <c r="C44" s="186">
        <v>82179315.985599995</v>
      </c>
      <c r="D44" s="88">
        <f>('Customer Data'!$B68*2+'Customer Data'!$B71)/3</f>
        <v>76988.333333333328</v>
      </c>
      <c r="E44" s="188">
        <f ca="1">HLOOKUP($B44,CDM!$B$1:$Q$22,11,FALSE)/12</f>
        <v>1072052.9529829782</v>
      </c>
      <c r="F44" s="189">
        <f t="shared" ca="1" si="53"/>
        <v>83251368.938582972</v>
      </c>
      <c r="G44" s="186">
        <v>21959287.314713996</v>
      </c>
      <c r="H44" s="88">
        <f>('Customer Data'!$C68*2+'Customer Data'!$C71)/3</f>
        <v>6920.5555555555547</v>
      </c>
      <c r="I44" s="188">
        <f ca="1">HLOOKUP($B44,CDM!$B$1:$Q$22,12,FALSE)/12</f>
        <v>902076.07732077735</v>
      </c>
      <c r="J44" s="188">
        <f t="shared" ca="1" si="54"/>
        <v>22861363.392034773</v>
      </c>
      <c r="K44" s="186">
        <v>85836906.144712999</v>
      </c>
      <c r="L44" s="186">
        <v>221946.06381200001</v>
      </c>
      <c r="M44" s="88">
        <f>('Customer Data'!$D68*2+'Customer Data'!$D71)/3</f>
        <v>1179.3333333333333</v>
      </c>
      <c r="N44" s="126">
        <f ca="1">HLOOKUP($B44,CDM!$B$1:$Q$22,13,FALSE)/12</f>
        <v>1066001.5767451741</v>
      </c>
      <c r="O44" s="188">
        <f t="shared" ca="1" si="38"/>
        <v>86497634.17916283</v>
      </c>
      <c r="P44" s="188">
        <f t="shared" si="39"/>
        <v>220097.16381200001</v>
      </c>
      <c r="Q44" s="188">
        <v>191841.03305386912</v>
      </c>
      <c r="R44" s="188">
        <v>462.2</v>
      </c>
      <c r="S44" s="229">
        <v>0</v>
      </c>
      <c r="T44" s="189">
        <f t="shared" ca="1" si="10"/>
        <v>86305793.146108955</v>
      </c>
      <c r="U44" s="156">
        <f t="shared" si="11"/>
        <v>219634.963812</v>
      </c>
      <c r="V44" s="186">
        <v>4186686.375548</v>
      </c>
      <c r="W44" s="186">
        <v>11612.764836</v>
      </c>
      <c r="X44" s="88">
        <f>('Customer Data'!$E68*2+'Customer Data'!$E71)/3</f>
        <v>3</v>
      </c>
      <c r="Y44" s="126">
        <f ca="1">HLOOKUP($B44,CDM!$B$1:$Q$22,14,FALSE)/12</f>
        <v>2338.7152196832499</v>
      </c>
      <c r="Z44" s="188">
        <f t="shared" ca="1" si="55"/>
        <v>4189025.0907676835</v>
      </c>
      <c r="AA44" s="186">
        <v>28434380.447633997</v>
      </c>
      <c r="AB44" s="186">
        <v>52329.550123000001</v>
      </c>
      <c r="AC44" s="88">
        <f>('Customer Data'!$F68*2+'Customer Data'!$F71)/3</f>
        <v>6</v>
      </c>
      <c r="AD44" s="126">
        <f ca="1">HLOOKUP($B44,CDM!$B$1:$Q$22,15,FALSE)/12</f>
        <v>217152.49903237671</v>
      </c>
      <c r="AE44" s="188">
        <f t="shared" ca="1" si="56"/>
        <v>28651532.946666375</v>
      </c>
      <c r="AF44" s="186">
        <v>24402796.760026999</v>
      </c>
      <c r="AG44" s="186">
        <v>52652.228409000003</v>
      </c>
      <c r="AH44" s="88">
        <f>('Customer Data'!$G68*2+'Customer Data'!$G71)/3</f>
        <v>2.6666666666666665</v>
      </c>
      <c r="AI44" s="126">
        <f ca="1">HLOOKUP($B44,CDM!$B$1:$Q$22,16,FALSE)/12</f>
        <v>269401.81059651141</v>
      </c>
      <c r="AJ44" s="188">
        <f t="shared" ca="1" si="57"/>
        <v>24672198.57062351</v>
      </c>
      <c r="AK44" s="188">
        <f t="shared" si="43"/>
        <v>52652.228409000003</v>
      </c>
      <c r="AL44" s="188">
        <v>405273.54229533725</v>
      </c>
      <c r="AM44" s="188">
        <v>1848.9</v>
      </c>
      <c r="AN44" s="156">
        <v>3290102.3215017063</v>
      </c>
      <c r="AO44" s="156">
        <v>7161.4</v>
      </c>
      <c r="AP44" s="156">
        <v>0</v>
      </c>
      <c r="AQ44" s="156">
        <f t="shared" ca="1" si="13"/>
        <v>25361430.625164669</v>
      </c>
      <c r="AR44" s="156">
        <f t="shared" si="14"/>
        <v>45168.150122999999</v>
      </c>
      <c r="AS44" s="186">
        <v>4052063.9322509998</v>
      </c>
      <c r="AT44" s="186">
        <v>7547.6966400000001</v>
      </c>
      <c r="AU44" s="88">
        <f>('Customer Data'!$H68*2+'Customer Data'!$H71)/3</f>
        <v>1</v>
      </c>
      <c r="AV44" s="126">
        <f ca="1">HLOOKUP($B44,CDM!$B$1:$Q$22,17,FALSE)/12</f>
        <v>2291.1592954360949</v>
      </c>
      <c r="AW44" s="188">
        <f t="shared" ca="1" si="58"/>
        <v>4054355.0915464358</v>
      </c>
      <c r="AX44" s="105">
        <v>1119583.627782</v>
      </c>
      <c r="AY44" s="105">
        <v>4131.63</v>
      </c>
      <c r="AZ44" s="88">
        <f>('Customer Data'!$I68*2+'Customer Data'!$I71)/3</f>
        <v>23360.333333333332</v>
      </c>
      <c r="BA44" s="126">
        <f ca="1">HLOOKUP($B44,CDM!$B$1:$Q$22,18,FALSE)/12</f>
        <v>0</v>
      </c>
      <c r="BB44" s="188">
        <f t="shared" ca="1" si="59"/>
        <v>4131.63</v>
      </c>
      <c r="BC44" s="186">
        <v>77014.644467999999</v>
      </c>
      <c r="BD44" s="186">
        <v>223.018551</v>
      </c>
      <c r="BE44" s="188">
        <f>('Customer Data'!$J68*2+'Customer Data'!$J71*1)/3</f>
        <v>661.33333333333337</v>
      </c>
      <c r="BF44" s="105">
        <v>295238.95714000001</v>
      </c>
      <c r="BG44" s="188">
        <f>('Customer Data'!$K68*2+'Customer Data'!$K71*1)/3</f>
        <v>794.33333333333337</v>
      </c>
      <c r="BH44" s="188">
        <f>Weather!B212</f>
        <v>0</v>
      </c>
      <c r="BI44" s="188">
        <f>Weather!$C212</f>
        <v>235.50000000000009</v>
      </c>
      <c r="BJ44" s="166">
        <f>Employment!B68</f>
        <v>6694.6</v>
      </c>
      <c r="BK44" s="188">
        <f>Employment!$C68</f>
        <v>153.80000000000001</v>
      </c>
      <c r="BL44" s="188">
        <f>Employment!D68</f>
        <v>578793.9</v>
      </c>
      <c r="BM44" s="188">
        <f t="shared" ref="BM44:BM107" si="61">BM43+1</f>
        <v>43</v>
      </c>
      <c r="BN44" s="188">
        <f t="shared" ref="BN44:CA44" si="62">BN32</f>
        <v>0</v>
      </c>
      <c r="BO44" s="188">
        <f t="shared" si="62"/>
        <v>0</v>
      </c>
      <c r="BP44" s="188">
        <f t="shared" si="62"/>
        <v>0</v>
      </c>
      <c r="BQ44" s="188">
        <f t="shared" si="62"/>
        <v>0</v>
      </c>
      <c r="BR44" s="188">
        <f t="shared" si="62"/>
        <v>0</v>
      </c>
      <c r="BS44" s="188">
        <f t="shared" si="62"/>
        <v>0</v>
      </c>
      <c r="BT44" s="188">
        <f t="shared" si="62"/>
        <v>1</v>
      </c>
      <c r="BU44" s="188">
        <f t="shared" si="62"/>
        <v>0</v>
      </c>
      <c r="BV44" s="188">
        <f t="shared" si="62"/>
        <v>0</v>
      </c>
      <c r="BW44" s="188">
        <f t="shared" si="62"/>
        <v>0</v>
      </c>
      <c r="BX44" s="188">
        <f t="shared" si="62"/>
        <v>0</v>
      </c>
      <c r="BY44" s="188">
        <f t="shared" si="62"/>
        <v>0</v>
      </c>
      <c r="BZ44" s="188">
        <f t="shared" si="62"/>
        <v>0</v>
      </c>
      <c r="CA44" s="188">
        <f t="shared" si="62"/>
        <v>0</v>
      </c>
      <c r="CB44" s="188">
        <f t="shared" si="16"/>
        <v>0</v>
      </c>
      <c r="CC44" s="188">
        <f t="shared" si="20"/>
        <v>31</v>
      </c>
      <c r="CD44" s="121">
        <v>21</v>
      </c>
    </row>
    <row r="45" spans="1:82" s="188" customFormat="1" ht="15">
      <c r="A45" s="190">
        <v>41122</v>
      </c>
      <c r="B45" s="191">
        <f t="shared" si="52"/>
        <v>2012</v>
      </c>
      <c r="C45" s="186">
        <v>67466467.816852003</v>
      </c>
      <c r="D45" s="88">
        <f>('Customer Data'!$B68+'Customer Data'!$B71*2)/3</f>
        <v>77063.666666666672</v>
      </c>
      <c r="E45" s="188">
        <f ca="1">HLOOKUP($B45,CDM!$B$1:$Q$22,11,FALSE)/12</f>
        <v>1072052.9529829782</v>
      </c>
      <c r="F45" s="189">
        <f t="shared" ca="1" si="53"/>
        <v>68538520.76983498</v>
      </c>
      <c r="G45" s="186">
        <v>20216902.909566</v>
      </c>
      <c r="H45" s="88">
        <f>('Customer Data'!$C68+'Customer Data'!$C71*2)/3</f>
        <v>6923.4444444444443</v>
      </c>
      <c r="I45" s="188">
        <f ca="1">HLOOKUP($B45,CDM!$B$1:$Q$22,12,FALSE)/12</f>
        <v>902076.07732077735</v>
      </c>
      <c r="J45" s="188">
        <f t="shared" ca="1" si="54"/>
        <v>21118978.986886777</v>
      </c>
      <c r="K45" s="186">
        <v>84305348.449488997</v>
      </c>
      <c r="L45" s="186">
        <v>217741.18053499999</v>
      </c>
      <c r="M45" s="88">
        <f>('Customer Data'!$D68+'Customer Data'!$D71*2)/3</f>
        <v>1181.6666666666667</v>
      </c>
      <c r="N45" s="126">
        <f ca="1">HLOOKUP($B45,CDM!$B$1:$Q$22,13,FALSE)/12</f>
        <v>1066001.5767451741</v>
      </c>
      <c r="O45" s="188">
        <f t="shared" ca="1" si="38"/>
        <v>84955144.682128251</v>
      </c>
      <c r="P45" s="188">
        <f t="shared" si="39"/>
        <v>215950.98053499998</v>
      </c>
      <c r="Q45" s="188">
        <v>224336.8796376602</v>
      </c>
      <c r="R45" s="188">
        <v>525.79999999999995</v>
      </c>
      <c r="S45" s="229">
        <v>0</v>
      </c>
      <c r="T45" s="189">
        <f t="shared" ca="1" si="10"/>
        <v>84730807.802490592</v>
      </c>
      <c r="U45" s="156">
        <f t="shared" si="11"/>
        <v>215425.18053499999</v>
      </c>
      <c r="V45" s="186">
        <v>4034954.6112520001</v>
      </c>
      <c r="W45" s="186">
        <v>11398.460517</v>
      </c>
      <c r="X45" s="88">
        <f>('Customer Data'!$E68+'Customer Data'!$E71*2)/3</f>
        <v>3</v>
      </c>
      <c r="Y45" s="126">
        <f ca="1">HLOOKUP($B45,CDM!$B$1:$Q$22,14,FALSE)/12</f>
        <v>2338.7152196832499</v>
      </c>
      <c r="Z45" s="188">
        <f t="shared" ca="1" si="55"/>
        <v>4037293.3264716836</v>
      </c>
      <c r="AA45" s="186">
        <v>28918844.465813998</v>
      </c>
      <c r="AB45" s="186">
        <v>51175.565334999999</v>
      </c>
      <c r="AC45" s="88">
        <f>('Customer Data'!$F68+'Customer Data'!$F71*2)/3</f>
        <v>6</v>
      </c>
      <c r="AD45" s="126">
        <f ca="1">HLOOKUP($B45,CDM!$B$1:$Q$22,15,FALSE)/12</f>
        <v>217152.49903237671</v>
      </c>
      <c r="AE45" s="188">
        <f t="shared" ca="1" si="56"/>
        <v>29135996.964846376</v>
      </c>
      <c r="AF45" s="186">
        <v>28355405.463808998</v>
      </c>
      <c r="AG45" s="186">
        <v>49411.788029999996</v>
      </c>
      <c r="AH45" s="88">
        <f>('Customer Data'!$G68+'Customer Data'!$G71*2)/3</f>
        <v>2.3333333333333335</v>
      </c>
      <c r="AI45" s="126">
        <f ca="1">HLOOKUP($B45,CDM!$B$1:$Q$22,16,FALSE)/12</f>
        <v>269401.81059651141</v>
      </c>
      <c r="AJ45" s="188">
        <f t="shared" ca="1" si="57"/>
        <v>28624807.274405509</v>
      </c>
      <c r="AK45" s="188">
        <f t="shared" si="43"/>
        <v>49411.788029999996</v>
      </c>
      <c r="AL45" s="188">
        <v>416205.34410590865</v>
      </c>
      <c r="AM45" s="188">
        <v>1790.2</v>
      </c>
      <c r="AN45" s="156">
        <v>4558083.2334541278</v>
      </c>
      <c r="AO45" s="156">
        <v>7286</v>
      </c>
      <c r="AP45" s="156">
        <v>0</v>
      </c>
      <c r="AQ45" s="156">
        <f t="shared" ca="1" si="13"/>
        <v>24577913.731392249</v>
      </c>
      <c r="AR45" s="156">
        <f t="shared" si="14"/>
        <v>43889.565334999999</v>
      </c>
      <c r="AS45" s="186">
        <v>4454471.2835269999</v>
      </c>
      <c r="AT45" s="186">
        <v>6995.3241600000001</v>
      </c>
      <c r="AU45" s="88">
        <f>('Customer Data'!$H68+'Customer Data'!$H71*2)/3</f>
        <v>1</v>
      </c>
      <c r="AV45" s="126">
        <f ca="1">HLOOKUP($B45,CDM!$B$1:$Q$22,17,FALSE)/12</f>
        <v>2291.1592954360949</v>
      </c>
      <c r="AW45" s="188">
        <f t="shared" ca="1" si="58"/>
        <v>4456762.4428224359</v>
      </c>
      <c r="AX45" s="105">
        <v>1255320.324762</v>
      </c>
      <c r="AY45" s="105">
        <v>4131.63</v>
      </c>
      <c r="AZ45" s="88">
        <f>('Customer Data'!$I68+'Customer Data'!$I71*2)/3</f>
        <v>23362.666666666668</v>
      </c>
      <c r="BA45" s="126">
        <f ca="1">HLOOKUP($B45,CDM!$B$1:$Q$22,18,FALSE)/12</f>
        <v>0</v>
      </c>
      <c r="BB45" s="188">
        <f t="shared" ca="1" si="59"/>
        <v>4131.63</v>
      </c>
      <c r="BC45" s="186">
        <v>76676.128314999994</v>
      </c>
      <c r="BD45" s="186">
        <v>206.428653</v>
      </c>
      <c r="BE45" s="188">
        <f>('Customer Data'!$J68*1+'Customer Data'!$J71*2)/3</f>
        <v>659.66666666666663</v>
      </c>
      <c r="BF45" s="105">
        <v>294378.34248499997</v>
      </c>
      <c r="BG45" s="188">
        <f>('Customer Data'!$K68*1+'Customer Data'!$K71*2)/3</f>
        <v>793.66666666666663</v>
      </c>
      <c r="BH45" s="188">
        <f>Weather!B213</f>
        <v>0.7</v>
      </c>
      <c r="BI45" s="188">
        <f>Weather!$C213</f>
        <v>143.69999999999999</v>
      </c>
      <c r="BJ45" s="166">
        <f>Employment!B69</f>
        <v>6703.3</v>
      </c>
      <c r="BK45" s="188">
        <f>Employment!$C69</f>
        <v>154.5</v>
      </c>
      <c r="BL45" s="188">
        <f>Employment!D69</f>
        <v>578793.9</v>
      </c>
      <c r="BM45" s="188">
        <f t="shared" si="61"/>
        <v>44</v>
      </c>
      <c r="BN45" s="188">
        <f t="shared" ref="BN45:CA45" si="63">BN33</f>
        <v>0</v>
      </c>
      <c r="BO45" s="188">
        <f t="shared" si="63"/>
        <v>0</v>
      </c>
      <c r="BP45" s="188">
        <f t="shared" si="63"/>
        <v>0</v>
      </c>
      <c r="BQ45" s="188">
        <f t="shared" si="63"/>
        <v>0</v>
      </c>
      <c r="BR45" s="188">
        <f t="shared" si="63"/>
        <v>0</v>
      </c>
      <c r="BS45" s="188">
        <f t="shared" si="63"/>
        <v>0</v>
      </c>
      <c r="BT45" s="188">
        <f t="shared" si="63"/>
        <v>0</v>
      </c>
      <c r="BU45" s="188">
        <f t="shared" si="63"/>
        <v>1</v>
      </c>
      <c r="BV45" s="188">
        <f t="shared" si="63"/>
        <v>0</v>
      </c>
      <c r="BW45" s="188">
        <f t="shared" si="63"/>
        <v>0</v>
      </c>
      <c r="BX45" s="188">
        <f t="shared" si="63"/>
        <v>0</v>
      </c>
      <c r="BY45" s="188">
        <f t="shared" si="63"/>
        <v>0</v>
      </c>
      <c r="BZ45" s="188">
        <f t="shared" si="63"/>
        <v>0</v>
      </c>
      <c r="CA45" s="188">
        <f t="shared" si="63"/>
        <v>0</v>
      </c>
      <c r="CB45" s="188">
        <f t="shared" si="16"/>
        <v>0</v>
      </c>
      <c r="CC45" s="188">
        <f t="shared" si="20"/>
        <v>31</v>
      </c>
      <c r="CD45" s="121">
        <v>22</v>
      </c>
    </row>
    <row r="46" spans="1:82" s="188" customFormat="1" ht="15">
      <c r="A46" s="190">
        <v>41153</v>
      </c>
      <c r="B46" s="191">
        <f t="shared" si="52"/>
        <v>2012</v>
      </c>
      <c r="C46" s="186">
        <v>49475729.329347998</v>
      </c>
      <c r="D46" s="88">
        <f>'Customer Data'!$B71</f>
        <v>77139</v>
      </c>
      <c r="E46" s="188">
        <f ca="1">HLOOKUP($B46,CDM!$B$1:$Q$22,11,FALSE)/12</f>
        <v>1072052.9529829782</v>
      </c>
      <c r="F46" s="189">
        <f t="shared" ca="1" si="53"/>
        <v>50547782.282330975</v>
      </c>
      <c r="G46" s="186">
        <v>17268129.392093003</v>
      </c>
      <c r="H46" s="88">
        <f>'Customer Data'!$C71</f>
        <v>6926.333333333333</v>
      </c>
      <c r="I46" s="188">
        <f ca="1">HLOOKUP($B46,CDM!$B$1:$Q$22,12,FALSE)/12</f>
        <v>902076.07732077735</v>
      </c>
      <c r="J46" s="188">
        <f t="shared" ca="1" si="54"/>
        <v>18170205.46941378</v>
      </c>
      <c r="K46" s="186">
        <v>75198610.204828009</v>
      </c>
      <c r="L46" s="186">
        <v>208200.63540200001</v>
      </c>
      <c r="M46" s="88">
        <f>'Customer Data'!$D71</f>
        <v>1184</v>
      </c>
      <c r="N46" s="126">
        <f ca="1">HLOOKUP($B46,CDM!$B$1:$Q$22,13,FALSE)/12</f>
        <v>1066001.5767451741</v>
      </c>
      <c r="O46" s="188">
        <f t="shared" ca="1" si="38"/>
        <v>75637873.117112935</v>
      </c>
      <c r="P46" s="188">
        <f t="shared" si="39"/>
        <v>206117.03540200001</v>
      </c>
      <c r="Q46" s="188">
        <v>207270.54061867591</v>
      </c>
      <c r="R46" s="188">
        <v>499.9</v>
      </c>
      <c r="S46" s="229">
        <v>0</v>
      </c>
      <c r="T46" s="189">
        <f t="shared" ca="1" si="10"/>
        <v>75430602.576494262</v>
      </c>
      <c r="U46" s="156">
        <f t="shared" si="11"/>
        <v>205617.13540200001</v>
      </c>
      <c r="V46" s="186">
        <v>3502810.3424579999</v>
      </c>
      <c r="W46" s="186">
        <v>10666.602387000001</v>
      </c>
      <c r="X46" s="88">
        <f>'Customer Data'!$E71</f>
        <v>3</v>
      </c>
      <c r="Y46" s="126">
        <f ca="1">HLOOKUP($B46,CDM!$B$1:$Q$22,14,FALSE)/12</f>
        <v>2338.7152196832499</v>
      </c>
      <c r="Z46" s="188">
        <f t="shared" ca="1" si="55"/>
        <v>3505149.0576776834</v>
      </c>
      <c r="AA46" s="186">
        <v>26610365.882050999</v>
      </c>
      <c r="AB46" s="186">
        <v>50498.858298000006</v>
      </c>
      <c r="AC46" s="88">
        <f>'Customer Data'!$F71</f>
        <v>6</v>
      </c>
      <c r="AD46" s="126">
        <f ca="1">HLOOKUP($B46,CDM!$B$1:$Q$22,15,FALSE)/12</f>
        <v>217152.49903237671</v>
      </c>
      <c r="AE46" s="188">
        <f t="shared" ca="1" si="56"/>
        <v>26827518.381083377</v>
      </c>
      <c r="AF46" s="186">
        <v>23640789.236894999</v>
      </c>
      <c r="AG46" s="186">
        <v>47611.401354000001</v>
      </c>
      <c r="AH46" s="88">
        <f>'Customer Data'!$G71</f>
        <v>2</v>
      </c>
      <c r="AI46" s="126">
        <f ca="1">HLOOKUP($B46,CDM!$B$1:$Q$22,16,FALSE)/12</f>
        <v>269401.81059651141</v>
      </c>
      <c r="AJ46" s="188">
        <f t="shared" ca="1" si="57"/>
        <v>23910191.047491509</v>
      </c>
      <c r="AK46" s="188">
        <f t="shared" si="43"/>
        <v>47611.401354000001</v>
      </c>
      <c r="AL46" s="188">
        <v>626738.66446023551</v>
      </c>
      <c r="AM46" s="188">
        <v>2083.6</v>
      </c>
      <c r="AN46" s="156">
        <v>3849521.0644625858</v>
      </c>
      <c r="AO46" s="156">
        <v>6809.1</v>
      </c>
      <c r="AP46" s="156">
        <v>0</v>
      </c>
      <c r="AQ46" s="156">
        <f t="shared" ca="1" si="13"/>
        <v>22977997.316620789</v>
      </c>
      <c r="AR46" s="156">
        <f t="shared" si="14"/>
        <v>43689.758298000008</v>
      </c>
      <c r="AS46" s="186">
        <v>3887656.5083050001</v>
      </c>
      <c r="AT46" s="186">
        <v>7041.7036799999996</v>
      </c>
      <c r="AU46" s="88">
        <f>'Customer Data'!$H71</f>
        <v>1</v>
      </c>
      <c r="AV46" s="126">
        <f ca="1">HLOOKUP($B46,CDM!$B$1:$Q$22,17,FALSE)/12</f>
        <v>2291.1592954360949</v>
      </c>
      <c r="AW46" s="188">
        <f t="shared" ca="1" si="58"/>
        <v>3889947.6676004361</v>
      </c>
      <c r="AX46" s="105">
        <v>1384083.7597389999</v>
      </c>
      <c r="AY46" s="105">
        <v>4131.63</v>
      </c>
      <c r="AZ46" s="88">
        <f>'Customer Data'!$I71</f>
        <v>23365</v>
      </c>
      <c r="BA46" s="126">
        <f ca="1">HLOOKUP($B46,CDM!$B$1:$Q$22,18,FALSE)/12</f>
        <v>0</v>
      </c>
      <c r="BB46" s="188">
        <f t="shared" ca="1" si="59"/>
        <v>4131.63</v>
      </c>
      <c r="BC46" s="186">
        <v>74057.626495000004</v>
      </c>
      <c r="BD46" s="186">
        <v>192.978735</v>
      </c>
      <c r="BE46" s="188">
        <f>'Customer Data'!$J71</f>
        <v>658</v>
      </c>
      <c r="BF46" s="105">
        <v>281871.52741099999</v>
      </c>
      <c r="BG46" s="188">
        <f>'Customer Data'!$K71</f>
        <v>793</v>
      </c>
      <c r="BH46" s="188">
        <f>Weather!B214</f>
        <v>53.2</v>
      </c>
      <c r="BI46" s="188">
        <f>Weather!$C214</f>
        <v>50.29999999999999</v>
      </c>
      <c r="BJ46" s="166">
        <f>Employment!B70</f>
        <v>6707.4</v>
      </c>
      <c r="BK46" s="188">
        <f>Employment!$C70</f>
        <v>155.1</v>
      </c>
      <c r="BL46" s="188">
        <f>Employment!D70</f>
        <v>578793.9</v>
      </c>
      <c r="BM46" s="188">
        <f t="shared" si="61"/>
        <v>45</v>
      </c>
      <c r="BN46" s="188">
        <f t="shared" ref="BN46:CA46" si="64">BN34</f>
        <v>0</v>
      </c>
      <c r="BO46" s="188">
        <f t="shared" si="64"/>
        <v>0</v>
      </c>
      <c r="BP46" s="188">
        <f t="shared" si="64"/>
        <v>0</v>
      </c>
      <c r="BQ46" s="188">
        <f t="shared" si="64"/>
        <v>0</v>
      </c>
      <c r="BR46" s="188">
        <f t="shared" si="64"/>
        <v>0</v>
      </c>
      <c r="BS46" s="188">
        <f t="shared" si="64"/>
        <v>0</v>
      </c>
      <c r="BT46" s="188">
        <f t="shared" si="64"/>
        <v>0</v>
      </c>
      <c r="BU46" s="188">
        <f t="shared" si="64"/>
        <v>0</v>
      </c>
      <c r="BV46" s="188">
        <f t="shared" si="64"/>
        <v>1</v>
      </c>
      <c r="BW46" s="188">
        <f t="shared" si="64"/>
        <v>0</v>
      </c>
      <c r="BX46" s="188">
        <f t="shared" si="64"/>
        <v>0</v>
      </c>
      <c r="BY46" s="188">
        <f t="shared" si="64"/>
        <v>0</v>
      </c>
      <c r="BZ46" s="188">
        <f t="shared" si="64"/>
        <v>0</v>
      </c>
      <c r="CA46" s="188">
        <f t="shared" si="64"/>
        <v>1</v>
      </c>
      <c r="CB46" s="188">
        <f t="shared" si="16"/>
        <v>1</v>
      </c>
      <c r="CC46" s="188">
        <f t="shared" si="20"/>
        <v>30</v>
      </c>
      <c r="CD46" s="121">
        <v>19</v>
      </c>
    </row>
    <row r="47" spans="1:82" s="188" customFormat="1" ht="15">
      <c r="A47" s="190">
        <v>41183</v>
      </c>
      <c r="B47" s="191">
        <f t="shared" si="52"/>
        <v>2012</v>
      </c>
      <c r="C47" s="186">
        <v>41801804.930999003</v>
      </c>
      <c r="D47" s="88">
        <f>('Customer Data'!$B71*2+'Customer Data'!$B74)/3</f>
        <v>77207.333333333328</v>
      </c>
      <c r="E47" s="188">
        <f ca="1">HLOOKUP($B47,CDM!$B$1:$Q$22,11,FALSE)/12</f>
        <v>1072052.9529829782</v>
      </c>
      <c r="F47" s="189">
        <f t="shared" ca="1" si="53"/>
        <v>42873857.88398198</v>
      </c>
      <c r="G47" s="186">
        <v>16318519.726548001</v>
      </c>
      <c r="H47" s="88">
        <f>('Customer Data'!$C71*2+'Customer Data'!$C74)/3</f>
        <v>6929.2222222222217</v>
      </c>
      <c r="I47" s="188">
        <f ca="1">HLOOKUP($B47,CDM!$B$1:$Q$22,12,FALSE)/12</f>
        <v>902076.07732077735</v>
      </c>
      <c r="J47" s="188">
        <f t="shared" ca="1" si="54"/>
        <v>17220595.803868778</v>
      </c>
      <c r="K47" s="186">
        <v>75399385.709463</v>
      </c>
      <c r="L47" s="186">
        <v>198453.85513899999</v>
      </c>
      <c r="M47" s="88">
        <f>('Customer Data'!$D71*2+'Customer Data'!$D74)/3</f>
        <v>1182.3333333333333</v>
      </c>
      <c r="N47" s="126">
        <f ca="1">HLOOKUP($B47,CDM!$B$1:$Q$22,13,FALSE)/12</f>
        <v>1066001.5767451741</v>
      </c>
      <c r="O47" s="188">
        <f t="shared" ca="1" si="38"/>
        <v>75854816.158008024</v>
      </c>
      <c r="P47" s="188">
        <f t="shared" si="39"/>
        <v>196458.555139</v>
      </c>
      <c r="Q47" s="188">
        <v>211400.36619446852</v>
      </c>
      <c r="R47" s="188">
        <v>510.8</v>
      </c>
      <c r="S47" s="229">
        <v>0</v>
      </c>
      <c r="T47" s="189">
        <f t="shared" ca="1" si="10"/>
        <v>75643415.791813552</v>
      </c>
      <c r="U47" s="156">
        <f t="shared" si="11"/>
        <v>195947.75513900002</v>
      </c>
      <c r="V47" s="186">
        <v>3663374.5062910002</v>
      </c>
      <c r="W47" s="186">
        <v>10268.290080000001</v>
      </c>
      <c r="X47" s="88">
        <f>('Customer Data'!$E71*2+'Customer Data'!$E74)/3</f>
        <v>3</v>
      </c>
      <c r="Y47" s="126">
        <f ca="1">HLOOKUP($B47,CDM!$B$1:$Q$22,14,FALSE)/12</f>
        <v>2338.7152196832499</v>
      </c>
      <c r="Z47" s="188">
        <f t="shared" ca="1" si="55"/>
        <v>3665713.2215106837</v>
      </c>
      <c r="AA47" s="186">
        <v>25823375.740818001</v>
      </c>
      <c r="AB47" s="186">
        <v>45954.181079000002</v>
      </c>
      <c r="AC47" s="88">
        <f>('Customer Data'!$F71*2+'Customer Data'!$F74)/3</f>
        <v>6</v>
      </c>
      <c r="AD47" s="126">
        <f ca="1">HLOOKUP($B47,CDM!$B$1:$Q$22,15,FALSE)/12</f>
        <v>217152.49903237671</v>
      </c>
      <c r="AE47" s="188">
        <f t="shared" ca="1" si="56"/>
        <v>26040528.23985038</v>
      </c>
      <c r="AF47" s="186">
        <v>22521062.833634</v>
      </c>
      <c r="AG47" s="186">
        <v>42830.127647999994</v>
      </c>
      <c r="AH47" s="88">
        <f>('Customer Data'!$G71*2+'Customer Data'!$G74)/3</f>
        <v>2</v>
      </c>
      <c r="AI47" s="126">
        <f ca="1">HLOOKUP($B47,CDM!$B$1:$Q$22,16,FALSE)/12</f>
        <v>269401.81059651141</v>
      </c>
      <c r="AJ47" s="188">
        <f t="shared" ca="1" si="57"/>
        <v>22790464.644230511</v>
      </c>
      <c r="AK47" s="188">
        <f t="shared" si="43"/>
        <v>42830.127647999994</v>
      </c>
      <c r="AL47" s="188">
        <v>610571.12820013624</v>
      </c>
      <c r="AM47" s="188">
        <v>1995.3</v>
      </c>
      <c r="AN47" s="156">
        <v>4149865.5297636106</v>
      </c>
      <c r="AO47" s="156">
        <v>7349.4</v>
      </c>
      <c r="AP47" s="156">
        <v>0</v>
      </c>
      <c r="AQ47" s="156">
        <f t="shared" ca="1" si="13"/>
        <v>21890662.71008677</v>
      </c>
      <c r="AR47" s="156">
        <f t="shared" si="14"/>
        <v>38604.781079</v>
      </c>
      <c r="AS47" s="186">
        <v>3910496.1567770001</v>
      </c>
      <c r="AT47" s="186">
        <v>6253.2518399999999</v>
      </c>
      <c r="AU47" s="88">
        <f>('Customer Data'!$H71*2+'Customer Data'!$H74)/3</f>
        <v>1</v>
      </c>
      <c r="AV47" s="126">
        <f ca="1">HLOOKUP($B47,CDM!$B$1:$Q$22,17,FALSE)/12</f>
        <v>2291.1592954360949</v>
      </c>
      <c r="AW47" s="188">
        <f t="shared" ca="1" si="58"/>
        <v>3912787.316072436</v>
      </c>
      <c r="AX47" s="105">
        <v>1632717.273699</v>
      </c>
      <c r="AY47" s="105">
        <v>4131.63</v>
      </c>
      <c r="AZ47" s="88">
        <f>('Customer Data'!$I71*2+'Customer Data'!$I74)/3</f>
        <v>23365</v>
      </c>
      <c r="BA47" s="126">
        <f ca="1">HLOOKUP($B47,CDM!$B$1:$Q$22,18,FALSE)/12</f>
        <v>0</v>
      </c>
      <c r="BB47" s="188">
        <f t="shared" ca="1" si="59"/>
        <v>4131.63</v>
      </c>
      <c r="BC47" s="186">
        <v>76445.490944999998</v>
      </c>
      <c r="BD47" s="186">
        <v>220.32857899999999</v>
      </c>
      <c r="BE47" s="188">
        <f>('Customer Data'!$J71*2+'Customer Data'!$J74*1)/3</f>
        <v>657</v>
      </c>
      <c r="BF47" s="105">
        <v>287307.45068399998</v>
      </c>
      <c r="BG47" s="188">
        <f>('Customer Data'!$K71*2+'Customer Data'!$K74*1)/3</f>
        <v>793</v>
      </c>
      <c r="BH47" s="188">
        <f>Weather!B215</f>
        <v>207.19999999999996</v>
      </c>
      <c r="BI47" s="188">
        <f>Weather!$C215</f>
        <v>5.6</v>
      </c>
      <c r="BJ47" s="166">
        <f>Employment!B71</f>
        <v>6710</v>
      </c>
      <c r="BK47" s="188">
        <f>Employment!$C71</f>
        <v>154.30000000000001</v>
      </c>
      <c r="BL47" s="188">
        <f>Employment!D71</f>
        <v>578793.9</v>
      </c>
      <c r="BM47" s="188">
        <f t="shared" si="61"/>
        <v>46</v>
      </c>
      <c r="BN47" s="188">
        <f t="shared" ref="BN47:CA47" si="65">BN35</f>
        <v>0</v>
      </c>
      <c r="BO47" s="188">
        <f t="shared" si="65"/>
        <v>0</v>
      </c>
      <c r="BP47" s="188">
        <f t="shared" si="65"/>
        <v>0</v>
      </c>
      <c r="BQ47" s="188">
        <f t="shared" si="65"/>
        <v>0</v>
      </c>
      <c r="BR47" s="188">
        <f t="shared" si="65"/>
        <v>0</v>
      </c>
      <c r="BS47" s="188">
        <f t="shared" si="65"/>
        <v>0</v>
      </c>
      <c r="BT47" s="188">
        <f t="shared" si="65"/>
        <v>0</v>
      </c>
      <c r="BU47" s="188">
        <f t="shared" si="65"/>
        <v>0</v>
      </c>
      <c r="BV47" s="188">
        <f t="shared" si="65"/>
        <v>0</v>
      </c>
      <c r="BW47" s="188">
        <f t="shared" si="65"/>
        <v>1</v>
      </c>
      <c r="BX47" s="188">
        <f t="shared" si="65"/>
        <v>0</v>
      </c>
      <c r="BY47" s="188">
        <f t="shared" si="65"/>
        <v>0</v>
      </c>
      <c r="BZ47" s="188">
        <f t="shared" si="65"/>
        <v>0</v>
      </c>
      <c r="CA47" s="188">
        <f t="shared" si="65"/>
        <v>1</v>
      </c>
      <c r="CB47" s="188">
        <f t="shared" si="16"/>
        <v>1</v>
      </c>
      <c r="CC47" s="188">
        <f t="shared" si="20"/>
        <v>31</v>
      </c>
      <c r="CD47" s="121">
        <v>22</v>
      </c>
    </row>
    <row r="48" spans="1:82" s="188" customFormat="1" ht="15">
      <c r="A48" s="190">
        <v>41214</v>
      </c>
      <c r="B48" s="191">
        <f t="shared" si="52"/>
        <v>2012</v>
      </c>
      <c r="C48" s="186">
        <v>44569377.168984003</v>
      </c>
      <c r="D48" s="88">
        <f>('Customer Data'!$B71+'Customer Data'!$B74*2)/3</f>
        <v>77275.666666666672</v>
      </c>
      <c r="E48" s="188">
        <f ca="1">HLOOKUP($B48,CDM!$B$1:$Q$22,11,FALSE)/12</f>
        <v>1072052.9529829782</v>
      </c>
      <c r="F48" s="189">
        <f t="shared" ca="1" si="53"/>
        <v>45641430.12196698</v>
      </c>
      <c r="G48" s="186">
        <v>16766402.299411001</v>
      </c>
      <c r="H48" s="88">
        <f>('Customer Data'!$C71+'Customer Data'!$C74*2)/3</f>
        <v>6932.1111111111104</v>
      </c>
      <c r="I48" s="188">
        <f ca="1">HLOOKUP($B48,CDM!$B$1:$Q$22,12,FALSE)/12</f>
        <v>902076.07732077735</v>
      </c>
      <c r="J48" s="188">
        <f t="shared" ca="1" si="54"/>
        <v>17668478.376731779</v>
      </c>
      <c r="K48" s="186">
        <v>76436117.060878992</v>
      </c>
      <c r="L48" s="186">
        <v>200627.407282</v>
      </c>
      <c r="M48" s="88">
        <f>('Customer Data'!$D71+'Customer Data'!$D74*2)/3</f>
        <v>1180.6666666666667</v>
      </c>
      <c r="N48" s="126">
        <f ca="1">HLOOKUP($B48,CDM!$B$1:$Q$22,13,FALSE)/12</f>
        <v>1066001.5767451741</v>
      </c>
      <c r="O48" s="188">
        <f t="shared" ca="1" si="38"/>
        <v>76825179.447514161</v>
      </c>
      <c r="P48" s="188">
        <f t="shared" si="39"/>
        <v>198472.50728200001</v>
      </c>
      <c r="Q48" s="188">
        <v>205321.58620025055</v>
      </c>
      <c r="R48" s="188">
        <v>525.29999999999995</v>
      </c>
      <c r="S48" s="229">
        <v>0</v>
      </c>
      <c r="T48" s="189">
        <f t="shared" ca="1" si="10"/>
        <v>76619857.861313909</v>
      </c>
      <c r="U48" s="156">
        <f t="shared" si="11"/>
        <v>197947.20728200002</v>
      </c>
      <c r="V48" s="186">
        <v>4329998.1374479998</v>
      </c>
      <c r="W48" s="186">
        <v>11098.350297000001</v>
      </c>
      <c r="X48" s="88">
        <f>('Customer Data'!$E71+'Customer Data'!$E74*2)/3</f>
        <v>3</v>
      </c>
      <c r="Y48" s="126">
        <f ca="1">HLOOKUP($B48,CDM!$B$1:$Q$22,14,FALSE)/12</f>
        <v>2338.7152196832499</v>
      </c>
      <c r="Z48" s="188">
        <f t="shared" ca="1" si="55"/>
        <v>4332336.8526676828</v>
      </c>
      <c r="AA48" s="186">
        <v>24305195.422054999</v>
      </c>
      <c r="AB48" s="186">
        <v>45433.457022000002</v>
      </c>
      <c r="AC48" s="88">
        <f>('Customer Data'!$F71+'Customer Data'!$F74*2)/3</f>
        <v>6</v>
      </c>
      <c r="AD48" s="126">
        <f ca="1">HLOOKUP($B48,CDM!$B$1:$Q$22,15,FALSE)/12</f>
        <v>217152.49903237671</v>
      </c>
      <c r="AE48" s="188">
        <f t="shared" ca="1" si="56"/>
        <v>24522347.921087377</v>
      </c>
      <c r="AF48" s="186">
        <v>22605704.769584</v>
      </c>
      <c r="AG48" s="186">
        <v>41128.333685999998</v>
      </c>
      <c r="AH48" s="88">
        <f>('Customer Data'!$G71+'Customer Data'!$G74*2)/3</f>
        <v>2</v>
      </c>
      <c r="AI48" s="126">
        <f ca="1">HLOOKUP($B48,CDM!$B$1:$Q$22,16,FALSE)/12</f>
        <v>269401.81059651141</v>
      </c>
      <c r="AJ48" s="188">
        <f t="shared" ca="1" si="57"/>
        <v>22875106.580180511</v>
      </c>
      <c r="AK48" s="188">
        <f t="shared" si="43"/>
        <v>41128.333685999998</v>
      </c>
      <c r="AL48" s="188">
        <v>676939.19010999706</v>
      </c>
      <c r="AM48" s="188">
        <v>2154.9</v>
      </c>
      <c r="AN48" s="156">
        <v>4114580.0276355371</v>
      </c>
      <c r="AO48" s="156">
        <v>7179.3</v>
      </c>
      <c r="AP48" s="156">
        <v>0</v>
      </c>
      <c r="AQ48" s="156">
        <f t="shared" ca="1" si="13"/>
        <v>20407767.89345184</v>
      </c>
      <c r="AR48" s="156">
        <f t="shared" si="14"/>
        <v>38254.157021999999</v>
      </c>
      <c r="AS48" s="186">
        <v>3982512.1584109999</v>
      </c>
      <c r="AT48" s="186">
        <v>6368.8214699999999</v>
      </c>
      <c r="AU48" s="88">
        <f>('Customer Data'!$H71+'Customer Data'!$H74*2)/3</f>
        <v>1</v>
      </c>
      <c r="AV48" s="126">
        <f ca="1">HLOOKUP($B48,CDM!$B$1:$Q$22,17,FALSE)/12</f>
        <v>2291.1592954360949</v>
      </c>
      <c r="AW48" s="188">
        <f t="shared" ca="1" si="58"/>
        <v>3984803.3177064359</v>
      </c>
      <c r="AX48" s="105">
        <v>1724885.931692</v>
      </c>
      <c r="AY48" s="105">
        <v>4131.63</v>
      </c>
      <c r="AZ48" s="88">
        <f>('Customer Data'!$I71+'Customer Data'!$I74*2)/3</f>
        <v>23365</v>
      </c>
      <c r="BA48" s="126">
        <f ca="1">HLOOKUP($B48,CDM!$B$1:$Q$22,18,FALSE)/12</f>
        <v>0</v>
      </c>
      <c r="BB48" s="188">
        <f t="shared" ca="1" si="59"/>
        <v>4131.63</v>
      </c>
      <c r="BC48" s="186">
        <v>73979.507366000005</v>
      </c>
      <c r="BD48" s="186">
        <v>206.01866100000001</v>
      </c>
      <c r="BE48" s="188">
        <f>('Customer Data'!$J71*1+'Customer Data'!$J74*2)/3</f>
        <v>656</v>
      </c>
      <c r="BF48" s="105">
        <v>277502.87589700002</v>
      </c>
      <c r="BG48" s="188">
        <f>('Customer Data'!$K71*1+'Customer Data'!$K74*2)/3</f>
        <v>793</v>
      </c>
      <c r="BH48" s="188">
        <f>Weather!B216</f>
        <v>405.49999999999994</v>
      </c>
      <c r="BI48" s="188">
        <f>Weather!$C216</f>
        <v>0</v>
      </c>
      <c r="BJ48" s="166">
        <f>Employment!B72</f>
        <v>6722.4</v>
      </c>
      <c r="BK48" s="188">
        <f>Employment!$C72</f>
        <v>153.80000000000001</v>
      </c>
      <c r="BL48" s="188">
        <f>Employment!D72</f>
        <v>578793.9</v>
      </c>
      <c r="BM48" s="188">
        <f t="shared" si="61"/>
        <v>47</v>
      </c>
      <c r="BN48" s="188">
        <f t="shared" ref="BN48:CA48" si="66">BN36</f>
        <v>0</v>
      </c>
      <c r="BO48" s="188">
        <f t="shared" si="66"/>
        <v>0</v>
      </c>
      <c r="BP48" s="188">
        <f t="shared" si="66"/>
        <v>0</v>
      </c>
      <c r="BQ48" s="188">
        <f t="shared" si="66"/>
        <v>0</v>
      </c>
      <c r="BR48" s="188">
        <f t="shared" si="66"/>
        <v>0</v>
      </c>
      <c r="BS48" s="188">
        <f t="shared" si="66"/>
        <v>0</v>
      </c>
      <c r="BT48" s="188">
        <f t="shared" si="66"/>
        <v>0</v>
      </c>
      <c r="BU48" s="188">
        <f t="shared" si="66"/>
        <v>0</v>
      </c>
      <c r="BV48" s="188">
        <f t="shared" si="66"/>
        <v>0</v>
      </c>
      <c r="BW48" s="188">
        <f t="shared" si="66"/>
        <v>0</v>
      </c>
      <c r="BX48" s="188">
        <f t="shared" si="66"/>
        <v>1</v>
      </c>
      <c r="BY48" s="188">
        <f t="shared" si="66"/>
        <v>0</v>
      </c>
      <c r="BZ48" s="188">
        <f t="shared" si="66"/>
        <v>0</v>
      </c>
      <c r="CA48" s="188">
        <f t="shared" si="66"/>
        <v>1</v>
      </c>
      <c r="CB48" s="188">
        <f t="shared" si="16"/>
        <v>1</v>
      </c>
      <c r="CC48" s="188">
        <f t="shared" si="20"/>
        <v>30</v>
      </c>
      <c r="CD48" s="121">
        <v>22</v>
      </c>
    </row>
    <row r="49" spans="1:82" s="188" customFormat="1" ht="15">
      <c r="A49" s="190">
        <v>41244</v>
      </c>
      <c r="B49" s="191">
        <f t="shared" si="52"/>
        <v>2012</v>
      </c>
      <c r="C49" s="186">
        <v>51566047.672842003</v>
      </c>
      <c r="D49" s="88">
        <f>'Customer Data'!$B74</f>
        <v>77344</v>
      </c>
      <c r="E49" s="188">
        <f ca="1">HLOOKUP($B49,CDM!$B$1:$Q$22,11,FALSE)/12</f>
        <v>1072052.9529829782</v>
      </c>
      <c r="F49" s="189">
        <f t="shared" ca="1" si="53"/>
        <v>52638100.62582498</v>
      </c>
      <c r="G49" s="186">
        <v>18138752.459984995</v>
      </c>
      <c r="H49" s="88">
        <f>'Customer Data'!$C74</f>
        <v>6935</v>
      </c>
      <c r="I49" s="188">
        <f ca="1">HLOOKUP($B49,CDM!$B$1:$Q$22,12,FALSE)/12</f>
        <v>902076.07732077735</v>
      </c>
      <c r="J49" s="188">
        <f t="shared" ca="1" si="54"/>
        <v>19040828.537305772</v>
      </c>
      <c r="K49" s="186">
        <v>77875364.111755997</v>
      </c>
      <c r="L49" s="186">
        <v>178592.98998299998</v>
      </c>
      <c r="M49" s="88">
        <f>'Customer Data'!$D74</f>
        <v>1179</v>
      </c>
      <c r="N49" s="126">
        <f ca="1">HLOOKUP($B49,CDM!$B$1:$Q$22,13,FALSE)/12</f>
        <v>1066001.5767451741</v>
      </c>
      <c r="O49" s="188">
        <f t="shared" ca="1" si="38"/>
        <v>78089232.601768956</v>
      </c>
      <c r="P49" s="188">
        <f t="shared" si="39"/>
        <v>176410.58998299998</v>
      </c>
      <c r="Q49" s="188">
        <v>189669.50949214605</v>
      </c>
      <c r="R49" s="188">
        <v>443</v>
      </c>
      <c r="S49" s="229">
        <v>0</v>
      </c>
      <c r="T49" s="189">
        <f t="shared" ca="1" si="10"/>
        <v>77899563.092276812</v>
      </c>
      <c r="U49" s="156">
        <f t="shared" si="11"/>
        <v>175967.58998299998</v>
      </c>
      <c r="V49" s="186">
        <v>3428960.1264900002</v>
      </c>
      <c r="W49" s="186">
        <v>10282.746717</v>
      </c>
      <c r="X49" s="88">
        <f>'Customer Data'!$E74</f>
        <v>3</v>
      </c>
      <c r="Y49" s="126">
        <f ca="1">HLOOKUP($B49,CDM!$B$1:$Q$22,14,FALSE)/12</f>
        <v>2338.7152196832499</v>
      </c>
      <c r="Z49" s="188">
        <f t="shared" ca="1" si="55"/>
        <v>3431298.8417096836</v>
      </c>
      <c r="AA49" s="186">
        <v>22298723.747033</v>
      </c>
      <c r="AB49" s="186">
        <v>45221.228009999999</v>
      </c>
      <c r="AC49" s="88">
        <f>'Customer Data'!$F74</f>
        <v>6</v>
      </c>
      <c r="AD49" s="126">
        <f ca="1">HLOOKUP($B49,CDM!$B$1:$Q$22,15,FALSE)/12</f>
        <v>217152.49903237671</v>
      </c>
      <c r="AE49" s="188">
        <f t="shared" ca="1" si="56"/>
        <v>22515876.246065378</v>
      </c>
      <c r="AF49" s="186">
        <v>18253997.966922</v>
      </c>
      <c r="AG49" s="186">
        <v>41254.802027999998</v>
      </c>
      <c r="AH49" s="88">
        <f>'Customer Data'!$G74</f>
        <v>2</v>
      </c>
      <c r="AI49" s="126">
        <f ca="1">HLOOKUP($B49,CDM!$B$1:$Q$22,16,FALSE)/12</f>
        <v>269401.81059651141</v>
      </c>
      <c r="AJ49" s="188">
        <f t="shared" ca="1" si="57"/>
        <v>18523399.777518511</v>
      </c>
      <c r="AK49" s="188">
        <f t="shared" si="43"/>
        <v>41254.802027999998</v>
      </c>
      <c r="AL49" s="188">
        <v>852133.08673221048</v>
      </c>
      <c r="AM49" s="188">
        <v>2182.4</v>
      </c>
      <c r="AN49" s="156">
        <v>3198587.3522951663</v>
      </c>
      <c r="AO49" s="156">
        <v>7013</v>
      </c>
      <c r="AP49" s="156">
        <v>0</v>
      </c>
      <c r="AQ49" s="156">
        <f t="shared" ca="1" si="13"/>
        <v>19317288.89377021</v>
      </c>
      <c r="AR49" s="156">
        <f t="shared" si="14"/>
        <v>38208.228009999999</v>
      </c>
      <c r="AS49" s="186">
        <v>3159383.2112480002</v>
      </c>
      <c r="AT49" s="186">
        <v>6452.8358399999997</v>
      </c>
      <c r="AU49" s="88">
        <f>'Customer Data'!$H74</f>
        <v>1</v>
      </c>
      <c r="AV49" s="126">
        <f ca="1">HLOOKUP($B49,CDM!$B$1:$Q$22,17,FALSE)/12</f>
        <v>2291.1592954360949</v>
      </c>
      <c r="AW49" s="188">
        <f t="shared" ca="1" si="58"/>
        <v>3161674.3705434361</v>
      </c>
      <c r="AX49" s="105">
        <v>1885226.571852</v>
      </c>
      <c r="AY49" s="105">
        <v>4132.8100000000004</v>
      </c>
      <c r="AZ49" s="88">
        <f>'Customer Data'!$I74</f>
        <v>23365</v>
      </c>
      <c r="BA49" s="126">
        <f ca="1">HLOOKUP($B49,CDM!$B$1:$Q$22,18,FALSE)/12</f>
        <v>0</v>
      </c>
      <c r="BB49" s="188">
        <f t="shared" ca="1" si="59"/>
        <v>4132.8100000000004</v>
      </c>
      <c r="BC49" s="186">
        <v>76396.071557000003</v>
      </c>
      <c r="BD49" s="186">
        <v>185.90379999999999</v>
      </c>
      <c r="BE49" s="188">
        <f>'Customer Data'!$J74</f>
        <v>655</v>
      </c>
      <c r="BF49" s="105">
        <v>287127.41871100001</v>
      </c>
      <c r="BG49" s="188">
        <f>'Customer Data'!$K74</f>
        <v>793</v>
      </c>
      <c r="BH49" s="188">
        <f>Weather!B217</f>
        <v>484.20000000000005</v>
      </c>
      <c r="BI49" s="188">
        <f>Weather!$C217</f>
        <v>0</v>
      </c>
      <c r="BJ49" s="166">
        <f>Employment!B73</f>
        <v>6740.6</v>
      </c>
      <c r="BK49" s="188">
        <f>Employment!$C73</f>
        <v>152.9</v>
      </c>
      <c r="BL49" s="188">
        <f>Employment!D73</f>
        <v>578793.9</v>
      </c>
      <c r="BM49" s="188">
        <f t="shared" si="61"/>
        <v>48</v>
      </c>
      <c r="BN49" s="188">
        <f t="shared" ref="BN49:CA49" si="67">BN37</f>
        <v>0</v>
      </c>
      <c r="BO49" s="188">
        <f t="shared" si="67"/>
        <v>0</v>
      </c>
      <c r="BP49" s="188">
        <f t="shared" si="67"/>
        <v>0</v>
      </c>
      <c r="BQ49" s="188">
        <f t="shared" si="67"/>
        <v>0</v>
      </c>
      <c r="BR49" s="188">
        <f t="shared" si="67"/>
        <v>0</v>
      </c>
      <c r="BS49" s="188">
        <f t="shared" si="67"/>
        <v>0</v>
      </c>
      <c r="BT49" s="188">
        <f t="shared" si="67"/>
        <v>0</v>
      </c>
      <c r="BU49" s="188">
        <f t="shared" si="67"/>
        <v>0</v>
      </c>
      <c r="BV49" s="188">
        <f t="shared" si="67"/>
        <v>0</v>
      </c>
      <c r="BW49" s="188">
        <f t="shared" si="67"/>
        <v>0</v>
      </c>
      <c r="BX49" s="188">
        <f t="shared" si="67"/>
        <v>0</v>
      </c>
      <c r="BY49" s="188">
        <f t="shared" si="67"/>
        <v>1</v>
      </c>
      <c r="BZ49" s="188">
        <f t="shared" si="67"/>
        <v>0</v>
      </c>
      <c r="CA49" s="188">
        <f t="shared" si="67"/>
        <v>0</v>
      </c>
      <c r="CB49" s="188">
        <f t="shared" si="16"/>
        <v>0</v>
      </c>
      <c r="CC49" s="188">
        <f t="shared" si="20"/>
        <v>31</v>
      </c>
      <c r="CD49" s="121">
        <v>19</v>
      </c>
    </row>
    <row r="50" spans="1:82" s="188" customFormat="1" ht="15">
      <c r="A50" s="190">
        <v>41275</v>
      </c>
      <c r="B50" s="191">
        <f t="shared" si="52"/>
        <v>2013</v>
      </c>
      <c r="C50" s="186">
        <v>53652899.342782997</v>
      </c>
      <c r="D50" s="88">
        <f>('Customer Data'!$B74*2+'Customer Data'!$B77)/3</f>
        <v>77346.666666666672</v>
      </c>
      <c r="E50" s="188">
        <f ca="1">HLOOKUP($B50,CDM!$B$1:$Q$22,11,FALSE)/12</f>
        <v>1258456.7783805849</v>
      </c>
      <c r="F50" s="189">
        <f t="shared" ca="1" si="53"/>
        <v>54911356.121163584</v>
      </c>
      <c r="G50" s="186">
        <v>18942676.339496996</v>
      </c>
      <c r="H50" s="88">
        <f>('Customer Data'!$C74*2+'Customer Data'!$C77)/3</f>
        <v>6941.333333333333</v>
      </c>
      <c r="I50" s="188">
        <f ca="1">HLOOKUP($B50,CDM!$B$1:$Q$22,12,FALSE)/12</f>
        <v>975968.69863015693</v>
      </c>
      <c r="J50" s="188">
        <f t="shared" ca="1" si="54"/>
        <v>19918645.038127154</v>
      </c>
      <c r="K50" s="186">
        <v>85385371.439648002</v>
      </c>
      <c r="L50" s="186">
        <v>205011.85894000001</v>
      </c>
      <c r="M50" s="88">
        <f>('Customer Data'!$D74*2+'Customer Data'!$D77)/3</f>
        <v>1178.6666666666667</v>
      </c>
      <c r="N50" s="126">
        <f ca="1">HLOOKUP($B50,CDM!$B$1:$Q$22,13,FALSE)/12</f>
        <v>1684340.17549489</v>
      </c>
      <c r="O50" s="188">
        <f t="shared" ca="1" si="38"/>
        <v>86172794.297903538</v>
      </c>
      <c r="P50" s="188">
        <f t="shared" si="39"/>
        <v>202796.55894000002</v>
      </c>
      <c r="Q50" s="188">
        <v>204071.21518743376</v>
      </c>
      <c r="R50" s="188">
        <v>504.2</v>
      </c>
      <c r="S50" s="229">
        <v>0</v>
      </c>
      <c r="T50" s="189">
        <f t="shared" ca="1" si="10"/>
        <v>85968723.082716107</v>
      </c>
      <c r="U50" s="156">
        <f t="shared" si="11"/>
        <v>202292.35894000001</v>
      </c>
      <c r="V50" s="186">
        <v>3645495.2412959998</v>
      </c>
      <c r="W50" s="186">
        <v>9951.2909729999992</v>
      </c>
      <c r="X50" s="88">
        <f>('Customer Data'!$E74*2+'Customer Data'!$E77)/3</f>
        <v>3</v>
      </c>
      <c r="Y50" s="126">
        <f ca="1">HLOOKUP($B50,CDM!$B$1:$Q$22,14,FALSE)/12</f>
        <v>5297.0208632293334</v>
      </c>
      <c r="Z50" s="188">
        <f t="shared" ca="1" si="55"/>
        <v>3650792.2621592293</v>
      </c>
      <c r="AA50" s="186">
        <v>23417946.407063</v>
      </c>
      <c r="AB50" s="186">
        <v>41496.639725000008</v>
      </c>
      <c r="AC50" s="88">
        <f>('Customer Data'!$F74*2+'Customer Data'!$F77)/3</f>
        <v>6</v>
      </c>
      <c r="AD50" s="126">
        <f ca="1">HLOOKUP($B50,CDM!$B$1:$Q$22,15,FALSE)/12</f>
        <v>507506.52818861761</v>
      </c>
      <c r="AE50" s="188">
        <f t="shared" ca="1" si="56"/>
        <v>23925452.935251616</v>
      </c>
      <c r="AF50" s="186">
        <v>18216753.724354997</v>
      </c>
      <c r="AG50" s="186">
        <v>41114.656439999999</v>
      </c>
      <c r="AH50" s="88">
        <f>('Customer Data'!$G74*2+'Customer Data'!$G77)/3</f>
        <v>2</v>
      </c>
      <c r="AI50" s="126">
        <f ca="1">HLOOKUP($B50,CDM!$B$1:$Q$22,16,FALSE)/12</f>
        <v>756294.05477068387</v>
      </c>
      <c r="AJ50" s="188">
        <f t="shared" ca="1" si="57"/>
        <v>18973047.779125683</v>
      </c>
      <c r="AK50" s="188">
        <f t="shared" si="43"/>
        <v>41114.656439999999</v>
      </c>
      <c r="AL50" s="188">
        <v>896917.31723936531</v>
      </c>
      <c r="AM50" s="188">
        <v>2215.3000000000002</v>
      </c>
      <c r="AN50" s="156">
        <v>2940284.7917082133</v>
      </c>
      <c r="AO50" s="156">
        <v>4726.3</v>
      </c>
      <c r="AP50" s="156">
        <v>47023.712750000006</v>
      </c>
      <c r="AQ50" s="156">
        <f t="shared" ca="1" si="13"/>
        <v>20938144.430793405</v>
      </c>
      <c r="AR50" s="156">
        <f t="shared" si="14"/>
        <v>36770.339725000005</v>
      </c>
      <c r="AS50" s="186">
        <v>3961355.8702929998</v>
      </c>
      <c r="AT50" s="186">
        <v>6374.1437100000003</v>
      </c>
      <c r="AU50" s="88">
        <f>('Customer Data'!$H74*2+'Customer Data'!$H77)/3</f>
        <v>1</v>
      </c>
      <c r="AV50" s="126">
        <f ca="1">HLOOKUP($B50,CDM!$B$1:$Q$22,17,FALSE)/12</f>
        <v>4557.9122413323012</v>
      </c>
      <c r="AW50" s="188">
        <f t="shared" ca="1" si="58"/>
        <v>3965913.782534332</v>
      </c>
      <c r="AX50" s="105">
        <v>1825812.3369390001</v>
      </c>
      <c r="AY50" s="105">
        <v>4132.8100000000004</v>
      </c>
      <c r="AZ50" s="88">
        <f>('Customer Data'!$I74*2+'Customer Data'!$I77)/3</f>
        <v>23365</v>
      </c>
      <c r="BA50" s="126">
        <f ca="1">HLOOKUP($B50,CDM!$B$1:$Q$22,18,FALSE)/12</f>
        <v>0</v>
      </c>
      <c r="BB50" s="188">
        <f t="shared" ca="1" si="59"/>
        <v>4132.8100000000004</v>
      </c>
      <c r="BC50" s="186">
        <v>76016.714410999994</v>
      </c>
      <c r="BD50" s="186">
        <v>212.601946</v>
      </c>
      <c r="BE50" s="188">
        <f>('Customer Data'!$J74*2+'Customer Data'!$J77*1)/3</f>
        <v>652</v>
      </c>
      <c r="BF50" s="105">
        <v>286406.28584500001</v>
      </c>
      <c r="BG50" s="188">
        <f>('Customer Data'!$K74*2+'Customer Data'!$K77*1)/3</f>
        <v>793</v>
      </c>
      <c r="BH50" s="188">
        <f>Weather!B218</f>
        <v>598.19999999999993</v>
      </c>
      <c r="BI50" s="188">
        <f>Weather!$C218</f>
        <v>0</v>
      </c>
      <c r="BJ50" s="166">
        <f>Employment!B74</f>
        <v>6758.8</v>
      </c>
      <c r="BK50" s="188">
        <f>Employment!$C74</f>
        <v>151.4</v>
      </c>
      <c r="BL50" s="188">
        <f>Employment!D74</f>
        <v>586913</v>
      </c>
      <c r="BM50" s="188">
        <f t="shared" si="61"/>
        <v>49</v>
      </c>
      <c r="BN50" s="188">
        <f t="shared" ref="BN50:CA50" si="68">BN38</f>
        <v>1</v>
      </c>
      <c r="BO50" s="188">
        <f t="shared" si="68"/>
        <v>0</v>
      </c>
      <c r="BP50" s="188">
        <f t="shared" si="68"/>
        <v>0</v>
      </c>
      <c r="BQ50" s="188">
        <f t="shared" si="68"/>
        <v>0</v>
      </c>
      <c r="BR50" s="188">
        <f t="shared" si="68"/>
        <v>0</v>
      </c>
      <c r="BS50" s="188">
        <f t="shared" si="68"/>
        <v>0</v>
      </c>
      <c r="BT50" s="188">
        <f t="shared" si="68"/>
        <v>0</v>
      </c>
      <c r="BU50" s="188">
        <f t="shared" si="68"/>
        <v>0</v>
      </c>
      <c r="BV50" s="188">
        <f t="shared" si="68"/>
        <v>0</v>
      </c>
      <c r="BW50" s="188">
        <f t="shared" si="68"/>
        <v>0</v>
      </c>
      <c r="BX50" s="188">
        <f t="shared" si="68"/>
        <v>0</v>
      </c>
      <c r="BY50" s="188">
        <f t="shared" si="68"/>
        <v>0</v>
      </c>
      <c r="BZ50" s="188">
        <f t="shared" si="68"/>
        <v>0</v>
      </c>
      <c r="CA50" s="188">
        <f t="shared" si="68"/>
        <v>0</v>
      </c>
      <c r="CB50" s="188">
        <f t="shared" si="16"/>
        <v>0</v>
      </c>
      <c r="CC50" s="188">
        <f>CC2</f>
        <v>31</v>
      </c>
      <c r="CD50" s="121">
        <v>22</v>
      </c>
    </row>
    <row r="51" spans="1:82" s="188" customFormat="1" ht="15">
      <c r="A51" s="190">
        <v>41306</v>
      </c>
      <c r="B51" s="191">
        <f t="shared" si="52"/>
        <v>2013</v>
      </c>
      <c r="C51" s="186">
        <v>47495304.415831</v>
      </c>
      <c r="D51" s="88">
        <f>('Customer Data'!$B74+'Customer Data'!$B77*2)/3</f>
        <v>77349.333333333328</v>
      </c>
      <c r="E51" s="188">
        <f ca="1">HLOOKUP($B51,CDM!$B$1:$Q$22,11,FALSE)/12</f>
        <v>1258456.7783805849</v>
      </c>
      <c r="F51" s="189">
        <f t="shared" ca="1" si="53"/>
        <v>48753761.194211587</v>
      </c>
      <c r="G51" s="186">
        <v>17503053.729093</v>
      </c>
      <c r="H51" s="88">
        <f>('Customer Data'!$C74+'Customer Data'!$C77*2)/3</f>
        <v>6947.666666666667</v>
      </c>
      <c r="I51" s="188">
        <f ca="1">HLOOKUP($B51,CDM!$B$1:$Q$22,12,FALSE)/12</f>
        <v>975968.69863015693</v>
      </c>
      <c r="J51" s="188">
        <f t="shared" ca="1" si="54"/>
        <v>18479022.427723158</v>
      </c>
      <c r="K51" s="186">
        <v>79205892.548264995</v>
      </c>
      <c r="L51" s="186">
        <v>200599.50826100004</v>
      </c>
      <c r="M51" s="88">
        <f>('Customer Data'!$D74+'Customer Data'!$D77*2)/3</f>
        <v>1178.3333333333333</v>
      </c>
      <c r="N51" s="126">
        <f ca="1">HLOOKUP($B51,CDM!$B$1:$Q$22,13,FALSE)/12</f>
        <v>1684340.17549489</v>
      </c>
      <c r="O51" s="188">
        <f t="shared" ca="1" si="38"/>
        <v>80116229.569861323</v>
      </c>
      <c r="P51" s="188">
        <f t="shared" si="39"/>
        <v>198368.70826100005</v>
      </c>
      <c r="Q51" s="188">
        <v>200381.94083068322</v>
      </c>
      <c r="R51" s="188">
        <v>514.9</v>
      </c>
      <c r="S51" s="229">
        <v>0</v>
      </c>
      <c r="T51" s="189">
        <f t="shared" ca="1" si="10"/>
        <v>79915847.629030645</v>
      </c>
      <c r="U51" s="156">
        <f t="shared" si="11"/>
        <v>197853.80826100006</v>
      </c>
      <c r="V51" s="186">
        <v>3154952.296017</v>
      </c>
      <c r="W51" s="186">
        <v>9508.9083929999997</v>
      </c>
      <c r="X51" s="88">
        <f>('Customer Data'!$E74+'Customer Data'!$E77*2)/3</f>
        <v>3</v>
      </c>
      <c r="Y51" s="126">
        <f ca="1">HLOOKUP($B51,CDM!$B$1:$Q$22,14,FALSE)/12</f>
        <v>5297.0208632293334</v>
      </c>
      <c r="Z51" s="188">
        <f t="shared" ca="1" si="55"/>
        <v>3160249.3168802294</v>
      </c>
      <c r="AA51" s="186">
        <v>21567392.041109003</v>
      </c>
      <c r="AB51" s="186">
        <v>43248.446597000002</v>
      </c>
      <c r="AC51" s="88">
        <f>('Customer Data'!$F74+'Customer Data'!$F77*2)/3</f>
        <v>6</v>
      </c>
      <c r="AD51" s="126">
        <f ca="1">HLOOKUP($B51,CDM!$B$1:$Q$22,15,FALSE)/12</f>
        <v>507506.52818861761</v>
      </c>
      <c r="AE51" s="188">
        <f t="shared" ca="1" si="56"/>
        <v>22074898.569297619</v>
      </c>
      <c r="AF51" s="186">
        <v>20302596.504427001</v>
      </c>
      <c r="AG51" s="186">
        <v>41501.533986000002</v>
      </c>
      <c r="AH51" s="88">
        <f>('Customer Data'!$G74+'Customer Data'!$G77*2)/3</f>
        <v>2</v>
      </c>
      <c r="AI51" s="126">
        <f ca="1">HLOOKUP($B51,CDM!$B$1:$Q$22,16,FALSE)/12</f>
        <v>756294.05477068387</v>
      </c>
      <c r="AJ51" s="188">
        <f t="shared" ca="1" si="57"/>
        <v>21058890.559197687</v>
      </c>
      <c r="AK51" s="188">
        <f t="shared" si="43"/>
        <v>41501.533986000002</v>
      </c>
      <c r="AL51" s="188">
        <v>774003.15389856894</v>
      </c>
      <c r="AM51" s="188">
        <v>2230.8000000000002</v>
      </c>
      <c r="AN51" s="156">
        <v>2712054.7845204389</v>
      </c>
      <c r="AO51" s="156">
        <v>5047.2</v>
      </c>
      <c r="AP51" s="156">
        <v>47023.712750000006</v>
      </c>
      <c r="AQ51" s="156">
        <f t="shared" ca="1" si="13"/>
        <v>19315820.07202718</v>
      </c>
      <c r="AR51" s="156">
        <f t="shared" si="14"/>
        <v>38201.246597000005</v>
      </c>
      <c r="AS51" s="186">
        <v>3597797.4297870002</v>
      </c>
      <c r="AT51" s="186">
        <v>6471.8438399999995</v>
      </c>
      <c r="AU51" s="88">
        <f>('Customer Data'!$H74+'Customer Data'!$H77*2)/3</f>
        <v>1</v>
      </c>
      <c r="AV51" s="126">
        <f ca="1">HLOOKUP($B51,CDM!$B$1:$Q$22,17,FALSE)/12</f>
        <v>4557.9122413323012</v>
      </c>
      <c r="AW51" s="188">
        <f t="shared" ca="1" si="58"/>
        <v>3602355.3420283324</v>
      </c>
      <c r="AX51" s="105">
        <v>1530921.253887</v>
      </c>
      <c r="AY51" s="105">
        <v>4135.0600000000004</v>
      </c>
      <c r="AZ51" s="88">
        <f>('Customer Data'!$I74+'Customer Data'!$I77*2)/3</f>
        <v>23365</v>
      </c>
      <c r="BA51" s="126">
        <f ca="1">HLOOKUP($B51,CDM!$B$1:$Q$22,18,FALSE)/12</f>
        <v>0</v>
      </c>
      <c r="BB51" s="188">
        <f t="shared" ca="1" si="59"/>
        <v>4135.0600000000004</v>
      </c>
      <c r="BC51" s="186">
        <v>68397.384904999999</v>
      </c>
      <c r="BD51" s="186">
        <v>197.908725</v>
      </c>
      <c r="BE51" s="188">
        <f>('Customer Data'!$J74*1+'Customer Data'!$J77*2)/3</f>
        <v>649</v>
      </c>
      <c r="BF51" s="105">
        <v>258225.689136</v>
      </c>
      <c r="BG51" s="188">
        <f>('Customer Data'!$K74*1+'Customer Data'!$K77*2)/3</f>
        <v>793</v>
      </c>
      <c r="BH51" s="188">
        <f>Weather!B219</f>
        <v>574.80000000000007</v>
      </c>
      <c r="BI51" s="188">
        <f>Weather!$C219</f>
        <v>0</v>
      </c>
      <c r="BJ51" s="166">
        <f>Employment!B75</f>
        <v>6775.5</v>
      </c>
      <c r="BK51" s="188">
        <f>Employment!$C75</f>
        <v>151.9</v>
      </c>
      <c r="BL51" s="188">
        <f>Employment!D75</f>
        <v>586913</v>
      </c>
      <c r="BM51" s="188">
        <f t="shared" si="61"/>
        <v>50</v>
      </c>
      <c r="BN51" s="188">
        <f t="shared" ref="BN51:CA51" si="69">BN39</f>
        <v>0</v>
      </c>
      <c r="BO51" s="188">
        <f t="shared" si="69"/>
        <v>1</v>
      </c>
      <c r="BP51" s="188">
        <f t="shared" si="69"/>
        <v>0</v>
      </c>
      <c r="BQ51" s="188">
        <f t="shared" si="69"/>
        <v>0</v>
      </c>
      <c r="BR51" s="188">
        <f t="shared" si="69"/>
        <v>0</v>
      </c>
      <c r="BS51" s="188">
        <f t="shared" si="69"/>
        <v>0</v>
      </c>
      <c r="BT51" s="188">
        <f t="shared" si="69"/>
        <v>0</v>
      </c>
      <c r="BU51" s="188">
        <f t="shared" si="69"/>
        <v>0</v>
      </c>
      <c r="BV51" s="188">
        <f t="shared" si="69"/>
        <v>0</v>
      </c>
      <c r="BW51" s="188">
        <f t="shared" si="69"/>
        <v>0</v>
      </c>
      <c r="BX51" s="188">
        <f t="shared" si="69"/>
        <v>0</v>
      </c>
      <c r="BY51" s="188">
        <f t="shared" si="69"/>
        <v>0</v>
      </c>
      <c r="BZ51" s="188">
        <f t="shared" si="69"/>
        <v>0</v>
      </c>
      <c r="CA51" s="188">
        <f t="shared" si="69"/>
        <v>0</v>
      </c>
      <c r="CB51" s="188">
        <f t="shared" si="16"/>
        <v>0</v>
      </c>
      <c r="CC51" s="188">
        <f t="shared" ref="CC51:CC114" si="70">CC3</f>
        <v>28</v>
      </c>
      <c r="CD51" s="121">
        <v>19</v>
      </c>
    </row>
    <row r="52" spans="1:82" s="188" customFormat="1" ht="15">
      <c r="A52" s="190">
        <v>41334</v>
      </c>
      <c r="B52" s="191">
        <f t="shared" si="52"/>
        <v>2013</v>
      </c>
      <c r="C52" s="186">
        <v>48630667.323675998</v>
      </c>
      <c r="D52" s="88">
        <f>'Customer Data'!$B77</f>
        <v>77352</v>
      </c>
      <c r="E52" s="188">
        <f ca="1">HLOOKUP($B52,CDM!$B$1:$Q$22,11,FALSE)/12</f>
        <v>1258456.7783805849</v>
      </c>
      <c r="F52" s="189">
        <f t="shared" ca="1" si="53"/>
        <v>49889124.102056585</v>
      </c>
      <c r="G52" s="186">
        <v>18368567.875073001</v>
      </c>
      <c r="H52" s="88">
        <f>'Customer Data'!$C77</f>
        <v>6954</v>
      </c>
      <c r="I52" s="188">
        <f ca="1">HLOOKUP($B52,CDM!$B$1:$Q$22,12,FALSE)/12</f>
        <v>975968.69863015693</v>
      </c>
      <c r="J52" s="188">
        <f t="shared" ca="1" si="54"/>
        <v>19344536.573703159</v>
      </c>
      <c r="K52" s="186">
        <v>82400690.939106002</v>
      </c>
      <c r="L52" s="186">
        <v>197559.00108300001</v>
      </c>
      <c r="M52" s="88">
        <f>'Customer Data'!$D77</f>
        <v>1178</v>
      </c>
      <c r="N52" s="126">
        <f ca="1">HLOOKUP($B52,CDM!$B$1:$Q$22,13,FALSE)/12</f>
        <v>1684340.17549489</v>
      </c>
      <c r="O52" s="188">
        <f t="shared" ca="1" si="38"/>
        <v>83295056.131635845</v>
      </c>
      <c r="P52" s="188">
        <f t="shared" si="39"/>
        <v>195536.00108300001</v>
      </c>
      <c r="Q52" s="188">
        <v>196941.95817673701</v>
      </c>
      <c r="R52" s="188">
        <v>464.1</v>
      </c>
      <c r="S52" s="229">
        <v>0</v>
      </c>
      <c r="T52" s="189">
        <f t="shared" ca="1" si="10"/>
        <v>83098114.173459113</v>
      </c>
      <c r="U52" s="156">
        <f t="shared" si="11"/>
        <v>195071.901083</v>
      </c>
      <c r="V52" s="186">
        <v>2790274.2760089999</v>
      </c>
      <c r="W52" s="186">
        <v>9581.3627940000006</v>
      </c>
      <c r="X52" s="88">
        <f>'Customer Data'!$E77</f>
        <v>3</v>
      </c>
      <c r="Y52" s="126">
        <f ca="1">HLOOKUP($B52,CDM!$B$1:$Q$22,14,FALSE)/12</f>
        <v>5297.0208632293334</v>
      </c>
      <c r="Z52" s="188">
        <f t="shared" ca="1" si="55"/>
        <v>2795571.2968722293</v>
      </c>
      <c r="AA52" s="186">
        <v>25449665.937520001</v>
      </c>
      <c r="AB52" s="186">
        <v>42884.800301000003</v>
      </c>
      <c r="AC52" s="88">
        <f>'Customer Data'!$F77</f>
        <v>6</v>
      </c>
      <c r="AD52" s="126">
        <f ca="1">HLOOKUP($B52,CDM!$B$1:$Q$22,15,FALSE)/12</f>
        <v>507506.52818861761</v>
      </c>
      <c r="AE52" s="188">
        <f t="shared" ca="1" si="56"/>
        <v>25957172.465708617</v>
      </c>
      <c r="AF52" s="186">
        <v>20534827.472060002</v>
      </c>
      <c r="AG52" s="186">
        <v>41099.253228000001</v>
      </c>
      <c r="AH52" s="88">
        <f>'Customer Data'!$G77</f>
        <v>2</v>
      </c>
      <c r="AI52" s="126">
        <f ca="1">HLOOKUP($B52,CDM!$B$1:$Q$22,16,FALSE)/12</f>
        <v>756294.05477068387</v>
      </c>
      <c r="AJ52" s="188">
        <f t="shared" ca="1" si="57"/>
        <v>21291121.526830688</v>
      </c>
      <c r="AK52" s="188">
        <f t="shared" si="43"/>
        <v>41099.253228000001</v>
      </c>
      <c r="AL52" s="188">
        <v>789974.98296505399</v>
      </c>
      <c r="AM52" s="188">
        <v>2023</v>
      </c>
      <c r="AN52" s="156">
        <v>2864827.7801864711</v>
      </c>
      <c r="AO52" s="156">
        <v>5253.6</v>
      </c>
      <c r="AP52" s="156">
        <v>47023.712750000006</v>
      </c>
      <c r="AQ52" s="156">
        <f t="shared" ca="1" si="13"/>
        <v>23045320.972772148</v>
      </c>
      <c r="AR52" s="156">
        <f t="shared" si="14"/>
        <v>37631.200301000004</v>
      </c>
      <c r="AS52" s="186">
        <v>3935017.2192859999</v>
      </c>
      <c r="AT52" s="186">
        <v>6701.08032</v>
      </c>
      <c r="AU52" s="88">
        <f>'Customer Data'!$H77</f>
        <v>1</v>
      </c>
      <c r="AV52" s="126">
        <f ca="1">HLOOKUP($B52,CDM!$B$1:$Q$22,17,FALSE)/12</f>
        <v>4557.9122413323012</v>
      </c>
      <c r="AW52" s="188">
        <f t="shared" ca="1" si="58"/>
        <v>3939575.1315273321</v>
      </c>
      <c r="AX52" s="105">
        <v>1514458.989815</v>
      </c>
      <c r="AY52" s="105">
        <v>4135.0600000000004</v>
      </c>
      <c r="AZ52" s="88">
        <f>'Customer Data'!$I77</f>
        <v>23365</v>
      </c>
      <c r="BA52" s="126">
        <f ca="1">HLOOKUP($B52,CDM!$B$1:$Q$22,18,FALSE)/12</f>
        <v>0</v>
      </c>
      <c r="BB52" s="188">
        <f t="shared" ca="1" si="59"/>
        <v>4135.0600000000004</v>
      </c>
      <c r="BC52" s="186">
        <v>75624.876182000007</v>
      </c>
      <c r="BD52" s="186">
        <v>204.363677</v>
      </c>
      <c r="BE52" s="188">
        <f>'Customer Data'!$J77</f>
        <v>646</v>
      </c>
      <c r="BF52" s="105">
        <v>295789.21804200002</v>
      </c>
      <c r="BG52" s="188">
        <f>'Customer Data'!$K77</f>
        <v>793</v>
      </c>
      <c r="BH52" s="188">
        <f>Weather!B220</f>
        <v>505.20000000000005</v>
      </c>
      <c r="BI52" s="188">
        <f>Weather!$C220</f>
        <v>0</v>
      </c>
      <c r="BJ52" s="166">
        <f>Employment!B76</f>
        <v>6781.1</v>
      </c>
      <c r="BK52" s="188">
        <f>Employment!$C76</f>
        <v>152.4</v>
      </c>
      <c r="BL52" s="188">
        <f>Employment!D76</f>
        <v>586913</v>
      </c>
      <c r="BM52" s="188">
        <f t="shared" si="61"/>
        <v>51</v>
      </c>
      <c r="BN52" s="188">
        <f t="shared" ref="BN52:CA52" si="71">BN40</f>
        <v>0</v>
      </c>
      <c r="BO52" s="188">
        <f t="shared" si="71"/>
        <v>0</v>
      </c>
      <c r="BP52" s="188">
        <f t="shared" si="71"/>
        <v>1</v>
      </c>
      <c r="BQ52" s="188">
        <f t="shared" si="71"/>
        <v>0</v>
      </c>
      <c r="BR52" s="188">
        <f t="shared" si="71"/>
        <v>0</v>
      </c>
      <c r="BS52" s="188">
        <f t="shared" si="71"/>
        <v>0</v>
      </c>
      <c r="BT52" s="188">
        <f t="shared" si="71"/>
        <v>0</v>
      </c>
      <c r="BU52" s="188">
        <f t="shared" si="71"/>
        <v>0</v>
      </c>
      <c r="BV52" s="188">
        <f t="shared" si="71"/>
        <v>0</v>
      </c>
      <c r="BW52" s="188">
        <f t="shared" si="71"/>
        <v>0</v>
      </c>
      <c r="BX52" s="188">
        <f t="shared" si="71"/>
        <v>0</v>
      </c>
      <c r="BY52" s="188">
        <f t="shared" si="71"/>
        <v>0</v>
      </c>
      <c r="BZ52" s="188">
        <f t="shared" si="71"/>
        <v>1</v>
      </c>
      <c r="CA52" s="188">
        <f t="shared" si="71"/>
        <v>0</v>
      </c>
      <c r="CB52" s="188">
        <f t="shared" si="16"/>
        <v>1</v>
      </c>
      <c r="CC52" s="188">
        <f t="shared" si="70"/>
        <v>31</v>
      </c>
      <c r="CD52" s="121">
        <v>19</v>
      </c>
    </row>
    <row r="53" spans="1:82" s="188" customFormat="1" ht="15">
      <c r="A53" s="190">
        <v>41365</v>
      </c>
      <c r="B53" s="191">
        <f t="shared" si="52"/>
        <v>2013</v>
      </c>
      <c r="C53" s="186">
        <v>41929828.203455001</v>
      </c>
      <c r="D53" s="88">
        <f>('Customer Data'!$B77*2+'Customer Data'!$B80)/3</f>
        <v>77319.666666666672</v>
      </c>
      <c r="E53" s="188">
        <f ca="1">HLOOKUP($B53,CDM!$B$1:$Q$22,11,FALSE)/12</f>
        <v>1258456.7783805849</v>
      </c>
      <c r="F53" s="189">
        <f t="shared" ca="1" si="53"/>
        <v>43188284.981835589</v>
      </c>
      <c r="G53" s="186">
        <v>16520167.044469001</v>
      </c>
      <c r="H53" s="88">
        <f>('Customer Data'!$C77*2+'Customer Data'!$C80)/3</f>
        <v>6952.1111111111122</v>
      </c>
      <c r="I53" s="188">
        <f ca="1">HLOOKUP($B53,CDM!$B$1:$Q$22,12,FALSE)/12</f>
        <v>975968.69863015693</v>
      </c>
      <c r="J53" s="188">
        <f t="shared" ca="1" si="54"/>
        <v>17496135.743099157</v>
      </c>
      <c r="K53" s="186">
        <v>74267210.253996998</v>
      </c>
      <c r="L53" s="186">
        <v>199905.08775999999</v>
      </c>
      <c r="M53" s="88">
        <f>('Customer Data'!$D77*2+'Customer Data'!$D80)/3</f>
        <v>1177.6666666666667</v>
      </c>
      <c r="N53" s="126">
        <f ca="1">HLOOKUP($B53,CDM!$B$1:$Q$22,13,FALSE)/12</f>
        <v>1684340.17549489</v>
      </c>
      <c r="O53" s="188">
        <f t="shared" ca="1" si="38"/>
        <v>75368667.834339544</v>
      </c>
      <c r="P53" s="188">
        <f t="shared" si="39"/>
        <v>198127.88775999998</v>
      </c>
      <c r="Q53" s="188">
        <v>192539.06716777489</v>
      </c>
      <c r="R53" s="188">
        <v>468.9</v>
      </c>
      <c r="S53" s="229">
        <v>0</v>
      </c>
      <c r="T53" s="189">
        <f t="shared" ca="1" si="10"/>
        <v>75176128.76717177</v>
      </c>
      <c r="U53" s="156">
        <f t="shared" si="11"/>
        <v>197658.98775999999</v>
      </c>
      <c r="V53" s="186">
        <v>3637191.4979599998</v>
      </c>
      <c r="W53" s="186">
        <v>10486.722051000001</v>
      </c>
      <c r="X53" s="88">
        <f>('Customer Data'!$E77*2+'Customer Data'!$E80)/3</f>
        <v>3</v>
      </c>
      <c r="Y53" s="126">
        <f ca="1">HLOOKUP($B53,CDM!$B$1:$Q$22,14,FALSE)/12</f>
        <v>5297.0208632293334</v>
      </c>
      <c r="Z53" s="188">
        <f t="shared" ca="1" si="55"/>
        <v>3642488.5188232292</v>
      </c>
      <c r="AA53" s="186">
        <v>24827226.340891998</v>
      </c>
      <c r="AB53" s="186">
        <v>44235.528747000004</v>
      </c>
      <c r="AC53" s="88">
        <f>('Customer Data'!$F77*2+'Customer Data'!$F80)/3</f>
        <v>6</v>
      </c>
      <c r="AD53" s="126">
        <f ca="1">HLOOKUP($B53,CDM!$B$1:$Q$22,15,FALSE)/12</f>
        <v>507506.52818861761</v>
      </c>
      <c r="AE53" s="188">
        <f t="shared" ca="1" si="56"/>
        <v>25334732.869080614</v>
      </c>
      <c r="AF53" s="186">
        <v>21301213.656471997</v>
      </c>
      <c r="AG53" s="186">
        <v>40774.193063999999</v>
      </c>
      <c r="AH53" s="88">
        <f>('Customer Data'!$G77*2+'Customer Data'!$G80)/3</f>
        <v>2</v>
      </c>
      <c r="AI53" s="126">
        <f ca="1">HLOOKUP($B53,CDM!$B$1:$Q$22,16,FALSE)/12</f>
        <v>756294.05477068387</v>
      </c>
      <c r="AJ53" s="188">
        <f t="shared" ca="1" si="57"/>
        <v>22057507.711242683</v>
      </c>
      <c r="AK53" s="188">
        <f t="shared" si="43"/>
        <v>40774.193063999999</v>
      </c>
      <c r="AL53" s="188">
        <v>582882.59515234106</v>
      </c>
      <c r="AM53" s="188">
        <v>1777.2</v>
      </c>
      <c r="AN53" s="156">
        <v>3261622.6381865921</v>
      </c>
      <c r="AO53" s="156">
        <v>6454.2</v>
      </c>
      <c r="AP53" s="156">
        <v>47023.712750000006</v>
      </c>
      <c r="AQ53" s="156">
        <f t="shared" ca="1" si="13"/>
        <v>22026086.518144023</v>
      </c>
      <c r="AR53" s="156">
        <f t="shared" si="14"/>
        <v>37781.328747000007</v>
      </c>
      <c r="AS53" s="186">
        <v>3847040.6098969998</v>
      </c>
      <c r="AT53" s="186">
        <v>6450.17472</v>
      </c>
      <c r="AU53" s="88">
        <f>('Customer Data'!$H77*2+'Customer Data'!$H80)/3</f>
        <v>1</v>
      </c>
      <c r="AV53" s="126">
        <f ca="1">HLOOKUP($B53,CDM!$B$1:$Q$22,17,FALSE)/12</f>
        <v>4557.9122413323012</v>
      </c>
      <c r="AW53" s="188">
        <f t="shared" ca="1" si="58"/>
        <v>3851598.522138332</v>
      </c>
      <c r="AX53" s="105">
        <v>1293416.5198939999</v>
      </c>
      <c r="AY53" s="105">
        <v>4113.63</v>
      </c>
      <c r="AZ53" s="88">
        <f>('Customer Data'!$I77*2+'Customer Data'!$I80)/3</f>
        <v>23371.333333333332</v>
      </c>
      <c r="BA53" s="126">
        <f ca="1">HLOOKUP($B53,CDM!$B$1:$Q$22,18,FALSE)/12</f>
        <v>0</v>
      </c>
      <c r="BB53" s="188">
        <f t="shared" ca="1" si="59"/>
        <v>4113.63</v>
      </c>
      <c r="BC53" s="186">
        <v>72567.712396999996</v>
      </c>
      <c r="BD53" s="186">
        <v>209.73862600000001</v>
      </c>
      <c r="BE53" s="188">
        <f>('Customer Data'!$J77*2+'Customer Data'!$J80*1)/3</f>
        <v>641.66666666666663</v>
      </c>
      <c r="BF53" s="105">
        <v>281756.88005899999</v>
      </c>
      <c r="BG53" s="188">
        <f>('Customer Data'!$K77*2+'Customer Data'!$K80*1)/3</f>
        <v>793</v>
      </c>
      <c r="BH53" s="188">
        <f>Weather!B221</f>
        <v>300.19999999999993</v>
      </c>
      <c r="BI53" s="188">
        <f>Weather!$C221</f>
        <v>0</v>
      </c>
      <c r="BJ53" s="166">
        <f>Employment!B77</f>
        <v>6788.9</v>
      </c>
      <c r="BK53" s="188">
        <f>Employment!$C77</f>
        <v>154.4</v>
      </c>
      <c r="BL53" s="188">
        <f>Employment!D77</f>
        <v>586913</v>
      </c>
      <c r="BM53" s="188">
        <f t="shared" si="61"/>
        <v>52</v>
      </c>
      <c r="BN53" s="188">
        <f t="shared" ref="BN53:CA53" si="72">BN41</f>
        <v>0</v>
      </c>
      <c r="BO53" s="188">
        <f t="shared" si="72"/>
        <v>0</v>
      </c>
      <c r="BP53" s="188">
        <f t="shared" si="72"/>
        <v>0</v>
      </c>
      <c r="BQ53" s="188">
        <f t="shared" si="72"/>
        <v>1</v>
      </c>
      <c r="BR53" s="188">
        <f t="shared" si="72"/>
        <v>0</v>
      </c>
      <c r="BS53" s="188">
        <f t="shared" si="72"/>
        <v>0</v>
      </c>
      <c r="BT53" s="188">
        <f t="shared" si="72"/>
        <v>0</v>
      </c>
      <c r="BU53" s="188">
        <f t="shared" si="72"/>
        <v>0</v>
      </c>
      <c r="BV53" s="188">
        <f t="shared" si="72"/>
        <v>0</v>
      </c>
      <c r="BW53" s="188">
        <f t="shared" si="72"/>
        <v>0</v>
      </c>
      <c r="BX53" s="188">
        <f t="shared" si="72"/>
        <v>0</v>
      </c>
      <c r="BY53" s="188">
        <f t="shared" si="72"/>
        <v>0</v>
      </c>
      <c r="BZ53" s="188">
        <f t="shared" si="72"/>
        <v>1</v>
      </c>
      <c r="CA53" s="188">
        <f t="shared" si="72"/>
        <v>0</v>
      </c>
      <c r="CB53" s="188">
        <f t="shared" si="16"/>
        <v>1</v>
      </c>
      <c r="CC53" s="188">
        <f t="shared" si="70"/>
        <v>30</v>
      </c>
      <c r="CD53" s="121">
        <v>22</v>
      </c>
    </row>
    <row r="54" spans="1:82" s="188" customFormat="1" ht="15">
      <c r="A54" s="190">
        <v>41395</v>
      </c>
      <c r="B54" s="191">
        <f t="shared" si="52"/>
        <v>2013</v>
      </c>
      <c r="C54" s="186">
        <v>44032174.703510001</v>
      </c>
      <c r="D54" s="88">
        <f>('Customer Data'!$B77+'Customer Data'!$B80*2)/3</f>
        <v>77287.333333333328</v>
      </c>
      <c r="E54" s="188">
        <f ca="1">HLOOKUP($B54,CDM!$B$1:$Q$22,11,FALSE)/12</f>
        <v>1258456.7783805849</v>
      </c>
      <c r="F54" s="189">
        <f t="shared" ca="1" si="53"/>
        <v>45290631.481890589</v>
      </c>
      <c r="G54" s="186">
        <v>17077059.542498</v>
      </c>
      <c r="H54" s="88">
        <f>('Customer Data'!$C77+'Customer Data'!$C80*2)/3</f>
        <v>6950.2222222222226</v>
      </c>
      <c r="I54" s="188">
        <f ca="1">HLOOKUP($B54,CDM!$B$1:$Q$22,12,FALSE)/12</f>
        <v>975968.69863015693</v>
      </c>
      <c r="J54" s="188">
        <f t="shared" ca="1" si="54"/>
        <v>18053028.241128158</v>
      </c>
      <c r="K54" s="186">
        <v>75498068.603317007</v>
      </c>
      <c r="L54" s="186">
        <v>208168.138183</v>
      </c>
      <c r="M54" s="88">
        <f>('Customer Data'!$D77+'Customer Data'!$D80*2)/3</f>
        <v>1177.3333333333333</v>
      </c>
      <c r="N54" s="126">
        <f ca="1">HLOOKUP($B54,CDM!$B$1:$Q$22,13,FALSE)/12</f>
        <v>1684340.17549489</v>
      </c>
      <c r="O54" s="188">
        <f t="shared" ca="1" si="38"/>
        <v>76645979.128271654</v>
      </c>
      <c r="P54" s="188">
        <f t="shared" si="39"/>
        <v>206293.638183</v>
      </c>
      <c r="Q54" s="188">
        <v>178318.44463717836</v>
      </c>
      <c r="R54" s="188">
        <v>465</v>
      </c>
      <c r="S54" s="229">
        <v>0</v>
      </c>
      <c r="T54" s="189">
        <f t="shared" ca="1" si="10"/>
        <v>76467660.683634475</v>
      </c>
      <c r="U54" s="156">
        <f t="shared" si="11"/>
        <v>205828.638183</v>
      </c>
      <c r="V54" s="186">
        <v>4162562.4615489999</v>
      </c>
      <c r="W54" s="186">
        <v>11703.228300000001</v>
      </c>
      <c r="X54" s="88">
        <f>('Customer Data'!$E77+'Customer Data'!$E80*2)/3</f>
        <v>3</v>
      </c>
      <c r="Y54" s="126">
        <f ca="1">HLOOKUP($B54,CDM!$B$1:$Q$22,14,FALSE)/12</f>
        <v>5297.0208632293334</v>
      </c>
      <c r="Z54" s="188">
        <f t="shared" ca="1" si="55"/>
        <v>4167859.4824122293</v>
      </c>
      <c r="AA54" s="186">
        <v>25898774.587483</v>
      </c>
      <c r="AB54" s="186">
        <v>49686.821932000006</v>
      </c>
      <c r="AC54" s="88">
        <f>('Customer Data'!$F77+'Customer Data'!$F80*2)/3</f>
        <v>6</v>
      </c>
      <c r="AD54" s="126">
        <f ca="1">HLOOKUP($B54,CDM!$B$1:$Q$22,15,FALSE)/12</f>
        <v>507506.52818861761</v>
      </c>
      <c r="AE54" s="188">
        <f t="shared" ca="1" si="56"/>
        <v>26406281.115671616</v>
      </c>
      <c r="AF54" s="186">
        <v>23912059.573497999</v>
      </c>
      <c r="AG54" s="186">
        <v>49250.609495999997</v>
      </c>
      <c r="AH54" s="88">
        <f>('Customer Data'!$G77+'Customer Data'!$G80*2)/3</f>
        <v>2</v>
      </c>
      <c r="AI54" s="126">
        <f ca="1">HLOOKUP($B54,CDM!$B$1:$Q$22,16,FALSE)/12</f>
        <v>756294.05477068387</v>
      </c>
      <c r="AJ54" s="188">
        <f t="shared" ca="1" si="57"/>
        <v>24668353.628268681</v>
      </c>
      <c r="AK54" s="188">
        <f t="shared" si="43"/>
        <v>49250.609495999997</v>
      </c>
      <c r="AL54" s="188">
        <v>536429.65054025117</v>
      </c>
      <c r="AM54" s="188">
        <v>1874.5</v>
      </c>
      <c r="AN54" s="156">
        <v>3397540.285127786</v>
      </c>
      <c r="AO54" s="156">
        <v>6609.1</v>
      </c>
      <c r="AP54" s="156">
        <v>47023.712750000006</v>
      </c>
      <c r="AQ54" s="156">
        <f t="shared" ca="1" si="13"/>
        <v>22961717.117793832</v>
      </c>
      <c r="AR54" s="156">
        <f t="shared" si="14"/>
        <v>43077.721932000008</v>
      </c>
      <c r="AS54" s="186">
        <v>3933059.7991940002</v>
      </c>
      <c r="AT54" s="186">
        <v>7678.0925100000004</v>
      </c>
      <c r="AU54" s="88">
        <f>('Customer Data'!$H77+'Customer Data'!$H80*2)/3</f>
        <v>1</v>
      </c>
      <c r="AV54" s="126">
        <f ca="1">HLOOKUP($B54,CDM!$B$1:$Q$22,17,FALSE)/12</f>
        <v>4557.9122413323012</v>
      </c>
      <c r="AW54" s="188">
        <f t="shared" ca="1" si="58"/>
        <v>3937617.7114353324</v>
      </c>
      <c r="AX54" s="105">
        <v>1155103.4449229999</v>
      </c>
      <c r="AY54" s="105">
        <v>4113.24</v>
      </c>
      <c r="AZ54" s="88">
        <f>('Customer Data'!$I77+'Customer Data'!$I80*2)/3</f>
        <v>23377.666666666668</v>
      </c>
      <c r="BA54" s="126">
        <f ca="1">HLOOKUP($B54,CDM!$B$1:$Q$22,18,FALSE)/12</f>
        <v>0</v>
      </c>
      <c r="BB54" s="188">
        <f t="shared" ca="1" si="59"/>
        <v>4113.24</v>
      </c>
      <c r="BC54" s="186">
        <v>74981.676143999997</v>
      </c>
      <c r="BD54" s="186">
        <v>202.273674</v>
      </c>
      <c r="BE54" s="188">
        <f>('Customer Data'!$J77*1+'Customer Data'!$J80*2)/3</f>
        <v>637.33333333333337</v>
      </c>
      <c r="BF54" s="105">
        <v>285264.3885</v>
      </c>
      <c r="BG54" s="188">
        <f>('Customer Data'!$K77*1+'Customer Data'!$K80*2)/3</f>
        <v>793</v>
      </c>
      <c r="BH54" s="188">
        <f>Weather!B222</f>
        <v>73.300000000000011</v>
      </c>
      <c r="BI54" s="188">
        <f>Weather!$C222</f>
        <v>59.899999999999991</v>
      </c>
      <c r="BJ54" s="166">
        <f>Employment!B78</f>
        <v>6801.1</v>
      </c>
      <c r="BK54" s="188">
        <f>Employment!$C78</f>
        <v>155.30000000000001</v>
      </c>
      <c r="BL54" s="188">
        <f>Employment!D78</f>
        <v>586913</v>
      </c>
      <c r="BM54" s="188">
        <f t="shared" si="61"/>
        <v>53</v>
      </c>
      <c r="BN54" s="188">
        <f t="shared" ref="BN54:CA54" si="73">BN42</f>
        <v>0</v>
      </c>
      <c r="BO54" s="188">
        <f t="shared" si="73"/>
        <v>0</v>
      </c>
      <c r="BP54" s="188">
        <f t="shared" si="73"/>
        <v>0</v>
      </c>
      <c r="BQ54" s="188">
        <f t="shared" si="73"/>
        <v>0</v>
      </c>
      <c r="BR54" s="188">
        <f t="shared" si="73"/>
        <v>1</v>
      </c>
      <c r="BS54" s="188">
        <f t="shared" si="73"/>
        <v>0</v>
      </c>
      <c r="BT54" s="188">
        <f t="shared" si="73"/>
        <v>0</v>
      </c>
      <c r="BU54" s="188">
        <f t="shared" si="73"/>
        <v>0</v>
      </c>
      <c r="BV54" s="188">
        <f t="shared" si="73"/>
        <v>0</v>
      </c>
      <c r="BW54" s="188">
        <f t="shared" si="73"/>
        <v>0</v>
      </c>
      <c r="BX54" s="188">
        <f t="shared" si="73"/>
        <v>0</v>
      </c>
      <c r="BY54" s="188">
        <f t="shared" si="73"/>
        <v>0</v>
      </c>
      <c r="BZ54" s="188">
        <f t="shared" si="73"/>
        <v>1</v>
      </c>
      <c r="CA54" s="188">
        <f t="shared" si="73"/>
        <v>0</v>
      </c>
      <c r="CB54" s="188">
        <f t="shared" si="16"/>
        <v>1</v>
      </c>
      <c r="CC54" s="188">
        <f t="shared" si="70"/>
        <v>31</v>
      </c>
      <c r="CD54" s="121">
        <v>22</v>
      </c>
    </row>
    <row r="55" spans="1:82" s="188" customFormat="1" ht="15">
      <c r="A55" s="190">
        <v>41426</v>
      </c>
      <c r="B55" s="191">
        <f t="shared" si="52"/>
        <v>2013</v>
      </c>
      <c r="C55" s="186">
        <v>55313923.279913999</v>
      </c>
      <c r="D55" s="88">
        <f>'Customer Data'!$B80</f>
        <v>77255</v>
      </c>
      <c r="E55" s="188">
        <f ca="1">HLOOKUP($B55,CDM!$B$1:$Q$22,11,FALSE)/12</f>
        <v>1258456.7783805849</v>
      </c>
      <c r="F55" s="189">
        <f t="shared" ca="1" si="53"/>
        <v>56572380.058294587</v>
      </c>
      <c r="G55" s="186">
        <v>18290755.108203001</v>
      </c>
      <c r="H55" s="88">
        <f>'Customer Data'!$C80</f>
        <v>6948.3333333333339</v>
      </c>
      <c r="I55" s="188">
        <f ca="1">HLOOKUP($B55,CDM!$B$1:$Q$22,12,FALSE)/12</f>
        <v>975968.69863015693</v>
      </c>
      <c r="J55" s="188">
        <f t="shared" ca="1" si="54"/>
        <v>19266723.806833159</v>
      </c>
      <c r="K55" s="186">
        <v>76794952.324654996</v>
      </c>
      <c r="L55" s="186">
        <v>209117.68876699999</v>
      </c>
      <c r="M55" s="88">
        <f>'Customer Data'!$D80</f>
        <v>1177</v>
      </c>
      <c r="N55" s="126">
        <f ca="1">HLOOKUP($B55,CDM!$B$1:$Q$22,13,FALSE)/12</f>
        <v>1684340.17549489</v>
      </c>
      <c r="O55" s="188">
        <f t="shared" ca="1" si="38"/>
        <v>77950659.403683424</v>
      </c>
      <c r="P55" s="188">
        <f t="shared" si="39"/>
        <v>207286.48876699997</v>
      </c>
      <c r="Q55" s="188">
        <v>101431.71436831454</v>
      </c>
      <c r="R55" s="188">
        <v>344.2</v>
      </c>
      <c r="S55" s="229">
        <v>0</v>
      </c>
      <c r="T55" s="189">
        <f t="shared" ca="1" si="10"/>
        <v>77849227.68931511</v>
      </c>
      <c r="U55" s="156">
        <f t="shared" si="11"/>
        <v>206942.28876699996</v>
      </c>
      <c r="V55" s="186">
        <v>4048705.5762189999</v>
      </c>
      <c r="W55" s="186">
        <v>10828.276704</v>
      </c>
      <c r="X55" s="88">
        <f>'Customer Data'!$E80</f>
        <v>3</v>
      </c>
      <c r="Y55" s="126">
        <f ca="1">HLOOKUP($B55,CDM!$B$1:$Q$22,14,FALSE)/12</f>
        <v>5297.0208632293334</v>
      </c>
      <c r="Z55" s="188">
        <f t="shared" ca="1" si="55"/>
        <v>4054002.5970822293</v>
      </c>
      <c r="AA55" s="186">
        <v>25797018.846804</v>
      </c>
      <c r="AB55" s="186">
        <v>49807.370654999999</v>
      </c>
      <c r="AC55" s="88">
        <f>'Customer Data'!$F80</f>
        <v>6</v>
      </c>
      <c r="AD55" s="126">
        <f ca="1">HLOOKUP($B55,CDM!$B$1:$Q$22,15,FALSE)/12</f>
        <v>507506.52818861761</v>
      </c>
      <c r="AE55" s="188">
        <f t="shared" ca="1" si="56"/>
        <v>26304525.374992616</v>
      </c>
      <c r="AF55" s="186">
        <v>25668597.746702</v>
      </c>
      <c r="AG55" s="186">
        <v>49004.521532999999</v>
      </c>
      <c r="AH55" s="88">
        <f>'Customer Data'!$G80</f>
        <v>2</v>
      </c>
      <c r="AI55" s="126">
        <f ca="1">HLOOKUP($B55,CDM!$B$1:$Q$22,16,FALSE)/12</f>
        <v>756294.05477068387</v>
      </c>
      <c r="AJ55" s="188">
        <f t="shared" ca="1" si="57"/>
        <v>26424891.801472686</v>
      </c>
      <c r="AK55" s="188">
        <f t="shared" si="43"/>
        <v>49004.521532999999</v>
      </c>
      <c r="AL55" s="188">
        <v>528633.0964664655</v>
      </c>
      <c r="AM55" s="188">
        <v>1831.2</v>
      </c>
      <c r="AN55" s="156">
        <v>3371366.2718964876</v>
      </c>
      <c r="AO55" s="156">
        <v>7534.8</v>
      </c>
      <c r="AP55" s="156">
        <v>47023.712750000006</v>
      </c>
      <c r="AQ55" s="156">
        <f t="shared" ca="1" si="13"/>
        <v>22886135.390346128</v>
      </c>
      <c r="AR55" s="156">
        <f t="shared" si="14"/>
        <v>42272.570654999996</v>
      </c>
      <c r="AS55" s="186">
        <v>4311594.5934250001</v>
      </c>
      <c r="AT55" s="186">
        <v>7778.83392</v>
      </c>
      <c r="AU55" s="88">
        <f>'Customer Data'!$H80</f>
        <v>1</v>
      </c>
      <c r="AV55" s="126">
        <f ca="1">HLOOKUP($B55,CDM!$B$1:$Q$22,17,FALSE)/12</f>
        <v>4557.9122413323012</v>
      </c>
      <c r="AW55" s="188">
        <f t="shared" ca="1" si="58"/>
        <v>4316152.5056663323</v>
      </c>
      <c r="AX55" s="105">
        <v>1053203.5369170001</v>
      </c>
      <c r="AY55" s="105">
        <v>4126.75</v>
      </c>
      <c r="AZ55" s="88">
        <f>'Customer Data'!$I80</f>
        <v>23384</v>
      </c>
      <c r="BA55" s="126">
        <f ca="1">HLOOKUP($B55,CDM!$B$1:$Q$22,18,FALSE)/12</f>
        <v>0</v>
      </c>
      <c r="BB55" s="188">
        <f t="shared" ca="1" si="59"/>
        <v>4126.75</v>
      </c>
      <c r="BC55" s="186">
        <v>72601.312409999999</v>
      </c>
      <c r="BD55" s="186">
        <v>201.96367699999999</v>
      </c>
      <c r="BE55" s="188">
        <f>'Customer Data'!$J80</f>
        <v>633</v>
      </c>
      <c r="BF55" s="105">
        <v>275090.50159200002</v>
      </c>
      <c r="BG55" s="188">
        <f>'Customer Data'!$K80</f>
        <v>793</v>
      </c>
      <c r="BH55" s="188">
        <f>Weather!B223</f>
        <v>14.700000000000001</v>
      </c>
      <c r="BI55" s="188">
        <f>Weather!$C223</f>
        <v>103.49999999999999</v>
      </c>
      <c r="BJ55" s="166">
        <f>Employment!B79</f>
        <v>6815.2</v>
      </c>
      <c r="BK55" s="188">
        <f>Employment!$C79</f>
        <v>156.1</v>
      </c>
      <c r="BL55" s="188">
        <f>Employment!D79</f>
        <v>586913</v>
      </c>
      <c r="BM55" s="188">
        <f t="shared" si="61"/>
        <v>54</v>
      </c>
      <c r="BN55" s="188">
        <f t="shared" ref="BN55:CA55" si="74">BN43</f>
        <v>0</v>
      </c>
      <c r="BO55" s="188">
        <f t="shared" si="74"/>
        <v>0</v>
      </c>
      <c r="BP55" s="188">
        <f t="shared" si="74"/>
        <v>0</v>
      </c>
      <c r="BQ55" s="188">
        <f t="shared" si="74"/>
        <v>0</v>
      </c>
      <c r="BR55" s="188">
        <f t="shared" si="74"/>
        <v>0</v>
      </c>
      <c r="BS55" s="188">
        <f t="shared" si="74"/>
        <v>1</v>
      </c>
      <c r="BT55" s="188">
        <f t="shared" si="74"/>
        <v>0</v>
      </c>
      <c r="BU55" s="188">
        <f t="shared" si="74"/>
        <v>0</v>
      </c>
      <c r="BV55" s="188">
        <f t="shared" si="74"/>
        <v>0</v>
      </c>
      <c r="BW55" s="188">
        <f t="shared" si="74"/>
        <v>0</v>
      </c>
      <c r="BX55" s="188">
        <f t="shared" si="74"/>
        <v>0</v>
      </c>
      <c r="BY55" s="188">
        <f t="shared" si="74"/>
        <v>0</v>
      </c>
      <c r="BZ55" s="188">
        <f t="shared" si="74"/>
        <v>0</v>
      </c>
      <c r="CA55" s="188">
        <f t="shared" si="74"/>
        <v>0</v>
      </c>
      <c r="CB55" s="188">
        <f t="shared" si="16"/>
        <v>0</v>
      </c>
      <c r="CC55" s="188">
        <f t="shared" si="70"/>
        <v>30</v>
      </c>
      <c r="CD55" s="121">
        <v>20</v>
      </c>
    </row>
    <row r="56" spans="1:82" s="188" customFormat="1" ht="15">
      <c r="A56" s="190">
        <v>41456</v>
      </c>
      <c r="B56" s="191">
        <f t="shared" si="52"/>
        <v>2013</v>
      </c>
      <c r="C56" s="186">
        <v>68273515.325627998</v>
      </c>
      <c r="D56" s="88">
        <f>('Customer Data'!$B80*2+'Customer Data'!$B83)/3</f>
        <v>77361.333333333328</v>
      </c>
      <c r="E56" s="188">
        <f ca="1">HLOOKUP($B56,CDM!$B$1:$Q$22,11,FALSE)/12</f>
        <v>1258456.7783805849</v>
      </c>
      <c r="F56" s="189">
        <f t="shared" ca="1" si="53"/>
        <v>69531972.104008585</v>
      </c>
      <c r="G56" s="186">
        <v>20336014.277204003</v>
      </c>
      <c r="H56" s="88">
        <f>('Customer Data'!$C80*2+'Customer Data'!$C83)/3</f>
        <v>6946.4444444444453</v>
      </c>
      <c r="I56" s="188">
        <f ca="1">HLOOKUP($B56,CDM!$B$1:$Q$22,12,FALSE)/12</f>
        <v>975968.69863015693</v>
      </c>
      <c r="J56" s="188">
        <f t="shared" ca="1" si="54"/>
        <v>21311982.975834161</v>
      </c>
      <c r="K56" s="186">
        <v>81421327.459064007</v>
      </c>
      <c r="L56" s="186">
        <v>219263.09561699998</v>
      </c>
      <c r="M56" s="88">
        <f>('Customer Data'!$D80*2+'Customer Data'!$D83)/3</f>
        <v>1174.6666666666667</v>
      </c>
      <c r="N56" s="126">
        <f ca="1">HLOOKUP($B56,CDM!$B$1:$Q$22,13,FALSE)/12</f>
        <v>1684340.17549489</v>
      </c>
      <c r="O56" s="188">
        <f t="shared" ca="1" si="38"/>
        <v>82611806.230879351</v>
      </c>
      <c r="P56" s="188">
        <f t="shared" si="39"/>
        <v>217524.09561699998</v>
      </c>
      <c r="Q56" s="188">
        <v>71360.460634094634</v>
      </c>
      <c r="R56" s="188">
        <v>294.10000000000002</v>
      </c>
      <c r="S56" s="229">
        <v>0</v>
      </c>
      <c r="T56" s="189">
        <f t="shared" ca="1" si="10"/>
        <v>82540445.770245254</v>
      </c>
      <c r="U56" s="156">
        <f t="shared" si="11"/>
        <v>217229.99561699998</v>
      </c>
      <c r="V56" s="186">
        <v>4261882.1206329996</v>
      </c>
      <c r="W56" s="186">
        <v>11402.664642</v>
      </c>
      <c r="X56" s="88">
        <f>('Customer Data'!$E80*2+'Customer Data'!$E83)/3</f>
        <v>3</v>
      </c>
      <c r="Y56" s="126">
        <f ca="1">HLOOKUP($B56,CDM!$B$1:$Q$22,14,FALSE)/12</f>
        <v>5297.0208632293334</v>
      </c>
      <c r="Z56" s="188">
        <f t="shared" ca="1" si="55"/>
        <v>4267179.141496229</v>
      </c>
      <c r="AA56" s="186">
        <v>25369101.780669</v>
      </c>
      <c r="AB56" s="186">
        <v>49105.542033000005</v>
      </c>
      <c r="AC56" s="88">
        <f>('Customer Data'!$F80*2+'Customer Data'!$F83)/3</f>
        <v>6</v>
      </c>
      <c r="AD56" s="126">
        <f ca="1">HLOOKUP($B56,CDM!$B$1:$Q$22,15,FALSE)/12</f>
        <v>507506.52818861761</v>
      </c>
      <c r="AE56" s="188">
        <f t="shared" ca="1" si="56"/>
        <v>25876608.308857616</v>
      </c>
      <c r="AF56" s="186">
        <v>21074014.138085</v>
      </c>
      <c r="AG56" s="186">
        <v>47736.148284000003</v>
      </c>
      <c r="AH56" s="88">
        <f>('Customer Data'!$G80*2+'Customer Data'!$G83)/3</f>
        <v>2</v>
      </c>
      <c r="AI56" s="126">
        <f ca="1">HLOOKUP($B56,CDM!$B$1:$Q$22,16,FALSE)/12</f>
        <v>756294.05477068387</v>
      </c>
      <c r="AJ56" s="188">
        <f t="shared" ca="1" si="57"/>
        <v>21830308.192855686</v>
      </c>
      <c r="AK56" s="188">
        <f t="shared" si="43"/>
        <v>47736.148284000003</v>
      </c>
      <c r="AL56" s="188">
        <v>493861.4036795483</v>
      </c>
      <c r="AM56" s="188">
        <v>1739</v>
      </c>
      <c r="AN56" s="156">
        <v>2080893.2005691265</v>
      </c>
      <c r="AO56" s="156">
        <v>4883.3999999999996</v>
      </c>
      <c r="AP56" s="156">
        <v>47023.712750000006</v>
      </c>
      <c r="AQ56" s="156">
        <f t="shared" ca="1" si="13"/>
        <v>23748691.39553849</v>
      </c>
      <c r="AR56" s="156">
        <f t="shared" si="14"/>
        <v>44222.142033000004</v>
      </c>
      <c r="AS56" s="186">
        <v>3902324.1978369998</v>
      </c>
      <c r="AT56" s="186">
        <v>7835.8579200000004</v>
      </c>
      <c r="AU56" s="88">
        <f>('Customer Data'!$H80*2+'Customer Data'!$H83)/3</f>
        <v>1</v>
      </c>
      <c r="AV56" s="126">
        <f ca="1">HLOOKUP($B56,CDM!$B$1:$Q$22,17,FALSE)/12</f>
        <v>4557.9122413323012</v>
      </c>
      <c r="AW56" s="188">
        <f t="shared" ca="1" si="58"/>
        <v>3906882.110078332</v>
      </c>
      <c r="AX56" s="105">
        <v>1121973.9988810001</v>
      </c>
      <c r="AY56" s="105">
        <v>4130.09</v>
      </c>
      <c r="AZ56" s="88">
        <f>('Customer Data'!$I80*2+'Customer Data'!$I83)/3</f>
        <v>23384</v>
      </c>
      <c r="BA56" s="126">
        <f ca="1">HLOOKUP($B56,CDM!$B$1:$Q$22,18,FALSE)/12</f>
        <v>0</v>
      </c>
      <c r="BB56" s="188">
        <f t="shared" ca="1" si="59"/>
        <v>4130.09</v>
      </c>
      <c r="BC56" s="186">
        <v>75011.435811999996</v>
      </c>
      <c r="BD56" s="186">
        <v>202.763677</v>
      </c>
      <c r="BE56" s="188">
        <f>('Customer Data'!$J80*2+'Customer Data'!$J83*1)/3</f>
        <v>635.66666666666663</v>
      </c>
      <c r="BF56" s="105">
        <v>280635.90595300001</v>
      </c>
      <c r="BG56" s="188">
        <f>('Customer Data'!$K80*2+'Customer Data'!$K83*1)/3</f>
        <v>792.33333333333337</v>
      </c>
      <c r="BH56" s="188">
        <f>Weather!B224</f>
        <v>1.5</v>
      </c>
      <c r="BI56" s="188">
        <f>Weather!$C224</f>
        <v>174.80000000000004</v>
      </c>
      <c r="BJ56" s="166">
        <f>Employment!B80</f>
        <v>6826.2</v>
      </c>
      <c r="BK56" s="188">
        <f>Employment!$C80</f>
        <v>156</v>
      </c>
      <c r="BL56" s="188">
        <f>Employment!D80</f>
        <v>586913</v>
      </c>
      <c r="BM56" s="188">
        <f t="shared" si="61"/>
        <v>55</v>
      </c>
      <c r="BN56" s="188">
        <f t="shared" ref="BN56:CA56" si="75">BN44</f>
        <v>0</v>
      </c>
      <c r="BO56" s="188">
        <f t="shared" si="75"/>
        <v>0</v>
      </c>
      <c r="BP56" s="188">
        <f t="shared" si="75"/>
        <v>0</v>
      </c>
      <c r="BQ56" s="188">
        <f t="shared" si="75"/>
        <v>0</v>
      </c>
      <c r="BR56" s="188">
        <f t="shared" si="75"/>
        <v>0</v>
      </c>
      <c r="BS56" s="188">
        <f t="shared" si="75"/>
        <v>0</v>
      </c>
      <c r="BT56" s="188">
        <f t="shared" si="75"/>
        <v>1</v>
      </c>
      <c r="BU56" s="188">
        <f t="shared" si="75"/>
        <v>0</v>
      </c>
      <c r="BV56" s="188">
        <f t="shared" si="75"/>
        <v>0</v>
      </c>
      <c r="BW56" s="188">
        <f t="shared" si="75"/>
        <v>0</v>
      </c>
      <c r="BX56" s="188">
        <f t="shared" si="75"/>
        <v>0</v>
      </c>
      <c r="BY56" s="188">
        <f t="shared" si="75"/>
        <v>0</v>
      </c>
      <c r="BZ56" s="188">
        <f t="shared" si="75"/>
        <v>0</v>
      </c>
      <c r="CA56" s="188">
        <f t="shared" si="75"/>
        <v>0</v>
      </c>
      <c r="CB56" s="188">
        <f t="shared" si="16"/>
        <v>0</v>
      </c>
      <c r="CC56" s="188">
        <f t="shared" si="70"/>
        <v>31</v>
      </c>
      <c r="CD56" s="121">
        <v>22</v>
      </c>
    </row>
    <row r="57" spans="1:82" s="188" customFormat="1" ht="15">
      <c r="A57" s="190">
        <v>41487</v>
      </c>
      <c r="B57" s="191">
        <f t="shared" si="52"/>
        <v>2013</v>
      </c>
      <c r="C57" s="186">
        <v>61368859.891335919</v>
      </c>
      <c r="D57" s="88">
        <f>('Customer Data'!$B80+'Customer Data'!$B83*2)/3</f>
        <v>77467.666666666672</v>
      </c>
      <c r="E57" s="188">
        <f ca="1">HLOOKUP($B57,CDM!$B$1:$Q$22,11,FALSE)/12</f>
        <v>1258456.7783805849</v>
      </c>
      <c r="F57" s="189">
        <f t="shared" ca="1" si="53"/>
        <v>62627316.669716507</v>
      </c>
      <c r="G57" s="186">
        <v>19435816.424280383</v>
      </c>
      <c r="H57" s="88">
        <f>('Customer Data'!$C80+'Customer Data'!$C83*2)/3</f>
        <v>6944.5555555555557</v>
      </c>
      <c r="I57" s="188">
        <f ca="1">HLOOKUP($B57,CDM!$B$1:$Q$22,12,FALSE)/12</f>
        <v>975968.69863015693</v>
      </c>
      <c r="J57" s="188">
        <f t="shared" ca="1" si="54"/>
        <v>20411785.122910541</v>
      </c>
      <c r="K57" s="186">
        <v>80185983.852423996</v>
      </c>
      <c r="L57" s="186">
        <v>209630.77351900001</v>
      </c>
      <c r="M57" s="88">
        <f>('Customer Data'!$D80+'Customer Data'!$D83*2)/3</f>
        <v>1172.3333333333333</v>
      </c>
      <c r="N57" s="126">
        <f ca="1">HLOOKUP($B57,CDM!$B$1:$Q$22,13,FALSE)/12</f>
        <v>1684340.17549489</v>
      </c>
      <c r="O57" s="188">
        <f t="shared" ca="1" si="38"/>
        <v>81402470.109881312</v>
      </c>
      <c r="P57" s="188">
        <f t="shared" si="39"/>
        <v>207882.37351900002</v>
      </c>
      <c r="Q57" s="188">
        <v>175986.45080466417</v>
      </c>
      <c r="R57" s="188">
        <v>502.8</v>
      </c>
      <c r="S57" s="229">
        <v>0</v>
      </c>
      <c r="T57" s="189">
        <f t="shared" ca="1" si="10"/>
        <v>81226483.659076646</v>
      </c>
      <c r="U57" s="156">
        <f t="shared" si="11"/>
        <v>207379.57351900003</v>
      </c>
      <c r="V57" s="186">
        <v>3908076.0583990002</v>
      </c>
      <c r="W57" s="186">
        <v>11303.309088</v>
      </c>
      <c r="X57" s="88">
        <f>('Customer Data'!$E80+'Customer Data'!$E83*2)/3</f>
        <v>3</v>
      </c>
      <c r="Y57" s="126">
        <f ca="1">HLOOKUP($B57,CDM!$B$1:$Q$22,14,FALSE)/12</f>
        <v>5297.0208632293334</v>
      </c>
      <c r="Z57" s="188">
        <f t="shared" ca="1" si="55"/>
        <v>3913373.0792622296</v>
      </c>
      <c r="AA57" s="186">
        <v>26626781.334745001</v>
      </c>
      <c r="AB57" s="186">
        <v>50194.619349000001</v>
      </c>
      <c r="AC57" s="88">
        <f>('Customer Data'!$F80+'Customer Data'!$F83*2)/3</f>
        <v>6</v>
      </c>
      <c r="AD57" s="126">
        <f ca="1">HLOOKUP($B57,CDM!$B$1:$Q$22,15,FALSE)/12</f>
        <v>507506.52818861761</v>
      </c>
      <c r="AE57" s="188">
        <f t="shared" ca="1" si="56"/>
        <v>27134287.862933617</v>
      </c>
      <c r="AF57" s="186">
        <v>25888401.179967001</v>
      </c>
      <c r="AG57" s="186">
        <v>51629.800464</v>
      </c>
      <c r="AH57" s="88">
        <f>('Customer Data'!$G80+'Customer Data'!$G83*2)/3</f>
        <v>2</v>
      </c>
      <c r="AI57" s="126">
        <f ca="1">HLOOKUP($B57,CDM!$B$1:$Q$22,16,FALSE)/12</f>
        <v>756294.05477068387</v>
      </c>
      <c r="AJ57" s="188">
        <f t="shared" ca="1" si="57"/>
        <v>26644695.234737687</v>
      </c>
      <c r="AK57" s="188">
        <f t="shared" si="43"/>
        <v>51629.800464</v>
      </c>
      <c r="AL57" s="188">
        <v>467853.91803757421</v>
      </c>
      <c r="AM57" s="188">
        <v>1748.4</v>
      </c>
      <c r="AN57" s="156">
        <v>2900515.3041162966</v>
      </c>
      <c r="AO57" s="156">
        <v>6641.6</v>
      </c>
      <c r="AP57" s="156">
        <v>47023.712750000006</v>
      </c>
      <c r="AQ57" s="156">
        <f t="shared" ca="1" si="13"/>
        <v>24186748.846067321</v>
      </c>
      <c r="AR57" s="156">
        <f t="shared" si="14"/>
        <v>43553.019349000002</v>
      </c>
      <c r="AS57" s="186">
        <v>4645348.8592069997</v>
      </c>
      <c r="AT57" s="186">
        <v>7870.0723200000002</v>
      </c>
      <c r="AU57" s="88">
        <f>('Customer Data'!$H80+'Customer Data'!$H83*2)/3</f>
        <v>1</v>
      </c>
      <c r="AV57" s="126">
        <f ca="1">HLOOKUP($B57,CDM!$B$1:$Q$22,17,FALSE)/12</f>
        <v>4557.9122413323012</v>
      </c>
      <c r="AW57" s="188">
        <f t="shared" ca="1" si="58"/>
        <v>4649906.7714483319</v>
      </c>
      <c r="AX57" s="105">
        <v>1257128.883838</v>
      </c>
      <c r="AY57" s="105">
        <v>4130.09</v>
      </c>
      <c r="AZ57" s="88">
        <f>('Customer Data'!$I80+'Customer Data'!$I83*2)/3</f>
        <v>23384</v>
      </c>
      <c r="BA57" s="126">
        <f ca="1">HLOOKUP($B57,CDM!$B$1:$Q$22,18,FALSE)/12</f>
        <v>0</v>
      </c>
      <c r="BB57" s="188">
        <f t="shared" ca="1" si="59"/>
        <v>4130.09</v>
      </c>
      <c r="BC57" s="186">
        <v>75241.232201000006</v>
      </c>
      <c r="BD57" s="186">
        <v>202.49366599999999</v>
      </c>
      <c r="BE57" s="188">
        <f>('Customer Data'!$J80*1+'Customer Data'!$J83*2)/3</f>
        <v>638.33333333333337</v>
      </c>
      <c r="BF57" s="105">
        <v>275932.18324500002</v>
      </c>
      <c r="BG57" s="188">
        <f>('Customer Data'!$K80*1+'Customer Data'!$K83*2)/3</f>
        <v>791.66666666666663</v>
      </c>
      <c r="BH57" s="188">
        <f>Weather!B225</f>
        <v>1.2</v>
      </c>
      <c r="BI57" s="188">
        <f>Weather!$C225</f>
        <v>134.29999999999998</v>
      </c>
      <c r="BJ57" s="166">
        <f>Employment!B81</f>
        <v>6833.9</v>
      </c>
      <c r="BK57" s="188">
        <f>Employment!$C81</f>
        <v>155.80000000000001</v>
      </c>
      <c r="BL57" s="188">
        <f>Employment!D81</f>
        <v>586913</v>
      </c>
      <c r="BM57" s="188">
        <f t="shared" si="61"/>
        <v>56</v>
      </c>
      <c r="BN57" s="188">
        <f t="shared" ref="BN57:CA57" si="76">BN45</f>
        <v>0</v>
      </c>
      <c r="BO57" s="188">
        <f t="shared" si="76"/>
        <v>0</v>
      </c>
      <c r="BP57" s="188">
        <f t="shared" si="76"/>
        <v>0</v>
      </c>
      <c r="BQ57" s="188">
        <f t="shared" si="76"/>
        <v>0</v>
      </c>
      <c r="BR57" s="188">
        <f t="shared" si="76"/>
        <v>0</v>
      </c>
      <c r="BS57" s="188">
        <f t="shared" si="76"/>
        <v>0</v>
      </c>
      <c r="BT57" s="188">
        <f t="shared" si="76"/>
        <v>0</v>
      </c>
      <c r="BU57" s="188">
        <f t="shared" si="76"/>
        <v>1</v>
      </c>
      <c r="BV57" s="188">
        <f t="shared" si="76"/>
        <v>0</v>
      </c>
      <c r="BW57" s="188">
        <f t="shared" si="76"/>
        <v>0</v>
      </c>
      <c r="BX57" s="188">
        <f t="shared" si="76"/>
        <v>0</v>
      </c>
      <c r="BY57" s="188">
        <f t="shared" si="76"/>
        <v>0</v>
      </c>
      <c r="BZ57" s="188">
        <f t="shared" si="76"/>
        <v>0</v>
      </c>
      <c r="CA57" s="188">
        <f t="shared" si="76"/>
        <v>0</v>
      </c>
      <c r="CB57" s="188">
        <f t="shared" si="16"/>
        <v>0</v>
      </c>
      <c r="CC57" s="188">
        <f t="shared" si="70"/>
        <v>31</v>
      </c>
      <c r="CD57" s="121">
        <v>21</v>
      </c>
    </row>
    <row r="58" spans="1:82" s="188" customFormat="1" ht="15">
      <c r="A58" s="190">
        <v>41518</v>
      </c>
      <c r="B58" s="191">
        <f t="shared" si="52"/>
        <v>2013</v>
      </c>
      <c r="C58" s="186">
        <v>51225174.090971038</v>
      </c>
      <c r="D58" s="88">
        <f>'Customer Data'!$B83</f>
        <v>77574</v>
      </c>
      <c r="E58" s="188">
        <f ca="1">HLOOKUP($B58,CDM!$B$1:$Q$22,11,FALSE)/12</f>
        <v>1258456.7783805849</v>
      </c>
      <c r="F58" s="189">
        <f t="shared" ca="1" si="53"/>
        <v>52483630.869351625</v>
      </c>
      <c r="G58" s="186">
        <v>17751367.511734419</v>
      </c>
      <c r="H58" s="88">
        <f>'Customer Data'!$C83</f>
        <v>6942.666666666667</v>
      </c>
      <c r="I58" s="188">
        <f ca="1">HLOOKUP($B58,CDM!$B$1:$Q$22,12,FALSE)/12</f>
        <v>975968.69863015693</v>
      </c>
      <c r="J58" s="188">
        <f t="shared" ca="1" si="54"/>
        <v>18727336.210364576</v>
      </c>
      <c r="K58" s="186">
        <v>74914577.209083006</v>
      </c>
      <c r="L58" s="186">
        <v>210062.20514499999</v>
      </c>
      <c r="M58" s="88">
        <f>'Customer Data'!$D83</f>
        <v>1170</v>
      </c>
      <c r="N58" s="126">
        <f ca="1">HLOOKUP($B58,CDM!$B$1:$Q$22,13,FALSE)/12</f>
        <v>1684340.17549489</v>
      </c>
      <c r="O58" s="188">
        <f t="shared" ca="1" si="38"/>
        <v>76153505.586661026</v>
      </c>
      <c r="P58" s="188">
        <f t="shared" si="39"/>
        <v>208306.20514499999</v>
      </c>
      <c r="Q58" s="188">
        <v>179495.27801869519</v>
      </c>
      <c r="R58" s="188">
        <v>472.8</v>
      </c>
      <c r="S58" s="229">
        <v>0</v>
      </c>
      <c r="T58" s="189">
        <f t="shared" ca="1" si="10"/>
        <v>75974010.308642328</v>
      </c>
      <c r="U58" s="156">
        <f t="shared" si="11"/>
        <v>207833.405145</v>
      </c>
      <c r="V58" s="186">
        <v>4471242.7330329996</v>
      </c>
      <c r="W58" s="186">
        <v>11505.358485000001</v>
      </c>
      <c r="X58" s="88">
        <f>'Customer Data'!$E83</f>
        <v>3</v>
      </c>
      <c r="Y58" s="126">
        <f ca="1">HLOOKUP($B58,CDM!$B$1:$Q$22,14,FALSE)/12</f>
        <v>5297.0208632293334</v>
      </c>
      <c r="Z58" s="188">
        <f t="shared" ca="1" si="55"/>
        <v>4476539.753896229</v>
      </c>
      <c r="AA58" s="186">
        <v>24436703.088585</v>
      </c>
      <c r="AB58" s="186">
        <v>47902.281900000002</v>
      </c>
      <c r="AC58" s="88">
        <f>'Customer Data'!$F83</f>
        <v>6</v>
      </c>
      <c r="AD58" s="126">
        <f ca="1">HLOOKUP($B58,CDM!$B$1:$Q$22,15,FALSE)/12</f>
        <v>507506.52818861761</v>
      </c>
      <c r="AE58" s="188">
        <f t="shared" ca="1" si="56"/>
        <v>24944209.616773617</v>
      </c>
      <c r="AF58" s="186">
        <v>23681602.735350002</v>
      </c>
      <c r="AG58" s="186">
        <v>49550.196662999995</v>
      </c>
      <c r="AH58" s="88">
        <f>'Customer Data'!$G83</f>
        <v>2</v>
      </c>
      <c r="AI58" s="126">
        <f ca="1">HLOOKUP($B58,CDM!$B$1:$Q$22,16,FALSE)/12</f>
        <v>756294.05477068387</v>
      </c>
      <c r="AJ58" s="188">
        <f t="shared" ca="1" si="57"/>
        <v>24437896.790120684</v>
      </c>
      <c r="AK58" s="188">
        <f t="shared" si="43"/>
        <v>49550.196662999995</v>
      </c>
      <c r="AL58" s="188">
        <v>445411.7979168694</v>
      </c>
      <c r="AM58" s="188">
        <v>1756</v>
      </c>
      <c r="AN58" s="156">
        <v>3680545.6470003077</v>
      </c>
      <c r="AO58" s="156">
        <v>7505.5</v>
      </c>
      <c r="AP58" s="156">
        <v>47023.712750000006</v>
      </c>
      <c r="AQ58" s="156">
        <f t="shared" ca="1" si="13"/>
        <v>21216640.257023308</v>
      </c>
      <c r="AR58" s="156">
        <f t="shared" si="14"/>
        <v>40396.781900000002</v>
      </c>
      <c r="AS58" s="186">
        <v>4369945.3696360001</v>
      </c>
      <c r="AT58" s="186">
        <v>7783.7759999999998</v>
      </c>
      <c r="AU58" s="88">
        <f>'Customer Data'!$H83</f>
        <v>1</v>
      </c>
      <c r="AV58" s="126">
        <f ca="1">HLOOKUP($B58,CDM!$B$1:$Q$22,17,FALSE)/12</f>
        <v>4557.9122413323012</v>
      </c>
      <c r="AW58" s="188">
        <f t="shared" ca="1" si="58"/>
        <v>4374503.2818773324</v>
      </c>
      <c r="AX58" s="105">
        <v>1377771.4867479999</v>
      </c>
      <c r="AY58" s="105">
        <v>4130.09</v>
      </c>
      <c r="AZ58" s="88">
        <f>'Customer Data'!$I83</f>
        <v>23384</v>
      </c>
      <c r="BA58" s="126">
        <f ca="1">HLOOKUP($B58,CDM!$B$1:$Q$22,18,FALSE)/12</f>
        <v>0</v>
      </c>
      <c r="BB58" s="188">
        <f t="shared" ca="1" si="59"/>
        <v>4130.09</v>
      </c>
      <c r="BC58" s="186">
        <v>72867.587362999999</v>
      </c>
      <c r="BD58" s="186">
        <v>200.98366899999999</v>
      </c>
      <c r="BE58" s="188">
        <f>'Customer Data'!$J83</f>
        <v>641</v>
      </c>
      <c r="BF58" s="105">
        <v>263918.531976</v>
      </c>
      <c r="BG58" s="188">
        <f>'Customer Data'!$K83</f>
        <v>791</v>
      </c>
      <c r="BH58" s="188">
        <f>Weather!B226</f>
        <v>41.2</v>
      </c>
      <c r="BI58" s="188">
        <f>Weather!$C226</f>
        <v>65.3</v>
      </c>
      <c r="BJ58" s="166">
        <f>Employment!B82</f>
        <v>6843.3</v>
      </c>
      <c r="BK58" s="188">
        <f>Employment!$C82</f>
        <v>154</v>
      </c>
      <c r="BL58" s="188">
        <f>Employment!D82</f>
        <v>586913</v>
      </c>
      <c r="BM58" s="188">
        <f t="shared" si="61"/>
        <v>57</v>
      </c>
      <c r="BN58" s="188">
        <f t="shared" ref="BN58:CA58" si="77">BN46</f>
        <v>0</v>
      </c>
      <c r="BO58" s="188">
        <f t="shared" si="77"/>
        <v>0</v>
      </c>
      <c r="BP58" s="188">
        <f t="shared" si="77"/>
        <v>0</v>
      </c>
      <c r="BQ58" s="188">
        <f t="shared" si="77"/>
        <v>0</v>
      </c>
      <c r="BR58" s="188">
        <f t="shared" si="77"/>
        <v>0</v>
      </c>
      <c r="BS58" s="188">
        <f t="shared" si="77"/>
        <v>0</v>
      </c>
      <c r="BT58" s="188">
        <f t="shared" si="77"/>
        <v>0</v>
      </c>
      <c r="BU58" s="188">
        <f t="shared" si="77"/>
        <v>0</v>
      </c>
      <c r="BV58" s="188">
        <f t="shared" si="77"/>
        <v>1</v>
      </c>
      <c r="BW58" s="188">
        <f t="shared" si="77"/>
        <v>0</v>
      </c>
      <c r="BX58" s="188">
        <f t="shared" si="77"/>
        <v>0</v>
      </c>
      <c r="BY58" s="188">
        <f t="shared" si="77"/>
        <v>0</v>
      </c>
      <c r="BZ58" s="188">
        <f t="shared" si="77"/>
        <v>0</v>
      </c>
      <c r="CA58" s="188">
        <f t="shared" si="77"/>
        <v>1</v>
      </c>
      <c r="CB58" s="188">
        <f t="shared" si="16"/>
        <v>1</v>
      </c>
      <c r="CC58" s="188">
        <f t="shared" si="70"/>
        <v>30</v>
      </c>
      <c r="CD58" s="121">
        <v>20</v>
      </c>
    </row>
    <row r="59" spans="1:82" s="188" customFormat="1" ht="15">
      <c r="A59" s="190">
        <v>41548</v>
      </c>
      <c r="B59" s="191">
        <f t="shared" si="52"/>
        <v>2013</v>
      </c>
      <c r="C59" s="186">
        <v>43055049.155358285</v>
      </c>
      <c r="D59" s="88">
        <f>('Customer Data'!$B83*2+'Customer Data'!$B86)/3</f>
        <v>77592</v>
      </c>
      <c r="E59" s="188">
        <f ca="1">HLOOKUP($B59,CDM!$B$1:$Q$22,11,FALSE)/12</f>
        <v>1258456.7783805849</v>
      </c>
      <c r="F59" s="189">
        <f t="shared" ca="1" si="53"/>
        <v>44313505.933738872</v>
      </c>
      <c r="G59" s="186">
        <v>16662418.729810195</v>
      </c>
      <c r="H59" s="88">
        <f>('Customer Data'!$C83*2+'Customer Data'!$C86)/3</f>
        <v>6940.7777777777783</v>
      </c>
      <c r="I59" s="188">
        <f ca="1">HLOOKUP($B59,CDM!$B$1:$Q$22,12,FALSE)/12</f>
        <v>975968.69863015693</v>
      </c>
      <c r="J59" s="188">
        <f t="shared" ca="1" si="54"/>
        <v>17638387.428440351</v>
      </c>
      <c r="K59" s="186">
        <v>76207730.909240991</v>
      </c>
      <c r="L59" s="186">
        <v>202063.90709199998</v>
      </c>
      <c r="M59" s="88">
        <f>('Customer Data'!$D83*2+'Customer Data'!$D86)/3</f>
        <v>1177.3333333333333</v>
      </c>
      <c r="N59" s="126">
        <f ca="1">HLOOKUP($B59,CDM!$B$1:$Q$22,13,FALSE)/12</f>
        <v>1684340.17549489</v>
      </c>
      <c r="O59" s="188">
        <f t="shared" ca="1" si="38"/>
        <v>77422083.680861652</v>
      </c>
      <c r="P59" s="188">
        <f t="shared" si="39"/>
        <v>200361.40709199998</v>
      </c>
      <c r="Q59" s="188">
        <v>194105.52182711763</v>
      </c>
      <c r="R59" s="188">
        <v>498.4</v>
      </c>
      <c r="S59" s="229">
        <v>0</v>
      </c>
      <c r="T59" s="189">
        <f t="shared" ca="1" si="10"/>
        <v>77227978.159034535</v>
      </c>
      <c r="U59" s="156">
        <f t="shared" si="11"/>
        <v>199863.00709199999</v>
      </c>
      <c r="V59" s="186">
        <v>4206975.692489</v>
      </c>
      <c r="W59" s="186">
        <v>11371.901228999999</v>
      </c>
      <c r="X59" s="88">
        <f>('Customer Data'!$E83*2+'Customer Data'!$E86)/3</f>
        <v>3</v>
      </c>
      <c r="Y59" s="126">
        <f ca="1">HLOOKUP($B59,CDM!$B$1:$Q$22,14,FALSE)/12</f>
        <v>5297.0208632293334</v>
      </c>
      <c r="Z59" s="188">
        <f t="shared" ca="1" si="55"/>
        <v>4212272.7133522294</v>
      </c>
      <c r="AA59" s="186">
        <v>25238122.197127998</v>
      </c>
      <c r="AB59" s="186">
        <v>49064.003504</v>
      </c>
      <c r="AC59" s="88">
        <f>('Customer Data'!$F83*2+'Customer Data'!$F86)/3</f>
        <v>6</v>
      </c>
      <c r="AD59" s="126">
        <f ca="1">HLOOKUP($B59,CDM!$B$1:$Q$22,15,FALSE)/12</f>
        <v>507506.52818861761</v>
      </c>
      <c r="AE59" s="188">
        <f t="shared" ca="1" si="56"/>
        <v>25745628.725316614</v>
      </c>
      <c r="AF59" s="186">
        <v>23494506.450813003</v>
      </c>
      <c r="AG59" s="186">
        <v>44354.817539999996</v>
      </c>
      <c r="AH59" s="88">
        <f>('Customer Data'!$G83*2+'Customer Data'!$G86)/3</f>
        <v>2</v>
      </c>
      <c r="AI59" s="126">
        <f ca="1">HLOOKUP($B59,CDM!$B$1:$Q$22,16,FALSE)/12</f>
        <v>756294.05477068387</v>
      </c>
      <c r="AJ59" s="188">
        <f t="shared" ca="1" si="57"/>
        <v>24250800.505583689</v>
      </c>
      <c r="AK59" s="188">
        <f t="shared" si="43"/>
        <v>44354.817539999996</v>
      </c>
      <c r="AL59" s="188">
        <v>469987.40387423337</v>
      </c>
      <c r="AM59" s="188">
        <v>1702.5</v>
      </c>
      <c r="AN59" s="156">
        <v>4368930.8275469132</v>
      </c>
      <c r="AO59" s="156">
        <v>7087.13</v>
      </c>
      <c r="AP59" s="156">
        <v>47023.712750000006</v>
      </c>
      <c r="AQ59" s="156">
        <f t="shared" ca="1" si="13"/>
        <v>21329674.185019702</v>
      </c>
      <c r="AR59" s="156">
        <f t="shared" si="14"/>
        <v>41976.873504000003</v>
      </c>
      <c r="AS59" s="186">
        <v>4131741.6735769999</v>
      </c>
      <c r="AT59" s="186">
        <v>7065.6537600000001</v>
      </c>
      <c r="AU59" s="88">
        <f>('Customer Data'!$H83*2+'Customer Data'!$H86)/3</f>
        <v>1</v>
      </c>
      <c r="AV59" s="126">
        <f ca="1">HLOOKUP($B59,CDM!$B$1:$Q$22,17,FALSE)/12</f>
        <v>4557.9122413323012</v>
      </c>
      <c r="AW59" s="188">
        <f t="shared" ca="1" si="58"/>
        <v>4136299.5858183322</v>
      </c>
      <c r="AX59" s="105">
        <v>1615411.460773</v>
      </c>
      <c r="AY59" s="105">
        <v>4108.32</v>
      </c>
      <c r="AZ59" s="88">
        <f>('Customer Data'!$I83*2+'Customer Data'!$I86)/3</f>
        <v>23392.333333333332</v>
      </c>
      <c r="BA59" s="126">
        <f ca="1">HLOOKUP($B59,CDM!$B$1:$Q$22,18,FALSE)/12</f>
        <v>0</v>
      </c>
      <c r="BB59" s="188">
        <f t="shared" ca="1" si="59"/>
        <v>4108.32</v>
      </c>
      <c r="BC59" s="186">
        <v>75582.768481999999</v>
      </c>
      <c r="BD59" s="186">
        <v>203.44365300000001</v>
      </c>
      <c r="BE59" s="188">
        <f>('Customer Data'!$J83*2+'Customer Data'!$J86*1)/3</f>
        <v>642.33333333333337</v>
      </c>
      <c r="BF59" s="105">
        <v>269372.71587499999</v>
      </c>
      <c r="BG59" s="188">
        <f>('Customer Data'!$K83*2+'Customer Data'!$K86*1)/3</f>
        <v>787.66666666666663</v>
      </c>
      <c r="BH59" s="188">
        <f>Weather!B227</f>
        <v>170.49999999999997</v>
      </c>
      <c r="BI59" s="188">
        <f>Weather!$C227</f>
        <v>19.899999999999999</v>
      </c>
      <c r="BJ59" s="166">
        <f>Employment!B83</f>
        <v>6850.3</v>
      </c>
      <c r="BK59" s="188">
        <f>Employment!$C83</f>
        <v>154.5</v>
      </c>
      <c r="BL59" s="188">
        <f>Employment!D83</f>
        <v>586913</v>
      </c>
      <c r="BM59" s="188">
        <f t="shared" si="61"/>
        <v>58</v>
      </c>
      <c r="BN59" s="188">
        <f t="shared" ref="BN59:CA59" si="78">BN47</f>
        <v>0</v>
      </c>
      <c r="BO59" s="188">
        <f t="shared" si="78"/>
        <v>0</v>
      </c>
      <c r="BP59" s="188">
        <f t="shared" si="78"/>
        <v>0</v>
      </c>
      <c r="BQ59" s="188">
        <f t="shared" si="78"/>
        <v>0</v>
      </c>
      <c r="BR59" s="188">
        <f t="shared" si="78"/>
        <v>0</v>
      </c>
      <c r="BS59" s="188">
        <f t="shared" si="78"/>
        <v>0</v>
      </c>
      <c r="BT59" s="188">
        <f t="shared" si="78"/>
        <v>0</v>
      </c>
      <c r="BU59" s="188">
        <f t="shared" si="78"/>
        <v>0</v>
      </c>
      <c r="BV59" s="188">
        <f t="shared" si="78"/>
        <v>0</v>
      </c>
      <c r="BW59" s="188">
        <f t="shared" si="78"/>
        <v>1</v>
      </c>
      <c r="BX59" s="188">
        <f t="shared" si="78"/>
        <v>0</v>
      </c>
      <c r="BY59" s="188">
        <f t="shared" si="78"/>
        <v>0</v>
      </c>
      <c r="BZ59" s="188">
        <f t="shared" si="78"/>
        <v>0</v>
      </c>
      <c r="CA59" s="188">
        <f t="shared" si="78"/>
        <v>1</v>
      </c>
      <c r="CB59" s="188">
        <f t="shared" si="16"/>
        <v>1</v>
      </c>
      <c r="CC59" s="188">
        <f t="shared" si="70"/>
        <v>31</v>
      </c>
      <c r="CD59" s="121">
        <v>22</v>
      </c>
    </row>
    <row r="60" spans="1:82" s="188" customFormat="1" ht="15">
      <c r="A60" s="190">
        <v>41579</v>
      </c>
      <c r="B60" s="191">
        <f t="shared" si="52"/>
        <v>2013</v>
      </c>
      <c r="C60" s="186">
        <v>46010506.902325317</v>
      </c>
      <c r="D60" s="88">
        <f>('Customer Data'!$B83+'Customer Data'!$B86*2)/3</f>
        <v>77610</v>
      </c>
      <c r="E60" s="188">
        <f ca="1">HLOOKUP($B60,CDM!$B$1:$Q$22,11,FALSE)/12</f>
        <v>1258456.7783805849</v>
      </c>
      <c r="F60" s="189">
        <f t="shared" ca="1" si="53"/>
        <v>47268963.680705905</v>
      </c>
      <c r="G60" s="186">
        <v>17044915.346090768</v>
      </c>
      <c r="H60" s="88">
        <f>('Customer Data'!$C83+'Customer Data'!$C86*2)/3</f>
        <v>6938.8888888888896</v>
      </c>
      <c r="I60" s="188">
        <f ca="1">HLOOKUP($B60,CDM!$B$1:$Q$22,12,FALSE)/12</f>
        <v>975968.69863015693</v>
      </c>
      <c r="J60" s="188">
        <f t="shared" ca="1" si="54"/>
        <v>18020884.044720925</v>
      </c>
      <c r="K60" s="186">
        <v>78842349.309129998</v>
      </c>
      <c r="L60" s="186">
        <v>200700.45889299997</v>
      </c>
      <c r="M60" s="88">
        <f>('Customer Data'!$D83+'Customer Data'!$D86*2)/3</f>
        <v>1184.6666666666667</v>
      </c>
      <c r="N60" s="126">
        <f ca="1">HLOOKUP($B60,CDM!$B$1:$Q$22,13,FALSE)/12</f>
        <v>1684340.17549489</v>
      </c>
      <c r="O60" s="188">
        <f t="shared" ca="1" si="38"/>
        <v>79988549.467103228</v>
      </c>
      <c r="P60" s="188">
        <f t="shared" si="39"/>
        <v>198867.75889299996</v>
      </c>
      <c r="Q60" s="188">
        <v>189904.14377951238</v>
      </c>
      <c r="R60" s="188">
        <v>460.5</v>
      </c>
      <c r="S60" s="229">
        <v>0</v>
      </c>
      <c r="T60" s="189">
        <f t="shared" ca="1" si="10"/>
        <v>79798645.323323712</v>
      </c>
      <c r="U60" s="156">
        <f t="shared" si="11"/>
        <v>198407.25889299996</v>
      </c>
      <c r="V60" s="186">
        <v>3806081.5440310002</v>
      </c>
      <c r="W60" s="186">
        <v>10647.116082</v>
      </c>
      <c r="X60" s="88">
        <f>('Customer Data'!$E83+'Customer Data'!$E86*2)/3</f>
        <v>3</v>
      </c>
      <c r="Y60" s="126">
        <f ca="1">HLOOKUP($B60,CDM!$B$1:$Q$22,14,FALSE)/12</f>
        <v>5297.0208632293334</v>
      </c>
      <c r="Z60" s="188">
        <f t="shared" ca="1" si="55"/>
        <v>3811378.5648942296</v>
      </c>
      <c r="AA60" s="186">
        <v>24424758.252935</v>
      </c>
      <c r="AB60" s="186">
        <v>44833.758539999995</v>
      </c>
      <c r="AC60" s="88">
        <f>('Customer Data'!$F83+'Customer Data'!$F86*2)/3</f>
        <v>6</v>
      </c>
      <c r="AD60" s="126">
        <f ca="1">HLOOKUP($B60,CDM!$B$1:$Q$22,15,FALSE)/12</f>
        <v>507506.52818861761</v>
      </c>
      <c r="AE60" s="188">
        <f t="shared" ca="1" si="56"/>
        <v>24932264.781123616</v>
      </c>
      <c r="AF60" s="186">
        <v>22217289.569448002</v>
      </c>
      <c r="AG60" s="186">
        <v>39753.069839999996</v>
      </c>
      <c r="AH60" s="88">
        <f>('Customer Data'!$G83+'Customer Data'!$G86*2)/3</f>
        <v>2</v>
      </c>
      <c r="AI60" s="126">
        <f ca="1">HLOOKUP($B60,CDM!$B$1:$Q$22,16,FALSE)/12</f>
        <v>756294.05477068387</v>
      </c>
      <c r="AJ60" s="188">
        <f t="shared" ca="1" si="57"/>
        <v>22973583.624218687</v>
      </c>
      <c r="AK60" s="188">
        <f t="shared" si="43"/>
        <v>39753.069839999996</v>
      </c>
      <c r="AL60" s="188">
        <v>538140.01752165868</v>
      </c>
      <c r="AM60" s="188">
        <v>1832.7</v>
      </c>
      <c r="AN60" s="156">
        <v>4397535.0172830895</v>
      </c>
      <c r="AO60" s="156">
        <v>7204.03</v>
      </c>
      <c r="AP60" s="156">
        <v>47023.712750000006</v>
      </c>
      <c r="AQ60" s="156">
        <f t="shared" ca="1" si="13"/>
        <v>20487706.051090527</v>
      </c>
      <c r="AR60" s="156">
        <f t="shared" si="14"/>
        <v>37629.728539999996</v>
      </c>
      <c r="AS60" s="186">
        <v>4219064.4206299996</v>
      </c>
      <c r="AT60" s="186">
        <v>6756.20352</v>
      </c>
      <c r="AU60" s="88">
        <f>('Customer Data'!$H83+'Customer Data'!$H86*2)/3</f>
        <v>1</v>
      </c>
      <c r="AV60" s="126">
        <f ca="1">HLOOKUP($B60,CDM!$B$1:$Q$22,17,FALSE)/12</f>
        <v>4557.9122413323012</v>
      </c>
      <c r="AW60" s="188">
        <f t="shared" ca="1" si="58"/>
        <v>4223622.3328713318</v>
      </c>
      <c r="AX60" s="105">
        <v>1720908.020913</v>
      </c>
      <c r="AY60" s="105">
        <v>4108.32</v>
      </c>
      <c r="AZ60" s="88">
        <f>('Customer Data'!$I83+'Customer Data'!$I86*2)/3</f>
        <v>23400.666666666668</v>
      </c>
      <c r="BA60" s="126">
        <f ca="1">HLOOKUP($B60,CDM!$B$1:$Q$22,18,FALSE)/12</f>
        <v>0</v>
      </c>
      <c r="BB60" s="188">
        <f t="shared" ca="1" si="59"/>
        <v>4108.32</v>
      </c>
      <c r="BC60" s="186">
        <v>73216.875964000006</v>
      </c>
      <c r="BD60" s="186">
        <v>216.67667399999999</v>
      </c>
      <c r="BE60" s="188">
        <f>('Customer Data'!$J83*1+'Customer Data'!$J86*2)/3</f>
        <v>643.66666666666663</v>
      </c>
      <c r="BF60" s="105">
        <v>258062.708231</v>
      </c>
      <c r="BG60" s="188">
        <f>('Customer Data'!$K83*1+'Customer Data'!$K86*2)/3</f>
        <v>784.33333333333337</v>
      </c>
      <c r="BH60" s="188">
        <f>Weather!B228</f>
        <v>424.9</v>
      </c>
      <c r="BI60" s="188">
        <f>Weather!$C228</f>
        <v>0</v>
      </c>
      <c r="BJ60" s="166">
        <f>Employment!B84</f>
        <v>6854</v>
      </c>
      <c r="BK60" s="188">
        <f>Employment!$C84</f>
        <v>155</v>
      </c>
      <c r="BL60" s="188">
        <f>Employment!D84</f>
        <v>586913</v>
      </c>
      <c r="BM60" s="188">
        <f t="shared" si="61"/>
        <v>59</v>
      </c>
      <c r="BN60" s="188">
        <f t="shared" ref="BN60:CA60" si="79">BN48</f>
        <v>0</v>
      </c>
      <c r="BO60" s="188">
        <f t="shared" si="79"/>
        <v>0</v>
      </c>
      <c r="BP60" s="188">
        <f t="shared" si="79"/>
        <v>0</v>
      </c>
      <c r="BQ60" s="188">
        <f t="shared" si="79"/>
        <v>0</v>
      </c>
      <c r="BR60" s="188">
        <f t="shared" si="79"/>
        <v>0</v>
      </c>
      <c r="BS60" s="188">
        <f t="shared" si="79"/>
        <v>0</v>
      </c>
      <c r="BT60" s="188">
        <f t="shared" si="79"/>
        <v>0</v>
      </c>
      <c r="BU60" s="188">
        <f t="shared" si="79"/>
        <v>0</v>
      </c>
      <c r="BV60" s="188">
        <f t="shared" si="79"/>
        <v>0</v>
      </c>
      <c r="BW60" s="188">
        <f t="shared" si="79"/>
        <v>0</v>
      </c>
      <c r="BX60" s="188">
        <f t="shared" si="79"/>
        <v>1</v>
      </c>
      <c r="BY60" s="188">
        <f t="shared" si="79"/>
        <v>0</v>
      </c>
      <c r="BZ60" s="188">
        <f t="shared" si="79"/>
        <v>0</v>
      </c>
      <c r="CA60" s="188">
        <f t="shared" si="79"/>
        <v>1</v>
      </c>
      <c r="CB60" s="188">
        <f t="shared" si="16"/>
        <v>1</v>
      </c>
      <c r="CC60" s="188">
        <f t="shared" si="70"/>
        <v>30</v>
      </c>
      <c r="CD60" s="121">
        <v>21</v>
      </c>
    </row>
    <row r="61" spans="1:82" s="188" customFormat="1" ht="15">
      <c r="A61" s="190">
        <v>41609</v>
      </c>
      <c r="B61" s="191">
        <f t="shared" si="52"/>
        <v>2013</v>
      </c>
      <c r="C61" s="186">
        <v>56023838.158888742</v>
      </c>
      <c r="D61" s="88">
        <f>'Customer Data'!$B86</f>
        <v>77628</v>
      </c>
      <c r="E61" s="188">
        <f ca="1">HLOOKUP($B61,CDM!$B$1:$Q$22,11,FALSE)/12</f>
        <v>1258456.7783805849</v>
      </c>
      <c r="F61" s="189">
        <f t="shared" ca="1" si="53"/>
        <v>57282294.93726933</v>
      </c>
      <c r="G61" s="186">
        <v>19090664.555718187</v>
      </c>
      <c r="H61" s="88">
        <f>'Customer Data'!$C86</f>
        <v>6937</v>
      </c>
      <c r="I61" s="188">
        <f ca="1">HLOOKUP($B61,CDM!$B$1:$Q$22,12,FALSE)/12</f>
        <v>975968.69863015693</v>
      </c>
      <c r="J61" s="188">
        <f t="shared" ca="1" si="54"/>
        <v>20066633.254348345</v>
      </c>
      <c r="K61" s="186">
        <v>83100177.933131337</v>
      </c>
      <c r="L61" s="186">
        <v>294326.30224699999</v>
      </c>
      <c r="M61" s="88">
        <f>'Customer Data'!$D86</f>
        <v>1192</v>
      </c>
      <c r="N61" s="126">
        <f ca="1">HLOOKUP($B61,CDM!$B$1:$Q$22,13,FALSE)/12</f>
        <v>1684340.17549489</v>
      </c>
      <c r="O61" s="188">
        <f t="shared" ca="1" si="38"/>
        <v>83719004.850571141</v>
      </c>
      <c r="P61" s="188">
        <f t="shared" si="39"/>
        <v>292361.91224699997</v>
      </c>
      <c r="Q61" s="188">
        <v>173467.80379685844</v>
      </c>
      <c r="R61" s="188">
        <v>441.8</v>
      </c>
      <c r="S61" s="229">
        <v>0</v>
      </c>
      <c r="T61" s="189">
        <f t="shared" ca="1" si="10"/>
        <v>83545537.046774283</v>
      </c>
      <c r="U61" s="156">
        <f t="shared" si="11"/>
        <v>291920.11224699998</v>
      </c>
      <c r="V61" s="186">
        <v>3573144.9285610002</v>
      </c>
      <c r="W61" s="186">
        <v>10730.961117000001</v>
      </c>
      <c r="X61" s="88">
        <f>'Customer Data'!$E86</f>
        <v>3</v>
      </c>
      <c r="Y61" s="126">
        <f ca="1">HLOOKUP($B61,CDM!$B$1:$Q$22,14,FALSE)/12</f>
        <v>5297.0208632293334</v>
      </c>
      <c r="Z61" s="188">
        <f t="shared" ca="1" si="55"/>
        <v>3578441.9494242296</v>
      </c>
      <c r="AA61" s="186">
        <v>22132422.99061</v>
      </c>
      <c r="AB61" s="186">
        <v>44929.063290999999</v>
      </c>
      <c r="AC61" s="88">
        <f>'Customer Data'!$F86</f>
        <v>6</v>
      </c>
      <c r="AD61" s="126">
        <f ca="1">HLOOKUP($B61,CDM!$B$1:$Q$22,15,FALSE)/12</f>
        <v>507506.52818861761</v>
      </c>
      <c r="AE61" s="188">
        <f t="shared" ca="1" si="56"/>
        <v>22639929.518798616</v>
      </c>
      <c r="AF61" s="186">
        <v>19249691.490638003</v>
      </c>
      <c r="AG61" s="186">
        <v>40047.416639999996</v>
      </c>
      <c r="AH61" s="88">
        <f>'Customer Data'!$G86</f>
        <v>2</v>
      </c>
      <c r="AI61" s="126">
        <f ca="1">HLOOKUP($B61,CDM!$B$1:$Q$22,16,FALSE)/12</f>
        <v>756294.05477068387</v>
      </c>
      <c r="AJ61" s="188">
        <f t="shared" ca="1" si="57"/>
        <v>20005985.545408688</v>
      </c>
      <c r="AK61" s="188">
        <f t="shared" si="43"/>
        <v>40047.416639999996</v>
      </c>
      <c r="AL61" s="188">
        <v>1065513.2580550958</v>
      </c>
      <c r="AM61" s="188">
        <v>1964.39</v>
      </c>
      <c r="AN61" s="156">
        <v>3817388.0396853299</v>
      </c>
      <c r="AO61" s="156">
        <v>7228.74</v>
      </c>
      <c r="AP61" s="156">
        <v>47023.712750000006</v>
      </c>
      <c r="AQ61" s="156">
        <f t="shared" ca="1" si="13"/>
        <v>18775517.766363285</v>
      </c>
      <c r="AR61" s="156">
        <f t="shared" si="14"/>
        <v>37700.323291000001</v>
      </c>
      <c r="AS61" s="186">
        <v>3272384.7696420001</v>
      </c>
      <c r="AT61" s="186">
        <v>6785.0956800000004</v>
      </c>
      <c r="AU61" s="88">
        <f>'Customer Data'!$H86</f>
        <v>1</v>
      </c>
      <c r="AV61" s="126">
        <f ca="1">HLOOKUP($B61,CDM!$B$1:$Q$22,17,FALSE)/12</f>
        <v>4557.9122413323012</v>
      </c>
      <c r="AW61" s="188">
        <f t="shared" ca="1" si="58"/>
        <v>3276942.6818833323</v>
      </c>
      <c r="AX61" s="105">
        <v>1816992.509299</v>
      </c>
      <c r="AY61" s="105">
        <v>4116.88</v>
      </c>
      <c r="AZ61" s="88">
        <f>'Customer Data'!$I86</f>
        <v>23409</v>
      </c>
      <c r="BA61" s="126">
        <f ca="1">HLOOKUP($B61,CDM!$B$1:$Q$22,18,FALSE)/12</f>
        <v>0</v>
      </c>
      <c r="BB61" s="188">
        <f t="shared" ca="1" si="59"/>
        <v>4116.88</v>
      </c>
      <c r="BC61" s="186">
        <v>75638.194055</v>
      </c>
      <c r="BD61" s="186">
        <v>183.54993400000001</v>
      </c>
      <c r="BE61" s="188">
        <f>'Customer Data'!$J86</f>
        <v>645</v>
      </c>
      <c r="BF61" s="105">
        <v>224271.44074600001</v>
      </c>
      <c r="BG61" s="188">
        <f>'Customer Data'!$K86</f>
        <v>781</v>
      </c>
      <c r="BH61" s="188">
        <f>Weather!B229</f>
        <v>614.30000000000007</v>
      </c>
      <c r="BI61" s="188">
        <f>Weather!$C229</f>
        <v>0</v>
      </c>
      <c r="BJ61" s="166">
        <f>Employment!B85</f>
        <v>6850.4</v>
      </c>
      <c r="BK61" s="188">
        <f>Employment!$C85</f>
        <v>157</v>
      </c>
      <c r="BL61" s="188">
        <f>Employment!D85</f>
        <v>586913</v>
      </c>
      <c r="BM61" s="188">
        <f t="shared" si="61"/>
        <v>60</v>
      </c>
      <c r="BN61" s="188">
        <f t="shared" ref="BN61:CA61" si="80">BN49</f>
        <v>0</v>
      </c>
      <c r="BO61" s="188">
        <f t="shared" si="80"/>
        <v>0</v>
      </c>
      <c r="BP61" s="188">
        <f t="shared" si="80"/>
        <v>0</v>
      </c>
      <c r="BQ61" s="188">
        <f t="shared" si="80"/>
        <v>0</v>
      </c>
      <c r="BR61" s="188">
        <f t="shared" si="80"/>
        <v>0</v>
      </c>
      <c r="BS61" s="188">
        <f t="shared" si="80"/>
        <v>0</v>
      </c>
      <c r="BT61" s="188">
        <f t="shared" si="80"/>
        <v>0</v>
      </c>
      <c r="BU61" s="188">
        <f t="shared" si="80"/>
        <v>0</v>
      </c>
      <c r="BV61" s="188">
        <f t="shared" si="80"/>
        <v>0</v>
      </c>
      <c r="BW61" s="188">
        <f t="shared" si="80"/>
        <v>0</v>
      </c>
      <c r="BX61" s="188">
        <f t="shared" si="80"/>
        <v>0</v>
      </c>
      <c r="BY61" s="188">
        <f t="shared" si="80"/>
        <v>1</v>
      </c>
      <c r="BZ61" s="188">
        <f t="shared" si="80"/>
        <v>0</v>
      </c>
      <c r="CA61" s="188">
        <f t="shared" si="80"/>
        <v>0</v>
      </c>
      <c r="CB61" s="188">
        <f t="shared" si="16"/>
        <v>0</v>
      </c>
      <c r="CC61" s="188">
        <f t="shared" si="70"/>
        <v>31</v>
      </c>
      <c r="CD61" s="121">
        <v>20</v>
      </c>
    </row>
    <row r="62" spans="1:82" s="188" customFormat="1" ht="15">
      <c r="A62" s="190">
        <v>41640</v>
      </c>
      <c r="B62" s="191">
        <f t="shared" si="52"/>
        <v>2014</v>
      </c>
      <c r="C62" s="186">
        <v>59633043.363366485</v>
      </c>
      <c r="D62" s="88">
        <f>('Customer Data'!$B86*2+'Customer Data'!$B89)/3</f>
        <v>77687</v>
      </c>
      <c r="E62" s="188">
        <f ca="1">HLOOKUP($B62,CDM!$B$1:$Q$22,11,FALSE)/12</f>
        <v>1450241.2754180685</v>
      </c>
      <c r="F62" s="189">
        <f t="shared" ca="1" si="53"/>
        <v>61083284.63878455</v>
      </c>
      <c r="G62" s="186">
        <v>20293263.731993645</v>
      </c>
      <c r="H62" s="88">
        <f>('Customer Data'!$C86*2+'Customer Data'!$C89)/3</f>
        <v>6959.333333333333</v>
      </c>
      <c r="I62" s="188">
        <f ca="1">HLOOKUP($B62,CDM!$B$1:$Q$22,12,FALSE)/12</f>
        <v>1010514.0518786918</v>
      </c>
      <c r="J62" s="188">
        <f t="shared" ca="1" si="54"/>
        <v>21303777.783872336</v>
      </c>
      <c r="K62" s="186">
        <v>95127929.028871685</v>
      </c>
      <c r="L62" s="186">
        <v>111610.32999999999</v>
      </c>
      <c r="M62" s="88">
        <f>('Customer Data'!$D86*2+'Customer Data'!$D89)/3</f>
        <v>1198.3333333333333</v>
      </c>
      <c r="N62" s="126">
        <f ca="1">HLOOKUP($B62,CDM!$B$1:$Q$22,13,FALSE)/12</f>
        <v>2474076.3927498753</v>
      </c>
      <c r="O62" s="188">
        <f t="shared" ca="1" si="38"/>
        <v>96510112.683375672</v>
      </c>
      <c r="P62" s="188">
        <f t="shared" si="39"/>
        <v>109847.54</v>
      </c>
      <c r="Q62" s="188">
        <v>183423.78336706175</v>
      </c>
      <c r="R62" s="188">
        <v>420.66</v>
      </c>
      <c r="S62" s="229">
        <v>0</v>
      </c>
      <c r="T62" s="189">
        <f t="shared" ca="1" si="10"/>
        <v>96326688.900008604</v>
      </c>
      <c r="U62" s="156">
        <f t="shared" si="11"/>
        <v>109426.87999999999</v>
      </c>
      <c r="V62" s="186">
        <v>3970859.6096310001</v>
      </c>
      <c r="W62" s="186">
        <v>11063.82</v>
      </c>
      <c r="X62" s="88">
        <f>('Customer Data'!$E86*2+'Customer Data'!$E89)/3</f>
        <v>3</v>
      </c>
      <c r="Y62" s="126">
        <f ca="1">HLOOKUP($B62,CDM!$B$1:$Q$22,14,FALSE)/12</f>
        <v>6426.6101031082007</v>
      </c>
      <c r="Z62" s="188">
        <f t="shared" ca="1" si="55"/>
        <v>3977286.2197341081</v>
      </c>
      <c r="AA62" s="186">
        <v>25930594.988729</v>
      </c>
      <c r="AB62" s="186">
        <v>45518.039999999994</v>
      </c>
      <c r="AC62" s="88">
        <f>('Customer Data'!$F86*2+'Customer Data'!$F89)/3</f>
        <v>6</v>
      </c>
      <c r="AD62" s="126">
        <f ca="1">HLOOKUP($B62,CDM!$B$1:$Q$22,15,FALSE)/12</f>
        <v>740088.24419988645</v>
      </c>
      <c r="AE62" s="188">
        <f t="shared" ca="1" si="56"/>
        <v>26670683.232928887</v>
      </c>
      <c r="AF62" s="186">
        <v>19386772.480020996</v>
      </c>
      <c r="AG62" s="186">
        <v>40266.29</v>
      </c>
      <c r="AH62" s="88">
        <f>('Customer Data'!$G86*2+'Customer Data'!$G89)/3</f>
        <v>2</v>
      </c>
      <c r="AI62" s="126">
        <f ca="1">HLOOKUP($B62,CDM!$B$1:$Q$22,16,FALSE)/12</f>
        <v>1116955.3038989448</v>
      </c>
      <c r="AJ62" s="188">
        <f t="shared" ca="1" si="57"/>
        <v>20503727.783919942</v>
      </c>
      <c r="AK62" s="188">
        <f t="shared" si="43"/>
        <v>40266.29</v>
      </c>
      <c r="AL62" s="188">
        <v>1091892.738245887</v>
      </c>
      <c r="AM62" s="188">
        <v>1762.79</v>
      </c>
      <c r="AN62" s="156">
        <v>4209956.1572921854</v>
      </c>
      <c r="AO62" s="156">
        <v>7111.68</v>
      </c>
      <c r="AP62" s="156">
        <v>116009.85616333336</v>
      </c>
      <c r="AQ62" s="156">
        <f t="shared" ca="1" si="13"/>
        <v>22344717.219473366</v>
      </c>
      <c r="AR62" s="156">
        <f t="shared" si="14"/>
        <v>38406.359999999993</v>
      </c>
      <c r="AS62" s="186">
        <v>4376243.3190209996</v>
      </c>
      <c r="AT62" s="186">
        <v>6998.02</v>
      </c>
      <c r="AU62" s="88">
        <f>('Customer Data'!$H86*2+'Customer Data'!$H89)/3</f>
        <v>1</v>
      </c>
      <c r="AV62" s="126">
        <f ca="1">HLOOKUP($B62,CDM!$B$1:$Q$22,17,FALSE)/12</f>
        <v>4554.5553061752589</v>
      </c>
      <c r="AW62" s="188">
        <f t="shared" ca="1" si="58"/>
        <v>4380797.8743271753</v>
      </c>
      <c r="AX62" s="105">
        <v>1867753.6515899999</v>
      </c>
      <c r="AY62" s="105">
        <v>4117.3899999999994</v>
      </c>
      <c r="AZ62" s="88">
        <f>('Customer Data'!$I86*2+'Customer Data'!$I89)/3</f>
        <v>23412.333333333332</v>
      </c>
      <c r="BA62" s="126">
        <f ca="1">HLOOKUP($B62,CDM!$B$1:$Q$22,18,FALSE)/12</f>
        <v>0</v>
      </c>
      <c r="BB62" s="188">
        <f t="shared" ca="1" si="59"/>
        <v>4117.3899999999994</v>
      </c>
      <c r="BC62" s="186">
        <v>87615.382387429796</v>
      </c>
      <c r="BD62" s="186">
        <v>235.778594</v>
      </c>
      <c r="BE62" s="188">
        <f>('Customer Data'!$J86*2+'Customer Data'!$J89*1)/3</f>
        <v>645</v>
      </c>
      <c r="BF62" s="105">
        <v>219416.61260400002</v>
      </c>
      <c r="BG62" s="188">
        <f>('Customer Data'!$K86*2+'Customer Data'!$K89*1)/3</f>
        <v>782</v>
      </c>
      <c r="BH62" s="188">
        <f>Weather!B230</f>
        <v>784.99999999999977</v>
      </c>
      <c r="BI62" s="188">
        <f>Weather!$C230</f>
        <v>0</v>
      </c>
      <c r="BJ62" s="166">
        <f>Employment!B86</f>
        <v>6848.3</v>
      </c>
      <c r="BK62" s="188">
        <f>Employment!$C86</f>
        <v>157.6</v>
      </c>
      <c r="BL62" s="188">
        <f>Employment!D86</f>
        <v>601343.5</v>
      </c>
      <c r="BM62" s="188">
        <f t="shared" si="61"/>
        <v>61</v>
      </c>
      <c r="BN62" s="188">
        <f t="shared" ref="BN62:CA62" si="81">BN50</f>
        <v>1</v>
      </c>
      <c r="BO62" s="188">
        <f t="shared" si="81"/>
        <v>0</v>
      </c>
      <c r="BP62" s="188">
        <f t="shared" si="81"/>
        <v>0</v>
      </c>
      <c r="BQ62" s="188">
        <f t="shared" si="81"/>
        <v>0</v>
      </c>
      <c r="BR62" s="188">
        <f t="shared" si="81"/>
        <v>0</v>
      </c>
      <c r="BS62" s="188">
        <f t="shared" si="81"/>
        <v>0</v>
      </c>
      <c r="BT62" s="188">
        <f t="shared" si="81"/>
        <v>0</v>
      </c>
      <c r="BU62" s="188">
        <f t="shared" si="81"/>
        <v>0</v>
      </c>
      <c r="BV62" s="188">
        <f t="shared" si="81"/>
        <v>0</v>
      </c>
      <c r="BW62" s="188">
        <f t="shared" si="81"/>
        <v>0</v>
      </c>
      <c r="BX62" s="188">
        <f t="shared" si="81"/>
        <v>0</v>
      </c>
      <c r="BY62" s="188">
        <f t="shared" si="81"/>
        <v>0</v>
      </c>
      <c r="BZ62" s="188">
        <f t="shared" si="81"/>
        <v>0</v>
      </c>
      <c r="CA62" s="188">
        <f t="shared" si="81"/>
        <v>0</v>
      </c>
      <c r="CB62" s="188">
        <f t="shared" si="16"/>
        <v>0</v>
      </c>
      <c r="CC62" s="188">
        <f t="shared" si="70"/>
        <v>31</v>
      </c>
      <c r="CD62" s="121">
        <v>22</v>
      </c>
    </row>
    <row r="63" spans="1:82" s="188" customFormat="1" ht="15">
      <c r="A63" s="190">
        <v>41671</v>
      </c>
      <c r="B63" s="191">
        <f t="shared" si="52"/>
        <v>2014</v>
      </c>
      <c r="C63" s="186">
        <v>50502173.797148347</v>
      </c>
      <c r="D63" s="88">
        <f>('Customer Data'!$B86+'Customer Data'!$B89*2)/3</f>
        <v>77746</v>
      </c>
      <c r="E63" s="188">
        <f ca="1">HLOOKUP($B63,CDM!$B$1:$Q$22,11,FALSE)/12</f>
        <v>1450241.2754180685</v>
      </c>
      <c r="F63" s="189">
        <f t="shared" ca="1" si="53"/>
        <v>51952415.072566412</v>
      </c>
      <c r="G63" s="186">
        <v>18089470.08737563</v>
      </c>
      <c r="H63" s="88">
        <f>('Customer Data'!$C86+'Customer Data'!$C89*2)/3</f>
        <v>6981.666666666667</v>
      </c>
      <c r="I63" s="188">
        <f ca="1">HLOOKUP($B63,CDM!$B$1:$Q$22,12,FALSE)/12</f>
        <v>1010514.0518786918</v>
      </c>
      <c r="J63" s="188">
        <f t="shared" ca="1" si="54"/>
        <v>19099984.13925432</v>
      </c>
      <c r="K63" s="186">
        <v>84624882.343129128</v>
      </c>
      <c r="L63" s="186">
        <v>207111.23</v>
      </c>
      <c r="M63" s="88">
        <f>('Customer Data'!$D86+'Customer Data'!$D89*2)/3</f>
        <v>1204.6666666666667</v>
      </c>
      <c r="N63" s="126">
        <f ca="1">HLOOKUP($B63,CDM!$B$1:$Q$22,13,FALSE)/12</f>
        <v>2474076.3927498753</v>
      </c>
      <c r="O63" s="188">
        <f t="shared" ca="1" si="38"/>
        <v>85964089.963368535</v>
      </c>
      <c r="P63" s="188">
        <f t="shared" si="39"/>
        <v>205444.67</v>
      </c>
      <c r="Q63" s="188">
        <v>168596.55006263853</v>
      </c>
      <c r="R63" s="188">
        <v>404.55</v>
      </c>
      <c r="S63" s="229">
        <v>0</v>
      </c>
      <c r="T63" s="189">
        <f t="shared" ca="1" si="10"/>
        <v>85795493.413305894</v>
      </c>
      <c r="U63" s="156">
        <f t="shared" si="11"/>
        <v>205040.12000000002</v>
      </c>
      <c r="V63" s="186">
        <v>3312870.25</v>
      </c>
      <c r="W63" s="186">
        <v>9402.3799999999992</v>
      </c>
      <c r="X63" s="88">
        <f>('Customer Data'!$E86+'Customer Data'!$E89*2)/3</f>
        <v>3</v>
      </c>
      <c r="Y63" s="126">
        <f ca="1">HLOOKUP($B63,CDM!$B$1:$Q$22,14,FALSE)/12</f>
        <v>6426.6101031082007</v>
      </c>
      <c r="Z63" s="188">
        <f t="shared" ca="1" si="55"/>
        <v>3319296.860103108</v>
      </c>
      <c r="AA63" s="186">
        <v>22731200.91</v>
      </c>
      <c r="AB63" s="186">
        <v>41469.950000000004</v>
      </c>
      <c r="AC63" s="88">
        <f>('Customer Data'!$F86+'Customer Data'!$F89*2)/3</f>
        <v>6</v>
      </c>
      <c r="AD63" s="126">
        <f ca="1">HLOOKUP($B63,CDM!$B$1:$Q$22,15,FALSE)/12</f>
        <v>740088.24419988645</v>
      </c>
      <c r="AE63" s="188">
        <f t="shared" ca="1" si="56"/>
        <v>23471289.154199887</v>
      </c>
      <c r="AF63" s="186">
        <v>19082812.800000001</v>
      </c>
      <c r="AG63" s="186">
        <v>40541.43</v>
      </c>
      <c r="AH63" s="88">
        <f>('Customer Data'!$G86+'Customer Data'!$G89*2)/3</f>
        <v>2</v>
      </c>
      <c r="AI63" s="126">
        <f ca="1">HLOOKUP($B63,CDM!$B$1:$Q$22,16,FALSE)/12</f>
        <v>1116955.3038989448</v>
      </c>
      <c r="AJ63" s="188">
        <f t="shared" ca="1" si="57"/>
        <v>20199768.103898946</v>
      </c>
      <c r="AK63" s="188">
        <f t="shared" si="43"/>
        <v>40541.43</v>
      </c>
      <c r="AL63" s="188">
        <v>1134868.7725104641</v>
      </c>
      <c r="AM63" s="188">
        <v>1666.56</v>
      </c>
      <c r="AN63" s="156">
        <v>4109473.9173718267</v>
      </c>
      <c r="AO63" s="156">
        <v>7111.68</v>
      </c>
      <c r="AP63" s="156">
        <v>116009.85616333336</v>
      </c>
      <c r="AQ63" s="156">
        <f t="shared" ca="1" si="13"/>
        <v>19245805.380664725</v>
      </c>
      <c r="AR63" s="156">
        <f t="shared" si="14"/>
        <v>34358.270000000004</v>
      </c>
      <c r="AS63" s="186">
        <v>3872591.62</v>
      </c>
      <c r="AT63" s="186">
        <v>7041.79</v>
      </c>
      <c r="AU63" s="88">
        <f>('Customer Data'!$H86+'Customer Data'!$H89*2)/3</f>
        <v>1</v>
      </c>
      <c r="AV63" s="126">
        <f ca="1">HLOOKUP($B63,CDM!$B$1:$Q$22,17,FALSE)/12</f>
        <v>4554.5553061752589</v>
      </c>
      <c r="AW63" s="188">
        <f t="shared" ca="1" si="58"/>
        <v>3877146.1753061754</v>
      </c>
      <c r="AX63" s="105">
        <v>1504511.7699999998</v>
      </c>
      <c r="AY63" s="105">
        <v>4117.3899999999994</v>
      </c>
      <c r="AZ63" s="88">
        <f>('Customer Data'!$I86+'Customer Data'!$I89*2)/3</f>
        <v>23415.666666666668</v>
      </c>
      <c r="BA63" s="126">
        <f ca="1">HLOOKUP($B63,CDM!$B$1:$Q$22,18,FALSE)/12</f>
        <v>0</v>
      </c>
      <c r="BB63" s="188">
        <f t="shared" ca="1" si="59"/>
        <v>4117.3899999999994</v>
      </c>
      <c r="BC63" s="186">
        <v>79026.914867302898</v>
      </c>
      <c r="BD63" s="186">
        <v>206.52</v>
      </c>
      <c r="BE63" s="188">
        <f>('Customer Data'!$J86*1+'Customer Data'!$J89*2)/3</f>
        <v>645</v>
      </c>
      <c r="BF63" s="105">
        <v>206426.91</v>
      </c>
      <c r="BG63" s="188">
        <f>('Customer Data'!$K86*1+'Customer Data'!$K89*2)/3</f>
        <v>783</v>
      </c>
      <c r="BH63" s="188">
        <f>Weather!B231</f>
        <v>674.19999999999982</v>
      </c>
      <c r="BI63" s="188">
        <f>Weather!$C231</f>
        <v>0</v>
      </c>
      <c r="BJ63" s="166">
        <f>Employment!B87</f>
        <v>6850</v>
      </c>
      <c r="BK63" s="188">
        <f>Employment!$C87</f>
        <v>156.4</v>
      </c>
      <c r="BL63" s="188">
        <f>Employment!D87</f>
        <v>601343.5</v>
      </c>
      <c r="BM63" s="188">
        <f t="shared" si="61"/>
        <v>62</v>
      </c>
      <c r="BN63" s="188">
        <f t="shared" ref="BN63:CA63" si="82">BN51</f>
        <v>0</v>
      </c>
      <c r="BO63" s="188">
        <f t="shared" si="82"/>
        <v>1</v>
      </c>
      <c r="BP63" s="188">
        <f t="shared" si="82"/>
        <v>0</v>
      </c>
      <c r="BQ63" s="188">
        <f t="shared" si="82"/>
        <v>0</v>
      </c>
      <c r="BR63" s="188">
        <f t="shared" si="82"/>
        <v>0</v>
      </c>
      <c r="BS63" s="188">
        <f t="shared" si="82"/>
        <v>0</v>
      </c>
      <c r="BT63" s="188">
        <f t="shared" si="82"/>
        <v>0</v>
      </c>
      <c r="BU63" s="188">
        <f t="shared" si="82"/>
        <v>0</v>
      </c>
      <c r="BV63" s="188">
        <f t="shared" si="82"/>
        <v>0</v>
      </c>
      <c r="BW63" s="188">
        <f t="shared" si="82"/>
        <v>0</v>
      </c>
      <c r="BX63" s="188">
        <f t="shared" si="82"/>
        <v>0</v>
      </c>
      <c r="BY63" s="188">
        <f t="shared" si="82"/>
        <v>0</v>
      </c>
      <c r="BZ63" s="188">
        <f t="shared" si="82"/>
        <v>0</v>
      </c>
      <c r="CA63" s="188">
        <f t="shared" si="82"/>
        <v>0</v>
      </c>
      <c r="CB63" s="188">
        <f t="shared" si="16"/>
        <v>0</v>
      </c>
      <c r="CC63" s="188">
        <f t="shared" si="70"/>
        <v>28</v>
      </c>
      <c r="CD63" s="121">
        <v>19</v>
      </c>
    </row>
    <row r="64" spans="1:82" s="188" customFormat="1" ht="15">
      <c r="A64" s="190">
        <v>41699</v>
      </c>
      <c r="B64" s="191">
        <f t="shared" si="52"/>
        <v>2014</v>
      </c>
      <c r="C64" s="186">
        <v>49602750.207259893</v>
      </c>
      <c r="D64" s="88">
        <f>'Customer Data'!$B89</f>
        <v>77805</v>
      </c>
      <c r="E64" s="188">
        <f ca="1">HLOOKUP($B64,CDM!$B$1:$Q$22,11,FALSE)/12</f>
        <v>1450241.2754180685</v>
      </c>
      <c r="F64" s="189">
        <f t="shared" ca="1" si="53"/>
        <v>51052991.482677959</v>
      </c>
      <c r="G64" s="186">
        <v>18575177.555466957</v>
      </c>
      <c r="H64" s="88">
        <f>'Customer Data'!$C89</f>
        <v>7004</v>
      </c>
      <c r="I64" s="188">
        <f ca="1">HLOOKUP($B64,CDM!$B$1:$Q$22,12,FALSE)/12</f>
        <v>1010514.0518786918</v>
      </c>
      <c r="J64" s="188">
        <f t="shared" ca="1" si="54"/>
        <v>19585691.607345648</v>
      </c>
      <c r="K64" s="186">
        <v>86595162.402565271</v>
      </c>
      <c r="L64" s="186">
        <v>208391.22999999998</v>
      </c>
      <c r="M64" s="88">
        <f>'Customer Data'!$D89</f>
        <v>1211</v>
      </c>
      <c r="N64" s="126">
        <f ca="1">HLOOKUP($B64,CDM!$B$1:$Q$22,13,FALSE)/12</f>
        <v>2474076.3927498753</v>
      </c>
      <c r="O64" s="188">
        <f t="shared" ca="1" si="38"/>
        <v>88422332.078679308</v>
      </c>
      <c r="P64" s="188">
        <f t="shared" si="39"/>
        <v>207123.02999999997</v>
      </c>
      <c r="Q64" s="188">
        <v>179366.76303363207</v>
      </c>
      <c r="R64" s="188">
        <v>384.75</v>
      </c>
      <c r="S64" s="229">
        <v>0</v>
      </c>
      <c r="T64" s="189">
        <f t="shared" ca="1" si="10"/>
        <v>88242965.31564568</v>
      </c>
      <c r="U64" s="156">
        <f t="shared" si="11"/>
        <v>206738.27999999997</v>
      </c>
      <c r="V64" s="186">
        <v>3878948.68</v>
      </c>
      <c r="W64" s="186">
        <v>9604.08</v>
      </c>
      <c r="X64" s="88">
        <f>'Customer Data'!$E89</f>
        <v>3</v>
      </c>
      <c r="Y64" s="126">
        <f ca="1">HLOOKUP($B64,CDM!$B$1:$Q$22,14,FALSE)/12</f>
        <v>6426.6101031082007</v>
      </c>
      <c r="Z64" s="188">
        <f t="shared" ca="1" si="55"/>
        <v>3885375.2901031082</v>
      </c>
      <c r="AA64" s="186">
        <v>24525079.07</v>
      </c>
      <c r="AB64" s="186">
        <v>43366.37</v>
      </c>
      <c r="AC64" s="88">
        <f>'Customer Data'!$F89</f>
        <v>6</v>
      </c>
      <c r="AD64" s="126">
        <f ca="1">HLOOKUP($B64,CDM!$B$1:$Q$22,15,FALSE)/12</f>
        <v>740088.24419988645</v>
      </c>
      <c r="AE64" s="188">
        <f t="shared" ca="1" si="56"/>
        <v>25265167.314199887</v>
      </c>
      <c r="AF64" s="186">
        <v>21216552.57</v>
      </c>
      <c r="AG64" s="186">
        <v>40387.5</v>
      </c>
      <c r="AH64" s="88">
        <f>'Customer Data'!$G89</f>
        <v>2</v>
      </c>
      <c r="AI64" s="126">
        <f ca="1">HLOOKUP($B64,CDM!$B$1:$Q$22,16,FALSE)/12</f>
        <v>1116955.3038989448</v>
      </c>
      <c r="AJ64" s="188">
        <f t="shared" ca="1" si="57"/>
        <v>22333507.873898946</v>
      </c>
      <c r="AK64" s="188">
        <f t="shared" si="43"/>
        <v>40387.5</v>
      </c>
      <c r="AL64" s="188">
        <v>646906.71663584153</v>
      </c>
      <c r="AM64" s="188">
        <v>1268.2</v>
      </c>
      <c r="AN64" s="156">
        <v>3776665.9233449479</v>
      </c>
      <c r="AO64" s="156">
        <v>6819.84</v>
      </c>
      <c r="AP64" s="156">
        <v>116009.85616333336</v>
      </c>
      <c r="AQ64" s="156">
        <f t="shared" ca="1" si="13"/>
        <v>21372491.534691606</v>
      </c>
      <c r="AR64" s="156">
        <f t="shared" si="14"/>
        <v>36546.53</v>
      </c>
      <c r="AS64" s="186">
        <v>4148158.08</v>
      </c>
      <c r="AT64" s="186">
        <v>6817.54</v>
      </c>
      <c r="AU64" s="88">
        <f>'Customer Data'!$H89</f>
        <v>1</v>
      </c>
      <c r="AV64" s="126">
        <f ca="1">HLOOKUP($B64,CDM!$B$1:$Q$22,17,FALSE)/12</f>
        <v>4554.5553061752589</v>
      </c>
      <c r="AW64" s="188">
        <f t="shared" ca="1" si="58"/>
        <v>4152712.6353061753</v>
      </c>
      <c r="AX64" s="105">
        <v>1502560.5899999999</v>
      </c>
      <c r="AY64" s="105">
        <v>4117.3899999999994</v>
      </c>
      <c r="AZ64" s="88">
        <f>'Customer Data'!$I89</f>
        <v>23419</v>
      </c>
      <c r="BA64" s="126">
        <f ca="1">HLOOKUP($B64,CDM!$B$1:$Q$22,18,FALSE)/12</f>
        <v>0</v>
      </c>
      <c r="BB64" s="188">
        <f t="shared" ca="1" si="59"/>
        <v>4117.3899999999994</v>
      </c>
      <c r="BC64" s="186">
        <v>81884.807146185703</v>
      </c>
      <c r="BD64" s="186">
        <v>221.9</v>
      </c>
      <c r="BE64" s="188">
        <f>'Customer Data'!$J89</f>
        <v>645</v>
      </c>
      <c r="BF64" s="105">
        <v>206426.91</v>
      </c>
      <c r="BG64" s="188">
        <f>'Customer Data'!$K89</f>
        <v>784</v>
      </c>
      <c r="BH64" s="188">
        <f>Weather!B232</f>
        <v>591.90000000000009</v>
      </c>
      <c r="BI64" s="188">
        <f>Weather!$C232</f>
        <v>0</v>
      </c>
      <c r="BJ64" s="166">
        <f>Employment!B88</f>
        <v>6856.4</v>
      </c>
      <c r="BK64" s="188">
        <f>Employment!$C88</f>
        <v>155.30000000000001</v>
      </c>
      <c r="BL64" s="188">
        <f>Employment!D88</f>
        <v>601343.5</v>
      </c>
      <c r="BM64" s="188">
        <f t="shared" si="61"/>
        <v>63</v>
      </c>
      <c r="BN64" s="188">
        <f t="shared" ref="BN64:CA64" si="83">BN52</f>
        <v>0</v>
      </c>
      <c r="BO64" s="188">
        <f t="shared" si="83"/>
        <v>0</v>
      </c>
      <c r="BP64" s="188">
        <f t="shared" si="83"/>
        <v>1</v>
      </c>
      <c r="BQ64" s="188">
        <f t="shared" si="83"/>
        <v>0</v>
      </c>
      <c r="BR64" s="188">
        <f t="shared" si="83"/>
        <v>0</v>
      </c>
      <c r="BS64" s="188">
        <f t="shared" si="83"/>
        <v>0</v>
      </c>
      <c r="BT64" s="188">
        <f t="shared" si="83"/>
        <v>0</v>
      </c>
      <c r="BU64" s="188">
        <f t="shared" si="83"/>
        <v>0</v>
      </c>
      <c r="BV64" s="188">
        <f t="shared" si="83"/>
        <v>0</v>
      </c>
      <c r="BW64" s="188">
        <f t="shared" si="83"/>
        <v>0</v>
      </c>
      <c r="BX64" s="188">
        <f t="shared" si="83"/>
        <v>0</v>
      </c>
      <c r="BY64" s="188">
        <f t="shared" si="83"/>
        <v>0</v>
      </c>
      <c r="BZ64" s="188">
        <f t="shared" si="83"/>
        <v>1</v>
      </c>
      <c r="CA64" s="188">
        <f t="shared" si="83"/>
        <v>0</v>
      </c>
      <c r="CB64" s="188">
        <f t="shared" si="16"/>
        <v>1</v>
      </c>
      <c r="CC64" s="188">
        <f t="shared" si="70"/>
        <v>31</v>
      </c>
      <c r="CD64" s="121">
        <v>21</v>
      </c>
    </row>
    <row r="65" spans="1:82" s="188" customFormat="1" ht="15">
      <c r="A65" s="190">
        <v>41730</v>
      </c>
      <c r="B65" s="191">
        <f t="shared" si="52"/>
        <v>2014</v>
      </c>
      <c r="C65" s="186">
        <v>39909923.918222882</v>
      </c>
      <c r="D65" s="88">
        <f>('Customer Data'!$B89*2+'Customer Data'!$B92)/3</f>
        <v>77819.666666666672</v>
      </c>
      <c r="E65" s="188">
        <f ca="1">HLOOKUP($B65,CDM!$B$1:$Q$22,11,FALSE)/12</f>
        <v>1450241.2754180685</v>
      </c>
      <c r="F65" s="189">
        <f t="shared" ca="1" si="53"/>
        <v>41360165.193640947</v>
      </c>
      <c r="G65" s="186">
        <v>15912149.625119725</v>
      </c>
      <c r="H65" s="88">
        <f>('Customer Data'!$C89*2+'Customer Data'!$C92)/3</f>
        <v>7006.2222222222217</v>
      </c>
      <c r="I65" s="188">
        <f ca="1">HLOOKUP($B65,CDM!$B$1:$Q$22,12,FALSE)/12</f>
        <v>1010514.0518786918</v>
      </c>
      <c r="J65" s="188">
        <f t="shared" ca="1" si="54"/>
        <v>16922663.676998418</v>
      </c>
      <c r="K65" s="186">
        <v>74179904.981087357</v>
      </c>
      <c r="L65" s="186">
        <v>197732.54</v>
      </c>
      <c r="M65" s="88">
        <f>('Customer Data'!$D89*2+'Customer Data'!$D92)/3</f>
        <v>1208.3333333333333</v>
      </c>
      <c r="N65" s="126">
        <f ca="1">HLOOKUP($B65,CDM!$B$1:$Q$22,13,FALSE)/12</f>
        <v>2474076.3927498753</v>
      </c>
      <c r="O65" s="188">
        <f t="shared" ref="O65:O96" ca="1" si="84">K65+N65-AL65</f>
        <v>76199788.927618995</v>
      </c>
      <c r="P65" s="188">
        <f t="shared" ref="P65:P96" si="85">L65-AM65</f>
        <v>196960.01</v>
      </c>
      <c r="Q65" s="188">
        <v>167172.93051941795</v>
      </c>
      <c r="R65" s="188">
        <v>342.9</v>
      </c>
      <c r="S65" s="229">
        <v>0</v>
      </c>
      <c r="T65" s="189">
        <f t="shared" ca="1" si="10"/>
        <v>76032615.997099578</v>
      </c>
      <c r="U65" s="156">
        <f t="shared" si="11"/>
        <v>196617.11000000002</v>
      </c>
      <c r="V65" s="186">
        <v>3905531.85</v>
      </c>
      <c r="W65" s="186">
        <v>10379.4</v>
      </c>
      <c r="X65" s="88">
        <f>('Customer Data'!$E89*2+'Customer Data'!$E92)/3</f>
        <v>3</v>
      </c>
      <c r="Y65" s="126">
        <f ca="1">HLOOKUP($B65,CDM!$B$1:$Q$22,14,FALSE)/12</f>
        <v>6426.6101031082007</v>
      </c>
      <c r="Z65" s="188">
        <f t="shared" ca="1" si="55"/>
        <v>3911958.4601031081</v>
      </c>
      <c r="AA65" s="186">
        <v>22137885.25</v>
      </c>
      <c r="AB65" s="186">
        <v>42956.44</v>
      </c>
      <c r="AC65" s="88">
        <f>('Customer Data'!$F89*2+'Customer Data'!$F92)/3</f>
        <v>6</v>
      </c>
      <c r="AD65" s="126">
        <f ca="1">HLOOKUP($B65,CDM!$B$1:$Q$22,15,FALSE)/12</f>
        <v>740088.24419988645</v>
      </c>
      <c r="AE65" s="188">
        <f t="shared" ca="1" si="56"/>
        <v>22877973.494199887</v>
      </c>
      <c r="AF65" s="186">
        <v>21958191.59</v>
      </c>
      <c r="AG65" s="186">
        <v>40968.339999999997</v>
      </c>
      <c r="AH65" s="88">
        <f>('Customer Data'!$G89*2+'Customer Data'!$G92)/3</f>
        <v>2</v>
      </c>
      <c r="AI65" s="126">
        <f ca="1">HLOOKUP($B65,CDM!$B$1:$Q$22,16,FALSE)/12</f>
        <v>1116955.3038989448</v>
      </c>
      <c r="AJ65" s="188">
        <f t="shared" ca="1" si="57"/>
        <v>23075146.893898945</v>
      </c>
      <c r="AK65" s="188">
        <f t="shared" si="43"/>
        <v>40968.339999999997</v>
      </c>
      <c r="AL65" s="188">
        <v>454192.446218242</v>
      </c>
      <c r="AM65" s="188">
        <v>772.53</v>
      </c>
      <c r="AN65" s="156">
        <v>3424118.397212544</v>
      </c>
      <c r="AO65" s="156">
        <v>6773.76</v>
      </c>
      <c r="AP65" s="156">
        <v>116009.85616333336</v>
      </c>
      <c r="AQ65" s="156">
        <f t="shared" ca="1" si="13"/>
        <v>19337845.24082401</v>
      </c>
      <c r="AR65" s="156">
        <f t="shared" si="14"/>
        <v>36182.68</v>
      </c>
      <c r="AS65" s="186">
        <v>3838834.18</v>
      </c>
      <c r="AT65" s="186">
        <v>6710.02</v>
      </c>
      <c r="AU65" s="88">
        <f>('Customer Data'!$H89*2+'Customer Data'!$H92)/3</f>
        <v>1</v>
      </c>
      <c r="AV65" s="126">
        <f ca="1">HLOOKUP($B65,CDM!$B$1:$Q$22,17,FALSE)/12</f>
        <v>4554.5553061752589</v>
      </c>
      <c r="AW65" s="188">
        <f t="shared" ca="1" si="58"/>
        <v>3843388.7353061754</v>
      </c>
      <c r="AX65" s="105">
        <v>1290314.6399999999</v>
      </c>
      <c r="AY65" s="105">
        <v>4117.3899999999994</v>
      </c>
      <c r="AZ65" s="88">
        <f>('Customer Data'!$I89*2+'Customer Data'!$I92)/3</f>
        <v>23432</v>
      </c>
      <c r="BA65" s="126">
        <f ca="1">HLOOKUP($B65,CDM!$B$1:$Q$22,18,FALSE)/12</f>
        <v>0</v>
      </c>
      <c r="BB65" s="188">
        <f t="shared" ca="1" si="59"/>
        <v>4117.3899999999994</v>
      </c>
      <c r="BC65" s="186">
        <v>73281.618934621802</v>
      </c>
      <c r="BD65" s="186">
        <v>210.18</v>
      </c>
      <c r="BE65" s="188">
        <f>('Customer Data'!$J89*2+'Customer Data'!$J92*1)/3</f>
        <v>641.66666666666663</v>
      </c>
      <c r="BF65" s="105">
        <v>199930.05000000002</v>
      </c>
      <c r="BG65" s="188">
        <f>('Customer Data'!$K89*2+'Customer Data'!$K92*1)/3</f>
        <v>784.33333333333337</v>
      </c>
      <c r="BH65" s="188">
        <f>Weather!B233</f>
        <v>253.7</v>
      </c>
      <c r="BI65" s="188">
        <f>Weather!$C233</f>
        <v>0</v>
      </c>
      <c r="BJ65" s="166">
        <f>Employment!B89</f>
        <v>6869.6</v>
      </c>
      <c r="BK65" s="188">
        <f>Employment!$C89</f>
        <v>152.9</v>
      </c>
      <c r="BL65" s="188">
        <f>Employment!D89</f>
        <v>601343.5</v>
      </c>
      <c r="BM65" s="188">
        <f t="shared" si="61"/>
        <v>64</v>
      </c>
      <c r="BN65" s="188">
        <f t="shared" ref="BN65:CA65" si="86">BN53</f>
        <v>0</v>
      </c>
      <c r="BO65" s="188">
        <f t="shared" si="86"/>
        <v>0</v>
      </c>
      <c r="BP65" s="188">
        <f t="shared" si="86"/>
        <v>0</v>
      </c>
      <c r="BQ65" s="188">
        <f t="shared" si="86"/>
        <v>1</v>
      </c>
      <c r="BR65" s="188">
        <f t="shared" si="86"/>
        <v>0</v>
      </c>
      <c r="BS65" s="188">
        <f t="shared" si="86"/>
        <v>0</v>
      </c>
      <c r="BT65" s="188">
        <f t="shared" si="86"/>
        <v>0</v>
      </c>
      <c r="BU65" s="188">
        <f t="shared" si="86"/>
        <v>0</v>
      </c>
      <c r="BV65" s="188">
        <f t="shared" si="86"/>
        <v>0</v>
      </c>
      <c r="BW65" s="188">
        <f t="shared" si="86"/>
        <v>0</v>
      </c>
      <c r="BX65" s="188">
        <f t="shared" si="86"/>
        <v>0</v>
      </c>
      <c r="BY65" s="188">
        <f t="shared" si="86"/>
        <v>0</v>
      </c>
      <c r="BZ65" s="188">
        <f t="shared" si="86"/>
        <v>1</v>
      </c>
      <c r="CA65" s="188">
        <f t="shared" si="86"/>
        <v>0</v>
      </c>
      <c r="CB65" s="188">
        <f t="shared" si="16"/>
        <v>1</v>
      </c>
      <c r="CC65" s="188">
        <f t="shared" si="70"/>
        <v>30</v>
      </c>
      <c r="CD65" s="121">
        <v>20</v>
      </c>
    </row>
    <row r="66" spans="1:82" s="188" customFormat="1" ht="15">
      <c r="A66" s="190">
        <v>41760</v>
      </c>
      <c r="B66" s="191">
        <f t="shared" si="52"/>
        <v>2014</v>
      </c>
      <c r="C66" s="186">
        <v>41708608.64574942</v>
      </c>
      <c r="D66" s="88">
        <f>('Customer Data'!$B89+'Customer Data'!$B92*2)/3</f>
        <v>77834.333333333328</v>
      </c>
      <c r="E66" s="188">
        <f ca="1">HLOOKUP($B66,CDM!$B$1:$Q$22,11,FALSE)/12</f>
        <v>1450241.2754180685</v>
      </c>
      <c r="F66" s="189">
        <f t="shared" ca="1" si="53"/>
        <v>43158849.921167485</v>
      </c>
      <c r="G66" s="186">
        <v>16602932.672689665</v>
      </c>
      <c r="H66" s="88">
        <f>('Customer Data'!$C89+'Customer Data'!$C92*2)/3</f>
        <v>7008.4444444444443</v>
      </c>
      <c r="I66" s="188">
        <f ca="1">HLOOKUP($B66,CDM!$B$1:$Q$22,12,FALSE)/12</f>
        <v>1010514.0518786918</v>
      </c>
      <c r="J66" s="188">
        <f t="shared" ca="1" si="54"/>
        <v>17613446.724568356</v>
      </c>
      <c r="K66" s="186">
        <v>76319547.263623059</v>
      </c>
      <c r="L66" s="186">
        <v>205248.38999999998</v>
      </c>
      <c r="M66" s="88">
        <f>('Customer Data'!$D89+'Customer Data'!$D92*2)/3</f>
        <v>1205.6666666666667</v>
      </c>
      <c r="N66" s="126">
        <f ca="1">HLOOKUP($B66,CDM!$B$1:$Q$22,13,FALSE)/12</f>
        <v>2474076.3927498753</v>
      </c>
      <c r="O66" s="188">
        <f t="shared" ca="1" si="84"/>
        <v>78731314.204411477</v>
      </c>
      <c r="P66" s="188">
        <f t="shared" si="85"/>
        <v>204665.9</v>
      </c>
      <c r="Q66" s="188">
        <v>212615.28380071311</v>
      </c>
      <c r="R66" s="188">
        <v>488.34</v>
      </c>
      <c r="S66" s="229">
        <v>0</v>
      </c>
      <c r="T66" s="189">
        <f t="shared" ca="1" si="10"/>
        <v>78518698.920610771</v>
      </c>
      <c r="U66" s="156">
        <f t="shared" si="11"/>
        <v>204177.56</v>
      </c>
      <c r="V66" s="186">
        <v>3818569.6</v>
      </c>
      <c r="W66" s="186">
        <v>11604.41</v>
      </c>
      <c r="X66" s="88">
        <f>('Customer Data'!$E89+'Customer Data'!$E92*2)/3</f>
        <v>3</v>
      </c>
      <c r="Y66" s="126">
        <f ca="1">HLOOKUP($B66,CDM!$B$1:$Q$22,14,FALSE)/12</f>
        <v>6426.6101031082007</v>
      </c>
      <c r="Z66" s="188">
        <f t="shared" ca="1" si="55"/>
        <v>3824996.2101031081</v>
      </c>
      <c r="AA66" s="186">
        <v>27883621.419999998</v>
      </c>
      <c r="AB66" s="186">
        <v>50150.5</v>
      </c>
      <c r="AC66" s="88">
        <f>('Customer Data'!$F89+'Customer Data'!$F92*2)/3</f>
        <v>6</v>
      </c>
      <c r="AD66" s="126">
        <f ca="1">HLOOKUP($B66,CDM!$B$1:$Q$22,15,FALSE)/12</f>
        <v>740088.24419988645</v>
      </c>
      <c r="AE66" s="188">
        <f t="shared" ca="1" si="56"/>
        <v>28623709.664199885</v>
      </c>
      <c r="AF66" s="186">
        <v>24583941.52</v>
      </c>
      <c r="AG66" s="186">
        <v>45136.78</v>
      </c>
      <c r="AH66" s="88">
        <f>('Customer Data'!$G89+'Customer Data'!$G92*2)/3</f>
        <v>2</v>
      </c>
      <c r="AI66" s="126">
        <f ca="1">HLOOKUP($B66,CDM!$B$1:$Q$22,16,FALSE)/12</f>
        <v>1116955.3038989448</v>
      </c>
      <c r="AJ66" s="188">
        <f t="shared" ca="1" si="57"/>
        <v>25700896.823898945</v>
      </c>
      <c r="AK66" s="188">
        <f t="shared" si="43"/>
        <v>45136.78</v>
      </c>
      <c r="AL66" s="188">
        <v>62309.451961452345</v>
      </c>
      <c r="AM66" s="188">
        <v>582.49</v>
      </c>
      <c r="AN66" s="156">
        <v>4524661.4435042311</v>
      </c>
      <c r="AO66" s="156">
        <v>7417.92</v>
      </c>
      <c r="AP66" s="156">
        <v>116009.85616333336</v>
      </c>
      <c r="AQ66" s="156">
        <f t="shared" ca="1" si="13"/>
        <v>23983038.364532318</v>
      </c>
      <c r="AR66" s="156">
        <f t="shared" si="14"/>
        <v>42732.58</v>
      </c>
      <c r="AS66" s="186">
        <v>4298418.43</v>
      </c>
      <c r="AT66" s="186">
        <v>7909.25</v>
      </c>
      <c r="AU66" s="88">
        <f>('Customer Data'!$H89+'Customer Data'!$H92*2)/3</f>
        <v>1</v>
      </c>
      <c r="AV66" s="126">
        <f ca="1">HLOOKUP($B66,CDM!$B$1:$Q$22,17,FALSE)/12</f>
        <v>4554.5553061752589</v>
      </c>
      <c r="AW66" s="188">
        <f t="shared" ca="1" si="58"/>
        <v>4302972.9853061754</v>
      </c>
      <c r="AX66" s="105">
        <v>1167584.98</v>
      </c>
      <c r="AY66" s="105">
        <v>4120.84</v>
      </c>
      <c r="AZ66" s="88">
        <f>('Customer Data'!$I89+'Customer Data'!$I92*2)/3</f>
        <v>23445</v>
      </c>
      <c r="BA66" s="126">
        <f ca="1">HLOOKUP($B66,CDM!$B$1:$Q$22,18,FALSE)/12</f>
        <v>0</v>
      </c>
      <c r="BB66" s="188">
        <f t="shared" ca="1" si="59"/>
        <v>4120.84</v>
      </c>
      <c r="BC66" s="186">
        <v>77206.370517014802</v>
      </c>
      <c r="BD66" s="186">
        <v>203.48</v>
      </c>
      <c r="BE66" s="188">
        <f>('Customer Data'!$J89*1+'Customer Data'!$J92*2)/3</f>
        <v>638.33333333333337</v>
      </c>
      <c r="BF66" s="105">
        <v>199930.05000000002</v>
      </c>
      <c r="BG66" s="188">
        <f>('Customer Data'!$K89*1+'Customer Data'!$K92*2)/3</f>
        <v>784.66666666666663</v>
      </c>
      <c r="BH66" s="188">
        <f>Weather!B234</f>
        <v>90.600000000000009</v>
      </c>
      <c r="BI66" s="188">
        <f>Weather!$C234</f>
        <v>36.4</v>
      </c>
      <c r="BJ66" s="166">
        <f>Employment!B90</f>
        <v>6870.6</v>
      </c>
      <c r="BK66" s="188">
        <f>Employment!$C90</f>
        <v>152.1</v>
      </c>
      <c r="BL66" s="188">
        <f>Employment!D90</f>
        <v>601343.5</v>
      </c>
      <c r="BM66" s="188">
        <f t="shared" si="61"/>
        <v>65</v>
      </c>
      <c r="BN66" s="188">
        <f t="shared" ref="BN66:CA66" si="87">BN54</f>
        <v>0</v>
      </c>
      <c r="BO66" s="188">
        <f t="shared" si="87"/>
        <v>0</v>
      </c>
      <c r="BP66" s="188">
        <f t="shared" si="87"/>
        <v>0</v>
      </c>
      <c r="BQ66" s="188">
        <f t="shared" si="87"/>
        <v>0</v>
      </c>
      <c r="BR66" s="188">
        <f t="shared" si="87"/>
        <v>1</v>
      </c>
      <c r="BS66" s="188">
        <f t="shared" si="87"/>
        <v>0</v>
      </c>
      <c r="BT66" s="188">
        <f t="shared" si="87"/>
        <v>0</v>
      </c>
      <c r="BU66" s="188">
        <f t="shared" si="87"/>
        <v>0</v>
      </c>
      <c r="BV66" s="188">
        <f t="shared" si="87"/>
        <v>0</v>
      </c>
      <c r="BW66" s="188">
        <f t="shared" si="87"/>
        <v>0</v>
      </c>
      <c r="BX66" s="188">
        <f t="shared" si="87"/>
        <v>0</v>
      </c>
      <c r="BY66" s="188">
        <f t="shared" si="87"/>
        <v>0</v>
      </c>
      <c r="BZ66" s="188">
        <f t="shared" si="87"/>
        <v>1</v>
      </c>
      <c r="CA66" s="188">
        <f t="shared" si="87"/>
        <v>0</v>
      </c>
      <c r="CB66" s="188">
        <f t="shared" si="16"/>
        <v>1</v>
      </c>
      <c r="CC66" s="188">
        <f t="shared" si="70"/>
        <v>31</v>
      </c>
      <c r="CD66" s="121">
        <v>22</v>
      </c>
    </row>
    <row r="67" spans="1:82" s="188" customFormat="1" ht="15">
      <c r="A67" s="190">
        <v>41791</v>
      </c>
      <c r="B67" s="191">
        <f t="shared" si="52"/>
        <v>2014</v>
      </c>
      <c r="C67" s="186">
        <v>53990401.439282015</v>
      </c>
      <c r="D67" s="88">
        <f>'Customer Data'!$B92</f>
        <v>77849</v>
      </c>
      <c r="E67" s="188">
        <f ca="1">HLOOKUP($B67,CDM!$B$1:$Q$22,11,FALSE)/12</f>
        <v>1450241.2754180685</v>
      </c>
      <c r="F67" s="189">
        <f t="shared" ca="1" si="53"/>
        <v>55440642.71470008</v>
      </c>
      <c r="G67" s="186">
        <v>17960417.002291448</v>
      </c>
      <c r="H67" s="88">
        <f>'Customer Data'!$C92</f>
        <v>7010.6666666666661</v>
      </c>
      <c r="I67" s="188">
        <f ca="1">HLOOKUP($B67,CDM!$B$1:$Q$22,12,FALSE)/12</f>
        <v>1010514.0518786918</v>
      </c>
      <c r="J67" s="188">
        <f t="shared" ca="1" si="54"/>
        <v>18970931.054170139</v>
      </c>
      <c r="K67" s="186">
        <v>79566660.046435133</v>
      </c>
      <c r="L67" s="186">
        <v>211254.77</v>
      </c>
      <c r="M67" s="88">
        <f>'Customer Data'!$D92</f>
        <v>1203</v>
      </c>
      <c r="N67" s="126">
        <f ca="1">HLOOKUP($B67,CDM!$B$1:$Q$22,13,FALSE)/12</f>
        <v>2474076.3927498753</v>
      </c>
      <c r="O67" s="188">
        <f t="shared" ca="1" si="84"/>
        <v>82040736.439185008</v>
      </c>
      <c r="P67" s="188">
        <f t="shared" si="85"/>
        <v>211254.77</v>
      </c>
      <c r="Q67" s="188">
        <v>183165.21152548905</v>
      </c>
      <c r="R67" s="188">
        <v>404.28</v>
      </c>
      <c r="S67" s="229">
        <v>0</v>
      </c>
      <c r="T67" s="189">
        <f t="shared" ref="T67:T121" ca="1" si="88">O67-Q67-S67</f>
        <v>81857571.227659523</v>
      </c>
      <c r="U67" s="156">
        <f t="shared" ref="U67:U121" si="89">P67-R67</f>
        <v>210850.49</v>
      </c>
      <c r="V67" s="186">
        <v>4127736.65</v>
      </c>
      <c r="W67" s="186">
        <v>12040.88</v>
      </c>
      <c r="X67" s="88">
        <f>'Customer Data'!$E92</f>
        <v>3</v>
      </c>
      <c r="Y67" s="126">
        <f ca="1">HLOOKUP($B67,CDM!$B$1:$Q$22,14,FALSE)/12</f>
        <v>6426.6101031082007</v>
      </c>
      <c r="Z67" s="188">
        <f t="shared" ca="1" si="55"/>
        <v>4134163.2601031079</v>
      </c>
      <c r="AA67" s="186">
        <v>29686664.409999996</v>
      </c>
      <c r="AB67" s="186">
        <v>51849.52</v>
      </c>
      <c r="AC67" s="88">
        <f>'Customer Data'!$F92</f>
        <v>6</v>
      </c>
      <c r="AD67" s="126">
        <f ca="1">HLOOKUP($B67,CDM!$B$1:$Q$22,15,FALSE)/12</f>
        <v>740088.24419988645</v>
      </c>
      <c r="AE67" s="188">
        <f t="shared" ca="1" si="56"/>
        <v>30426752.654199883</v>
      </c>
      <c r="AF67" s="186">
        <v>26086083.210000001</v>
      </c>
      <c r="AG67" s="186">
        <v>48801</v>
      </c>
      <c r="AH67" s="88">
        <f>'Customer Data'!$G92</f>
        <v>2</v>
      </c>
      <c r="AI67" s="126">
        <f ca="1">HLOOKUP($B67,CDM!$B$1:$Q$22,16,FALSE)/12</f>
        <v>1116955.3038989448</v>
      </c>
      <c r="AJ67" s="188">
        <f t="shared" ca="1" si="57"/>
        <v>27203038.513898946</v>
      </c>
      <c r="AK67" s="188">
        <f t="shared" si="43"/>
        <v>48801</v>
      </c>
      <c r="AL67" s="188">
        <v>0</v>
      </c>
      <c r="AM67" s="188">
        <v>0</v>
      </c>
      <c r="AN67" s="156">
        <v>4469000.6371329017</v>
      </c>
      <c r="AO67" s="156">
        <v>7630.08</v>
      </c>
      <c r="AP67" s="156">
        <v>116009.85616333336</v>
      </c>
      <c r="AQ67" s="156">
        <f t="shared" ref="AQ67:AQ121" ca="1" si="90">AE67-AN67-AP67</f>
        <v>25841742.160903648</v>
      </c>
      <c r="AR67" s="156">
        <f t="shared" ref="AR67:AR121" si="91">AB67-AO67</f>
        <v>44219.439999999995</v>
      </c>
      <c r="AS67" s="186">
        <v>4604436.0999999996</v>
      </c>
      <c r="AT67" s="186">
        <v>8127.36</v>
      </c>
      <c r="AU67" s="88">
        <f>'Customer Data'!$H92</f>
        <v>1</v>
      </c>
      <c r="AV67" s="126">
        <f ca="1">HLOOKUP($B67,CDM!$B$1:$Q$22,17,FALSE)/12</f>
        <v>4554.5553061752589</v>
      </c>
      <c r="AW67" s="188">
        <f t="shared" ca="1" si="58"/>
        <v>4608990.6553061754</v>
      </c>
      <c r="AX67" s="105">
        <v>1047558.49</v>
      </c>
      <c r="AY67" s="105">
        <v>4120.84</v>
      </c>
      <c r="AZ67" s="88">
        <f>'Customer Data'!$I92</f>
        <v>23458</v>
      </c>
      <c r="BA67" s="126">
        <f ca="1">HLOOKUP($B67,CDM!$B$1:$Q$22,18,FALSE)/12</f>
        <v>0</v>
      </c>
      <c r="BB67" s="188">
        <f t="shared" ca="1" si="59"/>
        <v>4120.84</v>
      </c>
      <c r="BC67" s="186">
        <v>74315.863941560499</v>
      </c>
      <c r="BD67" s="186">
        <v>211.68</v>
      </c>
      <c r="BE67" s="188">
        <f>'Customer Data'!$J92</f>
        <v>635</v>
      </c>
      <c r="BF67" s="105">
        <v>199930.05000000002</v>
      </c>
      <c r="BG67" s="188">
        <f>'Customer Data'!$K92</f>
        <v>785</v>
      </c>
      <c r="BH67" s="188">
        <f>Weather!B235</f>
        <v>2.4000000000000004</v>
      </c>
      <c r="BI67" s="188">
        <f>Weather!$C235</f>
        <v>123.29999999999997</v>
      </c>
      <c r="BJ67" s="166">
        <f>Employment!B91</f>
        <v>6865.4</v>
      </c>
      <c r="BK67" s="188">
        <f>Employment!$C91</f>
        <v>150.80000000000001</v>
      </c>
      <c r="BL67" s="188">
        <f>Employment!D91</f>
        <v>601343.5</v>
      </c>
      <c r="BM67" s="188">
        <f t="shared" si="61"/>
        <v>66</v>
      </c>
      <c r="BN67" s="188">
        <f t="shared" ref="BN67:CA67" si="92">BN55</f>
        <v>0</v>
      </c>
      <c r="BO67" s="188">
        <f t="shared" si="92"/>
        <v>0</v>
      </c>
      <c r="BP67" s="188">
        <f t="shared" si="92"/>
        <v>0</v>
      </c>
      <c r="BQ67" s="188">
        <f t="shared" si="92"/>
        <v>0</v>
      </c>
      <c r="BR67" s="188">
        <f t="shared" si="92"/>
        <v>0</v>
      </c>
      <c r="BS67" s="188">
        <f t="shared" si="92"/>
        <v>1</v>
      </c>
      <c r="BT67" s="188">
        <f t="shared" si="92"/>
        <v>0</v>
      </c>
      <c r="BU67" s="188">
        <f t="shared" si="92"/>
        <v>0</v>
      </c>
      <c r="BV67" s="188">
        <f t="shared" si="92"/>
        <v>0</v>
      </c>
      <c r="BW67" s="188">
        <f t="shared" si="92"/>
        <v>0</v>
      </c>
      <c r="BX67" s="188">
        <f t="shared" si="92"/>
        <v>0</v>
      </c>
      <c r="BY67" s="188">
        <f t="shared" si="92"/>
        <v>0</v>
      </c>
      <c r="BZ67" s="188">
        <f t="shared" si="92"/>
        <v>0</v>
      </c>
      <c r="CA67" s="188">
        <f t="shared" si="92"/>
        <v>0</v>
      </c>
      <c r="CB67" s="188">
        <f t="shared" ref="CB67:CB121" si="93">BZ67+CA67</f>
        <v>0</v>
      </c>
      <c r="CC67" s="188">
        <f t="shared" si="70"/>
        <v>30</v>
      </c>
      <c r="CD67" s="121">
        <v>21</v>
      </c>
    </row>
    <row r="68" spans="1:82" s="188" customFormat="1" ht="15">
      <c r="A68" s="190">
        <v>41821</v>
      </c>
      <c r="B68" s="191">
        <f t="shared" si="52"/>
        <v>2014</v>
      </c>
      <c r="C68" s="186">
        <v>60004666.099627353</v>
      </c>
      <c r="D68" s="88">
        <f>('Customer Data'!$B92*2+'Customer Data'!$B95)/3</f>
        <v>77899.333333333328</v>
      </c>
      <c r="E68" s="188">
        <f ca="1">HLOOKUP($B68,CDM!$B$1:$Q$22,11,FALSE)/12</f>
        <v>1450241.2754180685</v>
      </c>
      <c r="F68" s="189">
        <f t="shared" ca="1" si="53"/>
        <v>61454907.375045419</v>
      </c>
      <c r="G68" s="186">
        <v>18845194.8484645</v>
      </c>
      <c r="H68" s="88">
        <f>('Customer Data'!$C92*2+'Customer Data'!$C95)/3</f>
        <v>7012.8888888888878</v>
      </c>
      <c r="I68" s="188">
        <f ca="1">HLOOKUP($B68,CDM!$B$1:$Q$22,12,FALSE)/12</f>
        <v>1010514.0518786918</v>
      </c>
      <c r="J68" s="188">
        <f t="shared" ca="1" si="54"/>
        <v>19855708.900343191</v>
      </c>
      <c r="K68" s="186">
        <v>81061957.043297976</v>
      </c>
      <c r="L68" s="186">
        <v>212469.13999999998</v>
      </c>
      <c r="M68" s="88">
        <f>('Customer Data'!$D92*2+'Customer Data'!$D95)/3</f>
        <v>1206</v>
      </c>
      <c r="N68" s="126">
        <f ca="1">HLOOKUP($B68,CDM!$B$1:$Q$22,13,FALSE)/12</f>
        <v>2474076.3927498753</v>
      </c>
      <c r="O68" s="188">
        <f t="shared" ca="1" si="84"/>
        <v>83536033.436047852</v>
      </c>
      <c r="P68" s="188">
        <f t="shared" si="85"/>
        <v>212469.13999999998</v>
      </c>
      <c r="Q68" s="188">
        <v>187114.32013105907</v>
      </c>
      <c r="R68" s="188">
        <v>391.86</v>
      </c>
      <c r="S68" s="229">
        <v>0</v>
      </c>
      <c r="T68" s="189">
        <f t="shared" ca="1" si="88"/>
        <v>83348919.115916789</v>
      </c>
      <c r="U68" s="156">
        <f t="shared" si="89"/>
        <v>212077.28</v>
      </c>
      <c r="V68" s="186">
        <v>4410496.25</v>
      </c>
      <c r="W68" s="186">
        <v>11725.21</v>
      </c>
      <c r="X68" s="88">
        <f>('Customer Data'!$E92*2+'Customer Data'!$E95)/3</f>
        <v>3</v>
      </c>
      <c r="Y68" s="126">
        <f ca="1">HLOOKUP($B68,CDM!$B$1:$Q$22,14,FALSE)/12</f>
        <v>6426.6101031082007</v>
      </c>
      <c r="Z68" s="188">
        <f t="shared" ca="1" si="55"/>
        <v>4416922.860103108</v>
      </c>
      <c r="AA68" s="186">
        <v>28017196.219999999</v>
      </c>
      <c r="AB68" s="186">
        <v>50979.21</v>
      </c>
      <c r="AC68" s="88">
        <f>('Customer Data'!$F92*2+'Customer Data'!$F95)/3</f>
        <v>6</v>
      </c>
      <c r="AD68" s="126">
        <f ca="1">HLOOKUP($B68,CDM!$B$1:$Q$22,15,FALSE)/12</f>
        <v>740088.24419988645</v>
      </c>
      <c r="AE68" s="188">
        <f t="shared" ca="1" si="56"/>
        <v>28757284.464199886</v>
      </c>
      <c r="AF68" s="186">
        <v>24239186.530000001</v>
      </c>
      <c r="AG68" s="186">
        <v>46946.240000000005</v>
      </c>
      <c r="AH68" s="88">
        <f>('Customer Data'!$G92*2+'Customer Data'!$G95)/3</f>
        <v>2</v>
      </c>
      <c r="AI68" s="126">
        <f ca="1">HLOOKUP($B68,CDM!$B$1:$Q$22,16,FALSE)/12</f>
        <v>1116955.3038989448</v>
      </c>
      <c r="AJ68" s="188">
        <f t="shared" ca="1" si="57"/>
        <v>25356141.833898947</v>
      </c>
      <c r="AK68" s="188">
        <f t="shared" si="43"/>
        <v>46946.240000000005</v>
      </c>
      <c r="AL68" s="188">
        <v>0</v>
      </c>
      <c r="AM68" s="188">
        <v>0</v>
      </c>
      <c r="AN68" s="156">
        <v>4118811.8367346944</v>
      </c>
      <c r="AO68" s="156">
        <v>7169.28</v>
      </c>
      <c r="AP68" s="156">
        <v>116009.85616333336</v>
      </c>
      <c r="AQ68" s="156">
        <f t="shared" ca="1" si="90"/>
        <v>24522462.771301858</v>
      </c>
      <c r="AR68" s="156">
        <f t="shared" si="91"/>
        <v>43809.93</v>
      </c>
      <c r="AS68" s="186">
        <v>4305805.0599999996</v>
      </c>
      <c r="AT68" s="186">
        <v>7808.64</v>
      </c>
      <c r="AU68" s="88">
        <f>('Customer Data'!$H92*2+'Customer Data'!$H95)/3</f>
        <v>1</v>
      </c>
      <c r="AV68" s="126">
        <f ca="1">HLOOKUP($B68,CDM!$B$1:$Q$22,17,FALSE)/12</f>
        <v>4554.5553061752589</v>
      </c>
      <c r="AW68" s="188">
        <f t="shared" ca="1" si="58"/>
        <v>4310359.6153061753</v>
      </c>
      <c r="AX68" s="105">
        <v>1120048.1200000001</v>
      </c>
      <c r="AY68" s="105">
        <v>4124.03</v>
      </c>
      <c r="AZ68" s="88">
        <f>('Customer Data'!$I92*2+'Customer Data'!$I95)/3</f>
        <v>23472.666666666668</v>
      </c>
      <c r="BA68" s="126">
        <f ca="1">HLOOKUP($B68,CDM!$B$1:$Q$22,18,FALSE)/12</f>
        <v>0</v>
      </c>
      <c r="BB68" s="188">
        <f t="shared" ca="1" si="59"/>
        <v>4124.03</v>
      </c>
      <c r="BC68" s="186">
        <v>75785.179440483407</v>
      </c>
      <c r="BD68" s="186">
        <v>221.45</v>
      </c>
      <c r="BE68" s="188">
        <f>('Customer Data'!$J92*2+'Customer Data'!$J95*1)/3</f>
        <v>631.66666666666663</v>
      </c>
      <c r="BF68" s="105">
        <v>201226.05000000002</v>
      </c>
      <c r="BG68" s="188">
        <f>('Customer Data'!$K92*2+'Customer Data'!$K95*1)/3</f>
        <v>784.33333333333337</v>
      </c>
      <c r="BH68" s="188">
        <f>Weather!B236</f>
        <v>0.7</v>
      </c>
      <c r="BI68" s="188">
        <f>Weather!$C236</f>
        <v>113.59999999999997</v>
      </c>
      <c r="BJ68" s="166">
        <f>Employment!B92</f>
        <v>6864.4</v>
      </c>
      <c r="BK68" s="188">
        <f>Employment!$C92</f>
        <v>152.1</v>
      </c>
      <c r="BL68" s="188">
        <f>Employment!D92</f>
        <v>601343.5</v>
      </c>
      <c r="BM68" s="188">
        <f t="shared" si="61"/>
        <v>67</v>
      </c>
      <c r="BN68" s="188">
        <f t="shared" ref="BN68:CA68" si="94">BN56</f>
        <v>0</v>
      </c>
      <c r="BO68" s="188">
        <f t="shared" si="94"/>
        <v>0</v>
      </c>
      <c r="BP68" s="188">
        <f t="shared" si="94"/>
        <v>0</v>
      </c>
      <c r="BQ68" s="188">
        <f t="shared" si="94"/>
        <v>0</v>
      </c>
      <c r="BR68" s="188">
        <f t="shared" si="94"/>
        <v>0</v>
      </c>
      <c r="BS68" s="188">
        <f t="shared" si="94"/>
        <v>0</v>
      </c>
      <c r="BT68" s="188">
        <f t="shared" si="94"/>
        <v>1</v>
      </c>
      <c r="BU68" s="188">
        <f t="shared" si="94"/>
        <v>0</v>
      </c>
      <c r="BV68" s="188">
        <f t="shared" si="94"/>
        <v>0</v>
      </c>
      <c r="BW68" s="188">
        <f t="shared" si="94"/>
        <v>0</v>
      </c>
      <c r="BX68" s="188">
        <f t="shared" si="94"/>
        <v>0</v>
      </c>
      <c r="BY68" s="188">
        <f t="shared" si="94"/>
        <v>0</v>
      </c>
      <c r="BZ68" s="188">
        <f t="shared" si="94"/>
        <v>0</v>
      </c>
      <c r="CA68" s="188">
        <f t="shared" si="94"/>
        <v>0</v>
      </c>
      <c r="CB68" s="188">
        <f t="shared" si="93"/>
        <v>0</v>
      </c>
      <c r="CC68" s="188">
        <f t="shared" si="70"/>
        <v>31</v>
      </c>
      <c r="CD68" s="121">
        <v>22</v>
      </c>
    </row>
    <row r="69" spans="1:82" s="188" customFormat="1" ht="15">
      <c r="A69" s="190">
        <v>41852</v>
      </c>
      <c r="B69" s="191">
        <f t="shared" si="52"/>
        <v>2014</v>
      </c>
      <c r="C69" s="186">
        <v>58630644.263700239</v>
      </c>
      <c r="D69" s="88">
        <f>('Customer Data'!$B92+'Customer Data'!$B95*2)/3</f>
        <v>77949.666666666672</v>
      </c>
      <c r="E69" s="188">
        <f ca="1">HLOOKUP($B69,CDM!$B$1:$Q$22,11,FALSE)/12</f>
        <v>1450241.2754180685</v>
      </c>
      <c r="F69" s="189">
        <f t="shared" ca="1" si="53"/>
        <v>60080885.539118305</v>
      </c>
      <c r="G69" s="186">
        <v>18600531.15529098</v>
      </c>
      <c r="H69" s="88">
        <f>('Customer Data'!$C92+'Customer Data'!$C95*2)/3</f>
        <v>7015.1111111111122</v>
      </c>
      <c r="I69" s="188">
        <f ca="1">HLOOKUP($B69,CDM!$B$1:$Q$22,12,FALSE)/12</f>
        <v>1010514.0518786918</v>
      </c>
      <c r="J69" s="188">
        <f t="shared" ca="1" si="54"/>
        <v>19611045.207169671</v>
      </c>
      <c r="K69" s="186">
        <v>80416638.708657667</v>
      </c>
      <c r="L69" s="186">
        <v>208842.5</v>
      </c>
      <c r="M69" s="88">
        <f>('Customer Data'!$D92+'Customer Data'!$D95*2)/3</f>
        <v>1209</v>
      </c>
      <c r="N69" s="126">
        <f ca="1">HLOOKUP($B69,CDM!$B$1:$Q$22,13,FALSE)/12</f>
        <v>2474076.3927498753</v>
      </c>
      <c r="O69" s="188">
        <f t="shared" ca="1" si="84"/>
        <v>82890715.101407543</v>
      </c>
      <c r="P69" s="188">
        <f t="shared" si="85"/>
        <v>208842.5</v>
      </c>
      <c r="Q69" s="188">
        <v>190193.66869037293</v>
      </c>
      <c r="R69" s="188">
        <v>412.29</v>
      </c>
      <c r="S69" s="229">
        <v>0</v>
      </c>
      <c r="T69" s="189">
        <f t="shared" ca="1" si="88"/>
        <v>82700521.432717174</v>
      </c>
      <c r="U69" s="156">
        <f t="shared" si="89"/>
        <v>208430.21</v>
      </c>
      <c r="V69" s="186">
        <v>3998452.99</v>
      </c>
      <c r="W69" s="186">
        <v>11645.09</v>
      </c>
      <c r="X69" s="88">
        <f>('Customer Data'!$E92+'Customer Data'!$E95*2)/3</f>
        <v>3</v>
      </c>
      <c r="Y69" s="126">
        <f ca="1">HLOOKUP($B69,CDM!$B$1:$Q$22,14,FALSE)/12</f>
        <v>6426.6101031082007</v>
      </c>
      <c r="Z69" s="188">
        <f t="shared" ca="1" si="55"/>
        <v>4004879.6001031082</v>
      </c>
      <c r="AA69" s="186">
        <v>28670441.710000001</v>
      </c>
      <c r="AB69" s="186">
        <v>50663.67</v>
      </c>
      <c r="AC69" s="88">
        <f>('Customer Data'!$F92+'Customer Data'!$F95*2)/3</f>
        <v>6</v>
      </c>
      <c r="AD69" s="126">
        <f ca="1">HLOOKUP($B69,CDM!$B$1:$Q$22,15,FALSE)/12</f>
        <v>740088.24419988645</v>
      </c>
      <c r="AE69" s="188">
        <f t="shared" ca="1" si="56"/>
        <v>29410529.954199888</v>
      </c>
      <c r="AF69" s="186">
        <v>21415794.370000001</v>
      </c>
      <c r="AG69" s="186">
        <v>48786.45</v>
      </c>
      <c r="AH69" s="88">
        <f>('Customer Data'!$G92+'Customer Data'!$G95*2)/3</f>
        <v>2</v>
      </c>
      <c r="AI69" s="126">
        <f ca="1">HLOOKUP($B69,CDM!$B$1:$Q$22,16,FALSE)/12</f>
        <v>1116955.3038989448</v>
      </c>
      <c r="AJ69" s="188">
        <f t="shared" ca="1" si="57"/>
        <v>22532749.673898946</v>
      </c>
      <c r="AK69" s="188">
        <f t="shared" si="43"/>
        <v>48786.45</v>
      </c>
      <c r="AL69" s="188">
        <v>0</v>
      </c>
      <c r="AM69" s="188">
        <v>0</v>
      </c>
      <c r="AN69" s="156">
        <v>4738563.8427078146</v>
      </c>
      <c r="AO69" s="156">
        <v>7219.2</v>
      </c>
      <c r="AP69" s="156">
        <v>116009.85616333336</v>
      </c>
      <c r="AQ69" s="156">
        <f t="shared" ca="1" si="90"/>
        <v>24555956.255328741</v>
      </c>
      <c r="AR69" s="156">
        <f t="shared" si="91"/>
        <v>43444.47</v>
      </c>
      <c r="AS69" s="186">
        <v>4351389.7</v>
      </c>
      <c r="AT69" s="186">
        <v>7943.81</v>
      </c>
      <c r="AU69" s="88">
        <f>('Customer Data'!$H92+'Customer Data'!$H95*2)/3</f>
        <v>1</v>
      </c>
      <c r="AV69" s="126">
        <f ca="1">HLOOKUP($B69,CDM!$B$1:$Q$22,17,FALSE)/12</f>
        <v>4554.5553061752589</v>
      </c>
      <c r="AW69" s="188">
        <f t="shared" ca="1" si="58"/>
        <v>4355944.2553061759</v>
      </c>
      <c r="AX69" s="105">
        <v>1258496.93</v>
      </c>
      <c r="AY69" s="105">
        <v>4125.1499999999996</v>
      </c>
      <c r="AZ69" s="88">
        <f>('Customer Data'!$I92+'Customer Data'!$I95*2)/3</f>
        <v>23487.333333333332</v>
      </c>
      <c r="BA69" s="126">
        <f ca="1">HLOOKUP($B69,CDM!$B$1:$Q$22,18,FALSE)/12</f>
        <v>0</v>
      </c>
      <c r="BB69" s="188">
        <f t="shared" ca="1" si="59"/>
        <v>4125.1499999999996</v>
      </c>
      <c r="BC69" s="186">
        <v>76873.404518946001</v>
      </c>
      <c r="BD69" s="186">
        <v>200.51</v>
      </c>
      <c r="BE69" s="188">
        <f>('Customer Data'!$J92*1+'Customer Data'!$J95*2)/3</f>
        <v>628.33333333333337</v>
      </c>
      <c r="BF69" s="105">
        <v>200847.23494382022</v>
      </c>
      <c r="BG69" s="188">
        <f>('Customer Data'!$K92*1+'Customer Data'!$K95*2)/3</f>
        <v>783.66666666666663</v>
      </c>
      <c r="BH69" s="188">
        <f>Weather!B237</f>
        <v>0.7</v>
      </c>
      <c r="BI69" s="188">
        <f>Weather!$C237</f>
        <v>130.19999999999996</v>
      </c>
      <c r="BJ69" s="166">
        <f>Employment!B93</f>
        <v>6869.9</v>
      </c>
      <c r="BK69" s="188">
        <f>Employment!$C93</f>
        <v>153.30000000000001</v>
      </c>
      <c r="BL69" s="188">
        <f>Employment!D93</f>
        <v>601343.5</v>
      </c>
      <c r="BM69" s="188">
        <f t="shared" si="61"/>
        <v>68</v>
      </c>
      <c r="BN69" s="188">
        <f t="shared" ref="BN69:CA69" si="95">BN57</f>
        <v>0</v>
      </c>
      <c r="BO69" s="188">
        <f t="shared" si="95"/>
        <v>0</v>
      </c>
      <c r="BP69" s="188">
        <f t="shared" si="95"/>
        <v>0</v>
      </c>
      <c r="BQ69" s="188">
        <f t="shared" si="95"/>
        <v>0</v>
      </c>
      <c r="BR69" s="188">
        <f t="shared" si="95"/>
        <v>0</v>
      </c>
      <c r="BS69" s="188">
        <f t="shared" si="95"/>
        <v>0</v>
      </c>
      <c r="BT69" s="188">
        <f t="shared" si="95"/>
        <v>0</v>
      </c>
      <c r="BU69" s="188">
        <f t="shared" si="95"/>
        <v>1</v>
      </c>
      <c r="BV69" s="188">
        <f t="shared" si="95"/>
        <v>0</v>
      </c>
      <c r="BW69" s="188">
        <f t="shared" si="95"/>
        <v>0</v>
      </c>
      <c r="BX69" s="188">
        <f t="shared" si="95"/>
        <v>0</v>
      </c>
      <c r="BY69" s="188">
        <f t="shared" si="95"/>
        <v>0</v>
      </c>
      <c r="BZ69" s="188">
        <f t="shared" si="95"/>
        <v>0</v>
      </c>
      <c r="CA69" s="188">
        <f t="shared" si="95"/>
        <v>0</v>
      </c>
      <c r="CB69" s="188">
        <f t="shared" si="93"/>
        <v>0</v>
      </c>
      <c r="CC69" s="188">
        <f t="shared" si="70"/>
        <v>31</v>
      </c>
      <c r="CD69" s="121">
        <v>20</v>
      </c>
    </row>
    <row r="70" spans="1:82" s="188" customFormat="1" ht="15">
      <c r="A70" s="190">
        <v>41883</v>
      </c>
      <c r="B70" s="191">
        <f t="shared" si="52"/>
        <v>2014</v>
      </c>
      <c r="C70" s="186">
        <v>46823155.767332077</v>
      </c>
      <c r="D70" s="88">
        <f>'Customer Data'!$B95</f>
        <v>78000</v>
      </c>
      <c r="E70" s="188">
        <f ca="1">HLOOKUP($B70,CDM!$B$1:$Q$22,11,FALSE)/12</f>
        <v>1450241.2754180685</v>
      </c>
      <c r="F70" s="189">
        <f t="shared" ca="1" si="53"/>
        <v>48273397.042750143</v>
      </c>
      <c r="G70" s="186">
        <v>16633255.185876908</v>
      </c>
      <c r="H70" s="88">
        <f>'Customer Data'!$C95</f>
        <v>7017.3333333333339</v>
      </c>
      <c r="I70" s="188">
        <f ca="1">HLOOKUP($B70,CDM!$B$1:$Q$22,12,FALSE)/12</f>
        <v>1010514.0518786918</v>
      </c>
      <c r="J70" s="188">
        <f t="shared" ca="1" si="54"/>
        <v>17643769.2377556</v>
      </c>
      <c r="K70" s="186">
        <v>75664885.29815416</v>
      </c>
      <c r="L70" s="186">
        <v>219418.27</v>
      </c>
      <c r="M70" s="88">
        <f>'Customer Data'!$D95</f>
        <v>1212</v>
      </c>
      <c r="N70" s="126">
        <f ca="1">HLOOKUP($B70,CDM!$B$1:$Q$22,13,FALSE)/12</f>
        <v>2474076.3927498753</v>
      </c>
      <c r="O70" s="188">
        <f t="shared" ca="1" si="84"/>
        <v>78138961.690904036</v>
      </c>
      <c r="P70" s="188">
        <f t="shared" si="85"/>
        <v>219418.27</v>
      </c>
      <c r="Q70" s="188">
        <v>178539.66464296036</v>
      </c>
      <c r="R70" s="188">
        <v>377.46</v>
      </c>
      <c r="S70" s="229">
        <v>0</v>
      </c>
      <c r="T70" s="189">
        <f t="shared" ca="1" si="88"/>
        <v>77960422.026261076</v>
      </c>
      <c r="U70" s="156">
        <f t="shared" si="89"/>
        <v>219040.81</v>
      </c>
      <c r="V70" s="186">
        <v>4139846.39</v>
      </c>
      <c r="W70" s="186">
        <v>11155.77</v>
      </c>
      <c r="X70" s="88">
        <f>'Customer Data'!$E95</f>
        <v>3</v>
      </c>
      <c r="Y70" s="126">
        <f ca="1">HLOOKUP($B70,CDM!$B$1:$Q$22,14,FALSE)/12</f>
        <v>6426.6101031082007</v>
      </c>
      <c r="Z70" s="188">
        <f t="shared" ca="1" si="55"/>
        <v>4146273.0001031081</v>
      </c>
      <c r="AA70" s="186">
        <v>23219073.229999997</v>
      </c>
      <c r="AB70" s="186">
        <v>50561.130000000005</v>
      </c>
      <c r="AC70" s="88">
        <f>'Customer Data'!$F95</f>
        <v>6</v>
      </c>
      <c r="AD70" s="126">
        <f ca="1">HLOOKUP($B70,CDM!$B$1:$Q$22,15,FALSE)/12</f>
        <v>740088.24419988645</v>
      </c>
      <c r="AE70" s="188">
        <f t="shared" ca="1" si="56"/>
        <v>23959161.474199884</v>
      </c>
      <c r="AF70" s="186">
        <v>24220339.550000001</v>
      </c>
      <c r="AG70" s="186">
        <v>49864.119999999995</v>
      </c>
      <c r="AH70" s="88">
        <f>'Customer Data'!$G95</f>
        <v>2</v>
      </c>
      <c r="AI70" s="126">
        <f ca="1">HLOOKUP($B70,CDM!$B$1:$Q$22,16,FALSE)/12</f>
        <v>1116955.3038989448</v>
      </c>
      <c r="AJ70" s="188">
        <f t="shared" ca="1" si="57"/>
        <v>25337294.853898946</v>
      </c>
      <c r="AK70" s="188">
        <f t="shared" si="43"/>
        <v>49864.119999999995</v>
      </c>
      <c r="AL70" s="188">
        <v>0</v>
      </c>
      <c r="AM70" s="188">
        <v>0</v>
      </c>
      <c r="AN70" s="156">
        <v>4328238.7157789944</v>
      </c>
      <c r="AO70" s="156">
        <v>6877.44</v>
      </c>
      <c r="AP70" s="156">
        <v>116009.85616333336</v>
      </c>
      <c r="AQ70" s="156">
        <f t="shared" ca="1" si="90"/>
        <v>19514912.902257554</v>
      </c>
      <c r="AR70" s="156">
        <f t="shared" si="91"/>
        <v>43683.69</v>
      </c>
      <c r="AS70" s="186">
        <v>3664156.42</v>
      </c>
      <c r="AT70" s="186">
        <v>7461.5</v>
      </c>
      <c r="AU70" s="88">
        <f>'Customer Data'!$H95</f>
        <v>1</v>
      </c>
      <c r="AV70" s="126">
        <f ca="1">HLOOKUP($B70,CDM!$B$1:$Q$22,17,FALSE)/12</f>
        <v>4554.5553061752589</v>
      </c>
      <c r="AW70" s="188">
        <f t="shared" ca="1" si="58"/>
        <v>3668710.9753061752</v>
      </c>
      <c r="AX70" s="105">
        <v>1377995.27</v>
      </c>
      <c r="AY70" s="105">
        <v>4125.1499999999996</v>
      </c>
      <c r="AZ70" s="88">
        <f>'Customer Data'!$I95</f>
        <v>23502</v>
      </c>
      <c r="BA70" s="126">
        <f ca="1">HLOOKUP($B70,CDM!$B$1:$Q$22,18,FALSE)/12</f>
        <v>0</v>
      </c>
      <c r="BB70" s="188">
        <f t="shared" ca="1" si="59"/>
        <v>4125.1499999999996</v>
      </c>
      <c r="BC70" s="186">
        <v>73963.458966713195</v>
      </c>
      <c r="BD70" s="186">
        <v>217.07</v>
      </c>
      <c r="BE70" s="188">
        <f>'Customer Data'!$J95</f>
        <v>625</v>
      </c>
      <c r="BF70" s="105">
        <v>200704.0539325843</v>
      </c>
      <c r="BG70" s="188">
        <f>'Customer Data'!$K95</f>
        <v>783</v>
      </c>
      <c r="BH70" s="188">
        <f>Weather!B238</f>
        <v>57.20000000000001</v>
      </c>
      <c r="BI70" s="188">
        <f>Weather!$C238</f>
        <v>50.499999999999979</v>
      </c>
      <c r="BJ70" s="166">
        <f>Employment!B94</f>
        <v>6884.5</v>
      </c>
      <c r="BK70" s="188">
        <f>Employment!$C94</f>
        <v>155.30000000000001</v>
      </c>
      <c r="BL70" s="188">
        <f>Employment!D94</f>
        <v>601343.5</v>
      </c>
      <c r="BM70" s="188">
        <f t="shared" si="61"/>
        <v>69</v>
      </c>
      <c r="BN70" s="188">
        <f t="shared" ref="BN70:CA70" si="96">BN58</f>
        <v>0</v>
      </c>
      <c r="BO70" s="188">
        <f t="shared" si="96"/>
        <v>0</v>
      </c>
      <c r="BP70" s="188">
        <f t="shared" si="96"/>
        <v>0</v>
      </c>
      <c r="BQ70" s="188">
        <f t="shared" si="96"/>
        <v>0</v>
      </c>
      <c r="BR70" s="188">
        <f t="shared" si="96"/>
        <v>0</v>
      </c>
      <c r="BS70" s="188">
        <f t="shared" si="96"/>
        <v>0</v>
      </c>
      <c r="BT70" s="188">
        <f t="shared" si="96"/>
        <v>0</v>
      </c>
      <c r="BU70" s="188">
        <f t="shared" si="96"/>
        <v>0</v>
      </c>
      <c r="BV70" s="188">
        <f t="shared" si="96"/>
        <v>1</v>
      </c>
      <c r="BW70" s="188">
        <f t="shared" si="96"/>
        <v>0</v>
      </c>
      <c r="BX70" s="188">
        <f t="shared" si="96"/>
        <v>0</v>
      </c>
      <c r="BY70" s="188">
        <f t="shared" si="96"/>
        <v>0</v>
      </c>
      <c r="BZ70" s="188">
        <f t="shared" si="96"/>
        <v>0</v>
      </c>
      <c r="CA70" s="188">
        <f t="shared" si="96"/>
        <v>1</v>
      </c>
      <c r="CB70" s="188">
        <f t="shared" si="93"/>
        <v>1</v>
      </c>
      <c r="CC70" s="188">
        <f t="shared" si="70"/>
        <v>30</v>
      </c>
      <c r="CD70" s="121">
        <v>21</v>
      </c>
    </row>
    <row r="71" spans="1:82" s="188" customFormat="1" ht="15">
      <c r="A71" s="190">
        <v>41913</v>
      </c>
      <c r="B71" s="191">
        <f t="shared" si="52"/>
        <v>2014</v>
      </c>
      <c r="C71" s="186">
        <v>40342835.621713504</v>
      </c>
      <c r="D71" s="88">
        <f>('Customer Data'!$B95*2+'Customer Data'!$B98)/3</f>
        <v>78048</v>
      </c>
      <c r="E71" s="188">
        <f ca="1">HLOOKUP($B71,CDM!$B$1:$Q$22,11,FALSE)/12</f>
        <v>1450241.2754180685</v>
      </c>
      <c r="F71" s="189">
        <f t="shared" ca="1" si="53"/>
        <v>41793076.89713157</v>
      </c>
      <c r="G71" s="186">
        <v>15838665.459447641</v>
      </c>
      <c r="H71" s="88">
        <f>('Customer Data'!$C95*2+'Customer Data'!$C98)/3</f>
        <v>7019.5555555555557</v>
      </c>
      <c r="I71" s="188">
        <f ca="1">HLOOKUP($B71,CDM!$B$1:$Q$22,12,FALSE)/12</f>
        <v>1010514.0518786918</v>
      </c>
      <c r="J71" s="188">
        <f t="shared" ca="1" si="54"/>
        <v>16849179.511326332</v>
      </c>
      <c r="K71" s="186">
        <v>75603798.02358593</v>
      </c>
      <c r="L71" s="186">
        <v>197137.8</v>
      </c>
      <c r="M71" s="88">
        <f>('Customer Data'!$D95*2+'Customer Data'!$D98)/3</f>
        <v>1211.6666666666667</v>
      </c>
      <c r="N71" s="126">
        <f ca="1">HLOOKUP($B71,CDM!$B$1:$Q$22,13,FALSE)/12</f>
        <v>2474076.3927498753</v>
      </c>
      <c r="O71" s="188">
        <f t="shared" ca="1" si="84"/>
        <v>78077874.416335806</v>
      </c>
      <c r="P71" s="188">
        <f t="shared" si="85"/>
        <v>197137.8</v>
      </c>
      <c r="Q71" s="188">
        <v>182286.6339018984</v>
      </c>
      <c r="R71" s="188">
        <v>359.28</v>
      </c>
      <c r="S71" s="229">
        <v>0</v>
      </c>
      <c r="T71" s="189">
        <f t="shared" ca="1" si="88"/>
        <v>77895587.782433912</v>
      </c>
      <c r="U71" s="156">
        <f t="shared" si="89"/>
        <v>196778.52</v>
      </c>
      <c r="V71" s="186">
        <v>4186978.04</v>
      </c>
      <c r="W71" s="186">
        <v>11029.74</v>
      </c>
      <c r="X71" s="88">
        <f>('Customer Data'!$E95*2+'Customer Data'!$E98)/3</f>
        <v>3</v>
      </c>
      <c r="Y71" s="126">
        <f ca="1">HLOOKUP($B71,CDM!$B$1:$Q$22,14,FALSE)/12</f>
        <v>6426.6101031082007</v>
      </c>
      <c r="Z71" s="188">
        <f t="shared" ca="1" si="55"/>
        <v>4193404.650103108</v>
      </c>
      <c r="AA71" s="186">
        <v>25190054.719999999</v>
      </c>
      <c r="AB71" s="186">
        <v>46269.22</v>
      </c>
      <c r="AC71" s="88">
        <f>('Customer Data'!$F95*2+'Customer Data'!$F98)/3</f>
        <v>6</v>
      </c>
      <c r="AD71" s="126">
        <f ca="1">HLOOKUP($B71,CDM!$B$1:$Q$22,15,FALSE)/12</f>
        <v>740088.24419988645</v>
      </c>
      <c r="AE71" s="188">
        <f t="shared" ca="1" si="56"/>
        <v>25930142.964199886</v>
      </c>
      <c r="AF71" s="186">
        <v>22694581.009999998</v>
      </c>
      <c r="AG71" s="186">
        <v>42318.92</v>
      </c>
      <c r="AH71" s="88">
        <f>('Customer Data'!$G95*2+'Customer Data'!$G98)/3</f>
        <v>2</v>
      </c>
      <c r="AI71" s="126">
        <f ca="1">HLOOKUP($B71,CDM!$B$1:$Q$22,16,FALSE)/12</f>
        <v>1116955.3038989448</v>
      </c>
      <c r="AJ71" s="188">
        <f t="shared" ca="1" si="57"/>
        <v>23811536.313898943</v>
      </c>
      <c r="AK71" s="188">
        <f t="shared" si="43"/>
        <v>42318.92</v>
      </c>
      <c r="AL71" s="188">
        <v>0</v>
      </c>
      <c r="AM71" s="188">
        <v>0</v>
      </c>
      <c r="AN71" s="156">
        <v>4513186.56047785</v>
      </c>
      <c r="AO71" s="156">
        <v>7224</v>
      </c>
      <c r="AP71" s="156">
        <v>116009.85616333336</v>
      </c>
      <c r="AQ71" s="156">
        <f t="shared" ca="1" si="90"/>
        <v>21300946.547558703</v>
      </c>
      <c r="AR71" s="156">
        <f t="shared" si="91"/>
        <v>39045.22</v>
      </c>
      <c r="AS71" s="186">
        <v>3544441.34</v>
      </c>
      <c r="AT71" s="186">
        <v>6614.78</v>
      </c>
      <c r="AU71" s="88">
        <f>('Customer Data'!$H95*2+'Customer Data'!$H98)/3</f>
        <v>1</v>
      </c>
      <c r="AV71" s="126">
        <f ca="1">HLOOKUP($B71,CDM!$B$1:$Q$22,17,FALSE)/12</f>
        <v>4554.5553061752589</v>
      </c>
      <c r="AW71" s="188">
        <f t="shared" ca="1" si="58"/>
        <v>3548995.8953061751</v>
      </c>
      <c r="AX71" s="105">
        <v>1617240.55</v>
      </c>
      <c r="AY71" s="105">
        <v>4110.09</v>
      </c>
      <c r="AZ71" s="88">
        <f>('Customer Data'!$I95*2+'Customer Data'!$I98)/3</f>
        <v>23487.666666666668</v>
      </c>
      <c r="BA71" s="126">
        <f ca="1">HLOOKUP($B71,CDM!$B$1:$Q$22,18,FALSE)/12</f>
        <v>0</v>
      </c>
      <c r="BB71" s="188">
        <f t="shared" ca="1" si="59"/>
        <v>4110.09</v>
      </c>
      <c r="BC71" s="186">
        <v>76953.476067984899</v>
      </c>
      <c r="BD71" s="186">
        <v>209.02</v>
      </c>
      <c r="BE71" s="188">
        <f>('Customer Data'!$J95*2+'Customer Data'!$J98*1)/3</f>
        <v>623.33333333333337</v>
      </c>
      <c r="BF71" s="105">
        <v>200586.88130410761</v>
      </c>
      <c r="BG71" s="188">
        <f>('Customer Data'!$K95*2+'Customer Data'!$K98*1)/3</f>
        <v>782</v>
      </c>
      <c r="BH71" s="188">
        <f>Weather!B239</f>
        <v>179.7</v>
      </c>
      <c r="BI71" s="188">
        <f>Weather!$C239</f>
        <v>3.9</v>
      </c>
      <c r="BJ71" s="166">
        <f>Employment!B95</f>
        <v>6901.5</v>
      </c>
      <c r="BK71" s="188">
        <f>Employment!$C95</f>
        <v>156.9</v>
      </c>
      <c r="BL71" s="188">
        <f>Employment!D95</f>
        <v>601343.5</v>
      </c>
      <c r="BM71" s="188">
        <f t="shared" si="61"/>
        <v>70</v>
      </c>
      <c r="BN71" s="188">
        <f t="shared" ref="BN71:CA71" si="97">BN59</f>
        <v>0</v>
      </c>
      <c r="BO71" s="188">
        <f t="shared" si="97"/>
        <v>0</v>
      </c>
      <c r="BP71" s="188">
        <f t="shared" si="97"/>
        <v>0</v>
      </c>
      <c r="BQ71" s="188">
        <f t="shared" si="97"/>
        <v>0</v>
      </c>
      <c r="BR71" s="188">
        <f t="shared" si="97"/>
        <v>0</v>
      </c>
      <c r="BS71" s="188">
        <f t="shared" si="97"/>
        <v>0</v>
      </c>
      <c r="BT71" s="188">
        <f t="shared" si="97"/>
        <v>0</v>
      </c>
      <c r="BU71" s="188">
        <f t="shared" si="97"/>
        <v>0</v>
      </c>
      <c r="BV71" s="188">
        <f t="shared" si="97"/>
        <v>0</v>
      </c>
      <c r="BW71" s="188">
        <f t="shared" si="97"/>
        <v>1</v>
      </c>
      <c r="BX71" s="188">
        <f t="shared" si="97"/>
        <v>0</v>
      </c>
      <c r="BY71" s="188">
        <f t="shared" si="97"/>
        <v>0</v>
      </c>
      <c r="BZ71" s="188">
        <f t="shared" si="97"/>
        <v>0</v>
      </c>
      <c r="CA71" s="188">
        <f t="shared" si="97"/>
        <v>1</v>
      </c>
      <c r="CB71" s="188">
        <f t="shared" si="93"/>
        <v>1</v>
      </c>
      <c r="CC71" s="188">
        <f t="shared" si="70"/>
        <v>31</v>
      </c>
      <c r="CD71" s="121">
        <v>22</v>
      </c>
    </row>
    <row r="72" spans="1:82" s="188" customFormat="1" ht="15">
      <c r="A72" s="190">
        <v>41944</v>
      </c>
      <c r="B72" s="191">
        <f t="shared" si="52"/>
        <v>2014</v>
      </c>
      <c r="C72" s="186">
        <v>45214181.374330841</v>
      </c>
      <c r="D72" s="88">
        <f>('Customer Data'!$B95+'Customer Data'!$B98*2)/3</f>
        <v>78096</v>
      </c>
      <c r="E72" s="188">
        <f ca="1">HLOOKUP($B72,CDM!$B$1:$Q$22,11,FALSE)/12</f>
        <v>1450241.2754180685</v>
      </c>
      <c r="F72" s="189">
        <f t="shared" ca="1" si="53"/>
        <v>46664422.649748906</v>
      </c>
      <c r="G72" s="186">
        <v>16780787.998252157</v>
      </c>
      <c r="H72" s="88">
        <f>('Customer Data'!$C95+'Customer Data'!$C98*2)/3</f>
        <v>7021.7777777777783</v>
      </c>
      <c r="I72" s="188">
        <f ca="1">HLOOKUP($B72,CDM!$B$1:$Q$22,12,FALSE)/12</f>
        <v>1010514.0518786918</v>
      </c>
      <c r="J72" s="188">
        <f t="shared" ca="1" si="54"/>
        <v>17791302.050130848</v>
      </c>
      <c r="K72" s="186">
        <v>78873081.384012789</v>
      </c>
      <c r="L72" s="186">
        <v>192395.69</v>
      </c>
      <c r="M72" s="88">
        <f>('Customer Data'!$D95+'Customer Data'!$D98*2)/3</f>
        <v>1211.3333333333333</v>
      </c>
      <c r="N72" s="126">
        <f ca="1">HLOOKUP($B72,CDM!$B$1:$Q$22,13,FALSE)/12</f>
        <v>2474076.3927498753</v>
      </c>
      <c r="O72" s="188">
        <f t="shared" ca="1" si="84"/>
        <v>81347157.776762664</v>
      </c>
      <c r="P72" s="188">
        <f t="shared" si="85"/>
        <v>192395.69</v>
      </c>
      <c r="Q72" s="188">
        <v>173911.40984870386</v>
      </c>
      <c r="R72" s="188">
        <v>393.21</v>
      </c>
      <c r="S72" s="229">
        <v>0</v>
      </c>
      <c r="T72" s="189">
        <f t="shared" ca="1" si="88"/>
        <v>81173246.366913959</v>
      </c>
      <c r="U72" s="156">
        <f t="shared" si="89"/>
        <v>192002.48</v>
      </c>
      <c r="V72" s="186">
        <v>3884268.23</v>
      </c>
      <c r="W72" s="186">
        <v>10653.97</v>
      </c>
      <c r="X72" s="88">
        <f>('Customer Data'!$E95+'Customer Data'!$E98*2)/3</f>
        <v>3</v>
      </c>
      <c r="Y72" s="126">
        <f ca="1">HLOOKUP($B72,CDM!$B$1:$Q$22,14,FALSE)/12</f>
        <v>6426.6101031082007</v>
      </c>
      <c r="Z72" s="188">
        <f t="shared" ca="1" si="55"/>
        <v>3890694.840103108</v>
      </c>
      <c r="AA72" s="186">
        <v>23886028.379999999</v>
      </c>
      <c r="AB72" s="186">
        <v>42289.59</v>
      </c>
      <c r="AC72" s="88">
        <f>('Customer Data'!$F95+'Customer Data'!$F98*2)/3</f>
        <v>6</v>
      </c>
      <c r="AD72" s="126">
        <f ca="1">HLOOKUP($B72,CDM!$B$1:$Q$22,15,FALSE)/12</f>
        <v>740088.24419988645</v>
      </c>
      <c r="AE72" s="188">
        <f t="shared" ca="1" si="56"/>
        <v>24626116.624199886</v>
      </c>
      <c r="AF72" s="186">
        <v>21203675.280000001</v>
      </c>
      <c r="AG72" s="186">
        <v>40253.64</v>
      </c>
      <c r="AH72" s="88">
        <f>('Customer Data'!$G95+'Customer Data'!$G98*2)/3</f>
        <v>2</v>
      </c>
      <c r="AI72" s="126">
        <f ca="1">HLOOKUP($B72,CDM!$B$1:$Q$22,16,FALSE)/12</f>
        <v>1116955.3038989448</v>
      </c>
      <c r="AJ72" s="188">
        <f t="shared" ca="1" si="57"/>
        <v>22320630.583898947</v>
      </c>
      <c r="AK72" s="188">
        <f t="shared" si="43"/>
        <v>40253.64</v>
      </c>
      <c r="AL72" s="188">
        <v>0</v>
      </c>
      <c r="AM72" s="188">
        <v>0</v>
      </c>
      <c r="AN72" s="156">
        <v>4432913.2802389245</v>
      </c>
      <c r="AO72" s="156">
        <v>7398.72</v>
      </c>
      <c r="AP72" s="156">
        <v>116009.85616333336</v>
      </c>
      <c r="AQ72" s="156">
        <f t="shared" ca="1" si="90"/>
        <v>20077193.487797629</v>
      </c>
      <c r="AR72" s="156">
        <f t="shared" si="91"/>
        <v>34890.869999999995</v>
      </c>
      <c r="AS72" s="186">
        <v>3494549.76</v>
      </c>
      <c r="AT72" s="186">
        <v>6658.94</v>
      </c>
      <c r="AU72" s="88">
        <f>('Customer Data'!$H95+'Customer Data'!$H98*2)/3</f>
        <v>1</v>
      </c>
      <c r="AV72" s="126">
        <f ca="1">HLOOKUP($B72,CDM!$B$1:$Q$22,17,FALSE)/12</f>
        <v>4554.5553061752589</v>
      </c>
      <c r="AW72" s="188">
        <f t="shared" ca="1" si="58"/>
        <v>3499104.315306175</v>
      </c>
      <c r="AX72" s="105">
        <v>1734505.1400000001</v>
      </c>
      <c r="AY72" s="105">
        <v>4110.09</v>
      </c>
      <c r="AZ72" s="88">
        <f>('Customer Data'!$I95+'Customer Data'!$I98*2)/3</f>
        <v>23473.333333333332</v>
      </c>
      <c r="BA72" s="126">
        <f ca="1">HLOOKUP($B72,CDM!$B$1:$Q$22,18,FALSE)/12</f>
        <v>0</v>
      </c>
      <c r="BB72" s="188">
        <f t="shared" ca="1" si="59"/>
        <v>4110.09</v>
      </c>
      <c r="BC72" s="186">
        <v>75334.841770188301</v>
      </c>
      <c r="BD72" s="186">
        <v>205.62</v>
      </c>
      <c r="BE72" s="188">
        <f>('Customer Data'!$J95*1+'Customer Data'!$J98*2)/3</f>
        <v>621.66666666666663</v>
      </c>
      <c r="BF72" s="105">
        <v>200578.90835881382</v>
      </c>
      <c r="BG72" s="188">
        <f>('Customer Data'!$K95*1+'Customer Data'!$K98*2)/3</f>
        <v>781</v>
      </c>
      <c r="BH72" s="188">
        <f>Weather!B240</f>
        <v>442</v>
      </c>
      <c r="BI72" s="188">
        <f>Weather!$C240</f>
        <v>0</v>
      </c>
      <c r="BJ72" s="166">
        <f>Employment!B96</f>
        <v>6907.5</v>
      </c>
      <c r="BK72" s="188">
        <f>Employment!$C96</f>
        <v>157.9</v>
      </c>
      <c r="BL72" s="188">
        <f>Employment!D96</f>
        <v>601343.5</v>
      </c>
      <c r="BM72" s="188">
        <f t="shared" si="61"/>
        <v>71</v>
      </c>
      <c r="BN72" s="188">
        <f t="shared" ref="BN72:CA72" si="98">BN60</f>
        <v>0</v>
      </c>
      <c r="BO72" s="188">
        <f t="shared" si="98"/>
        <v>0</v>
      </c>
      <c r="BP72" s="188">
        <f t="shared" si="98"/>
        <v>0</v>
      </c>
      <c r="BQ72" s="188">
        <f t="shared" si="98"/>
        <v>0</v>
      </c>
      <c r="BR72" s="188">
        <f t="shared" si="98"/>
        <v>0</v>
      </c>
      <c r="BS72" s="188">
        <f t="shared" si="98"/>
        <v>0</v>
      </c>
      <c r="BT72" s="188">
        <f t="shared" si="98"/>
        <v>0</v>
      </c>
      <c r="BU72" s="188">
        <f t="shared" si="98"/>
        <v>0</v>
      </c>
      <c r="BV72" s="188">
        <f t="shared" si="98"/>
        <v>0</v>
      </c>
      <c r="BW72" s="188">
        <f t="shared" si="98"/>
        <v>0</v>
      </c>
      <c r="BX72" s="188">
        <f t="shared" si="98"/>
        <v>1</v>
      </c>
      <c r="BY72" s="188">
        <f t="shared" si="98"/>
        <v>0</v>
      </c>
      <c r="BZ72" s="188">
        <f t="shared" si="98"/>
        <v>0</v>
      </c>
      <c r="CA72" s="188">
        <f t="shared" si="98"/>
        <v>1</v>
      </c>
      <c r="CB72" s="188">
        <f t="shared" si="93"/>
        <v>1</v>
      </c>
      <c r="CC72" s="188">
        <f t="shared" si="70"/>
        <v>30</v>
      </c>
      <c r="CD72" s="121">
        <v>20</v>
      </c>
    </row>
    <row r="73" spans="1:82" s="188" customFormat="1" ht="15">
      <c r="A73" s="190">
        <v>41974</v>
      </c>
      <c r="B73" s="191">
        <f t="shared" si="52"/>
        <v>2014</v>
      </c>
      <c r="C73" s="186">
        <v>51795146.952431843</v>
      </c>
      <c r="D73" s="88">
        <f>'Customer Data'!$B98</f>
        <v>78144</v>
      </c>
      <c r="E73" s="188">
        <f ca="1">HLOOKUP($B73,CDM!$B$1:$Q$22,11,FALSE)/12</f>
        <v>1450241.2754180685</v>
      </c>
      <c r="F73" s="189">
        <f t="shared" ca="1" si="53"/>
        <v>53245388.227849908</v>
      </c>
      <c r="G73" s="186">
        <v>18269416.415628094</v>
      </c>
      <c r="H73" s="88">
        <f>'Customer Data'!$C98</f>
        <v>7024</v>
      </c>
      <c r="I73" s="188">
        <f ca="1">HLOOKUP($B73,CDM!$B$1:$Q$22,12,FALSE)/12</f>
        <v>1010514.0518786918</v>
      </c>
      <c r="J73" s="188">
        <f t="shared" ca="1" si="54"/>
        <v>19279930.467506785</v>
      </c>
      <c r="K73" s="186">
        <v>82150041.570235699</v>
      </c>
      <c r="L73" s="186">
        <v>196396.14</v>
      </c>
      <c r="M73" s="88">
        <f>'Customer Data'!$D98</f>
        <v>1211</v>
      </c>
      <c r="N73" s="126">
        <f ca="1">HLOOKUP($B73,CDM!$B$1:$Q$22,13,FALSE)/12</f>
        <v>2474076.3927498753</v>
      </c>
      <c r="O73" s="188">
        <f t="shared" ca="1" si="84"/>
        <v>84624117.962985575</v>
      </c>
      <c r="P73" s="188">
        <f t="shared" si="85"/>
        <v>196396.14</v>
      </c>
      <c r="Q73" s="188">
        <v>175400.73238893706</v>
      </c>
      <c r="R73" s="188">
        <v>370.08</v>
      </c>
      <c r="S73" s="229">
        <v>0</v>
      </c>
      <c r="T73" s="189">
        <f t="shared" ca="1" si="88"/>
        <v>84448717.230596632</v>
      </c>
      <c r="U73" s="156">
        <f t="shared" si="89"/>
        <v>196026.06000000003</v>
      </c>
      <c r="V73" s="186">
        <v>3885282.97</v>
      </c>
      <c r="W73" s="186">
        <v>10766.8</v>
      </c>
      <c r="X73" s="88">
        <f>'Customer Data'!$E98</f>
        <v>3</v>
      </c>
      <c r="Y73" s="126">
        <f ca="1">HLOOKUP($B73,CDM!$B$1:$Q$22,14,FALSE)/12</f>
        <v>6426.6101031082007</v>
      </c>
      <c r="Z73" s="188">
        <f t="shared" ca="1" si="55"/>
        <v>3891709.5801031082</v>
      </c>
      <c r="AA73" s="186">
        <v>22136452.059999999</v>
      </c>
      <c r="AB73" s="186">
        <v>41341.61</v>
      </c>
      <c r="AC73" s="88">
        <f>'Customer Data'!$F98</f>
        <v>6</v>
      </c>
      <c r="AD73" s="126">
        <f ca="1">HLOOKUP($B73,CDM!$B$1:$Q$22,15,FALSE)/12</f>
        <v>740088.24419988645</v>
      </c>
      <c r="AE73" s="188">
        <f t="shared" ca="1" si="56"/>
        <v>22876540.304199886</v>
      </c>
      <c r="AF73" s="186">
        <v>20131558.829999998</v>
      </c>
      <c r="AG73" s="186">
        <v>40284.490000000005</v>
      </c>
      <c r="AH73" s="88">
        <f>'Customer Data'!$G98</f>
        <v>2</v>
      </c>
      <c r="AI73" s="126">
        <f ca="1">HLOOKUP($B73,CDM!$B$1:$Q$22,16,FALSE)/12</f>
        <v>1116955.3038989448</v>
      </c>
      <c r="AJ73" s="188">
        <f t="shared" ca="1" si="57"/>
        <v>21248514.133898944</v>
      </c>
      <c r="AK73" s="188">
        <f t="shared" si="43"/>
        <v>40284.490000000005</v>
      </c>
      <c r="AL73" s="188">
        <v>0</v>
      </c>
      <c r="AM73" s="188">
        <v>0</v>
      </c>
      <c r="AN73" s="156">
        <v>3917038.0786460927</v>
      </c>
      <c r="AO73" s="156">
        <v>7275.84</v>
      </c>
      <c r="AP73" s="156">
        <v>116009.85616333336</v>
      </c>
      <c r="AQ73" s="156">
        <f t="shared" ca="1" si="90"/>
        <v>18843492.369390458</v>
      </c>
      <c r="AR73" s="156">
        <f t="shared" si="91"/>
        <v>34065.770000000004</v>
      </c>
      <c r="AS73" s="186">
        <v>2809884.67</v>
      </c>
      <c r="AT73" s="186">
        <v>6642.43</v>
      </c>
      <c r="AU73" s="88">
        <f>'Customer Data'!$H98</f>
        <v>1</v>
      </c>
      <c r="AV73" s="126">
        <f ca="1">HLOOKUP($B73,CDM!$B$1:$Q$22,17,FALSE)/12</f>
        <v>4554.5553061752589</v>
      </c>
      <c r="AW73" s="188">
        <f t="shared" ca="1" si="58"/>
        <v>2814439.2253061752</v>
      </c>
      <c r="AX73" s="105">
        <v>1872350.9200000002</v>
      </c>
      <c r="AY73" s="105">
        <v>4106.4399999999996</v>
      </c>
      <c r="AZ73" s="88">
        <f>'Customer Data'!$I98</f>
        <v>23459</v>
      </c>
      <c r="BA73" s="126">
        <f ca="1">HLOOKUP($B73,CDM!$B$1:$Q$22,18,FALSE)/12</f>
        <v>0</v>
      </c>
      <c r="BB73" s="188">
        <f t="shared" ca="1" si="59"/>
        <v>4106.4399999999996</v>
      </c>
      <c r="BC73" s="186">
        <v>71962.864251680294</v>
      </c>
      <c r="BD73" s="186">
        <v>198.37</v>
      </c>
      <c r="BE73" s="188">
        <f>'Customer Data'!$J98</f>
        <v>620</v>
      </c>
      <c r="BF73" s="105">
        <v>200821.21573033711</v>
      </c>
      <c r="BG73" s="188">
        <f>'Customer Data'!$K98</f>
        <v>780</v>
      </c>
      <c r="BH73" s="188">
        <f>Weather!B241</f>
        <v>513.9</v>
      </c>
      <c r="BI73" s="188">
        <f>Weather!$C241</f>
        <v>0</v>
      </c>
      <c r="BJ73" s="166">
        <f>Employment!B97</f>
        <v>6903.1</v>
      </c>
      <c r="BK73" s="188">
        <f>Employment!$C97</f>
        <v>159.9</v>
      </c>
      <c r="BL73" s="188">
        <f>Employment!D97</f>
        <v>601343.5</v>
      </c>
      <c r="BM73" s="188">
        <f t="shared" si="61"/>
        <v>72</v>
      </c>
      <c r="BN73" s="188">
        <f t="shared" ref="BN73:CA73" si="99">BN61</f>
        <v>0</v>
      </c>
      <c r="BO73" s="188">
        <f t="shared" si="99"/>
        <v>0</v>
      </c>
      <c r="BP73" s="188">
        <f t="shared" si="99"/>
        <v>0</v>
      </c>
      <c r="BQ73" s="188">
        <f t="shared" si="99"/>
        <v>0</v>
      </c>
      <c r="BR73" s="188">
        <f t="shared" si="99"/>
        <v>0</v>
      </c>
      <c r="BS73" s="188">
        <f t="shared" si="99"/>
        <v>0</v>
      </c>
      <c r="BT73" s="188">
        <f t="shared" si="99"/>
        <v>0</v>
      </c>
      <c r="BU73" s="188">
        <f t="shared" si="99"/>
        <v>0</v>
      </c>
      <c r="BV73" s="188">
        <f t="shared" si="99"/>
        <v>0</v>
      </c>
      <c r="BW73" s="188">
        <f t="shared" si="99"/>
        <v>0</v>
      </c>
      <c r="BX73" s="188">
        <f t="shared" si="99"/>
        <v>0</v>
      </c>
      <c r="BY73" s="188">
        <f t="shared" si="99"/>
        <v>1</v>
      </c>
      <c r="BZ73" s="188">
        <f t="shared" si="99"/>
        <v>0</v>
      </c>
      <c r="CA73" s="188">
        <f t="shared" si="99"/>
        <v>0</v>
      </c>
      <c r="CB73" s="188">
        <f t="shared" si="93"/>
        <v>0</v>
      </c>
      <c r="CC73" s="188">
        <f t="shared" si="70"/>
        <v>31</v>
      </c>
      <c r="CD73" s="121">
        <v>21</v>
      </c>
    </row>
    <row r="74" spans="1:82" s="188" customFormat="1" ht="15">
      <c r="A74" s="190">
        <v>42005</v>
      </c>
      <c r="B74" s="191">
        <f t="shared" si="52"/>
        <v>2015</v>
      </c>
      <c r="C74" s="186">
        <v>54291354.217804626</v>
      </c>
      <c r="D74" s="88">
        <f>('Customer Data'!$B98*2+'Customer Data'!$B101)/3</f>
        <v>78164.666666666672</v>
      </c>
      <c r="E74" s="188">
        <f ca="1">HLOOKUP($B74,CDM!$B$1:$Q$22,11,FALSE)/12</f>
        <v>1472541.9638756439</v>
      </c>
      <c r="F74" s="189">
        <f t="shared" ca="1" si="53"/>
        <v>55763896.18168027</v>
      </c>
      <c r="G74" s="186">
        <v>19028857.622455761</v>
      </c>
      <c r="H74" s="88">
        <f>('Customer Data'!$C98*2+'Customer Data'!$C101)/3</f>
        <v>7029.333333333333</v>
      </c>
      <c r="I74" s="188">
        <f ca="1">HLOOKUP($B74,CDM!$B$1:$Q$22,12,FALSE)/12</f>
        <v>1178042.7617162857</v>
      </c>
      <c r="J74" s="188">
        <f t="shared" ca="1" si="54"/>
        <v>20206900.384172045</v>
      </c>
      <c r="K74" s="186">
        <v>87766375.659253582</v>
      </c>
      <c r="L74" s="186">
        <v>203228.27</v>
      </c>
      <c r="M74" s="88">
        <f>('Customer Data'!$D98*2+'Customer Data'!$D101)/3</f>
        <v>1213.6666666666667</v>
      </c>
      <c r="N74" s="126">
        <f ca="1">HLOOKUP($B74,CDM!$B$1:$Q$22,13,FALSE)/12</f>
        <v>3281539.3291532523</v>
      </c>
      <c r="O74" s="188">
        <f t="shared" ca="1" si="84"/>
        <v>91047914.988406837</v>
      </c>
      <c r="P74" s="188">
        <f t="shared" si="85"/>
        <v>203228.27</v>
      </c>
      <c r="Q74" s="188">
        <v>185194.97928110242</v>
      </c>
      <c r="R74" s="188">
        <v>343.98</v>
      </c>
      <c r="S74" s="229">
        <v>0</v>
      </c>
      <c r="T74" s="189">
        <f t="shared" ca="1" si="88"/>
        <v>90862720.009125739</v>
      </c>
      <c r="U74" s="156">
        <f t="shared" si="89"/>
        <v>202884.28999999998</v>
      </c>
      <c r="V74" s="186">
        <v>4073101.41</v>
      </c>
      <c r="W74" s="186">
        <v>11330.36</v>
      </c>
      <c r="X74" s="88">
        <f>('Customer Data'!$E98*2+'Customer Data'!$E101)/3</f>
        <v>3</v>
      </c>
      <c r="Y74" s="126">
        <f ca="1">HLOOKUP($B74,CDM!$B$1:$Q$22,14,FALSE)/12</f>
        <v>20859.59326617933</v>
      </c>
      <c r="Z74" s="188">
        <f t="shared" ca="1" si="55"/>
        <v>4093961.0032661795</v>
      </c>
      <c r="AA74" s="186">
        <v>23145391.509999998</v>
      </c>
      <c r="AB74" s="186">
        <v>41014.579999999994</v>
      </c>
      <c r="AC74" s="88">
        <f>('Customer Data'!$F98*2+'Customer Data'!$F101)/3</f>
        <v>6</v>
      </c>
      <c r="AD74" s="126">
        <f ca="1">HLOOKUP($B74,CDM!$B$1:$Q$22,15,FALSE)/12</f>
        <v>842309.02331305854</v>
      </c>
      <c r="AE74" s="188">
        <f t="shared" ca="1" si="56"/>
        <v>23987700.533313058</v>
      </c>
      <c r="AF74" s="186">
        <v>21971787.370000001</v>
      </c>
      <c r="AG74" s="186">
        <v>41086.46</v>
      </c>
      <c r="AH74" s="88">
        <f>('Customer Data'!$G98*2+'Customer Data'!$G101)/3</f>
        <v>2</v>
      </c>
      <c r="AI74" s="126">
        <f ca="1">HLOOKUP($B74,CDM!$B$1:$Q$22,16,FALSE)/12</f>
        <v>1298005.887372409</v>
      </c>
      <c r="AJ74" s="188">
        <f t="shared" ca="1" si="57"/>
        <v>23269793.257372409</v>
      </c>
      <c r="AK74" s="188">
        <f t="shared" si="43"/>
        <v>41086.46</v>
      </c>
      <c r="AL74" s="188">
        <v>0</v>
      </c>
      <c r="AM74" s="188">
        <v>0</v>
      </c>
      <c r="AN74" s="156">
        <v>3986454.7237431561</v>
      </c>
      <c r="AO74" s="156">
        <v>6689.28</v>
      </c>
      <c r="AP74" s="156">
        <v>145710.3583692</v>
      </c>
      <c r="AQ74" s="156">
        <f t="shared" ca="1" si="90"/>
        <v>19855535.451200701</v>
      </c>
      <c r="AR74" s="156">
        <f t="shared" si="91"/>
        <v>34325.299999999996</v>
      </c>
      <c r="AS74" s="186">
        <v>3791910.14</v>
      </c>
      <c r="AT74" s="186">
        <v>7175.81</v>
      </c>
      <c r="AU74" s="88">
        <f>('Customer Data'!$H98*2+'Customer Data'!$H101)/3</f>
        <v>1</v>
      </c>
      <c r="AV74" s="126">
        <f ca="1">HLOOKUP($B74,CDM!$B$1:$Q$22,17,FALSE)/12</f>
        <v>4551.1293938503995</v>
      </c>
      <c r="AW74" s="188">
        <f t="shared" ca="1" si="58"/>
        <v>3796461.2693938506</v>
      </c>
      <c r="AX74" s="105">
        <v>1805348.09</v>
      </c>
      <c r="AY74" s="105">
        <v>4106.34</v>
      </c>
      <c r="AZ74" s="88">
        <f>('Customer Data'!$I98*2+'Customer Data'!$I101)/3</f>
        <v>23472.333333333332</v>
      </c>
      <c r="BA74" s="126">
        <f ca="1">HLOOKUP($B74,CDM!$B$1:$Q$22,18,FALSE)/12</f>
        <v>0</v>
      </c>
      <c r="BB74" s="188">
        <f t="shared" ca="1" si="59"/>
        <v>4106.34</v>
      </c>
      <c r="BC74" s="186">
        <v>72486.876150794502</v>
      </c>
      <c r="BD74" s="186">
        <v>205.05</v>
      </c>
      <c r="BE74" s="188">
        <f>('Customer Data'!$J98*2+'Customer Data'!$J101*1)/3</f>
        <v>620.33333333333337</v>
      </c>
      <c r="BF74" s="105">
        <v>199619.87198033711</v>
      </c>
      <c r="BG74" s="188">
        <f>('Customer Data'!$K98*2+'Customer Data'!$K101*1)/3</f>
        <v>780</v>
      </c>
      <c r="BH74" s="188">
        <f>Weather!B242</f>
        <v>724.69999999999982</v>
      </c>
      <c r="BI74" s="188">
        <f>Weather!$C242</f>
        <v>0</v>
      </c>
      <c r="BJ74" s="166">
        <f>Employment!B98</f>
        <v>6885.7</v>
      </c>
      <c r="BK74" s="188">
        <f>Employment!$C98</f>
        <v>160.4</v>
      </c>
      <c r="BL74" s="188">
        <f>Employment!D98</f>
        <v>618051.4</v>
      </c>
      <c r="BM74" s="188">
        <f t="shared" si="61"/>
        <v>73</v>
      </c>
      <c r="BN74" s="188">
        <f t="shared" ref="BN74:CA74" si="100">BN62</f>
        <v>1</v>
      </c>
      <c r="BO74" s="188">
        <f t="shared" si="100"/>
        <v>0</v>
      </c>
      <c r="BP74" s="188">
        <f t="shared" si="100"/>
        <v>0</v>
      </c>
      <c r="BQ74" s="188">
        <f t="shared" si="100"/>
        <v>0</v>
      </c>
      <c r="BR74" s="188">
        <f t="shared" si="100"/>
        <v>0</v>
      </c>
      <c r="BS74" s="188">
        <f t="shared" si="100"/>
        <v>0</v>
      </c>
      <c r="BT74" s="188">
        <f t="shared" si="100"/>
        <v>0</v>
      </c>
      <c r="BU74" s="188">
        <f t="shared" si="100"/>
        <v>0</v>
      </c>
      <c r="BV74" s="188">
        <f t="shared" si="100"/>
        <v>0</v>
      </c>
      <c r="BW74" s="188">
        <f t="shared" si="100"/>
        <v>0</v>
      </c>
      <c r="BX74" s="188">
        <f t="shared" si="100"/>
        <v>0</v>
      </c>
      <c r="BY74" s="188">
        <f t="shared" si="100"/>
        <v>0</v>
      </c>
      <c r="BZ74" s="188">
        <f t="shared" si="100"/>
        <v>0</v>
      </c>
      <c r="CA74" s="188">
        <f t="shared" si="100"/>
        <v>0</v>
      </c>
      <c r="CB74" s="188">
        <f t="shared" si="93"/>
        <v>0</v>
      </c>
      <c r="CC74" s="188">
        <f t="shared" si="70"/>
        <v>31</v>
      </c>
      <c r="CD74" s="121">
        <v>21</v>
      </c>
    </row>
    <row r="75" spans="1:82" s="188" customFormat="1" ht="15">
      <c r="A75" s="190">
        <v>42036</v>
      </c>
      <c r="B75" s="191">
        <f t="shared" si="52"/>
        <v>2015</v>
      </c>
      <c r="C75" s="186">
        <v>49227844.392733634</v>
      </c>
      <c r="D75" s="88">
        <f>('Customer Data'!$B98+'Customer Data'!$B101*2)/3</f>
        <v>78185.333333333328</v>
      </c>
      <c r="E75" s="188">
        <f ca="1">HLOOKUP($B75,CDM!$B$1:$Q$22,11,FALSE)/12</f>
        <v>1472541.9638756439</v>
      </c>
      <c r="F75" s="189">
        <f t="shared" ca="1" si="53"/>
        <v>50700386.356609277</v>
      </c>
      <c r="G75" s="186">
        <v>17734910.149689477</v>
      </c>
      <c r="H75" s="88">
        <f>('Customer Data'!$C98+'Customer Data'!$C101*2)/3</f>
        <v>7034.666666666667</v>
      </c>
      <c r="I75" s="188">
        <f ca="1">HLOOKUP($B75,CDM!$B$1:$Q$22,12,FALSE)/12</f>
        <v>1178042.7617162857</v>
      </c>
      <c r="J75" s="188">
        <f t="shared" ca="1" si="54"/>
        <v>18912952.911405765</v>
      </c>
      <c r="K75" s="186">
        <v>81671581.671099231</v>
      </c>
      <c r="L75" s="186">
        <v>198053.79</v>
      </c>
      <c r="M75" s="88">
        <f>('Customer Data'!$D98+'Customer Data'!$D101*2)/3</f>
        <v>1216.3333333333333</v>
      </c>
      <c r="N75" s="126">
        <f ca="1">HLOOKUP($B75,CDM!$B$1:$Q$22,13,FALSE)/12</f>
        <v>3281539.3291532523</v>
      </c>
      <c r="O75" s="188">
        <f t="shared" ca="1" si="84"/>
        <v>84953121.000252485</v>
      </c>
      <c r="P75" s="188">
        <f t="shared" si="85"/>
        <v>198053.79</v>
      </c>
      <c r="Q75" s="188">
        <v>180799.82653946226</v>
      </c>
      <c r="R75" s="188">
        <v>387.36</v>
      </c>
      <c r="S75" s="229">
        <v>0</v>
      </c>
      <c r="T75" s="189">
        <f t="shared" ca="1" si="88"/>
        <v>84772321.173713028</v>
      </c>
      <c r="U75" s="156">
        <f t="shared" si="89"/>
        <v>197666.43000000002</v>
      </c>
      <c r="V75" s="186">
        <v>3502983.03</v>
      </c>
      <c r="W75" s="186">
        <v>11253.82</v>
      </c>
      <c r="X75" s="88">
        <f>('Customer Data'!$E98+'Customer Data'!$E101*2)/3</f>
        <v>3</v>
      </c>
      <c r="Y75" s="126">
        <f ca="1">HLOOKUP($B75,CDM!$B$1:$Q$22,14,FALSE)/12</f>
        <v>20859.59326617933</v>
      </c>
      <c r="Z75" s="188">
        <f t="shared" ca="1" si="55"/>
        <v>3523842.6232661791</v>
      </c>
      <c r="AA75" s="186">
        <v>22896457.68</v>
      </c>
      <c r="AB75" s="186">
        <v>44527.51</v>
      </c>
      <c r="AC75" s="88">
        <f>('Customer Data'!$F98+'Customer Data'!$F101*2)/3</f>
        <v>6</v>
      </c>
      <c r="AD75" s="126">
        <f ca="1">HLOOKUP($B75,CDM!$B$1:$Q$22,15,FALSE)/12</f>
        <v>842309.02331305854</v>
      </c>
      <c r="AE75" s="188">
        <f t="shared" ca="1" si="56"/>
        <v>23738766.70331306</v>
      </c>
      <c r="AF75" s="186">
        <v>15579906.460000001</v>
      </c>
      <c r="AG75" s="186">
        <v>40487.03</v>
      </c>
      <c r="AH75" s="88">
        <f>('Customer Data'!$G98+'Customer Data'!$G101*2)/3</f>
        <v>2</v>
      </c>
      <c r="AI75" s="126">
        <f ca="1">HLOOKUP($B75,CDM!$B$1:$Q$22,16,FALSE)/12</f>
        <v>1298005.887372409</v>
      </c>
      <c r="AJ75" s="188">
        <f t="shared" ca="1" si="57"/>
        <v>16877912.347372409</v>
      </c>
      <c r="AK75" s="188">
        <f t="shared" si="43"/>
        <v>40487.03</v>
      </c>
      <c r="AL75" s="188">
        <v>0</v>
      </c>
      <c r="AM75" s="188">
        <v>0</v>
      </c>
      <c r="AN75" s="156">
        <v>4032089.2782478849</v>
      </c>
      <c r="AO75" s="156">
        <v>6990.72</v>
      </c>
      <c r="AP75" s="156">
        <v>145710.3583692</v>
      </c>
      <c r="AQ75" s="156">
        <f t="shared" ca="1" si="90"/>
        <v>19560967.066695973</v>
      </c>
      <c r="AR75" s="156">
        <f t="shared" si="91"/>
        <v>37536.79</v>
      </c>
      <c r="AS75" s="186">
        <v>3804374.02</v>
      </c>
      <c r="AT75" s="186">
        <v>7142.4</v>
      </c>
      <c r="AU75" s="88">
        <f>('Customer Data'!$H98+'Customer Data'!$H101*2)/3</f>
        <v>1</v>
      </c>
      <c r="AV75" s="126">
        <f ca="1">HLOOKUP($B75,CDM!$B$1:$Q$22,17,FALSE)/12</f>
        <v>4551.1293938503995</v>
      </c>
      <c r="AW75" s="188">
        <f t="shared" ca="1" si="58"/>
        <v>3808925.1493938505</v>
      </c>
      <c r="AX75" s="105">
        <v>1496557.74</v>
      </c>
      <c r="AY75" s="105">
        <v>4103.75</v>
      </c>
      <c r="AZ75" s="88">
        <f>('Customer Data'!$I98+'Customer Data'!$I101*2)/3</f>
        <v>23485.666666666668</v>
      </c>
      <c r="BA75" s="126">
        <f ca="1">HLOOKUP($B75,CDM!$B$1:$Q$22,18,FALSE)/12</f>
        <v>0</v>
      </c>
      <c r="BB75" s="188">
        <f t="shared" ca="1" si="59"/>
        <v>4103.75</v>
      </c>
      <c r="BC75" s="186">
        <v>70057.670526696398</v>
      </c>
      <c r="BD75" s="186">
        <v>202.42</v>
      </c>
      <c r="BE75" s="188">
        <f>('Customer Data'!$J98*1+'Customer Data'!$J101*2)/3</f>
        <v>620.66666666666663</v>
      </c>
      <c r="BF75" s="105">
        <v>202046.34375</v>
      </c>
      <c r="BG75" s="188">
        <f>('Customer Data'!$K98*1+'Customer Data'!$K101*2)/3</f>
        <v>780</v>
      </c>
      <c r="BH75" s="188">
        <f>Weather!B243</f>
        <v>757.39999999999986</v>
      </c>
      <c r="BI75" s="188">
        <f>Weather!$C243</f>
        <v>0</v>
      </c>
      <c r="BJ75" s="166">
        <f>Employment!B99</f>
        <v>6885.3</v>
      </c>
      <c r="BK75" s="188">
        <f>Employment!$C99</f>
        <v>161.69999999999999</v>
      </c>
      <c r="BL75" s="188">
        <f>Employment!D99</f>
        <v>618051.4</v>
      </c>
      <c r="BM75" s="188">
        <f t="shared" si="61"/>
        <v>74</v>
      </c>
      <c r="BN75" s="188">
        <f t="shared" ref="BN75:CA75" si="101">BN63</f>
        <v>0</v>
      </c>
      <c r="BO75" s="188">
        <f t="shared" si="101"/>
        <v>1</v>
      </c>
      <c r="BP75" s="188">
        <f t="shared" si="101"/>
        <v>0</v>
      </c>
      <c r="BQ75" s="188">
        <f t="shared" si="101"/>
        <v>0</v>
      </c>
      <c r="BR75" s="188">
        <f t="shared" si="101"/>
        <v>0</v>
      </c>
      <c r="BS75" s="188">
        <f t="shared" si="101"/>
        <v>0</v>
      </c>
      <c r="BT75" s="188">
        <f t="shared" si="101"/>
        <v>0</v>
      </c>
      <c r="BU75" s="188">
        <f t="shared" si="101"/>
        <v>0</v>
      </c>
      <c r="BV75" s="188">
        <f t="shared" si="101"/>
        <v>0</v>
      </c>
      <c r="BW75" s="188">
        <f t="shared" si="101"/>
        <v>0</v>
      </c>
      <c r="BX75" s="188">
        <f t="shared" si="101"/>
        <v>0</v>
      </c>
      <c r="BY75" s="188">
        <f t="shared" si="101"/>
        <v>0</v>
      </c>
      <c r="BZ75" s="188">
        <f t="shared" si="101"/>
        <v>0</v>
      </c>
      <c r="CA75" s="188">
        <f t="shared" si="101"/>
        <v>0</v>
      </c>
      <c r="CB75" s="188">
        <f t="shared" si="93"/>
        <v>0</v>
      </c>
      <c r="CC75" s="188">
        <f t="shared" si="70"/>
        <v>28</v>
      </c>
      <c r="CD75" s="121">
        <v>19</v>
      </c>
    </row>
    <row r="76" spans="1:82" s="188" customFormat="1" ht="15">
      <c r="A76" s="190">
        <v>42064</v>
      </c>
      <c r="B76" s="191">
        <f t="shared" si="52"/>
        <v>2015</v>
      </c>
      <c r="C76" s="186">
        <v>47128619.808052026</v>
      </c>
      <c r="D76" s="88">
        <f>'Customer Data'!$B101</f>
        <v>78206</v>
      </c>
      <c r="E76" s="188">
        <f ca="1">HLOOKUP($B76,CDM!$B$1:$Q$22,11,FALSE)/12</f>
        <v>1472541.9638756439</v>
      </c>
      <c r="F76" s="189">
        <f t="shared" ca="1" si="53"/>
        <v>48601161.77192767</v>
      </c>
      <c r="G76" s="186">
        <v>17909151.931413706</v>
      </c>
      <c r="H76" s="88">
        <f>'Customer Data'!$C101</f>
        <v>7040</v>
      </c>
      <c r="I76" s="188">
        <f ca="1">HLOOKUP($B76,CDM!$B$1:$Q$22,12,FALSE)/12</f>
        <v>1178042.7617162857</v>
      </c>
      <c r="J76" s="188">
        <f t="shared" ca="1" si="54"/>
        <v>19087194.693129994</v>
      </c>
      <c r="K76" s="186">
        <v>81903657.474697948</v>
      </c>
      <c r="L76" s="186">
        <v>203492.66999999998</v>
      </c>
      <c r="M76" s="88">
        <f>'Customer Data'!$D101</f>
        <v>1219</v>
      </c>
      <c r="N76" s="126">
        <f ca="1">HLOOKUP($B76,CDM!$B$1:$Q$22,13,FALSE)/12</f>
        <v>3281539.3291532523</v>
      </c>
      <c r="O76" s="188">
        <f t="shared" ca="1" si="84"/>
        <v>85185196.803851202</v>
      </c>
      <c r="P76" s="188">
        <f t="shared" si="85"/>
        <v>203492.66999999998</v>
      </c>
      <c r="Q76" s="188">
        <v>188095.68275994988</v>
      </c>
      <c r="R76" s="188">
        <v>412.2</v>
      </c>
      <c r="S76" s="229">
        <v>0</v>
      </c>
      <c r="T76" s="189">
        <f t="shared" ca="1" si="88"/>
        <v>84997101.121091247</v>
      </c>
      <c r="U76" s="156">
        <f t="shared" si="89"/>
        <v>203080.46999999997</v>
      </c>
      <c r="V76" s="186">
        <v>3790802.96</v>
      </c>
      <c r="W76" s="186">
        <v>9727.64</v>
      </c>
      <c r="X76" s="88">
        <f>'Customer Data'!$E101</f>
        <v>3</v>
      </c>
      <c r="Y76" s="126">
        <f ca="1">HLOOKUP($B76,CDM!$B$1:$Q$22,14,FALSE)/12</f>
        <v>20859.59326617933</v>
      </c>
      <c r="Z76" s="188">
        <f t="shared" ca="1" si="55"/>
        <v>3811662.5532661793</v>
      </c>
      <c r="AA76" s="186">
        <v>24470902.32</v>
      </c>
      <c r="AB76" s="186">
        <v>43836.56</v>
      </c>
      <c r="AC76" s="88">
        <f>'Customer Data'!$F101</f>
        <v>6</v>
      </c>
      <c r="AD76" s="126">
        <f ca="1">HLOOKUP($B76,CDM!$B$1:$Q$22,15,FALSE)/12</f>
        <v>842309.02331305854</v>
      </c>
      <c r="AE76" s="188">
        <f t="shared" ca="1" si="56"/>
        <v>25313211.343313061</v>
      </c>
      <c r="AF76" s="186">
        <v>12961455.09</v>
      </c>
      <c r="AG76" s="186">
        <v>25604.41</v>
      </c>
      <c r="AH76" s="88">
        <f>'Customer Data'!$G101</f>
        <v>2</v>
      </c>
      <c r="AI76" s="126">
        <f ca="1">HLOOKUP($B76,CDM!$B$1:$Q$22,16,FALSE)/12</f>
        <v>1298005.887372409</v>
      </c>
      <c r="AJ76" s="188">
        <f t="shared" ca="1" si="57"/>
        <v>14259460.977372408</v>
      </c>
      <c r="AK76" s="188">
        <f t="shared" si="43"/>
        <v>25604.41</v>
      </c>
      <c r="AL76" s="188">
        <v>0</v>
      </c>
      <c r="AM76" s="188">
        <v>0</v>
      </c>
      <c r="AN76" s="156">
        <v>4527708.4818317574</v>
      </c>
      <c r="AO76" s="156">
        <v>7074.24</v>
      </c>
      <c r="AP76" s="156">
        <v>145710.3583692</v>
      </c>
      <c r="AQ76" s="156">
        <f t="shared" ca="1" si="90"/>
        <v>20639792.5031121</v>
      </c>
      <c r="AR76" s="156">
        <f t="shared" si="91"/>
        <v>36762.32</v>
      </c>
      <c r="AS76" s="186">
        <v>4344145.9199999999</v>
      </c>
      <c r="AT76" s="186">
        <v>7032.19</v>
      </c>
      <c r="AU76" s="88">
        <f>'Customer Data'!$H101</f>
        <v>1</v>
      </c>
      <c r="AV76" s="126">
        <f ca="1">HLOOKUP($B76,CDM!$B$1:$Q$22,17,FALSE)/12</f>
        <v>4551.1293938503995</v>
      </c>
      <c r="AW76" s="188">
        <f t="shared" ca="1" si="58"/>
        <v>4348697.0493938504</v>
      </c>
      <c r="AX76" s="105">
        <v>1490688.46</v>
      </c>
      <c r="AY76" s="105">
        <v>4103.75</v>
      </c>
      <c r="AZ76" s="88">
        <f>'Customer Data'!$I101</f>
        <v>23499</v>
      </c>
      <c r="BA76" s="126">
        <f ca="1">HLOOKUP($B76,CDM!$B$1:$Q$22,18,FALSE)/12</f>
        <v>0</v>
      </c>
      <c r="BB76" s="188">
        <f t="shared" ca="1" si="59"/>
        <v>4103.75</v>
      </c>
      <c r="BC76" s="186">
        <v>75149.532852798104</v>
      </c>
      <c r="BD76" s="186">
        <v>211.79</v>
      </c>
      <c r="BE76" s="188">
        <f>'Customer Data'!$J101</f>
        <v>621</v>
      </c>
      <c r="BF76" s="105">
        <v>200845</v>
      </c>
      <c r="BG76" s="188">
        <f>'Customer Data'!$K101</f>
        <v>780</v>
      </c>
      <c r="BH76" s="188">
        <f>Weather!B244</f>
        <v>508.7</v>
      </c>
      <c r="BI76" s="188">
        <f>Weather!$C244</f>
        <v>0</v>
      </c>
      <c r="BJ76" s="166">
        <f>Employment!B100</f>
        <v>6892.1</v>
      </c>
      <c r="BK76" s="188">
        <f>Employment!$C100</f>
        <v>160.5</v>
      </c>
      <c r="BL76" s="188">
        <f>Employment!D100</f>
        <v>618051.4</v>
      </c>
      <c r="BM76" s="188">
        <f t="shared" si="61"/>
        <v>75</v>
      </c>
      <c r="BN76" s="188">
        <f t="shared" ref="BN76:CA76" si="102">BN64</f>
        <v>0</v>
      </c>
      <c r="BO76" s="188">
        <f t="shared" si="102"/>
        <v>0</v>
      </c>
      <c r="BP76" s="188">
        <f t="shared" si="102"/>
        <v>1</v>
      </c>
      <c r="BQ76" s="188">
        <f t="shared" si="102"/>
        <v>0</v>
      </c>
      <c r="BR76" s="188">
        <f t="shared" si="102"/>
        <v>0</v>
      </c>
      <c r="BS76" s="188">
        <f t="shared" si="102"/>
        <v>0</v>
      </c>
      <c r="BT76" s="188">
        <f t="shared" si="102"/>
        <v>0</v>
      </c>
      <c r="BU76" s="188">
        <f t="shared" si="102"/>
        <v>0</v>
      </c>
      <c r="BV76" s="188">
        <f t="shared" si="102"/>
        <v>0</v>
      </c>
      <c r="BW76" s="188">
        <f t="shared" si="102"/>
        <v>0</v>
      </c>
      <c r="BX76" s="188">
        <f t="shared" si="102"/>
        <v>0</v>
      </c>
      <c r="BY76" s="188">
        <f t="shared" si="102"/>
        <v>0</v>
      </c>
      <c r="BZ76" s="188">
        <f t="shared" si="102"/>
        <v>1</v>
      </c>
      <c r="CA76" s="188">
        <f t="shared" si="102"/>
        <v>0</v>
      </c>
      <c r="CB76" s="188">
        <f t="shared" si="93"/>
        <v>1</v>
      </c>
      <c r="CC76" s="188">
        <f t="shared" si="70"/>
        <v>31</v>
      </c>
      <c r="CD76" s="121">
        <v>22</v>
      </c>
    </row>
    <row r="77" spans="1:82" s="188" customFormat="1" ht="15">
      <c r="A77" s="190">
        <v>42095</v>
      </c>
      <c r="B77" s="191">
        <f t="shared" si="52"/>
        <v>2015</v>
      </c>
      <c r="C77" s="186">
        <v>39430914.95340959</v>
      </c>
      <c r="D77" s="88">
        <f>('Customer Data'!$B101*2+'Customer Data'!$B104)/3</f>
        <v>78210.333333333328</v>
      </c>
      <c r="E77" s="188">
        <f ca="1">HLOOKUP($B77,CDM!$B$1:$Q$22,11,FALSE)/12</f>
        <v>1472541.9638756439</v>
      </c>
      <c r="F77" s="189">
        <f t="shared" ca="1" si="53"/>
        <v>40903456.917285234</v>
      </c>
      <c r="G77" s="186">
        <v>15644843.51568654</v>
      </c>
      <c r="H77" s="88">
        <f>('Customer Data'!$C101*2+'Customer Data'!$C104)/3</f>
        <v>7043.2222222222217</v>
      </c>
      <c r="I77" s="188">
        <f ca="1">HLOOKUP($B77,CDM!$B$1:$Q$22,12,FALSE)/12</f>
        <v>1178042.7617162857</v>
      </c>
      <c r="J77" s="188">
        <f t="shared" ca="1" si="54"/>
        <v>16822886.277402826</v>
      </c>
      <c r="K77" s="186">
        <v>71409357.005181134</v>
      </c>
      <c r="L77" s="186">
        <v>193176.5</v>
      </c>
      <c r="M77" s="88">
        <f>('Customer Data'!$D101*2+'Customer Data'!$D104)/3</f>
        <v>1220.3333333333333</v>
      </c>
      <c r="N77" s="126">
        <f ca="1">HLOOKUP($B77,CDM!$B$1:$Q$22,13,FALSE)/12</f>
        <v>3281539.3291532523</v>
      </c>
      <c r="O77" s="188">
        <f t="shared" ca="1" si="84"/>
        <v>74690896.334334388</v>
      </c>
      <c r="P77" s="188">
        <f t="shared" si="85"/>
        <v>193176.5</v>
      </c>
      <c r="Q77" s="188">
        <v>173381.58427291125</v>
      </c>
      <c r="R77" s="188">
        <v>382.14</v>
      </c>
      <c r="S77" s="229">
        <v>0</v>
      </c>
      <c r="T77" s="189">
        <f t="shared" ca="1" si="88"/>
        <v>74517514.750061482</v>
      </c>
      <c r="U77" s="156">
        <f t="shared" si="89"/>
        <v>192794.36</v>
      </c>
      <c r="V77" s="186">
        <v>3556512.88</v>
      </c>
      <c r="W77" s="186">
        <v>9434.8799999999992</v>
      </c>
      <c r="X77" s="88">
        <f>('Customer Data'!$E101*2+'Customer Data'!$E104)/3</f>
        <v>3</v>
      </c>
      <c r="Y77" s="126">
        <f ca="1">HLOOKUP($B77,CDM!$B$1:$Q$22,14,FALSE)/12</f>
        <v>20859.59326617933</v>
      </c>
      <c r="Z77" s="188">
        <f t="shared" ca="1" si="55"/>
        <v>3577372.4732661792</v>
      </c>
      <c r="AA77" s="186">
        <v>23628852.09</v>
      </c>
      <c r="AB77" s="186">
        <v>44259.82</v>
      </c>
      <c r="AC77" s="88">
        <f>('Customer Data'!$F101*2+'Customer Data'!$F104)/3</f>
        <v>6</v>
      </c>
      <c r="AD77" s="126">
        <f ca="1">HLOOKUP($B77,CDM!$B$1:$Q$22,15,FALSE)/12</f>
        <v>842309.02331305854</v>
      </c>
      <c r="AE77" s="188">
        <f t="shared" ca="1" si="56"/>
        <v>24471161.113313057</v>
      </c>
      <c r="AF77" s="186">
        <v>12565193.17</v>
      </c>
      <c r="AG77" s="186">
        <v>27051.899999999998</v>
      </c>
      <c r="AH77" s="88">
        <f>('Customer Data'!$G101*2+'Customer Data'!$G104)/3</f>
        <v>2</v>
      </c>
      <c r="AI77" s="126">
        <f ca="1">HLOOKUP($B77,CDM!$B$1:$Q$22,16,FALSE)/12</f>
        <v>1298005.887372409</v>
      </c>
      <c r="AJ77" s="188">
        <f t="shared" ca="1" si="57"/>
        <v>13863199.05737241</v>
      </c>
      <c r="AK77" s="188">
        <f t="shared" si="43"/>
        <v>27051.899999999998</v>
      </c>
      <c r="AL77" s="188">
        <v>0</v>
      </c>
      <c r="AM77" s="188">
        <v>0</v>
      </c>
      <c r="AN77" s="156">
        <v>4420693.43952215</v>
      </c>
      <c r="AO77" s="156">
        <v>7242.24</v>
      </c>
      <c r="AP77" s="156">
        <v>145710.3583692</v>
      </c>
      <c r="AQ77" s="156">
        <f t="shared" ca="1" si="90"/>
        <v>19904757.315421704</v>
      </c>
      <c r="AR77" s="156">
        <f t="shared" si="91"/>
        <v>37017.58</v>
      </c>
      <c r="AS77" s="186">
        <v>3949256.06</v>
      </c>
      <c r="AT77" s="186">
        <v>7215.36</v>
      </c>
      <c r="AU77" s="88">
        <f>('Customer Data'!$H101*2+'Customer Data'!$H104)/3</f>
        <v>1</v>
      </c>
      <c r="AV77" s="126">
        <f ca="1">HLOOKUP($B77,CDM!$B$1:$Q$22,17,FALSE)/12</f>
        <v>4551.1293938503995</v>
      </c>
      <c r="AW77" s="188">
        <f t="shared" ca="1" si="58"/>
        <v>3953807.1893938505</v>
      </c>
      <c r="AX77" s="105">
        <v>1279764.8999999999</v>
      </c>
      <c r="AY77" s="105">
        <v>4100.3899999999994</v>
      </c>
      <c r="AZ77" s="88">
        <f>('Customer Data'!$I101*2+'Customer Data'!$I104)/3</f>
        <v>23510.666666666668</v>
      </c>
      <c r="BA77" s="126">
        <f ca="1">HLOOKUP($B77,CDM!$B$1:$Q$22,18,FALSE)/12</f>
        <v>0</v>
      </c>
      <c r="BB77" s="188">
        <f t="shared" ca="1" si="59"/>
        <v>4100.3899999999994</v>
      </c>
      <c r="BC77" s="186">
        <v>72280.729634067698</v>
      </c>
      <c r="BD77" s="186">
        <v>204.41</v>
      </c>
      <c r="BE77" s="188">
        <f>('Customer Data'!$J101*2+'Customer Data'!$J104*1)/3</f>
        <v>619</v>
      </c>
      <c r="BF77" s="105">
        <v>200938</v>
      </c>
      <c r="BG77" s="188">
        <f>('Customer Data'!$K101*2+'Customer Data'!$K104*1)/3</f>
        <v>780</v>
      </c>
      <c r="BH77" s="188">
        <f>Weather!B245</f>
        <v>257.39999999999992</v>
      </c>
      <c r="BI77" s="188">
        <f>Weather!$C245</f>
        <v>0</v>
      </c>
      <c r="BJ77" s="166">
        <f>Employment!B101</f>
        <v>6897.3</v>
      </c>
      <c r="BK77" s="188">
        <f>Employment!$C101</f>
        <v>160.19999999999999</v>
      </c>
      <c r="BL77" s="188">
        <f>Employment!D101</f>
        <v>618051.4</v>
      </c>
      <c r="BM77" s="188">
        <f t="shared" si="61"/>
        <v>76</v>
      </c>
      <c r="BN77" s="188">
        <f t="shared" ref="BN77:CA77" si="103">BN65</f>
        <v>0</v>
      </c>
      <c r="BO77" s="188">
        <f t="shared" si="103"/>
        <v>0</v>
      </c>
      <c r="BP77" s="188">
        <f t="shared" si="103"/>
        <v>0</v>
      </c>
      <c r="BQ77" s="188">
        <f t="shared" si="103"/>
        <v>1</v>
      </c>
      <c r="BR77" s="188">
        <f t="shared" si="103"/>
        <v>0</v>
      </c>
      <c r="BS77" s="188">
        <f t="shared" si="103"/>
        <v>0</v>
      </c>
      <c r="BT77" s="188">
        <f t="shared" si="103"/>
        <v>0</v>
      </c>
      <c r="BU77" s="188">
        <f t="shared" si="103"/>
        <v>0</v>
      </c>
      <c r="BV77" s="188">
        <f t="shared" si="103"/>
        <v>0</v>
      </c>
      <c r="BW77" s="188">
        <f t="shared" si="103"/>
        <v>0</v>
      </c>
      <c r="BX77" s="188">
        <f t="shared" si="103"/>
        <v>0</v>
      </c>
      <c r="BY77" s="188">
        <f t="shared" si="103"/>
        <v>0</v>
      </c>
      <c r="BZ77" s="188">
        <f t="shared" si="103"/>
        <v>1</v>
      </c>
      <c r="CA77" s="188">
        <f t="shared" si="103"/>
        <v>0</v>
      </c>
      <c r="CB77" s="188">
        <f t="shared" si="93"/>
        <v>1</v>
      </c>
      <c r="CC77" s="188">
        <f t="shared" si="70"/>
        <v>30</v>
      </c>
      <c r="CD77" s="121">
        <v>20</v>
      </c>
    </row>
    <row r="78" spans="1:82" s="188" customFormat="1" ht="15">
      <c r="A78" s="190">
        <v>42125</v>
      </c>
      <c r="B78" s="191">
        <f t="shared" si="52"/>
        <v>2015</v>
      </c>
      <c r="C78" s="186">
        <v>42782835.852328949</v>
      </c>
      <c r="D78" s="88">
        <f>('Customer Data'!$B101+'Customer Data'!$B104*2)/3</f>
        <v>78214.666666666672</v>
      </c>
      <c r="E78" s="188">
        <f ca="1">HLOOKUP($B78,CDM!$B$1:$Q$22,11,FALSE)/12</f>
        <v>1472541.9638756439</v>
      </c>
      <c r="F78" s="189">
        <f t="shared" ca="1" si="53"/>
        <v>44255377.816204593</v>
      </c>
      <c r="G78" s="186">
        <v>16393293.042983947</v>
      </c>
      <c r="H78" s="88">
        <f>('Customer Data'!$C101+'Customer Data'!$C104*2)/3</f>
        <v>7046.4444444444443</v>
      </c>
      <c r="I78" s="188">
        <f ca="1">HLOOKUP($B78,CDM!$B$1:$Q$22,12,FALSE)/12</f>
        <v>1178042.7617162857</v>
      </c>
      <c r="J78" s="188">
        <f t="shared" ca="1" si="54"/>
        <v>17571335.804700233</v>
      </c>
      <c r="K78" s="186">
        <v>74138579.843806833</v>
      </c>
      <c r="L78" s="186">
        <v>200567.79</v>
      </c>
      <c r="M78" s="88">
        <f>('Customer Data'!$D101+'Customer Data'!$D104*2)/3</f>
        <v>1221.6666666666667</v>
      </c>
      <c r="N78" s="126">
        <f ca="1">HLOOKUP($B78,CDM!$B$1:$Q$22,13,FALSE)/12</f>
        <v>3281539.3291532523</v>
      </c>
      <c r="O78" s="188">
        <f t="shared" ca="1" si="84"/>
        <v>77420119.172960088</v>
      </c>
      <c r="P78" s="188">
        <f t="shared" si="85"/>
        <v>200567.79</v>
      </c>
      <c r="Q78" s="188">
        <v>171696.51151585235</v>
      </c>
      <c r="R78" s="188">
        <v>391.05</v>
      </c>
      <c r="S78" s="229">
        <v>0</v>
      </c>
      <c r="T78" s="189">
        <f t="shared" ca="1" si="88"/>
        <v>77248422.661444232</v>
      </c>
      <c r="U78" s="156">
        <f t="shared" si="89"/>
        <v>200176.74000000002</v>
      </c>
      <c r="V78" s="186">
        <v>3970425.52</v>
      </c>
      <c r="W78" s="186">
        <v>11028.05</v>
      </c>
      <c r="X78" s="88">
        <f>('Customer Data'!$E101+'Customer Data'!$E104*2)/3</f>
        <v>3</v>
      </c>
      <c r="Y78" s="126">
        <f ca="1">HLOOKUP($B78,CDM!$B$1:$Q$22,14,FALSE)/12</f>
        <v>20859.59326617933</v>
      </c>
      <c r="Z78" s="188">
        <f t="shared" ca="1" si="55"/>
        <v>3991285.1132661793</v>
      </c>
      <c r="AA78" s="186">
        <v>26849091.030000001</v>
      </c>
      <c r="AB78" s="186">
        <v>48328.19</v>
      </c>
      <c r="AC78" s="88">
        <f>('Customer Data'!$F101+'Customer Data'!$F104*2)/3</f>
        <v>6</v>
      </c>
      <c r="AD78" s="126">
        <f ca="1">HLOOKUP($B78,CDM!$B$1:$Q$22,15,FALSE)/12</f>
        <v>842309.02331305854</v>
      </c>
      <c r="AE78" s="188">
        <f t="shared" ca="1" si="56"/>
        <v>27691400.053313062</v>
      </c>
      <c r="AF78" s="186">
        <v>18277591.010000002</v>
      </c>
      <c r="AG78" s="186">
        <v>41030.69</v>
      </c>
      <c r="AH78" s="88">
        <f>('Customer Data'!$G101+'Customer Data'!$G104*2)/3</f>
        <v>2</v>
      </c>
      <c r="AI78" s="126">
        <f ca="1">HLOOKUP($B78,CDM!$B$1:$Q$22,16,FALSE)/12</f>
        <v>1298005.887372409</v>
      </c>
      <c r="AJ78" s="188">
        <f t="shared" ca="1" si="57"/>
        <v>19575596.89737241</v>
      </c>
      <c r="AK78" s="188">
        <f t="shared" si="43"/>
        <v>41030.69</v>
      </c>
      <c r="AL78" s="188">
        <v>0</v>
      </c>
      <c r="AM78" s="188">
        <v>0</v>
      </c>
      <c r="AN78" s="156">
        <v>4762761.6027874574</v>
      </c>
      <c r="AO78" s="156">
        <v>7535.04</v>
      </c>
      <c r="AP78" s="156">
        <v>145710.3583692</v>
      </c>
      <c r="AQ78" s="156">
        <f t="shared" ca="1" si="90"/>
        <v>22782928.092156403</v>
      </c>
      <c r="AR78" s="156">
        <f t="shared" si="91"/>
        <v>40793.15</v>
      </c>
      <c r="AS78" s="186">
        <v>4019631.74</v>
      </c>
      <c r="AT78" s="186">
        <v>6645.5</v>
      </c>
      <c r="AU78" s="88">
        <f>('Customer Data'!$H101+'Customer Data'!$H104*2)/3</f>
        <v>1</v>
      </c>
      <c r="AV78" s="126">
        <f ca="1">HLOOKUP($B78,CDM!$B$1:$Q$22,17,FALSE)/12</f>
        <v>4551.1293938503995</v>
      </c>
      <c r="AW78" s="188">
        <f t="shared" ca="1" si="58"/>
        <v>4024182.8693938507</v>
      </c>
      <c r="AX78" s="105">
        <v>1159900.3900000001</v>
      </c>
      <c r="AY78" s="105">
        <v>4100.3899999999994</v>
      </c>
      <c r="AZ78" s="88">
        <f>('Customer Data'!$I101+'Customer Data'!$I104*2)/3</f>
        <v>23522.333333333332</v>
      </c>
      <c r="BA78" s="126">
        <f ca="1">HLOOKUP($B78,CDM!$B$1:$Q$22,18,FALSE)/12</f>
        <v>0</v>
      </c>
      <c r="BB78" s="188">
        <f t="shared" ca="1" si="59"/>
        <v>4100.3899999999994</v>
      </c>
      <c r="BC78" s="186">
        <v>78359.153082062097</v>
      </c>
      <c r="BD78" s="186">
        <v>204.9</v>
      </c>
      <c r="BE78" s="188">
        <f>('Customer Data'!$J101*1+'Customer Data'!$J104*2)/3</f>
        <v>617</v>
      </c>
      <c r="BF78" s="105">
        <v>200938</v>
      </c>
      <c r="BG78" s="188">
        <f>('Customer Data'!$K101*1+'Customer Data'!$K104*2)/3</f>
        <v>780</v>
      </c>
      <c r="BH78" s="188">
        <f>Weather!B246</f>
        <v>68.7</v>
      </c>
      <c r="BI78" s="188">
        <f>Weather!$C246</f>
        <v>64.099999999999994</v>
      </c>
      <c r="BJ78" s="166">
        <f>Employment!B102</f>
        <v>6906.5</v>
      </c>
      <c r="BK78" s="188">
        <f>Employment!$C102</f>
        <v>160.80000000000001</v>
      </c>
      <c r="BL78" s="188">
        <f>Employment!D102</f>
        <v>618051.4</v>
      </c>
      <c r="BM78" s="188">
        <f t="shared" si="61"/>
        <v>77</v>
      </c>
      <c r="BN78" s="188">
        <f t="shared" ref="BN78:CA78" si="104">BN66</f>
        <v>0</v>
      </c>
      <c r="BO78" s="188">
        <f t="shared" si="104"/>
        <v>0</v>
      </c>
      <c r="BP78" s="188">
        <f t="shared" si="104"/>
        <v>0</v>
      </c>
      <c r="BQ78" s="188">
        <f t="shared" si="104"/>
        <v>0</v>
      </c>
      <c r="BR78" s="188">
        <f t="shared" si="104"/>
        <v>1</v>
      </c>
      <c r="BS78" s="188">
        <f t="shared" si="104"/>
        <v>0</v>
      </c>
      <c r="BT78" s="188">
        <f t="shared" si="104"/>
        <v>0</v>
      </c>
      <c r="BU78" s="188">
        <f t="shared" si="104"/>
        <v>0</v>
      </c>
      <c r="BV78" s="188">
        <f t="shared" si="104"/>
        <v>0</v>
      </c>
      <c r="BW78" s="188">
        <f t="shared" si="104"/>
        <v>0</v>
      </c>
      <c r="BX78" s="188">
        <f t="shared" si="104"/>
        <v>0</v>
      </c>
      <c r="BY78" s="188">
        <f t="shared" si="104"/>
        <v>0</v>
      </c>
      <c r="BZ78" s="188">
        <f t="shared" si="104"/>
        <v>1</v>
      </c>
      <c r="CA78" s="188">
        <f t="shared" si="104"/>
        <v>0</v>
      </c>
      <c r="CB78" s="188">
        <f t="shared" si="93"/>
        <v>1</v>
      </c>
      <c r="CC78" s="188">
        <f t="shared" si="70"/>
        <v>31</v>
      </c>
      <c r="CD78" s="121">
        <v>20</v>
      </c>
    </row>
    <row r="79" spans="1:82" s="188" customFormat="1" ht="15">
      <c r="A79" s="190">
        <v>42156</v>
      </c>
      <c r="B79" s="191">
        <f t="shared" si="52"/>
        <v>2015</v>
      </c>
      <c r="C79" s="186">
        <v>50999497.339609765</v>
      </c>
      <c r="D79" s="88">
        <f>'Customer Data'!$B104</f>
        <v>78219</v>
      </c>
      <c r="E79" s="188">
        <f ca="1">HLOOKUP($B79,CDM!$B$1:$Q$22,11,FALSE)/12</f>
        <v>1472541.9638756439</v>
      </c>
      <c r="F79" s="189">
        <f t="shared" ca="1" si="53"/>
        <v>52472039.303485408</v>
      </c>
      <c r="G79" s="186">
        <v>17210326.65350385</v>
      </c>
      <c r="H79" s="88">
        <f>'Customer Data'!$C104</f>
        <v>7049.6666666666661</v>
      </c>
      <c r="I79" s="188">
        <f ca="1">HLOOKUP($B79,CDM!$B$1:$Q$22,12,FALSE)/12</f>
        <v>1178042.7617162857</v>
      </c>
      <c r="J79" s="188">
        <f t="shared" ca="1" si="54"/>
        <v>18388369.415220134</v>
      </c>
      <c r="K79" s="186">
        <v>77019747.120064825</v>
      </c>
      <c r="L79" s="186">
        <v>202321.28</v>
      </c>
      <c r="M79" s="88">
        <f>'Customer Data'!$D104</f>
        <v>1223</v>
      </c>
      <c r="N79" s="126">
        <f ca="1">HLOOKUP($B79,CDM!$B$1:$Q$22,13,FALSE)/12</f>
        <v>3281539.3291532523</v>
      </c>
      <c r="O79" s="188">
        <f t="shared" ca="1" si="84"/>
        <v>80301286.449218079</v>
      </c>
      <c r="P79" s="188">
        <f t="shared" si="85"/>
        <v>202321.28</v>
      </c>
      <c r="Q79" s="188">
        <v>174716.72930519417</v>
      </c>
      <c r="R79" s="188">
        <v>372.96</v>
      </c>
      <c r="S79" s="229">
        <v>0</v>
      </c>
      <c r="T79" s="189">
        <f t="shared" ca="1" si="88"/>
        <v>80126569.719912887</v>
      </c>
      <c r="U79" s="156">
        <f t="shared" si="89"/>
        <v>201948.32</v>
      </c>
      <c r="V79" s="186">
        <v>3737253.31</v>
      </c>
      <c r="W79" s="186">
        <v>10449.209999999999</v>
      </c>
      <c r="X79" s="88">
        <f>'Customer Data'!$E104</f>
        <v>3</v>
      </c>
      <c r="Y79" s="126">
        <f ca="1">HLOOKUP($B79,CDM!$B$1:$Q$22,14,FALSE)/12</f>
        <v>20859.59326617933</v>
      </c>
      <c r="Z79" s="188">
        <f t="shared" ca="1" si="55"/>
        <v>3758112.9032661794</v>
      </c>
      <c r="AA79" s="186">
        <v>27441936.920000002</v>
      </c>
      <c r="AB79" s="186">
        <v>51561.66</v>
      </c>
      <c r="AC79" s="88">
        <f>'Customer Data'!$F104</f>
        <v>6</v>
      </c>
      <c r="AD79" s="126">
        <f ca="1">HLOOKUP($B79,CDM!$B$1:$Q$22,15,FALSE)/12</f>
        <v>842309.02331305854</v>
      </c>
      <c r="AE79" s="188">
        <f t="shared" ca="1" si="56"/>
        <v>28284245.943313062</v>
      </c>
      <c r="AF79" s="186">
        <v>23246283.420000002</v>
      </c>
      <c r="AG79" s="186">
        <v>45529.32</v>
      </c>
      <c r="AH79" s="88">
        <f>'Customer Data'!$G104</f>
        <v>2</v>
      </c>
      <c r="AI79" s="126">
        <f ca="1">HLOOKUP($B79,CDM!$B$1:$Q$22,16,FALSE)/12</f>
        <v>1298005.887372409</v>
      </c>
      <c r="AJ79" s="188">
        <f t="shared" ca="1" si="57"/>
        <v>24544289.30737241</v>
      </c>
      <c r="AK79" s="188">
        <f t="shared" si="43"/>
        <v>45529.32</v>
      </c>
      <c r="AL79" s="188">
        <v>0</v>
      </c>
      <c r="AM79" s="188">
        <v>0</v>
      </c>
      <c r="AN79" s="156">
        <v>4870931.5181682436</v>
      </c>
      <c r="AO79" s="156">
        <v>7933.44</v>
      </c>
      <c r="AP79" s="156">
        <v>145710.3583692</v>
      </c>
      <c r="AQ79" s="156">
        <f t="shared" ca="1" si="90"/>
        <v>23267604.066775616</v>
      </c>
      <c r="AR79" s="156">
        <f t="shared" si="91"/>
        <v>43628.22</v>
      </c>
      <c r="AS79" s="186">
        <v>4171057.92</v>
      </c>
      <c r="AT79" s="186">
        <v>7075.2</v>
      </c>
      <c r="AU79" s="88">
        <f>'Customer Data'!$H104</f>
        <v>1</v>
      </c>
      <c r="AV79" s="126">
        <f ca="1">HLOOKUP($B79,CDM!$B$1:$Q$22,17,FALSE)/12</f>
        <v>4551.1293938503995</v>
      </c>
      <c r="AW79" s="188">
        <f t="shared" ca="1" si="58"/>
        <v>4175609.0493938504</v>
      </c>
      <c r="AX79" s="105">
        <v>1046690.2400000001</v>
      </c>
      <c r="AY79" s="105">
        <v>4101.3499999999995</v>
      </c>
      <c r="AZ79" s="88">
        <f>'Customer Data'!$I104</f>
        <v>23534</v>
      </c>
      <c r="BA79" s="126">
        <f ca="1">HLOOKUP($B79,CDM!$B$1:$Q$22,18,FALSE)/12</f>
        <v>0</v>
      </c>
      <c r="BB79" s="188">
        <f t="shared" ca="1" si="59"/>
        <v>4101.3499999999995</v>
      </c>
      <c r="BC79" s="186">
        <v>69995.106493081097</v>
      </c>
      <c r="BD79" s="186">
        <v>194.53</v>
      </c>
      <c r="BE79" s="188">
        <f>'Customer Data'!$J104</f>
        <v>615</v>
      </c>
      <c r="BF79" s="105">
        <v>200938</v>
      </c>
      <c r="BG79" s="188">
        <f>'Customer Data'!$K104</f>
        <v>780</v>
      </c>
      <c r="BH79" s="188">
        <f>Weather!B247</f>
        <v>13.1</v>
      </c>
      <c r="BI79" s="188">
        <f>Weather!$C247</f>
        <v>89.59999999999998</v>
      </c>
      <c r="BJ79" s="166">
        <f>Employment!B103</f>
        <v>6921.3</v>
      </c>
      <c r="BK79" s="188">
        <f>Employment!$C103</f>
        <v>163</v>
      </c>
      <c r="BL79" s="188">
        <f>Employment!D103</f>
        <v>618051.4</v>
      </c>
      <c r="BM79" s="188">
        <f t="shared" si="61"/>
        <v>78</v>
      </c>
      <c r="BN79" s="188">
        <f t="shared" ref="BN79:CA79" si="105">BN67</f>
        <v>0</v>
      </c>
      <c r="BO79" s="188">
        <f t="shared" si="105"/>
        <v>0</v>
      </c>
      <c r="BP79" s="188">
        <f t="shared" si="105"/>
        <v>0</v>
      </c>
      <c r="BQ79" s="188">
        <f t="shared" si="105"/>
        <v>0</v>
      </c>
      <c r="BR79" s="188">
        <f t="shared" si="105"/>
        <v>0</v>
      </c>
      <c r="BS79" s="188">
        <f t="shared" si="105"/>
        <v>1</v>
      </c>
      <c r="BT79" s="188">
        <f t="shared" si="105"/>
        <v>0</v>
      </c>
      <c r="BU79" s="188">
        <f t="shared" si="105"/>
        <v>0</v>
      </c>
      <c r="BV79" s="188">
        <f t="shared" si="105"/>
        <v>0</v>
      </c>
      <c r="BW79" s="188">
        <f t="shared" si="105"/>
        <v>0</v>
      </c>
      <c r="BX79" s="188">
        <f t="shared" si="105"/>
        <v>0</v>
      </c>
      <c r="BY79" s="188">
        <f t="shared" si="105"/>
        <v>0</v>
      </c>
      <c r="BZ79" s="188">
        <f t="shared" si="105"/>
        <v>0</v>
      </c>
      <c r="CA79" s="188">
        <f t="shared" si="105"/>
        <v>0</v>
      </c>
      <c r="CB79" s="188">
        <f t="shared" si="93"/>
        <v>0</v>
      </c>
      <c r="CC79" s="188">
        <f t="shared" si="70"/>
        <v>30</v>
      </c>
      <c r="CD79" s="121">
        <v>22</v>
      </c>
    </row>
    <row r="80" spans="1:82" s="188" customFormat="1" ht="15">
      <c r="A80" s="190">
        <v>42186</v>
      </c>
      <c r="B80" s="191">
        <f t="shared" si="52"/>
        <v>2015</v>
      </c>
      <c r="C80" s="186">
        <v>63783430.67438826</v>
      </c>
      <c r="D80" s="88">
        <f>('Customer Data'!$B104*2+'Customer Data'!$B107)/3</f>
        <v>78258.333333333328</v>
      </c>
      <c r="E80" s="188">
        <f ca="1">HLOOKUP($B80,CDM!$B$1:$Q$22,11,FALSE)/12</f>
        <v>1472541.9638756439</v>
      </c>
      <c r="F80" s="189">
        <f t="shared" ca="1" si="53"/>
        <v>65255972.638263904</v>
      </c>
      <c r="G80" s="186">
        <v>19101476.71190761</v>
      </c>
      <c r="H80" s="88">
        <f>('Customer Data'!$C104*2+'Customer Data'!$C107)/3</f>
        <v>7052.8888888888878</v>
      </c>
      <c r="I80" s="188">
        <f ca="1">HLOOKUP($B80,CDM!$B$1:$Q$22,12,FALSE)/12</f>
        <v>1178042.7617162857</v>
      </c>
      <c r="J80" s="188">
        <f t="shared" ca="1" si="54"/>
        <v>20279519.473623894</v>
      </c>
      <c r="K80" s="186">
        <v>81459607.110187426</v>
      </c>
      <c r="L80" s="186">
        <v>207689.37999999998</v>
      </c>
      <c r="M80" s="88">
        <f>('Customer Data'!$D104*2+'Customer Data'!$D107)/3</f>
        <v>1227</v>
      </c>
      <c r="N80" s="126">
        <f ca="1">HLOOKUP($B80,CDM!$B$1:$Q$22,13,FALSE)/12</f>
        <v>3281539.3291532523</v>
      </c>
      <c r="O80" s="188">
        <f t="shared" ca="1" si="84"/>
        <v>84741146.439340681</v>
      </c>
      <c r="P80" s="188">
        <f t="shared" si="85"/>
        <v>207689.37999999998</v>
      </c>
      <c r="Q80" s="188">
        <v>194078.06687867397</v>
      </c>
      <c r="R80" s="188">
        <v>366.48</v>
      </c>
      <c r="S80" s="229">
        <v>0</v>
      </c>
      <c r="T80" s="189">
        <f t="shared" ca="1" si="88"/>
        <v>84547068.372462004</v>
      </c>
      <c r="U80" s="156">
        <f t="shared" si="89"/>
        <v>207322.89999999997</v>
      </c>
      <c r="V80" s="186">
        <v>4178818.54</v>
      </c>
      <c r="W80" s="186">
        <v>12007.720000000001</v>
      </c>
      <c r="X80" s="88">
        <f>('Customer Data'!$E104*2+'Customer Data'!$E107)/3</f>
        <v>3</v>
      </c>
      <c r="Y80" s="126">
        <f ca="1">HLOOKUP($B80,CDM!$B$1:$Q$22,14,FALSE)/12</f>
        <v>20859.59326617933</v>
      </c>
      <c r="Z80" s="188">
        <f t="shared" ca="1" si="55"/>
        <v>4199678.1332661798</v>
      </c>
      <c r="AA80" s="186">
        <v>27185108.549999997</v>
      </c>
      <c r="AB80" s="186">
        <v>51349.509999999995</v>
      </c>
      <c r="AC80" s="88">
        <f>('Customer Data'!$F104*2+'Customer Data'!$F107)/3</f>
        <v>6</v>
      </c>
      <c r="AD80" s="126">
        <f ca="1">HLOOKUP($B80,CDM!$B$1:$Q$22,15,FALSE)/12</f>
        <v>842309.02331305854</v>
      </c>
      <c r="AE80" s="188">
        <f t="shared" ca="1" si="56"/>
        <v>28027417.573313057</v>
      </c>
      <c r="AF80" s="186">
        <v>20906041.32</v>
      </c>
      <c r="AG80" s="186">
        <v>47611.33</v>
      </c>
      <c r="AH80" s="88">
        <f>('Customer Data'!$G104*2+'Customer Data'!$G107)/3</f>
        <v>2</v>
      </c>
      <c r="AI80" s="126">
        <f ca="1">HLOOKUP($B80,CDM!$B$1:$Q$22,16,FALSE)/12</f>
        <v>1298005.887372409</v>
      </c>
      <c r="AJ80" s="188">
        <f t="shared" ca="1" si="57"/>
        <v>22204047.207372408</v>
      </c>
      <c r="AK80" s="188">
        <f t="shared" si="43"/>
        <v>47611.33</v>
      </c>
      <c r="AL80" s="188">
        <v>0</v>
      </c>
      <c r="AM80" s="188">
        <v>0</v>
      </c>
      <c r="AN80" s="156">
        <v>4799452.8023892483</v>
      </c>
      <c r="AO80" s="156">
        <v>7809.6</v>
      </c>
      <c r="AP80" s="156">
        <v>145710.3583692</v>
      </c>
      <c r="AQ80" s="156">
        <f t="shared" ca="1" si="90"/>
        <v>23082254.412554607</v>
      </c>
      <c r="AR80" s="156">
        <f t="shared" si="91"/>
        <v>43539.909999999996</v>
      </c>
      <c r="AS80" s="186">
        <v>3710792.06</v>
      </c>
      <c r="AT80" s="186">
        <v>7396.99</v>
      </c>
      <c r="AU80" s="88">
        <f>('Customer Data'!$H104*2+'Customer Data'!$H107)/3</f>
        <v>1</v>
      </c>
      <c r="AV80" s="126">
        <f ca="1">HLOOKUP($B80,CDM!$B$1:$Q$22,17,FALSE)/12</f>
        <v>4551.1293938503995</v>
      </c>
      <c r="AW80" s="188">
        <f t="shared" ca="1" si="58"/>
        <v>3715343.1893938505</v>
      </c>
      <c r="AX80" s="105">
        <v>1102972.71</v>
      </c>
      <c r="AY80" s="105">
        <v>4101.3499999999995</v>
      </c>
      <c r="AZ80" s="88">
        <f>('Customer Data'!$I104*2+'Customer Data'!$I107)/3</f>
        <v>23516.333333333332</v>
      </c>
      <c r="BA80" s="126">
        <f ca="1">HLOOKUP($B80,CDM!$B$1:$Q$22,18,FALSE)/12</f>
        <v>0</v>
      </c>
      <c r="BB80" s="188">
        <f t="shared" ca="1" si="59"/>
        <v>4101.3499999999995</v>
      </c>
      <c r="BC80" s="186">
        <v>69060.937135963206</v>
      </c>
      <c r="BD80" s="186">
        <v>202.72</v>
      </c>
      <c r="BE80" s="188">
        <f>('Customer Data'!$J104*2+'Customer Data'!$J107*1)/3</f>
        <v>615.33333333333337</v>
      </c>
      <c r="BF80" s="105">
        <v>200938</v>
      </c>
      <c r="BG80" s="188">
        <f>('Customer Data'!$K104*2+'Customer Data'!$K107*1)/3</f>
        <v>780</v>
      </c>
      <c r="BH80" s="188">
        <f>Weather!B248</f>
        <v>1.9</v>
      </c>
      <c r="BI80" s="188">
        <f>Weather!$C248</f>
        <v>152.89999999999998</v>
      </c>
      <c r="BJ80" s="166">
        <f>Employment!B104</f>
        <v>6941.2</v>
      </c>
      <c r="BK80" s="188">
        <f>Employment!$C104</f>
        <v>162.19999999999999</v>
      </c>
      <c r="BL80" s="188">
        <f>Employment!D104</f>
        <v>618051.4</v>
      </c>
      <c r="BM80" s="188">
        <f t="shared" si="61"/>
        <v>79</v>
      </c>
      <c r="BN80" s="188">
        <f t="shared" ref="BN80:CA80" si="106">BN68</f>
        <v>0</v>
      </c>
      <c r="BO80" s="188">
        <f t="shared" si="106"/>
        <v>0</v>
      </c>
      <c r="BP80" s="188">
        <f t="shared" si="106"/>
        <v>0</v>
      </c>
      <c r="BQ80" s="188">
        <f t="shared" si="106"/>
        <v>0</v>
      </c>
      <c r="BR80" s="188">
        <f t="shared" si="106"/>
        <v>0</v>
      </c>
      <c r="BS80" s="188">
        <f t="shared" si="106"/>
        <v>0</v>
      </c>
      <c r="BT80" s="188">
        <f t="shared" si="106"/>
        <v>1</v>
      </c>
      <c r="BU80" s="188">
        <f t="shared" si="106"/>
        <v>0</v>
      </c>
      <c r="BV80" s="188">
        <f t="shared" si="106"/>
        <v>0</v>
      </c>
      <c r="BW80" s="188">
        <f t="shared" si="106"/>
        <v>0</v>
      </c>
      <c r="BX80" s="188">
        <f t="shared" si="106"/>
        <v>0</v>
      </c>
      <c r="BY80" s="188">
        <f t="shared" si="106"/>
        <v>0</v>
      </c>
      <c r="BZ80" s="188">
        <f t="shared" si="106"/>
        <v>0</v>
      </c>
      <c r="CA80" s="188">
        <f t="shared" si="106"/>
        <v>0</v>
      </c>
      <c r="CB80" s="188">
        <f t="shared" si="93"/>
        <v>0</v>
      </c>
      <c r="CC80" s="188">
        <f t="shared" si="70"/>
        <v>31</v>
      </c>
      <c r="CD80" s="121">
        <v>22</v>
      </c>
    </row>
    <row r="81" spans="1:82" s="188" customFormat="1" ht="15">
      <c r="A81" s="190">
        <v>42217</v>
      </c>
      <c r="B81" s="191">
        <f t="shared" si="52"/>
        <v>2015</v>
      </c>
      <c r="C81" s="186">
        <v>66335065.180293888</v>
      </c>
      <c r="D81" s="88">
        <f>('Customer Data'!$B104+'Customer Data'!$B107*2)/3</f>
        <v>78297.666666666672</v>
      </c>
      <c r="E81" s="188">
        <f ca="1">HLOOKUP($B81,CDM!$B$1:$Q$22,11,FALSE)/12</f>
        <v>1472541.9638756439</v>
      </c>
      <c r="F81" s="189">
        <f t="shared" ca="1" si="53"/>
        <v>67807607.144169539</v>
      </c>
      <c r="G81" s="186">
        <v>19524884.330743469</v>
      </c>
      <c r="H81" s="88">
        <f>('Customer Data'!$C104+'Customer Data'!$C107*2)/3</f>
        <v>7056.1111111111122</v>
      </c>
      <c r="I81" s="188">
        <f ca="1">HLOOKUP($B81,CDM!$B$1:$Q$22,12,FALSE)/12</f>
        <v>1178042.7617162857</v>
      </c>
      <c r="J81" s="188">
        <f t="shared" ca="1" si="54"/>
        <v>20702927.092459753</v>
      </c>
      <c r="K81" s="186">
        <v>82550382.717559621</v>
      </c>
      <c r="L81" s="186">
        <v>212089.56</v>
      </c>
      <c r="M81" s="88">
        <f>('Customer Data'!$D104+'Customer Data'!$D107*2)/3</f>
        <v>1231</v>
      </c>
      <c r="N81" s="126">
        <f ca="1">HLOOKUP($B81,CDM!$B$1:$Q$22,13,FALSE)/12</f>
        <v>3281539.3291532523</v>
      </c>
      <c r="O81" s="188">
        <f t="shared" ca="1" si="84"/>
        <v>85831922.046712875</v>
      </c>
      <c r="P81" s="188">
        <f t="shared" si="85"/>
        <v>212089.56</v>
      </c>
      <c r="Q81" s="188">
        <v>196460.37390382576</v>
      </c>
      <c r="R81" s="188">
        <v>436.23</v>
      </c>
      <c r="S81" s="229">
        <v>0</v>
      </c>
      <c r="T81" s="189">
        <f t="shared" ca="1" si="88"/>
        <v>85635461.672809049</v>
      </c>
      <c r="U81" s="156">
        <f t="shared" si="89"/>
        <v>211653.33</v>
      </c>
      <c r="V81" s="186">
        <v>3365052.0199999996</v>
      </c>
      <c r="W81" s="186">
        <v>10297.279999999999</v>
      </c>
      <c r="X81" s="88">
        <f>('Customer Data'!$E104+'Customer Data'!$E107*2)/3</f>
        <v>3</v>
      </c>
      <c r="Y81" s="126">
        <f ca="1">HLOOKUP($B81,CDM!$B$1:$Q$22,14,FALSE)/12</f>
        <v>20859.59326617933</v>
      </c>
      <c r="Z81" s="188">
        <f t="shared" ca="1" si="55"/>
        <v>3385911.6132661789</v>
      </c>
      <c r="AA81" s="186">
        <v>28908472.530000001</v>
      </c>
      <c r="AB81" s="186">
        <v>52441.49</v>
      </c>
      <c r="AC81" s="88">
        <f>('Customer Data'!$F104+'Customer Data'!$F107*2)/3</f>
        <v>6</v>
      </c>
      <c r="AD81" s="126">
        <f ca="1">HLOOKUP($B81,CDM!$B$1:$Q$22,15,FALSE)/12</f>
        <v>842309.02331305854</v>
      </c>
      <c r="AE81" s="188">
        <f t="shared" ca="1" si="56"/>
        <v>29750781.553313062</v>
      </c>
      <c r="AF81" s="186">
        <v>26902944.920000002</v>
      </c>
      <c r="AG81" s="186">
        <v>48158.79</v>
      </c>
      <c r="AH81" s="88">
        <f>('Customer Data'!$G104+'Customer Data'!$G107*2)/3</f>
        <v>2</v>
      </c>
      <c r="AI81" s="126">
        <f ca="1">HLOOKUP($B81,CDM!$B$1:$Q$22,16,FALSE)/12</f>
        <v>1298005.887372409</v>
      </c>
      <c r="AJ81" s="188">
        <f t="shared" ca="1" si="57"/>
        <v>28200950.80737241</v>
      </c>
      <c r="AK81" s="188">
        <f t="shared" si="43"/>
        <v>48158.79</v>
      </c>
      <c r="AL81" s="188">
        <v>0</v>
      </c>
      <c r="AM81" s="188">
        <v>0</v>
      </c>
      <c r="AN81" s="156">
        <v>5010977.2822299656</v>
      </c>
      <c r="AO81" s="156">
        <v>7656.96</v>
      </c>
      <c r="AP81" s="156">
        <v>145710.3583692</v>
      </c>
      <c r="AQ81" s="156">
        <f t="shared" ca="1" si="90"/>
        <v>24594093.912713893</v>
      </c>
      <c r="AR81" s="156">
        <f t="shared" si="91"/>
        <v>44784.53</v>
      </c>
      <c r="AS81" s="186">
        <v>4489678.8499999996</v>
      </c>
      <c r="AT81" s="186">
        <v>7308.67</v>
      </c>
      <c r="AU81" s="88">
        <f>('Customer Data'!$H104+'Customer Data'!$H107*2)/3</f>
        <v>1</v>
      </c>
      <c r="AV81" s="126">
        <f ca="1">HLOOKUP($B81,CDM!$B$1:$Q$22,17,FALSE)/12</f>
        <v>4551.1293938503995</v>
      </c>
      <c r="AW81" s="188">
        <f t="shared" ca="1" si="58"/>
        <v>4494229.9793938501</v>
      </c>
      <c r="AX81" s="105">
        <v>1243112.47</v>
      </c>
      <c r="AY81" s="105">
        <v>4088.55</v>
      </c>
      <c r="AZ81" s="88">
        <f>('Customer Data'!$I104+'Customer Data'!$I107*2)/3</f>
        <v>23498.666666666668</v>
      </c>
      <c r="BA81" s="126">
        <f ca="1">HLOOKUP($B81,CDM!$B$1:$Q$22,18,FALSE)/12</f>
        <v>0</v>
      </c>
      <c r="BB81" s="188">
        <f t="shared" ca="1" si="59"/>
        <v>4088.55</v>
      </c>
      <c r="BC81" s="186">
        <v>73826.100246161004</v>
      </c>
      <c r="BD81" s="186">
        <v>207.74</v>
      </c>
      <c r="BE81" s="188">
        <f>('Customer Data'!$J104*1+'Customer Data'!$J107*2)/3</f>
        <v>615.66666666666663</v>
      </c>
      <c r="BF81" s="105">
        <v>201080</v>
      </c>
      <c r="BG81" s="188">
        <f>('Customer Data'!$K104*1+'Customer Data'!$K107*2)/3</f>
        <v>780</v>
      </c>
      <c r="BH81" s="188">
        <f>Weather!B249</f>
        <v>3.2</v>
      </c>
      <c r="BI81" s="188">
        <f>Weather!$C249</f>
        <v>138.69999999999999</v>
      </c>
      <c r="BJ81" s="166">
        <f>Employment!B105</f>
        <v>6949.2</v>
      </c>
      <c r="BK81" s="188">
        <f>Employment!$C105</f>
        <v>158.69999999999999</v>
      </c>
      <c r="BL81" s="188">
        <f>Employment!D105</f>
        <v>618051.4</v>
      </c>
      <c r="BM81" s="188">
        <f t="shared" si="61"/>
        <v>80</v>
      </c>
      <c r="BN81" s="188">
        <f t="shared" ref="BN81:CA81" si="107">BN69</f>
        <v>0</v>
      </c>
      <c r="BO81" s="188">
        <f t="shared" si="107"/>
        <v>0</v>
      </c>
      <c r="BP81" s="188">
        <f t="shared" si="107"/>
        <v>0</v>
      </c>
      <c r="BQ81" s="188">
        <f t="shared" si="107"/>
        <v>0</v>
      </c>
      <c r="BR81" s="188">
        <f t="shared" si="107"/>
        <v>0</v>
      </c>
      <c r="BS81" s="188">
        <f t="shared" si="107"/>
        <v>0</v>
      </c>
      <c r="BT81" s="188">
        <f t="shared" si="107"/>
        <v>0</v>
      </c>
      <c r="BU81" s="188">
        <f t="shared" si="107"/>
        <v>1</v>
      </c>
      <c r="BV81" s="188">
        <f t="shared" si="107"/>
        <v>0</v>
      </c>
      <c r="BW81" s="188">
        <f t="shared" si="107"/>
        <v>0</v>
      </c>
      <c r="BX81" s="188">
        <f t="shared" si="107"/>
        <v>0</v>
      </c>
      <c r="BY81" s="188">
        <f t="shared" si="107"/>
        <v>0</v>
      </c>
      <c r="BZ81" s="188">
        <f t="shared" si="107"/>
        <v>0</v>
      </c>
      <c r="CA81" s="188">
        <f t="shared" si="107"/>
        <v>0</v>
      </c>
      <c r="CB81" s="188">
        <f t="shared" si="93"/>
        <v>0</v>
      </c>
      <c r="CC81" s="188">
        <f t="shared" si="70"/>
        <v>31</v>
      </c>
      <c r="CD81" s="121">
        <v>20</v>
      </c>
    </row>
    <row r="82" spans="1:82" s="188" customFormat="1" ht="15">
      <c r="A82" s="190">
        <v>42248</v>
      </c>
      <c r="B82" s="191">
        <f t="shared" si="52"/>
        <v>2015</v>
      </c>
      <c r="C82" s="186">
        <v>51571501.77098304</v>
      </c>
      <c r="D82" s="88">
        <f>'Customer Data'!$B107</f>
        <v>78337</v>
      </c>
      <c r="E82" s="188">
        <f ca="1">HLOOKUP($B82,CDM!$B$1:$Q$22,11,FALSE)/12</f>
        <v>1472541.9638756439</v>
      </c>
      <c r="F82" s="189">
        <f t="shared" ca="1" si="53"/>
        <v>53044043.734858684</v>
      </c>
      <c r="G82" s="186">
        <v>17143497.398728304</v>
      </c>
      <c r="H82" s="88">
        <f>'Customer Data'!$C107</f>
        <v>7059.3333333333339</v>
      </c>
      <c r="I82" s="188">
        <f ca="1">HLOOKUP($B82,CDM!$B$1:$Q$22,12,FALSE)/12</f>
        <v>1178042.7617162857</v>
      </c>
      <c r="J82" s="188">
        <f t="shared" ca="1" si="54"/>
        <v>18321540.160444587</v>
      </c>
      <c r="K82" s="186">
        <v>78440038.184009597</v>
      </c>
      <c r="L82" s="186">
        <v>222715.13999999998</v>
      </c>
      <c r="M82" s="88">
        <f>'Customer Data'!$D107</f>
        <v>1235</v>
      </c>
      <c r="N82" s="126">
        <f ca="1">HLOOKUP($B82,CDM!$B$1:$Q$22,13,FALSE)/12</f>
        <v>3281539.3291532523</v>
      </c>
      <c r="O82" s="188">
        <f t="shared" ca="1" si="84"/>
        <v>81721577.513162851</v>
      </c>
      <c r="P82" s="188">
        <f t="shared" si="85"/>
        <v>222715.13999999998</v>
      </c>
      <c r="Q82" s="188">
        <v>185686.11352028523</v>
      </c>
      <c r="R82" s="188">
        <v>434.88</v>
      </c>
      <c r="S82" s="229">
        <v>0</v>
      </c>
      <c r="T82" s="189">
        <f t="shared" ca="1" si="88"/>
        <v>81535891.399642572</v>
      </c>
      <c r="U82" s="156">
        <f t="shared" si="89"/>
        <v>222280.25999999998</v>
      </c>
      <c r="V82" s="186">
        <v>3753211.08</v>
      </c>
      <c r="W82" s="186">
        <v>11306.720000000001</v>
      </c>
      <c r="X82" s="88">
        <f>'Customer Data'!$E107</f>
        <v>3</v>
      </c>
      <c r="Y82" s="126">
        <f ca="1">HLOOKUP($B82,CDM!$B$1:$Q$22,14,FALSE)/12</f>
        <v>20859.59326617933</v>
      </c>
      <c r="Z82" s="188">
        <f t="shared" ca="1" si="55"/>
        <v>3774070.6732661794</v>
      </c>
      <c r="AA82" s="186">
        <v>25871488.98</v>
      </c>
      <c r="AB82" s="186">
        <v>49864.42</v>
      </c>
      <c r="AC82" s="88">
        <f>'Customer Data'!$F107</f>
        <v>6</v>
      </c>
      <c r="AD82" s="126">
        <f ca="1">HLOOKUP($B82,CDM!$B$1:$Q$22,15,FALSE)/12</f>
        <v>842309.02331305854</v>
      </c>
      <c r="AE82" s="188">
        <f t="shared" ca="1" si="56"/>
        <v>26713798.003313057</v>
      </c>
      <c r="AF82" s="186">
        <v>21442290.940000001</v>
      </c>
      <c r="AG82" s="186">
        <v>47385.52</v>
      </c>
      <c r="AH82" s="88">
        <f>'Customer Data'!$G107</f>
        <v>2</v>
      </c>
      <c r="AI82" s="126">
        <f ca="1">HLOOKUP($B82,CDM!$B$1:$Q$22,16,FALSE)/12</f>
        <v>1298005.887372409</v>
      </c>
      <c r="AJ82" s="188">
        <f t="shared" ca="1" si="57"/>
        <v>22740296.827372409</v>
      </c>
      <c r="AK82" s="188">
        <f t="shared" si="43"/>
        <v>47385.52</v>
      </c>
      <c r="AL82" s="188">
        <v>0</v>
      </c>
      <c r="AM82" s="188">
        <v>0</v>
      </c>
      <c r="AN82" s="156">
        <v>4680180.4778496763</v>
      </c>
      <c r="AO82" s="156">
        <v>7951.68</v>
      </c>
      <c r="AP82" s="156">
        <v>145710.3583692</v>
      </c>
      <c r="AQ82" s="156">
        <f t="shared" ca="1" si="90"/>
        <v>21887907.167094178</v>
      </c>
      <c r="AR82" s="156">
        <f t="shared" si="91"/>
        <v>41912.74</v>
      </c>
      <c r="AS82" s="186">
        <v>4107286.66</v>
      </c>
      <c r="AT82" s="186">
        <v>7512.58</v>
      </c>
      <c r="AU82" s="88">
        <f>'Customer Data'!$H107</f>
        <v>1</v>
      </c>
      <c r="AV82" s="126">
        <f ca="1">HLOOKUP($B82,CDM!$B$1:$Q$22,17,FALSE)/12</f>
        <v>4551.1293938503995</v>
      </c>
      <c r="AW82" s="188">
        <f t="shared" ca="1" si="58"/>
        <v>4111837.7893938506</v>
      </c>
      <c r="AX82" s="105">
        <v>1362925.28</v>
      </c>
      <c r="AY82" s="105">
        <v>4085.61</v>
      </c>
      <c r="AZ82" s="88">
        <f>'Customer Data'!$I107</f>
        <v>23481</v>
      </c>
      <c r="BA82" s="126">
        <f ca="1">HLOOKUP($B82,CDM!$B$1:$Q$22,18,FALSE)/12</f>
        <v>0</v>
      </c>
      <c r="BB82" s="188">
        <f t="shared" ca="1" si="59"/>
        <v>4085.61</v>
      </c>
      <c r="BC82" s="186">
        <v>72743.611909264306</v>
      </c>
      <c r="BD82" s="186">
        <v>203.81</v>
      </c>
      <c r="BE82" s="188">
        <f>'Customer Data'!$J107</f>
        <v>616</v>
      </c>
      <c r="BF82" s="105">
        <v>201189</v>
      </c>
      <c r="BG82" s="188">
        <f>'Customer Data'!$K107</f>
        <v>780</v>
      </c>
      <c r="BH82" s="188">
        <f>Weather!B250</f>
        <v>10.8</v>
      </c>
      <c r="BI82" s="188">
        <f>Weather!$C250</f>
        <v>109.19999999999997</v>
      </c>
      <c r="BJ82" s="166">
        <f>Employment!B106</f>
        <v>6941.1</v>
      </c>
      <c r="BK82" s="188">
        <f>Employment!$C106</f>
        <v>155.5</v>
      </c>
      <c r="BL82" s="188">
        <f>Employment!D106</f>
        <v>618051.4</v>
      </c>
      <c r="BM82" s="188">
        <f t="shared" si="61"/>
        <v>81</v>
      </c>
      <c r="BN82" s="188">
        <f t="shared" ref="BN82:CA82" si="108">BN70</f>
        <v>0</v>
      </c>
      <c r="BO82" s="188">
        <f t="shared" si="108"/>
        <v>0</v>
      </c>
      <c r="BP82" s="188">
        <f t="shared" si="108"/>
        <v>0</v>
      </c>
      <c r="BQ82" s="188">
        <f t="shared" si="108"/>
        <v>0</v>
      </c>
      <c r="BR82" s="188">
        <f t="shared" si="108"/>
        <v>0</v>
      </c>
      <c r="BS82" s="188">
        <f t="shared" si="108"/>
        <v>0</v>
      </c>
      <c r="BT82" s="188">
        <f t="shared" si="108"/>
        <v>0</v>
      </c>
      <c r="BU82" s="188">
        <f t="shared" si="108"/>
        <v>0</v>
      </c>
      <c r="BV82" s="188">
        <f t="shared" si="108"/>
        <v>1</v>
      </c>
      <c r="BW82" s="188">
        <f t="shared" si="108"/>
        <v>0</v>
      </c>
      <c r="BX82" s="188">
        <f t="shared" si="108"/>
        <v>0</v>
      </c>
      <c r="BY82" s="188">
        <f t="shared" si="108"/>
        <v>0</v>
      </c>
      <c r="BZ82" s="188">
        <f t="shared" si="108"/>
        <v>0</v>
      </c>
      <c r="CA82" s="188">
        <f t="shared" si="108"/>
        <v>1</v>
      </c>
      <c r="CB82" s="188">
        <f t="shared" si="93"/>
        <v>1</v>
      </c>
      <c r="CC82" s="188">
        <f t="shared" si="70"/>
        <v>30</v>
      </c>
      <c r="CD82" s="121">
        <v>21</v>
      </c>
    </row>
    <row r="83" spans="1:82" s="188" customFormat="1" ht="15">
      <c r="A83" s="190">
        <v>42278</v>
      </c>
      <c r="B83" s="191">
        <f t="shared" si="52"/>
        <v>2015</v>
      </c>
      <c r="C83" s="186">
        <v>39938469.475919709</v>
      </c>
      <c r="D83" s="88">
        <f>('Customer Data'!$B107*2+'Customer Data'!$B110)/3</f>
        <v>78398</v>
      </c>
      <c r="E83" s="188">
        <f ca="1">HLOOKUP($B83,CDM!$B$1:$Q$22,11,FALSE)/12</f>
        <v>1472541.9638756439</v>
      </c>
      <c r="F83" s="189">
        <f t="shared" ca="1" si="53"/>
        <v>41411011.439795353</v>
      </c>
      <c r="G83" s="186">
        <v>15631455.71595069</v>
      </c>
      <c r="H83" s="88">
        <f>('Customer Data'!$C107*2+'Customer Data'!$C110)/3</f>
        <v>7062.5555555555557</v>
      </c>
      <c r="I83" s="188">
        <f ca="1">HLOOKUP($B83,CDM!$B$1:$Q$22,12,FALSE)/12</f>
        <v>1178042.7617162857</v>
      </c>
      <c r="J83" s="188">
        <f t="shared" ca="1" si="54"/>
        <v>16809498.477666974</v>
      </c>
      <c r="K83" s="186">
        <v>74311681.584251866</v>
      </c>
      <c r="L83" s="186">
        <v>190893.90999999997</v>
      </c>
      <c r="M83" s="88">
        <f>('Customer Data'!$D107*2+'Customer Data'!$D110)/3</f>
        <v>1236</v>
      </c>
      <c r="N83" s="126">
        <f ca="1">HLOOKUP($B83,CDM!$B$1:$Q$22,13,FALSE)/12</f>
        <v>3281539.3291532523</v>
      </c>
      <c r="O83" s="188">
        <f t="shared" ca="1" si="84"/>
        <v>77593220.91340512</v>
      </c>
      <c r="P83" s="188">
        <f t="shared" si="85"/>
        <v>190893.90999999997</v>
      </c>
      <c r="Q83" s="188">
        <v>191548.71350101184</v>
      </c>
      <c r="R83" s="188">
        <v>406.71</v>
      </c>
      <c r="S83" s="229">
        <v>0</v>
      </c>
      <c r="T83" s="189">
        <f t="shared" ca="1" si="88"/>
        <v>77401672.199904114</v>
      </c>
      <c r="U83" s="156">
        <f t="shared" si="89"/>
        <v>190487.19999999998</v>
      </c>
      <c r="V83" s="186">
        <v>3683334.72</v>
      </c>
      <c r="W83" s="186">
        <v>10837.7</v>
      </c>
      <c r="X83" s="88">
        <f>('Customer Data'!$E107*2+'Customer Data'!$E110)/3</f>
        <v>3</v>
      </c>
      <c r="Y83" s="126">
        <f ca="1">HLOOKUP($B83,CDM!$B$1:$Q$22,14,FALSE)/12</f>
        <v>20859.59326617933</v>
      </c>
      <c r="Z83" s="188">
        <f t="shared" ca="1" si="55"/>
        <v>3704194.3132661795</v>
      </c>
      <c r="AA83" s="186">
        <v>24599312.870000001</v>
      </c>
      <c r="AB83" s="186">
        <v>43710.93</v>
      </c>
      <c r="AC83" s="88">
        <f>('Customer Data'!$F107*2+'Customer Data'!$F110)/3</f>
        <v>6</v>
      </c>
      <c r="AD83" s="126">
        <f ca="1">HLOOKUP($B83,CDM!$B$1:$Q$22,15,FALSE)/12</f>
        <v>842309.02331305854</v>
      </c>
      <c r="AE83" s="188">
        <f t="shared" ca="1" si="56"/>
        <v>25441621.893313058</v>
      </c>
      <c r="AF83" s="186">
        <v>23575346.48</v>
      </c>
      <c r="AG83" s="186">
        <v>42904.33</v>
      </c>
      <c r="AH83" s="88">
        <f>('Customer Data'!$G107*2+'Customer Data'!$G110)/3</f>
        <v>2</v>
      </c>
      <c r="AI83" s="126">
        <f ca="1">HLOOKUP($B83,CDM!$B$1:$Q$22,16,FALSE)/12</f>
        <v>1298005.887372409</v>
      </c>
      <c r="AJ83" s="188">
        <f t="shared" ca="1" si="57"/>
        <v>24873352.367372409</v>
      </c>
      <c r="AK83" s="188">
        <f t="shared" si="43"/>
        <v>42904.33</v>
      </c>
      <c r="AL83" s="188">
        <v>0</v>
      </c>
      <c r="AM83" s="188">
        <v>0</v>
      </c>
      <c r="AN83" s="156">
        <v>5133578.8750622207</v>
      </c>
      <c r="AO83" s="156">
        <v>7830.72</v>
      </c>
      <c r="AP83" s="156">
        <v>145710.3583692</v>
      </c>
      <c r="AQ83" s="156">
        <f t="shared" ca="1" si="90"/>
        <v>20162332.659881637</v>
      </c>
      <c r="AR83" s="156">
        <f t="shared" si="91"/>
        <v>35880.21</v>
      </c>
      <c r="AS83" s="186">
        <v>3856577.28</v>
      </c>
      <c r="AT83" s="186">
        <v>6275.71</v>
      </c>
      <c r="AU83" s="88">
        <f>('Customer Data'!$H107*2+'Customer Data'!$H110)/3</f>
        <v>1</v>
      </c>
      <c r="AV83" s="126">
        <f ca="1">HLOOKUP($B83,CDM!$B$1:$Q$22,17,FALSE)/12</f>
        <v>4551.1293938503995</v>
      </c>
      <c r="AW83" s="188">
        <f t="shared" ca="1" si="58"/>
        <v>3861128.4093938502</v>
      </c>
      <c r="AX83" s="105">
        <v>1607923.8099999998</v>
      </c>
      <c r="AY83" s="105">
        <v>4087.96</v>
      </c>
      <c r="AZ83" s="88">
        <f>('Customer Data'!$I107*2+'Customer Data'!$I110)/3</f>
        <v>23476.333333333332</v>
      </c>
      <c r="BA83" s="126">
        <f ca="1">HLOOKUP($B83,CDM!$B$1:$Q$22,18,FALSE)/12</f>
        <v>0</v>
      </c>
      <c r="BB83" s="188">
        <f t="shared" ca="1" si="59"/>
        <v>4087.96</v>
      </c>
      <c r="BC83" s="186">
        <v>74175.533300889903</v>
      </c>
      <c r="BD83" s="186">
        <v>196.93</v>
      </c>
      <c r="BE83" s="188">
        <f>('Customer Data'!$J107*2+'Customer Data'!$J110*1)/3</f>
        <v>614.33333333333337</v>
      </c>
      <c r="BF83" s="105">
        <v>200536</v>
      </c>
      <c r="BG83" s="188">
        <f>('Customer Data'!$K107*2+'Customer Data'!$K110*1)/3</f>
        <v>780</v>
      </c>
      <c r="BH83" s="188">
        <f>Weather!B251</f>
        <v>157.80000000000001</v>
      </c>
      <c r="BI83" s="188">
        <f>Weather!$C251</f>
        <v>2.6</v>
      </c>
      <c r="BJ83" s="166">
        <f>Employment!B107</f>
        <v>6934.8</v>
      </c>
      <c r="BK83" s="188">
        <f>Employment!$C107</f>
        <v>153.9</v>
      </c>
      <c r="BL83" s="188">
        <f>Employment!D107</f>
        <v>618051.4</v>
      </c>
      <c r="BM83" s="188">
        <f t="shared" si="61"/>
        <v>82</v>
      </c>
      <c r="BN83" s="188">
        <f t="shared" ref="BN83:CA83" si="109">BN71</f>
        <v>0</v>
      </c>
      <c r="BO83" s="188">
        <f t="shared" si="109"/>
        <v>0</v>
      </c>
      <c r="BP83" s="188">
        <f t="shared" si="109"/>
        <v>0</v>
      </c>
      <c r="BQ83" s="188">
        <f t="shared" si="109"/>
        <v>0</v>
      </c>
      <c r="BR83" s="188">
        <f t="shared" si="109"/>
        <v>0</v>
      </c>
      <c r="BS83" s="188">
        <f t="shared" si="109"/>
        <v>0</v>
      </c>
      <c r="BT83" s="188">
        <f t="shared" si="109"/>
        <v>0</v>
      </c>
      <c r="BU83" s="188">
        <f t="shared" si="109"/>
        <v>0</v>
      </c>
      <c r="BV83" s="188">
        <f t="shared" si="109"/>
        <v>0</v>
      </c>
      <c r="BW83" s="188">
        <f t="shared" si="109"/>
        <v>1</v>
      </c>
      <c r="BX83" s="188">
        <f t="shared" si="109"/>
        <v>0</v>
      </c>
      <c r="BY83" s="188">
        <f t="shared" si="109"/>
        <v>0</v>
      </c>
      <c r="BZ83" s="188">
        <f t="shared" si="109"/>
        <v>0</v>
      </c>
      <c r="CA83" s="188">
        <f t="shared" si="109"/>
        <v>1</v>
      </c>
      <c r="CB83" s="188">
        <f t="shared" si="93"/>
        <v>1</v>
      </c>
      <c r="CC83" s="188">
        <f t="shared" si="70"/>
        <v>31</v>
      </c>
      <c r="CD83" s="121">
        <v>21</v>
      </c>
    </row>
    <row r="84" spans="1:82" s="188" customFormat="1" ht="15">
      <c r="A84" s="190">
        <v>42309</v>
      </c>
      <c r="B84" s="191">
        <f t="shared" si="52"/>
        <v>2015</v>
      </c>
      <c r="C84" s="186">
        <v>40832012.551523015</v>
      </c>
      <c r="D84" s="88">
        <f>('Customer Data'!$B107+'Customer Data'!$B110*2)/3</f>
        <v>78459</v>
      </c>
      <c r="E84" s="188">
        <f ca="1">HLOOKUP($B84,CDM!$B$1:$Q$22,11,FALSE)/12</f>
        <v>1472541.9638756439</v>
      </c>
      <c r="F84" s="189">
        <f t="shared" ca="1" si="53"/>
        <v>42304554.515398659</v>
      </c>
      <c r="G84" s="186">
        <v>15521415.280402228</v>
      </c>
      <c r="H84" s="88">
        <f>('Customer Data'!$C107+'Customer Data'!$C110*2)/3</f>
        <v>7065.7777777777783</v>
      </c>
      <c r="I84" s="188">
        <f ca="1">HLOOKUP($B84,CDM!$B$1:$Q$22,12,FALSE)/12</f>
        <v>1178042.7617162857</v>
      </c>
      <c r="J84" s="188">
        <f t="shared" ca="1" si="54"/>
        <v>16699458.042118514</v>
      </c>
      <c r="K84" s="186">
        <v>74531878.653042346</v>
      </c>
      <c r="L84" s="186">
        <v>192892.62</v>
      </c>
      <c r="M84" s="88">
        <f>('Customer Data'!$D107+'Customer Data'!$D110*2)/3</f>
        <v>1237</v>
      </c>
      <c r="N84" s="126">
        <f ca="1">HLOOKUP($B84,CDM!$B$1:$Q$22,13,FALSE)/12</f>
        <v>3281539.3291532523</v>
      </c>
      <c r="O84" s="188">
        <f t="shared" ca="1" si="84"/>
        <v>77813417.982195601</v>
      </c>
      <c r="P84" s="188">
        <f t="shared" si="85"/>
        <v>192892.62</v>
      </c>
      <c r="Q84" s="188">
        <v>182970.00096366965</v>
      </c>
      <c r="R84" s="188">
        <v>412.11</v>
      </c>
      <c r="S84" s="229">
        <v>0</v>
      </c>
      <c r="T84" s="189">
        <f t="shared" ca="1" si="88"/>
        <v>77630447.981231928</v>
      </c>
      <c r="U84" s="156">
        <f t="shared" si="89"/>
        <v>192480.51</v>
      </c>
      <c r="V84" s="186">
        <v>3506193.3299999996</v>
      </c>
      <c r="W84" s="186">
        <v>10704.39</v>
      </c>
      <c r="X84" s="88">
        <f>('Customer Data'!$E107+'Customer Data'!$E110*2)/3</f>
        <v>3</v>
      </c>
      <c r="Y84" s="126">
        <f ca="1">HLOOKUP($B84,CDM!$B$1:$Q$22,14,FALSE)/12</f>
        <v>20859.59326617933</v>
      </c>
      <c r="Z84" s="188">
        <f t="shared" ca="1" si="55"/>
        <v>3527052.9232661789</v>
      </c>
      <c r="AA84" s="186">
        <v>23378101.890000001</v>
      </c>
      <c r="AB84" s="186">
        <v>42611.39</v>
      </c>
      <c r="AC84" s="88">
        <f>('Customer Data'!$F107+'Customer Data'!$F110*2)/3</f>
        <v>6</v>
      </c>
      <c r="AD84" s="126">
        <f ca="1">HLOOKUP($B84,CDM!$B$1:$Q$22,15,FALSE)/12</f>
        <v>842309.02331305854</v>
      </c>
      <c r="AE84" s="188">
        <f t="shared" ca="1" si="56"/>
        <v>24220410.913313061</v>
      </c>
      <c r="AF84" s="186">
        <v>22858027.77</v>
      </c>
      <c r="AG84" s="186">
        <v>40808.89</v>
      </c>
      <c r="AH84" s="88">
        <f>('Customer Data'!$G107+'Customer Data'!$G110*2)/3</f>
        <v>2</v>
      </c>
      <c r="AI84" s="126">
        <f ca="1">HLOOKUP($B84,CDM!$B$1:$Q$22,16,FALSE)/12</f>
        <v>1298005.887372409</v>
      </c>
      <c r="AJ84" s="188">
        <f t="shared" ca="1" si="57"/>
        <v>24156033.657372408</v>
      </c>
      <c r="AK84" s="188">
        <f t="shared" si="43"/>
        <v>40808.89</v>
      </c>
      <c r="AL84" s="188">
        <v>0</v>
      </c>
      <c r="AM84" s="188">
        <v>0</v>
      </c>
      <c r="AN84" s="156">
        <v>4452528.0039820811</v>
      </c>
      <c r="AO84" s="156">
        <v>7528.32</v>
      </c>
      <c r="AP84" s="156">
        <v>145710.3583692</v>
      </c>
      <c r="AQ84" s="156">
        <f t="shared" ca="1" si="90"/>
        <v>19622172.550961778</v>
      </c>
      <c r="AR84" s="156">
        <f t="shared" si="91"/>
        <v>35083.07</v>
      </c>
      <c r="AS84" s="186">
        <v>3802739.33</v>
      </c>
      <c r="AT84" s="186">
        <v>6059.9</v>
      </c>
      <c r="AU84" s="88">
        <f>('Customer Data'!$H107+'Customer Data'!$H110*2)/3</f>
        <v>1</v>
      </c>
      <c r="AV84" s="126">
        <f ca="1">HLOOKUP($B84,CDM!$B$1:$Q$22,17,FALSE)/12</f>
        <v>4551.1293938503995</v>
      </c>
      <c r="AW84" s="188">
        <f t="shared" ca="1" si="58"/>
        <v>3807290.4593938505</v>
      </c>
      <c r="AX84" s="105">
        <v>1695915.4100000001</v>
      </c>
      <c r="AY84" s="105">
        <v>4087.77</v>
      </c>
      <c r="AZ84" s="88">
        <f>('Customer Data'!$I107+'Customer Data'!$I110*2)/3</f>
        <v>23471.666666666668</v>
      </c>
      <c r="BA84" s="126">
        <f ca="1">HLOOKUP($B84,CDM!$B$1:$Q$22,18,FALSE)/12</f>
        <v>0</v>
      </c>
      <c r="BB84" s="188">
        <f t="shared" ca="1" si="59"/>
        <v>4087.77</v>
      </c>
      <c r="BC84" s="186">
        <v>75403.937023785402</v>
      </c>
      <c r="BD84" s="186">
        <v>211.03</v>
      </c>
      <c r="BE84" s="188">
        <f>('Customer Data'!$J107*1+'Customer Data'!$J110*2)/3</f>
        <v>612.66666666666663</v>
      </c>
      <c r="BF84" s="105">
        <v>200806</v>
      </c>
      <c r="BG84" s="188">
        <f>('Customer Data'!$K107*1+'Customer Data'!$K110*2)/3</f>
        <v>780</v>
      </c>
      <c r="BH84" s="188">
        <f>Weather!B252</f>
        <v>286.60000000000002</v>
      </c>
      <c r="BI84" s="188">
        <f>Weather!$C252</f>
        <v>0.5</v>
      </c>
      <c r="BJ84" s="166">
        <f>Employment!B108</f>
        <v>6928.3</v>
      </c>
      <c r="BK84" s="188">
        <f>Employment!$C108</f>
        <v>154.19999999999999</v>
      </c>
      <c r="BL84" s="188">
        <f>Employment!D108</f>
        <v>618051.4</v>
      </c>
      <c r="BM84" s="188">
        <f t="shared" si="61"/>
        <v>83</v>
      </c>
      <c r="BN84" s="188">
        <f t="shared" ref="BN84:CA84" si="110">BN72</f>
        <v>0</v>
      </c>
      <c r="BO84" s="188">
        <f t="shared" si="110"/>
        <v>0</v>
      </c>
      <c r="BP84" s="188">
        <f t="shared" si="110"/>
        <v>0</v>
      </c>
      <c r="BQ84" s="188">
        <f t="shared" si="110"/>
        <v>0</v>
      </c>
      <c r="BR84" s="188">
        <f t="shared" si="110"/>
        <v>0</v>
      </c>
      <c r="BS84" s="188">
        <f t="shared" si="110"/>
        <v>0</v>
      </c>
      <c r="BT84" s="188">
        <f t="shared" si="110"/>
        <v>0</v>
      </c>
      <c r="BU84" s="188">
        <f t="shared" si="110"/>
        <v>0</v>
      </c>
      <c r="BV84" s="188">
        <f t="shared" si="110"/>
        <v>0</v>
      </c>
      <c r="BW84" s="188">
        <f t="shared" si="110"/>
        <v>0</v>
      </c>
      <c r="BX84" s="188">
        <f t="shared" si="110"/>
        <v>1</v>
      </c>
      <c r="BY84" s="188">
        <f t="shared" si="110"/>
        <v>0</v>
      </c>
      <c r="BZ84" s="188">
        <f t="shared" si="110"/>
        <v>0</v>
      </c>
      <c r="CA84" s="188">
        <f t="shared" si="110"/>
        <v>1</v>
      </c>
      <c r="CB84" s="188">
        <f t="shared" si="93"/>
        <v>1</v>
      </c>
      <c r="CC84" s="188">
        <f t="shared" si="70"/>
        <v>30</v>
      </c>
      <c r="CD84" s="121">
        <v>21</v>
      </c>
    </row>
    <row r="85" spans="1:82" s="188" customFormat="1" ht="15">
      <c r="A85" s="190">
        <v>42339</v>
      </c>
      <c r="B85" s="191">
        <f t="shared" si="52"/>
        <v>2015</v>
      </c>
      <c r="C85" s="186">
        <v>47662885.258953646</v>
      </c>
      <c r="D85" s="88">
        <f>'Customer Data'!$B110</f>
        <v>78520</v>
      </c>
      <c r="E85" s="188">
        <f ca="1">HLOOKUP($B85,CDM!$B$1:$Q$22,11,FALSE)/12</f>
        <v>1472541.9638756439</v>
      </c>
      <c r="F85" s="189">
        <f t="shared" ca="1" si="53"/>
        <v>49135427.22282929</v>
      </c>
      <c r="G85" s="186">
        <v>16889042.586756933</v>
      </c>
      <c r="H85" s="88">
        <f>'Customer Data'!$C110</f>
        <v>7069</v>
      </c>
      <c r="I85" s="188">
        <f ca="1">HLOOKUP($B85,CDM!$B$1:$Q$22,12,FALSE)/12</f>
        <v>1178042.7617162857</v>
      </c>
      <c r="J85" s="188">
        <f t="shared" ca="1" si="54"/>
        <v>18067085.348473221</v>
      </c>
      <c r="K85" s="186">
        <v>76451094.681757405</v>
      </c>
      <c r="L85" s="186">
        <v>185899.67</v>
      </c>
      <c r="M85" s="88">
        <f>'Customer Data'!$D110</f>
        <v>1238</v>
      </c>
      <c r="N85" s="126">
        <f ca="1">HLOOKUP($B85,CDM!$B$1:$Q$22,13,FALSE)/12</f>
        <v>3281539.3291532523</v>
      </c>
      <c r="O85" s="188">
        <f t="shared" ca="1" si="84"/>
        <v>79732634.01091066</v>
      </c>
      <c r="P85" s="188">
        <f t="shared" si="85"/>
        <v>185899.67</v>
      </c>
      <c r="Q85" s="188">
        <v>183538.5275127686</v>
      </c>
      <c r="R85" s="188">
        <v>434.52</v>
      </c>
      <c r="S85" s="229">
        <v>0</v>
      </c>
      <c r="T85" s="189">
        <f t="shared" ca="1" si="88"/>
        <v>79549095.483397886</v>
      </c>
      <c r="U85" s="156">
        <f t="shared" si="89"/>
        <v>185465.15000000002</v>
      </c>
      <c r="V85" s="186">
        <v>3246252.08</v>
      </c>
      <c r="W85" s="186">
        <v>10207.799999999999</v>
      </c>
      <c r="X85" s="88">
        <f>'Customer Data'!$E110</f>
        <v>3</v>
      </c>
      <c r="Y85" s="126">
        <f ca="1">HLOOKUP($B85,CDM!$B$1:$Q$22,14,FALSE)/12</f>
        <v>20859.59326617933</v>
      </c>
      <c r="Z85" s="188">
        <f t="shared" ca="1" si="55"/>
        <v>3267111.6732661794</v>
      </c>
      <c r="AA85" s="186">
        <v>22819352.939999998</v>
      </c>
      <c r="AB85" s="186">
        <v>45814.49</v>
      </c>
      <c r="AC85" s="88">
        <f>'Customer Data'!$F110</f>
        <v>6</v>
      </c>
      <c r="AD85" s="126">
        <f ca="1">HLOOKUP($B85,CDM!$B$1:$Q$22,15,FALSE)/12</f>
        <v>842309.02331305854</v>
      </c>
      <c r="AE85" s="188">
        <f t="shared" ca="1" si="56"/>
        <v>23661661.963313058</v>
      </c>
      <c r="AF85" s="186">
        <v>20765570.859999999</v>
      </c>
      <c r="AG85" s="186">
        <v>40066.26</v>
      </c>
      <c r="AH85" s="88">
        <f>'Customer Data'!$G110</f>
        <v>2</v>
      </c>
      <c r="AI85" s="126">
        <f ca="1">HLOOKUP($B85,CDM!$B$1:$Q$22,16,FALSE)/12</f>
        <v>1298005.887372409</v>
      </c>
      <c r="AJ85" s="188">
        <f t="shared" ca="1" si="57"/>
        <v>22063576.747372407</v>
      </c>
      <c r="AK85" s="188">
        <f t="shared" si="43"/>
        <v>40066.26</v>
      </c>
      <c r="AL85" s="188">
        <v>0</v>
      </c>
      <c r="AM85" s="188">
        <v>0</v>
      </c>
      <c r="AN85" s="156">
        <v>4005882.2399203586</v>
      </c>
      <c r="AO85" s="156">
        <v>7662.72</v>
      </c>
      <c r="AP85" s="156">
        <v>145710.3583692</v>
      </c>
      <c r="AQ85" s="156">
        <f t="shared" ca="1" si="90"/>
        <v>19510069.365023497</v>
      </c>
      <c r="AR85" s="156">
        <f t="shared" si="91"/>
        <v>38151.769999999997</v>
      </c>
      <c r="AS85" s="186">
        <v>3155475.84</v>
      </c>
      <c r="AT85" s="186">
        <v>6004.22</v>
      </c>
      <c r="AU85" s="88">
        <f>'Customer Data'!$H110</f>
        <v>1</v>
      </c>
      <c r="AV85" s="126">
        <f ca="1">HLOOKUP($B85,CDM!$B$1:$Q$22,17,FALSE)/12</f>
        <v>4551.1293938503995</v>
      </c>
      <c r="AW85" s="188">
        <f t="shared" ca="1" si="58"/>
        <v>3160026.9693938503</v>
      </c>
      <c r="AX85" s="105">
        <v>1870608.03</v>
      </c>
      <c r="AY85" s="105">
        <v>4078.16</v>
      </c>
      <c r="AZ85" s="88">
        <f>'Customer Data'!$I110</f>
        <v>23467</v>
      </c>
      <c r="BA85" s="126">
        <f ca="1">HLOOKUP($B85,CDM!$B$1:$Q$22,18,FALSE)/12</f>
        <v>0</v>
      </c>
      <c r="BB85" s="188">
        <f t="shared" ca="1" si="59"/>
        <v>4078.16</v>
      </c>
      <c r="BC85" s="186">
        <v>69535.230389610399</v>
      </c>
      <c r="BD85" s="186">
        <v>202.57</v>
      </c>
      <c r="BE85" s="188">
        <f>'Customer Data'!$J110</f>
        <v>611</v>
      </c>
      <c r="BF85" s="105">
        <v>200912</v>
      </c>
      <c r="BG85" s="188">
        <f>'Customer Data'!$K110</f>
        <v>780</v>
      </c>
      <c r="BH85" s="188">
        <f>Weather!B253</f>
        <v>392.2</v>
      </c>
      <c r="BI85" s="188">
        <f>Weather!$C253</f>
        <v>0</v>
      </c>
      <c r="BJ85" s="166">
        <f>Employment!B109</f>
        <v>6942.8</v>
      </c>
      <c r="BK85" s="188">
        <f>Employment!$C109</f>
        <v>154.4</v>
      </c>
      <c r="BL85" s="188">
        <f>Employment!D109</f>
        <v>618051.4</v>
      </c>
      <c r="BM85" s="188">
        <f t="shared" si="61"/>
        <v>84</v>
      </c>
      <c r="BN85" s="188">
        <f t="shared" ref="BN85:CA85" si="111">BN73</f>
        <v>0</v>
      </c>
      <c r="BO85" s="188">
        <f t="shared" si="111"/>
        <v>0</v>
      </c>
      <c r="BP85" s="188">
        <f t="shared" si="111"/>
        <v>0</v>
      </c>
      <c r="BQ85" s="188">
        <f t="shared" si="111"/>
        <v>0</v>
      </c>
      <c r="BR85" s="188">
        <f t="shared" si="111"/>
        <v>0</v>
      </c>
      <c r="BS85" s="188">
        <f t="shared" si="111"/>
        <v>0</v>
      </c>
      <c r="BT85" s="188">
        <f t="shared" si="111"/>
        <v>0</v>
      </c>
      <c r="BU85" s="188">
        <f t="shared" si="111"/>
        <v>0</v>
      </c>
      <c r="BV85" s="188">
        <f t="shared" si="111"/>
        <v>0</v>
      </c>
      <c r="BW85" s="188">
        <f t="shared" si="111"/>
        <v>0</v>
      </c>
      <c r="BX85" s="188">
        <f t="shared" si="111"/>
        <v>0</v>
      </c>
      <c r="BY85" s="188">
        <f t="shared" si="111"/>
        <v>1</v>
      </c>
      <c r="BZ85" s="188">
        <f t="shared" si="111"/>
        <v>0</v>
      </c>
      <c r="CA85" s="188">
        <f t="shared" si="111"/>
        <v>0</v>
      </c>
      <c r="CB85" s="188">
        <f t="shared" si="93"/>
        <v>0</v>
      </c>
      <c r="CC85" s="188">
        <f t="shared" si="70"/>
        <v>31</v>
      </c>
      <c r="CD85" s="121">
        <v>21</v>
      </c>
    </row>
    <row r="86" spans="1:82" s="188" customFormat="1" ht="15">
      <c r="A86" s="190">
        <v>42370</v>
      </c>
      <c r="B86" s="191">
        <f t="shared" si="52"/>
        <v>2016</v>
      </c>
      <c r="C86" s="186">
        <v>50322418.872620501</v>
      </c>
      <c r="D86" s="88">
        <f>('Customer Data'!$B110*2+'Customer Data'!$B113)/3</f>
        <v>78552.666666666672</v>
      </c>
      <c r="E86" s="188">
        <f ca="1">HLOOKUP($B86,CDM!$B$1:$Q$22,11,FALSE)/12</f>
        <v>1780417.836361439</v>
      </c>
      <c r="F86" s="189">
        <f t="shared" ca="1" si="53"/>
        <v>52102836.708981939</v>
      </c>
      <c r="G86" s="186">
        <v>17829372.698139355</v>
      </c>
      <c r="H86" s="88">
        <f>('Customer Data'!$C110*2+'Customer Data'!$C113)/3</f>
        <v>7073</v>
      </c>
      <c r="I86" s="188">
        <f ca="1">HLOOKUP($B86,CDM!$B$1:$Q$22,12,FALSE)/12</f>
        <v>1303689.0625943274</v>
      </c>
      <c r="J86" s="188">
        <f t="shared" ca="1" si="54"/>
        <v>19133061.760733683</v>
      </c>
      <c r="K86" s="186">
        <v>83323047.896099776</v>
      </c>
      <c r="L86" s="186">
        <v>199434.59</v>
      </c>
      <c r="M86" s="88">
        <f>('Customer Data'!$D110*2+'Customer Data'!$D113)/3</f>
        <v>1238</v>
      </c>
      <c r="N86" s="126">
        <f ca="1">HLOOKUP($B86,CDM!$B$1:$Q$22,13,FALSE)/12</f>
        <v>4017667.9153044019</v>
      </c>
      <c r="O86" s="188">
        <f t="shared" ca="1" si="84"/>
        <v>87340715.811404184</v>
      </c>
      <c r="P86" s="188">
        <f t="shared" si="85"/>
        <v>199434.59</v>
      </c>
      <c r="Q86" s="188">
        <v>170769.77931964921</v>
      </c>
      <c r="R86" s="188">
        <v>342.45</v>
      </c>
      <c r="S86" s="229">
        <v>0</v>
      </c>
      <c r="T86" s="189">
        <f t="shared" ca="1" si="88"/>
        <v>87169946.03208454</v>
      </c>
      <c r="U86" s="156">
        <f t="shared" si="89"/>
        <v>199092.13999999998</v>
      </c>
      <c r="V86" s="186">
        <v>3498617.14</v>
      </c>
      <c r="W86" s="186">
        <v>11145.08</v>
      </c>
      <c r="X86" s="88">
        <f>('Customer Data'!$E110*2+'Customer Data'!$E113)/3</f>
        <v>3</v>
      </c>
      <c r="Y86" s="126">
        <f ca="1">HLOOKUP($B86,CDM!$B$1:$Q$22,14,FALSE)/12</f>
        <v>35316.633247093916</v>
      </c>
      <c r="Z86" s="188">
        <f t="shared" ca="1" si="55"/>
        <v>3533933.7732470939</v>
      </c>
      <c r="AA86" s="186">
        <v>24210836.66</v>
      </c>
      <c r="AB86" s="186">
        <v>42143.57</v>
      </c>
      <c r="AC86" s="88">
        <f>('Customer Data'!$F110*2+'Customer Data'!$F113)/3</f>
        <v>6</v>
      </c>
      <c r="AD86" s="126">
        <f ca="1">HLOOKUP($B86,CDM!$B$1:$Q$22,15,FALSE)/12</f>
        <v>879317.93057340907</v>
      </c>
      <c r="AE86" s="188">
        <f t="shared" ca="1" si="56"/>
        <v>25090154.590573408</v>
      </c>
      <c r="AF86" s="186">
        <v>22790175.669999998</v>
      </c>
      <c r="AG86" s="186">
        <v>39593.82</v>
      </c>
      <c r="AH86" s="88">
        <f>('Customer Data'!$G110*2+'Customer Data'!$G113)/3</f>
        <v>2</v>
      </c>
      <c r="AI86" s="126">
        <f ca="1">HLOOKUP($B86,CDM!$B$1:$Q$22,16,FALSE)/12</f>
        <v>1447916.2720707867</v>
      </c>
      <c r="AJ86" s="188">
        <f t="shared" ca="1" si="57"/>
        <v>24238091.942070786</v>
      </c>
      <c r="AK86" s="188">
        <f t="shared" si="43"/>
        <v>39593.82</v>
      </c>
      <c r="AL86" s="188">
        <v>0</v>
      </c>
      <c r="AM86" s="188">
        <v>0</v>
      </c>
      <c r="AN86" s="156">
        <v>4916755.2015928319</v>
      </c>
      <c r="AO86" s="156">
        <v>7963.2</v>
      </c>
      <c r="AP86" s="156">
        <v>142487.4472961</v>
      </c>
      <c r="AQ86" s="156">
        <f t="shared" ca="1" si="90"/>
        <v>20030911.941684473</v>
      </c>
      <c r="AR86" s="156">
        <f t="shared" si="91"/>
        <v>34180.370000000003</v>
      </c>
      <c r="AS86" s="186">
        <v>3473020.42</v>
      </c>
      <c r="AT86" s="186">
        <v>5772.29</v>
      </c>
      <c r="AU86" s="88">
        <f>('Customer Data'!$H110*2+'Customer Data'!$H113)/3</f>
        <v>1</v>
      </c>
      <c r="AV86" s="126">
        <f ca="1">HLOOKUP($B86,CDM!$B$1:$Q$22,17,FALSE)/12</f>
        <v>4551.1293938503995</v>
      </c>
      <c r="AW86" s="188">
        <f t="shared" ca="1" si="58"/>
        <v>3477571.5493938504</v>
      </c>
      <c r="AX86" s="105">
        <v>1803877.8399999999</v>
      </c>
      <c r="AY86" s="105">
        <v>4078.4900000000002</v>
      </c>
      <c r="AZ86" s="88">
        <f>('Customer Data'!$I110*2+'Customer Data'!$I113)/3</f>
        <v>23467</v>
      </c>
      <c r="BA86" s="126">
        <f ca="1">HLOOKUP($B86,CDM!$B$1:$Q$22,18,FALSE)/12</f>
        <v>586806.438172522</v>
      </c>
      <c r="BB86" s="188">
        <f t="shared" ca="1" si="59"/>
        <v>590884.92817252199</v>
      </c>
      <c r="BC86" s="186">
        <v>71127.2240751629</v>
      </c>
      <c r="BD86" s="186">
        <v>193.65</v>
      </c>
      <c r="BE86" s="188">
        <f>('Customer Data'!$J110*2+'Customer Data'!$J113*1)/3</f>
        <v>611</v>
      </c>
      <c r="BF86" s="105">
        <v>200912</v>
      </c>
      <c r="BG86" s="188">
        <f>('Customer Data'!$K110*2+'Customer Data'!$K113*1)/3</f>
        <v>780</v>
      </c>
      <c r="BH86" s="188">
        <f>Weather!B254</f>
        <v>618.5</v>
      </c>
      <c r="BI86" s="188">
        <f>Weather!$C254</f>
        <v>0</v>
      </c>
      <c r="BJ86" s="166">
        <f>Employment!B110</f>
        <v>6956.6</v>
      </c>
      <c r="BK86" s="188">
        <f>Employment!$C110</f>
        <v>156.19999999999999</v>
      </c>
      <c r="BL86" s="188">
        <f>Employment!D110</f>
        <v>634257.80000000005</v>
      </c>
      <c r="BM86" s="188">
        <f t="shared" si="61"/>
        <v>85</v>
      </c>
      <c r="BN86" s="188">
        <f t="shared" ref="BN86:CA86" si="112">BN74</f>
        <v>1</v>
      </c>
      <c r="BO86" s="188">
        <f t="shared" si="112"/>
        <v>0</v>
      </c>
      <c r="BP86" s="188">
        <f t="shared" si="112"/>
        <v>0</v>
      </c>
      <c r="BQ86" s="188">
        <f t="shared" si="112"/>
        <v>0</v>
      </c>
      <c r="BR86" s="188">
        <f t="shared" si="112"/>
        <v>0</v>
      </c>
      <c r="BS86" s="188">
        <f t="shared" si="112"/>
        <v>0</v>
      </c>
      <c r="BT86" s="188">
        <f t="shared" si="112"/>
        <v>0</v>
      </c>
      <c r="BU86" s="188">
        <f t="shared" si="112"/>
        <v>0</v>
      </c>
      <c r="BV86" s="188">
        <f t="shared" si="112"/>
        <v>0</v>
      </c>
      <c r="BW86" s="188">
        <f t="shared" si="112"/>
        <v>0</v>
      </c>
      <c r="BX86" s="188">
        <f t="shared" si="112"/>
        <v>0</v>
      </c>
      <c r="BY86" s="188">
        <f t="shared" si="112"/>
        <v>0</v>
      </c>
      <c r="BZ86" s="188">
        <f t="shared" si="112"/>
        <v>0</v>
      </c>
      <c r="CA86" s="188">
        <f t="shared" si="112"/>
        <v>0</v>
      </c>
      <c r="CB86" s="188">
        <f t="shared" si="93"/>
        <v>0</v>
      </c>
      <c r="CC86" s="188">
        <f t="shared" si="70"/>
        <v>31</v>
      </c>
      <c r="CD86" s="121">
        <v>20</v>
      </c>
    </row>
    <row r="87" spans="1:82" s="188" customFormat="1" ht="15">
      <c r="A87" s="190">
        <v>42401</v>
      </c>
      <c r="B87" s="191">
        <f t="shared" si="52"/>
        <v>2016</v>
      </c>
      <c r="C87" s="186">
        <v>45123709.813656084</v>
      </c>
      <c r="D87" s="88">
        <f>('Customer Data'!$B110+'Customer Data'!$B113*2)/3</f>
        <v>78585.333333333328</v>
      </c>
      <c r="E87" s="188">
        <f ca="1">HLOOKUP($B87,CDM!$B$1:$Q$22,11,FALSE)/12</f>
        <v>1780417.836361439</v>
      </c>
      <c r="F87" s="189">
        <f t="shared" ca="1" si="53"/>
        <v>46904127.650017522</v>
      </c>
      <c r="G87" s="186">
        <v>16755021.26826798</v>
      </c>
      <c r="H87" s="88">
        <f>('Customer Data'!$C110+'Customer Data'!$C113*2)/3</f>
        <v>7077</v>
      </c>
      <c r="I87" s="188">
        <f ca="1">HLOOKUP($B87,CDM!$B$1:$Q$22,12,FALSE)/12</f>
        <v>1303689.0625943274</v>
      </c>
      <c r="J87" s="188">
        <f t="shared" ca="1" si="54"/>
        <v>18058710.330862306</v>
      </c>
      <c r="K87" s="186">
        <v>79137180.428198636</v>
      </c>
      <c r="L87" s="186">
        <v>198548.42000000004</v>
      </c>
      <c r="M87" s="88">
        <f>('Customer Data'!$D110+'Customer Data'!$D113*2)/3</f>
        <v>1238</v>
      </c>
      <c r="N87" s="126">
        <f ca="1">HLOOKUP($B87,CDM!$B$1:$Q$22,13,FALSE)/12</f>
        <v>4017667.9153044019</v>
      </c>
      <c r="O87" s="188">
        <f t="shared" ca="1" si="84"/>
        <v>83154848.343503043</v>
      </c>
      <c r="P87" s="188">
        <f t="shared" si="85"/>
        <v>198548.42000000004</v>
      </c>
      <c r="Q87" s="188">
        <v>159588.35887057916</v>
      </c>
      <c r="R87" s="188">
        <v>349.29</v>
      </c>
      <c r="S87" s="229">
        <v>0</v>
      </c>
      <c r="T87" s="189">
        <f t="shared" ca="1" si="88"/>
        <v>82995259.984632462</v>
      </c>
      <c r="U87" s="156">
        <f t="shared" si="89"/>
        <v>198199.13000000003</v>
      </c>
      <c r="V87" s="186">
        <v>3460164.25</v>
      </c>
      <c r="W87" s="186">
        <v>10107.6</v>
      </c>
      <c r="X87" s="88">
        <f>('Customer Data'!$E110+'Customer Data'!$E113*2)/3</f>
        <v>3</v>
      </c>
      <c r="Y87" s="126">
        <f ca="1">HLOOKUP($B87,CDM!$B$1:$Q$22,14,FALSE)/12</f>
        <v>35316.633247093916</v>
      </c>
      <c r="Z87" s="188">
        <f t="shared" ca="1" si="55"/>
        <v>3495480.8832470938</v>
      </c>
      <c r="AA87" s="186">
        <v>23517672.399999999</v>
      </c>
      <c r="AB87" s="186">
        <v>43394.619999999995</v>
      </c>
      <c r="AC87" s="88">
        <f>('Customer Data'!$F110+'Customer Data'!$F113*2)/3</f>
        <v>6</v>
      </c>
      <c r="AD87" s="126">
        <f ca="1">HLOOKUP($B87,CDM!$B$1:$Q$22,15,FALSE)/12</f>
        <v>879317.93057340907</v>
      </c>
      <c r="AE87" s="188">
        <f t="shared" ca="1" si="56"/>
        <v>24396990.330573406</v>
      </c>
      <c r="AF87" s="186">
        <v>21331951.949999999</v>
      </c>
      <c r="AG87" s="186">
        <v>38957.629999999997</v>
      </c>
      <c r="AH87" s="88">
        <f>('Customer Data'!$G110+'Customer Data'!$G113*2)/3</f>
        <v>2</v>
      </c>
      <c r="AI87" s="126">
        <f ca="1">HLOOKUP($B87,CDM!$B$1:$Q$22,16,FALSE)/12</f>
        <v>1447916.2720707867</v>
      </c>
      <c r="AJ87" s="188">
        <f t="shared" ca="1" si="57"/>
        <v>22779868.222070787</v>
      </c>
      <c r="AK87" s="188">
        <f t="shared" si="43"/>
        <v>38957.629999999997</v>
      </c>
      <c r="AL87" s="188">
        <v>0</v>
      </c>
      <c r="AM87" s="188">
        <v>0</v>
      </c>
      <c r="AN87" s="156">
        <v>4827964.7984071672</v>
      </c>
      <c r="AO87" s="156">
        <v>7935.36</v>
      </c>
      <c r="AP87" s="156">
        <v>142487.4472961</v>
      </c>
      <c r="AQ87" s="156">
        <f t="shared" ca="1" si="90"/>
        <v>19426538.084870137</v>
      </c>
      <c r="AR87" s="156">
        <f t="shared" si="91"/>
        <v>35459.259999999995</v>
      </c>
      <c r="AS87" s="186">
        <v>3784978.94</v>
      </c>
      <c r="AT87" s="186">
        <v>6050.3</v>
      </c>
      <c r="AU87" s="88">
        <f>('Customer Data'!$H110+'Customer Data'!$H113*2)/3</f>
        <v>1</v>
      </c>
      <c r="AV87" s="126">
        <f ca="1">HLOOKUP($B87,CDM!$B$1:$Q$22,17,FALSE)/12</f>
        <v>4551.1293938503995</v>
      </c>
      <c r="AW87" s="188">
        <f t="shared" ca="1" si="58"/>
        <v>3789530.0693938504</v>
      </c>
      <c r="AX87" s="105">
        <v>1535098.25</v>
      </c>
      <c r="AY87" s="105">
        <v>4078.4900000000002</v>
      </c>
      <c r="AZ87" s="88">
        <f>('Customer Data'!$I110+'Customer Data'!$I113*2)/3</f>
        <v>23467</v>
      </c>
      <c r="BA87" s="126">
        <f ca="1">HLOOKUP($B87,CDM!$B$1:$Q$22,18,FALSE)/12</f>
        <v>586806.438172522</v>
      </c>
      <c r="BB87" s="188">
        <f t="shared" ca="1" si="59"/>
        <v>590884.92817252199</v>
      </c>
      <c r="BC87" s="186">
        <v>71563.060699984097</v>
      </c>
      <c r="BD87" s="186">
        <v>199.49</v>
      </c>
      <c r="BE87" s="188">
        <f>('Customer Data'!$J110*1+'Customer Data'!$J113*2)/3</f>
        <v>611</v>
      </c>
      <c r="BF87" s="105">
        <v>200912</v>
      </c>
      <c r="BG87" s="188">
        <f>('Customer Data'!$K110*1+'Customer Data'!$K113*2)/3</f>
        <v>780</v>
      </c>
      <c r="BH87" s="188">
        <f>Weather!B255</f>
        <v>510.5</v>
      </c>
      <c r="BI87" s="188">
        <f>Weather!$C255</f>
        <v>0</v>
      </c>
      <c r="BJ87" s="166">
        <f>Employment!B111</f>
        <v>6968.5</v>
      </c>
      <c r="BK87" s="188">
        <f>Employment!$C111</f>
        <v>158.5</v>
      </c>
      <c r="BL87" s="188">
        <f>Employment!D111</f>
        <v>634257.80000000005</v>
      </c>
      <c r="BM87" s="188">
        <f t="shared" si="61"/>
        <v>86</v>
      </c>
      <c r="BN87" s="188">
        <f t="shared" ref="BN87:CA87" si="113">BN75</f>
        <v>0</v>
      </c>
      <c r="BO87" s="188">
        <f t="shared" si="113"/>
        <v>1</v>
      </c>
      <c r="BP87" s="188">
        <f t="shared" si="113"/>
        <v>0</v>
      </c>
      <c r="BQ87" s="188">
        <f t="shared" si="113"/>
        <v>0</v>
      </c>
      <c r="BR87" s="188">
        <f t="shared" si="113"/>
        <v>0</v>
      </c>
      <c r="BS87" s="188">
        <f t="shared" si="113"/>
        <v>0</v>
      </c>
      <c r="BT87" s="188">
        <f t="shared" si="113"/>
        <v>0</v>
      </c>
      <c r="BU87" s="188">
        <f t="shared" si="113"/>
        <v>0</v>
      </c>
      <c r="BV87" s="188">
        <f t="shared" si="113"/>
        <v>0</v>
      </c>
      <c r="BW87" s="188">
        <f t="shared" si="113"/>
        <v>0</v>
      </c>
      <c r="BX87" s="188">
        <f t="shared" si="113"/>
        <v>0</v>
      </c>
      <c r="BY87" s="188">
        <f t="shared" si="113"/>
        <v>0</v>
      </c>
      <c r="BZ87" s="188">
        <f t="shared" si="113"/>
        <v>0</v>
      </c>
      <c r="CA87" s="188">
        <f t="shared" si="113"/>
        <v>0</v>
      </c>
      <c r="CB87" s="188">
        <f t="shared" si="93"/>
        <v>0</v>
      </c>
      <c r="CC87" s="188">
        <f t="shared" si="70"/>
        <v>29</v>
      </c>
      <c r="CD87" s="121">
        <v>20</v>
      </c>
    </row>
    <row r="88" spans="1:82" s="188" customFormat="1" ht="15">
      <c r="A88" s="190">
        <v>42430</v>
      </c>
      <c r="B88" s="191">
        <f t="shared" si="52"/>
        <v>2016</v>
      </c>
      <c r="C88" s="186">
        <v>43394755.250901543</v>
      </c>
      <c r="D88" s="88">
        <f>'Customer Data'!$B113</f>
        <v>78618</v>
      </c>
      <c r="E88" s="188">
        <f ca="1">HLOOKUP($B88,CDM!$B$1:$Q$22,11,FALSE)/12</f>
        <v>1780417.836361439</v>
      </c>
      <c r="F88" s="189">
        <f t="shared" ca="1" si="53"/>
        <v>45175173.087262981</v>
      </c>
      <c r="G88" s="186">
        <v>16622996.558746058</v>
      </c>
      <c r="H88" s="88">
        <f>'Customer Data'!$C113</f>
        <v>7081</v>
      </c>
      <c r="I88" s="188">
        <f ca="1">HLOOKUP($B88,CDM!$B$1:$Q$22,12,FALSE)/12</f>
        <v>1303689.0625943274</v>
      </c>
      <c r="J88" s="188">
        <f t="shared" ca="1" si="54"/>
        <v>17926685.621340387</v>
      </c>
      <c r="K88" s="186">
        <v>78602546.100182921</v>
      </c>
      <c r="L88" s="186">
        <v>200673.46</v>
      </c>
      <c r="M88" s="88">
        <f>'Customer Data'!$D113</f>
        <v>1238</v>
      </c>
      <c r="N88" s="126">
        <f ca="1">HLOOKUP($B88,CDM!$B$1:$Q$22,13,FALSE)/12</f>
        <v>4017667.9153044019</v>
      </c>
      <c r="O88" s="188">
        <f t="shared" ca="1" si="84"/>
        <v>82620214.015487328</v>
      </c>
      <c r="P88" s="188">
        <f t="shared" si="85"/>
        <v>200673.46</v>
      </c>
      <c r="Q88" s="188">
        <v>172157.39616459477</v>
      </c>
      <c r="R88" s="188">
        <v>355.95</v>
      </c>
      <c r="S88" s="229">
        <v>0</v>
      </c>
      <c r="T88" s="189">
        <f t="shared" ca="1" si="88"/>
        <v>82448056.619322732</v>
      </c>
      <c r="U88" s="156">
        <f t="shared" si="89"/>
        <v>200317.50999999998</v>
      </c>
      <c r="V88" s="186">
        <v>3600765.9299999997</v>
      </c>
      <c r="W88" s="186">
        <v>10602.05</v>
      </c>
      <c r="X88" s="88">
        <f>'Customer Data'!$E113</f>
        <v>3</v>
      </c>
      <c r="Y88" s="126">
        <f ca="1">HLOOKUP($B88,CDM!$B$1:$Q$22,14,FALSE)/12</f>
        <v>35316.633247093916</v>
      </c>
      <c r="Z88" s="188">
        <f t="shared" ca="1" si="55"/>
        <v>3636082.5632470935</v>
      </c>
      <c r="AA88" s="186">
        <v>26270027.870000001</v>
      </c>
      <c r="AB88" s="186">
        <v>45443.09</v>
      </c>
      <c r="AC88" s="88">
        <f>'Customer Data'!$F113</f>
        <v>6</v>
      </c>
      <c r="AD88" s="126">
        <f ca="1">HLOOKUP($B88,CDM!$B$1:$Q$22,15,FALSE)/12</f>
        <v>879317.93057340907</v>
      </c>
      <c r="AE88" s="188">
        <f t="shared" ca="1" si="56"/>
        <v>27149345.800573409</v>
      </c>
      <c r="AF88" s="186">
        <v>21982155.379999999</v>
      </c>
      <c r="AG88" s="186">
        <v>39012.17</v>
      </c>
      <c r="AH88" s="88">
        <f>'Customer Data'!$G113</f>
        <v>2</v>
      </c>
      <c r="AI88" s="126">
        <f ca="1">HLOOKUP($B88,CDM!$B$1:$Q$22,16,FALSE)/12</f>
        <v>1447916.2720707867</v>
      </c>
      <c r="AJ88" s="188">
        <f t="shared" ca="1" si="57"/>
        <v>23430071.652070787</v>
      </c>
      <c r="AK88" s="188">
        <f t="shared" si="43"/>
        <v>39012.17</v>
      </c>
      <c r="AL88" s="188">
        <v>0</v>
      </c>
      <c r="AM88" s="188">
        <v>0</v>
      </c>
      <c r="AN88" s="156">
        <v>5056623.3648581384</v>
      </c>
      <c r="AO88" s="156">
        <v>8217.6</v>
      </c>
      <c r="AP88" s="156">
        <v>142487.4472961</v>
      </c>
      <c r="AQ88" s="156">
        <f t="shared" ca="1" si="90"/>
        <v>21950234.988419168</v>
      </c>
      <c r="AR88" s="156">
        <f t="shared" si="91"/>
        <v>37225.49</v>
      </c>
      <c r="AS88" s="186">
        <v>3711128.06</v>
      </c>
      <c r="AT88" s="186">
        <v>5956.99</v>
      </c>
      <c r="AU88" s="88">
        <f>'Customer Data'!$H113</f>
        <v>1</v>
      </c>
      <c r="AV88" s="126">
        <f ca="1">HLOOKUP($B88,CDM!$B$1:$Q$22,17,FALSE)/12</f>
        <v>4551.1293938503995</v>
      </c>
      <c r="AW88" s="188">
        <f t="shared" ca="1" si="58"/>
        <v>3715679.1893938505</v>
      </c>
      <c r="AX88" s="105">
        <v>1468048.21</v>
      </c>
      <c r="AY88" s="105">
        <v>3988.26</v>
      </c>
      <c r="AZ88" s="88">
        <f>'Customer Data'!$I113</f>
        <v>23467</v>
      </c>
      <c r="BA88" s="126">
        <f ca="1">HLOOKUP($B88,CDM!$B$1:$Q$22,18,FALSE)/12</f>
        <v>586806.438172522</v>
      </c>
      <c r="BB88" s="188">
        <f t="shared" ca="1" si="59"/>
        <v>590794.69817252201</v>
      </c>
      <c r="BC88" s="186">
        <v>72613.559905956106</v>
      </c>
      <c r="BD88" s="186">
        <v>199.8</v>
      </c>
      <c r="BE88" s="188">
        <f>'Customer Data'!$J113</f>
        <v>611</v>
      </c>
      <c r="BF88" s="105">
        <v>200912</v>
      </c>
      <c r="BG88" s="188">
        <f>'Customer Data'!$K113</f>
        <v>780</v>
      </c>
      <c r="BH88" s="188">
        <f>Weather!B256</f>
        <v>350.9</v>
      </c>
      <c r="BI88" s="188">
        <f>Weather!$C256</f>
        <v>0</v>
      </c>
      <c r="BJ88" s="166">
        <f>Employment!B112</f>
        <v>6975.7</v>
      </c>
      <c r="BK88" s="188">
        <f>Employment!$C112</f>
        <v>161</v>
      </c>
      <c r="BL88" s="188">
        <f>Employment!D112</f>
        <v>634257.80000000005</v>
      </c>
      <c r="BM88" s="188">
        <f t="shared" si="61"/>
        <v>87</v>
      </c>
      <c r="BN88" s="188">
        <f t="shared" ref="BN88:CA88" si="114">BN76</f>
        <v>0</v>
      </c>
      <c r="BO88" s="188">
        <f t="shared" si="114"/>
        <v>0</v>
      </c>
      <c r="BP88" s="188">
        <f t="shared" si="114"/>
        <v>1</v>
      </c>
      <c r="BQ88" s="188">
        <f t="shared" si="114"/>
        <v>0</v>
      </c>
      <c r="BR88" s="188">
        <f t="shared" si="114"/>
        <v>0</v>
      </c>
      <c r="BS88" s="188">
        <f t="shared" si="114"/>
        <v>0</v>
      </c>
      <c r="BT88" s="188">
        <f t="shared" si="114"/>
        <v>0</v>
      </c>
      <c r="BU88" s="188">
        <f t="shared" si="114"/>
        <v>0</v>
      </c>
      <c r="BV88" s="188">
        <f t="shared" si="114"/>
        <v>0</v>
      </c>
      <c r="BW88" s="188">
        <f t="shared" si="114"/>
        <v>0</v>
      </c>
      <c r="BX88" s="188">
        <f t="shared" si="114"/>
        <v>0</v>
      </c>
      <c r="BY88" s="188">
        <f t="shared" si="114"/>
        <v>0</v>
      </c>
      <c r="BZ88" s="188">
        <f t="shared" si="114"/>
        <v>1</v>
      </c>
      <c r="CA88" s="188">
        <f t="shared" si="114"/>
        <v>0</v>
      </c>
      <c r="CB88" s="188">
        <f t="shared" si="93"/>
        <v>1</v>
      </c>
      <c r="CC88" s="188">
        <f t="shared" si="70"/>
        <v>31</v>
      </c>
      <c r="CD88" s="121">
        <v>21</v>
      </c>
    </row>
    <row r="89" spans="1:82" s="188" customFormat="1" ht="15">
      <c r="A89" s="190">
        <v>42461</v>
      </c>
      <c r="B89" s="191">
        <f t="shared" si="52"/>
        <v>2016</v>
      </c>
      <c r="C89" s="186">
        <v>38284835.774633005</v>
      </c>
      <c r="D89" s="88">
        <f>('Customer Data'!$B113*2+'Customer Data'!$B116)/3</f>
        <v>78653.666666666672</v>
      </c>
      <c r="E89" s="188">
        <f ca="1">HLOOKUP($B89,CDM!$B$1:$Q$22,11,FALSE)/12</f>
        <v>1780417.836361439</v>
      </c>
      <c r="F89" s="189">
        <f t="shared" ca="1" si="53"/>
        <v>40065253.610994443</v>
      </c>
      <c r="G89" s="186">
        <v>15223479.577372164</v>
      </c>
      <c r="H89" s="88">
        <f>('Customer Data'!$C113*2+'Customer Data'!$C116)/3</f>
        <v>7080.666666666667</v>
      </c>
      <c r="I89" s="188">
        <f ca="1">HLOOKUP($B89,CDM!$B$1:$Q$22,12,FALSE)/12</f>
        <v>1303689.0625943274</v>
      </c>
      <c r="J89" s="188">
        <f t="shared" ca="1" si="54"/>
        <v>16527168.639966492</v>
      </c>
      <c r="K89" s="186">
        <v>72951826.572730228</v>
      </c>
      <c r="L89" s="186">
        <v>191002.57999999996</v>
      </c>
      <c r="M89" s="88">
        <f>('Customer Data'!$D113*2+'Customer Data'!$D116)/3</f>
        <v>1240.6666666666667</v>
      </c>
      <c r="N89" s="126">
        <f ca="1">HLOOKUP($B89,CDM!$B$1:$Q$22,13,FALSE)/12</f>
        <v>4017667.9153044019</v>
      </c>
      <c r="O89" s="188">
        <f t="shared" ca="1" si="84"/>
        <v>76969494.488034636</v>
      </c>
      <c r="P89" s="188">
        <f t="shared" si="85"/>
        <v>191002.57999999996</v>
      </c>
      <c r="Q89" s="188">
        <v>189937.89149079693</v>
      </c>
      <c r="R89" s="188">
        <v>444.6</v>
      </c>
      <c r="S89" s="229">
        <v>0</v>
      </c>
      <c r="T89" s="189">
        <f t="shared" ca="1" si="88"/>
        <v>76779556.596543834</v>
      </c>
      <c r="U89" s="156">
        <f t="shared" si="89"/>
        <v>190557.97999999995</v>
      </c>
      <c r="V89" s="186">
        <v>3394972.1100000003</v>
      </c>
      <c r="W89" s="186">
        <v>10205.969999999999</v>
      </c>
      <c r="X89" s="88">
        <f>('Customer Data'!$E113*2+'Customer Data'!$E116)/3</f>
        <v>3</v>
      </c>
      <c r="Y89" s="126">
        <f ca="1">HLOOKUP($B89,CDM!$B$1:$Q$22,14,FALSE)/12</f>
        <v>35316.633247093916</v>
      </c>
      <c r="Z89" s="188">
        <f t="shared" ca="1" si="55"/>
        <v>3430288.7432470941</v>
      </c>
      <c r="AA89" s="186">
        <v>26768187.199999999</v>
      </c>
      <c r="AB89" s="186">
        <v>46133.7</v>
      </c>
      <c r="AC89" s="88">
        <f>('Customer Data'!$F113*2+'Customer Data'!$F116)/3</f>
        <v>6</v>
      </c>
      <c r="AD89" s="126">
        <f ca="1">HLOOKUP($B89,CDM!$B$1:$Q$22,15,FALSE)/12</f>
        <v>879317.93057340907</v>
      </c>
      <c r="AE89" s="188">
        <f t="shared" ca="1" si="56"/>
        <v>27647505.130573407</v>
      </c>
      <c r="AF89" s="186">
        <v>20344078.399999999</v>
      </c>
      <c r="AG89" s="186">
        <v>39285.89</v>
      </c>
      <c r="AH89" s="88">
        <f>('Customer Data'!$G113*2+'Customer Data'!$G116)/3</f>
        <v>2</v>
      </c>
      <c r="AI89" s="126">
        <f ca="1">HLOOKUP($B89,CDM!$B$1:$Q$22,16,FALSE)/12</f>
        <v>1447916.2720707867</v>
      </c>
      <c r="AJ89" s="188">
        <f t="shared" ca="1" si="57"/>
        <v>21791994.672070786</v>
      </c>
      <c r="AK89" s="188">
        <f t="shared" si="43"/>
        <v>39285.89</v>
      </c>
      <c r="AL89" s="188">
        <v>0</v>
      </c>
      <c r="AM89" s="188">
        <v>0</v>
      </c>
      <c r="AN89" s="156">
        <v>4988471.0403185673</v>
      </c>
      <c r="AO89" s="156">
        <v>8166.72</v>
      </c>
      <c r="AP89" s="156">
        <v>142487.4472961</v>
      </c>
      <c r="AQ89" s="156">
        <f t="shared" ca="1" si="90"/>
        <v>22516546.642958738</v>
      </c>
      <c r="AR89" s="156">
        <f t="shared" si="91"/>
        <v>37966.979999999996</v>
      </c>
      <c r="AS89" s="186">
        <v>3624973.82</v>
      </c>
      <c r="AT89" s="186">
        <v>5660.54</v>
      </c>
      <c r="AU89" s="88">
        <f>('Customer Data'!$H113*2+'Customer Data'!$H116)/3</f>
        <v>1</v>
      </c>
      <c r="AV89" s="126">
        <f ca="1">HLOOKUP($B89,CDM!$B$1:$Q$22,17,FALSE)/12</f>
        <v>4551.1293938503995</v>
      </c>
      <c r="AW89" s="188">
        <f t="shared" ca="1" si="58"/>
        <v>3629524.9493938503</v>
      </c>
      <c r="AX89" s="105">
        <v>1238760.25</v>
      </c>
      <c r="AY89" s="105">
        <v>3988.26</v>
      </c>
      <c r="AZ89" s="88">
        <f>('Customer Data'!$I113*2+'Customer Data'!$I116)/3</f>
        <v>23472.666666666668</v>
      </c>
      <c r="BA89" s="126">
        <f ca="1">HLOOKUP($B89,CDM!$B$1:$Q$22,18,FALSE)/12</f>
        <v>586806.438172522</v>
      </c>
      <c r="BB89" s="188">
        <f t="shared" ca="1" si="59"/>
        <v>590794.69817252201</v>
      </c>
      <c r="BC89" s="186">
        <v>70695.024750606695</v>
      </c>
      <c r="BD89" s="186">
        <v>194.48</v>
      </c>
      <c r="BE89" s="188">
        <f>('Customer Data'!$J113*2+'Customer Data'!$J116*1)/3</f>
        <v>608.33333333333337</v>
      </c>
      <c r="BF89" s="105">
        <v>201075</v>
      </c>
      <c r="BG89" s="188">
        <f>('Customer Data'!$K113*2+'Customer Data'!$K116*1)/3</f>
        <v>780.33333333333337</v>
      </c>
      <c r="BH89" s="188">
        <f>Weather!B257</f>
        <v>315.20000000000005</v>
      </c>
      <c r="BI89" s="188">
        <f>Weather!$C257</f>
        <v>0</v>
      </c>
      <c r="BJ89" s="166">
        <f>Employment!B113</f>
        <v>6979.7</v>
      </c>
      <c r="BK89" s="188">
        <f>Employment!$C113</f>
        <v>163.1</v>
      </c>
      <c r="BL89" s="188">
        <f>Employment!D113</f>
        <v>634257.80000000005</v>
      </c>
      <c r="BM89" s="188">
        <f t="shared" si="61"/>
        <v>88</v>
      </c>
      <c r="BN89" s="188">
        <f t="shared" ref="BN89:CA89" si="115">BN77</f>
        <v>0</v>
      </c>
      <c r="BO89" s="188">
        <f t="shared" si="115"/>
        <v>0</v>
      </c>
      <c r="BP89" s="188">
        <f t="shared" si="115"/>
        <v>0</v>
      </c>
      <c r="BQ89" s="188">
        <f t="shared" si="115"/>
        <v>1</v>
      </c>
      <c r="BR89" s="188">
        <f t="shared" si="115"/>
        <v>0</v>
      </c>
      <c r="BS89" s="188">
        <f t="shared" si="115"/>
        <v>0</v>
      </c>
      <c r="BT89" s="188">
        <f t="shared" si="115"/>
        <v>0</v>
      </c>
      <c r="BU89" s="188">
        <f t="shared" si="115"/>
        <v>0</v>
      </c>
      <c r="BV89" s="188">
        <f t="shared" si="115"/>
        <v>0</v>
      </c>
      <c r="BW89" s="188">
        <f t="shared" si="115"/>
        <v>0</v>
      </c>
      <c r="BX89" s="188">
        <f t="shared" si="115"/>
        <v>0</v>
      </c>
      <c r="BY89" s="188">
        <f t="shared" si="115"/>
        <v>0</v>
      </c>
      <c r="BZ89" s="188">
        <f t="shared" si="115"/>
        <v>1</v>
      </c>
      <c r="CA89" s="188">
        <f t="shared" si="115"/>
        <v>0</v>
      </c>
      <c r="CB89" s="188">
        <f t="shared" si="93"/>
        <v>1</v>
      </c>
      <c r="CC89" s="188">
        <f t="shared" si="70"/>
        <v>30</v>
      </c>
      <c r="CD89" s="121">
        <v>21</v>
      </c>
    </row>
    <row r="90" spans="1:82" s="188" customFormat="1" ht="15">
      <c r="A90" s="190">
        <v>42491</v>
      </c>
      <c r="B90" s="191">
        <f t="shared" si="52"/>
        <v>2016</v>
      </c>
      <c r="C90" s="186">
        <v>43841312.724179797</v>
      </c>
      <c r="D90" s="88">
        <f>('Customer Data'!$B113+'Customer Data'!$B116*2)/3</f>
        <v>78689.333333333328</v>
      </c>
      <c r="E90" s="188">
        <f ca="1">HLOOKUP($B90,CDM!$B$1:$Q$22,11,FALSE)/12</f>
        <v>1780417.836361439</v>
      </c>
      <c r="F90" s="189">
        <f t="shared" ca="1" si="53"/>
        <v>45621730.560541235</v>
      </c>
      <c r="G90" s="186">
        <v>16273034.596108267</v>
      </c>
      <c r="H90" s="88">
        <f>('Customer Data'!$C113+'Customer Data'!$C116*2)/3</f>
        <v>7080.333333333333</v>
      </c>
      <c r="I90" s="188">
        <f ca="1">HLOOKUP($B90,CDM!$B$1:$Q$22,12,FALSE)/12</f>
        <v>1303689.0625943274</v>
      </c>
      <c r="J90" s="188">
        <f t="shared" ca="1" si="54"/>
        <v>17576723.658702593</v>
      </c>
      <c r="K90" s="186">
        <v>75867769.165687367</v>
      </c>
      <c r="L90" s="186">
        <v>205297.47999999998</v>
      </c>
      <c r="M90" s="88">
        <f>('Customer Data'!$D113+'Customer Data'!$D116*2)/3</f>
        <v>1243.3333333333333</v>
      </c>
      <c r="N90" s="126">
        <f ca="1">HLOOKUP($B90,CDM!$B$1:$Q$22,13,FALSE)/12</f>
        <v>4017667.9153044019</v>
      </c>
      <c r="O90" s="188">
        <f t="shared" ca="1" si="84"/>
        <v>79885437.080991775</v>
      </c>
      <c r="P90" s="188">
        <f t="shared" si="85"/>
        <v>205297.47999999998</v>
      </c>
      <c r="Q90" s="188">
        <v>198747.72092126819</v>
      </c>
      <c r="R90" s="188">
        <v>417.96</v>
      </c>
      <c r="S90" s="229">
        <v>0</v>
      </c>
      <c r="T90" s="189">
        <f t="shared" ca="1" si="88"/>
        <v>79686689.360070512</v>
      </c>
      <c r="U90" s="156">
        <f t="shared" si="89"/>
        <v>204879.52</v>
      </c>
      <c r="V90" s="186">
        <v>3747930.69</v>
      </c>
      <c r="W90" s="186">
        <v>11522.41</v>
      </c>
      <c r="X90" s="88">
        <f>('Customer Data'!$E113+'Customer Data'!$E116*2)/3</f>
        <v>3</v>
      </c>
      <c r="Y90" s="126">
        <f ca="1">HLOOKUP($B90,CDM!$B$1:$Q$22,14,FALSE)/12</f>
        <v>35316.633247093916</v>
      </c>
      <c r="Z90" s="188">
        <f t="shared" ca="1" si="55"/>
        <v>3783247.3232470937</v>
      </c>
      <c r="AA90" s="186">
        <v>27691596.420000002</v>
      </c>
      <c r="AB90" s="186">
        <v>51868.15</v>
      </c>
      <c r="AC90" s="88">
        <f>('Customer Data'!$F113+'Customer Data'!$F116*2)/3</f>
        <v>6</v>
      </c>
      <c r="AD90" s="126">
        <f ca="1">HLOOKUP($B90,CDM!$B$1:$Q$22,15,FALSE)/12</f>
        <v>879317.93057340907</v>
      </c>
      <c r="AE90" s="188">
        <f t="shared" ca="1" si="56"/>
        <v>28570914.350573409</v>
      </c>
      <c r="AF90" s="186">
        <v>21324758.23</v>
      </c>
      <c r="AG90" s="186">
        <v>44057.65</v>
      </c>
      <c r="AH90" s="88">
        <f>('Customer Data'!$G113+'Customer Data'!$G116*2)/3</f>
        <v>2</v>
      </c>
      <c r="AI90" s="126">
        <f ca="1">HLOOKUP($B90,CDM!$B$1:$Q$22,16,FALSE)/12</f>
        <v>1447916.2720707867</v>
      </c>
      <c r="AJ90" s="188">
        <f t="shared" ca="1" si="57"/>
        <v>22772674.502070788</v>
      </c>
      <c r="AK90" s="188">
        <f t="shared" si="43"/>
        <v>44057.65</v>
      </c>
      <c r="AL90" s="188">
        <v>0</v>
      </c>
      <c r="AM90" s="188">
        <v>0</v>
      </c>
      <c r="AN90" s="156">
        <v>4936547.5161772035</v>
      </c>
      <c r="AO90" s="156">
        <v>8034.24</v>
      </c>
      <c r="AP90" s="156">
        <v>142487.4472961</v>
      </c>
      <c r="AQ90" s="156">
        <f t="shared" ca="1" si="90"/>
        <v>23491879.387100104</v>
      </c>
      <c r="AR90" s="156">
        <f t="shared" si="91"/>
        <v>43833.91</v>
      </c>
      <c r="AS90" s="186">
        <v>3715047.17</v>
      </c>
      <c r="AT90" s="186">
        <v>6434.69</v>
      </c>
      <c r="AU90" s="88">
        <f>('Customer Data'!$H113+'Customer Data'!$H116*2)/3</f>
        <v>1</v>
      </c>
      <c r="AV90" s="126">
        <f ca="1">HLOOKUP($B90,CDM!$B$1:$Q$22,17,FALSE)/12</f>
        <v>4551.1293938503995</v>
      </c>
      <c r="AW90" s="188">
        <f t="shared" ca="1" si="58"/>
        <v>3719598.2993938504</v>
      </c>
      <c r="AX90" s="105">
        <v>1079801.32</v>
      </c>
      <c r="AY90" s="105">
        <v>3984.12</v>
      </c>
      <c r="AZ90" s="88">
        <f>('Customer Data'!$I113+'Customer Data'!$I116*2)/3</f>
        <v>23478.333333333332</v>
      </c>
      <c r="BA90" s="126">
        <f ca="1">HLOOKUP($B90,CDM!$B$1:$Q$22,18,FALSE)/12</f>
        <v>586806.438172522</v>
      </c>
      <c r="BB90" s="188">
        <f t="shared" ca="1" si="59"/>
        <v>590790.558172522</v>
      </c>
      <c r="BC90" s="186">
        <v>73459.805489432707</v>
      </c>
      <c r="BD90" s="186">
        <v>206.12</v>
      </c>
      <c r="BE90" s="188">
        <f>('Customer Data'!$J113*1+'Customer Data'!$J116*2)/3</f>
        <v>605.66666666666663</v>
      </c>
      <c r="BF90" s="105">
        <v>201075</v>
      </c>
      <c r="BG90" s="188">
        <f>('Customer Data'!$K113*1+'Customer Data'!$K116*2)/3</f>
        <v>780.66666666666663</v>
      </c>
      <c r="BH90" s="188">
        <f>Weather!B258</f>
        <v>110.9</v>
      </c>
      <c r="BI90" s="188">
        <f>Weather!$C258</f>
        <v>47</v>
      </c>
      <c r="BJ90" s="166">
        <f>Employment!B114</f>
        <v>6990.5</v>
      </c>
      <c r="BK90" s="188">
        <f>Employment!$C114</f>
        <v>164.8</v>
      </c>
      <c r="BL90" s="188">
        <f>Employment!D114</f>
        <v>634257.80000000005</v>
      </c>
      <c r="BM90" s="188">
        <f t="shared" si="61"/>
        <v>89</v>
      </c>
      <c r="BN90" s="188">
        <f t="shared" ref="BN90:CA90" si="116">BN78</f>
        <v>0</v>
      </c>
      <c r="BO90" s="188">
        <f t="shared" si="116"/>
        <v>0</v>
      </c>
      <c r="BP90" s="188">
        <f t="shared" si="116"/>
        <v>0</v>
      </c>
      <c r="BQ90" s="188">
        <f t="shared" si="116"/>
        <v>0</v>
      </c>
      <c r="BR90" s="188">
        <f t="shared" si="116"/>
        <v>1</v>
      </c>
      <c r="BS90" s="188">
        <f t="shared" si="116"/>
        <v>0</v>
      </c>
      <c r="BT90" s="188">
        <f t="shared" si="116"/>
        <v>0</v>
      </c>
      <c r="BU90" s="188">
        <f t="shared" si="116"/>
        <v>0</v>
      </c>
      <c r="BV90" s="188">
        <f t="shared" si="116"/>
        <v>0</v>
      </c>
      <c r="BW90" s="188">
        <f t="shared" si="116"/>
        <v>0</v>
      </c>
      <c r="BX90" s="188">
        <f t="shared" si="116"/>
        <v>0</v>
      </c>
      <c r="BY90" s="188">
        <f t="shared" si="116"/>
        <v>0</v>
      </c>
      <c r="BZ90" s="188">
        <f t="shared" si="116"/>
        <v>1</v>
      </c>
      <c r="CA90" s="188">
        <f t="shared" si="116"/>
        <v>0</v>
      </c>
      <c r="CB90" s="188">
        <f t="shared" si="93"/>
        <v>1</v>
      </c>
      <c r="CC90" s="188">
        <f t="shared" si="70"/>
        <v>31</v>
      </c>
      <c r="CD90" s="121">
        <v>21</v>
      </c>
    </row>
    <row r="91" spans="1:82" s="188" customFormat="1" ht="15">
      <c r="A91" s="190">
        <v>42522</v>
      </c>
      <c r="B91" s="191">
        <f t="shared" si="52"/>
        <v>2016</v>
      </c>
      <c r="C91" s="186">
        <v>60438996.607843004</v>
      </c>
      <c r="D91" s="88">
        <f>'Customer Data'!$B116</f>
        <v>78725</v>
      </c>
      <c r="E91" s="188">
        <f ca="1">HLOOKUP($B91,CDM!$B$1:$Q$22,11,FALSE)/12</f>
        <v>1780417.836361439</v>
      </c>
      <c r="F91" s="189">
        <f t="shared" ca="1" si="53"/>
        <v>62219414.444204442</v>
      </c>
      <c r="G91" s="186">
        <v>18229216.166915037</v>
      </c>
      <c r="H91" s="88">
        <f>'Customer Data'!$C116</f>
        <v>7080</v>
      </c>
      <c r="I91" s="188">
        <f ca="1">HLOOKUP($B91,CDM!$B$1:$Q$22,12,FALSE)/12</f>
        <v>1303689.0625943274</v>
      </c>
      <c r="J91" s="188">
        <f t="shared" ca="1" si="54"/>
        <v>19532905.229509365</v>
      </c>
      <c r="K91" s="186">
        <v>80090896.065680698</v>
      </c>
      <c r="L91" s="186">
        <v>207576.98</v>
      </c>
      <c r="M91" s="88">
        <f>'Customer Data'!$D116</f>
        <v>1246</v>
      </c>
      <c r="N91" s="126">
        <f ca="1">HLOOKUP($B91,CDM!$B$1:$Q$22,13,FALSE)/12</f>
        <v>4017667.9153044019</v>
      </c>
      <c r="O91" s="188">
        <f t="shared" ca="1" si="84"/>
        <v>84108563.980985105</v>
      </c>
      <c r="P91" s="188">
        <f t="shared" si="85"/>
        <v>207576.98</v>
      </c>
      <c r="Q91" s="188">
        <v>235888.47451093764</v>
      </c>
      <c r="R91" s="188">
        <v>564.48</v>
      </c>
      <c r="S91" s="229">
        <v>0</v>
      </c>
      <c r="T91" s="189">
        <f t="shared" ca="1" si="88"/>
        <v>83872675.506474167</v>
      </c>
      <c r="U91" s="156">
        <f t="shared" si="89"/>
        <v>207012.5</v>
      </c>
      <c r="V91" s="186">
        <v>4033272.8400000003</v>
      </c>
      <c r="W91" s="186">
        <v>11203.82</v>
      </c>
      <c r="X91" s="88">
        <f>'Customer Data'!$E116</f>
        <v>3</v>
      </c>
      <c r="Y91" s="126">
        <f ca="1">HLOOKUP($B91,CDM!$B$1:$Q$22,14,FALSE)/12</f>
        <v>35316.633247093916</v>
      </c>
      <c r="Z91" s="188">
        <f t="shared" ca="1" si="55"/>
        <v>4068589.4732470941</v>
      </c>
      <c r="AA91" s="186">
        <v>28435089.25</v>
      </c>
      <c r="AB91" s="186">
        <v>51415.4</v>
      </c>
      <c r="AC91" s="88">
        <f>'Customer Data'!$F116</f>
        <v>6</v>
      </c>
      <c r="AD91" s="126">
        <f ca="1">HLOOKUP($B91,CDM!$B$1:$Q$22,15,FALSE)/12</f>
        <v>879317.93057340907</v>
      </c>
      <c r="AE91" s="188">
        <f t="shared" ca="1" si="56"/>
        <v>29314407.180573408</v>
      </c>
      <c r="AF91" s="186">
        <v>24954361.389999997</v>
      </c>
      <c r="AG91" s="186">
        <v>46890.14</v>
      </c>
      <c r="AH91" s="88">
        <f>'Customer Data'!$G116</f>
        <v>2</v>
      </c>
      <c r="AI91" s="126">
        <f ca="1">HLOOKUP($B91,CDM!$B$1:$Q$22,16,FALSE)/12</f>
        <v>1447916.2720707867</v>
      </c>
      <c r="AJ91" s="188">
        <f t="shared" ca="1" si="57"/>
        <v>26402277.662070785</v>
      </c>
      <c r="AK91" s="188">
        <f t="shared" si="43"/>
        <v>46890.14</v>
      </c>
      <c r="AL91" s="188">
        <v>0</v>
      </c>
      <c r="AM91" s="188">
        <v>0</v>
      </c>
      <c r="AN91" s="156">
        <v>4017067.1976107517</v>
      </c>
      <c r="AO91" s="156">
        <v>7823.04</v>
      </c>
      <c r="AP91" s="156">
        <v>142487.4472961</v>
      </c>
      <c r="AQ91" s="156">
        <f t="shared" ca="1" si="90"/>
        <v>25154852.535666555</v>
      </c>
      <c r="AR91" s="156">
        <f t="shared" si="91"/>
        <v>43592.36</v>
      </c>
      <c r="AS91" s="186">
        <v>4130216.45</v>
      </c>
      <c r="AT91" s="186">
        <v>6768.38</v>
      </c>
      <c r="AU91" s="88">
        <f>'Customer Data'!$H116</f>
        <v>1</v>
      </c>
      <c r="AV91" s="126">
        <f ca="1">HLOOKUP($B91,CDM!$B$1:$Q$22,17,FALSE)/12</f>
        <v>4551.1293938503995</v>
      </c>
      <c r="AW91" s="188">
        <f t="shared" ca="1" si="58"/>
        <v>4134767.5793938506</v>
      </c>
      <c r="AX91" s="105">
        <v>914146.02</v>
      </c>
      <c r="AY91" s="105">
        <v>3757.8</v>
      </c>
      <c r="AZ91" s="88">
        <f>'Customer Data'!$I116</f>
        <v>23484</v>
      </c>
      <c r="BA91" s="126">
        <f ca="1">HLOOKUP($B91,CDM!$B$1:$Q$22,18,FALSE)/12</f>
        <v>586806.438172522</v>
      </c>
      <c r="BB91" s="188">
        <f t="shared" ca="1" si="59"/>
        <v>590564.23817252205</v>
      </c>
      <c r="BC91" s="186">
        <v>68273.287693017497</v>
      </c>
      <c r="BD91" s="186">
        <v>194.79</v>
      </c>
      <c r="BE91" s="188">
        <f>'Customer Data'!$J116</f>
        <v>603</v>
      </c>
      <c r="BF91" s="105">
        <v>201124</v>
      </c>
      <c r="BG91" s="188">
        <f>'Customer Data'!$K116</f>
        <v>781</v>
      </c>
      <c r="BH91" s="188">
        <f>Weather!B259</f>
        <v>5.6</v>
      </c>
      <c r="BI91" s="188">
        <f>Weather!$C259</f>
        <v>127.2</v>
      </c>
      <c r="BJ91" s="166">
        <f>Employment!B115</f>
        <v>6998.8</v>
      </c>
      <c r="BK91" s="188">
        <f>Employment!$C115</f>
        <v>166.3</v>
      </c>
      <c r="BL91" s="188">
        <f>Employment!D115</f>
        <v>634257.80000000005</v>
      </c>
      <c r="BM91" s="188">
        <f t="shared" si="61"/>
        <v>90</v>
      </c>
      <c r="BN91" s="188">
        <f t="shared" ref="BN91:CA91" si="117">BN79</f>
        <v>0</v>
      </c>
      <c r="BO91" s="188">
        <f t="shared" si="117"/>
        <v>0</v>
      </c>
      <c r="BP91" s="188">
        <f t="shared" si="117"/>
        <v>0</v>
      </c>
      <c r="BQ91" s="188">
        <f t="shared" si="117"/>
        <v>0</v>
      </c>
      <c r="BR91" s="188">
        <f t="shared" si="117"/>
        <v>0</v>
      </c>
      <c r="BS91" s="188">
        <f t="shared" si="117"/>
        <v>1</v>
      </c>
      <c r="BT91" s="188">
        <f t="shared" si="117"/>
        <v>0</v>
      </c>
      <c r="BU91" s="188">
        <f t="shared" si="117"/>
        <v>0</v>
      </c>
      <c r="BV91" s="188">
        <f t="shared" si="117"/>
        <v>0</v>
      </c>
      <c r="BW91" s="188">
        <f t="shared" si="117"/>
        <v>0</v>
      </c>
      <c r="BX91" s="188">
        <f t="shared" si="117"/>
        <v>0</v>
      </c>
      <c r="BY91" s="188">
        <f t="shared" si="117"/>
        <v>0</v>
      </c>
      <c r="BZ91" s="188">
        <f t="shared" si="117"/>
        <v>0</v>
      </c>
      <c r="CA91" s="188">
        <f t="shared" si="117"/>
        <v>0</v>
      </c>
      <c r="CB91" s="188">
        <f t="shared" si="93"/>
        <v>0</v>
      </c>
      <c r="CC91" s="188">
        <f t="shared" si="70"/>
        <v>30</v>
      </c>
      <c r="CD91" s="121">
        <v>22</v>
      </c>
    </row>
    <row r="92" spans="1:82" s="188" customFormat="1" ht="15">
      <c r="A92" s="190">
        <v>42552</v>
      </c>
      <c r="B92" s="191">
        <f t="shared" si="52"/>
        <v>2016</v>
      </c>
      <c r="C92" s="186">
        <v>76760097.346842453</v>
      </c>
      <c r="D92" s="88">
        <f>('Customer Data'!$B116*2+'Customer Data'!$B119)/3</f>
        <v>78769</v>
      </c>
      <c r="E92" s="188">
        <f ca="1">HLOOKUP($B92,CDM!$B$1:$Q$22,11,FALSE)/12</f>
        <v>1780417.836361439</v>
      </c>
      <c r="F92" s="189">
        <f t="shared" ca="1" si="53"/>
        <v>78540515.183203891</v>
      </c>
      <c r="G92" s="186">
        <v>20653073.42652357</v>
      </c>
      <c r="H92" s="88">
        <f>('Customer Data'!$C116*2+'Customer Data'!$C119)/3</f>
        <v>7079.666666666667</v>
      </c>
      <c r="I92" s="188">
        <f ca="1">HLOOKUP($B92,CDM!$B$1:$Q$22,12,FALSE)/12</f>
        <v>1303689.0625943274</v>
      </c>
      <c r="J92" s="188">
        <f t="shared" ca="1" si="54"/>
        <v>21956762.489117898</v>
      </c>
      <c r="K92" s="186">
        <v>85190387.958989486</v>
      </c>
      <c r="L92" s="186">
        <v>212729.3</v>
      </c>
      <c r="M92" s="88">
        <f>('Customer Data'!$D116*2+'Customer Data'!$D119)/3</f>
        <v>1245.6666666666667</v>
      </c>
      <c r="N92" s="126">
        <f ca="1">HLOOKUP($B92,CDM!$B$1:$Q$22,13,FALSE)/12</f>
        <v>4017667.9153044019</v>
      </c>
      <c r="O92" s="188">
        <f t="shared" ca="1" si="84"/>
        <v>89208055.874293894</v>
      </c>
      <c r="P92" s="188">
        <f t="shared" si="85"/>
        <v>212729.3</v>
      </c>
      <c r="Q92" s="188">
        <v>252292.31955285725</v>
      </c>
      <c r="R92" s="188">
        <v>499.86</v>
      </c>
      <c r="S92" s="229">
        <v>0</v>
      </c>
      <c r="T92" s="189">
        <f t="shared" ca="1" si="88"/>
        <v>88955763.55474104</v>
      </c>
      <c r="U92" s="156">
        <f t="shared" si="89"/>
        <v>212229.44</v>
      </c>
      <c r="V92" s="186">
        <v>3949250.15</v>
      </c>
      <c r="W92" s="186">
        <v>11309.82</v>
      </c>
      <c r="X92" s="88">
        <f>('Customer Data'!$E116*2+'Customer Data'!$E119)/3</f>
        <v>3</v>
      </c>
      <c r="Y92" s="126">
        <f ca="1">HLOOKUP($B92,CDM!$B$1:$Q$22,14,FALSE)/12</f>
        <v>35316.633247093916</v>
      </c>
      <c r="Z92" s="188">
        <f t="shared" ca="1" si="55"/>
        <v>3984566.7832470937</v>
      </c>
      <c r="AA92" s="186">
        <v>29334344.240000002</v>
      </c>
      <c r="AB92" s="186">
        <v>49476.04</v>
      </c>
      <c r="AC92" s="88">
        <f>('Customer Data'!$F116*2+'Customer Data'!$F119)/3</f>
        <v>6</v>
      </c>
      <c r="AD92" s="126">
        <f ca="1">HLOOKUP($B92,CDM!$B$1:$Q$22,15,FALSE)/12</f>
        <v>879317.93057340907</v>
      </c>
      <c r="AE92" s="188">
        <f t="shared" ca="1" si="56"/>
        <v>30213662.17057341</v>
      </c>
      <c r="AF92" s="186">
        <v>22549457.41</v>
      </c>
      <c r="AG92" s="186">
        <v>48679.75</v>
      </c>
      <c r="AH92" s="88">
        <f>('Customer Data'!$G116*2+'Customer Data'!$G119)/3</f>
        <v>2</v>
      </c>
      <c r="AI92" s="126">
        <f ca="1">HLOOKUP($B92,CDM!$B$1:$Q$22,16,FALSE)/12</f>
        <v>1447916.2720707867</v>
      </c>
      <c r="AJ92" s="188">
        <f t="shared" ca="1" si="57"/>
        <v>23997373.682070788</v>
      </c>
      <c r="AK92" s="188">
        <f t="shared" si="43"/>
        <v>48679.75</v>
      </c>
      <c r="AL92" s="188">
        <v>0</v>
      </c>
      <c r="AM92" s="188">
        <v>0</v>
      </c>
      <c r="AN92" s="156">
        <v>3636356.1572921854</v>
      </c>
      <c r="AO92" s="156">
        <v>6076.8</v>
      </c>
      <c r="AP92" s="156">
        <v>142487.4472961</v>
      </c>
      <c r="AQ92" s="156">
        <f t="shared" ca="1" si="90"/>
        <v>26434818.565985125</v>
      </c>
      <c r="AR92" s="156">
        <f t="shared" si="91"/>
        <v>43399.24</v>
      </c>
      <c r="AS92" s="186">
        <v>3036197.76</v>
      </c>
      <c r="AT92" s="186">
        <v>6553.73</v>
      </c>
      <c r="AU92" s="88">
        <f>('Customer Data'!$H116*2+'Customer Data'!$H119)/3</f>
        <v>1</v>
      </c>
      <c r="AV92" s="126">
        <f ca="1">HLOOKUP($B92,CDM!$B$1:$Q$22,17,FALSE)/12</f>
        <v>4551.1293938503995</v>
      </c>
      <c r="AW92" s="188">
        <f t="shared" ca="1" si="58"/>
        <v>3040748.8893938502</v>
      </c>
      <c r="AX92" s="105">
        <v>939107</v>
      </c>
      <c r="AY92" s="105">
        <v>3625.26</v>
      </c>
      <c r="AZ92" s="88">
        <f>('Customer Data'!$I116*2+'Customer Data'!$I119)/3</f>
        <v>23500.666666666668</v>
      </c>
      <c r="BA92" s="126">
        <f ca="1">HLOOKUP($B92,CDM!$B$1:$Q$22,18,FALSE)/12</f>
        <v>586806.438172522</v>
      </c>
      <c r="BB92" s="188">
        <f t="shared" ca="1" si="59"/>
        <v>590431.69817252201</v>
      </c>
      <c r="BC92" s="186">
        <v>72434.654585903496</v>
      </c>
      <c r="BD92" s="186">
        <v>198.56</v>
      </c>
      <c r="BE92" s="188">
        <f>('Customer Data'!$J116*2+'Customer Data'!$J119*1)/3</f>
        <v>602.66666666666663</v>
      </c>
      <c r="BF92" s="105">
        <v>201331</v>
      </c>
      <c r="BG92" s="188">
        <f>('Customer Data'!$K116*2+'Customer Data'!$K119*1)/3</f>
        <v>781</v>
      </c>
      <c r="BH92" s="188">
        <f>Weather!B260</f>
        <v>0</v>
      </c>
      <c r="BI92" s="188">
        <f>Weather!$C260</f>
        <v>213.1</v>
      </c>
      <c r="BJ92" s="166">
        <f>Employment!B116</f>
        <v>6995</v>
      </c>
      <c r="BK92" s="188">
        <f>Employment!$C116</f>
        <v>167.5</v>
      </c>
      <c r="BL92" s="188">
        <f>Employment!D116</f>
        <v>634257.80000000005</v>
      </c>
      <c r="BM92" s="188">
        <f t="shared" si="61"/>
        <v>91</v>
      </c>
      <c r="BN92" s="188">
        <f t="shared" ref="BN92:CA92" si="118">BN80</f>
        <v>0</v>
      </c>
      <c r="BO92" s="188">
        <f t="shared" si="118"/>
        <v>0</v>
      </c>
      <c r="BP92" s="188">
        <f t="shared" si="118"/>
        <v>0</v>
      </c>
      <c r="BQ92" s="188">
        <f t="shared" si="118"/>
        <v>0</v>
      </c>
      <c r="BR92" s="188">
        <f t="shared" si="118"/>
        <v>0</v>
      </c>
      <c r="BS92" s="188">
        <f t="shared" si="118"/>
        <v>0</v>
      </c>
      <c r="BT92" s="188">
        <f t="shared" si="118"/>
        <v>1</v>
      </c>
      <c r="BU92" s="188">
        <f t="shared" si="118"/>
        <v>0</v>
      </c>
      <c r="BV92" s="188">
        <f t="shared" si="118"/>
        <v>0</v>
      </c>
      <c r="BW92" s="188">
        <f t="shared" si="118"/>
        <v>0</v>
      </c>
      <c r="BX92" s="188">
        <f t="shared" si="118"/>
        <v>0</v>
      </c>
      <c r="BY92" s="188">
        <f t="shared" si="118"/>
        <v>0</v>
      </c>
      <c r="BZ92" s="188">
        <f t="shared" si="118"/>
        <v>0</v>
      </c>
      <c r="CA92" s="188">
        <f t="shared" si="118"/>
        <v>0</v>
      </c>
      <c r="CB92" s="188">
        <f t="shared" si="93"/>
        <v>0</v>
      </c>
      <c r="CC92" s="188">
        <f t="shared" si="70"/>
        <v>31</v>
      </c>
      <c r="CD92" s="121">
        <v>20</v>
      </c>
    </row>
    <row r="93" spans="1:82" s="188" customFormat="1" ht="15">
      <c r="A93" s="190">
        <v>42583</v>
      </c>
      <c r="B93" s="191">
        <f t="shared" si="52"/>
        <v>2016</v>
      </c>
      <c r="C93" s="186">
        <v>75186555.794834435</v>
      </c>
      <c r="D93" s="88">
        <f>('Customer Data'!$B116+'Customer Data'!$B119*2)/3</f>
        <v>78813</v>
      </c>
      <c r="E93" s="188">
        <f ca="1">HLOOKUP($B93,CDM!$B$1:$Q$22,11,FALSE)/12</f>
        <v>1780417.836361439</v>
      </c>
      <c r="F93" s="189">
        <f t="shared" ca="1" si="53"/>
        <v>76966973.631195873</v>
      </c>
      <c r="G93" s="186">
        <v>20597280.743728928</v>
      </c>
      <c r="H93" s="88">
        <f>('Customer Data'!$C116+'Customer Data'!$C119*2)/3</f>
        <v>7079.333333333333</v>
      </c>
      <c r="I93" s="188">
        <f ca="1">HLOOKUP($B93,CDM!$B$1:$Q$22,12,FALSE)/12</f>
        <v>1303689.0625943274</v>
      </c>
      <c r="J93" s="188">
        <f t="shared" ca="1" si="54"/>
        <v>21900969.806323256</v>
      </c>
      <c r="K93" s="186">
        <v>88063384.091113955</v>
      </c>
      <c r="L93" s="186">
        <v>220925.91</v>
      </c>
      <c r="M93" s="88">
        <f>('Customer Data'!$D116+'Customer Data'!$D119*2)/3</f>
        <v>1245.3333333333333</v>
      </c>
      <c r="N93" s="126">
        <f ca="1">HLOOKUP($B93,CDM!$B$1:$Q$22,13,FALSE)/12</f>
        <v>4017667.9153044019</v>
      </c>
      <c r="O93" s="188">
        <f t="shared" ca="1" si="84"/>
        <v>92081052.006418362</v>
      </c>
      <c r="P93" s="188">
        <f t="shared" si="85"/>
        <v>220925.91</v>
      </c>
      <c r="Q93" s="188">
        <v>285864.83569432399</v>
      </c>
      <c r="R93" s="188">
        <v>607.77</v>
      </c>
      <c r="S93" s="229">
        <v>0</v>
      </c>
      <c r="T93" s="189">
        <f t="shared" ca="1" si="88"/>
        <v>91795187.170724034</v>
      </c>
      <c r="U93" s="156">
        <f t="shared" si="89"/>
        <v>220318.14</v>
      </c>
      <c r="V93" s="186">
        <v>3279725.2</v>
      </c>
      <c r="W93" s="186">
        <v>10684.63</v>
      </c>
      <c r="X93" s="88">
        <f>('Customer Data'!$E116+'Customer Data'!$E119*2)/3</f>
        <v>3</v>
      </c>
      <c r="Y93" s="126">
        <f ca="1">HLOOKUP($B93,CDM!$B$1:$Q$22,14,FALSE)/12</f>
        <v>35316.633247093916</v>
      </c>
      <c r="Z93" s="188">
        <f t="shared" ca="1" si="55"/>
        <v>3315041.8332470939</v>
      </c>
      <c r="AA93" s="186">
        <v>30924373.719999999</v>
      </c>
      <c r="AB93" s="186">
        <v>52567.37</v>
      </c>
      <c r="AC93" s="88">
        <f>('Customer Data'!$F116+'Customer Data'!$F119*2)/3</f>
        <v>6</v>
      </c>
      <c r="AD93" s="126">
        <f ca="1">HLOOKUP($B93,CDM!$B$1:$Q$22,15,FALSE)/12</f>
        <v>879317.93057340907</v>
      </c>
      <c r="AE93" s="188">
        <f t="shared" ca="1" si="56"/>
        <v>31803691.650573406</v>
      </c>
      <c r="AF93" s="186">
        <v>25774764.719999999</v>
      </c>
      <c r="AG93" s="186">
        <v>49982.380000000005</v>
      </c>
      <c r="AH93" s="88">
        <f>('Customer Data'!$G116+'Customer Data'!$G119*2)/3</f>
        <v>2</v>
      </c>
      <c r="AI93" s="126">
        <f ca="1">HLOOKUP($B93,CDM!$B$1:$Q$22,16,FALSE)/12</f>
        <v>1447916.2720707867</v>
      </c>
      <c r="AJ93" s="188">
        <f t="shared" ca="1" si="57"/>
        <v>27222680.992070787</v>
      </c>
      <c r="AK93" s="188">
        <f t="shared" si="43"/>
        <v>49982.380000000005</v>
      </c>
      <c r="AL93" s="188">
        <v>0</v>
      </c>
      <c r="AM93" s="188">
        <v>0</v>
      </c>
      <c r="AN93" s="156">
        <v>3577612.8023892487</v>
      </c>
      <c r="AO93" s="156">
        <v>6644.16</v>
      </c>
      <c r="AP93" s="156">
        <v>142487.4472961</v>
      </c>
      <c r="AQ93" s="156">
        <f t="shared" ca="1" si="90"/>
        <v>28083591.400888056</v>
      </c>
      <c r="AR93" s="156">
        <f t="shared" si="91"/>
        <v>45923.210000000006</v>
      </c>
      <c r="AS93" s="186">
        <v>4435812.0999999996</v>
      </c>
      <c r="AT93" s="186">
        <v>7123.97</v>
      </c>
      <c r="AU93" s="88">
        <f>('Customer Data'!$H116+'Customer Data'!$H119*2)/3</f>
        <v>1</v>
      </c>
      <c r="AV93" s="126">
        <f ca="1">HLOOKUP($B93,CDM!$B$1:$Q$22,17,FALSE)/12</f>
        <v>4551.1293938503995</v>
      </c>
      <c r="AW93" s="188">
        <f t="shared" ca="1" si="58"/>
        <v>4440363.2293938501</v>
      </c>
      <c r="AX93" s="105">
        <v>1017005.47</v>
      </c>
      <c r="AY93" s="105">
        <v>3414.27</v>
      </c>
      <c r="AZ93" s="88">
        <f>('Customer Data'!$I116+'Customer Data'!$I119*2)/3</f>
        <v>23517.333333333332</v>
      </c>
      <c r="BA93" s="126">
        <f ca="1">HLOOKUP($B93,CDM!$B$1:$Q$22,18,FALSE)/12</f>
        <v>586806.438172522</v>
      </c>
      <c r="BB93" s="188">
        <f t="shared" ca="1" si="59"/>
        <v>590220.70817252202</v>
      </c>
      <c r="BC93" s="186">
        <v>71670.087114976195</v>
      </c>
      <c r="BD93" s="186">
        <v>203.57</v>
      </c>
      <c r="BE93" s="188">
        <f>('Customer Data'!$J116*1+'Customer Data'!$J119*2)/3</f>
        <v>602.33333333333337</v>
      </c>
      <c r="BF93" s="105">
        <v>201331</v>
      </c>
      <c r="BG93" s="188">
        <f>('Customer Data'!$K116*1+'Customer Data'!$K119*2)/3</f>
        <v>781</v>
      </c>
      <c r="BH93" s="188">
        <f>Weather!B261</f>
        <v>0</v>
      </c>
      <c r="BI93" s="188">
        <f>Weather!$C261</f>
        <v>219</v>
      </c>
      <c r="BJ93" s="166">
        <f>Employment!B117</f>
        <v>6991</v>
      </c>
      <c r="BK93" s="188">
        <f>Employment!$C117</f>
        <v>167.9</v>
      </c>
      <c r="BL93" s="188">
        <f>Employment!D117</f>
        <v>634257.80000000005</v>
      </c>
      <c r="BM93" s="188">
        <f t="shared" si="61"/>
        <v>92</v>
      </c>
      <c r="BN93" s="188">
        <f t="shared" ref="BN93:CA93" si="119">BN81</f>
        <v>0</v>
      </c>
      <c r="BO93" s="188">
        <f t="shared" si="119"/>
        <v>0</v>
      </c>
      <c r="BP93" s="188">
        <f t="shared" si="119"/>
        <v>0</v>
      </c>
      <c r="BQ93" s="188">
        <f t="shared" si="119"/>
        <v>0</v>
      </c>
      <c r="BR93" s="188">
        <f t="shared" si="119"/>
        <v>0</v>
      </c>
      <c r="BS93" s="188">
        <f t="shared" si="119"/>
        <v>0</v>
      </c>
      <c r="BT93" s="188">
        <f t="shared" si="119"/>
        <v>0</v>
      </c>
      <c r="BU93" s="188">
        <f t="shared" si="119"/>
        <v>1</v>
      </c>
      <c r="BV93" s="188">
        <f t="shared" si="119"/>
        <v>0</v>
      </c>
      <c r="BW93" s="188">
        <f t="shared" si="119"/>
        <v>0</v>
      </c>
      <c r="BX93" s="188">
        <f t="shared" si="119"/>
        <v>0</v>
      </c>
      <c r="BY93" s="188">
        <f t="shared" si="119"/>
        <v>0</v>
      </c>
      <c r="BZ93" s="188">
        <f t="shared" si="119"/>
        <v>0</v>
      </c>
      <c r="CA93" s="188">
        <f t="shared" si="119"/>
        <v>0</v>
      </c>
      <c r="CB93" s="188">
        <f t="shared" si="93"/>
        <v>0</v>
      </c>
      <c r="CC93" s="188">
        <f t="shared" si="70"/>
        <v>31</v>
      </c>
      <c r="CD93" s="121">
        <v>22</v>
      </c>
    </row>
    <row r="94" spans="1:82" s="188" customFormat="1" ht="15">
      <c r="A94" s="190">
        <v>42614</v>
      </c>
      <c r="B94" s="191">
        <f t="shared" si="52"/>
        <v>2016</v>
      </c>
      <c r="C94" s="186">
        <v>54305996.691044644</v>
      </c>
      <c r="D94" s="88">
        <f>'Customer Data'!$B119</f>
        <v>78857</v>
      </c>
      <c r="E94" s="188">
        <f ca="1">HLOOKUP($B94,CDM!$B$1:$Q$22,11,FALSE)/12</f>
        <v>1780417.836361439</v>
      </c>
      <c r="F94" s="189">
        <f t="shared" ca="1" si="53"/>
        <v>56086414.527406082</v>
      </c>
      <c r="G94" s="186">
        <v>17485620.075106449</v>
      </c>
      <c r="H94" s="88">
        <f>'Customer Data'!$C119</f>
        <v>7079</v>
      </c>
      <c r="I94" s="188">
        <f ca="1">HLOOKUP($B94,CDM!$B$1:$Q$22,12,FALSE)/12</f>
        <v>1303689.0625943274</v>
      </c>
      <c r="J94" s="188">
        <f t="shared" ca="1" si="54"/>
        <v>18789309.137700778</v>
      </c>
      <c r="K94" s="186">
        <v>78607466.513032168</v>
      </c>
      <c r="L94" s="186">
        <v>212826.86000000002</v>
      </c>
      <c r="M94" s="88">
        <f>'Customer Data'!$D119</f>
        <v>1245</v>
      </c>
      <c r="N94" s="126">
        <f ca="1">HLOOKUP($B94,CDM!$B$1:$Q$22,13,FALSE)/12</f>
        <v>4017667.9153044019</v>
      </c>
      <c r="O94" s="188">
        <f t="shared" ca="1" si="84"/>
        <v>82625134.428336576</v>
      </c>
      <c r="P94" s="188">
        <f t="shared" si="85"/>
        <v>212826.86000000002</v>
      </c>
      <c r="Q94" s="188">
        <v>263070.99354341329</v>
      </c>
      <c r="R94" s="188">
        <v>535.67999999999995</v>
      </c>
      <c r="S94" s="229">
        <v>0</v>
      </c>
      <c r="T94" s="189">
        <f t="shared" ca="1" si="88"/>
        <v>82362063.434793159</v>
      </c>
      <c r="U94" s="156">
        <f t="shared" si="89"/>
        <v>212291.18000000002</v>
      </c>
      <c r="V94" s="186">
        <v>3575369.0100000002</v>
      </c>
      <c r="W94" s="186">
        <v>11230.05</v>
      </c>
      <c r="X94" s="88">
        <f>'Customer Data'!$E119</f>
        <v>3</v>
      </c>
      <c r="Y94" s="126">
        <f ca="1">HLOOKUP($B94,CDM!$B$1:$Q$22,14,FALSE)/12</f>
        <v>35316.633247093916</v>
      </c>
      <c r="Z94" s="188">
        <f t="shared" ca="1" si="55"/>
        <v>3610685.643247094</v>
      </c>
      <c r="AA94" s="186">
        <v>27683088.920000002</v>
      </c>
      <c r="AB94" s="186">
        <v>52412.490000000005</v>
      </c>
      <c r="AC94" s="88">
        <f>'Customer Data'!$F119</f>
        <v>6</v>
      </c>
      <c r="AD94" s="126">
        <f ca="1">HLOOKUP($B94,CDM!$B$1:$Q$22,15,FALSE)/12</f>
        <v>879317.93057340907</v>
      </c>
      <c r="AE94" s="188">
        <f t="shared" ca="1" si="56"/>
        <v>28562406.850573409</v>
      </c>
      <c r="AF94" s="186">
        <v>23097639.289999999</v>
      </c>
      <c r="AG94" s="186">
        <v>49188.99</v>
      </c>
      <c r="AH94" s="88">
        <f>'Customer Data'!$G119</f>
        <v>2</v>
      </c>
      <c r="AI94" s="126">
        <f ca="1">HLOOKUP($B94,CDM!$B$1:$Q$22,16,FALSE)/12</f>
        <v>1447916.2720707867</v>
      </c>
      <c r="AJ94" s="188">
        <f t="shared" ca="1" si="57"/>
        <v>24545555.562070787</v>
      </c>
      <c r="AK94" s="188">
        <f t="shared" si="43"/>
        <v>49188.99</v>
      </c>
      <c r="AL94" s="188">
        <v>0</v>
      </c>
      <c r="AM94" s="188">
        <v>0</v>
      </c>
      <c r="AN94" s="156">
        <v>4755049.9153807862</v>
      </c>
      <c r="AO94" s="156">
        <v>8459.52</v>
      </c>
      <c r="AP94" s="156">
        <v>142487.4472961</v>
      </c>
      <c r="AQ94" s="156">
        <f t="shared" ca="1" si="90"/>
        <v>23664869.487896521</v>
      </c>
      <c r="AR94" s="156">
        <f t="shared" si="91"/>
        <v>43952.97</v>
      </c>
      <c r="AS94" s="186">
        <v>3937224.19</v>
      </c>
      <c r="AT94" s="186">
        <v>6837.5</v>
      </c>
      <c r="AU94" s="88">
        <f>'Customer Data'!$H119</f>
        <v>1</v>
      </c>
      <c r="AV94" s="126">
        <f ca="1">HLOOKUP($B94,CDM!$B$1:$Q$22,17,FALSE)/12</f>
        <v>4551.1293938503995</v>
      </c>
      <c r="AW94" s="188">
        <f t="shared" ca="1" si="58"/>
        <v>3941775.3193938504</v>
      </c>
      <c r="AX94" s="105">
        <v>1128232.1600000001</v>
      </c>
      <c r="AY94" s="105">
        <v>3353.77</v>
      </c>
      <c r="AZ94" s="88">
        <f>'Customer Data'!$I119</f>
        <v>23534</v>
      </c>
      <c r="BA94" s="126">
        <f ca="1">HLOOKUP($B94,CDM!$B$1:$Q$22,18,FALSE)/12</f>
        <v>586806.438172522</v>
      </c>
      <c r="BB94" s="188">
        <f t="shared" ca="1" si="59"/>
        <v>590160.20817252202</v>
      </c>
      <c r="BC94" s="186">
        <v>67701.294108605507</v>
      </c>
      <c r="BD94" s="186">
        <v>193.55</v>
      </c>
      <c r="BE94" s="188">
        <f>'Customer Data'!$J119</f>
        <v>602</v>
      </c>
      <c r="BF94" s="105">
        <v>201603</v>
      </c>
      <c r="BG94" s="188">
        <f>'Customer Data'!$K119</f>
        <v>781</v>
      </c>
      <c r="BH94" s="188">
        <f>Weather!B262</f>
        <v>8</v>
      </c>
      <c r="BI94" s="188">
        <f>Weather!$C262</f>
        <v>90.1</v>
      </c>
      <c r="BJ94" s="166">
        <f>Employment!B118</f>
        <v>6989.1</v>
      </c>
      <c r="BK94" s="188">
        <f>Employment!$C118</f>
        <v>167.5</v>
      </c>
      <c r="BL94" s="188">
        <f>Employment!D118</f>
        <v>634257.80000000005</v>
      </c>
      <c r="BM94" s="188">
        <f t="shared" si="61"/>
        <v>93</v>
      </c>
      <c r="BN94" s="188">
        <f t="shared" ref="BN94:CA94" si="120">BN82</f>
        <v>0</v>
      </c>
      <c r="BO94" s="188">
        <f t="shared" si="120"/>
        <v>0</v>
      </c>
      <c r="BP94" s="188">
        <f t="shared" si="120"/>
        <v>0</v>
      </c>
      <c r="BQ94" s="188">
        <f t="shared" si="120"/>
        <v>0</v>
      </c>
      <c r="BR94" s="188">
        <f t="shared" si="120"/>
        <v>0</v>
      </c>
      <c r="BS94" s="188">
        <f t="shared" si="120"/>
        <v>0</v>
      </c>
      <c r="BT94" s="188">
        <f t="shared" si="120"/>
        <v>0</v>
      </c>
      <c r="BU94" s="188">
        <f t="shared" si="120"/>
        <v>0</v>
      </c>
      <c r="BV94" s="188">
        <f t="shared" si="120"/>
        <v>1</v>
      </c>
      <c r="BW94" s="188">
        <f t="shared" si="120"/>
        <v>0</v>
      </c>
      <c r="BX94" s="188">
        <f t="shared" si="120"/>
        <v>0</v>
      </c>
      <c r="BY94" s="188">
        <f t="shared" si="120"/>
        <v>0</v>
      </c>
      <c r="BZ94" s="188">
        <f t="shared" si="120"/>
        <v>0</v>
      </c>
      <c r="CA94" s="188">
        <f t="shared" si="120"/>
        <v>1</v>
      </c>
      <c r="CB94" s="188">
        <f t="shared" si="93"/>
        <v>1</v>
      </c>
      <c r="CC94" s="188">
        <f t="shared" si="70"/>
        <v>30</v>
      </c>
      <c r="CD94" s="121">
        <v>21</v>
      </c>
    </row>
    <row r="95" spans="1:82" s="188" customFormat="1" ht="15">
      <c r="A95" s="190">
        <v>42644</v>
      </c>
      <c r="B95" s="191">
        <f t="shared" si="52"/>
        <v>2016</v>
      </c>
      <c r="C95" s="186">
        <v>40843600.941189028</v>
      </c>
      <c r="D95" s="88">
        <f>('Customer Data'!$B119*2+'Customer Data'!$B122)/3</f>
        <v>78920.666666666672</v>
      </c>
      <c r="E95" s="188">
        <f ca="1">HLOOKUP($B95,CDM!$B$1:$Q$22,11,FALSE)/12</f>
        <v>1780417.836361439</v>
      </c>
      <c r="F95" s="189">
        <f t="shared" ca="1" si="53"/>
        <v>42624018.777550466</v>
      </c>
      <c r="G95" s="186">
        <v>15651783.008586543</v>
      </c>
      <c r="H95" s="88">
        <f>('Customer Data'!$C119*2+'Customer Data'!$C122)/3</f>
        <v>7078.666666666667</v>
      </c>
      <c r="I95" s="188">
        <f ca="1">HLOOKUP($B95,CDM!$B$1:$Q$22,12,FALSE)/12</f>
        <v>1303689.0625943274</v>
      </c>
      <c r="J95" s="188">
        <f t="shared" ca="1" si="54"/>
        <v>16955472.071180869</v>
      </c>
      <c r="K95" s="186">
        <v>75744199.472675726</v>
      </c>
      <c r="L95" s="186">
        <v>203293.26</v>
      </c>
      <c r="M95" s="88">
        <f>('Customer Data'!$D119*2+'Customer Data'!$D122)/3</f>
        <v>1247</v>
      </c>
      <c r="N95" s="126">
        <f ca="1">HLOOKUP($B95,CDM!$B$1:$Q$22,13,FALSE)/12</f>
        <v>4017667.9153044019</v>
      </c>
      <c r="O95" s="188">
        <f t="shared" ca="1" si="84"/>
        <v>79761867.387980133</v>
      </c>
      <c r="P95" s="188">
        <f t="shared" si="85"/>
        <v>203293.26</v>
      </c>
      <c r="Q95" s="188">
        <v>272503.97995567118</v>
      </c>
      <c r="R95" s="188">
        <v>536.49</v>
      </c>
      <c r="S95" s="229">
        <v>0</v>
      </c>
      <c r="T95" s="189">
        <f t="shared" ca="1" si="88"/>
        <v>79489363.40802446</v>
      </c>
      <c r="U95" s="156">
        <f t="shared" si="89"/>
        <v>202756.77000000002</v>
      </c>
      <c r="V95" s="186">
        <v>3773712.71</v>
      </c>
      <c r="W95" s="186">
        <v>10340.06</v>
      </c>
      <c r="X95" s="88">
        <f>('Customer Data'!$E119*2+'Customer Data'!$E122)/3</f>
        <v>3</v>
      </c>
      <c r="Y95" s="126">
        <f ca="1">HLOOKUP($B95,CDM!$B$1:$Q$22,14,FALSE)/12</f>
        <v>35316.633247093916</v>
      </c>
      <c r="Z95" s="188">
        <f t="shared" ca="1" si="55"/>
        <v>3809029.3432470937</v>
      </c>
      <c r="AA95" s="186">
        <v>26219506.670000002</v>
      </c>
      <c r="AB95" s="186">
        <v>50427.149999999994</v>
      </c>
      <c r="AC95" s="88">
        <f>('Customer Data'!$F119*2+'Customer Data'!$F122)/3</f>
        <v>6</v>
      </c>
      <c r="AD95" s="126">
        <f ca="1">HLOOKUP($B95,CDM!$B$1:$Q$22,15,FALSE)/12</f>
        <v>879317.93057340907</v>
      </c>
      <c r="AE95" s="188">
        <f t="shared" ca="1" si="56"/>
        <v>27098824.600573409</v>
      </c>
      <c r="AF95" s="186">
        <v>21187509.539999999</v>
      </c>
      <c r="AG95" s="186">
        <v>41728.75</v>
      </c>
      <c r="AH95" s="88">
        <f>('Customer Data'!$G119*2+'Customer Data'!$G122)/3</f>
        <v>2</v>
      </c>
      <c r="AI95" s="126">
        <f ca="1">HLOOKUP($B95,CDM!$B$1:$Q$22,16,FALSE)/12</f>
        <v>1447916.2720707867</v>
      </c>
      <c r="AJ95" s="188">
        <f t="shared" ca="1" si="57"/>
        <v>22635425.812070787</v>
      </c>
      <c r="AK95" s="188">
        <f t="shared" si="43"/>
        <v>41728.75</v>
      </c>
      <c r="AL95" s="188">
        <v>0</v>
      </c>
      <c r="AM95" s="188">
        <v>0</v>
      </c>
      <c r="AN95" s="156">
        <v>5137989.11896466</v>
      </c>
      <c r="AO95" s="156">
        <v>8392.32</v>
      </c>
      <c r="AP95" s="156">
        <v>142487.4472961</v>
      </c>
      <c r="AQ95" s="156">
        <f t="shared" ca="1" si="90"/>
        <v>21818348.034312647</v>
      </c>
      <c r="AR95" s="156">
        <f t="shared" si="91"/>
        <v>42034.829999999994</v>
      </c>
      <c r="AS95" s="186">
        <v>3623603.33</v>
      </c>
      <c r="AT95" s="186">
        <v>6292.99</v>
      </c>
      <c r="AU95" s="88">
        <f>('Customer Data'!$H119*2+'Customer Data'!$H122)/3</f>
        <v>1</v>
      </c>
      <c r="AV95" s="126">
        <f ca="1">HLOOKUP($B95,CDM!$B$1:$Q$22,17,FALSE)/12</f>
        <v>4551.1293938503995</v>
      </c>
      <c r="AW95" s="188">
        <f t="shared" ca="1" si="58"/>
        <v>3628154.4593938505</v>
      </c>
      <c r="AX95" s="105">
        <v>1129240.0999999999</v>
      </c>
      <c r="AY95" s="105">
        <v>3353.77</v>
      </c>
      <c r="AZ95" s="88">
        <f>('Customer Data'!$I119*2+'Customer Data'!$I122)/3</f>
        <v>23551</v>
      </c>
      <c r="BA95" s="126">
        <f ca="1">HLOOKUP($B95,CDM!$B$1:$Q$22,18,FALSE)/12</f>
        <v>586806.438172522</v>
      </c>
      <c r="BB95" s="188">
        <f t="shared" ca="1" si="59"/>
        <v>590160.20817252202</v>
      </c>
      <c r="BC95" s="186">
        <v>72993.023816939502</v>
      </c>
      <c r="BD95" s="186">
        <v>199.95</v>
      </c>
      <c r="BE95" s="188">
        <f>('Customer Data'!$J119*2+'Customer Data'!$J122*1)/3</f>
        <v>598.66666666666663</v>
      </c>
      <c r="BF95" s="105">
        <v>201652</v>
      </c>
      <c r="BG95" s="188">
        <f>('Customer Data'!$K119*2+'Customer Data'!$K122*1)/3</f>
        <v>781.33333333333337</v>
      </c>
      <c r="BH95" s="188">
        <f>Weather!B263</f>
        <v>146</v>
      </c>
      <c r="BI95" s="188">
        <f>Weather!$C263</f>
        <v>22.7</v>
      </c>
      <c r="BJ95" s="166">
        <f>Employment!B119</f>
        <v>7005.5</v>
      </c>
      <c r="BK95" s="188">
        <f>Employment!$C119</f>
        <v>166.4</v>
      </c>
      <c r="BL95" s="188">
        <f>Employment!D119</f>
        <v>634257.80000000005</v>
      </c>
      <c r="BM95" s="188">
        <f t="shared" si="61"/>
        <v>94</v>
      </c>
      <c r="BN95" s="188">
        <f t="shared" ref="BN95:CA95" si="121">BN83</f>
        <v>0</v>
      </c>
      <c r="BO95" s="188">
        <f t="shared" si="121"/>
        <v>0</v>
      </c>
      <c r="BP95" s="188">
        <f t="shared" si="121"/>
        <v>0</v>
      </c>
      <c r="BQ95" s="188">
        <f t="shared" si="121"/>
        <v>0</v>
      </c>
      <c r="BR95" s="188">
        <f t="shared" si="121"/>
        <v>0</v>
      </c>
      <c r="BS95" s="188">
        <f t="shared" si="121"/>
        <v>0</v>
      </c>
      <c r="BT95" s="188">
        <f t="shared" si="121"/>
        <v>0</v>
      </c>
      <c r="BU95" s="188">
        <f t="shared" si="121"/>
        <v>0</v>
      </c>
      <c r="BV95" s="188">
        <f t="shared" si="121"/>
        <v>0</v>
      </c>
      <c r="BW95" s="188">
        <f t="shared" si="121"/>
        <v>1</v>
      </c>
      <c r="BX95" s="188">
        <f t="shared" si="121"/>
        <v>0</v>
      </c>
      <c r="BY95" s="188">
        <f t="shared" si="121"/>
        <v>0</v>
      </c>
      <c r="BZ95" s="188">
        <f t="shared" si="121"/>
        <v>0</v>
      </c>
      <c r="CA95" s="188">
        <f t="shared" si="121"/>
        <v>1</v>
      </c>
      <c r="CB95" s="188">
        <f t="shared" si="93"/>
        <v>1</v>
      </c>
      <c r="CC95" s="188">
        <f t="shared" si="70"/>
        <v>31</v>
      </c>
      <c r="CD95" s="121">
        <v>20</v>
      </c>
    </row>
    <row r="96" spans="1:82" s="188" customFormat="1" ht="15">
      <c r="A96" s="190">
        <v>42675</v>
      </c>
      <c r="B96" s="191">
        <f t="shared" si="52"/>
        <v>2016</v>
      </c>
      <c r="C96" s="186">
        <v>40917129.91312892</v>
      </c>
      <c r="D96" s="88">
        <f>('Customer Data'!$B119+'Customer Data'!$B122*2)/3</f>
        <v>78984.333333333328</v>
      </c>
      <c r="E96" s="188">
        <f ca="1">HLOOKUP($B96,CDM!$B$1:$Q$22,11,FALSE)/12</f>
        <v>1780417.836361439</v>
      </c>
      <c r="F96" s="189">
        <f t="shared" ca="1" si="53"/>
        <v>42697547.749490358</v>
      </c>
      <c r="G96" s="186">
        <v>15447923.526623596</v>
      </c>
      <c r="H96" s="88">
        <f>('Customer Data'!$C119+'Customer Data'!$C122*2)/3</f>
        <v>7078.333333333333</v>
      </c>
      <c r="I96" s="188">
        <f ca="1">HLOOKUP($B96,CDM!$B$1:$Q$22,12,FALSE)/12</f>
        <v>1303689.0625943274</v>
      </c>
      <c r="J96" s="188">
        <f t="shared" ca="1" si="54"/>
        <v>16751612.589217924</v>
      </c>
      <c r="K96" s="186">
        <v>75615061.61172694</v>
      </c>
      <c r="L96" s="186">
        <v>199852.06000000003</v>
      </c>
      <c r="M96" s="88">
        <f>('Customer Data'!$D119+'Customer Data'!$D122*2)/3</f>
        <v>1249</v>
      </c>
      <c r="N96" s="126">
        <f ca="1">HLOOKUP($B96,CDM!$B$1:$Q$22,13,FALSE)/12</f>
        <v>4017667.9153044019</v>
      </c>
      <c r="O96" s="188">
        <f t="shared" ca="1" si="84"/>
        <v>79632729.527031347</v>
      </c>
      <c r="P96" s="188">
        <f t="shared" si="85"/>
        <v>199852.06000000003</v>
      </c>
      <c r="Q96" s="188">
        <v>297597.24390478939</v>
      </c>
      <c r="R96" s="188">
        <v>603.36</v>
      </c>
      <c r="S96" s="229">
        <v>0</v>
      </c>
      <c r="T96" s="189">
        <f t="shared" ca="1" si="88"/>
        <v>79335132.283126563</v>
      </c>
      <c r="U96" s="156">
        <f t="shared" si="89"/>
        <v>199248.70000000004</v>
      </c>
      <c r="V96" s="186">
        <v>3726940.12</v>
      </c>
      <c r="W96" s="186">
        <v>10767.509999999998</v>
      </c>
      <c r="X96" s="88">
        <f>('Customer Data'!$E119+'Customer Data'!$E122*2)/3</f>
        <v>3</v>
      </c>
      <c r="Y96" s="126">
        <f ca="1">HLOOKUP($B96,CDM!$B$1:$Q$22,14,FALSE)/12</f>
        <v>35316.633247093916</v>
      </c>
      <c r="Z96" s="188">
        <f t="shared" ca="1" si="55"/>
        <v>3762256.7532470939</v>
      </c>
      <c r="AA96" s="186">
        <v>24715140.25</v>
      </c>
      <c r="AB96" s="186">
        <v>47752.71</v>
      </c>
      <c r="AC96" s="88">
        <f>('Customer Data'!$F119+'Customer Data'!$F122*2)/3</f>
        <v>6</v>
      </c>
      <c r="AD96" s="126">
        <f ca="1">HLOOKUP($B96,CDM!$B$1:$Q$22,15,FALSE)/12</f>
        <v>879317.93057340907</v>
      </c>
      <c r="AE96" s="188">
        <f t="shared" ca="1" si="56"/>
        <v>25594458.180573408</v>
      </c>
      <c r="AF96" s="186">
        <v>19469033.66</v>
      </c>
      <c r="AG96" s="186">
        <v>39233.64</v>
      </c>
      <c r="AH96" s="88">
        <f>('Customer Data'!$G119+'Customer Data'!$G122*2)/3</f>
        <v>2</v>
      </c>
      <c r="AI96" s="126">
        <f ca="1">HLOOKUP($B96,CDM!$B$1:$Q$22,16,FALSE)/12</f>
        <v>1447916.2720707867</v>
      </c>
      <c r="AJ96" s="188">
        <f t="shared" ca="1" si="57"/>
        <v>20916949.932070788</v>
      </c>
      <c r="AK96" s="188">
        <f t="shared" si="43"/>
        <v>39233.64</v>
      </c>
      <c r="AL96" s="188">
        <v>0</v>
      </c>
      <c r="AM96" s="188">
        <v>0</v>
      </c>
      <c r="AN96" s="156">
        <v>5355225.6047784975</v>
      </c>
      <c r="AO96" s="156">
        <v>9838.08</v>
      </c>
      <c r="AP96" s="156">
        <v>142487.4472961</v>
      </c>
      <c r="AQ96" s="156">
        <f t="shared" ca="1" si="90"/>
        <v>20096745.128498808</v>
      </c>
      <c r="AR96" s="156">
        <f t="shared" si="91"/>
        <v>37914.629999999997</v>
      </c>
      <c r="AS96" s="186">
        <v>3471326.59</v>
      </c>
      <c r="AT96" s="186">
        <v>5639.42</v>
      </c>
      <c r="AU96" s="88">
        <f>('Customer Data'!$H119+'Customer Data'!$H122*2)/3</f>
        <v>1</v>
      </c>
      <c r="AV96" s="126">
        <f ca="1">HLOOKUP($B96,CDM!$B$1:$Q$22,17,FALSE)/12</f>
        <v>4551.1293938503995</v>
      </c>
      <c r="AW96" s="188">
        <f t="shared" ca="1" si="58"/>
        <v>3475877.7193938503</v>
      </c>
      <c r="AX96" s="105">
        <v>1152925.49</v>
      </c>
      <c r="AY96" s="105">
        <v>2792.09</v>
      </c>
      <c r="AZ96" s="88">
        <f>('Customer Data'!$I119+'Customer Data'!$I122*2)/3</f>
        <v>23568</v>
      </c>
      <c r="BA96" s="126">
        <f ca="1">HLOOKUP($B96,CDM!$B$1:$Q$22,18,FALSE)/12</f>
        <v>586806.438172522</v>
      </c>
      <c r="BB96" s="188">
        <f t="shared" ca="1" si="59"/>
        <v>589598.52817252197</v>
      </c>
      <c r="BC96" s="186">
        <v>72200.895360790499</v>
      </c>
      <c r="BD96" s="186">
        <v>197.15</v>
      </c>
      <c r="BE96" s="188">
        <f>('Customer Data'!$J119*1+'Customer Data'!$J122*2)/3</f>
        <v>595.33333333333337</v>
      </c>
      <c r="BF96" s="105">
        <v>201815</v>
      </c>
      <c r="BG96" s="188">
        <f>('Customer Data'!$K119*1+'Customer Data'!$K122*2)/3</f>
        <v>781.66666666666663</v>
      </c>
      <c r="BH96" s="188">
        <f>Weather!B264</f>
        <v>290.7</v>
      </c>
      <c r="BI96" s="188">
        <f>Weather!$C264</f>
        <v>0</v>
      </c>
      <c r="BJ96" s="166">
        <f>Employment!B120</f>
        <v>7021.6</v>
      </c>
      <c r="BK96" s="188">
        <f>Employment!$C120</f>
        <v>163.9</v>
      </c>
      <c r="BL96" s="188">
        <f>Employment!D120</f>
        <v>634257.80000000005</v>
      </c>
      <c r="BM96" s="188">
        <f t="shared" si="61"/>
        <v>95</v>
      </c>
      <c r="BN96" s="188">
        <f t="shared" ref="BN96:CA96" si="122">BN84</f>
        <v>0</v>
      </c>
      <c r="BO96" s="188">
        <f t="shared" si="122"/>
        <v>0</v>
      </c>
      <c r="BP96" s="188">
        <f t="shared" si="122"/>
        <v>0</v>
      </c>
      <c r="BQ96" s="188">
        <f t="shared" si="122"/>
        <v>0</v>
      </c>
      <c r="BR96" s="188">
        <f t="shared" si="122"/>
        <v>0</v>
      </c>
      <c r="BS96" s="188">
        <f t="shared" si="122"/>
        <v>0</v>
      </c>
      <c r="BT96" s="188">
        <f t="shared" si="122"/>
        <v>0</v>
      </c>
      <c r="BU96" s="188">
        <f t="shared" si="122"/>
        <v>0</v>
      </c>
      <c r="BV96" s="188">
        <f t="shared" si="122"/>
        <v>0</v>
      </c>
      <c r="BW96" s="188">
        <f t="shared" si="122"/>
        <v>0</v>
      </c>
      <c r="BX96" s="188">
        <f t="shared" si="122"/>
        <v>1</v>
      </c>
      <c r="BY96" s="188">
        <f t="shared" si="122"/>
        <v>0</v>
      </c>
      <c r="BZ96" s="188">
        <f t="shared" si="122"/>
        <v>0</v>
      </c>
      <c r="CA96" s="188">
        <f t="shared" si="122"/>
        <v>1</v>
      </c>
      <c r="CB96" s="188">
        <f t="shared" si="93"/>
        <v>1</v>
      </c>
      <c r="CC96" s="188">
        <f t="shared" si="70"/>
        <v>30</v>
      </c>
      <c r="CD96" s="121">
        <v>22</v>
      </c>
    </row>
    <row r="97" spans="1:82" s="188" customFormat="1" ht="15">
      <c r="A97" s="190">
        <v>42705</v>
      </c>
      <c r="B97" s="191">
        <f t="shared" si="52"/>
        <v>2016</v>
      </c>
      <c r="C97" s="186">
        <v>50149327.955758445</v>
      </c>
      <c r="D97" s="88">
        <f>'Customer Data'!$B122</f>
        <v>79048</v>
      </c>
      <c r="E97" s="188">
        <f ca="1">HLOOKUP($B97,CDM!$B$1:$Q$22,11,FALSE)/12</f>
        <v>1780417.836361439</v>
      </c>
      <c r="F97" s="189">
        <f t="shared" ca="1" si="53"/>
        <v>51929745.792119883</v>
      </c>
      <c r="G97" s="186">
        <v>17470380.654070169</v>
      </c>
      <c r="H97" s="88">
        <f>'Customer Data'!$C122</f>
        <v>7078</v>
      </c>
      <c r="I97" s="188">
        <f ca="1">HLOOKUP($B97,CDM!$B$1:$Q$22,12,FALSE)/12</f>
        <v>1303689.0625943274</v>
      </c>
      <c r="J97" s="188">
        <f t="shared" ca="1" si="54"/>
        <v>18774069.716664497</v>
      </c>
      <c r="K97" s="186">
        <v>81686095.061841667</v>
      </c>
      <c r="L97" s="186">
        <v>184823.37</v>
      </c>
      <c r="M97" s="88">
        <f>'Customer Data'!$D122</f>
        <v>1251</v>
      </c>
      <c r="N97" s="126">
        <f ca="1">HLOOKUP($B97,CDM!$B$1:$Q$22,13,FALSE)/12</f>
        <v>4017667.9153044019</v>
      </c>
      <c r="O97" s="188">
        <f t="shared" ref="O97:O121" ca="1" si="123">K97+N97-AL97</f>
        <v>85703762.977146074</v>
      </c>
      <c r="P97" s="188">
        <f t="shared" ref="P97:P121" si="124">L97-AM97</f>
        <v>184823.37</v>
      </c>
      <c r="Q97" s="188">
        <v>322051.3154090778</v>
      </c>
      <c r="R97" s="188">
        <v>604.35</v>
      </c>
      <c r="S97" s="229">
        <v>0</v>
      </c>
      <c r="T97" s="189">
        <f t="shared" ca="1" si="88"/>
        <v>85381711.661736995</v>
      </c>
      <c r="U97" s="156">
        <f t="shared" si="89"/>
        <v>184219.02</v>
      </c>
      <c r="V97" s="186">
        <v>4004843.84</v>
      </c>
      <c r="W97" s="186">
        <v>11097.189999999999</v>
      </c>
      <c r="X97" s="88">
        <f>'Customer Data'!$E122</f>
        <v>3</v>
      </c>
      <c r="Y97" s="126">
        <f ca="1">HLOOKUP($B97,CDM!$B$1:$Q$22,14,FALSE)/12</f>
        <v>35316.633247093916</v>
      </c>
      <c r="Z97" s="188">
        <f t="shared" ca="1" si="55"/>
        <v>4040160.4732470936</v>
      </c>
      <c r="AA97" s="186">
        <v>22392329.440000001</v>
      </c>
      <c r="AB97" s="186">
        <v>43513.72</v>
      </c>
      <c r="AC97" s="88">
        <f>'Customer Data'!$F122</f>
        <v>6</v>
      </c>
      <c r="AD97" s="126">
        <f ca="1">HLOOKUP($B97,CDM!$B$1:$Q$22,15,FALSE)/12</f>
        <v>879317.93057340907</v>
      </c>
      <c r="AE97" s="188">
        <f t="shared" ca="1" si="56"/>
        <v>23271647.370573409</v>
      </c>
      <c r="AF97" s="186">
        <v>19221201.359999999</v>
      </c>
      <c r="AG97" s="186">
        <v>39376.04</v>
      </c>
      <c r="AH97" s="88">
        <f>'Customer Data'!$G122</f>
        <v>2</v>
      </c>
      <c r="AI97" s="126">
        <f ca="1">HLOOKUP($B97,CDM!$B$1:$Q$22,16,FALSE)/12</f>
        <v>1447916.2720707867</v>
      </c>
      <c r="AJ97" s="188">
        <f t="shared" ca="1" si="57"/>
        <v>20669117.632070787</v>
      </c>
      <c r="AK97" s="188">
        <f t="shared" si="43"/>
        <v>39376.04</v>
      </c>
      <c r="AL97" s="188">
        <v>0</v>
      </c>
      <c r="AM97" s="188">
        <v>0</v>
      </c>
      <c r="AN97" s="156">
        <v>4229739.8407167746</v>
      </c>
      <c r="AO97" s="156">
        <v>7648.32</v>
      </c>
      <c r="AP97" s="156">
        <v>142487.4472961</v>
      </c>
      <c r="AQ97" s="156">
        <f t="shared" ca="1" si="90"/>
        <v>18899420.082560532</v>
      </c>
      <c r="AR97" s="156">
        <f t="shared" si="91"/>
        <v>35865.4</v>
      </c>
      <c r="AS97" s="186">
        <v>3427238.02</v>
      </c>
      <c r="AT97" s="186">
        <v>5730.82</v>
      </c>
      <c r="AU97" s="88">
        <f>'Customer Data'!$H122</f>
        <v>1</v>
      </c>
      <c r="AV97" s="126">
        <f ca="1">HLOOKUP($B97,CDM!$B$1:$Q$22,17,FALSE)/12</f>
        <v>4551.1293938503995</v>
      </c>
      <c r="AW97" s="188">
        <f t="shared" ca="1" si="58"/>
        <v>3431789.1493938505</v>
      </c>
      <c r="AX97" s="105">
        <v>1248970.24</v>
      </c>
      <c r="AY97" s="105">
        <v>2788.38</v>
      </c>
      <c r="AZ97" s="88">
        <f>'Customer Data'!$I122</f>
        <v>23585</v>
      </c>
      <c r="BA97" s="126">
        <f ca="1">HLOOKUP($B97,CDM!$B$1:$Q$22,18,FALSE)/12</f>
        <v>586806.438172522</v>
      </c>
      <c r="BB97" s="188">
        <f t="shared" ca="1" si="59"/>
        <v>589594.81817252201</v>
      </c>
      <c r="BC97" s="186">
        <v>66953.044935866899</v>
      </c>
      <c r="BD97" s="186">
        <v>183.58</v>
      </c>
      <c r="BE97" s="188">
        <f>'Customer Data'!$J122</f>
        <v>592</v>
      </c>
      <c r="BF97" s="105">
        <v>201815</v>
      </c>
      <c r="BG97" s="188">
        <f>'Customer Data'!$K122</f>
        <v>782</v>
      </c>
      <c r="BH97" s="188">
        <f>Weather!B265</f>
        <v>581.1</v>
      </c>
      <c r="BI97" s="188">
        <f>Weather!$C265</f>
        <v>0</v>
      </c>
      <c r="BJ97" s="166">
        <f>Employment!B121</f>
        <v>7035.1</v>
      </c>
      <c r="BK97" s="188">
        <f>Employment!$C121</f>
        <v>161.80000000000001</v>
      </c>
      <c r="BL97" s="188">
        <f>Employment!D121</f>
        <v>634257.80000000005</v>
      </c>
      <c r="BM97" s="188">
        <f t="shared" si="61"/>
        <v>96</v>
      </c>
      <c r="BN97" s="188">
        <f t="shared" ref="BN97:CA97" si="125">BN85</f>
        <v>0</v>
      </c>
      <c r="BO97" s="188">
        <f t="shared" si="125"/>
        <v>0</v>
      </c>
      <c r="BP97" s="188">
        <f t="shared" si="125"/>
        <v>0</v>
      </c>
      <c r="BQ97" s="188">
        <f t="shared" si="125"/>
        <v>0</v>
      </c>
      <c r="BR97" s="188">
        <f t="shared" si="125"/>
        <v>0</v>
      </c>
      <c r="BS97" s="188">
        <f t="shared" si="125"/>
        <v>0</v>
      </c>
      <c r="BT97" s="188">
        <f t="shared" si="125"/>
        <v>0</v>
      </c>
      <c r="BU97" s="188">
        <f t="shared" si="125"/>
        <v>0</v>
      </c>
      <c r="BV97" s="188">
        <f t="shared" si="125"/>
        <v>0</v>
      </c>
      <c r="BW97" s="188">
        <f t="shared" si="125"/>
        <v>0</v>
      </c>
      <c r="BX97" s="188">
        <f t="shared" si="125"/>
        <v>0</v>
      </c>
      <c r="BY97" s="188">
        <f t="shared" si="125"/>
        <v>1</v>
      </c>
      <c r="BZ97" s="188">
        <f t="shared" si="125"/>
        <v>0</v>
      </c>
      <c r="CA97" s="188">
        <f t="shared" si="125"/>
        <v>0</v>
      </c>
      <c r="CB97" s="188">
        <f t="shared" si="93"/>
        <v>0</v>
      </c>
      <c r="CC97" s="188">
        <f t="shared" si="70"/>
        <v>31</v>
      </c>
      <c r="CD97" s="121">
        <v>20</v>
      </c>
    </row>
    <row r="98" spans="1:82" s="188" customFormat="1" ht="15">
      <c r="A98" s="190">
        <v>42736</v>
      </c>
      <c r="B98" s="191">
        <f t="shared" si="52"/>
        <v>2017</v>
      </c>
      <c r="C98" s="186">
        <v>49625758.909999996</v>
      </c>
      <c r="D98" s="88">
        <f>('Customer Data'!$B122*2+'Customer Data'!$B125)/3</f>
        <v>79089.333333333328</v>
      </c>
      <c r="E98" s="188">
        <f ca="1">HLOOKUP($B98,CDM!$B$1:$Q$22,11,FALSE)/12</f>
        <v>2609463.0867100582</v>
      </c>
      <c r="F98" s="189">
        <f t="shared" ca="1" si="53"/>
        <v>52235221.996710055</v>
      </c>
      <c r="G98" s="186">
        <v>17683518.850000001</v>
      </c>
      <c r="H98" s="88">
        <f>('Customer Data'!$C122*2+'Customer Data'!$C125)/3</f>
        <v>7088</v>
      </c>
      <c r="I98" s="188">
        <f ca="1">HLOOKUP($B98,CDM!$B$1:$Q$22,12,FALSE)/12</f>
        <v>1048994.2865967674</v>
      </c>
      <c r="J98" s="188">
        <f t="shared" ca="1" si="54"/>
        <v>18732513.136596769</v>
      </c>
      <c r="K98" s="186">
        <v>84692115.859999999</v>
      </c>
      <c r="L98" s="186">
        <v>199043.37</v>
      </c>
      <c r="M98" s="88">
        <f>('Customer Data'!$D122*2+'Customer Data'!$D125)/3</f>
        <v>1250.6666666666667</v>
      </c>
      <c r="N98" s="126">
        <f ca="1">HLOOKUP($B98,CDM!$B$1:$Q$22,13,FALSE)/12</f>
        <v>4760499.4298009966</v>
      </c>
      <c r="O98" s="188">
        <f t="shared" ca="1" si="123"/>
        <v>89452615.289801002</v>
      </c>
      <c r="P98" s="188">
        <f t="shared" si="124"/>
        <v>199043.37</v>
      </c>
      <c r="Q98" s="188">
        <v>347674.857858726</v>
      </c>
      <c r="R98" s="188">
        <v>681.48</v>
      </c>
      <c r="S98" s="229">
        <v>0</v>
      </c>
      <c r="T98" s="189">
        <f t="shared" ca="1" si="88"/>
        <v>89104940.431942269</v>
      </c>
      <c r="U98" s="156">
        <f t="shared" si="89"/>
        <v>198361.88999999998</v>
      </c>
      <c r="V98" s="186">
        <v>4622569.62</v>
      </c>
      <c r="W98" s="186">
        <v>11211.52</v>
      </c>
      <c r="X98" s="88">
        <f>('Customer Data'!$E122*2+'Customer Data'!$E125)/3</f>
        <v>3</v>
      </c>
      <c r="Y98" s="126">
        <f ca="1">HLOOKUP($B98,CDM!$B$1:$Q$22,14,FALSE)/12</f>
        <v>50913.231963934668</v>
      </c>
      <c r="Z98" s="188">
        <f t="shared" ca="1" si="55"/>
        <v>4673482.8519639345</v>
      </c>
      <c r="AA98" s="186">
        <v>23659589.949999999</v>
      </c>
      <c r="AB98" s="186">
        <v>41824.01</v>
      </c>
      <c r="AC98" s="88">
        <f>('Customer Data'!$F122*2+'Customer Data'!$F125)/3</f>
        <v>6</v>
      </c>
      <c r="AD98" s="126">
        <f ca="1">HLOOKUP($B98,CDM!$B$1:$Q$22,15,FALSE)/12</f>
        <v>881443.2875361488</v>
      </c>
      <c r="AE98" s="188">
        <f t="shared" ca="1" si="56"/>
        <v>24541033.237536147</v>
      </c>
      <c r="AF98" s="186">
        <v>20387332.780000001</v>
      </c>
      <c r="AG98" s="186">
        <v>38787.839999999997</v>
      </c>
      <c r="AH98" s="88">
        <f>('Customer Data'!$G122*2+'Customer Data'!$G125)/3</f>
        <v>2</v>
      </c>
      <c r="AI98" s="126">
        <f ca="1">HLOOKUP($B98,CDM!$B$1:$Q$22,16,FALSE)/12</f>
        <v>1820874.9526191957</v>
      </c>
      <c r="AJ98" s="188">
        <f t="shared" ca="1" si="57"/>
        <v>22208207.732619196</v>
      </c>
      <c r="AK98" s="188">
        <f t="shared" si="43"/>
        <v>38787.839999999997</v>
      </c>
      <c r="AL98" s="188">
        <v>0</v>
      </c>
      <c r="AM98" s="188">
        <v>0</v>
      </c>
      <c r="AN98" s="156">
        <v>4099225.9233449479</v>
      </c>
      <c r="AO98" s="156">
        <v>6419.52</v>
      </c>
      <c r="AP98" s="156">
        <v>126310.5085342847</v>
      </c>
      <c r="AQ98" s="156">
        <f t="shared" ca="1" si="90"/>
        <v>20315496.805656914</v>
      </c>
      <c r="AR98" s="156">
        <f t="shared" si="91"/>
        <v>35404.490000000005</v>
      </c>
      <c r="AS98" s="186">
        <v>3663481.26</v>
      </c>
      <c r="AT98" s="186">
        <v>5793.02</v>
      </c>
      <c r="AU98" s="88">
        <f>('Customer Data'!$H122*2+'Customer Data'!$H125)/3</f>
        <v>1</v>
      </c>
      <c r="AV98" s="126">
        <f ca="1">HLOOKUP($B98,CDM!$B$1:$Q$22,17,FALSE)/12</f>
        <v>4423.2117899579698</v>
      </c>
      <c r="AW98" s="188">
        <f t="shared" ca="1" si="58"/>
        <v>3667904.471789958</v>
      </c>
      <c r="AX98" s="105">
        <v>1222234.49</v>
      </c>
      <c r="AY98" s="105">
        <v>2789.74</v>
      </c>
      <c r="AZ98" s="88">
        <f>('Customer Data'!$I122*2+'Customer Data'!$I125)/3</f>
        <v>23777.333333333332</v>
      </c>
      <c r="BA98" s="126">
        <f ca="1">HLOOKUP($B98,CDM!$B$1:$Q$22,18,FALSE)/12</f>
        <v>1284099.7039998348</v>
      </c>
      <c r="BB98" s="188">
        <f t="shared" ca="1" si="59"/>
        <v>1286889.4439998348</v>
      </c>
      <c r="BC98" s="186">
        <v>67666.820000000007</v>
      </c>
      <c r="BD98" s="186">
        <v>197.84</v>
      </c>
      <c r="BE98" s="188">
        <f>('Customer Data'!$J122*2+'Customer Data'!$J125*1)/3</f>
        <v>583</v>
      </c>
      <c r="BF98" s="105">
        <v>201815</v>
      </c>
      <c r="BG98" s="188">
        <f>('Customer Data'!$K122*2+'Customer Data'!$K125*1)/3</f>
        <v>782</v>
      </c>
      <c r="BH98" s="188">
        <f>Weather!B266</f>
        <v>570.4</v>
      </c>
      <c r="BI98" s="188">
        <f>Weather!$C266</f>
        <v>0</v>
      </c>
      <c r="BJ98" s="166">
        <f>Employment!B122</f>
        <v>7049.2</v>
      </c>
      <c r="BK98" s="188">
        <f>Employment!$C122</f>
        <v>162</v>
      </c>
      <c r="BL98" s="188">
        <f>Employment!D122</f>
        <v>651932.30000000005</v>
      </c>
      <c r="BM98" s="188">
        <f t="shared" si="61"/>
        <v>97</v>
      </c>
      <c r="BN98" s="188">
        <f t="shared" ref="BN98:CA98" si="126">BN86</f>
        <v>1</v>
      </c>
      <c r="BO98" s="188">
        <f t="shared" si="126"/>
        <v>0</v>
      </c>
      <c r="BP98" s="188">
        <f t="shared" si="126"/>
        <v>0</v>
      </c>
      <c r="BQ98" s="188">
        <f t="shared" si="126"/>
        <v>0</v>
      </c>
      <c r="BR98" s="188">
        <f t="shared" si="126"/>
        <v>0</v>
      </c>
      <c r="BS98" s="188">
        <f t="shared" si="126"/>
        <v>0</v>
      </c>
      <c r="BT98" s="188">
        <f t="shared" si="126"/>
        <v>0</v>
      </c>
      <c r="BU98" s="188">
        <f t="shared" si="126"/>
        <v>0</v>
      </c>
      <c r="BV98" s="188">
        <f t="shared" si="126"/>
        <v>0</v>
      </c>
      <c r="BW98" s="188">
        <f t="shared" si="126"/>
        <v>0</v>
      </c>
      <c r="BX98" s="188">
        <f t="shared" si="126"/>
        <v>0</v>
      </c>
      <c r="BY98" s="188">
        <f t="shared" si="126"/>
        <v>0</v>
      </c>
      <c r="BZ98" s="188">
        <f t="shared" si="126"/>
        <v>0</v>
      </c>
      <c r="CA98" s="188">
        <f t="shared" si="126"/>
        <v>0</v>
      </c>
      <c r="CB98" s="188">
        <f t="shared" si="93"/>
        <v>0</v>
      </c>
      <c r="CC98" s="188">
        <f t="shared" si="70"/>
        <v>31</v>
      </c>
      <c r="CD98" s="121">
        <v>22</v>
      </c>
    </row>
    <row r="99" spans="1:82" s="188" customFormat="1" ht="15">
      <c r="A99" s="190">
        <v>42767</v>
      </c>
      <c r="B99" s="191">
        <f t="shared" si="52"/>
        <v>2017</v>
      </c>
      <c r="C99" s="186">
        <v>41130798.219999999</v>
      </c>
      <c r="D99" s="88">
        <f>('Customer Data'!$B122+'Customer Data'!$B125*2)/3</f>
        <v>79130.666666666672</v>
      </c>
      <c r="E99" s="188">
        <f ca="1">HLOOKUP($B99,CDM!$B$1:$Q$22,11,FALSE)/12</f>
        <v>2609463.0867100582</v>
      </c>
      <c r="F99" s="189">
        <f t="shared" ca="1" si="53"/>
        <v>43740261.306710057</v>
      </c>
      <c r="G99" s="186">
        <v>15418210.970000001</v>
      </c>
      <c r="H99" s="88">
        <f>('Customer Data'!$C122+'Customer Data'!$C125*2)/3</f>
        <v>7098</v>
      </c>
      <c r="I99" s="188">
        <f ca="1">HLOOKUP($B99,CDM!$B$1:$Q$22,12,FALSE)/12</f>
        <v>1048994.2865967674</v>
      </c>
      <c r="J99" s="188">
        <f t="shared" ca="1" si="54"/>
        <v>16467205.256596768</v>
      </c>
      <c r="K99" s="186">
        <v>74608751.079999998</v>
      </c>
      <c r="L99" s="186">
        <v>196225.64</v>
      </c>
      <c r="M99" s="88">
        <f>('Customer Data'!$D122+'Customer Data'!$D125*2)/3</f>
        <v>1250.3333333333333</v>
      </c>
      <c r="N99" s="126">
        <f ca="1">HLOOKUP($B99,CDM!$B$1:$Q$22,13,FALSE)/12</f>
        <v>4760499.4298009966</v>
      </c>
      <c r="O99" s="188">
        <f t="shared" ca="1" si="123"/>
        <v>79369250.509801</v>
      </c>
      <c r="P99" s="188">
        <f t="shared" si="124"/>
        <v>196225.64</v>
      </c>
      <c r="Q99" s="188">
        <v>305073.72072853422</v>
      </c>
      <c r="R99" s="188">
        <v>612.45000000000005</v>
      </c>
      <c r="S99" s="229">
        <v>0</v>
      </c>
      <c r="T99" s="189">
        <f t="shared" ca="1" si="88"/>
        <v>79064176.789072469</v>
      </c>
      <c r="U99" s="156">
        <f t="shared" si="89"/>
        <v>195613.19</v>
      </c>
      <c r="V99" s="186">
        <v>3109789.48</v>
      </c>
      <c r="W99" s="186">
        <v>10514.17</v>
      </c>
      <c r="X99" s="88">
        <f>('Customer Data'!$E122+'Customer Data'!$E125*2)/3</f>
        <v>3</v>
      </c>
      <c r="Y99" s="126">
        <f ca="1">HLOOKUP($B99,CDM!$B$1:$Q$22,14,FALSE)/12</f>
        <v>50913.231963934668</v>
      </c>
      <c r="Z99" s="188">
        <f ca="1">V99+Y99</f>
        <v>3160702.7119639348</v>
      </c>
      <c r="AA99" s="186">
        <v>21617892.949999999</v>
      </c>
      <c r="AB99" s="186">
        <v>40513.160000000003</v>
      </c>
      <c r="AC99" s="88">
        <f>('Customer Data'!$F122+'Customer Data'!$F125*2)/3</f>
        <v>6</v>
      </c>
      <c r="AD99" s="126">
        <f ca="1">HLOOKUP($B99,CDM!$B$1:$Q$22,15,FALSE)/12</f>
        <v>881443.2875361488</v>
      </c>
      <c r="AE99" s="188">
        <f t="shared" ca="1" si="56"/>
        <v>22499336.237536147</v>
      </c>
      <c r="AF99" s="186">
        <v>19832408.649999999</v>
      </c>
      <c r="AG99" s="186">
        <v>39679.42</v>
      </c>
      <c r="AH99" s="88">
        <f>('Customer Data'!$G122+'Customer Data'!$G125*2)/3</f>
        <v>2</v>
      </c>
      <c r="AI99" s="126">
        <f ca="1">HLOOKUP($B99,CDM!$B$1:$Q$22,16,FALSE)/12</f>
        <v>1820874.9526191957</v>
      </c>
      <c r="AJ99" s="188">
        <f t="shared" ca="1" si="57"/>
        <v>21653283.602619193</v>
      </c>
      <c r="AK99" s="188">
        <f t="shared" ref="AK99:AK109" si="127">AG99</f>
        <v>39679.42</v>
      </c>
      <c r="AL99" s="188">
        <v>0</v>
      </c>
      <c r="AM99" s="188">
        <v>0</v>
      </c>
      <c r="AN99" s="156">
        <v>3706729.9153807866</v>
      </c>
      <c r="AO99" s="156">
        <v>6250.56</v>
      </c>
      <c r="AP99" s="156">
        <v>126310.5085342847</v>
      </c>
      <c r="AQ99" s="156">
        <f t="shared" ca="1" si="90"/>
        <v>18666295.813621074</v>
      </c>
      <c r="AR99" s="156">
        <f>AB99-AO99</f>
        <v>34262.600000000006</v>
      </c>
      <c r="AS99" s="186">
        <v>3415145.8</v>
      </c>
      <c r="AT99" s="186">
        <v>5727.87</v>
      </c>
      <c r="AU99" s="88">
        <f>('Customer Data'!$H122+'Customer Data'!$H125*2)/3</f>
        <v>1</v>
      </c>
      <c r="AV99" s="126">
        <f ca="1">HLOOKUP($B99,CDM!$B$1:$Q$22,17,FALSE)/12</f>
        <v>4423.2117899579698</v>
      </c>
      <c r="AW99" s="188">
        <f t="shared" ca="1" si="58"/>
        <v>3419569.011789958</v>
      </c>
      <c r="AX99" s="105">
        <v>564461.85</v>
      </c>
      <c r="AY99" s="105">
        <v>1550.19</v>
      </c>
      <c r="AZ99" s="88">
        <f>('Customer Data'!$I122+'Customer Data'!$I125*2)/3</f>
        <v>23969.666666666668</v>
      </c>
      <c r="BA99" s="126">
        <f ca="1">HLOOKUP($B99,CDM!$B$1:$Q$22,18,FALSE)/12</f>
        <v>1284099.7039998348</v>
      </c>
      <c r="BB99" s="188">
        <f t="shared" ca="1" si="59"/>
        <v>1285649.8939998348</v>
      </c>
      <c r="BC99" s="186">
        <v>64155.519999999997</v>
      </c>
      <c r="BD99" s="186">
        <v>182.78</v>
      </c>
      <c r="BE99" s="188">
        <f>('Customer Data'!$J122*1+'Customer Data'!$J125*2)/3</f>
        <v>574</v>
      </c>
      <c r="BF99" s="105">
        <v>201848</v>
      </c>
      <c r="BG99" s="188">
        <f>('Customer Data'!$K122*1+'Customer Data'!$K125*2)/3</f>
        <v>782</v>
      </c>
      <c r="BH99" s="188">
        <f>Weather!B267</f>
        <v>411.8</v>
      </c>
      <c r="BI99" s="188">
        <f>Weather!$C267</f>
        <v>0</v>
      </c>
      <c r="BJ99" s="166">
        <f>Employment!B123</f>
        <v>7062.5</v>
      </c>
      <c r="BK99" s="188">
        <f>Employment!$C123</f>
        <v>161.19999999999999</v>
      </c>
      <c r="BL99" s="188">
        <f>Employment!D123</f>
        <v>651932.30000000005</v>
      </c>
      <c r="BM99" s="188">
        <f t="shared" si="61"/>
        <v>98</v>
      </c>
      <c r="BN99" s="188">
        <f t="shared" ref="BN99:CA99" si="128">BN87</f>
        <v>0</v>
      </c>
      <c r="BO99" s="188">
        <f t="shared" si="128"/>
        <v>1</v>
      </c>
      <c r="BP99" s="188">
        <f t="shared" si="128"/>
        <v>0</v>
      </c>
      <c r="BQ99" s="188">
        <f t="shared" si="128"/>
        <v>0</v>
      </c>
      <c r="BR99" s="188">
        <f t="shared" si="128"/>
        <v>0</v>
      </c>
      <c r="BS99" s="188">
        <f t="shared" si="128"/>
        <v>0</v>
      </c>
      <c r="BT99" s="188">
        <f t="shared" si="128"/>
        <v>0</v>
      </c>
      <c r="BU99" s="188">
        <f t="shared" si="128"/>
        <v>0</v>
      </c>
      <c r="BV99" s="188">
        <f t="shared" si="128"/>
        <v>0</v>
      </c>
      <c r="BW99" s="188">
        <f t="shared" si="128"/>
        <v>0</v>
      </c>
      <c r="BX99" s="188">
        <f t="shared" si="128"/>
        <v>0</v>
      </c>
      <c r="BY99" s="188">
        <f t="shared" si="128"/>
        <v>0</v>
      </c>
      <c r="BZ99" s="188">
        <f t="shared" si="128"/>
        <v>0</v>
      </c>
      <c r="CA99" s="188">
        <f t="shared" si="128"/>
        <v>0</v>
      </c>
      <c r="CB99" s="188">
        <f t="shared" si="93"/>
        <v>0</v>
      </c>
      <c r="CC99" s="188">
        <f t="shared" si="70"/>
        <v>28</v>
      </c>
      <c r="CD99" s="121">
        <v>19</v>
      </c>
    </row>
    <row r="100" spans="1:82" s="188" customFormat="1" ht="15">
      <c r="A100" s="190">
        <v>42795</v>
      </c>
      <c r="B100" s="191">
        <f t="shared" si="52"/>
        <v>2017</v>
      </c>
      <c r="C100" s="186">
        <v>43228386.990000002</v>
      </c>
      <c r="D100" s="88">
        <f>'Customer Data'!$B125</f>
        <v>79172</v>
      </c>
      <c r="E100" s="188">
        <f ca="1">HLOOKUP($B100,CDM!$B$1:$Q$22,11,FALSE)/12</f>
        <v>2609463.0867100582</v>
      </c>
      <c r="F100" s="189">
        <f t="shared" ca="1" si="53"/>
        <v>45837850.07671006</v>
      </c>
      <c r="G100" s="186">
        <v>16424646.369999999</v>
      </c>
      <c r="H100" s="88">
        <f>'Customer Data'!$C125</f>
        <v>7108</v>
      </c>
      <c r="I100" s="188">
        <f ca="1">HLOOKUP($B100,CDM!$B$1:$Q$22,12,FALSE)/12</f>
        <v>1048994.2865967674</v>
      </c>
      <c r="J100" s="188">
        <f t="shared" ca="1" si="54"/>
        <v>17473640.656596765</v>
      </c>
      <c r="K100" s="186">
        <v>80370113.650000006</v>
      </c>
      <c r="L100" s="186">
        <v>196883.51</v>
      </c>
      <c r="M100" s="88">
        <f>'Customer Data'!$D125</f>
        <v>1250</v>
      </c>
      <c r="N100" s="126">
        <f ca="1">HLOOKUP($B100,CDM!$B$1:$Q$22,13,FALSE)/12</f>
        <v>4760499.4298009966</v>
      </c>
      <c r="O100" s="188">
        <f t="shared" ca="1" si="123"/>
        <v>85130613.079801008</v>
      </c>
      <c r="P100" s="188">
        <f t="shared" si="124"/>
        <v>196883.51</v>
      </c>
      <c r="Q100" s="188">
        <v>325045.5333911535</v>
      </c>
      <c r="R100" s="188">
        <v>608.66999999999996</v>
      </c>
      <c r="S100" s="229">
        <v>0</v>
      </c>
      <c r="T100" s="189">
        <f t="shared" ca="1" si="88"/>
        <v>84805567.54640986</v>
      </c>
      <c r="U100" s="156">
        <f t="shared" si="89"/>
        <v>196274.84</v>
      </c>
      <c r="V100" s="186">
        <v>3465377.79</v>
      </c>
      <c r="W100" s="186">
        <v>10791.02</v>
      </c>
      <c r="X100" s="88">
        <f>'Customer Data'!$E125</f>
        <v>3</v>
      </c>
      <c r="Y100" s="126">
        <f ca="1">HLOOKUP($B100,CDM!$B$1:$Q$22,14,FALSE)/12</f>
        <v>50913.231963934668</v>
      </c>
      <c r="Z100" s="188">
        <f ca="1">V100+Y100</f>
        <v>3516291.0219639349</v>
      </c>
      <c r="AA100" s="186">
        <v>23861783.530000001</v>
      </c>
      <c r="AB100" s="186">
        <v>43464.55</v>
      </c>
      <c r="AC100" s="88">
        <f>'Customer Data'!$F125</f>
        <v>6</v>
      </c>
      <c r="AD100" s="126">
        <f ca="1">HLOOKUP($B100,CDM!$B$1:$Q$22,15,FALSE)/12</f>
        <v>881443.2875361488</v>
      </c>
      <c r="AE100" s="188">
        <f t="shared" ca="1" si="56"/>
        <v>24743226.817536149</v>
      </c>
      <c r="AF100" s="186">
        <v>22041802.559999999</v>
      </c>
      <c r="AG100" s="186">
        <v>39497.269999999997</v>
      </c>
      <c r="AH100" s="88">
        <f>'Customer Data'!$G125</f>
        <v>2</v>
      </c>
      <c r="AI100" s="126">
        <f ca="1">HLOOKUP($B100,CDM!$B$1:$Q$22,16,FALSE)/12</f>
        <v>1820874.9526191957</v>
      </c>
      <c r="AJ100" s="188">
        <f t="shared" ca="1" si="57"/>
        <v>23862677.512619194</v>
      </c>
      <c r="AK100" s="188">
        <f t="shared" si="127"/>
        <v>39497.269999999997</v>
      </c>
      <c r="AL100" s="188">
        <v>0</v>
      </c>
      <c r="AM100" s="188">
        <v>0</v>
      </c>
      <c r="AN100" s="156">
        <v>4115846.4011946241</v>
      </c>
      <c r="AO100" s="156">
        <v>6768</v>
      </c>
      <c r="AP100" s="156">
        <v>126310.5085342847</v>
      </c>
      <c r="AQ100" s="156">
        <f t="shared" ca="1" si="90"/>
        <v>20501069.907807238</v>
      </c>
      <c r="AR100" s="156">
        <f t="shared" si="91"/>
        <v>36696.550000000003</v>
      </c>
      <c r="AS100" s="186">
        <v>3805338.48</v>
      </c>
      <c r="AT100" s="186">
        <v>5691.41</v>
      </c>
      <c r="AU100" s="88">
        <f>'Customer Data'!$H125</f>
        <v>1</v>
      </c>
      <c r="AV100" s="126">
        <f ca="1">HLOOKUP($B100,CDM!$B$1:$Q$22,17,FALSE)/12</f>
        <v>4423.2117899579698</v>
      </c>
      <c r="AW100" s="188">
        <f t="shared" ca="1" si="58"/>
        <v>3809761.6917899582</v>
      </c>
      <c r="AX100" s="105">
        <v>560664.6</v>
      </c>
      <c r="AY100" s="105">
        <v>1550.52</v>
      </c>
      <c r="AZ100" s="88">
        <f>'Customer Data'!$I125</f>
        <v>24162</v>
      </c>
      <c r="BA100" s="126">
        <f ca="1">HLOOKUP($B100,CDM!$B$1:$Q$22,18,FALSE)/12</f>
        <v>1284099.7039998348</v>
      </c>
      <c r="BB100" s="188">
        <f t="shared" ca="1" si="59"/>
        <v>1285650.2239998349</v>
      </c>
      <c r="BC100" s="186">
        <v>70478.55</v>
      </c>
      <c r="BD100" s="186">
        <v>194.09</v>
      </c>
      <c r="BE100" s="188">
        <f>'Customer Data'!$J125</f>
        <v>565</v>
      </c>
      <c r="BF100" s="105">
        <v>201848</v>
      </c>
      <c r="BG100" s="188">
        <f>'Customer Data'!$K125</f>
        <v>782</v>
      </c>
      <c r="BH100" s="188">
        <f>Weather!B268</f>
        <v>469.7</v>
      </c>
      <c r="BI100" s="188">
        <f>Weather!$C268</f>
        <v>0</v>
      </c>
      <c r="BJ100" s="166">
        <f>Employment!B124</f>
        <v>7071</v>
      </c>
      <c r="BK100" s="188">
        <f>Employment!$C124</f>
        <v>161.30000000000001</v>
      </c>
      <c r="BL100" s="188">
        <f>Employment!D124</f>
        <v>651932.30000000005</v>
      </c>
      <c r="BM100" s="188">
        <f t="shared" si="61"/>
        <v>99</v>
      </c>
      <c r="BN100" s="188">
        <f t="shared" ref="BN100:CA100" si="129">BN88</f>
        <v>0</v>
      </c>
      <c r="BO100" s="188">
        <f t="shared" si="129"/>
        <v>0</v>
      </c>
      <c r="BP100" s="188">
        <f t="shared" si="129"/>
        <v>1</v>
      </c>
      <c r="BQ100" s="188">
        <f t="shared" si="129"/>
        <v>0</v>
      </c>
      <c r="BR100" s="188">
        <f t="shared" si="129"/>
        <v>0</v>
      </c>
      <c r="BS100" s="188">
        <f t="shared" si="129"/>
        <v>0</v>
      </c>
      <c r="BT100" s="188">
        <f t="shared" si="129"/>
        <v>0</v>
      </c>
      <c r="BU100" s="188">
        <f t="shared" si="129"/>
        <v>0</v>
      </c>
      <c r="BV100" s="188">
        <f t="shared" si="129"/>
        <v>0</v>
      </c>
      <c r="BW100" s="188">
        <f t="shared" si="129"/>
        <v>0</v>
      </c>
      <c r="BX100" s="188">
        <f t="shared" si="129"/>
        <v>0</v>
      </c>
      <c r="BY100" s="188">
        <f t="shared" si="129"/>
        <v>0</v>
      </c>
      <c r="BZ100" s="188">
        <f t="shared" si="129"/>
        <v>1</v>
      </c>
      <c r="CA100" s="188">
        <f t="shared" si="129"/>
        <v>0</v>
      </c>
      <c r="CB100" s="188">
        <f t="shared" si="93"/>
        <v>1</v>
      </c>
      <c r="CC100" s="188">
        <f t="shared" si="70"/>
        <v>31</v>
      </c>
      <c r="CD100" s="121">
        <v>23</v>
      </c>
    </row>
    <row r="101" spans="1:82" s="188" customFormat="1" ht="15">
      <c r="A101" s="190">
        <v>42826</v>
      </c>
      <c r="B101" s="191">
        <f t="shared" si="52"/>
        <v>2017</v>
      </c>
      <c r="C101" s="186">
        <v>37129641.090000004</v>
      </c>
      <c r="D101" s="88">
        <f>('Customer Data'!$B125*2+'Customer Data'!$B128)/3</f>
        <v>79217</v>
      </c>
      <c r="E101" s="188">
        <f ca="1">HLOOKUP($B101,CDM!$B$1:$Q$22,11,FALSE)/12</f>
        <v>2609463.0867100582</v>
      </c>
      <c r="F101" s="189">
        <f t="shared" ca="1" si="53"/>
        <v>39739104.176710062</v>
      </c>
      <c r="G101" s="186">
        <v>14691132.689999999</v>
      </c>
      <c r="H101" s="88">
        <f>('Customer Data'!$C125*2+'Customer Data'!$C128)/3</f>
        <v>7108.333333333333</v>
      </c>
      <c r="I101" s="188">
        <f ca="1">HLOOKUP($B101,CDM!$B$1:$Q$22,12,FALSE)/12</f>
        <v>1048994.2865967674</v>
      </c>
      <c r="J101" s="188">
        <f t="shared" ca="1" si="54"/>
        <v>15740126.976596767</v>
      </c>
      <c r="K101" s="186">
        <v>70504177.920000002</v>
      </c>
      <c r="L101" s="186">
        <v>192680.63</v>
      </c>
      <c r="M101" s="88">
        <f>('Customer Data'!$D125*2+'Customer Data'!$D128)/3</f>
        <v>1249.6666666666667</v>
      </c>
      <c r="N101" s="126">
        <f ca="1">HLOOKUP($B101,CDM!$B$1:$Q$22,13,FALSE)/12</f>
        <v>4760499.4298009966</v>
      </c>
      <c r="O101" s="188">
        <f t="shared" ca="1" si="123"/>
        <v>75264677.349801004</v>
      </c>
      <c r="P101" s="188">
        <f t="shared" si="124"/>
        <v>192680.63</v>
      </c>
      <c r="Q101" s="188">
        <v>310277.16102919914</v>
      </c>
      <c r="R101" s="188">
        <v>586.89</v>
      </c>
      <c r="S101" s="229">
        <v>0</v>
      </c>
      <c r="T101" s="189">
        <f t="shared" ca="1" si="88"/>
        <v>74954400.188771799</v>
      </c>
      <c r="U101" s="156">
        <f t="shared" si="89"/>
        <v>192093.74</v>
      </c>
      <c r="V101" s="186">
        <v>3206890.11</v>
      </c>
      <c r="W101" s="186">
        <v>9908.07</v>
      </c>
      <c r="X101" s="88">
        <f>('Customer Data'!$E125*2+'Customer Data'!$E128)/3</f>
        <v>3</v>
      </c>
      <c r="Y101" s="126">
        <f ca="1">HLOOKUP($B101,CDM!$B$1:$Q$22,14,FALSE)/12</f>
        <v>50913.231963934668</v>
      </c>
      <c r="Z101" s="188">
        <f ca="1">V101+Y101</f>
        <v>3257803.3419639347</v>
      </c>
      <c r="AA101" s="186">
        <v>23067952.48</v>
      </c>
      <c r="AB101" s="186">
        <v>42084.86</v>
      </c>
      <c r="AC101" s="88">
        <f>('Customer Data'!$F125*2+'Customer Data'!$F128)/3</f>
        <v>6</v>
      </c>
      <c r="AD101" s="126">
        <f ca="1">HLOOKUP($B101,CDM!$B$1:$Q$22,15,FALSE)/12</f>
        <v>881443.2875361488</v>
      </c>
      <c r="AE101" s="188">
        <f t="shared" ca="1" si="56"/>
        <v>23949395.767536148</v>
      </c>
      <c r="AF101" s="186">
        <v>19781231.760000002</v>
      </c>
      <c r="AG101" s="186">
        <v>39639.93</v>
      </c>
      <c r="AH101" s="88">
        <f>('Customer Data'!$G125*2+'Customer Data'!$G128)/3</f>
        <v>2</v>
      </c>
      <c r="AI101" s="126">
        <f ca="1">HLOOKUP($B101,CDM!$B$1:$Q$22,16,FALSE)/12</f>
        <v>1820874.9526191957</v>
      </c>
      <c r="AJ101" s="188">
        <f t="shared" ca="1" si="57"/>
        <v>21602106.712619197</v>
      </c>
      <c r="AK101" s="188">
        <f t="shared" si="127"/>
        <v>39639.93</v>
      </c>
      <c r="AL101" s="188">
        <v>0</v>
      </c>
      <c r="AM101" s="188">
        <v>0</v>
      </c>
      <c r="AN101" s="156">
        <v>3999867.8446988552</v>
      </c>
      <c r="AO101" s="156">
        <v>6471.36</v>
      </c>
      <c r="AP101" s="156">
        <v>126310.5085342847</v>
      </c>
      <c r="AQ101" s="156">
        <f t="shared" ca="1" si="90"/>
        <v>19823217.414303008</v>
      </c>
      <c r="AR101" s="156">
        <f t="shared" si="91"/>
        <v>35613.5</v>
      </c>
      <c r="AS101" s="186">
        <v>3503151.56</v>
      </c>
      <c r="AT101" s="186">
        <v>5558.96</v>
      </c>
      <c r="AU101" s="88">
        <f>('Customer Data'!$H125*2+'Customer Data'!$H128)/3</f>
        <v>1</v>
      </c>
      <c r="AV101" s="126">
        <f ca="1">HLOOKUP($B101,CDM!$B$1:$Q$22,17,FALSE)/12</f>
        <v>4423.2117899579698</v>
      </c>
      <c r="AW101" s="188">
        <f t="shared" ca="1" si="58"/>
        <v>3507574.7717899582</v>
      </c>
      <c r="AX101" s="105">
        <v>476376.56</v>
      </c>
      <c r="AY101" s="105">
        <v>1550.76</v>
      </c>
      <c r="AZ101" s="88">
        <f>('Customer Data'!$I125*2+'Customer Data'!$I128)/3</f>
        <v>24166.666666666668</v>
      </c>
      <c r="BA101" s="126">
        <f ca="1">HLOOKUP($B101,CDM!$B$1:$Q$22,18,FALSE)/12</f>
        <v>1284099.7039998348</v>
      </c>
      <c r="BB101" s="188">
        <f t="shared" ca="1" si="59"/>
        <v>1285650.4639998348</v>
      </c>
      <c r="BC101" s="186">
        <v>66787.97</v>
      </c>
      <c r="BD101" s="186">
        <v>185.77</v>
      </c>
      <c r="BE101" s="188">
        <f>('Customer Data'!$J125*2+'Customer Data'!$J128*1)/3</f>
        <v>564</v>
      </c>
      <c r="BF101" s="105">
        <v>201848</v>
      </c>
      <c r="BG101" s="188">
        <f>('Customer Data'!$K125*2+'Customer Data'!$K128*1)/3</f>
        <v>782</v>
      </c>
      <c r="BH101" s="188">
        <f>Weather!B269</f>
        <v>177.1</v>
      </c>
      <c r="BI101" s="188">
        <f>Weather!$C269</f>
        <v>6.1</v>
      </c>
      <c r="BJ101" s="166">
        <f>Employment!B125</f>
        <v>7073.2</v>
      </c>
      <c r="BK101" s="188">
        <f>Employment!$C125</f>
        <v>160.19999999999999</v>
      </c>
      <c r="BL101" s="188">
        <f>Employment!D125</f>
        <v>651932.30000000005</v>
      </c>
      <c r="BM101" s="188">
        <f t="shared" si="61"/>
        <v>100</v>
      </c>
      <c r="BN101" s="188">
        <f t="shared" ref="BN101:CA101" si="130">BN89</f>
        <v>0</v>
      </c>
      <c r="BO101" s="188">
        <f t="shared" si="130"/>
        <v>0</v>
      </c>
      <c r="BP101" s="188">
        <f t="shared" si="130"/>
        <v>0</v>
      </c>
      <c r="BQ101" s="188">
        <f t="shared" si="130"/>
        <v>1</v>
      </c>
      <c r="BR101" s="188">
        <f t="shared" si="130"/>
        <v>0</v>
      </c>
      <c r="BS101" s="188">
        <f t="shared" si="130"/>
        <v>0</v>
      </c>
      <c r="BT101" s="188">
        <f t="shared" si="130"/>
        <v>0</v>
      </c>
      <c r="BU101" s="188">
        <f t="shared" si="130"/>
        <v>0</v>
      </c>
      <c r="BV101" s="188">
        <f t="shared" si="130"/>
        <v>0</v>
      </c>
      <c r="BW101" s="188">
        <f t="shared" si="130"/>
        <v>0</v>
      </c>
      <c r="BX101" s="188">
        <f t="shared" si="130"/>
        <v>0</v>
      </c>
      <c r="BY101" s="188">
        <f t="shared" si="130"/>
        <v>0</v>
      </c>
      <c r="BZ101" s="188">
        <f t="shared" si="130"/>
        <v>1</v>
      </c>
      <c r="CA101" s="188">
        <f t="shared" si="130"/>
        <v>0</v>
      </c>
      <c r="CB101" s="188">
        <f t="shared" si="93"/>
        <v>1</v>
      </c>
      <c r="CC101" s="188">
        <f t="shared" si="70"/>
        <v>30</v>
      </c>
      <c r="CD101" s="121">
        <v>19</v>
      </c>
    </row>
    <row r="102" spans="1:82" s="188" customFormat="1" ht="15">
      <c r="A102" s="190">
        <v>42856</v>
      </c>
      <c r="B102" s="191">
        <f t="shared" si="52"/>
        <v>2017</v>
      </c>
      <c r="C102" s="186">
        <v>40774382.07</v>
      </c>
      <c r="D102" s="88">
        <f>('Customer Data'!$B125+'Customer Data'!$B128*2)/3</f>
        <v>79262</v>
      </c>
      <c r="E102" s="188">
        <f ca="1">HLOOKUP($B102,CDM!$B$1:$Q$22,11,FALSE)/12</f>
        <v>2609463.0867100582</v>
      </c>
      <c r="F102" s="189">
        <f t="shared" ca="1" si="53"/>
        <v>43383845.156710058</v>
      </c>
      <c r="G102" s="186">
        <v>15490778.939999999</v>
      </c>
      <c r="H102" s="88">
        <f>('Customer Data'!$C125+'Customer Data'!$C128*2)/3</f>
        <v>7108.666666666667</v>
      </c>
      <c r="I102" s="188">
        <f ca="1">HLOOKUP($B102,CDM!$B$1:$Q$22,12,FALSE)/12</f>
        <v>1048994.2865967674</v>
      </c>
      <c r="J102" s="188">
        <f t="shared" ca="1" si="54"/>
        <v>16539773.226596767</v>
      </c>
      <c r="K102" s="186">
        <v>74225667.200000003</v>
      </c>
      <c r="L102" s="186">
        <v>199594.62</v>
      </c>
      <c r="M102" s="88">
        <f>('Customer Data'!$D125+'Customer Data'!$D128*2)/3</f>
        <v>1249.3333333333333</v>
      </c>
      <c r="N102" s="126">
        <f ca="1">HLOOKUP($B102,CDM!$B$1:$Q$22,13,FALSE)/12</f>
        <v>4760499.4298009966</v>
      </c>
      <c r="O102" s="188">
        <f t="shared" ca="1" si="123"/>
        <v>78986166.629801005</v>
      </c>
      <c r="P102" s="188">
        <f t="shared" si="124"/>
        <v>199594.62</v>
      </c>
      <c r="Q102" s="188">
        <v>312026.49127878965</v>
      </c>
      <c r="R102" s="188">
        <v>574.11</v>
      </c>
      <c r="S102" s="229">
        <v>0</v>
      </c>
      <c r="T102" s="189">
        <f t="shared" ca="1" si="88"/>
        <v>78674140.138522223</v>
      </c>
      <c r="U102" s="156">
        <f t="shared" si="89"/>
        <v>199020.51</v>
      </c>
      <c r="V102" s="186">
        <v>3454342.88</v>
      </c>
      <c r="W102" s="186">
        <v>10854.34</v>
      </c>
      <c r="X102" s="88">
        <f>('Customer Data'!$E125+'Customer Data'!$E128*2)/3</f>
        <v>3</v>
      </c>
      <c r="Y102" s="126">
        <f ca="1">HLOOKUP($B102,CDM!$B$1:$Q$22,14,FALSE)/12</f>
        <v>50913.231963934668</v>
      </c>
      <c r="Z102" s="188">
        <f t="shared" ca="1" si="55"/>
        <v>3505256.1119639347</v>
      </c>
      <c r="AA102" s="186">
        <v>24869724.140000001</v>
      </c>
      <c r="AB102" s="186">
        <v>44685.85</v>
      </c>
      <c r="AC102" s="88">
        <f>('Customer Data'!$F125+'Customer Data'!$F128*2)/3</f>
        <v>6</v>
      </c>
      <c r="AD102" s="126">
        <f ca="1">HLOOKUP($B102,CDM!$B$1:$Q$22,15,FALSE)/12</f>
        <v>881443.2875361488</v>
      </c>
      <c r="AE102" s="188">
        <f t="shared" ca="1" si="56"/>
        <v>25751167.427536149</v>
      </c>
      <c r="AF102" s="186">
        <v>22184339.66</v>
      </c>
      <c r="AG102" s="186">
        <v>43564.63</v>
      </c>
      <c r="AH102" s="88">
        <f>('Customer Data'!$G125+'Customer Data'!$G128*2)/3</f>
        <v>2</v>
      </c>
      <c r="AI102" s="126">
        <f ca="1">HLOOKUP($B102,CDM!$B$1:$Q$22,16,FALSE)/12</f>
        <v>1820874.9526191957</v>
      </c>
      <c r="AJ102" s="188">
        <f t="shared" ca="1" si="57"/>
        <v>24005214.612619195</v>
      </c>
      <c r="AK102" s="188">
        <f t="shared" si="127"/>
        <v>43564.63</v>
      </c>
      <c r="AL102" s="188">
        <v>0</v>
      </c>
      <c r="AM102" s="188">
        <v>0</v>
      </c>
      <c r="AN102" s="156">
        <v>4292659.2035838729</v>
      </c>
      <c r="AO102" s="156">
        <v>6349.44</v>
      </c>
      <c r="AP102" s="156">
        <v>126310.5085342847</v>
      </c>
      <c r="AQ102" s="156">
        <f t="shared" ca="1" si="90"/>
        <v>21332197.715417989</v>
      </c>
      <c r="AR102" s="156">
        <f t="shared" si="91"/>
        <v>38336.409999999996</v>
      </c>
      <c r="AS102" s="186">
        <v>3571522.56</v>
      </c>
      <c r="AT102" s="186">
        <v>6031.51</v>
      </c>
      <c r="AU102" s="88">
        <f>('Customer Data'!$H125+'Customer Data'!$H128*2)/3</f>
        <v>1</v>
      </c>
      <c r="AV102" s="126">
        <f ca="1">HLOOKUP($B102,CDM!$B$1:$Q$22,17,FALSE)/12</f>
        <v>4423.2117899579698</v>
      </c>
      <c r="AW102" s="188">
        <f t="shared" ca="1" si="58"/>
        <v>3575945.7717899582</v>
      </c>
      <c r="AX102" s="105">
        <v>429758.76</v>
      </c>
      <c r="AY102" s="105">
        <v>1551.01</v>
      </c>
      <c r="AZ102" s="88">
        <f>('Customer Data'!$I125+'Customer Data'!$I128*2)/3</f>
        <v>24171.333333333332</v>
      </c>
      <c r="BA102" s="126">
        <f ca="1">HLOOKUP($B102,CDM!$B$1:$Q$22,18,FALSE)/12</f>
        <v>1284099.7039998348</v>
      </c>
      <c r="BB102" s="188">
        <f t="shared" ca="1" si="59"/>
        <v>1285650.7139998348</v>
      </c>
      <c r="BC102" s="186">
        <v>67158.25</v>
      </c>
      <c r="BD102" s="186">
        <v>191.25</v>
      </c>
      <c r="BE102" s="188">
        <f>('Customer Data'!$J125*1+'Customer Data'!$J128*2)/3</f>
        <v>563</v>
      </c>
      <c r="BF102" s="105">
        <v>201848</v>
      </c>
      <c r="BG102" s="188">
        <f>('Customer Data'!$K125*1+'Customer Data'!$K128*2)/3</f>
        <v>782</v>
      </c>
      <c r="BH102" s="188">
        <f>Weather!B270</f>
        <v>124.4</v>
      </c>
      <c r="BI102" s="188">
        <f>Weather!$C270</f>
        <v>28.5</v>
      </c>
      <c r="BJ102" s="166">
        <f>Employment!B126</f>
        <v>7076.2</v>
      </c>
      <c r="BK102" s="188">
        <f>Employment!$C126</f>
        <v>160</v>
      </c>
      <c r="BL102" s="188">
        <f>Employment!D126</f>
        <v>651932.30000000005</v>
      </c>
      <c r="BM102" s="188">
        <f t="shared" si="61"/>
        <v>101</v>
      </c>
      <c r="BN102" s="188">
        <f t="shared" ref="BN102:CA102" si="131">BN90</f>
        <v>0</v>
      </c>
      <c r="BO102" s="188">
        <f t="shared" si="131"/>
        <v>0</v>
      </c>
      <c r="BP102" s="188">
        <f t="shared" si="131"/>
        <v>0</v>
      </c>
      <c r="BQ102" s="188">
        <f t="shared" si="131"/>
        <v>0</v>
      </c>
      <c r="BR102" s="188">
        <f t="shared" si="131"/>
        <v>1</v>
      </c>
      <c r="BS102" s="188">
        <f t="shared" si="131"/>
        <v>0</v>
      </c>
      <c r="BT102" s="188">
        <f t="shared" si="131"/>
        <v>0</v>
      </c>
      <c r="BU102" s="188">
        <f t="shared" si="131"/>
        <v>0</v>
      </c>
      <c r="BV102" s="188">
        <f t="shared" si="131"/>
        <v>0</v>
      </c>
      <c r="BW102" s="188">
        <f t="shared" si="131"/>
        <v>0</v>
      </c>
      <c r="BX102" s="188">
        <f t="shared" si="131"/>
        <v>0</v>
      </c>
      <c r="BY102" s="188">
        <f t="shared" si="131"/>
        <v>0</v>
      </c>
      <c r="BZ102" s="188">
        <f t="shared" si="131"/>
        <v>1</v>
      </c>
      <c r="CA102" s="188">
        <f t="shared" si="131"/>
        <v>0</v>
      </c>
      <c r="CB102" s="188">
        <f t="shared" si="93"/>
        <v>1</v>
      </c>
      <c r="CC102" s="188">
        <f t="shared" si="70"/>
        <v>31</v>
      </c>
      <c r="CD102" s="121">
        <v>22</v>
      </c>
    </row>
    <row r="103" spans="1:82" s="188" customFormat="1" ht="15">
      <c r="A103" s="190">
        <v>42887</v>
      </c>
      <c r="B103" s="191">
        <f t="shared" si="52"/>
        <v>2017</v>
      </c>
      <c r="C103" s="186">
        <v>55710159.32</v>
      </c>
      <c r="D103" s="88">
        <f>'Customer Data'!$B128</f>
        <v>79307</v>
      </c>
      <c r="E103" s="188">
        <f ca="1">HLOOKUP($B103,CDM!$B$1:$Q$22,11,FALSE)/12</f>
        <v>2609463.0867100582</v>
      </c>
      <c r="F103" s="189">
        <f t="shared" ca="1" si="53"/>
        <v>58319622.406710058</v>
      </c>
      <c r="G103" s="186">
        <v>17238542.359999999</v>
      </c>
      <c r="H103" s="88">
        <f>'Customer Data'!$C128</f>
        <v>7109</v>
      </c>
      <c r="I103" s="188">
        <f ca="1">HLOOKUP($B103,CDM!$B$1:$Q$22,12,FALSE)/12</f>
        <v>1048994.2865967674</v>
      </c>
      <c r="J103" s="188">
        <f t="shared" ca="1" si="54"/>
        <v>18287536.646596767</v>
      </c>
      <c r="K103" s="186">
        <v>78218646.810000002</v>
      </c>
      <c r="L103" s="186">
        <v>206702.89</v>
      </c>
      <c r="M103" s="88">
        <f>'Customer Data'!$D128</f>
        <v>1249</v>
      </c>
      <c r="N103" s="126">
        <f ca="1">HLOOKUP($B103,CDM!$B$1:$Q$22,13,FALSE)/12</f>
        <v>4760499.4298009966</v>
      </c>
      <c r="O103" s="188">
        <f t="shared" ca="1" si="123"/>
        <v>82979146.239801005</v>
      </c>
      <c r="P103" s="188">
        <f t="shared" si="124"/>
        <v>206702.89</v>
      </c>
      <c r="Q103" s="188">
        <v>307579.6762069962</v>
      </c>
      <c r="R103" s="188">
        <v>650.88</v>
      </c>
      <c r="S103" s="229">
        <v>0</v>
      </c>
      <c r="T103" s="189">
        <f t="shared" ca="1" si="88"/>
        <v>82671566.563594013</v>
      </c>
      <c r="U103" s="156">
        <f t="shared" si="89"/>
        <v>206052.01</v>
      </c>
      <c r="V103" s="186">
        <v>3850048.97</v>
      </c>
      <c r="W103" s="186">
        <v>11964.64</v>
      </c>
      <c r="X103" s="88">
        <f>'Customer Data'!$E128</f>
        <v>3</v>
      </c>
      <c r="Y103" s="126">
        <f ca="1">HLOOKUP($B103,CDM!$B$1:$Q$22,14,FALSE)/12</f>
        <v>50913.231963934668</v>
      </c>
      <c r="Z103" s="188">
        <f t="shared" ca="1" si="55"/>
        <v>3900962.201963935</v>
      </c>
      <c r="AA103" s="186">
        <v>27349410.210000001</v>
      </c>
      <c r="AB103" s="186">
        <v>53100.92</v>
      </c>
      <c r="AC103" s="88">
        <f>'Customer Data'!$F128</f>
        <v>6</v>
      </c>
      <c r="AD103" s="126">
        <f ca="1">HLOOKUP($B103,CDM!$B$1:$Q$22,15,FALSE)/12</f>
        <v>881443.2875361488</v>
      </c>
      <c r="AE103" s="188">
        <f t="shared" ca="1" si="56"/>
        <v>28230853.497536149</v>
      </c>
      <c r="AF103" s="186">
        <v>25231812.739999998</v>
      </c>
      <c r="AG103" s="186">
        <v>46163.45</v>
      </c>
      <c r="AH103" s="88">
        <f>'Customer Data'!$G128</f>
        <v>2</v>
      </c>
      <c r="AI103" s="126">
        <f ca="1">HLOOKUP($B103,CDM!$B$1:$Q$22,16,FALSE)/12</f>
        <v>1820874.9526191957</v>
      </c>
      <c r="AJ103" s="188">
        <f t="shared" ca="1" si="57"/>
        <v>27052687.692619193</v>
      </c>
      <c r="AK103" s="188">
        <f t="shared" si="127"/>
        <v>46163.45</v>
      </c>
      <c r="AL103" s="188">
        <v>0</v>
      </c>
      <c r="AM103" s="188">
        <v>0</v>
      </c>
      <c r="AN103" s="156">
        <v>4305239.0443006475</v>
      </c>
      <c r="AO103" s="156">
        <v>9233.2800000000007</v>
      </c>
      <c r="AP103" s="156">
        <v>126310.5085342847</v>
      </c>
      <c r="AQ103" s="156">
        <f t="shared" ca="1" si="90"/>
        <v>23799303.944701213</v>
      </c>
      <c r="AR103" s="156">
        <f t="shared" si="91"/>
        <v>43867.64</v>
      </c>
      <c r="AS103" s="186">
        <v>3928929.87</v>
      </c>
      <c r="AT103" s="186">
        <v>6455.75</v>
      </c>
      <c r="AU103" s="88">
        <f>'Customer Data'!$H128</f>
        <v>1</v>
      </c>
      <c r="AV103" s="126">
        <f ca="1">HLOOKUP($B103,CDM!$B$1:$Q$22,17,FALSE)/12</f>
        <v>4423.2117899579698</v>
      </c>
      <c r="AW103" s="188">
        <f t="shared" ca="1" si="58"/>
        <v>3933353.0817899583</v>
      </c>
      <c r="AX103" s="105">
        <v>382127.83</v>
      </c>
      <c r="AY103" s="105">
        <v>1545.94</v>
      </c>
      <c r="AZ103" s="88">
        <f>'Customer Data'!$I128</f>
        <v>24176</v>
      </c>
      <c r="BA103" s="126">
        <f ca="1">HLOOKUP($B103,CDM!$B$1:$Q$22,18,FALSE)/12</f>
        <v>1284099.7039998348</v>
      </c>
      <c r="BB103" s="188">
        <f t="shared" ca="1" si="59"/>
        <v>1285645.6439998348</v>
      </c>
      <c r="BC103" s="186">
        <v>65711.86</v>
      </c>
      <c r="BD103" s="186">
        <v>181.08</v>
      </c>
      <c r="BE103" s="188">
        <f>'Customer Data'!$J128</f>
        <v>562</v>
      </c>
      <c r="BF103" s="105">
        <v>201919</v>
      </c>
      <c r="BG103" s="188">
        <f>'Customer Data'!$K128</f>
        <v>782</v>
      </c>
      <c r="BH103" s="188">
        <f>Weather!B271</f>
        <v>2.9</v>
      </c>
      <c r="BI103" s="188">
        <f>Weather!$C271</f>
        <v>128.1</v>
      </c>
      <c r="BJ103" s="166">
        <f>Employment!B127</f>
        <v>7082.2</v>
      </c>
      <c r="BK103" s="188">
        <f>Employment!$C127</f>
        <v>160.5</v>
      </c>
      <c r="BL103" s="188">
        <f>Employment!D127</f>
        <v>651932.30000000005</v>
      </c>
      <c r="BM103" s="188">
        <f t="shared" si="61"/>
        <v>102</v>
      </c>
      <c r="BN103" s="188">
        <f t="shared" ref="BN103:CA103" si="132">BN91</f>
        <v>0</v>
      </c>
      <c r="BO103" s="188">
        <f t="shared" si="132"/>
        <v>0</v>
      </c>
      <c r="BP103" s="188">
        <f t="shared" si="132"/>
        <v>0</v>
      </c>
      <c r="BQ103" s="188">
        <f t="shared" si="132"/>
        <v>0</v>
      </c>
      <c r="BR103" s="188">
        <f t="shared" si="132"/>
        <v>0</v>
      </c>
      <c r="BS103" s="188">
        <f t="shared" si="132"/>
        <v>1</v>
      </c>
      <c r="BT103" s="188">
        <f t="shared" si="132"/>
        <v>0</v>
      </c>
      <c r="BU103" s="188">
        <f t="shared" si="132"/>
        <v>0</v>
      </c>
      <c r="BV103" s="188">
        <f t="shared" si="132"/>
        <v>0</v>
      </c>
      <c r="BW103" s="188">
        <f t="shared" si="132"/>
        <v>0</v>
      </c>
      <c r="BX103" s="188">
        <f t="shared" si="132"/>
        <v>0</v>
      </c>
      <c r="BY103" s="188">
        <f t="shared" si="132"/>
        <v>0</v>
      </c>
      <c r="BZ103" s="188">
        <f t="shared" si="132"/>
        <v>0</v>
      </c>
      <c r="CA103" s="188">
        <f t="shared" si="132"/>
        <v>0</v>
      </c>
      <c r="CB103" s="188">
        <f t="shared" si="93"/>
        <v>0</v>
      </c>
      <c r="CC103" s="188">
        <f t="shared" si="70"/>
        <v>30</v>
      </c>
      <c r="CD103" s="121">
        <v>22</v>
      </c>
    </row>
    <row r="104" spans="1:82" s="188" customFormat="1" ht="15">
      <c r="A104" s="190">
        <v>42917</v>
      </c>
      <c r="B104" s="191">
        <f t="shared" si="52"/>
        <v>2017</v>
      </c>
      <c r="C104" s="186">
        <v>67547683.170000002</v>
      </c>
      <c r="D104" s="88">
        <f>('Customer Data'!$B128*2+'Customer Data'!$B131)/3</f>
        <v>79318.333333333328</v>
      </c>
      <c r="E104" s="188">
        <f ca="1">HLOOKUP($B104,CDM!$B$1:$Q$22,11,FALSE)/12</f>
        <v>2609463.0867100582</v>
      </c>
      <c r="F104" s="189">
        <f t="shared" ca="1" si="53"/>
        <v>70157146.256710052</v>
      </c>
      <c r="G104" s="186">
        <v>19099676.18</v>
      </c>
      <c r="H104" s="88">
        <f>('Customer Data'!$C128*2+'Customer Data'!$C131)/3</f>
        <v>7107</v>
      </c>
      <c r="I104" s="188">
        <f ca="1">HLOOKUP($B104,CDM!$B$1:$Q$22,12,FALSE)/12</f>
        <v>1048994.2865967674</v>
      </c>
      <c r="J104" s="188">
        <f t="shared" ca="1" si="54"/>
        <v>20148670.466596767</v>
      </c>
      <c r="K104" s="186">
        <v>81677687.379999995</v>
      </c>
      <c r="L104" s="186">
        <v>210758.73</v>
      </c>
      <c r="M104" s="88">
        <f>('Customer Data'!$D128*2+'Customer Data'!$D131)/3</f>
        <v>1250.3333333333333</v>
      </c>
      <c r="N104" s="126">
        <f ca="1">HLOOKUP($B104,CDM!$B$1:$Q$22,13,FALSE)/12</f>
        <v>4760499.4298009966</v>
      </c>
      <c r="O104" s="188">
        <f t="shared" ca="1" si="123"/>
        <v>86438186.809800997</v>
      </c>
      <c r="P104" s="188">
        <f t="shared" si="124"/>
        <v>210758.73</v>
      </c>
      <c r="Q104" s="188">
        <v>262132.37930037582</v>
      </c>
      <c r="R104" s="188">
        <v>521.37</v>
      </c>
      <c r="S104" s="229">
        <v>0</v>
      </c>
      <c r="T104" s="189">
        <f t="shared" ca="1" si="88"/>
        <v>86176054.430500627</v>
      </c>
      <c r="U104" s="156">
        <f t="shared" si="89"/>
        <v>210237.36000000002</v>
      </c>
      <c r="V104" s="186">
        <v>3897889.97</v>
      </c>
      <c r="W104" s="186">
        <v>11464.12</v>
      </c>
      <c r="X104" s="88">
        <f>('Customer Data'!$E128*2+'Customer Data'!$E131)/3</f>
        <v>3</v>
      </c>
      <c r="Y104" s="126">
        <f ca="1">HLOOKUP($B104,CDM!$B$1:$Q$22,14,FALSE)/12</f>
        <v>50913.231963934668</v>
      </c>
      <c r="Z104" s="188">
        <f t="shared" ca="1" si="55"/>
        <v>3948803.201963935</v>
      </c>
      <c r="AA104" s="186">
        <v>28925454.41</v>
      </c>
      <c r="AB104" s="186">
        <v>51426.01</v>
      </c>
      <c r="AC104" s="88">
        <f>('Customer Data'!$F128*2+'Customer Data'!$F131)/3</f>
        <v>6</v>
      </c>
      <c r="AD104" s="126">
        <f ca="1">HLOOKUP($B104,CDM!$B$1:$Q$22,15,FALSE)/12</f>
        <v>881443.2875361488</v>
      </c>
      <c r="AE104" s="188">
        <f t="shared" ca="1" si="56"/>
        <v>29806897.697536148</v>
      </c>
      <c r="AF104" s="186">
        <v>19375511.449999999</v>
      </c>
      <c r="AG104" s="186">
        <v>44924.68</v>
      </c>
      <c r="AH104" s="88">
        <f>('Customer Data'!$G128*2+'Customer Data'!$G131)/3</f>
        <v>2</v>
      </c>
      <c r="AI104" s="126">
        <f ca="1">HLOOKUP($B104,CDM!$B$1:$Q$22,16,FALSE)/12</f>
        <v>1820874.9526191957</v>
      </c>
      <c r="AJ104" s="188">
        <f t="shared" ca="1" si="57"/>
        <v>21196386.402619194</v>
      </c>
      <c r="AK104" s="188">
        <f t="shared" si="127"/>
        <v>44924.68</v>
      </c>
      <c r="AL104" s="188">
        <v>0</v>
      </c>
      <c r="AM104" s="188">
        <v>0</v>
      </c>
      <c r="AN104" s="156">
        <v>4356082.558486809</v>
      </c>
      <c r="AO104" s="156">
        <v>6441.6</v>
      </c>
      <c r="AP104" s="156">
        <v>126310.5085342847</v>
      </c>
      <c r="AQ104" s="156">
        <f t="shared" ca="1" si="90"/>
        <v>25324504.630515054</v>
      </c>
      <c r="AR104" s="156">
        <f t="shared" si="91"/>
        <v>44984.41</v>
      </c>
      <c r="AS104" s="186">
        <v>3014205.43</v>
      </c>
      <c r="AT104" s="186">
        <v>6196.06</v>
      </c>
      <c r="AU104" s="88">
        <f>('Customer Data'!$H128*2+'Customer Data'!$H131)/3</f>
        <v>1</v>
      </c>
      <c r="AV104" s="126">
        <f ca="1">HLOOKUP($B104,CDM!$B$1:$Q$22,17,FALSE)/12</f>
        <v>4423.2117899579698</v>
      </c>
      <c r="AW104" s="188">
        <f t="shared" ca="1" si="58"/>
        <v>3018628.6417899583</v>
      </c>
      <c r="AX104" s="105">
        <v>411066.03</v>
      </c>
      <c r="AY104" s="105">
        <v>1546.06</v>
      </c>
      <c r="AZ104" s="88">
        <f>('Customer Data'!$I128*2+'Customer Data'!$I131)/3</f>
        <v>24150.666666666668</v>
      </c>
      <c r="BA104" s="126">
        <f ca="1">HLOOKUP($B104,CDM!$B$1:$Q$22,18,FALSE)/12</f>
        <v>1284099.7039998348</v>
      </c>
      <c r="BB104" s="188">
        <f t="shared" ca="1" si="59"/>
        <v>1285645.7639998349</v>
      </c>
      <c r="BC104" s="186">
        <v>67176.84</v>
      </c>
      <c r="BD104" s="186">
        <v>189.83</v>
      </c>
      <c r="BE104" s="188">
        <f>('Customer Data'!$J128*2+'Customer Data'!$J131*1)/3</f>
        <v>557.66666666666663</v>
      </c>
      <c r="BF104" s="105">
        <v>201919</v>
      </c>
      <c r="BG104" s="188">
        <f>('Customer Data'!$K128*2+'Customer Data'!$K131*1)/3</f>
        <v>782</v>
      </c>
      <c r="BH104" s="188">
        <f>Weather!B272</f>
        <v>0</v>
      </c>
      <c r="BI104" s="188">
        <f>Weather!$C272</f>
        <v>179.5</v>
      </c>
      <c r="BJ104" s="166">
        <f>Employment!B128</f>
        <v>7098</v>
      </c>
      <c r="BK104" s="188">
        <f>Employment!$C128</f>
        <v>160.5</v>
      </c>
      <c r="BL104" s="188">
        <f>Employment!D128</f>
        <v>651932.30000000005</v>
      </c>
      <c r="BM104" s="188">
        <f t="shared" si="61"/>
        <v>103</v>
      </c>
      <c r="BN104" s="188">
        <f t="shared" ref="BN104:CA104" si="133">BN92</f>
        <v>0</v>
      </c>
      <c r="BO104" s="188">
        <f t="shared" si="133"/>
        <v>0</v>
      </c>
      <c r="BP104" s="188">
        <f t="shared" si="133"/>
        <v>0</v>
      </c>
      <c r="BQ104" s="188">
        <f t="shared" si="133"/>
        <v>0</v>
      </c>
      <c r="BR104" s="188">
        <f t="shared" si="133"/>
        <v>0</v>
      </c>
      <c r="BS104" s="188">
        <f t="shared" si="133"/>
        <v>0</v>
      </c>
      <c r="BT104" s="188">
        <f t="shared" si="133"/>
        <v>1</v>
      </c>
      <c r="BU104" s="188">
        <f t="shared" si="133"/>
        <v>0</v>
      </c>
      <c r="BV104" s="188">
        <f t="shared" si="133"/>
        <v>0</v>
      </c>
      <c r="BW104" s="188">
        <f t="shared" si="133"/>
        <v>0</v>
      </c>
      <c r="BX104" s="188">
        <f t="shared" si="133"/>
        <v>0</v>
      </c>
      <c r="BY104" s="188">
        <f t="shared" si="133"/>
        <v>0</v>
      </c>
      <c r="BZ104" s="188">
        <f t="shared" si="133"/>
        <v>0</v>
      </c>
      <c r="CA104" s="188">
        <f t="shared" si="133"/>
        <v>0</v>
      </c>
      <c r="CB104" s="188">
        <f t="shared" si="93"/>
        <v>0</v>
      </c>
      <c r="CC104" s="188">
        <f t="shared" si="70"/>
        <v>31</v>
      </c>
      <c r="CD104" s="121">
        <v>20</v>
      </c>
    </row>
    <row r="105" spans="1:82" s="188" customFormat="1" ht="15">
      <c r="A105" s="190">
        <v>42948</v>
      </c>
      <c r="B105" s="191">
        <f t="shared" si="52"/>
        <v>2017</v>
      </c>
      <c r="C105" s="186">
        <v>60025571.450000003</v>
      </c>
      <c r="D105" s="88">
        <f>('Customer Data'!$B128+'Customer Data'!$B131*2)/3</f>
        <v>79329.666666666672</v>
      </c>
      <c r="E105" s="188">
        <f ca="1">HLOOKUP($B105,CDM!$B$1:$Q$22,11,FALSE)/12</f>
        <v>2609463.0867100582</v>
      </c>
      <c r="F105" s="189">
        <f t="shared" ca="1" si="53"/>
        <v>62635034.536710061</v>
      </c>
      <c r="G105" s="186">
        <v>18038558.640000001</v>
      </c>
      <c r="H105" s="88">
        <f>('Customer Data'!$C128+'Customer Data'!$C131*2)/3</f>
        <v>7105</v>
      </c>
      <c r="I105" s="188">
        <f ca="1">HLOOKUP($B105,CDM!$B$1:$Q$22,12,FALSE)/12</f>
        <v>1048994.2865967674</v>
      </c>
      <c r="J105" s="188">
        <f t="shared" ca="1" si="54"/>
        <v>19087552.926596768</v>
      </c>
      <c r="K105" s="186">
        <v>81260053.900000006</v>
      </c>
      <c r="L105" s="186">
        <v>206604.9</v>
      </c>
      <c r="M105" s="88">
        <f>('Customer Data'!$D128+'Customer Data'!$D131*2)/3</f>
        <v>1251.6666666666667</v>
      </c>
      <c r="N105" s="126">
        <f ca="1">HLOOKUP($B105,CDM!$B$1:$Q$22,13,FALSE)/12</f>
        <v>4760499.4298009966</v>
      </c>
      <c r="O105" s="188">
        <f t="shared" ca="1" si="123"/>
        <v>86020553.329801008</v>
      </c>
      <c r="P105" s="188">
        <f t="shared" si="124"/>
        <v>206604.9</v>
      </c>
      <c r="Q105" s="188">
        <v>300711.60258263466</v>
      </c>
      <c r="R105" s="188">
        <v>567.27</v>
      </c>
      <c r="S105" s="229">
        <v>0</v>
      </c>
      <c r="T105" s="189">
        <f t="shared" ca="1" si="88"/>
        <v>85719841.727218375</v>
      </c>
      <c r="U105" s="156">
        <f t="shared" si="89"/>
        <v>206037.63</v>
      </c>
      <c r="V105" s="186">
        <v>2872634.77</v>
      </c>
      <c r="W105" s="186">
        <v>11756.06</v>
      </c>
      <c r="X105" s="88">
        <f>('Customer Data'!$E128+'Customer Data'!$E131*2)/3</f>
        <v>3</v>
      </c>
      <c r="Y105" s="126">
        <f ca="1">HLOOKUP($B105,CDM!$B$1:$Q$22,14,FALSE)/12</f>
        <v>50913.231963934668</v>
      </c>
      <c r="Z105" s="188">
        <f t="shared" ca="1" si="55"/>
        <v>2923548.0019639349</v>
      </c>
      <c r="AA105" s="186">
        <v>27202699.469999999</v>
      </c>
      <c r="AB105" s="186">
        <v>48880.09</v>
      </c>
      <c r="AC105" s="88">
        <f>('Customer Data'!$F128+'Customer Data'!$F131*2)/3</f>
        <v>6</v>
      </c>
      <c r="AD105" s="126">
        <f ca="1">HLOOKUP($B105,CDM!$B$1:$Q$22,15,FALSE)/12</f>
        <v>881443.2875361488</v>
      </c>
      <c r="AE105" s="188">
        <f t="shared" ca="1" si="56"/>
        <v>28084142.757536147</v>
      </c>
      <c r="AF105" s="186">
        <v>25274167.010000002</v>
      </c>
      <c r="AG105" s="186">
        <v>44839.06</v>
      </c>
      <c r="AH105" s="88">
        <f>('Customer Data'!$G128+'Customer Data'!$G131*2)/3</f>
        <v>2</v>
      </c>
      <c r="AI105" s="126">
        <f ca="1">HLOOKUP($B105,CDM!$B$1:$Q$22,16,FALSE)/12</f>
        <v>1820874.9526191957</v>
      </c>
      <c r="AJ105" s="188">
        <f t="shared" ca="1" si="57"/>
        <v>27095041.962619197</v>
      </c>
      <c r="AK105" s="188">
        <f t="shared" si="127"/>
        <v>44839.06</v>
      </c>
      <c r="AL105" s="188">
        <v>0</v>
      </c>
      <c r="AM105" s="188">
        <v>0</v>
      </c>
      <c r="AN105" s="156">
        <v>4220896.3165754108</v>
      </c>
      <c r="AO105" s="156">
        <v>6178.56</v>
      </c>
      <c r="AP105" s="156">
        <v>126310.5085342847</v>
      </c>
      <c r="AQ105" s="156">
        <f t="shared" ca="1" si="90"/>
        <v>23736935.932426449</v>
      </c>
      <c r="AR105" s="156">
        <f t="shared" si="91"/>
        <v>42701.53</v>
      </c>
      <c r="AS105" s="186">
        <v>3988262.54</v>
      </c>
      <c r="AT105" s="186">
        <v>6499.92</v>
      </c>
      <c r="AU105" s="88">
        <f>('Customer Data'!$H128+'Customer Data'!$H131*2)/3</f>
        <v>1</v>
      </c>
      <c r="AV105" s="126">
        <f ca="1">HLOOKUP($B105,CDM!$B$1:$Q$22,17,FALSE)/12</f>
        <v>4423.2117899579698</v>
      </c>
      <c r="AW105" s="188">
        <f t="shared" ca="1" si="58"/>
        <v>3992685.7517899582</v>
      </c>
      <c r="AX105" s="105">
        <v>464424.61</v>
      </c>
      <c r="AY105" s="105">
        <v>1545.96</v>
      </c>
      <c r="AZ105" s="88">
        <f>('Customer Data'!$I128+'Customer Data'!$I131*2)/3</f>
        <v>24125.333333333332</v>
      </c>
      <c r="BA105" s="126">
        <f ca="1">HLOOKUP($B105,CDM!$B$1:$Q$22,18,FALSE)/12</f>
        <v>1284099.7039998348</v>
      </c>
      <c r="BB105" s="188">
        <f t="shared" ca="1" si="59"/>
        <v>1285645.6639998348</v>
      </c>
      <c r="BC105" s="186">
        <v>63462.93</v>
      </c>
      <c r="BD105" s="186">
        <v>183.06</v>
      </c>
      <c r="BE105" s="188">
        <f>('Customer Data'!$J128*1+'Customer Data'!$J131*2)/3</f>
        <v>553.33333333333337</v>
      </c>
      <c r="BF105" s="105">
        <v>199454.92</v>
      </c>
      <c r="BG105" s="188">
        <f>('Customer Data'!$K128*1+'Customer Data'!$K131*2)/3</f>
        <v>782</v>
      </c>
      <c r="BH105" s="188">
        <f>Weather!B273</f>
        <v>1.9</v>
      </c>
      <c r="BI105" s="188">
        <f>Weather!$C273</f>
        <v>121.4</v>
      </c>
      <c r="BJ105" s="166">
        <f>Employment!B129</f>
        <v>7118.8</v>
      </c>
      <c r="BK105" s="188">
        <f>Employment!$C129</f>
        <v>163.69999999999999</v>
      </c>
      <c r="BL105" s="188">
        <f>Employment!D129</f>
        <v>651932.30000000005</v>
      </c>
      <c r="BM105" s="188">
        <f t="shared" si="61"/>
        <v>104</v>
      </c>
      <c r="BN105" s="188">
        <f t="shared" ref="BN105:CA105" si="134">BN93</f>
        <v>0</v>
      </c>
      <c r="BO105" s="188">
        <f t="shared" si="134"/>
        <v>0</v>
      </c>
      <c r="BP105" s="188">
        <f t="shared" si="134"/>
        <v>0</v>
      </c>
      <c r="BQ105" s="188">
        <f t="shared" si="134"/>
        <v>0</v>
      </c>
      <c r="BR105" s="188">
        <f t="shared" si="134"/>
        <v>0</v>
      </c>
      <c r="BS105" s="188">
        <f t="shared" si="134"/>
        <v>0</v>
      </c>
      <c r="BT105" s="188">
        <f t="shared" si="134"/>
        <v>0</v>
      </c>
      <c r="BU105" s="188">
        <f t="shared" si="134"/>
        <v>1</v>
      </c>
      <c r="BV105" s="188">
        <f t="shared" si="134"/>
        <v>0</v>
      </c>
      <c r="BW105" s="188">
        <f t="shared" si="134"/>
        <v>0</v>
      </c>
      <c r="BX105" s="188">
        <f t="shared" si="134"/>
        <v>0</v>
      </c>
      <c r="BY105" s="188">
        <f t="shared" si="134"/>
        <v>0</v>
      </c>
      <c r="BZ105" s="188">
        <f t="shared" si="134"/>
        <v>0</v>
      </c>
      <c r="CA105" s="188">
        <f t="shared" si="134"/>
        <v>0</v>
      </c>
      <c r="CB105" s="188">
        <f t="shared" si="93"/>
        <v>0</v>
      </c>
      <c r="CC105" s="188">
        <f t="shared" si="70"/>
        <v>31</v>
      </c>
      <c r="CD105" s="121">
        <v>22</v>
      </c>
    </row>
    <row r="106" spans="1:82" s="188" customFormat="1" ht="15">
      <c r="A106" s="190">
        <v>42979</v>
      </c>
      <c r="B106" s="191">
        <f t="shared" si="52"/>
        <v>2017</v>
      </c>
      <c r="C106" s="186">
        <v>50489495.5</v>
      </c>
      <c r="D106" s="88">
        <f>'Customer Data'!$B131</f>
        <v>79341</v>
      </c>
      <c r="E106" s="188">
        <f ca="1">HLOOKUP($B106,CDM!$B$1:$Q$22,11,FALSE)/12</f>
        <v>2609463.0867100582</v>
      </c>
      <c r="F106" s="189">
        <f t="shared" ca="1" si="53"/>
        <v>53098958.586710058</v>
      </c>
      <c r="G106" s="186">
        <v>16355213.449999999</v>
      </c>
      <c r="H106" s="88">
        <f>'Customer Data'!$C131</f>
        <v>7103</v>
      </c>
      <c r="I106" s="188">
        <f ca="1">HLOOKUP($B106,CDM!$B$1:$Q$22,12,FALSE)/12</f>
        <v>1048994.2865967674</v>
      </c>
      <c r="J106" s="188">
        <f t="shared" ca="1" si="54"/>
        <v>17404207.736596767</v>
      </c>
      <c r="K106" s="186">
        <v>76162321.659999996</v>
      </c>
      <c r="L106" s="186">
        <v>206126.33</v>
      </c>
      <c r="M106" s="88">
        <f>'Customer Data'!$D131</f>
        <v>1253</v>
      </c>
      <c r="N106" s="126">
        <f ca="1">HLOOKUP($B106,CDM!$B$1:$Q$22,13,FALSE)/12</f>
        <v>4760499.4298009966</v>
      </c>
      <c r="O106" s="188">
        <f t="shared" ca="1" si="123"/>
        <v>80922821.089800999</v>
      </c>
      <c r="P106" s="188">
        <f t="shared" si="124"/>
        <v>206126.33</v>
      </c>
      <c r="Q106" s="188">
        <v>305914.05030355591</v>
      </c>
      <c r="R106" s="188">
        <v>659.34</v>
      </c>
      <c r="S106" s="229">
        <v>0</v>
      </c>
      <c r="T106" s="189">
        <f t="shared" ca="1" si="88"/>
        <v>80616907.03949745</v>
      </c>
      <c r="U106" s="156">
        <f t="shared" si="89"/>
        <v>205466.99</v>
      </c>
      <c r="V106" s="186">
        <v>3500432.4</v>
      </c>
      <c r="W106" s="186">
        <v>10612.12</v>
      </c>
      <c r="X106" s="88">
        <f>'Customer Data'!$E131</f>
        <v>3</v>
      </c>
      <c r="Y106" s="126">
        <f ca="1">HLOOKUP($B106,CDM!$B$1:$Q$22,14,FALSE)/12</f>
        <v>50913.231963934668</v>
      </c>
      <c r="Z106" s="188">
        <f t="shared" ca="1" si="55"/>
        <v>3551345.6319639347</v>
      </c>
      <c r="AA106" s="186">
        <v>26215130.359999999</v>
      </c>
      <c r="AB106" s="186">
        <v>48246.559999999998</v>
      </c>
      <c r="AC106" s="88">
        <f>'Customer Data'!$F131</f>
        <v>6</v>
      </c>
      <c r="AD106" s="126">
        <f ca="1">HLOOKUP($B106,CDM!$B$1:$Q$22,15,FALSE)/12</f>
        <v>881443.2875361488</v>
      </c>
      <c r="AE106" s="188">
        <f t="shared" ca="1" si="56"/>
        <v>27096573.647536147</v>
      </c>
      <c r="AF106" s="186">
        <v>22780748.25</v>
      </c>
      <c r="AG106" s="186">
        <v>45360.63</v>
      </c>
      <c r="AH106" s="88">
        <f>'Customer Data'!$G131</f>
        <v>2</v>
      </c>
      <c r="AI106" s="126">
        <f ca="1">HLOOKUP($B106,CDM!$B$1:$Q$22,16,FALSE)/12</f>
        <v>1820874.9526191957</v>
      </c>
      <c r="AJ106" s="188">
        <f t="shared" ca="1" si="57"/>
        <v>24601623.202619195</v>
      </c>
      <c r="AK106" s="188">
        <f t="shared" si="127"/>
        <v>45360.63</v>
      </c>
      <c r="AL106" s="188">
        <v>0</v>
      </c>
      <c r="AM106" s="188">
        <v>0</v>
      </c>
      <c r="AN106" s="156">
        <v>4166133.1209556996</v>
      </c>
      <c r="AO106" s="156">
        <v>6649.92</v>
      </c>
      <c r="AP106" s="156">
        <v>126310.5085342847</v>
      </c>
      <c r="AQ106" s="156">
        <f t="shared" ca="1" si="90"/>
        <v>22804130.018046163</v>
      </c>
      <c r="AR106" s="156">
        <f t="shared" si="91"/>
        <v>41596.639999999999</v>
      </c>
      <c r="AS106" s="186">
        <v>3649616.03</v>
      </c>
      <c r="AT106" s="186">
        <v>6220.28</v>
      </c>
      <c r="AU106" s="88">
        <f>'Customer Data'!$H131</f>
        <v>1</v>
      </c>
      <c r="AV106" s="126">
        <f ca="1">HLOOKUP($B106,CDM!$B$1:$Q$22,17,FALSE)/12</f>
        <v>4423.2117899579698</v>
      </c>
      <c r="AW106" s="188">
        <f t="shared" ca="1" si="58"/>
        <v>3654039.241789958</v>
      </c>
      <c r="AX106" s="105">
        <v>515873.01</v>
      </c>
      <c r="AY106" s="105">
        <v>1547.27</v>
      </c>
      <c r="AZ106" s="88">
        <f>'Customer Data'!$I131</f>
        <v>24100</v>
      </c>
      <c r="BA106" s="126">
        <f ca="1">HLOOKUP($B106,CDM!$B$1:$Q$22,18,FALSE)/12</f>
        <v>1284099.7039998348</v>
      </c>
      <c r="BB106" s="188">
        <f t="shared" ca="1" si="59"/>
        <v>1285646.9739998349</v>
      </c>
      <c r="BC106" s="186">
        <v>64181.55</v>
      </c>
      <c r="BD106" s="186">
        <v>177.01</v>
      </c>
      <c r="BE106" s="188">
        <f>'Customer Data'!$J131</f>
        <v>549</v>
      </c>
      <c r="BF106" s="105">
        <v>188766.6</v>
      </c>
      <c r="BG106" s="188">
        <f>'Customer Data'!$K131</f>
        <v>782</v>
      </c>
      <c r="BH106" s="188">
        <f>Weather!B274</f>
        <v>27.4</v>
      </c>
      <c r="BI106" s="188">
        <f>Weather!$C274</f>
        <v>80.7</v>
      </c>
      <c r="BJ106" s="166">
        <f>Employment!B130</f>
        <v>7148.9</v>
      </c>
      <c r="BK106" s="188">
        <f>Employment!$C130</f>
        <v>164.7</v>
      </c>
      <c r="BL106" s="188">
        <f>Employment!D130</f>
        <v>651932.30000000005</v>
      </c>
      <c r="BM106" s="188">
        <f t="shared" si="61"/>
        <v>105</v>
      </c>
      <c r="BN106" s="188">
        <f t="shared" ref="BN106:CA106" si="135">BN94</f>
        <v>0</v>
      </c>
      <c r="BO106" s="188">
        <f t="shared" si="135"/>
        <v>0</v>
      </c>
      <c r="BP106" s="188">
        <f t="shared" si="135"/>
        <v>0</v>
      </c>
      <c r="BQ106" s="188">
        <f t="shared" si="135"/>
        <v>0</v>
      </c>
      <c r="BR106" s="188">
        <f t="shared" si="135"/>
        <v>0</v>
      </c>
      <c r="BS106" s="188">
        <f t="shared" si="135"/>
        <v>0</v>
      </c>
      <c r="BT106" s="188">
        <f t="shared" si="135"/>
        <v>0</v>
      </c>
      <c r="BU106" s="188">
        <f t="shared" si="135"/>
        <v>0</v>
      </c>
      <c r="BV106" s="188">
        <f t="shared" si="135"/>
        <v>1</v>
      </c>
      <c r="BW106" s="188">
        <f t="shared" si="135"/>
        <v>0</v>
      </c>
      <c r="BX106" s="188">
        <f t="shared" si="135"/>
        <v>0</v>
      </c>
      <c r="BY106" s="188">
        <f t="shared" si="135"/>
        <v>0</v>
      </c>
      <c r="BZ106" s="188">
        <f t="shared" si="135"/>
        <v>0</v>
      </c>
      <c r="CA106" s="188">
        <f t="shared" si="135"/>
        <v>1</v>
      </c>
      <c r="CB106" s="188">
        <f t="shared" si="93"/>
        <v>1</v>
      </c>
      <c r="CC106" s="188">
        <f t="shared" si="70"/>
        <v>30</v>
      </c>
      <c r="CD106" s="121">
        <v>20</v>
      </c>
    </row>
    <row r="107" spans="1:82" s="188" customFormat="1" ht="15">
      <c r="A107" s="190">
        <v>43009</v>
      </c>
      <c r="B107" s="191">
        <f t="shared" ref="B107:B118" si="136">YEAR(A107)</f>
        <v>2017</v>
      </c>
      <c r="C107" s="186">
        <v>43508601.82</v>
      </c>
      <c r="D107" s="88">
        <f>('Customer Data'!$B131*2+'Customer Data'!$B134)/3</f>
        <v>79386.666666666672</v>
      </c>
      <c r="E107" s="188">
        <f ca="1">HLOOKUP($B107,CDM!$B$1:$Q$22,11,FALSE)/12</f>
        <v>2609463.0867100582</v>
      </c>
      <c r="F107" s="189">
        <f t="shared" ref="F107:F121" ca="1" si="137">C107+E107</f>
        <v>46118064.906710058</v>
      </c>
      <c r="G107" s="186">
        <v>15784845.619999999</v>
      </c>
      <c r="H107" s="88">
        <f>('Customer Data'!$C131*2+'Customer Data'!$C134)/3</f>
        <v>7107</v>
      </c>
      <c r="I107" s="188">
        <f ca="1">HLOOKUP($B107,CDM!$B$1:$Q$22,12,FALSE)/12</f>
        <v>1048994.2865967674</v>
      </c>
      <c r="J107" s="188">
        <f t="shared" ref="J107:J121" ca="1" si="138">I107+G107</f>
        <v>16833839.906596765</v>
      </c>
      <c r="K107" s="186">
        <v>75134635.489999995</v>
      </c>
      <c r="L107" s="186">
        <v>201929.60000000001</v>
      </c>
      <c r="M107" s="88">
        <f>('Customer Data'!$D131*2+'Customer Data'!$D134)/3</f>
        <v>1253</v>
      </c>
      <c r="N107" s="126">
        <f ca="1">HLOOKUP($B107,CDM!$B$1:$Q$22,13,FALSE)/12</f>
        <v>4760499.4298009966</v>
      </c>
      <c r="O107" s="188">
        <f t="shared" ca="1" si="123"/>
        <v>79895134.919800997</v>
      </c>
      <c r="P107" s="188">
        <f t="shared" si="124"/>
        <v>201929.60000000001</v>
      </c>
      <c r="Q107" s="188">
        <v>308372.75705888018</v>
      </c>
      <c r="R107" s="188">
        <v>571.77</v>
      </c>
      <c r="S107" s="229">
        <v>0</v>
      </c>
      <c r="T107" s="189">
        <f t="shared" ca="1" si="88"/>
        <v>79586762.162742123</v>
      </c>
      <c r="U107" s="156">
        <f t="shared" si="89"/>
        <v>201357.83000000002</v>
      </c>
      <c r="V107" s="186">
        <v>4625046.97</v>
      </c>
      <c r="W107" s="186">
        <v>11213.24</v>
      </c>
      <c r="X107" s="88">
        <f>('Customer Data'!$E131*2+'Customer Data'!$E134)/3</f>
        <v>3</v>
      </c>
      <c r="Y107" s="126">
        <f ca="1">HLOOKUP($B107,CDM!$B$1:$Q$22,14,FALSE)/12</f>
        <v>50913.231963934668</v>
      </c>
      <c r="Z107" s="188">
        <f t="shared" ref="Z107:Z109" ca="1" si="139">V107+Y107</f>
        <v>4675960.2019639341</v>
      </c>
      <c r="AA107" s="186">
        <v>26004529.300000001</v>
      </c>
      <c r="AB107" s="186">
        <v>47664.26</v>
      </c>
      <c r="AC107" s="88">
        <f>('Customer Data'!$F131*2+'Customer Data'!$F134)/3</f>
        <v>6</v>
      </c>
      <c r="AD107" s="126">
        <f ca="1">HLOOKUP($B107,CDM!$B$1:$Q$22,15,FALSE)/12</f>
        <v>881443.2875361488</v>
      </c>
      <c r="AE107" s="188">
        <f t="shared" ref="AE107:AE109" ca="1" si="140">AA107+AD107</f>
        <v>26885972.587536149</v>
      </c>
      <c r="AF107" s="186">
        <v>14864046.310000001</v>
      </c>
      <c r="AG107" s="186">
        <v>37141.199999999997</v>
      </c>
      <c r="AH107" s="88">
        <f>('Customer Data'!$G131*2+'Customer Data'!$G134)/3</f>
        <v>2</v>
      </c>
      <c r="AI107" s="126">
        <f ca="1">HLOOKUP($B107,CDM!$B$1:$Q$22,16,FALSE)/12</f>
        <v>1820874.9526191957</v>
      </c>
      <c r="AJ107" s="188">
        <f t="shared" ref="AJ107:AJ109" ca="1" si="141">AF107+AI107</f>
        <v>16684921.262619196</v>
      </c>
      <c r="AK107" s="188">
        <f t="shared" si="127"/>
        <v>37141.199999999997</v>
      </c>
      <c r="AL107" s="188">
        <v>0</v>
      </c>
      <c r="AM107" s="188">
        <v>0</v>
      </c>
      <c r="AN107" s="156">
        <v>4348767.3568939772</v>
      </c>
      <c r="AO107" s="156">
        <v>6870.72</v>
      </c>
      <c r="AP107" s="156">
        <v>126310.5085342847</v>
      </c>
      <c r="AQ107" s="156">
        <f t="shared" ca="1" si="90"/>
        <v>22410894.722107884</v>
      </c>
      <c r="AR107" s="156">
        <f t="shared" si="91"/>
        <v>40793.54</v>
      </c>
      <c r="AS107" s="186">
        <v>3813458.8</v>
      </c>
      <c r="AT107" s="186">
        <v>5984.52</v>
      </c>
      <c r="AU107" s="88">
        <f>('Customer Data'!$H131*2+'Customer Data'!$H134)/3</f>
        <v>1</v>
      </c>
      <c r="AV107" s="126">
        <f ca="1">HLOOKUP($B107,CDM!$B$1:$Q$22,17,FALSE)/12</f>
        <v>4423.2117899579698</v>
      </c>
      <c r="AW107" s="188">
        <f t="shared" ref="AW107:AW121" ca="1" si="142">AS107+AV107</f>
        <v>3817882.011789958</v>
      </c>
      <c r="AX107" s="105">
        <v>603457.35</v>
      </c>
      <c r="AY107" s="105">
        <v>1547.27</v>
      </c>
      <c r="AZ107" s="88">
        <f>('Customer Data'!$I131*2+'Customer Data'!$I134)/3</f>
        <v>24112</v>
      </c>
      <c r="BA107" s="126">
        <f ca="1">HLOOKUP($B107,CDM!$B$1:$Q$22,18,FALSE)/12</f>
        <v>1284099.7039998348</v>
      </c>
      <c r="BB107" s="188">
        <f t="shared" ref="BB107:BB121" ca="1" si="143">BA107+AY107</f>
        <v>1285646.9739998349</v>
      </c>
      <c r="BC107" s="186">
        <v>68062.42</v>
      </c>
      <c r="BD107" s="186">
        <v>190.4</v>
      </c>
      <c r="BE107" s="188">
        <f>('Customer Data'!$J131*2+'Customer Data'!$J134*1)/3</f>
        <v>546.33333333333337</v>
      </c>
      <c r="BF107" s="105">
        <v>189116.6</v>
      </c>
      <c r="BG107" s="188">
        <f>('Customer Data'!$K131*2+'Customer Data'!$K134*1)/3</f>
        <v>764.66666666666663</v>
      </c>
      <c r="BH107" s="188">
        <f>Weather!B275</f>
        <v>124.6</v>
      </c>
      <c r="BI107" s="188">
        <f>Weather!$C275</f>
        <v>24.9</v>
      </c>
      <c r="BJ107" s="166">
        <f>Employment!B131</f>
        <v>7168.4</v>
      </c>
      <c r="BK107" s="188">
        <f>Employment!$C131</f>
        <v>162.1</v>
      </c>
      <c r="BL107" s="188">
        <f>Employment!D131</f>
        <v>651932.30000000005</v>
      </c>
      <c r="BM107" s="188">
        <f t="shared" si="61"/>
        <v>106</v>
      </c>
      <c r="BN107" s="188">
        <f t="shared" ref="BN107:CA107" si="144">BN95</f>
        <v>0</v>
      </c>
      <c r="BO107" s="188">
        <f t="shared" si="144"/>
        <v>0</v>
      </c>
      <c r="BP107" s="188">
        <f t="shared" si="144"/>
        <v>0</v>
      </c>
      <c r="BQ107" s="188">
        <f t="shared" si="144"/>
        <v>0</v>
      </c>
      <c r="BR107" s="188">
        <f t="shared" si="144"/>
        <v>0</v>
      </c>
      <c r="BS107" s="188">
        <f t="shared" si="144"/>
        <v>0</v>
      </c>
      <c r="BT107" s="188">
        <f t="shared" si="144"/>
        <v>0</v>
      </c>
      <c r="BU107" s="188">
        <f t="shared" si="144"/>
        <v>0</v>
      </c>
      <c r="BV107" s="188">
        <f t="shared" si="144"/>
        <v>0</v>
      </c>
      <c r="BW107" s="188">
        <f t="shared" si="144"/>
        <v>1</v>
      </c>
      <c r="BX107" s="188">
        <f t="shared" si="144"/>
        <v>0</v>
      </c>
      <c r="BY107" s="188">
        <f t="shared" si="144"/>
        <v>0</v>
      </c>
      <c r="BZ107" s="188">
        <f t="shared" si="144"/>
        <v>0</v>
      </c>
      <c r="CA107" s="188">
        <f t="shared" si="144"/>
        <v>1</v>
      </c>
      <c r="CB107" s="188">
        <f t="shared" si="93"/>
        <v>1</v>
      </c>
      <c r="CC107" s="188">
        <f t="shared" si="70"/>
        <v>31</v>
      </c>
      <c r="CD107" s="121">
        <v>21</v>
      </c>
    </row>
    <row r="108" spans="1:82" ht="15">
      <c r="A108" s="17">
        <v>43040</v>
      </c>
      <c r="B108" s="54">
        <f t="shared" si="136"/>
        <v>2017</v>
      </c>
      <c r="C108" s="92">
        <v>42732212.520000003</v>
      </c>
      <c r="D108" s="88">
        <f>('Customer Data'!$B131+'Customer Data'!$B134*2)/3</f>
        <v>79432.333333333328</v>
      </c>
      <c r="E108" s="15">
        <f ca="1">HLOOKUP($B108,CDM!$B$1:$Q$22,11,FALSE)/12</f>
        <v>2609463.0867100582</v>
      </c>
      <c r="F108" s="185">
        <f t="shared" ca="1" si="137"/>
        <v>45341675.606710061</v>
      </c>
      <c r="G108" s="94">
        <v>15476692.84</v>
      </c>
      <c r="H108" s="88">
        <f>('Customer Data'!$C131+'Customer Data'!$C134*2)/3</f>
        <v>7111</v>
      </c>
      <c r="I108" s="15">
        <f ca="1">HLOOKUP($B108,CDM!$B$1:$Q$22,12,FALSE)/12</f>
        <v>1048994.2865967674</v>
      </c>
      <c r="J108" s="15">
        <f t="shared" ca="1" si="138"/>
        <v>16525687.126596767</v>
      </c>
      <c r="K108" s="97">
        <v>76862990.260000005</v>
      </c>
      <c r="L108" s="98">
        <v>192309.6</v>
      </c>
      <c r="M108" s="88">
        <f>('Customer Data'!$D131+'Customer Data'!$D134*2)/3</f>
        <v>1253</v>
      </c>
      <c r="N108" s="126">
        <f ca="1">HLOOKUP($B108,CDM!$B$1:$Q$22,13,FALSE)/12</f>
        <v>4760499.4298009966</v>
      </c>
      <c r="O108" s="15">
        <f t="shared" ca="1" si="123"/>
        <v>81623489.689801008</v>
      </c>
      <c r="P108" s="15">
        <f t="shared" si="124"/>
        <v>192309.6</v>
      </c>
      <c r="Q108" s="188">
        <v>341852.67418328999</v>
      </c>
      <c r="R108" s="188">
        <v>649.35</v>
      </c>
      <c r="S108" s="229">
        <v>0</v>
      </c>
      <c r="T108" s="189">
        <f t="shared" ca="1" si="88"/>
        <v>81281637.015617713</v>
      </c>
      <c r="U108" s="156">
        <f t="shared" si="89"/>
        <v>191660.25</v>
      </c>
      <c r="V108" s="100">
        <v>3531253.9</v>
      </c>
      <c r="W108" s="101">
        <v>11456.22</v>
      </c>
      <c r="X108" s="88">
        <f>('Customer Data'!$E131+'Customer Data'!$E134*2)/3</f>
        <v>3</v>
      </c>
      <c r="Y108" s="126">
        <f ca="1">HLOOKUP($B108,CDM!$B$1:$Q$22,14,FALSE)/12</f>
        <v>50913.231963934668</v>
      </c>
      <c r="Z108" s="15">
        <f t="shared" ca="1" si="139"/>
        <v>3582167.1319639347</v>
      </c>
      <c r="AA108" s="102">
        <v>23819027.77</v>
      </c>
      <c r="AB108" s="103">
        <v>41607.699999999997</v>
      </c>
      <c r="AC108" s="88">
        <f>('Customer Data'!$F131+'Customer Data'!$F134*2)/3</f>
        <v>6</v>
      </c>
      <c r="AD108" s="126">
        <f ca="1">HLOOKUP($B108,CDM!$B$1:$Q$22,15,FALSE)/12</f>
        <v>881443.2875361488</v>
      </c>
      <c r="AE108" s="15">
        <f t="shared" ca="1" si="140"/>
        <v>24700471.057536148</v>
      </c>
      <c r="AF108" s="104">
        <v>21241703.25</v>
      </c>
      <c r="AG108" s="104">
        <v>38287.89</v>
      </c>
      <c r="AH108" s="88">
        <f>('Customer Data'!$G131+'Customer Data'!$G134*2)/3</f>
        <v>2</v>
      </c>
      <c r="AI108" s="126">
        <f ca="1">HLOOKUP($B108,CDM!$B$1:$Q$22,16,FALSE)/12</f>
        <v>1820874.9526191957</v>
      </c>
      <c r="AJ108" s="15">
        <f t="shared" ca="1" si="141"/>
        <v>23062578.202619195</v>
      </c>
      <c r="AK108" s="15">
        <f t="shared" si="127"/>
        <v>38287.89</v>
      </c>
      <c r="AL108" s="15">
        <v>0</v>
      </c>
      <c r="AM108" s="15">
        <v>0</v>
      </c>
      <c r="AN108" s="156">
        <v>4428745.9233449483</v>
      </c>
      <c r="AO108" s="156">
        <v>6739.2</v>
      </c>
      <c r="AP108" s="156">
        <v>126310.5085342847</v>
      </c>
      <c r="AQ108" s="156">
        <f t="shared" ca="1" si="90"/>
        <v>20145414.625656914</v>
      </c>
      <c r="AR108" s="156">
        <f t="shared" si="91"/>
        <v>34868.5</v>
      </c>
      <c r="AS108" s="106">
        <v>3475639.47</v>
      </c>
      <c r="AT108" s="106">
        <v>5461.25</v>
      </c>
      <c r="AU108" s="88">
        <f>('Customer Data'!$H131+'Customer Data'!$H134*2)/3</f>
        <v>1</v>
      </c>
      <c r="AV108" s="126">
        <f ca="1">HLOOKUP($B108,CDM!$B$1:$Q$22,17,FALSE)/12</f>
        <v>4423.2117899579698</v>
      </c>
      <c r="AW108" s="15">
        <f t="shared" ca="1" si="142"/>
        <v>3480062.6817899584</v>
      </c>
      <c r="AX108" s="105">
        <v>640984.17000000004</v>
      </c>
      <c r="AY108" s="105">
        <v>1547.27</v>
      </c>
      <c r="AZ108" s="88">
        <f>('Customer Data'!$I131+'Customer Data'!$I134*2)/3</f>
        <v>24124</v>
      </c>
      <c r="BA108" s="126">
        <f ca="1">HLOOKUP($B108,CDM!$B$1:$Q$22,18,FALSE)/12</f>
        <v>1284099.7039998348</v>
      </c>
      <c r="BB108" s="15">
        <f t="shared" ca="1" si="143"/>
        <v>1285646.9739998349</v>
      </c>
      <c r="BC108" s="120">
        <v>65746.5</v>
      </c>
      <c r="BD108" s="120">
        <v>181.4</v>
      </c>
      <c r="BE108" s="15">
        <f>('Customer Data'!$J131*1+'Customer Data'!$J134*2)/3</f>
        <v>543.66666666666663</v>
      </c>
      <c r="BF108" s="105">
        <v>189116.6</v>
      </c>
      <c r="BG108" s="15">
        <f>('Customer Data'!$K131*1+'Customer Data'!$K134*2)/3</f>
        <v>747.33333333333337</v>
      </c>
      <c r="BH108" s="15">
        <f>Weather!B276</f>
        <v>379.5</v>
      </c>
      <c r="BI108" s="15">
        <f>Weather!$C276</f>
        <v>0</v>
      </c>
      <c r="BJ108" s="166">
        <f>Employment!B132</f>
        <v>7192.2</v>
      </c>
      <c r="BK108" s="15">
        <f>Employment!$C132</f>
        <v>162.9</v>
      </c>
      <c r="BL108" s="15">
        <f>Employment!D132</f>
        <v>651932.30000000005</v>
      </c>
      <c r="BM108" s="188">
        <f t="shared" ref="BM108:BM121" si="145">BM107+1</f>
        <v>107</v>
      </c>
      <c r="BN108" s="188">
        <f t="shared" ref="BN108:CA108" si="146">BN96</f>
        <v>0</v>
      </c>
      <c r="BO108" s="188">
        <f t="shared" si="146"/>
        <v>0</v>
      </c>
      <c r="BP108" s="188">
        <f t="shared" si="146"/>
        <v>0</v>
      </c>
      <c r="BQ108" s="188">
        <f t="shared" si="146"/>
        <v>0</v>
      </c>
      <c r="BR108" s="188">
        <f t="shared" si="146"/>
        <v>0</v>
      </c>
      <c r="BS108" s="188">
        <f t="shared" si="146"/>
        <v>0</v>
      </c>
      <c r="BT108" s="188">
        <f t="shared" si="146"/>
        <v>0</v>
      </c>
      <c r="BU108" s="188">
        <f t="shared" si="146"/>
        <v>0</v>
      </c>
      <c r="BV108" s="188">
        <f t="shared" si="146"/>
        <v>0</v>
      </c>
      <c r="BW108" s="188">
        <f t="shared" si="146"/>
        <v>0</v>
      </c>
      <c r="BX108" s="188">
        <f t="shared" si="146"/>
        <v>1</v>
      </c>
      <c r="BY108" s="188">
        <f t="shared" si="146"/>
        <v>0</v>
      </c>
      <c r="BZ108" s="188">
        <f t="shared" si="146"/>
        <v>0</v>
      </c>
      <c r="CA108" s="188">
        <f t="shared" si="146"/>
        <v>1</v>
      </c>
      <c r="CB108" s="188">
        <f t="shared" si="93"/>
        <v>1</v>
      </c>
      <c r="CC108" s="188">
        <f t="shared" si="70"/>
        <v>30</v>
      </c>
      <c r="CD108" s="121">
        <v>22</v>
      </c>
    </row>
    <row r="109" spans="1:82" s="188" customFormat="1" ht="15">
      <c r="A109" s="190">
        <v>43070</v>
      </c>
      <c r="B109" s="191">
        <f t="shared" si="136"/>
        <v>2017</v>
      </c>
      <c r="C109" s="186">
        <v>51955564.090000004</v>
      </c>
      <c r="D109" s="88">
        <f>'Customer Data'!$B134</f>
        <v>79478</v>
      </c>
      <c r="E109" s="188">
        <f ca="1">HLOOKUP($B109,CDM!$B$1:$Q$22,11,FALSE)/12</f>
        <v>2609463.0867100582</v>
      </c>
      <c r="F109" s="189">
        <f t="shared" ca="1" si="137"/>
        <v>54565027.176710062</v>
      </c>
      <c r="G109" s="186">
        <v>17488225.73</v>
      </c>
      <c r="H109" s="88">
        <f>'Customer Data'!$C134</f>
        <v>7115</v>
      </c>
      <c r="I109" s="188">
        <f ca="1">HLOOKUP($B109,CDM!$B$1:$Q$22,12,FALSE)/12</f>
        <v>1048994.2865967674</v>
      </c>
      <c r="J109" s="188">
        <f t="shared" ca="1" si="138"/>
        <v>18537220.016596768</v>
      </c>
      <c r="K109" s="186">
        <v>81972374.760000005</v>
      </c>
      <c r="L109" s="186">
        <v>184256.07</v>
      </c>
      <c r="M109" s="88">
        <f>'Customer Data'!$D134</f>
        <v>1253</v>
      </c>
      <c r="N109" s="126">
        <f ca="1">HLOOKUP($B109,CDM!$B$1:$Q$22,13,FALSE)/12</f>
        <v>4760499.4298009966</v>
      </c>
      <c r="O109" s="188">
        <f t="shared" ca="1" si="123"/>
        <v>86732874.189801008</v>
      </c>
      <c r="P109" s="188">
        <f t="shared" si="124"/>
        <v>184256.07</v>
      </c>
      <c r="Q109" s="188">
        <v>290073.77854871348</v>
      </c>
      <c r="R109" s="188">
        <v>597.24</v>
      </c>
      <c r="S109" s="229">
        <v>0</v>
      </c>
      <c r="T109" s="189">
        <f t="shared" ca="1" si="88"/>
        <v>86442800.41125229</v>
      </c>
      <c r="U109" s="156">
        <f t="shared" si="89"/>
        <v>183658.83000000002</v>
      </c>
      <c r="V109" s="186">
        <v>4000677.54</v>
      </c>
      <c r="W109" s="186">
        <v>11346.06</v>
      </c>
      <c r="X109" s="88">
        <f>'Customer Data'!$E134</f>
        <v>3</v>
      </c>
      <c r="Y109" s="126">
        <f ca="1">HLOOKUP($B109,CDM!$B$1:$Q$22,14,FALSE)/12</f>
        <v>50913.231963934668</v>
      </c>
      <c r="Z109" s="188">
        <f t="shared" ca="1" si="139"/>
        <v>4051590.7719639349</v>
      </c>
      <c r="AA109" s="186">
        <v>22879022.59</v>
      </c>
      <c r="AB109" s="186">
        <v>44565.96</v>
      </c>
      <c r="AC109" s="88">
        <f>'Customer Data'!$F134</f>
        <v>6</v>
      </c>
      <c r="AD109" s="126">
        <f ca="1">HLOOKUP($B109,CDM!$B$1:$Q$22,15,FALSE)/12</f>
        <v>881443.2875361488</v>
      </c>
      <c r="AE109" s="188">
        <f t="shared" ca="1" si="140"/>
        <v>23760465.877536148</v>
      </c>
      <c r="AF109" s="186">
        <v>19594845.190000001</v>
      </c>
      <c r="AG109" s="186">
        <v>37767.43</v>
      </c>
      <c r="AH109" s="88">
        <f>'Customer Data'!$G134</f>
        <v>2</v>
      </c>
      <c r="AI109" s="126">
        <f ca="1">HLOOKUP($B109,CDM!$B$1:$Q$22,16,FALSE)/12</f>
        <v>1820874.9526191957</v>
      </c>
      <c r="AJ109" s="188">
        <f t="shared" ca="1" si="141"/>
        <v>21415720.142619196</v>
      </c>
      <c r="AK109" s="188">
        <f t="shared" si="127"/>
        <v>37767.43</v>
      </c>
      <c r="AL109" s="188">
        <v>0</v>
      </c>
      <c r="AM109" s="188">
        <v>0</v>
      </c>
      <c r="AN109" s="156">
        <v>3926717.7600796418</v>
      </c>
      <c r="AO109" s="156">
        <v>6596.16</v>
      </c>
      <c r="AP109" s="156">
        <v>126310.5085342847</v>
      </c>
      <c r="AQ109" s="156">
        <f t="shared" ca="1" si="90"/>
        <v>19707437.608922221</v>
      </c>
      <c r="AR109" s="156">
        <f t="shared" si="91"/>
        <v>37969.800000000003</v>
      </c>
      <c r="AS109" s="186">
        <v>3047069.49</v>
      </c>
      <c r="AT109" s="186">
        <v>5253.23</v>
      </c>
      <c r="AU109" s="88">
        <f>'Customer Data'!$H134</f>
        <v>1</v>
      </c>
      <c r="AV109" s="126">
        <f ca="1">HLOOKUP($B109,CDM!$B$1:$Q$22,17,FALSE)/12</f>
        <v>4423.2117899579698</v>
      </c>
      <c r="AW109" s="188">
        <f t="shared" ca="1" si="142"/>
        <v>3051492.7017899584</v>
      </c>
      <c r="AX109" s="105">
        <v>691315.04</v>
      </c>
      <c r="AY109" s="105">
        <v>1547.27</v>
      </c>
      <c r="AZ109" s="88">
        <f>'Customer Data'!$I134</f>
        <v>24136</v>
      </c>
      <c r="BA109" s="126">
        <f ca="1">HLOOKUP($B109,CDM!$B$1:$Q$22,18,FALSE)/12</f>
        <v>1284099.7039998348</v>
      </c>
      <c r="BB109" s="188">
        <f t="shared" ca="1" si="143"/>
        <v>1285646.9739998349</v>
      </c>
      <c r="BC109" s="186">
        <v>65361.41</v>
      </c>
      <c r="BD109" s="186">
        <v>175.13</v>
      </c>
      <c r="BE109" s="188">
        <f>'Customer Data'!$J134</f>
        <v>541</v>
      </c>
      <c r="BF109" s="105">
        <v>189116.6</v>
      </c>
      <c r="BG109" s="188">
        <f>'Customer Data'!$K134</f>
        <v>730</v>
      </c>
      <c r="BH109" s="188">
        <f>Weather!B277</f>
        <v>634.4</v>
      </c>
      <c r="BI109" s="188">
        <f>Weather!$C277</f>
        <v>0</v>
      </c>
      <c r="BJ109" s="166">
        <f>Employment!B133</f>
        <v>7207.4</v>
      </c>
      <c r="BK109" s="188">
        <f>Employment!$C133</f>
        <v>163.9</v>
      </c>
      <c r="BL109" s="188">
        <f>Employment!D133</f>
        <v>651932.30000000005</v>
      </c>
      <c r="BM109" s="188">
        <f t="shared" si="145"/>
        <v>108</v>
      </c>
      <c r="BN109" s="188">
        <f t="shared" ref="BN109:CA109" si="147">BN97</f>
        <v>0</v>
      </c>
      <c r="BO109" s="188">
        <f t="shared" si="147"/>
        <v>0</v>
      </c>
      <c r="BP109" s="188">
        <f t="shared" si="147"/>
        <v>0</v>
      </c>
      <c r="BQ109" s="188">
        <f t="shared" si="147"/>
        <v>0</v>
      </c>
      <c r="BR109" s="188">
        <f t="shared" si="147"/>
        <v>0</v>
      </c>
      <c r="BS109" s="188">
        <f t="shared" si="147"/>
        <v>0</v>
      </c>
      <c r="BT109" s="188">
        <f t="shared" si="147"/>
        <v>0</v>
      </c>
      <c r="BU109" s="188">
        <f t="shared" si="147"/>
        <v>0</v>
      </c>
      <c r="BV109" s="188">
        <f t="shared" si="147"/>
        <v>0</v>
      </c>
      <c r="BW109" s="188">
        <f t="shared" si="147"/>
        <v>0</v>
      </c>
      <c r="BX109" s="188">
        <f t="shared" si="147"/>
        <v>0</v>
      </c>
      <c r="BY109" s="188">
        <f t="shared" si="147"/>
        <v>1</v>
      </c>
      <c r="BZ109" s="188">
        <f t="shared" si="147"/>
        <v>0</v>
      </c>
      <c r="CA109" s="188">
        <f t="shared" si="147"/>
        <v>0</v>
      </c>
      <c r="CB109" s="188">
        <f t="shared" si="93"/>
        <v>0</v>
      </c>
      <c r="CC109" s="188">
        <f t="shared" si="70"/>
        <v>31</v>
      </c>
      <c r="CD109" s="121">
        <v>19</v>
      </c>
    </row>
    <row r="110" spans="1:82" s="188" customFormat="1" ht="15">
      <c r="A110" s="190">
        <v>43101</v>
      </c>
      <c r="B110" s="191">
        <f t="shared" si="136"/>
        <v>2018</v>
      </c>
      <c r="C110" s="186">
        <v>53306985.813372865</v>
      </c>
      <c r="D110" s="88">
        <f>('Customer Data'!$B134*2+'Customer Data'!$B137)/3</f>
        <v>79171.333333333328</v>
      </c>
      <c r="E110" s="188">
        <f ca="1">HLOOKUP($B110,CDM!$B$1:$Q$22,11,FALSE)/12</f>
        <v>2918100.4799341555</v>
      </c>
      <c r="F110" s="189">
        <f t="shared" ca="1" si="137"/>
        <v>56225086.293307021</v>
      </c>
      <c r="G110" s="186">
        <v>18151092.425055947</v>
      </c>
      <c r="H110" s="88">
        <f>('Customer Data'!$C134*2+'Customer Data'!$C137)/3</f>
        <v>7108.333333333333</v>
      </c>
      <c r="I110" s="188">
        <f ca="1">HLOOKUP($B110,CDM!$B$1:$Q$22,12,FALSE)/12</f>
        <v>850211.08997136261</v>
      </c>
      <c r="J110" s="188">
        <f ca="1">I110+G110</f>
        <v>19001303.515027311</v>
      </c>
      <c r="K110" s="186">
        <v>87168147.053014621</v>
      </c>
      <c r="L110" s="186">
        <v>203699.39999999997</v>
      </c>
      <c r="M110" s="88">
        <f>('Customer Data'!$D134*2+'Customer Data'!$D137)/3</f>
        <v>1251.6666666666667</v>
      </c>
      <c r="N110" s="126">
        <f ca="1">HLOOKUP($B110,CDM!$B$1:$Q$22,13,FALSE)/12</f>
        <v>6232636.1783645069</v>
      </c>
      <c r="O110" s="188">
        <f t="shared" ca="1" si="123"/>
        <v>93400783.231379122</v>
      </c>
      <c r="P110" s="188">
        <f t="shared" si="124"/>
        <v>203699.39999999997</v>
      </c>
      <c r="Q110" s="188">
        <v>335249.45552664541</v>
      </c>
      <c r="R110" s="188">
        <v>649.26</v>
      </c>
      <c r="S110" s="229">
        <v>0</v>
      </c>
      <c r="T110" s="189">
        <f t="shared" ca="1" si="88"/>
        <v>93065533.775852472</v>
      </c>
      <c r="U110" s="156">
        <f t="shared" si="89"/>
        <v>203050.13999999996</v>
      </c>
      <c r="V110" s="186">
        <v>3743730.83</v>
      </c>
      <c r="W110" s="186">
        <v>11064.19</v>
      </c>
      <c r="X110" s="88">
        <f>('Customer Data'!$E134*2+'Customer Data'!$E137)/3</f>
        <v>3</v>
      </c>
      <c r="Y110" s="126">
        <f ca="1">HLOOKUP($B110,CDM!$B$1:$Q$22,14,FALSE)/12</f>
        <v>86374.388467032957</v>
      </c>
      <c r="Z110" s="188">
        <f t="shared" ref="Z110:Z121" ca="1" si="148">V110+Y110</f>
        <v>3830105.218467033</v>
      </c>
      <c r="AA110" s="186">
        <v>24972511.539999999</v>
      </c>
      <c r="AB110" s="186">
        <v>44015.89</v>
      </c>
      <c r="AC110" s="88">
        <f>('Customer Data'!$F134*2+'Customer Data'!$F137)/3</f>
        <v>6</v>
      </c>
      <c r="AD110" s="126">
        <f ca="1">HLOOKUP($B110,CDM!$B$1:$Q$22,15,FALSE)/12</f>
        <v>973247.49286427477</v>
      </c>
      <c r="AE110" s="188">
        <f t="shared" ref="AE110:AE121" ca="1" si="149">AA110+AD110</f>
        <v>25945759.032864273</v>
      </c>
      <c r="AF110" s="186">
        <v>20856588.59</v>
      </c>
      <c r="AG110" s="186">
        <v>38060.559999999998</v>
      </c>
      <c r="AH110" s="88">
        <f>('Customer Data'!$G134*2+'Customer Data'!$G137)/3</f>
        <v>2</v>
      </c>
      <c r="AI110" s="126">
        <f ca="1">HLOOKUP($B110,CDM!$B$1:$Q$22,16,FALSE)/12</f>
        <v>2219458.8743467252</v>
      </c>
      <c r="AJ110" s="188">
        <f t="shared" ref="AJ110:AJ121" ca="1" si="150">AF110+AI110</f>
        <v>23076047.464346725</v>
      </c>
      <c r="AK110" s="188">
        <f t="shared" ref="AK110:AK121" si="151">AG110</f>
        <v>38060.559999999998</v>
      </c>
      <c r="AL110" s="188">
        <v>0</v>
      </c>
      <c r="AM110" s="188">
        <v>0</v>
      </c>
      <c r="AN110" s="156">
        <v>4414358.3972125435</v>
      </c>
      <c r="AO110" s="156">
        <v>6548.16</v>
      </c>
      <c r="AP110" s="156">
        <v>125222.2320309847</v>
      </c>
      <c r="AQ110" s="156">
        <f t="shared" ca="1" si="90"/>
        <v>21406178.403620746</v>
      </c>
      <c r="AR110" s="156">
        <f t="shared" si="91"/>
        <v>37467.729999999996</v>
      </c>
      <c r="AS110" s="186">
        <v>3508460.79</v>
      </c>
      <c r="AT110" s="186">
        <v>5166.05</v>
      </c>
      <c r="AU110" s="88">
        <f>('Customer Data'!$H134*2+'Customer Data'!$H137)/3</f>
        <v>1</v>
      </c>
      <c r="AV110" s="126">
        <f ca="1">HLOOKUP($B110,CDM!$B$1:$Q$22,17,FALSE)/12</f>
        <v>30449.387481835536</v>
      </c>
      <c r="AW110" s="188">
        <f t="shared" ca="1" si="142"/>
        <v>3538910.1774818357</v>
      </c>
      <c r="AX110" s="105">
        <v>674621.32000000007</v>
      </c>
      <c r="AY110" s="105">
        <v>1547.27</v>
      </c>
      <c r="AZ110" s="88">
        <f>('Customer Data'!$I134*2+'Customer Data'!$I137)/3</f>
        <v>24136.333333333332</v>
      </c>
      <c r="BA110" s="126">
        <f ca="1">HLOOKUP($B110,CDM!$B$1:$Q$22,18,FALSE)/12</f>
        <v>1179982.3207881695</v>
      </c>
      <c r="BB110" s="188">
        <f t="shared" ca="1" si="143"/>
        <v>1181529.5907881695</v>
      </c>
      <c r="BC110" s="186">
        <v>62608.923062620132</v>
      </c>
      <c r="BD110" s="186">
        <v>185.11999999999998</v>
      </c>
      <c r="BE110" s="188">
        <f>('Customer Data'!$J134*2+'Customer Data'!$J137*1)/3</f>
        <v>540.66666666666663</v>
      </c>
      <c r="BF110" s="105">
        <v>189087.80000000002</v>
      </c>
      <c r="BG110" s="188">
        <f>('Customer Data'!$K134*2+'Customer Data'!$K137*1)/3</f>
        <v>730</v>
      </c>
      <c r="BH110" s="188">
        <f>Weather!B278</f>
        <v>671.40000000000009</v>
      </c>
      <c r="BI110" s="188">
        <f>Weather!$C278</f>
        <v>0</v>
      </c>
      <c r="BJ110" s="166">
        <f>Employment!B134</f>
        <v>7166.6339368397712</v>
      </c>
      <c r="BK110" s="188">
        <f>Employment!$C134</f>
        <v>165.3963481436397</v>
      </c>
      <c r="BL110" s="188">
        <f>Employment!D134</f>
        <v>665994.78021817585</v>
      </c>
      <c r="BM110" s="188">
        <f t="shared" si="145"/>
        <v>109</v>
      </c>
      <c r="BN110" s="188">
        <f t="shared" ref="BN110:CA110" si="152">BN98</f>
        <v>1</v>
      </c>
      <c r="BO110" s="188">
        <f t="shared" si="152"/>
        <v>0</v>
      </c>
      <c r="BP110" s="188">
        <f t="shared" si="152"/>
        <v>0</v>
      </c>
      <c r="BQ110" s="188">
        <f t="shared" si="152"/>
        <v>0</v>
      </c>
      <c r="BR110" s="188">
        <f t="shared" si="152"/>
        <v>0</v>
      </c>
      <c r="BS110" s="188">
        <f t="shared" si="152"/>
        <v>0</v>
      </c>
      <c r="BT110" s="188">
        <f t="shared" si="152"/>
        <v>0</v>
      </c>
      <c r="BU110" s="188">
        <f t="shared" si="152"/>
        <v>0</v>
      </c>
      <c r="BV110" s="188">
        <f t="shared" si="152"/>
        <v>0</v>
      </c>
      <c r="BW110" s="188">
        <f t="shared" si="152"/>
        <v>0</v>
      </c>
      <c r="BX110" s="188">
        <f t="shared" si="152"/>
        <v>0</v>
      </c>
      <c r="BY110" s="188">
        <f t="shared" si="152"/>
        <v>0</v>
      </c>
      <c r="BZ110" s="188">
        <f t="shared" si="152"/>
        <v>0</v>
      </c>
      <c r="CA110" s="188">
        <f t="shared" si="152"/>
        <v>0</v>
      </c>
      <c r="CB110" s="188">
        <f t="shared" si="93"/>
        <v>0</v>
      </c>
      <c r="CC110" s="188">
        <f t="shared" si="70"/>
        <v>31</v>
      </c>
      <c r="CD110" s="121">
        <v>22</v>
      </c>
    </row>
    <row r="111" spans="1:82" s="188" customFormat="1" ht="15">
      <c r="A111" s="190">
        <v>43132</v>
      </c>
      <c r="B111" s="191">
        <f t="shared" si="136"/>
        <v>2018</v>
      </c>
      <c r="C111" s="186">
        <v>44221322.307908259</v>
      </c>
      <c r="D111" s="88">
        <f>('Customer Data'!$B134+'Customer Data'!$B137*2)/3</f>
        <v>78864.666666666672</v>
      </c>
      <c r="E111" s="188">
        <f ca="1">HLOOKUP($B111,CDM!$B$1:$Q$22,11,FALSE)/12</f>
        <v>2918100.4799341555</v>
      </c>
      <c r="F111" s="189">
        <f t="shared" ca="1" si="137"/>
        <v>47139422.787842415</v>
      </c>
      <c r="G111" s="186">
        <v>15760595.041560741</v>
      </c>
      <c r="H111" s="88">
        <f>('Customer Data'!$C134+'Customer Data'!$C137*2)/3</f>
        <v>7101.666666666667</v>
      </c>
      <c r="I111" s="188">
        <f ca="1">HLOOKUP($B111,CDM!$B$1:$Q$22,12,FALSE)/12</f>
        <v>850211.08997136261</v>
      </c>
      <c r="J111" s="188">
        <f t="shared" ca="1" si="138"/>
        <v>16610806.131532103</v>
      </c>
      <c r="K111" s="186">
        <v>76176146.525613785</v>
      </c>
      <c r="L111" s="186">
        <v>193044.49</v>
      </c>
      <c r="M111" s="88">
        <f>('Customer Data'!$D134+'Customer Data'!$D137*2)/3</f>
        <v>1250.3333333333333</v>
      </c>
      <c r="N111" s="126">
        <f ca="1">HLOOKUP($B111,CDM!$B$1:$Q$22,13,FALSE)/12</f>
        <v>6232636.1783645069</v>
      </c>
      <c r="O111" s="188">
        <f t="shared" ca="1" si="123"/>
        <v>82408782.703978285</v>
      </c>
      <c r="P111" s="188">
        <f t="shared" si="124"/>
        <v>193044.49</v>
      </c>
      <c r="Q111" s="188">
        <v>333188.18541004142</v>
      </c>
      <c r="R111" s="188">
        <v>649.89</v>
      </c>
      <c r="S111" s="229">
        <v>0</v>
      </c>
      <c r="T111" s="189">
        <f t="shared" ca="1" si="88"/>
        <v>82075594.518568248</v>
      </c>
      <c r="U111" s="156">
        <f t="shared" si="89"/>
        <v>192394.59999999998</v>
      </c>
      <c r="V111" s="186">
        <v>3207717.15</v>
      </c>
      <c r="W111" s="186">
        <v>9712.39</v>
      </c>
      <c r="X111" s="88">
        <f>('Customer Data'!$E134+'Customer Data'!$E137*2)/3</f>
        <v>3</v>
      </c>
      <c r="Y111" s="126">
        <f ca="1">HLOOKUP($B111,CDM!$B$1:$Q$22,14,FALSE)/12</f>
        <v>86374.388467032957</v>
      </c>
      <c r="Z111" s="188">
        <f t="shared" ca="1" si="148"/>
        <v>3294091.5384670328</v>
      </c>
      <c r="AA111" s="186">
        <v>22750115.960000001</v>
      </c>
      <c r="AB111" s="186">
        <v>44816.53</v>
      </c>
      <c r="AC111" s="88">
        <f>('Customer Data'!$F134+'Customer Data'!$F137*2)/3</f>
        <v>6</v>
      </c>
      <c r="AD111" s="126">
        <f ca="1">HLOOKUP($B111,CDM!$B$1:$Q$22,15,FALSE)/12</f>
        <v>973247.49286427477</v>
      </c>
      <c r="AE111" s="188">
        <f t="shared" ca="1" si="149"/>
        <v>23723363.452864274</v>
      </c>
      <c r="AF111" s="186">
        <v>21049186.780000001</v>
      </c>
      <c r="AG111" s="186">
        <v>38386.019999999997</v>
      </c>
      <c r="AH111" s="88">
        <f>('Customer Data'!$G134+'Customer Data'!$G137*2)/3</f>
        <v>2</v>
      </c>
      <c r="AI111" s="126">
        <f ca="1">HLOOKUP($B111,CDM!$B$1:$Q$22,16,FALSE)/12</f>
        <v>2219458.8743467252</v>
      </c>
      <c r="AJ111" s="188">
        <f t="shared" ca="1" si="150"/>
        <v>23268645.654346727</v>
      </c>
      <c r="AK111" s="188">
        <f t="shared" si="151"/>
        <v>38386.019999999997</v>
      </c>
      <c r="AL111" s="188">
        <v>0</v>
      </c>
      <c r="AM111" s="188">
        <v>0</v>
      </c>
      <c r="AN111" s="156">
        <v>4056271.6774514685</v>
      </c>
      <c r="AO111" s="156">
        <v>6751.68</v>
      </c>
      <c r="AP111" s="156">
        <v>125222.2320309847</v>
      </c>
      <c r="AQ111" s="156">
        <f t="shared" ca="1" si="90"/>
        <v>19541869.543381821</v>
      </c>
      <c r="AR111" s="156">
        <f t="shared" si="91"/>
        <v>38064.85</v>
      </c>
      <c r="AS111" s="186">
        <v>3249303.77</v>
      </c>
      <c r="AT111" s="186">
        <v>5432.8</v>
      </c>
      <c r="AU111" s="88">
        <f>('Customer Data'!$H134+'Customer Data'!$H137*2)/3</f>
        <v>1</v>
      </c>
      <c r="AV111" s="126">
        <f ca="1">HLOOKUP($B111,CDM!$B$1:$Q$22,17,FALSE)/12</f>
        <v>30449.387481835536</v>
      </c>
      <c r="AW111" s="188">
        <f t="shared" ca="1" si="142"/>
        <v>3279753.1574818357</v>
      </c>
      <c r="AX111" s="105">
        <v>563969.26</v>
      </c>
      <c r="AY111" s="105">
        <v>1546.18</v>
      </c>
      <c r="AZ111" s="88">
        <f>('Customer Data'!$I134+'Customer Data'!$I137*2)/3</f>
        <v>24136.666666666668</v>
      </c>
      <c r="BA111" s="126">
        <f ca="1">HLOOKUP($B111,CDM!$B$1:$Q$22,18,FALSE)/12</f>
        <v>1179982.3207881695</v>
      </c>
      <c r="BB111" s="188">
        <f t="shared" ca="1" si="143"/>
        <v>1181528.5007881694</v>
      </c>
      <c r="BC111" s="186">
        <v>61997.705676033715</v>
      </c>
      <c r="BD111" s="186">
        <v>180.36999999999998</v>
      </c>
      <c r="BE111" s="188">
        <f>('Customer Data'!$J134*1+'Customer Data'!$J137*2)/3</f>
        <v>540.33333333333337</v>
      </c>
      <c r="BF111" s="105">
        <v>188911.2</v>
      </c>
      <c r="BG111" s="188">
        <f>('Customer Data'!$K134*1+'Customer Data'!$K137*2)/3</f>
        <v>730</v>
      </c>
      <c r="BH111" s="188">
        <f>Weather!B279</f>
        <v>497.29999999999995</v>
      </c>
      <c r="BI111" s="188">
        <f>Weather!$C279</f>
        <v>0</v>
      </c>
      <c r="BJ111" s="166">
        <f>Employment!B135</f>
        <v>7119.8728643912718</v>
      </c>
      <c r="BK111" s="188">
        <f>Employment!$C135</f>
        <v>161.90486914181378</v>
      </c>
      <c r="BL111" s="188">
        <f>Employment!D135</f>
        <v>665994.78021817585</v>
      </c>
      <c r="BM111" s="188">
        <f t="shared" si="145"/>
        <v>110</v>
      </c>
      <c r="BN111" s="188">
        <f t="shared" ref="BN111:CA111" si="153">BN99</f>
        <v>0</v>
      </c>
      <c r="BO111" s="188">
        <f t="shared" si="153"/>
        <v>1</v>
      </c>
      <c r="BP111" s="188">
        <f t="shared" si="153"/>
        <v>0</v>
      </c>
      <c r="BQ111" s="188">
        <f t="shared" si="153"/>
        <v>0</v>
      </c>
      <c r="BR111" s="188">
        <f t="shared" si="153"/>
        <v>0</v>
      </c>
      <c r="BS111" s="188">
        <f t="shared" si="153"/>
        <v>0</v>
      </c>
      <c r="BT111" s="188">
        <f t="shared" si="153"/>
        <v>0</v>
      </c>
      <c r="BU111" s="188">
        <f t="shared" si="153"/>
        <v>0</v>
      </c>
      <c r="BV111" s="188">
        <f t="shared" si="153"/>
        <v>0</v>
      </c>
      <c r="BW111" s="188">
        <f t="shared" si="153"/>
        <v>0</v>
      </c>
      <c r="BX111" s="188">
        <f t="shared" si="153"/>
        <v>0</v>
      </c>
      <c r="BY111" s="188">
        <f t="shared" si="153"/>
        <v>0</v>
      </c>
      <c r="BZ111" s="188">
        <f t="shared" si="153"/>
        <v>0</v>
      </c>
      <c r="CA111" s="188">
        <f t="shared" si="153"/>
        <v>0</v>
      </c>
      <c r="CB111" s="188">
        <f t="shared" si="93"/>
        <v>0</v>
      </c>
      <c r="CC111" s="188">
        <f t="shared" si="70"/>
        <v>28</v>
      </c>
      <c r="CD111" s="121">
        <v>19</v>
      </c>
    </row>
    <row r="112" spans="1:82" s="188" customFormat="1" ht="15">
      <c r="A112" s="190">
        <v>43160</v>
      </c>
      <c r="B112" s="191">
        <f t="shared" si="136"/>
        <v>2018</v>
      </c>
      <c r="C112" s="186">
        <v>45657469.032303207</v>
      </c>
      <c r="D112" s="88">
        <f>'Customer Data'!$B137</f>
        <v>78558</v>
      </c>
      <c r="E112" s="188">
        <f ca="1">HLOOKUP($B112,CDM!$B$1:$Q$22,11,FALSE)/12</f>
        <v>2918100.4799341555</v>
      </c>
      <c r="F112" s="189">
        <f t="shared" ca="1" si="137"/>
        <v>48575569.512237363</v>
      </c>
      <c r="G112" s="186">
        <v>16468529.030763641</v>
      </c>
      <c r="H112" s="88">
        <f>'Customer Data'!$C137</f>
        <v>7095</v>
      </c>
      <c r="I112" s="188">
        <f ca="1">HLOOKUP($B112,CDM!$B$1:$Q$22,12,FALSE)/12</f>
        <v>850211.08997136261</v>
      </c>
      <c r="J112" s="188">
        <f t="shared" ca="1" si="138"/>
        <v>17318740.120735005</v>
      </c>
      <c r="K112" s="186">
        <v>81252329.386982784</v>
      </c>
      <c r="L112" s="186">
        <v>187072.29</v>
      </c>
      <c r="M112" s="88">
        <f>'Customer Data'!$D137</f>
        <v>1249</v>
      </c>
      <c r="N112" s="126">
        <f ca="1">HLOOKUP($B112,CDM!$B$1:$Q$22,13,FALSE)/12</f>
        <v>6232636.1783645069</v>
      </c>
      <c r="O112" s="188">
        <f t="shared" ca="1" si="123"/>
        <v>87484965.565347284</v>
      </c>
      <c r="P112" s="188">
        <f t="shared" si="124"/>
        <v>187072.29</v>
      </c>
      <c r="Q112" s="188">
        <v>316172.69923870091</v>
      </c>
      <c r="R112" s="188">
        <v>635.94000000000005</v>
      </c>
      <c r="S112" s="229">
        <v>0</v>
      </c>
      <c r="T112" s="189">
        <f t="shared" ca="1" si="88"/>
        <v>87168792.866108581</v>
      </c>
      <c r="U112" s="156">
        <f t="shared" si="89"/>
        <v>186436.35</v>
      </c>
      <c r="V112" s="186">
        <v>3095374.05</v>
      </c>
      <c r="W112" s="186">
        <v>10065.68</v>
      </c>
      <c r="X112" s="88">
        <f>'Customer Data'!$E137</f>
        <v>3</v>
      </c>
      <c r="Y112" s="126">
        <f ca="1">HLOOKUP($B112,CDM!$B$1:$Q$22,14,FALSE)/12</f>
        <v>86374.388467032957</v>
      </c>
      <c r="Z112" s="188">
        <f t="shared" ca="1" si="148"/>
        <v>3181748.4384670327</v>
      </c>
      <c r="AA112" s="186">
        <v>26283793.989999998</v>
      </c>
      <c r="AB112" s="186">
        <v>45160.479999999996</v>
      </c>
      <c r="AC112" s="88">
        <f>'Customer Data'!$F137</f>
        <v>6</v>
      </c>
      <c r="AD112" s="126">
        <f ca="1">HLOOKUP($B112,CDM!$B$1:$Q$22,15,FALSE)/12</f>
        <v>973247.49286427477</v>
      </c>
      <c r="AE112" s="188">
        <f t="shared" ca="1" si="149"/>
        <v>27257041.482864272</v>
      </c>
      <c r="AF112" s="186">
        <v>21597415.559999999</v>
      </c>
      <c r="AG112" s="186">
        <v>38116.74</v>
      </c>
      <c r="AH112" s="88">
        <f>'Customer Data'!$G137</f>
        <v>2</v>
      </c>
      <c r="AI112" s="126">
        <f ca="1">HLOOKUP($B112,CDM!$B$1:$Q$22,16,FALSE)/12</f>
        <v>2219458.8743467252</v>
      </c>
      <c r="AJ112" s="188">
        <f t="shared" ca="1" si="150"/>
        <v>23816874.434346724</v>
      </c>
      <c r="AK112" s="188">
        <f t="shared" si="151"/>
        <v>38116.74</v>
      </c>
      <c r="AL112" s="188">
        <v>0</v>
      </c>
      <c r="AM112" s="188">
        <v>0</v>
      </c>
      <c r="AN112" s="156">
        <v>4979647.675460428</v>
      </c>
      <c r="AO112" s="156">
        <v>7629.12</v>
      </c>
      <c r="AP112" s="156">
        <v>125222.2320309847</v>
      </c>
      <c r="AQ112" s="156">
        <f t="shared" ca="1" si="90"/>
        <v>22152171.57537286</v>
      </c>
      <c r="AR112" s="156">
        <f t="shared" si="91"/>
        <v>37531.359999999993</v>
      </c>
      <c r="AS112" s="186">
        <v>3635541.31</v>
      </c>
      <c r="AT112" s="186">
        <v>5288.43</v>
      </c>
      <c r="AU112" s="88">
        <f>'Customer Data'!$H137</f>
        <v>1</v>
      </c>
      <c r="AV112" s="126">
        <f ca="1">HLOOKUP($B112,CDM!$B$1:$Q$22,17,FALSE)/12</f>
        <v>30449.387481835536</v>
      </c>
      <c r="AW112" s="188">
        <f t="shared" ca="1" si="142"/>
        <v>3665990.6974818357</v>
      </c>
      <c r="AX112" s="105">
        <v>554343.14</v>
      </c>
      <c r="AY112" s="105">
        <v>1537.47</v>
      </c>
      <c r="AZ112" s="88">
        <f>'Customer Data'!$I137</f>
        <v>24137</v>
      </c>
      <c r="BA112" s="126">
        <f ca="1">HLOOKUP($B112,CDM!$B$1:$Q$22,18,FALSE)/12</f>
        <v>1179982.3207881695</v>
      </c>
      <c r="BB112" s="188">
        <f t="shared" ca="1" si="143"/>
        <v>1181519.7907881695</v>
      </c>
      <c r="BC112" s="186">
        <v>67287.557705627754</v>
      </c>
      <c r="BD112" s="186">
        <v>175.22999999999996</v>
      </c>
      <c r="BE112" s="188">
        <f>'Customer Data'!$J137</f>
        <v>540</v>
      </c>
      <c r="BF112" s="105">
        <v>188911.2</v>
      </c>
      <c r="BG112" s="188">
        <f>'Customer Data'!$K137</f>
        <v>730</v>
      </c>
      <c r="BH112" s="188">
        <f>Weather!B280</f>
        <v>510.59999999999997</v>
      </c>
      <c r="BI112" s="188">
        <f>Weather!$C280</f>
        <v>0</v>
      </c>
      <c r="BJ112" s="166">
        <f>Employment!B136</f>
        <v>7076.4090470513211</v>
      </c>
      <c r="BK112" s="188">
        <f>Employment!$C136</f>
        <v>160.5082775410834</v>
      </c>
      <c r="BL112" s="188">
        <f>Employment!D136</f>
        <v>665994.78021817585</v>
      </c>
      <c r="BM112" s="188">
        <f t="shared" si="145"/>
        <v>111</v>
      </c>
      <c r="BN112" s="188">
        <f t="shared" ref="BN112:CA112" si="154">BN100</f>
        <v>0</v>
      </c>
      <c r="BO112" s="188">
        <f t="shared" si="154"/>
        <v>0</v>
      </c>
      <c r="BP112" s="188">
        <f t="shared" si="154"/>
        <v>1</v>
      </c>
      <c r="BQ112" s="188">
        <f t="shared" si="154"/>
        <v>0</v>
      </c>
      <c r="BR112" s="188">
        <f t="shared" si="154"/>
        <v>0</v>
      </c>
      <c r="BS112" s="188">
        <f t="shared" si="154"/>
        <v>0</v>
      </c>
      <c r="BT112" s="188">
        <f t="shared" si="154"/>
        <v>0</v>
      </c>
      <c r="BU112" s="188">
        <f t="shared" si="154"/>
        <v>0</v>
      </c>
      <c r="BV112" s="188">
        <f t="shared" si="154"/>
        <v>0</v>
      </c>
      <c r="BW112" s="188">
        <f t="shared" si="154"/>
        <v>0</v>
      </c>
      <c r="BX112" s="188">
        <f t="shared" si="154"/>
        <v>0</v>
      </c>
      <c r="BY112" s="188">
        <f t="shared" si="154"/>
        <v>0</v>
      </c>
      <c r="BZ112" s="188">
        <f t="shared" si="154"/>
        <v>1</v>
      </c>
      <c r="CA112" s="188">
        <f t="shared" si="154"/>
        <v>0</v>
      </c>
      <c r="CB112" s="188">
        <f t="shared" si="93"/>
        <v>1</v>
      </c>
      <c r="CC112" s="188">
        <f t="shared" si="70"/>
        <v>31</v>
      </c>
      <c r="CD112" s="121">
        <v>21</v>
      </c>
    </row>
    <row r="113" spans="1:82" s="188" customFormat="1" ht="15">
      <c r="A113" s="190">
        <v>43191</v>
      </c>
      <c r="B113" s="191">
        <f t="shared" si="136"/>
        <v>2018</v>
      </c>
      <c r="C113" s="186">
        <v>40903595.552677058</v>
      </c>
      <c r="D113" s="88">
        <f>('Customer Data'!$B137*2+'Customer Data'!$B140)/3</f>
        <v>78934</v>
      </c>
      <c r="E113" s="188">
        <f ca="1">HLOOKUP($B113,CDM!$B$1:$Q$22,11,FALSE)/12</f>
        <v>2918100.4799341555</v>
      </c>
      <c r="F113" s="189">
        <f t="shared" ca="1" si="137"/>
        <v>43821696.032611214</v>
      </c>
      <c r="G113" s="186">
        <v>15167015.182330653</v>
      </c>
      <c r="H113" s="88">
        <f>('Customer Data'!$C137*2+'Customer Data'!$C140)/3</f>
        <v>7101.333333333333</v>
      </c>
      <c r="I113" s="188">
        <f ca="1">HLOOKUP($B113,CDM!$B$1:$Q$22,12,FALSE)/12</f>
        <v>850211.08997136261</v>
      </c>
      <c r="J113" s="188">
        <f t="shared" ca="1" si="138"/>
        <v>16017226.272302017</v>
      </c>
      <c r="K113" s="186">
        <v>74314637.819735706</v>
      </c>
      <c r="L113" s="186">
        <v>188345.88999999998</v>
      </c>
      <c r="M113" s="88">
        <f>('Customer Data'!$D137*2+'Customer Data'!$D140)/3</f>
        <v>1249.3333333333333</v>
      </c>
      <c r="N113" s="126">
        <f ca="1">HLOOKUP($B113,CDM!$B$1:$Q$22,13,FALSE)/12</f>
        <v>6232636.1783645069</v>
      </c>
      <c r="O113" s="188">
        <f t="shared" ca="1" si="123"/>
        <v>80547273.998100206</v>
      </c>
      <c r="P113" s="188">
        <f t="shared" si="124"/>
        <v>188345.88999999998</v>
      </c>
      <c r="Q113" s="188">
        <v>280917.99171244091</v>
      </c>
      <c r="R113" s="188">
        <v>555.39</v>
      </c>
      <c r="S113" s="229">
        <v>0</v>
      </c>
      <c r="T113" s="189">
        <f t="shared" ca="1" si="88"/>
        <v>80266356.00638777</v>
      </c>
      <c r="U113" s="156">
        <f t="shared" si="89"/>
        <v>187790.49999999997</v>
      </c>
      <c r="V113" s="186">
        <v>3352519.98</v>
      </c>
      <c r="W113" s="186">
        <v>10140.1</v>
      </c>
      <c r="X113" s="88">
        <f>('Customer Data'!$E137*2+'Customer Data'!$E140)/3</f>
        <v>3</v>
      </c>
      <c r="Y113" s="126">
        <f ca="1">HLOOKUP($B113,CDM!$B$1:$Q$22,14,FALSE)/12</f>
        <v>86374.388467032957</v>
      </c>
      <c r="Z113" s="188">
        <f t="shared" ca="1" si="148"/>
        <v>3438894.3684670329</v>
      </c>
      <c r="AA113" s="186">
        <v>24527709.870000001</v>
      </c>
      <c r="AB113" s="186">
        <v>44702.09</v>
      </c>
      <c r="AC113" s="88">
        <f>('Customer Data'!$F137*2+'Customer Data'!$F140)/3</f>
        <v>6</v>
      </c>
      <c r="AD113" s="126">
        <f ca="1">HLOOKUP($B113,CDM!$B$1:$Q$22,15,FALSE)/12</f>
        <v>973247.49286427477</v>
      </c>
      <c r="AE113" s="188">
        <f t="shared" ca="1" si="149"/>
        <v>25500957.362864275</v>
      </c>
      <c r="AF113" s="186">
        <v>20386174.98</v>
      </c>
      <c r="AG113" s="186">
        <v>37924.17</v>
      </c>
      <c r="AH113" s="88">
        <f>('Customer Data'!$G137*2+'Customer Data'!$G140)/3</f>
        <v>2</v>
      </c>
      <c r="AI113" s="126">
        <f ca="1">HLOOKUP($B113,CDM!$B$1:$Q$22,16,FALSE)/12</f>
        <v>2219458.8743467252</v>
      </c>
      <c r="AJ113" s="188">
        <f t="shared" ca="1" si="150"/>
        <v>22605633.854346726</v>
      </c>
      <c r="AK113" s="188">
        <f t="shared" si="151"/>
        <v>37924.17</v>
      </c>
      <c r="AL113" s="188">
        <v>0</v>
      </c>
      <c r="AM113" s="188">
        <v>0</v>
      </c>
      <c r="AN113" s="156">
        <v>4923911.9960179189</v>
      </c>
      <c r="AO113" s="156">
        <v>7732.8</v>
      </c>
      <c r="AP113" s="156">
        <v>125222.2320309847</v>
      </c>
      <c r="AQ113" s="156">
        <f t="shared" ca="1" si="90"/>
        <v>20451823.134815373</v>
      </c>
      <c r="AR113" s="156">
        <f t="shared" si="91"/>
        <v>36969.289999999994</v>
      </c>
      <c r="AS113" s="186">
        <v>3549737.21</v>
      </c>
      <c r="AT113" s="186">
        <v>5443.57</v>
      </c>
      <c r="AU113" s="88">
        <f>('Customer Data'!$H137*2+'Customer Data'!$H140)/3</f>
        <v>1</v>
      </c>
      <c r="AV113" s="126">
        <f ca="1">HLOOKUP($B113,CDM!$B$1:$Q$22,17,FALSE)/12</f>
        <v>30449.387481835536</v>
      </c>
      <c r="AW113" s="188">
        <f t="shared" ca="1" si="142"/>
        <v>3580186.5974818356</v>
      </c>
      <c r="AX113" s="105">
        <v>481211.52</v>
      </c>
      <c r="AY113" s="105">
        <v>1562.3100000000002</v>
      </c>
      <c r="AZ113" s="88">
        <f>('Customer Data'!$I137*2+'Customer Data'!$I140)/3</f>
        <v>24192.666666666668</v>
      </c>
      <c r="BA113" s="126">
        <f ca="1">HLOOKUP($B113,CDM!$B$1:$Q$22,18,FALSE)/12</f>
        <v>1179982.3207881695</v>
      </c>
      <c r="BB113" s="188">
        <f t="shared" ca="1" si="143"/>
        <v>1181544.6307881696</v>
      </c>
      <c r="BC113" s="186">
        <v>64239.587532467587</v>
      </c>
      <c r="BD113" s="186">
        <v>184.75999999999996</v>
      </c>
      <c r="BE113" s="188">
        <f>('Customer Data'!$J137*2+'Customer Data'!$J140*1)/3</f>
        <v>539</v>
      </c>
      <c r="BF113" s="105">
        <v>188911.2</v>
      </c>
      <c r="BG113" s="188">
        <f>('Customer Data'!$K137*2+'Customer Data'!$K140*1)/3</f>
        <v>728.66666666666663</v>
      </c>
      <c r="BH113" s="188">
        <f>Weather!B281</f>
        <v>334.19999999999993</v>
      </c>
      <c r="BI113" s="188">
        <f>Weather!$C281</f>
        <v>0</v>
      </c>
      <c r="BJ113" s="166">
        <f>Employment!B137</f>
        <v>7102.4873374552917</v>
      </c>
      <c r="BK113" s="188">
        <f>Employment!$C137</f>
        <v>161.50584297017653</v>
      </c>
      <c r="BL113" s="188">
        <f>Employment!D137</f>
        <v>665994.78021817585</v>
      </c>
      <c r="BM113" s="188">
        <f t="shared" si="145"/>
        <v>112</v>
      </c>
      <c r="BN113" s="188">
        <f t="shared" ref="BN113:CA113" si="155">BN101</f>
        <v>0</v>
      </c>
      <c r="BO113" s="188">
        <f t="shared" si="155"/>
        <v>0</v>
      </c>
      <c r="BP113" s="188">
        <f t="shared" si="155"/>
        <v>0</v>
      </c>
      <c r="BQ113" s="188">
        <f t="shared" si="155"/>
        <v>1</v>
      </c>
      <c r="BR113" s="188">
        <f t="shared" si="155"/>
        <v>0</v>
      </c>
      <c r="BS113" s="188">
        <f t="shared" si="155"/>
        <v>0</v>
      </c>
      <c r="BT113" s="188">
        <f t="shared" si="155"/>
        <v>0</v>
      </c>
      <c r="BU113" s="188">
        <f t="shared" si="155"/>
        <v>0</v>
      </c>
      <c r="BV113" s="188">
        <f t="shared" si="155"/>
        <v>0</v>
      </c>
      <c r="BW113" s="188">
        <f t="shared" si="155"/>
        <v>0</v>
      </c>
      <c r="BX113" s="188">
        <f t="shared" si="155"/>
        <v>0</v>
      </c>
      <c r="BY113" s="188">
        <f t="shared" si="155"/>
        <v>0</v>
      </c>
      <c r="BZ113" s="188">
        <f t="shared" si="155"/>
        <v>1</v>
      </c>
      <c r="CA113" s="188">
        <f t="shared" si="155"/>
        <v>0</v>
      </c>
      <c r="CB113" s="188">
        <f t="shared" si="93"/>
        <v>1</v>
      </c>
      <c r="CC113" s="188">
        <f t="shared" si="70"/>
        <v>30</v>
      </c>
      <c r="CD113" s="121">
        <v>21</v>
      </c>
    </row>
    <row r="114" spans="1:82" s="188" customFormat="1" ht="15">
      <c r="A114" s="190">
        <v>43221</v>
      </c>
      <c r="B114" s="191">
        <f t="shared" si="136"/>
        <v>2018</v>
      </c>
      <c r="C114" s="186">
        <v>45981821.453743175</v>
      </c>
      <c r="D114" s="88">
        <f>('Customer Data'!$B137+'Customer Data'!$B140*2)/3</f>
        <v>79310</v>
      </c>
      <c r="E114" s="188">
        <f ca="1">HLOOKUP($B114,CDM!$B$1:$Q$22,11,FALSE)/12</f>
        <v>2918100.4799341555</v>
      </c>
      <c r="F114" s="189">
        <f t="shared" ca="1" si="137"/>
        <v>48899921.933677331</v>
      </c>
      <c r="G114" s="186">
        <v>16071610.044029057</v>
      </c>
      <c r="H114" s="88">
        <f>('Customer Data'!$C137+'Customer Data'!$C140*2)/3</f>
        <v>7107.666666666667</v>
      </c>
      <c r="I114" s="188">
        <f ca="1">HLOOKUP($B114,CDM!$B$1:$Q$22,12,FALSE)/12</f>
        <v>850211.08997136261</v>
      </c>
      <c r="J114" s="188">
        <f t="shared" ca="1" si="138"/>
        <v>16921821.134000421</v>
      </c>
      <c r="K114" s="186">
        <v>75147785.761514172</v>
      </c>
      <c r="L114" s="186">
        <v>206863.56999999998</v>
      </c>
      <c r="M114" s="88">
        <f>('Customer Data'!$D137+'Customer Data'!$D140*2)/3</f>
        <v>1249.6666666666667</v>
      </c>
      <c r="N114" s="126">
        <f ca="1">HLOOKUP($B114,CDM!$B$1:$Q$22,13,FALSE)/12</f>
        <v>6232636.1783645069</v>
      </c>
      <c r="O114" s="188">
        <f t="shared" ca="1" si="123"/>
        <v>81380421.939878672</v>
      </c>
      <c r="P114" s="188">
        <f t="shared" si="124"/>
        <v>206863.56999999998</v>
      </c>
      <c r="Q114" s="188">
        <v>238016.97022260766</v>
      </c>
      <c r="R114" s="188">
        <v>450.81</v>
      </c>
      <c r="S114" s="229">
        <v>0</v>
      </c>
      <c r="T114" s="189">
        <f t="shared" ca="1" si="88"/>
        <v>81142404.969656065</v>
      </c>
      <c r="U114" s="156">
        <f t="shared" si="89"/>
        <v>206412.75999999998</v>
      </c>
      <c r="V114" s="186">
        <v>3199368.82</v>
      </c>
      <c r="W114" s="186">
        <v>10564.26</v>
      </c>
      <c r="X114" s="88">
        <f>('Customer Data'!$E137+'Customer Data'!$E140*2)/3</f>
        <v>3</v>
      </c>
      <c r="Y114" s="126">
        <f ca="1">HLOOKUP($B114,CDM!$B$1:$Q$22,14,FALSE)/12</f>
        <v>86374.388467032957</v>
      </c>
      <c r="Z114" s="188">
        <f t="shared" ca="1" si="148"/>
        <v>3285743.2084670328</v>
      </c>
      <c r="AA114" s="186">
        <v>28564240.359999999</v>
      </c>
      <c r="AB114" s="186">
        <v>50139.58</v>
      </c>
      <c r="AC114" s="88">
        <f>('Customer Data'!$F137+'Customer Data'!$F140*2)/3</f>
        <v>6</v>
      </c>
      <c r="AD114" s="126">
        <f ca="1">HLOOKUP($B114,CDM!$B$1:$Q$22,15,FALSE)/12</f>
        <v>973247.49286427477</v>
      </c>
      <c r="AE114" s="188">
        <f t="shared" ca="1" si="149"/>
        <v>29537487.852864273</v>
      </c>
      <c r="AF114" s="186">
        <v>21822662.640000001</v>
      </c>
      <c r="AG114" s="186">
        <v>43838.080000000002</v>
      </c>
      <c r="AH114" s="88">
        <f>('Customer Data'!$G137+'Customer Data'!$G140*2)/3</f>
        <v>2</v>
      </c>
      <c r="AI114" s="126">
        <f ca="1">HLOOKUP($B114,CDM!$B$1:$Q$22,16,FALSE)/12</f>
        <v>2219458.8743467252</v>
      </c>
      <c r="AJ114" s="188">
        <f t="shared" ca="1" si="150"/>
        <v>24042121.514346726</v>
      </c>
      <c r="AK114" s="188">
        <f t="shared" si="151"/>
        <v>43838.080000000002</v>
      </c>
      <c r="AL114" s="188">
        <v>0</v>
      </c>
      <c r="AM114" s="188">
        <v>0</v>
      </c>
      <c r="AN114" s="156">
        <v>5076945.6047784975</v>
      </c>
      <c r="AO114" s="156">
        <v>8208.9599999999991</v>
      </c>
      <c r="AP114" s="156">
        <v>125222.2320309847</v>
      </c>
      <c r="AQ114" s="156">
        <f t="shared" ca="1" si="90"/>
        <v>24335320.01605479</v>
      </c>
      <c r="AR114" s="156">
        <f t="shared" si="91"/>
        <v>41930.620000000003</v>
      </c>
      <c r="AS114" s="186">
        <v>3775364.89</v>
      </c>
      <c r="AT114" s="186">
        <v>6218.54</v>
      </c>
      <c r="AU114" s="88">
        <f>('Customer Data'!$H137+'Customer Data'!$H140*2)/3</f>
        <v>1</v>
      </c>
      <c r="AV114" s="126">
        <f ca="1">HLOOKUP($B114,CDM!$B$1:$Q$22,17,FALSE)/12</f>
        <v>30449.387481835536</v>
      </c>
      <c r="AW114" s="188">
        <f t="shared" ca="1" si="142"/>
        <v>3805814.2774818358</v>
      </c>
      <c r="AX114" s="105">
        <v>433097.7</v>
      </c>
      <c r="AY114" s="105">
        <v>1562.6200000000001</v>
      </c>
      <c r="AZ114" s="88">
        <f>('Customer Data'!$I137+'Customer Data'!$I140*2)/3</f>
        <v>24248.333333333332</v>
      </c>
      <c r="BA114" s="126">
        <f ca="1">HLOOKUP($B114,CDM!$B$1:$Q$22,18,FALSE)/12</f>
        <v>1179982.3207881695</v>
      </c>
      <c r="BB114" s="188">
        <f t="shared" ca="1" si="143"/>
        <v>1181544.9407881696</v>
      </c>
      <c r="BC114" s="186">
        <v>64833.907401297241</v>
      </c>
      <c r="BD114" s="186">
        <v>177.60999999999999</v>
      </c>
      <c r="BE114" s="188">
        <f>('Customer Data'!$J137*1+'Customer Data'!$J140*2)/3</f>
        <v>538</v>
      </c>
      <c r="BF114" s="105">
        <v>188882.4</v>
      </c>
      <c r="BG114" s="188">
        <f>('Customer Data'!$K137*1+'Customer Data'!$K140*2)/3</f>
        <v>727.33333333333337</v>
      </c>
      <c r="BH114" s="188">
        <f>Weather!B282</f>
        <v>44.6</v>
      </c>
      <c r="BI114" s="188">
        <f>Weather!$C282</f>
        <v>68.7</v>
      </c>
      <c r="BJ114" s="166">
        <f>Employment!B138</f>
        <v>7168.7321900906645</v>
      </c>
      <c r="BK114" s="188">
        <f>Employment!$C138</f>
        <v>162.90243457090693</v>
      </c>
      <c r="BL114" s="188">
        <f>Employment!D138</f>
        <v>665994.78021817585</v>
      </c>
      <c r="BM114" s="188">
        <f t="shared" si="145"/>
        <v>113</v>
      </c>
      <c r="BN114" s="188">
        <f t="shared" ref="BN114:CA114" si="156">BN102</f>
        <v>0</v>
      </c>
      <c r="BO114" s="188">
        <f t="shared" si="156"/>
        <v>0</v>
      </c>
      <c r="BP114" s="188">
        <f t="shared" si="156"/>
        <v>0</v>
      </c>
      <c r="BQ114" s="188">
        <f t="shared" si="156"/>
        <v>0</v>
      </c>
      <c r="BR114" s="188">
        <f t="shared" si="156"/>
        <v>1</v>
      </c>
      <c r="BS114" s="188">
        <f t="shared" si="156"/>
        <v>0</v>
      </c>
      <c r="BT114" s="188">
        <f t="shared" si="156"/>
        <v>0</v>
      </c>
      <c r="BU114" s="188">
        <f t="shared" si="156"/>
        <v>0</v>
      </c>
      <c r="BV114" s="188">
        <f t="shared" si="156"/>
        <v>0</v>
      </c>
      <c r="BW114" s="188">
        <f t="shared" si="156"/>
        <v>0</v>
      </c>
      <c r="BX114" s="188">
        <f t="shared" si="156"/>
        <v>0</v>
      </c>
      <c r="BY114" s="188">
        <f t="shared" si="156"/>
        <v>0</v>
      </c>
      <c r="BZ114" s="188">
        <f t="shared" si="156"/>
        <v>1</v>
      </c>
      <c r="CA114" s="188">
        <f t="shared" si="156"/>
        <v>0</v>
      </c>
      <c r="CB114" s="188">
        <f t="shared" si="93"/>
        <v>1</v>
      </c>
      <c r="CC114" s="188">
        <f t="shared" si="70"/>
        <v>31</v>
      </c>
      <c r="CD114" s="121">
        <v>22</v>
      </c>
    </row>
    <row r="115" spans="1:82" s="188" customFormat="1" ht="15">
      <c r="A115" s="190">
        <v>43252</v>
      </c>
      <c r="B115" s="191">
        <f t="shared" si="136"/>
        <v>2018</v>
      </c>
      <c r="C115" s="186">
        <v>63091952.104398146</v>
      </c>
      <c r="D115" s="88">
        <f>'Customer Data'!$B140</f>
        <v>79686</v>
      </c>
      <c r="E115" s="188">
        <f ca="1">HLOOKUP($B115,CDM!$B$1:$Q$22,11,FALSE)/12</f>
        <v>2918100.4799341555</v>
      </c>
      <c r="F115" s="189">
        <f t="shared" ca="1" si="137"/>
        <v>66010052.584332302</v>
      </c>
      <c r="G115" s="186">
        <v>18067683.140397698</v>
      </c>
      <c r="H115" s="88">
        <f>'Customer Data'!$C140</f>
        <v>7114</v>
      </c>
      <c r="I115" s="188">
        <f ca="1">HLOOKUP($B115,CDM!$B$1:$Q$22,12,FALSE)/12</f>
        <v>850211.08997136261</v>
      </c>
      <c r="J115" s="188">
        <f t="shared" ca="1" si="138"/>
        <v>18917894.230369061</v>
      </c>
      <c r="K115" s="186">
        <v>77956793.047113836</v>
      </c>
      <c r="L115" s="186">
        <v>212910.56000000003</v>
      </c>
      <c r="M115" s="88">
        <f>'Customer Data'!$D140</f>
        <v>1250</v>
      </c>
      <c r="N115" s="126">
        <f ca="1">HLOOKUP($B115,CDM!$B$1:$Q$22,13,FALSE)/12</f>
        <v>6232636.1783645069</v>
      </c>
      <c r="O115" s="188">
        <f t="shared" ca="1" si="123"/>
        <v>84189429.225478336</v>
      </c>
      <c r="P115" s="188">
        <f t="shared" si="124"/>
        <v>212910.56000000003</v>
      </c>
      <c r="Q115" s="188">
        <v>227330.81815553628</v>
      </c>
      <c r="R115" s="188">
        <v>412.83</v>
      </c>
      <c r="S115" s="229">
        <v>0</v>
      </c>
      <c r="T115" s="189">
        <f t="shared" ca="1" si="88"/>
        <v>83962098.407322794</v>
      </c>
      <c r="U115" s="156">
        <f t="shared" si="89"/>
        <v>212497.73000000004</v>
      </c>
      <c r="V115" s="186">
        <v>3267500.52</v>
      </c>
      <c r="W115" s="186">
        <v>11586.75</v>
      </c>
      <c r="X115" s="88">
        <f>'Customer Data'!$E140</f>
        <v>3</v>
      </c>
      <c r="Y115" s="126">
        <f ca="1">HLOOKUP($B115,CDM!$B$1:$Q$22,14,FALSE)/12</f>
        <v>86374.388467032957</v>
      </c>
      <c r="Z115" s="188">
        <f t="shared" ca="1" si="148"/>
        <v>3353874.9084670329</v>
      </c>
      <c r="AA115" s="186">
        <v>29683447.41</v>
      </c>
      <c r="AB115" s="186">
        <v>51701.95</v>
      </c>
      <c r="AC115" s="88">
        <f>'Customer Data'!$F140</f>
        <v>6</v>
      </c>
      <c r="AD115" s="126">
        <f ca="1">HLOOKUP($B115,CDM!$B$1:$Q$22,15,FALSE)/12</f>
        <v>973247.49286427477</v>
      </c>
      <c r="AE115" s="188">
        <f t="shared" ca="1" si="149"/>
        <v>30656694.902864274</v>
      </c>
      <c r="AF115" s="186">
        <v>23201119.559999999</v>
      </c>
      <c r="AG115" s="186">
        <v>44967.66</v>
      </c>
      <c r="AH115" s="88">
        <f>'Customer Data'!$G140</f>
        <v>2</v>
      </c>
      <c r="AI115" s="126">
        <f ca="1">HLOOKUP($B115,CDM!$B$1:$Q$22,16,FALSE)/12</f>
        <v>2219458.8743467252</v>
      </c>
      <c r="AJ115" s="188">
        <f t="shared" ca="1" si="150"/>
        <v>25420578.434346724</v>
      </c>
      <c r="AK115" s="188">
        <f t="shared" si="151"/>
        <v>44967.66</v>
      </c>
      <c r="AL115" s="188">
        <v>0</v>
      </c>
      <c r="AM115" s="188">
        <v>0</v>
      </c>
      <c r="AN115" s="156">
        <v>4873307.5161772035</v>
      </c>
      <c r="AO115" s="156">
        <v>7698.24</v>
      </c>
      <c r="AP115" s="156">
        <v>125222.2320309847</v>
      </c>
      <c r="AQ115" s="156">
        <f t="shared" ca="1" si="90"/>
        <v>25658165.154656086</v>
      </c>
      <c r="AR115" s="156">
        <f t="shared" si="91"/>
        <v>44003.71</v>
      </c>
      <c r="AS115" s="186">
        <v>3892858.33</v>
      </c>
      <c r="AT115" s="186">
        <v>6309.42</v>
      </c>
      <c r="AU115" s="88">
        <f>'Customer Data'!$H140</f>
        <v>1</v>
      </c>
      <c r="AV115" s="126">
        <f ca="1">HLOOKUP($B115,CDM!$B$1:$Q$22,17,FALSE)/12</f>
        <v>30449.387481835536</v>
      </c>
      <c r="AW115" s="188">
        <f t="shared" ca="1" si="142"/>
        <v>3923307.7174818357</v>
      </c>
      <c r="AX115" s="105">
        <v>389013.37</v>
      </c>
      <c r="AY115" s="105">
        <v>1562.73</v>
      </c>
      <c r="AZ115" s="88">
        <f>'Customer Data'!$I140</f>
        <v>24304</v>
      </c>
      <c r="BA115" s="126">
        <f ca="1">HLOOKUP($B115,CDM!$B$1:$Q$22,18,FALSE)/12</f>
        <v>1179982.3207881695</v>
      </c>
      <c r="BB115" s="188">
        <f t="shared" ca="1" si="143"/>
        <v>1181545.0507881695</v>
      </c>
      <c r="BC115" s="186">
        <v>62853.124384417039</v>
      </c>
      <c r="BD115" s="186">
        <v>173.48</v>
      </c>
      <c r="BE115" s="188">
        <f>'Customer Data'!$J140</f>
        <v>537</v>
      </c>
      <c r="BF115" s="105">
        <v>188953.644</v>
      </c>
      <c r="BG115" s="188">
        <f>'Customer Data'!$K140</f>
        <v>726</v>
      </c>
      <c r="BH115" s="188">
        <f>Weather!B283</f>
        <v>4</v>
      </c>
      <c r="BI115" s="188">
        <f>Weather!$C283</f>
        <v>122.39999999999998</v>
      </c>
      <c r="BJ115" s="166">
        <f>Employment!B139</f>
        <v>7263.1535863809013</v>
      </c>
      <c r="BK115" s="188">
        <f>Employment!$C139</f>
        <v>163.80024345709072</v>
      </c>
      <c r="BL115" s="188">
        <f>Employment!D139</f>
        <v>665994.78021817585</v>
      </c>
      <c r="BM115" s="188">
        <f t="shared" si="145"/>
        <v>114</v>
      </c>
      <c r="BN115" s="188">
        <f t="shared" ref="BN115:CA115" si="157">BN103</f>
        <v>0</v>
      </c>
      <c r="BO115" s="188">
        <f t="shared" si="157"/>
        <v>0</v>
      </c>
      <c r="BP115" s="188">
        <f t="shared" si="157"/>
        <v>0</v>
      </c>
      <c r="BQ115" s="188">
        <f t="shared" si="157"/>
        <v>0</v>
      </c>
      <c r="BR115" s="188">
        <f t="shared" si="157"/>
        <v>0</v>
      </c>
      <c r="BS115" s="188">
        <f t="shared" si="157"/>
        <v>1</v>
      </c>
      <c r="BT115" s="188">
        <f t="shared" si="157"/>
        <v>0</v>
      </c>
      <c r="BU115" s="188">
        <f t="shared" si="157"/>
        <v>0</v>
      </c>
      <c r="BV115" s="188">
        <f t="shared" si="157"/>
        <v>0</v>
      </c>
      <c r="BW115" s="188">
        <f t="shared" si="157"/>
        <v>0</v>
      </c>
      <c r="BX115" s="188">
        <f t="shared" si="157"/>
        <v>0</v>
      </c>
      <c r="BY115" s="188">
        <f t="shared" si="157"/>
        <v>0</v>
      </c>
      <c r="BZ115" s="188">
        <f t="shared" si="157"/>
        <v>0</v>
      </c>
      <c r="CA115" s="188">
        <f t="shared" si="157"/>
        <v>0</v>
      </c>
      <c r="CB115" s="188">
        <f t="shared" si="93"/>
        <v>0</v>
      </c>
      <c r="CC115" s="188">
        <f t="shared" ref="CC115:CC121" si="158">CC67</f>
        <v>30</v>
      </c>
      <c r="CD115" s="121">
        <v>21</v>
      </c>
    </row>
    <row r="116" spans="1:82" s="188" customFormat="1" ht="15">
      <c r="A116" s="190">
        <v>43282</v>
      </c>
      <c r="B116" s="191">
        <f t="shared" si="136"/>
        <v>2018</v>
      </c>
      <c r="C116" s="186">
        <v>75654811.848923787</v>
      </c>
      <c r="D116" s="88">
        <f>('Customer Data'!$B140*2+'Customer Data'!$B143)/3</f>
        <v>79703</v>
      </c>
      <c r="E116" s="188">
        <f ca="1">HLOOKUP($B116,CDM!$B$1:$Q$22,11,FALSE)/12</f>
        <v>2918100.4799341555</v>
      </c>
      <c r="F116" s="189">
        <f t="shared" ca="1" si="137"/>
        <v>78572912.328857943</v>
      </c>
      <c r="G116" s="186">
        <v>19789322.783342782</v>
      </c>
      <c r="H116" s="88">
        <f>('Customer Data'!$C140*2+'Customer Data'!$C143)/3</f>
        <v>7107.333333333333</v>
      </c>
      <c r="I116" s="188">
        <f ca="1">HLOOKUP($B116,CDM!$B$1:$Q$22,12,FALSE)/12</f>
        <v>850211.08997136261</v>
      </c>
      <c r="J116" s="188">
        <f t="shared" ca="1" si="138"/>
        <v>20639533.873314146</v>
      </c>
      <c r="K116" s="186">
        <v>82154148.371795923</v>
      </c>
      <c r="L116" s="186">
        <v>215098.34000000003</v>
      </c>
      <c r="M116" s="88">
        <f>('Customer Data'!$D140*2+'Customer Data'!$D143)/3</f>
        <v>1252.6666666666667</v>
      </c>
      <c r="N116" s="126">
        <f ca="1">HLOOKUP($B116,CDM!$B$1:$Q$22,13,FALSE)/12</f>
        <v>6232636.1783645069</v>
      </c>
      <c r="O116" s="188">
        <f t="shared" ca="1" si="123"/>
        <v>88386784.550160423</v>
      </c>
      <c r="P116" s="188">
        <f t="shared" si="124"/>
        <v>215098.34000000003</v>
      </c>
      <c r="Q116" s="188">
        <v>232426.5298255758</v>
      </c>
      <c r="R116" s="188">
        <v>425.34</v>
      </c>
      <c r="S116" s="229">
        <v>0</v>
      </c>
      <c r="T116" s="189">
        <f t="shared" ca="1" si="88"/>
        <v>88154358.02033484</v>
      </c>
      <c r="U116" s="156">
        <f t="shared" si="89"/>
        <v>214673.00000000003</v>
      </c>
      <c r="V116" s="186">
        <v>3897036.27</v>
      </c>
      <c r="W116" s="186">
        <v>10934.5</v>
      </c>
      <c r="X116" s="88">
        <f>('Customer Data'!$E140*2+'Customer Data'!$E143)/3</f>
        <v>3</v>
      </c>
      <c r="Y116" s="126">
        <f ca="1">HLOOKUP($B116,CDM!$B$1:$Q$22,14,FALSE)/12</f>
        <v>86374.388467032957</v>
      </c>
      <c r="Z116" s="188">
        <f t="shared" ca="1" si="148"/>
        <v>3983410.6584670329</v>
      </c>
      <c r="AA116" s="186">
        <v>29930914.299999997</v>
      </c>
      <c r="AB116" s="186">
        <v>52180.380000000005</v>
      </c>
      <c r="AC116" s="88">
        <f>('Customer Data'!$F140*2+'Customer Data'!$F143)/3</f>
        <v>6</v>
      </c>
      <c r="AD116" s="126">
        <f ca="1">HLOOKUP($B116,CDM!$B$1:$Q$22,15,FALSE)/12</f>
        <v>973247.49286427477</v>
      </c>
      <c r="AE116" s="188">
        <f t="shared" ca="1" si="149"/>
        <v>30904161.792864271</v>
      </c>
      <c r="AF116" s="186">
        <v>19660849.050000001</v>
      </c>
      <c r="AG116" s="186">
        <v>45718</v>
      </c>
      <c r="AH116" s="88">
        <f>('Customer Data'!$G140*2+'Customer Data'!$G143)/3</f>
        <v>2</v>
      </c>
      <c r="AI116" s="126">
        <f ca="1">HLOOKUP($B116,CDM!$B$1:$Q$22,16,FALSE)/12</f>
        <v>2219458.8743467252</v>
      </c>
      <c r="AJ116" s="188">
        <f t="shared" ca="1" si="150"/>
        <v>21880307.924346726</v>
      </c>
      <c r="AK116" s="188">
        <f t="shared" si="151"/>
        <v>45718</v>
      </c>
      <c r="AL116" s="188">
        <v>0</v>
      </c>
      <c r="AM116" s="188">
        <v>0</v>
      </c>
      <c r="AN116" s="156">
        <v>5218077.1229467401</v>
      </c>
      <c r="AO116" s="156">
        <v>7926.72</v>
      </c>
      <c r="AP116" s="156">
        <v>125222.2320309847</v>
      </c>
      <c r="AQ116" s="156">
        <f t="shared" ca="1" si="90"/>
        <v>25560862.437886547</v>
      </c>
      <c r="AR116" s="156">
        <f t="shared" si="91"/>
        <v>44253.66</v>
      </c>
      <c r="AS116" s="186">
        <v>2956938.99</v>
      </c>
      <c r="AT116" s="186">
        <v>6302.09</v>
      </c>
      <c r="AU116" s="88">
        <f>('Customer Data'!$H140*2+'Customer Data'!$H143)/3</f>
        <v>1</v>
      </c>
      <c r="AV116" s="126">
        <f ca="1">HLOOKUP($B116,CDM!$B$1:$Q$22,17,FALSE)/12</f>
        <v>30449.387481835536</v>
      </c>
      <c r="AW116" s="188">
        <f t="shared" ca="1" si="142"/>
        <v>2987388.3774818359</v>
      </c>
      <c r="AX116" s="105">
        <v>413883.24000000005</v>
      </c>
      <c r="AY116" s="105">
        <v>1562.95</v>
      </c>
      <c r="AZ116" s="88">
        <f>('Customer Data'!$I140*2+'Customer Data'!$I143)/3</f>
        <v>24313</v>
      </c>
      <c r="BA116" s="126">
        <f ca="1">HLOOKUP($B116,CDM!$B$1:$Q$22,18,FALSE)/12</f>
        <v>1179982.3207881695</v>
      </c>
      <c r="BB116" s="188">
        <f t="shared" ca="1" si="143"/>
        <v>1181545.2707881695</v>
      </c>
      <c r="BC116" s="186">
        <v>64190.856108681393</v>
      </c>
      <c r="BD116" s="186">
        <v>183.03</v>
      </c>
      <c r="BE116" s="188">
        <f>('Customer Data'!$J140*2+'Customer Data'!$J143*1)/3</f>
        <v>534.33333333333337</v>
      </c>
      <c r="BF116" s="105">
        <v>188861.516</v>
      </c>
      <c r="BG116" s="188">
        <f>('Customer Data'!$K140*2+'Customer Data'!$K143*1)/3</f>
        <v>725.66666666666663</v>
      </c>
      <c r="BH116" s="188">
        <f>Weather!B284</f>
        <v>0</v>
      </c>
      <c r="BI116" s="188">
        <f>Weather!$C284</f>
        <v>204.00000000000006</v>
      </c>
      <c r="BJ116" s="166">
        <f>Employment!B140</f>
        <v>7346.3842986663703</v>
      </c>
      <c r="BK116" s="188">
        <f>Employment!$C140</f>
        <v>163.20170419963483</v>
      </c>
      <c r="BL116" s="188">
        <f>Employment!D140</f>
        <v>665994.78021817585</v>
      </c>
      <c r="BM116" s="188">
        <f t="shared" si="145"/>
        <v>115</v>
      </c>
      <c r="BN116" s="188">
        <f t="shared" ref="BN116:CA116" si="159">BN104</f>
        <v>0</v>
      </c>
      <c r="BO116" s="188">
        <f t="shared" si="159"/>
        <v>0</v>
      </c>
      <c r="BP116" s="188">
        <f t="shared" si="159"/>
        <v>0</v>
      </c>
      <c r="BQ116" s="188">
        <f t="shared" si="159"/>
        <v>0</v>
      </c>
      <c r="BR116" s="188">
        <f t="shared" si="159"/>
        <v>0</v>
      </c>
      <c r="BS116" s="188">
        <f t="shared" si="159"/>
        <v>0</v>
      </c>
      <c r="BT116" s="188">
        <f t="shared" si="159"/>
        <v>1</v>
      </c>
      <c r="BU116" s="188">
        <f t="shared" si="159"/>
        <v>0</v>
      </c>
      <c r="BV116" s="188">
        <f t="shared" si="159"/>
        <v>0</v>
      </c>
      <c r="BW116" s="188">
        <f t="shared" si="159"/>
        <v>0</v>
      </c>
      <c r="BX116" s="188">
        <f t="shared" si="159"/>
        <v>0</v>
      </c>
      <c r="BY116" s="188">
        <f t="shared" si="159"/>
        <v>0</v>
      </c>
      <c r="BZ116" s="188">
        <f t="shared" si="159"/>
        <v>0</v>
      </c>
      <c r="CA116" s="188">
        <f t="shared" si="159"/>
        <v>0</v>
      </c>
      <c r="CB116" s="188">
        <f t="shared" si="93"/>
        <v>0</v>
      </c>
      <c r="CC116" s="188">
        <f t="shared" si="158"/>
        <v>31</v>
      </c>
      <c r="CD116" s="121">
        <v>21</v>
      </c>
    </row>
    <row r="117" spans="1:82" s="188" customFormat="1" ht="15">
      <c r="A117" s="190">
        <v>43313</v>
      </c>
      <c r="B117" s="191">
        <f t="shared" si="136"/>
        <v>2018</v>
      </c>
      <c r="C117" s="186">
        <v>72902046.99214603</v>
      </c>
      <c r="D117" s="88">
        <f>('Customer Data'!$B140+'Customer Data'!$B143*2)/3</f>
        <v>79720</v>
      </c>
      <c r="E117" s="188">
        <f ca="1">HLOOKUP($B117,CDM!$B$1:$Q$22,11,FALSE)/12</f>
        <v>2918100.4799341555</v>
      </c>
      <c r="F117" s="189">
        <f t="shared" ca="1" si="137"/>
        <v>75820147.472080186</v>
      </c>
      <c r="G117" s="186">
        <v>19313328.09531017</v>
      </c>
      <c r="H117" s="88">
        <f>('Customer Data'!$C140+'Customer Data'!$C143*2)/3</f>
        <v>7100.666666666667</v>
      </c>
      <c r="I117" s="188">
        <f ca="1">HLOOKUP($B117,CDM!$B$1:$Q$22,12,FALSE)/12</f>
        <v>850211.08997136261</v>
      </c>
      <c r="J117" s="188">
        <f t="shared" ca="1" si="138"/>
        <v>20163539.185281534</v>
      </c>
      <c r="K117" s="186">
        <v>83708949.54926987</v>
      </c>
      <c r="L117" s="186">
        <v>205174.34999999998</v>
      </c>
      <c r="M117" s="88">
        <f>('Customer Data'!$D140+'Customer Data'!$D143*2)/3</f>
        <v>1255.3333333333333</v>
      </c>
      <c r="N117" s="126">
        <f ca="1">HLOOKUP($B117,CDM!$B$1:$Q$22,13,FALSE)/12</f>
        <v>6232636.1783645069</v>
      </c>
      <c r="O117" s="188">
        <f t="shared" ca="1" si="123"/>
        <v>89941585.72763437</v>
      </c>
      <c r="P117" s="188">
        <f t="shared" si="124"/>
        <v>205174.34999999998</v>
      </c>
      <c r="Q117" s="188">
        <v>239950.62156692686</v>
      </c>
      <c r="R117" s="188">
        <v>458.55</v>
      </c>
      <c r="S117" s="229">
        <v>0</v>
      </c>
      <c r="T117" s="189">
        <f t="shared" ca="1" si="88"/>
        <v>89701635.106067449</v>
      </c>
      <c r="U117" s="156">
        <f t="shared" si="89"/>
        <v>204715.8</v>
      </c>
      <c r="V117" s="186">
        <v>3143900.51</v>
      </c>
      <c r="W117" s="186">
        <v>10664.76</v>
      </c>
      <c r="X117" s="88">
        <f>('Customer Data'!$E140+'Customer Data'!$E143*2)/3</f>
        <v>3</v>
      </c>
      <c r="Y117" s="126">
        <f ca="1">HLOOKUP($B117,CDM!$B$1:$Q$22,14,FALSE)/12</f>
        <v>86374.388467032957</v>
      </c>
      <c r="Z117" s="188">
        <f t="shared" ca="1" si="148"/>
        <v>3230274.8984670327</v>
      </c>
      <c r="AA117" s="186">
        <v>29218952.100000001</v>
      </c>
      <c r="AB117" s="186">
        <v>54037.78</v>
      </c>
      <c r="AC117" s="88">
        <f>('Customer Data'!$F140+'Customer Data'!$F143*2)/3</f>
        <v>6</v>
      </c>
      <c r="AD117" s="126">
        <f ca="1">HLOOKUP($B117,CDM!$B$1:$Q$22,15,FALSE)/12</f>
        <v>973247.49286427477</v>
      </c>
      <c r="AE117" s="188">
        <f t="shared" ca="1" si="149"/>
        <v>30192199.592864275</v>
      </c>
      <c r="AF117" s="186">
        <v>25619959.869999997</v>
      </c>
      <c r="AG117" s="186">
        <v>45728.43</v>
      </c>
      <c r="AH117" s="88">
        <f>('Customer Data'!$G140+'Customer Data'!$G143*2)/3</f>
        <v>2</v>
      </c>
      <c r="AI117" s="126">
        <f ca="1">HLOOKUP($B117,CDM!$B$1:$Q$22,16,FALSE)/12</f>
        <v>2219458.8743467252</v>
      </c>
      <c r="AJ117" s="188">
        <f t="shared" ca="1" si="150"/>
        <v>27839418.744346723</v>
      </c>
      <c r="AK117" s="188">
        <f t="shared" si="151"/>
        <v>45728.43</v>
      </c>
      <c r="AL117" s="188">
        <v>0</v>
      </c>
      <c r="AM117" s="188">
        <v>0</v>
      </c>
      <c r="AN117" s="156">
        <v>5180810.8810353419</v>
      </c>
      <c r="AO117" s="156">
        <v>7984.32</v>
      </c>
      <c r="AP117" s="156">
        <v>125222.2320309847</v>
      </c>
      <c r="AQ117" s="156">
        <f t="shared" ca="1" si="90"/>
        <v>24886166.479797948</v>
      </c>
      <c r="AR117" s="156">
        <f t="shared" si="91"/>
        <v>46053.46</v>
      </c>
      <c r="AS117" s="186">
        <v>4485523.55</v>
      </c>
      <c r="AT117" s="186">
        <v>6851.35</v>
      </c>
      <c r="AU117" s="88">
        <f>('Customer Data'!$H140+'Customer Data'!$H143*2)/3</f>
        <v>1</v>
      </c>
      <c r="AV117" s="126">
        <f ca="1">HLOOKUP($B117,CDM!$B$1:$Q$22,17,FALSE)/12</f>
        <v>30449.387481835536</v>
      </c>
      <c r="AW117" s="188">
        <f t="shared" ca="1" si="142"/>
        <v>4515972.9374818355</v>
      </c>
      <c r="AX117" s="105">
        <v>471647.70999999996</v>
      </c>
      <c r="AY117" s="105">
        <v>1564.0600000000002</v>
      </c>
      <c r="AZ117" s="88">
        <f>('Customer Data'!$I140+'Customer Data'!$I143*2)/3</f>
        <v>24322</v>
      </c>
      <c r="BA117" s="126">
        <f ca="1">HLOOKUP($B117,CDM!$B$1:$Q$22,18,FALSE)/12</f>
        <v>1179982.3207881695</v>
      </c>
      <c r="BB117" s="188">
        <f t="shared" ca="1" si="143"/>
        <v>1181546.3807881696</v>
      </c>
      <c r="BC117" s="186">
        <v>61708.872972569086</v>
      </c>
      <c r="BD117" s="186">
        <v>171.77</v>
      </c>
      <c r="BE117" s="188">
        <f>('Customer Data'!$J140*1+'Customer Data'!$J143*2)/3</f>
        <v>531.66666666666663</v>
      </c>
      <c r="BF117" s="105">
        <v>188932.76</v>
      </c>
      <c r="BG117" s="188">
        <f>('Customer Data'!$K140*1+'Customer Data'!$K143*2)/3</f>
        <v>725.33333333333337</v>
      </c>
      <c r="BH117" s="188">
        <f>Weather!B285</f>
        <v>0</v>
      </c>
      <c r="BI117" s="188">
        <f>Weather!$C285</f>
        <v>204.40000000000003</v>
      </c>
      <c r="BJ117" s="166">
        <f>Employment!B141</f>
        <v>7349.8813874178613</v>
      </c>
      <c r="BK117" s="188">
        <f>Employment!$C141</f>
        <v>162.90243457090691</v>
      </c>
      <c r="BL117" s="188">
        <f>Employment!D141</f>
        <v>665994.78021817585</v>
      </c>
      <c r="BM117" s="188">
        <f t="shared" si="145"/>
        <v>116</v>
      </c>
      <c r="BN117" s="188">
        <f t="shared" ref="BN117:CA117" si="160">BN105</f>
        <v>0</v>
      </c>
      <c r="BO117" s="188">
        <f t="shared" si="160"/>
        <v>0</v>
      </c>
      <c r="BP117" s="188">
        <f t="shared" si="160"/>
        <v>0</v>
      </c>
      <c r="BQ117" s="188">
        <f t="shared" si="160"/>
        <v>0</v>
      </c>
      <c r="BR117" s="188">
        <f t="shared" si="160"/>
        <v>0</v>
      </c>
      <c r="BS117" s="188">
        <f t="shared" si="160"/>
        <v>0</v>
      </c>
      <c r="BT117" s="188">
        <f t="shared" si="160"/>
        <v>0</v>
      </c>
      <c r="BU117" s="188">
        <f t="shared" si="160"/>
        <v>1</v>
      </c>
      <c r="BV117" s="188">
        <f t="shared" si="160"/>
        <v>0</v>
      </c>
      <c r="BW117" s="188">
        <f t="shared" si="160"/>
        <v>0</v>
      </c>
      <c r="BX117" s="188">
        <f t="shared" si="160"/>
        <v>0</v>
      </c>
      <c r="BY117" s="188">
        <f t="shared" si="160"/>
        <v>0</v>
      </c>
      <c r="BZ117" s="188">
        <f t="shared" si="160"/>
        <v>0</v>
      </c>
      <c r="CA117" s="188">
        <f t="shared" si="160"/>
        <v>0</v>
      </c>
      <c r="CB117" s="188">
        <f t="shared" si="93"/>
        <v>0</v>
      </c>
      <c r="CC117" s="188">
        <f t="shared" si="158"/>
        <v>31</v>
      </c>
      <c r="CD117" s="121">
        <v>22</v>
      </c>
    </row>
    <row r="118" spans="1:82" s="188" customFormat="1" ht="15">
      <c r="A118" s="190">
        <v>43344</v>
      </c>
      <c r="B118" s="191">
        <f t="shared" si="136"/>
        <v>2018</v>
      </c>
      <c r="C118" s="186">
        <v>56627176.909497261</v>
      </c>
      <c r="D118" s="88">
        <f>'Customer Data'!$B143</f>
        <v>79737</v>
      </c>
      <c r="E118" s="188">
        <f ca="1">HLOOKUP($B118,CDM!$B$1:$Q$22,11,FALSE)/12</f>
        <v>2918100.4799341555</v>
      </c>
      <c r="F118" s="189">
        <f t="shared" ca="1" si="137"/>
        <v>59545277.389431417</v>
      </c>
      <c r="G118" s="186">
        <v>16885509.073370714</v>
      </c>
      <c r="H118" s="88">
        <f>'Customer Data'!$C143</f>
        <v>7094</v>
      </c>
      <c r="I118" s="188">
        <f ca="1">HLOOKUP($B118,CDM!$B$1:$Q$22,12,FALSE)/12</f>
        <v>850211.08997136261</v>
      </c>
      <c r="J118" s="188">
        <f t="shared" ca="1" si="138"/>
        <v>17735720.163342077</v>
      </c>
      <c r="K118" s="186">
        <v>74821617.481596842</v>
      </c>
      <c r="L118" s="186">
        <v>210870.84000000003</v>
      </c>
      <c r="M118" s="88">
        <f>'Customer Data'!$D143</f>
        <v>1258</v>
      </c>
      <c r="N118" s="126">
        <f ca="1">HLOOKUP($B118,CDM!$B$1:$Q$22,13,FALSE)/12</f>
        <v>6232636.1783645069</v>
      </c>
      <c r="O118" s="188">
        <f t="shared" ca="1" si="123"/>
        <v>81054253.659961343</v>
      </c>
      <c r="P118" s="188">
        <f t="shared" si="124"/>
        <v>210870.84000000003</v>
      </c>
      <c r="Q118" s="188">
        <v>243553.2331116893</v>
      </c>
      <c r="R118" s="188">
        <v>477.27</v>
      </c>
      <c r="S118" s="229">
        <v>0</v>
      </c>
      <c r="T118" s="189">
        <f t="shared" ca="1" si="88"/>
        <v>80810700.426849648</v>
      </c>
      <c r="U118" s="156">
        <f t="shared" si="89"/>
        <v>210393.57000000004</v>
      </c>
      <c r="V118" s="186">
        <v>3298340.09</v>
      </c>
      <c r="W118" s="186">
        <v>11116.89</v>
      </c>
      <c r="X118" s="88">
        <f>'Customer Data'!$E143</f>
        <v>3</v>
      </c>
      <c r="Y118" s="126">
        <f ca="1">HLOOKUP($B118,CDM!$B$1:$Q$22,14,FALSE)/12</f>
        <v>86374.388467032957</v>
      </c>
      <c r="Z118" s="188">
        <f t="shared" ca="1" si="148"/>
        <v>3384714.4784670328</v>
      </c>
      <c r="AA118" s="186">
        <v>27326277.899999999</v>
      </c>
      <c r="AB118" s="186">
        <v>49581.69</v>
      </c>
      <c r="AC118" s="88">
        <f>'Customer Data'!$F143</f>
        <v>6</v>
      </c>
      <c r="AD118" s="126">
        <f ca="1">HLOOKUP($B118,CDM!$B$1:$Q$22,15,FALSE)/12</f>
        <v>973247.49286427477</v>
      </c>
      <c r="AE118" s="188">
        <f t="shared" ca="1" si="149"/>
        <v>28299525.392864272</v>
      </c>
      <c r="AF118" s="186">
        <v>22849975.890000001</v>
      </c>
      <c r="AG118" s="186">
        <v>46398.81</v>
      </c>
      <c r="AH118" s="88">
        <f>'Customer Data'!$G143</f>
        <v>2</v>
      </c>
      <c r="AI118" s="126">
        <f ca="1">HLOOKUP($B118,CDM!$B$1:$Q$22,16,FALSE)/12</f>
        <v>2219458.8743467252</v>
      </c>
      <c r="AJ118" s="188">
        <f t="shared" ca="1" si="150"/>
        <v>25069434.764346726</v>
      </c>
      <c r="AK118" s="188">
        <f t="shared" si="151"/>
        <v>46398.81</v>
      </c>
      <c r="AL118" s="188">
        <v>0</v>
      </c>
      <c r="AM118" s="188">
        <v>0</v>
      </c>
      <c r="AN118" s="156">
        <v>4416724.7984071672</v>
      </c>
      <c r="AO118" s="156">
        <v>6827.52</v>
      </c>
      <c r="AP118" s="156">
        <v>125222.2320309847</v>
      </c>
      <c r="AQ118" s="156">
        <f t="shared" ca="1" si="90"/>
        <v>23757578.362426121</v>
      </c>
      <c r="AR118" s="156">
        <f t="shared" si="91"/>
        <v>42754.17</v>
      </c>
      <c r="AS118" s="186">
        <v>4418649.4400000004</v>
      </c>
      <c r="AT118" s="186">
        <v>7239.64</v>
      </c>
      <c r="AU118" s="88">
        <f>'Customer Data'!$H143</f>
        <v>1</v>
      </c>
      <c r="AV118" s="126">
        <f ca="1">HLOOKUP($B118,CDM!$B$1:$Q$22,17,FALSE)/12</f>
        <v>30449.387481835536</v>
      </c>
      <c r="AW118" s="188">
        <f t="shared" ca="1" si="142"/>
        <v>4449098.8274818361</v>
      </c>
      <c r="AX118" s="105">
        <v>521192.1</v>
      </c>
      <c r="AY118" s="105">
        <v>1564.49</v>
      </c>
      <c r="AZ118" s="88">
        <f>'Customer Data'!$I143</f>
        <v>24331</v>
      </c>
      <c r="BA118" s="126">
        <f ca="1">HLOOKUP($B118,CDM!$B$1:$Q$22,18,FALSE)/12</f>
        <v>1179982.3207881695</v>
      </c>
      <c r="BB118" s="188">
        <f t="shared" ca="1" si="143"/>
        <v>1181546.8107881695</v>
      </c>
      <c r="BC118" s="186">
        <v>64875.009117674308</v>
      </c>
      <c r="BD118" s="186">
        <v>182.32000000000002</v>
      </c>
      <c r="BE118" s="188">
        <f>'Customer Data'!$J143</f>
        <v>529</v>
      </c>
      <c r="BF118" s="105">
        <v>188932.76</v>
      </c>
      <c r="BG118" s="188">
        <f>'Customer Data'!$K143</f>
        <v>725</v>
      </c>
      <c r="BH118" s="188">
        <f>Weather!B286</f>
        <v>29.7</v>
      </c>
      <c r="BI118" s="188">
        <f>Weather!$C286</f>
        <v>109.19999999999999</v>
      </c>
      <c r="BJ118" s="166">
        <f>Employment!B142</f>
        <v>7309.115324257632</v>
      </c>
      <c r="BK118" s="188">
        <f>Employment!$C142</f>
        <v>163.30146074254412</v>
      </c>
      <c r="BL118" s="188">
        <f>Employment!D142</f>
        <v>665994.78021817585</v>
      </c>
      <c r="BM118" s="188">
        <f t="shared" si="145"/>
        <v>117</v>
      </c>
      <c r="BN118" s="188">
        <f t="shared" ref="BN118:CA118" si="161">BN106</f>
        <v>0</v>
      </c>
      <c r="BO118" s="188">
        <f t="shared" si="161"/>
        <v>0</v>
      </c>
      <c r="BP118" s="188">
        <f t="shared" si="161"/>
        <v>0</v>
      </c>
      <c r="BQ118" s="188">
        <f t="shared" si="161"/>
        <v>0</v>
      </c>
      <c r="BR118" s="188">
        <f t="shared" si="161"/>
        <v>0</v>
      </c>
      <c r="BS118" s="188">
        <f t="shared" si="161"/>
        <v>0</v>
      </c>
      <c r="BT118" s="188">
        <f t="shared" si="161"/>
        <v>0</v>
      </c>
      <c r="BU118" s="188">
        <f t="shared" si="161"/>
        <v>0</v>
      </c>
      <c r="BV118" s="188">
        <f t="shared" si="161"/>
        <v>1</v>
      </c>
      <c r="BW118" s="188">
        <f t="shared" si="161"/>
        <v>0</v>
      </c>
      <c r="BX118" s="188">
        <f t="shared" si="161"/>
        <v>0</v>
      </c>
      <c r="BY118" s="188">
        <f t="shared" si="161"/>
        <v>0</v>
      </c>
      <c r="BZ118" s="188">
        <f t="shared" si="161"/>
        <v>0</v>
      </c>
      <c r="CA118" s="188">
        <f t="shared" si="161"/>
        <v>1</v>
      </c>
      <c r="CB118" s="188">
        <f t="shared" si="93"/>
        <v>1</v>
      </c>
      <c r="CC118" s="188">
        <f t="shared" si="158"/>
        <v>30</v>
      </c>
      <c r="CD118" s="121">
        <v>19</v>
      </c>
    </row>
    <row r="119" spans="1:82" s="188" customFormat="1" ht="15">
      <c r="A119" s="190">
        <v>43374</v>
      </c>
      <c r="B119" s="191">
        <f t="shared" ref="B119:B121" si="162">YEAR(A119)</f>
        <v>2018</v>
      </c>
      <c r="C119" s="186">
        <v>43687004.31428019</v>
      </c>
      <c r="D119" s="88">
        <f>('Customer Data'!$B143*2+'Customer Data'!$B146)/3</f>
        <v>79785.666666666672</v>
      </c>
      <c r="E119" s="188">
        <f ca="1">HLOOKUP($B119,CDM!$B$1:$Q$22,11,FALSE)/12</f>
        <v>2918100.4799341555</v>
      </c>
      <c r="F119" s="189">
        <f t="shared" ca="1" si="137"/>
        <v>46605104.794214346</v>
      </c>
      <c r="G119" s="186">
        <v>15282561.401503697</v>
      </c>
      <c r="H119" s="88">
        <f>('Customer Data'!$C143*2+'Customer Data'!$C146)/3</f>
        <v>7100.333333333333</v>
      </c>
      <c r="I119" s="188">
        <f ca="1">HLOOKUP($B119,CDM!$B$1:$Q$22,12,FALSE)/12</f>
        <v>850211.08997136261</v>
      </c>
      <c r="J119" s="188">
        <f t="shared" ca="1" si="138"/>
        <v>16132772.491475061</v>
      </c>
      <c r="K119" s="186">
        <v>73646702.606264919</v>
      </c>
      <c r="L119" s="186">
        <v>198359.46</v>
      </c>
      <c r="M119" s="88">
        <f>('Customer Data'!$D143*2+'Customer Data'!$D146)/3</f>
        <v>1258.6666666666667</v>
      </c>
      <c r="N119" s="126">
        <f ca="1">HLOOKUP($B119,CDM!$B$1:$Q$22,13,FALSE)/12</f>
        <v>6232636.1783645069</v>
      </c>
      <c r="O119" s="188">
        <f t="shared" ca="1" si="123"/>
        <v>79879338.784629419</v>
      </c>
      <c r="P119" s="188">
        <f t="shared" si="124"/>
        <v>198359.46</v>
      </c>
      <c r="Q119" s="188">
        <v>255388.77324853037</v>
      </c>
      <c r="R119" s="188">
        <v>528.39</v>
      </c>
      <c r="S119" s="229">
        <v>0</v>
      </c>
      <c r="T119" s="189">
        <f t="shared" ca="1" si="88"/>
        <v>79623950.011380896</v>
      </c>
      <c r="U119" s="156">
        <f t="shared" si="89"/>
        <v>197831.06999999998</v>
      </c>
      <c r="V119" s="186">
        <v>3605234.39</v>
      </c>
      <c r="W119" s="186">
        <v>10757.29</v>
      </c>
      <c r="X119" s="88">
        <f>('Customer Data'!$E143*2+'Customer Data'!$E146)/3</f>
        <v>3</v>
      </c>
      <c r="Y119" s="126">
        <f ca="1">HLOOKUP($B119,CDM!$B$1:$Q$22,14,FALSE)/12</f>
        <v>86374.388467032957</v>
      </c>
      <c r="Z119" s="188">
        <f t="shared" ca="1" si="148"/>
        <v>3691608.7784670331</v>
      </c>
      <c r="AA119" s="186">
        <v>24616983.630000003</v>
      </c>
      <c r="AB119" s="186">
        <v>47203.729999999996</v>
      </c>
      <c r="AC119" s="88">
        <f>('Customer Data'!$F143*2+'Customer Data'!$F146)/3</f>
        <v>6</v>
      </c>
      <c r="AD119" s="126">
        <f ca="1">HLOOKUP($B119,CDM!$B$1:$Q$22,15,FALSE)/12</f>
        <v>973247.49286427477</v>
      </c>
      <c r="AE119" s="188">
        <f t="shared" ca="1" si="149"/>
        <v>25590231.122864276</v>
      </c>
      <c r="AF119" s="186">
        <v>20180220.41</v>
      </c>
      <c r="AG119" s="186">
        <v>40757.58</v>
      </c>
      <c r="AH119" s="88">
        <f>('Customer Data'!$G143*2+'Customer Data'!$G146)/3</f>
        <v>2</v>
      </c>
      <c r="AI119" s="126">
        <f ca="1">HLOOKUP($B119,CDM!$B$1:$Q$22,16,FALSE)/12</f>
        <v>2219458.8743467252</v>
      </c>
      <c r="AJ119" s="188">
        <f t="shared" ca="1" si="150"/>
        <v>22399679.284346726</v>
      </c>
      <c r="AK119" s="188">
        <f t="shared" si="151"/>
        <v>40757.58</v>
      </c>
      <c r="AL119" s="188">
        <v>0</v>
      </c>
      <c r="AM119" s="188">
        <v>0</v>
      </c>
      <c r="AN119" s="156">
        <v>4593327.3568939772</v>
      </c>
      <c r="AO119" s="156">
        <v>7580.16</v>
      </c>
      <c r="AP119" s="156">
        <v>125222.2320309847</v>
      </c>
      <c r="AQ119" s="156">
        <f t="shared" ca="1" si="90"/>
        <v>20871681.533939313</v>
      </c>
      <c r="AR119" s="156">
        <f t="shared" si="91"/>
        <v>39623.569999999992</v>
      </c>
      <c r="AS119" s="186">
        <v>4071385.41</v>
      </c>
      <c r="AT119" s="186">
        <v>6998.31</v>
      </c>
      <c r="AU119" s="88">
        <f>('Customer Data'!$H143*2+'Customer Data'!$H146)/3</f>
        <v>1</v>
      </c>
      <c r="AV119" s="126">
        <f ca="1">HLOOKUP($B119,CDM!$B$1:$Q$22,17,FALSE)/12</f>
        <v>30449.387481835536</v>
      </c>
      <c r="AW119" s="188">
        <f t="shared" ca="1" si="142"/>
        <v>4101834.7974818358</v>
      </c>
      <c r="AX119" s="105">
        <v>610474.75</v>
      </c>
      <c r="AY119" s="105">
        <v>1565.13</v>
      </c>
      <c r="AZ119" s="88">
        <f>('Customer Data'!$I143*2+'Customer Data'!$I146)/3</f>
        <v>24341.333333333332</v>
      </c>
      <c r="BA119" s="126">
        <f ca="1">HLOOKUP($B119,CDM!$B$1:$Q$22,18,FALSE)/12</f>
        <v>1179982.3207881695</v>
      </c>
      <c r="BB119" s="188">
        <f t="shared" ca="1" si="143"/>
        <v>1181547.4507881694</v>
      </c>
      <c r="BC119" s="186">
        <v>66098.04897116324</v>
      </c>
      <c r="BD119" s="186">
        <v>178.32000000000002</v>
      </c>
      <c r="BE119" s="188">
        <f>('Customer Data'!$J143*2+'Customer Data'!$J146*1)/3</f>
        <v>527.66666666666663</v>
      </c>
      <c r="BF119" s="105">
        <v>188932.76</v>
      </c>
      <c r="BG119" s="188">
        <f>('Customer Data'!$K143*2+'Customer Data'!$K146*1)/3</f>
        <v>725</v>
      </c>
      <c r="BH119" s="188">
        <f>Weather!B287</f>
        <v>207.89999999999995</v>
      </c>
      <c r="BI119" s="188">
        <f>Weather!$C287</f>
        <v>24.1</v>
      </c>
      <c r="BJ119" s="166">
        <f>Employment!B143</f>
        <v>7268.3492610974017</v>
      </c>
      <c r="BK119" s="188">
        <f>Employment!$C143</f>
        <v>164.59829580036518</v>
      </c>
      <c r="BL119" s="188">
        <f>Employment!D143</f>
        <v>665994.78021817585</v>
      </c>
      <c r="BM119" s="188">
        <f t="shared" si="145"/>
        <v>118</v>
      </c>
      <c r="BN119" s="188">
        <f t="shared" ref="BN119:CA119" si="163">BN107</f>
        <v>0</v>
      </c>
      <c r="BO119" s="188">
        <f t="shared" si="163"/>
        <v>0</v>
      </c>
      <c r="BP119" s="188">
        <f t="shared" si="163"/>
        <v>0</v>
      </c>
      <c r="BQ119" s="188">
        <f t="shared" si="163"/>
        <v>0</v>
      </c>
      <c r="BR119" s="188">
        <f t="shared" si="163"/>
        <v>0</v>
      </c>
      <c r="BS119" s="188">
        <f t="shared" si="163"/>
        <v>0</v>
      </c>
      <c r="BT119" s="188">
        <f t="shared" si="163"/>
        <v>0</v>
      </c>
      <c r="BU119" s="188">
        <f t="shared" si="163"/>
        <v>0</v>
      </c>
      <c r="BV119" s="188">
        <f t="shared" si="163"/>
        <v>0</v>
      </c>
      <c r="BW119" s="188">
        <f t="shared" si="163"/>
        <v>1</v>
      </c>
      <c r="BX119" s="188">
        <f t="shared" si="163"/>
        <v>0</v>
      </c>
      <c r="BY119" s="188">
        <f t="shared" si="163"/>
        <v>0</v>
      </c>
      <c r="BZ119" s="188">
        <f t="shared" si="163"/>
        <v>0</v>
      </c>
      <c r="CA119" s="188">
        <f t="shared" si="163"/>
        <v>1</v>
      </c>
      <c r="CB119" s="188">
        <f t="shared" si="93"/>
        <v>1</v>
      </c>
      <c r="CC119" s="188">
        <f t="shared" si="158"/>
        <v>31</v>
      </c>
      <c r="CD119" s="121">
        <v>22</v>
      </c>
    </row>
    <row r="120" spans="1:82" s="188" customFormat="1" ht="15">
      <c r="A120" s="190">
        <v>43405</v>
      </c>
      <c r="B120" s="191">
        <f t="shared" si="162"/>
        <v>2018</v>
      </c>
      <c r="C120" s="186">
        <v>44956887.708023816</v>
      </c>
      <c r="D120" s="88">
        <f>('Customer Data'!$B143+'Customer Data'!$B146*2)/3</f>
        <v>79834.333333333328</v>
      </c>
      <c r="E120" s="188">
        <f ca="1">HLOOKUP($B120,CDM!$B$1:$Q$22,11,FALSE)/12</f>
        <v>2918100.4799341555</v>
      </c>
      <c r="F120" s="189">
        <f t="shared" ca="1" si="137"/>
        <v>47874988.187957972</v>
      </c>
      <c r="G120" s="186">
        <v>15714426.163324915</v>
      </c>
      <c r="H120" s="88">
        <f>('Customer Data'!$C143+'Customer Data'!$C146*2)/3</f>
        <v>7106.666666666667</v>
      </c>
      <c r="I120" s="188">
        <f ca="1">HLOOKUP($B120,CDM!$B$1:$Q$22,12,FALSE)/12</f>
        <v>850211.08997136261</v>
      </c>
      <c r="J120" s="188">
        <f t="shared" ca="1" si="138"/>
        <v>16564637.253296278</v>
      </c>
      <c r="K120" s="186">
        <v>75127129.24238205</v>
      </c>
      <c r="L120" s="186">
        <v>182279.13999999996</v>
      </c>
      <c r="M120" s="88">
        <f>('Customer Data'!$D143+'Customer Data'!$D146*2)/3</f>
        <v>1259.3333333333333</v>
      </c>
      <c r="N120" s="126">
        <f ca="1">HLOOKUP($B120,CDM!$B$1:$Q$22,13,FALSE)/12</f>
        <v>6232636.1783645069</v>
      </c>
      <c r="O120" s="188">
        <f t="shared" ca="1" si="123"/>
        <v>81359765.42074655</v>
      </c>
      <c r="P120" s="188">
        <f t="shared" si="124"/>
        <v>182279.13999999996</v>
      </c>
      <c r="Q120" s="188">
        <v>212787.18319360123</v>
      </c>
      <c r="R120" s="188">
        <v>457.65</v>
      </c>
      <c r="S120" s="229">
        <v>0</v>
      </c>
      <c r="T120" s="189">
        <f t="shared" ca="1" si="88"/>
        <v>81146978.237552956</v>
      </c>
      <c r="U120" s="156">
        <f t="shared" si="89"/>
        <v>181821.48999999996</v>
      </c>
      <c r="V120" s="186">
        <v>3454874.45</v>
      </c>
      <c r="W120" s="186">
        <v>10951.9</v>
      </c>
      <c r="X120" s="88">
        <f>('Customer Data'!$E143+'Customer Data'!$E146*2)/3</f>
        <v>3</v>
      </c>
      <c r="Y120" s="126">
        <f ca="1">HLOOKUP($B120,CDM!$B$1:$Q$22,14,FALSE)/12</f>
        <v>86374.388467032957</v>
      </c>
      <c r="Z120" s="188">
        <f t="shared" ca="1" si="148"/>
        <v>3541248.8384670331</v>
      </c>
      <c r="AA120" s="186">
        <v>22471252.93</v>
      </c>
      <c r="AB120" s="186">
        <v>43717.56</v>
      </c>
      <c r="AC120" s="88">
        <f>('Customer Data'!$F143+'Customer Data'!$F146*2)/3</f>
        <v>6</v>
      </c>
      <c r="AD120" s="126">
        <f ca="1">HLOOKUP($B120,CDM!$B$1:$Q$22,15,FALSE)/12</f>
        <v>973247.49286427477</v>
      </c>
      <c r="AE120" s="188">
        <f t="shared" ca="1" si="149"/>
        <v>23444500.422864273</v>
      </c>
      <c r="AF120" s="186">
        <v>19732698.140000001</v>
      </c>
      <c r="AG120" s="186">
        <v>37180.78</v>
      </c>
      <c r="AH120" s="88">
        <f>('Customer Data'!$G143+'Customer Data'!$G146*2)/3</f>
        <v>2</v>
      </c>
      <c r="AI120" s="126">
        <f ca="1">HLOOKUP($B120,CDM!$B$1:$Q$22,16,FALSE)/12</f>
        <v>2219458.8743467252</v>
      </c>
      <c r="AJ120" s="188">
        <f t="shared" ca="1" si="150"/>
        <v>21952157.014346726</v>
      </c>
      <c r="AK120" s="188">
        <f t="shared" si="151"/>
        <v>37180.78</v>
      </c>
      <c r="AL120" s="188">
        <v>0</v>
      </c>
      <c r="AM120" s="188">
        <v>0</v>
      </c>
      <c r="AN120" s="156">
        <v>4650580.7964161281</v>
      </c>
      <c r="AO120" s="156">
        <v>8085.12</v>
      </c>
      <c r="AP120" s="156">
        <v>125222.2320309847</v>
      </c>
      <c r="AQ120" s="156">
        <f t="shared" ca="1" si="90"/>
        <v>18668697.394417163</v>
      </c>
      <c r="AR120" s="156">
        <f t="shared" si="91"/>
        <v>35632.439999999995</v>
      </c>
      <c r="AS120" s="186">
        <v>3961358.87</v>
      </c>
      <c r="AT120" s="186">
        <v>6207.05</v>
      </c>
      <c r="AU120" s="88">
        <f>('Customer Data'!$H143+'Customer Data'!$H146*2)/3</f>
        <v>1</v>
      </c>
      <c r="AV120" s="126">
        <f ca="1">HLOOKUP($B120,CDM!$B$1:$Q$22,17,FALSE)/12</f>
        <v>30449.387481835536</v>
      </c>
      <c r="AW120" s="188">
        <f t="shared" ca="1" si="142"/>
        <v>3991808.2574818358</v>
      </c>
      <c r="AX120" s="105">
        <v>651494.51</v>
      </c>
      <c r="AY120" s="105">
        <v>1565.44</v>
      </c>
      <c r="AZ120" s="88">
        <f>('Customer Data'!$I143+'Customer Data'!$I146*2)/3</f>
        <v>24351.666666666668</v>
      </c>
      <c r="BA120" s="126">
        <f ca="1">HLOOKUP($B120,CDM!$B$1:$Q$22,18,FALSE)/12</f>
        <v>1179982.3207881695</v>
      </c>
      <c r="BB120" s="188">
        <f t="shared" ca="1" si="143"/>
        <v>1181547.7607881695</v>
      </c>
      <c r="BC120" s="186">
        <v>63966.304070576261</v>
      </c>
      <c r="BD120" s="186">
        <v>172.63000000000002</v>
      </c>
      <c r="BE120" s="188">
        <f>('Customer Data'!$J143*1+'Customer Data'!$J146*2)/3</f>
        <v>526.33333333333337</v>
      </c>
      <c r="BF120" s="105">
        <v>188932.76</v>
      </c>
      <c r="BG120" s="188">
        <f>('Customer Data'!$K143*1+'Customer Data'!$K146*2)/3</f>
        <v>725</v>
      </c>
      <c r="BH120" s="188">
        <f>Weather!B288</f>
        <v>454.9</v>
      </c>
      <c r="BI120" s="188">
        <f>Weather!$C288</f>
        <v>0</v>
      </c>
      <c r="BJ120" s="166">
        <f>Employment!B144</f>
        <v>7272.9454348850759</v>
      </c>
      <c r="BK120" s="188">
        <f>Employment!$C144</f>
        <v>167.49123554473525</v>
      </c>
      <c r="BL120" s="188">
        <f>Employment!D144</f>
        <v>665994.78021817585</v>
      </c>
      <c r="BM120" s="188">
        <f t="shared" si="145"/>
        <v>119</v>
      </c>
      <c r="BN120" s="188">
        <f t="shared" ref="BN120:CA120" si="164">BN108</f>
        <v>0</v>
      </c>
      <c r="BO120" s="188">
        <f t="shared" si="164"/>
        <v>0</v>
      </c>
      <c r="BP120" s="188">
        <f t="shared" si="164"/>
        <v>0</v>
      </c>
      <c r="BQ120" s="188">
        <f t="shared" si="164"/>
        <v>0</v>
      </c>
      <c r="BR120" s="188">
        <f t="shared" si="164"/>
        <v>0</v>
      </c>
      <c r="BS120" s="188">
        <f t="shared" si="164"/>
        <v>0</v>
      </c>
      <c r="BT120" s="188">
        <f t="shared" si="164"/>
        <v>0</v>
      </c>
      <c r="BU120" s="188">
        <f t="shared" si="164"/>
        <v>0</v>
      </c>
      <c r="BV120" s="188">
        <f t="shared" si="164"/>
        <v>0</v>
      </c>
      <c r="BW120" s="188">
        <f t="shared" si="164"/>
        <v>0</v>
      </c>
      <c r="BX120" s="188">
        <f t="shared" si="164"/>
        <v>1</v>
      </c>
      <c r="BY120" s="188">
        <f t="shared" si="164"/>
        <v>0</v>
      </c>
      <c r="BZ120" s="188">
        <f t="shared" si="164"/>
        <v>0</v>
      </c>
      <c r="CA120" s="188">
        <f t="shared" si="164"/>
        <v>1</v>
      </c>
      <c r="CB120" s="188">
        <f t="shared" si="93"/>
        <v>1</v>
      </c>
      <c r="CC120" s="188">
        <f t="shared" si="158"/>
        <v>30</v>
      </c>
      <c r="CD120" s="121">
        <v>22</v>
      </c>
    </row>
    <row r="121" spans="1:82" s="188" customFormat="1" ht="15">
      <c r="A121" s="190">
        <v>43435</v>
      </c>
      <c r="B121" s="191">
        <f t="shared" si="162"/>
        <v>2018</v>
      </c>
      <c r="C121" s="186">
        <v>49807496.472256817</v>
      </c>
      <c r="D121" s="88">
        <f>'Customer Data'!$B146</f>
        <v>79883</v>
      </c>
      <c r="E121" s="188">
        <f ca="1">HLOOKUP($B121,CDM!$B$1:$Q$22,11,FALSE)/12</f>
        <v>2918100.4799341555</v>
      </c>
      <c r="F121" s="189">
        <f t="shared" ca="1" si="137"/>
        <v>52725596.952190973</v>
      </c>
      <c r="G121" s="186">
        <v>16403533.943205984</v>
      </c>
      <c r="H121" s="88">
        <f>'Customer Data'!$C146</f>
        <v>7113</v>
      </c>
      <c r="I121" s="188">
        <f ca="1">HLOOKUP($B121,CDM!$B$1:$Q$22,12,FALSE)/12</f>
        <v>850211.08997136261</v>
      </c>
      <c r="J121" s="188">
        <f t="shared" ca="1" si="138"/>
        <v>17253745.033177346</v>
      </c>
      <c r="K121" s="186">
        <v>75237922.619822755</v>
      </c>
      <c r="L121" s="186">
        <v>181608.03999999998</v>
      </c>
      <c r="M121" s="88">
        <f>'Customer Data'!$D146</f>
        <v>1260</v>
      </c>
      <c r="N121" s="126">
        <f ca="1">HLOOKUP($B121,CDM!$B$1:$Q$22,13,FALSE)/12</f>
        <v>6232636.1783645069</v>
      </c>
      <c r="O121" s="188">
        <f t="shared" ca="1" si="123"/>
        <v>81470558.798187256</v>
      </c>
      <c r="P121" s="188">
        <f t="shared" si="124"/>
        <v>181608.03999999998</v>
      </c>
      <c r="Q121" s="188">
        <v>179074.44348077476</v>
      </c>
      <c r="R121" s="188">
        <v>409.59</v>
      </c>
      <c r="S121" s="229">
        <v>0</v>
      </c>
      <c r="T121" s="189">
        <f t="shared" ca="1" si="88"/>
        <v>81291484.354706481</v>
      </c>
      <c r="U121" s="156">
        <f t="shared" si="89"/>
        <v>181198.44999999998</v>
      </c>
      <c r="V121" s="186">
        <v>3854970.03</v>
      </c>
      <c r="W121" s="186">
        <v>10897.11</v>
      </c>
      <c r="X121" s="88">
        <f>'Customer Data'!$E146</f>
        <v>3</v>
      </c>
      <c r="Y121" s="126">
        <f ca="1">HLOOKUP($B121,CDM!$B$1:$Q$22,14,FALSE)/12</f>
        <v>86374.388467032957</v>
      </c>
      <c r="Z121" s="188">
        <f t="shared" ca="1" si="148"/>
        <v>3941344.4184670327</v>
      </c>
      <c r="AA121" s="186">
        <v>20939637.960000001</v>
      </c>
      <c r="AB121" s="186">
        <v>40835.160000000003</v>
      </c>
      <c r="AC121" s="88">
        <f>'Customer Data'!$F146</f>
        <v>6</v>
      </c>
      <c r="AD121" s="126">
        <f ca="1">HLOOKUP($B121,CDM!$B$1:$Q$22,15,FALSE)/12</f>
        <v>973247.49286427477</v>
      </c>
      <c r="AE121" s="188">
        <f t="shared" ca="1" si="149"/>
        <v>21912885.452864274</v>
      </c>
      <c r="AF121" s="186">
        <v>17678815.460000001</v>
      </c>
      <c r="AG121" s="186">
        <v>37476</v>
      </c>
      <c r="AH121" s="88">
        <f>'Customer Data'!$G146</f>
        <v>2</v>
      </c>
      <c r="AI121" s="126">
        <f ca="1">HLOOKUP($B121,CDM!$B$1:$Q$22,16,FALSE)/12</f>
        <v>2219458.8743467252</v>
      </c>
      <c r="AJ121" s="188">
        <f t="shared" ca="1" si="150"/>
        <v>19898274.334346727</v>
      </c>
      <c r="AK121" s="188">
        <f t="shared" si="151"/>
        <v>37476</v>
      </c>
      <c r="AL121" s="188">
        <v>0</v>
      </c>
      <c r="AM121" s="188">
        <v>0</v>
      </c>
      <c r="AN121" s="156">
        <v>2199416.6351418616</v>
      </c>
      <c r="AO121" s="156">
        <v>6128.64</v>
      </c>
      <c r="AP121" s="156">
        <v>125222.2320309847</v>
      </c>
      <c r="AQ121" s="156">
        <f t="shared" ca="1" si="90"/>
        <v>19588246.58569143</v>
      </c>
      <c r="AR121" s="156">
        <f t="shared" si="91"/>
        <v>34706.520000000004</v>
      </c>
      <c r="AS121" s="186">
        <v>3897616.8</v>
      </c>
      <c r="AT121" s="186">
        <v>6391.84</v>
      </c>
      <c r="AU121" s="88">
        <f>'Customer Data'!$H146</f>
        <v>1</v>
      </c>
      <c r="AV121" s="126">
        <f ca="1">HLOOKUP($B121,CDM!$B$1:$Q$22,17,FALSE)/12</f>
        <v>30449.387481835536</v>
      </c>
      <c r="AW121" s="188">
        <f t="shared" ca="1" si="142"/>
        <v>3928066.1874818355</v>
      </c>
      <c r="AX121" s="105">
        <v>702832.46</v>
      </c>
      <c r="AY121" s="105">
        <v>1566.65</v>
      </c>
      <c r="AZ121" s="88">
        <f>'Customer Data'!$I146</f>
        <v>24362</v>
      </c>
      <c r="BA121" s="126">
        <f ca="1">HLOOKUP($B121,CDM!$B$1:$Q$22,18,FALSE)/12</f>
        <v>1179982.3207881695</v>
      </c>
      <c r="BB121" s="188">
        <f t="shared" ca="1" si="143"/>
        <v>1181548.9707881694</v>
      </c>
      <c r="BC121" s="186">
        <v>63571.823207141315</v>
      </c>
      <c r="BD121" s="186">
        <v>176.93</v>
      </c>
      <c r="BE121" s="188">
        <f>'Customer Data'!$J146</f>
        <v>525</v>
      </c>
      <c r="BF121" s="105">
        <v>188114.23</v>
      </c>
      <c r="BG121" s="188">
        <f>'Customer Data'!$K146</f>
        <v>725</v>
      </c>
      <c r="BH121" s="188">
        <f>Weather!B289</f>
        <v>500.59999999999991</v>
      </c>
      <c r="BI121" s="188">
        <f>Weather!$C289</f>
        <v>0</v>
      </c>
      <c r="BJ121" s="166">
        <f>Employment!B145</f>
        <v>7296.6257215737387</v>
      </c>
      <c r="BK121" s="188">
        <f>Employment!$C145</f>
        <v>168.68831405964698</v>
      </c>
      <c r="BL121" s="188">
        <f>Employment!D145</f>
        <v>665994.78021817585</v>
      </c>
      <c r="BM121" s="188">
        <f t="shared" si="145"/>
        <v>120</v>
      </c>
      <c r="BN121" s="188">
        <f t="shared" ref="BN121:CA121" si="165">BN109</f>
        <v>0</v>
      </c>
      <c r="BO121" s="188">
        <f t="shared" si="165"/>
        <v>0</v>
      </c>
      <c r="BP121" s="188">
        <f t="shared" si="165"/>
        <v>0</v>
      </c>
      <c r="BQ121" s="188">
        <f t="shared" si="165"/>
        <v>0</v>
      </c>
      <c r="BR121" s="188">
        <f t="shared" si="165"/>
        <v>0</v>
      </c>
      <c r="BS121" s="188">
        <f t="shared" si="165"/>
        <v>0</v>
      </c>
      <c r="BT121" s="188">
        <f t="shared" si="165"/>
        <v>0</v>
      </c>
      <c r="BU121" s="188">
        <f t="shared" si="165"/>
        <v>0</v>
      </c>
      <c r="BV121" s="188">
        <f t="shared" si="165"/>
        <v>0</v>
      </c>
      <c r="BW121" s="188">
        <f t="shared" si="165"/>
        <v>0</v>
      </c>
      <c r="BX121" s="188">
        <f t="shared" si="165"/>
        <v>0</v>
      </c>
      <c r="BY121" s="188">
        <f t="shared" si="165"/>
        <v>1</v>
      </c>
      <c r="BZ121" s="188">
        <f t="shared" si="165"/>
        <v>0</v>
      </c>
      <c r="CA121" s="188">
        <f t="shared" si="165"/>
        <v>0</v>
      </c>
      <c r="CB121" s="188">
        <f t="shared" si="93"/>
        <v>0</v>
      </c>
      <c r="CC121" s="188">
        <f t="shared" si="158"/>
        <v>31</v>
      </c>
      <c r="CD121" s="121">
        <v>19</v>
      </c>
    </row>
    <row r="122" spans="1:82">
      <c r="A122" s="17"/>
      <c r="B122" s="54"/>
      <c r="BB122" s="188"/>
    </row>
    <row r="123" spans="1:82">
      <c r="A123" s="17"/>
      <c r="B123" s="54"/>
    </row>
    <row r="124" spans="1:82">
      <c r="AP124" s="231"/>
    </row>
    <row r="128" spans="1:82">
      <c r="AQ128" s="156"/>
      <c r="AR128" s="156"/>
      <c r="AS128" s="156"/>
      <c r="AT128" s="247"/>
    </row>
    <row r="129" spans="16:46">
      <c r="AQ129" s="156"/>
      <c r="AR129" s="156"/>
      <c r="AS129" s="156"/>
      <c r="AT129" s="247"/>
    </row>
    <row r="130" spans="16:46">
      <c r="Q130" s="186"/>
      <c r="R130" s="186"/>
      <c r="AQ130" s="156"/>
      <c r="AR130" s="156"/>
      <c r="AS130" s="156"/>
      <c r="AT130" s="247"/>
    </row>
    <row r="131" spans="16:46">
      <c r="Q131" s="186"/>
      <c r="R131" s="186"/>
      <c r="AQ131" s="156"/>
      <c r="AR131" s="156"/>
      <c r="AS131" s="156"/>
      <c r="AT131" s="247"/>
    </row>
    <row r="132" spans="16:46">
      <c r="P132" s="188"/>
      <c r="Q132" s="186"/>
      <c r="R132" s="186"/>
      <c r="AQ132" s="156"/>
      <c r="AR132" s="156"/>
      <c r="AS132" s="156"/>
      <c r="AT132" s="247"/>
    </row>
    <row r="133" spans="16:46">
      <c r="P133" s="188"/>
      <c r="Q133" s="186"/>
      <c r="R133" s="186"/>
      <c r="AQ133" s="156"/>
      <c r="AR133" s="156"/>
      <c r="AS133" s="156"/>
      <c r="AT133" s="247"/>
    </row>
    <row r="134" spans="16:46">
      <c r="P134" s="188"/>
      <c r="Q134" s="186"/>
      <c r="R134" s="186"/>
      <c r="AQ134" s="156"/>
      <c r="AR134" s="156"/>
      <c r="AS134" s="156"/>
      <c r="AT134" s="247"/>
    </row>
    <row r="135" spans="16:46">
      <c r="P135" s="188"/>
      <c r="Q135" s="186"/>
      <c r="R135" s="186"/>
      <c r="AQ135" s="156"/>
      <c r="AR135" s="156"/>
      <c r="AS135" s="156"/>
      <c r="AT135" s="247"/>
    </row>
    <row r="136" spans="16:46">
      <c r="P136" s="188"/>
      <c r="Q136" s="186"/>
      <c r="R136" s="186"/>
      <c r="AQ136" s="156"/>
      <c r="AR136" s="156"/>
      <c r="AS136" s="156"/>
      <c r="AT136" s="247"/>
    </row>
    <row r="137" spans="16:46">
      <c r="Q137" s="15"/>
      <c r="AQ137" s="156"/>
      <c r="AR137" s="156"/>
      <c r="AS137" s="156"/>
      <c r="AT137" s="247"/>
    </row>
    <row r="138" spans="16:46">
      <c r="Q138" s="15"/>
    </row>
  </sheetData>
  <phoneticPr fontId="9" type="noConversion"/>
  <pageMargins left="0.75" right="0.75" top="1" bottom="1" header="0.5" footer="0.5"/>
  <pageSetup orientation="portrait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E22"/>
  <sheetViews>
    <sheetView workbookViewId="0">
      <selection activeCell="I30" sqref="I30"/>
    </sheetView>
  </sheetViews>
  <sheetFormatPr defaultRowHeight="12.75"/>
  <cols>
    <col min="2" max="2" width="13.83203125" bestFit="1" customWidth="1"/>
    <col min="5" max="5" width="15.6640625" customWidth="1"/>
  </cols>
  <sheetData>
    <row r="1" spans="1:5">
      <c r="A1" t="s">
        <v>258</v>
      </c>
    </row>
    <row r="2" spans="1:5">
      <c r="A2" t="s">
        <v>119</v>
      </c>
    </row>
    <row r="4" spans="1:5">
      <c r="B4" t="s">
        <v>87</v>
      </c>
      <c r="C4" t="s">
        <v>88</v>
      </c>
      <c r="D4" t="s">
        <v>89</v>
      </c>
      <c r="E4" t="s">
        <v>90</v>
      </c>
    </row>
    <row r="5" spans="1:5">
      <c r="A5" t="s">
        <v>91</v>
      </c>
      <c r="B5" s="155">
        <v>-8508488.8174217809</v>
      </c>
      <c r="C5">
        <v>6348557.2148320097</v>
      </c>
      <c r="D5">
        <v>-1.34022401145627</v>
      </c>
      <c r="E5" s="18">
        <v>0.182934244162789</v>
      </c>
    </row>
    <row r="6" spans="1:5">
      <c r="A6" t="s">
        <v>43</v>
      </c>
      <c r="B6" s="155">
        <v>24245.8336938906</v>
      </c>
      <c r="C6">
        <v>1000.46887161641</v>
      </c>
      <c r="D6">
        <v>24.234470838375799</v>
      </c>
      <c r="E6" s="18">
        <v>6.3826452363438604E-46</v>
      </c>
    </row>
    <row r="7" spans="1:5">
      <c r="A7" t="s">
        <v>44</v>
      </c>
      <c r="B7" s="155">
        <v>71387.607029385996</v>
      </c>
      <c r="C7">
        <v>3529.10953344483</v>
      </c>
      <c r="D7">
        <v>20.2282208451896</v>
      </c>
      <c r="E7" s="18">
        <v>7.3280758300147998E-39</v>
      </c>
    </row>
    <row r="8" spans="1:5">
      <c r="A8" t="s">
        <v>108</v>
      </c>
      <c r="B8" s="234">
        <v>52.364228283915203</v>
      </c>
      <c r="C8">
        <v>3.5578795275831898</v>
      </c>
      <c r="D8">
        <v>14.7178193859434</v>
      </c>
      <c r="E8" s="18">
        <v>9.3788966151861407E-28</v>
      </c>
    </row>
    <row r="9" spans="1:5">
      <c r="A9" t="s">
        <v>48</v>
      </c>
      <c r="B9" s="155">
        <v>-1670359.8066300801</v>
      </c>
      <c r="C9">
        <v>566029.95501051296</v>
      </c>
      <c r="D9">
        <v>-2.9510095567275298</v>
      </c>
      <c r="E9" s="18">
        <v>3.87143334314137E-3</v>
      </c>
    </row>
    <row r="10" spans="1:5">
      <c r="A10" t="s">
        <v>78</v>
      </c>
      <c r="B10" s="155">
        <v>1244451.2383117899</v>
      </c>
      <c r="C10">
        <v>621942.78832259797</v>
      </c>
      <c r="D10">
        <v>2.0009095075579499</v>
      </c>
      <c r="E10">
        <v>4.7865009062174398E-2</v>
      </c>
    </row>
    <row r="11" spans="1:5">
      <c r="A11" t="s">
        <v>80</v>
      </c>
      <c r="B11" s="155">
        <v>2505717.0713192602</v>
      </c>
      <c r="C11">
        <v>618703.52560154197</v>
      </c>
      <c r="D11">
        <v>4.0499479437797596</v>
      </c>
      <c r="E11" s="18">
        <v>9.5679553647862205E-5</v>
      </c>
    </row>
    <row r="12" spans="1:5">
      <c r="A12" t="s">
        <v>53</v>
      </c>
      <c r="B12" s="155">
        <v>2345350.8919449002</v>
      </c>
      <c r="C12">
        <v>598719.50019875204</v>
      </c>
      <c r="D12">
        <v>3.9172782766660101</v>
      </c>
      <c r="E12" s="18">
        <v>1.5582532869908499E-4</v>
      </c>
    </row>
    <row r="13" spans="1:5">
      <c r="A13" t="s">
        <v>92</v>
      </c>
      <c r="B13" s="155">
        <v>1118373.2946727299</v>
      </c>
      <c r="C13">
        <v>209160.164531477</v>
      </c>
      <c r="D13">
        <v>5.34697081147318</v>
      </c>
      <c r="E13" s="18">
        <v>4.9035377886126801E-7</v>
      </c>
    </row>
    <row r="14" spans="1:5">
      <c r="A14" t="s">
        <v>120</v>
      </c>
      <c r="B14" s="155">
        <v>654154.71220671001</v>
      </c>
      <c r="C14">
        <v>152011.30653886101</v>
      </c>
      <c r="D14">
        <v>4.3033293187272097</v>
      </c>
      <c r="E14" s="18">
        <v>3.66259388635428E-5</v>
      </c>
    </row>
    <row r="15" spans="1:5">
      <c r="E15" s="18"/>
    </row>
    <row r="16" spans="1:5">
      <c r="A16" t="s">
        <v>93</v>
      </c>
      <c r="B16">
        <v>80899783.234940499</v>
      </c>
      <c r="C16" t="s">
        <v>94</v>
      </c>
      <c r="D16">
        <v>5117649.11398248</v>
      </c>
      <c r="E16" s="18"/>
    </row>
    <row r="17" spans="1:4">
      <c r="A17" t="s">
        <v>95</v>
      </c>
      <c r="B17">
        <v>259492753739900</v>
      </c>
      <c r="C17" t="s">
        <v>96</v>
      </c>
      <c r="D17">
        <v>1535911.7923888401</v>
      </c>
    </row>
    <row r="18" spans="1:4">
      <c r="A18" t="s">
        <v>97</v>
      </c>
      <c r="B18">
        <v>0.91673983597542597</v>
      </c>
      <c r="C18" t="s">
        <v>98</v>
      </c>
      <c r="D18">
        <v>0.90992764073705201</v>
      </c>
    </row>
    <row r="19" spans="1:4">
      <c r="A19" t="s">
        <v>259</v>
      </c>
      <c r="B19">
        <v>134.573335598379</v>
      </c>
      <c r="C19" t="s">
        <v>100</v>
      </c>
      <c r="D19" s="18">
        <v>3.8083016425582796E-55</v>
      </c>
    </row>
    <row r="20" spans="1:4">
      <c r="A20" t="s">
        <v>101</v>
      </c>
      <c r="B20">
        <v>-1874.4081130704501</v>
      </c>
      <c r="C20" t="s">
        <v>102</v>
      </c>
      <c r="D20">
        <v>3768.8162261409102</v>
      </c>
    </row>
    <row r="21" spans="1:4">
      <c r="A21" t="s">
        <v>103</v>
      </c>
      <c r="B21">
        <v>3796.6911435687298</v>
      </c>
      <c r="C21" t="s">
        <v>104</v>
      </c>
      <c r="D21" s="18">
        <v>3780.1363587361102</v>
      </c>
    </row>
    <row r="22" spans="1:4">
      <c r="A22" t="s">
        <v>105</v>
      </c>
      <c r="B22">
        <v>0.40597848551773602</v>
      </c>
      <c r="C22" t="s">
        <v>106</v>
      </c>
      <c r="D22">
        <v>1.1681072433414399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K125"/>
  <sheetViews>
    <sheetView topLeftCell="Q92" zoomScaleNormal="100" workbookViewId="0">
      <selection activeCell="AH112" sqref="AH112:AK131"/>
    </sheetView>
  </sheetViews>
  <sheetFormatPr defaultRowHeight="12.75"/>
  <cols>
    <col min="1" max="1" width="10.33203125" bestFit="1" customWidth="1"/>
    <col min="2" max="2" width="10.33203125" style="186" customWidth="1"/>
    <col min="3" max="3" width="5" bestFit="1" customWidth="1"/>
    <col min="4" max="4" width="18.6640625" bestFit="1" customWidth="1"/>
    <col min="5" max="6" width="6" bestFit="1" customWidth="1"/>
    <col min="7" max="7" width="9" customWidth="1"/>
    <col min="8" max="8" width="3.83203125" bestFit="1" customWidth="1"/>
    <col min="9" max="9" width="10.1640625" bestFit="1" customWidth="1"/>
    <col min="10" max="10" width="4.33203125" bestFit="1" customWidth="1"/>
    <col min="11" max="11" width="5.33203125" bestFit="1" customWidth="1"/>
    <col min="17" max="17" width="12.6640625" bestFit="1" customWidth="1"/>
    <col min="18" max="19" width="12" bestFit="1" customWidth="1"/>
    <col min="20" max="21" width="12.6640625" bestFit="1" customWidth="1"/>
    <col min="22" max="23" width="12" bestFit="1" customWidth="1"/>
    <col min="24" max="24" width="12.6640625" bestFit="1" customWidth="1"/>
    <col min="25" max="28" width="12.6640625" customWidth="1"/>
    <col min="29" max="29" width="12" bestFit="1" customWidth="1"/>
    <col min="30" max="30" width="10.5" bestFit="1" customWidth="1"/>
    <col min="31" max="31" width="9.33203125" customWidth="1"/>
    <col min="35" max="35" width="14.1640625" bestFit="1" customWidth="1"/>
    <col min="36" max="36" width="11.5" bestFit="1" customWidth="1"/>
  </cols>
  <sheetData>
    <row r="1" spans="1:30">
      <c r="A1" t="s">
        <v>123</v>
      </c>
      <c r="C1" t="s">
        <v>124</v>
      </c>
      <c r="D1" t="str">
        <f>'Monthly Data'!O1</f>
        <v>GS_gt_50_NO_CDM</v>
      </c>
      <c r="E1" t="str">
        <f>'Monthly Data'!BH1</f>
        <v>HDD</v>
      </c>
      <c r="F1" t="str">
        <f>'Monthly Data'!BI1</f>
        <v>CDD</v>
      </c>
      <c r="G1" t="str">
        <f>'Monthly Data'!BL1</f>
        <v>Ont_GDP</v>
      </c>
      <c r="H1" t="str">
        <f>'Monthly Data'!BM1</f>
        <v>Trend</v>
      </c>
      <c r="I1" t="str">
        <f>'Monthly Data'!BQ1</f>
        <v>Apr</v>
      </c>
      <c r="J1" t="str">
        <f>'Monthly Data'!BS1</f>
        <v>Jun</v>
      </c>
      <c r="K1" t="str">
        <f>'Monthly Data'!BU1</f>
        <v>Aug</v>
      </c>
      <c r="L1" t="str">
        <f>'Monthly Data'!BV1</f>
        <v>Sept</v>
      </c>
      <c r="M1" t="str">
        <f>'Monthly Data'!BW1</f>
        <v>Oct</v>
      </c>
      <c r="N1" t="str">
        <f>'Monthly Data'!CC1</f>
        <v>Month Days</v>
      </c>
      <c r="O1" t="str">
        <f>'Monthly Data'!CD1</f>
        <v>Peak Days</v>
      </c>
      <c r="Q1" t="s">
        <v>91</v>
      </c>
      <c r="R1" t="str">
        <f>E1</f>
        <v>HDD</v>
      </c>
      <c r="S1" t="str">
        <f>F1</f>
        <v>CDD</v>
      </c>
      <c r="T1" t="str">
        <f>G1</f>
        <v>Ont_GDP</v>
      </c>
      <c r="U1" t="str">
        <f>H1</f>
        <v>Trend</v>
      </c>
      <c r="V1" t="str">
        <f>I1</f>
        <v>Apr</v>
      </c>
      <c r="W1" t="str">
        <f t="shared" ref="W1" si="0">J1</f>
        <v>Jun</v>
      </c>
      <c r="X1" t="str">
        <f>K1</f>
        <v>Aug</v>
      </c>
      <c r="Y1" t="str">
        <f>L1</f>
        <v>Sept</v>
      </c>
      <c r="Z1" t="str">
        <f>M1</f>
        <v>Oct</v>
      </c>
      <c r="AA1" t="str">
        <f>N1</f>
        <v>Month Days</v>
      </c>
      <c r="AB1" t="str">
        <f>O1</f>
        <v>Peak Days</v>
      </c>
      <c r="AC1" t="s">
        <v>125</v>
      </c>
      <c r="AD1" t="s">
        <v>126</v>
      </c>
    </row>
    <row r="2" spans="1:30">
      <c r="A2" s="26">
        <f>'Monthly Data'!A2</f>
        <v>39814</v>
      </c>
      <c r="B2" s="154">
        <f>MONTH(A2)</f>
        <v>1</v>
      </c>
      <c r="C2">
        <f t="shared" ref="C2:C42" si="1">YEAR(A2)</f>
        <v>2009</v>
      </c>
      <c r="D2">
        <f ca="1">'Monthly Data'!O2</f>
        <v>85381791.869069844</v>
      </c>
      <c r="E2">
        <f>'Monthly Data'!BH2</f>
        <v>768.79999999999973</v>
      </c>
      <c r="F2">
        <f>'Monthly Data'!BI2</f>
        <v>0</v>
      </c>
      <c r="G2">
        <f>'Monthly Data'!BL2</f>
        <v>539388</v>
      </c>
      <c r="H2">
        <f>'Monthly Data'!BM2</f>
        <v>1</v>
      </c>
      <c r="I2">
        <f>'Monthly Data'!BQ2</f>
        <v>0</v>
      </c>
      <c r="J2">
        <f>'Monthly Data'!BS2</f>
        <v>0</v>
      </c>
      <c r="K2">
        <f>'Monthly Data'!BU2</f>
        <v>0</v>
      </c>
      <c r="L2">
        <f>'Monthly Data'!BV2</f>
        <v>0</v>
      </c>
      <c r="M2">
        <f>'Monthly Data'!BW2</f>
        <v>0</v>
      </c>
      <c r="N2">
        <f>'Monthly Data'!CC2</f>
        <v>31</v>
      </c>
      <c r="O2">
        <f>'Monthly Data'!CD2</f>
        <v>21</v>
      </c>
      <c r="Q2">
        <f>'GS &gt; 50 OLS Model'!$B$5</f>
        <v>-8508488.8174217809</v>
      </c>
      <c r="R2">
        <f>'GS &gt; 50 OLS Model'!$B$6*E2</f>
        <v>18640196.943863086</v>
      </c>
      <c r="S2">
        <f>'GS &gt; 50 OLS Model'!$B$7*F2</f>
        <v>0</v>
      </c>
      <c r="T2">
        <f>'GS &gt; 50 OLS Model'!$B$8*G2</f>
        <v>28244636.365604453</v>
      </c>
      <c r="V2">
        <f>'GS &gt; 50 OLS Model'!$B$9*I2</f>
        <v>0</v>
      </c>
      <c r="W2">
        <f>'GS &gt; 50 OLS Model'!$B$10*J2</f>
        <v>0</v>
      </c>
      <c r="X2">
        <f>'GS &gt; 50 OLS Model'!$B$11*K2</f>
        <v>0</v>
      </c>
      <c r="Y2">
        <f>'GS &gt; 50 OLS Model'!$B$12*L2</f>
        <v>0</v>
      </c>
      <c r="Z2">
        <v>0</v>
      </c>
      <c r="AA2">
        <f>'GS &gt; 50 OLS Model'!$B$13*N2</f>
        <v>34669572.13485463</v>
      </c>
      <c r="AB2">
        <f>'GS &gt; 50 OLS Model'!$B$14*O2</f>
        <v>13737248.956340911</v>
      </c>
      <c r="AC2">
        <f t="shared" ref="AC2:AC21" si="2">SUM(Q2:AB2)</f>
        <v>86783165.583241299</v>
      </c>
      <c r="AD2" s="24">
        <f t="shared" ref="AD2:AD21" ca="1" si="3">ABS(AC2-D2)/D2</f>
        <v>1.6413027690030384E-2</v>
      </c>
    </row>
    <row r="3" spans="1:30">
      <c r="A3" s="26">
        <f>'Monthly Data'!A3</f>
        <v>39845</v>
      </c>
      <c r="B3" s="154">
        <f t="shared" ref="B3:B66" si="4">MONTH(A3)</f>
        <v>2</v>
      </c>
      <c r="C3">
        <f t="shared" si="1"/>
        <v>2009</v>
      </c>
      <c r="D3">
        <f ca="1">'Monthly Data'!O3</f>
        <v>77417193.552256852</v>
      </c>
      <c r="E3">
        <f>'Monthly Data'!BH3</f>
        <v>540</v>
      </c>
      <c r="F3">
        <f>'Monthly Data'!BI3</f>
        <v>0</v>
      </c>
      <c r="G3">
        <f>'Monthly Data'!BL3</f>
        <v>539388</v>
      </c>
      <c r="H3">
        <f>'Monthly Data'!BM3</f>
        <v>2</v>
      </c>
      <c r="I3">
        <f>'Monthly Data'!BQ3</f>
        <v>0</v>
      </c>
      <c r="J3">
        <f>'Monthly Data'!BS3</f>
        <v>0</v>
      </c>
      <c r="K3">
        <f>'Monthly Data'!BU3</f>
        <v>0</v>
      </c>
      <c r="L3">
        <f>'Monthly Data'!BV3</f>
        <v>0</v>
      </c>
      <c r="M3">
        <f>'Monthly Data'!BW3</f>
        <v>0</v>
      </c>
      <c r="N3">
        <f>'Monthly Data'!CC3</f>
        <v>28</v>
      </c>
      <c r="O3">
        <f>'Monthly Data'!CD3</f>
        <v>19</v>
      </c>
      <c r="Q3">
        <f>'GS &gt; 50 OLS Model'!$B$5</f>
        <v>-8508488.8174217809</v>
      </c>
      <c r="R3" s="186">
        <f>'GS &gt; 50 OLS Model'!$B$6*E3</f>
        <v>13092750.194700923</v>
      </c>
      <c r="S3" s="186">
        <f>'GS &gt; 50 OLS Model'!$B$7*F3</f>
        <v>0</v>
      </c>
      <c r="T3" s="186">
        <f>'GS &gt; 50 OLS Model'!$B$8*G3</f>
        <v>28244636.365604453</v>
      </c>
      <c r="U3" s="186"/>
      <c r="V3" s="186">
        <f>'GS &gt; 50 OLS Model'!$B$9*I3</f>
        <v>0</v>
      </c>
      <c r="W3" s="186">
        <f>'GS &gt; 50 OLS Model'!$B$10*J3</f>
        <v>0</v>
      </c>
      <c r="X3" s="186">
        <f>'GS &gt; 50 OLS Model'!$B$11*K3</f>
        <v>0</v>
      </c>
      <c r="Y3" s="186">
        <f>'GS &gt; 50 OLS Model'!$B$12*L3</f>
        <v>0</v>
      </c>
      <c r="Z3" s="186">
        <v>0</v>
      </c>
      <c r="AA3" s="186">
        <f>'GS &gt; 50 OLS Model'!$B$13*N3</f>
        <v>31314452.250836439</v>
      </c>
      <c r="AB3" s="186">
        <f>'GS &gt; 50 OLS Model'!$B$14*O3</f>
        <v>12428939.531927491</v>
      </c>
      <c r="AC3">
        <f t="shared" si="2"/>
        <v>76572289.525647521</v>
      </c>
      <c r="AD3" s="24">
        <f t="shared" ca="1" si="3"/>
        <v>1.0913648349174767E-2</v>
      </c>
    </row>
    <row r="4" spans="1:30">
      <c r="A4" s="26">
        <f>'Monthly Data'!A4</f>
        <v>39873</v>
      </c>
      <c r="B4" s="154">
        <f t="shared" si="4"/>
        <v>3</v>
      </c>
      <c r="C4">
        <f t="shared" si="1"/>
        <v>2009</v>
      </c>
      <c r="D4">
        <f ca="1">'Monthly Data'!O4</f>
        <v>79227713.989697844</v>
      </c>
      <c r="E4">
        <f>'Monthly Data'!BH4</f>
        <v>456.7999999999999</v>
      </c>
      <c r="F4">
        <f>'Monthly Data'!BI4</f>
        <v>0</v>
      </c>
      <c r="G4">
        <f>'Monthly Data'!BL4</f>
        <v>539388</v>
      </c>
      <c r="H4">
        <f>'Monthly Data'!BM4</f>
        <v>3</v>
      </c>
      <c r="I4">
        <f>'Monthly Data'!BQ4</f>
        <v>0</v>
      </c>
      <c r="J4">
        <f>'Monthly Data'!BS4</f>
        <v>0</v>
      </c>
      <c r="K4">
        <f>'Monthly Data'!BU4</f>
        <v>0</v>
      </c>
      <c r="L4">
        <f>'Monthly Data'!BV4</f>
        <v>0</v>
      </c>
      <c r="M4">
        <f>'Monthly Data'!BW4</f>
        <v>0</v>
      </c>
      <c r="N4">
        <f>'Monthly Data'!CC4</f>
        <v>31</v>
      </c>
      <c r="O4">
        <f>'Monthly Data'!CD4</f>
        <v>22</v>
      </c>
      <c r="Q4">
        <f>'GS &gt; 50 OLS Model'!$B$5</f>
        <v>-8508488.8174217809</v>
      </c>
      <c r="R4" s="186">
        <f>'GS &gt; 50 OLS Model'!$B$6*E4</f>
        <v>11075496.831369223</v>
      </c>
      <c r="S4" s="186">
        <f>'GS &gt; 50 OLS Model'!$B$7*F4</f>
        <v>0</v>
      </c>
      <c r="T4" s="186">
        <f>'GS &gt; 50 OLS Model'!$B$8*G4</f>
        <v>28244636.365604453</v>
      </c>
      <c r="U4" s="186"/>
      <c r="V4" s="186">
        <f>'GS &gt; 50 OLS Model'!$B$9*I4</f>
        <v>0</v>
      </c>
      <c r="W4" s="186">
        <f>'GS &gt; 50 OLS Model'!$B$10*J4</f>
        <v>0</v>
      </c>
      <c r="X4" s="186">
        <f>'GS &gt; 50 OLS Model'!$B$11*K4</f>
        <v>0</v>
      </c>
      <c r="Y4" s="186">
        <f>'GS &gt; 50 OLS Model'!$B$12*L4</f>
        <v>0</v>
      </c>
      <c r="Z4" s="186">
        <v>0</v>
      </c>
      <c r="AA4" s="186">
        <f>'GS &gt; 50 OLS Model'!$B$13*N4</f>
        <v>34669572.13485463</v>
      </c>
      <c r="AB4" s="186">
        <f>'GS &gt; 50 OLS Model'!$B$14*O4</f>
        <v>14391403.668547621</v>
      </c>
      <c r="AC4">
        <f t="shared" si="2"/>
        <v>79872620.182954147</v>
      </c>
      <c r="AD4" s="24">
        <f t="shared" ca="1" si="3"/>
        <v>8.1399066157602663E-3</v>
      </c>
    </row>
    <row r="5" spans="1:30">
      <c r="A5" s="26">
        <f>'Monthly Data'!A5</f>
        <v>39904</v>
      </c>
      <c r="B5" s="154">
        <f t="shared" si="4"/>
        <v>4</v>
      </c>
      <c r="C5">
        <f t="shared" si="1"/>
        <v>2009</v>
      </c>
      <c r="D5">
        <f ca="1">'Monthly Data'!O5</f>
        <v>71027811.664813846</v>
      </c>
      <c r="E5">
        <f>'Monthly Data'!BH5</f>
        <v>263.29999999999995</v>
      </c>
      <c r="F5">
        <f>'Monthly Data'!BI5</f>
        <v>10.399999999999999</v>
      </c>
      <c r="G5">
        <f>'Monthly Data'!BL5</f>
        <v>539388</v>
      </c>
      <c r="H5">
        <f>'Monthly Data'!BM5</f>
        <v>4</v>
      </c>
      <c r="I5">
        <f>'Monthly Data'!BQ5</f>
        <v>1</v>
      </c>
      <c r="J5">
        <f>'Monthly Data'!BS5</f>
        <v>0</v>
      </c>
      <c r="K5">
        <f>'Monthly Data'!BU5</f>
        <v>0</v>
      </c>
      <c r="L5">
        <f>'Monthly Data'!BV5</f>
        <v>0</v>
      </c>
      <c r="M5">
        <f>'Monthly Data'!BW5</f>
        <v>0</v>
      </c>
      <c r="N5">
        <f>'Monthly Data'!CC5</f>
        <v>30</v>
      </c>
      <c r="O5">
        <f>'Monthly Data'!CD5</f>
        <v>20</v>
      </c>
      <c r="Q5">
        <f>'GS &gt; 50 OLS Model'!$B$5</f>
        <v>-8508488.8174217809</v>
      </c>
      <c r="R5" s="186">
        <f>'GS &gt; 50 OLS Model'!$B$6*E5</f>
        <v>6383928.011601394</v>
      </c>
      <c r="S5" s="186">
        <f>'GS &gt; 50 OLS Model'!$B$7*F5</f>
        <v>742431.1131056142</v>
      </c>
      <c r="T5" s="186">
        <f>'GS &gt; 50 OLS Model'!$B$8*G5</f>
        <v>28244636.365604453</v>
      </c>
      <c r="U5" s="186"/>
      <c r="V5" s="186">
        <f>'GS &gt; 50 OLS Model'!$B$9*I5</f>
        <v>-1670359.8066300801</v>
      </c>
      <c r="W5" s="186">
        <f>'GS &gt; 50 OLS Model'!$B$10*J5</f>
        <v>0</v>
      </c>
      <c r="X5" s="186">
        <f>'GS &gt; 50 OLS Model'!$B$11*K5</f>
        <v>0</v>
      </c>
      <c r="Y5" s="186">
        <f>'GS &gt; 50 OLS Model'!$B$12*L5</f>
        <v>0</v>
      </c>
      <c r="Z5" s="186">
        <v>0</v>
      </c>
      <c r="AA5" s="186">
        <f>'GS &gt; 50 OLS Model'!$B$13*N5</f>
        <v>33551198.840181898</v>
      </c>
      <c r="AB5" s="186">
        <f>'GS &gt; 50 OLS Model'!$B$14*O5</f>
        <v>13083094.244134201</v>
      </c>
      <c r="AC5">
        <f t="shared" si="2"/>
        <v>71826439.950575694</v>
      </c>
      <c r="AD5" s="24">
        <f t="shared" ca="1" si="3"/>
        <v>1.1243881333844852E-2</v>
      </c>
    </row>
    <row r="6" spans="1:30">
      <c r="A6" s="26">
        <f>'Monthly Data'!A6</f>
        <v>39934</v>
      </c>
      <c r="B6" s="154">
        <f t="shared" si="4"/>
        <v>5</v>
      </c>
      <c r="C6">
        <f t="shared" si="1"/>
        <v>2009</v>
      </c>
      <c r="D6">
        <f ca="1">'Monthly Data'!O6</f>
        <v>68182291.644476846</v>
      </c>
      <c r="E6">
        <f>'Monthly Data'!BH6</f>
        <v>83.40000000000002</v>
      </c>
      <c r="F6">
        <f>'Monthly Data'!BI6</f>
        <v>12.899999999999999</v>
      </c>
      <c r="G6">
        <f>'Monthly Data'!BL6</f>
        <v>539388</v>
      </c>
      <c r="H6">
        <f>'Monthly Data'!BM6</f>
        <v>5</v>
      </c>
      <c r="I6">
        <f>'Monthly Data'!BQ6</f>
        <v>0</v>
      </c>
      <c r="J6">
        <f>'Monthly Data'!BS6</f>
        <v>0</v>
      </c>
      <c r="K6">
        <f>'Monthly Data'!BU6</f>
        <v>0</v>
      </c>
      <c r="L6">
        <f>'Monthly Data'!BV6</f>
        <v>0</v>
      </c>
      <c r="M6">
        <f>'Monthly Data'!BW6</f>
        <v>0</v>
      </c>
      <c r="N6">
        <f>'Monthly Data'!CC6</f>
        <v>31</v>
      </c>
      <c r="O6">
        <f>'Monthly Data'!CD6</f>
        <v>20</v>
      </c>
      <c r="Q6">
        <f>'GS &gt; 50 OLS Model'!$B$5</f>
        <v>-8508488.8174217809</v>
      </c>
      <c r="R6" s="186">
        <f>'GS &gt; 50 OLS Model'!$B$6*E6</f>
        <v>2022102.5300704765</v>
      </c>
      <c r="S6" s="186">
        <f>'GS &gt; 50 OLS Model'!$B$7*F6</f>
        <v>920900.13067907922</v>
      </c>
      <c r="T6" s="186">
        <f>'GS &gt; 50 OLS Model'!$B$8*G6</f>
        <v>28244636.365604453</v>
      </c>
      <c r="U6" s="186"/>
      <c r="V6" s="186">
        <f>'GS &gt; 50 OLS Model'!$B$9*I6</f>
        <v>0</v>
      </c>
      <c r="W6" s="186">
        <f>'GS &gt; 50 OLS Model'!$B$10*J6</f>
        <v>0</v>
      </c>
      <c r="X6" s="186">
        <f>'GS &gt; 50 OLS Model'!$B$11*K6</f>
        <v>0</v>
      </c>
      <c r="Y6" s="186">
        <f>'GS &gt; 50 OLS Model'!$B$12*L6</f>
        <v>0</v>
      </c>
      <c r="Z6" s="186">
        <v>0</v>
      </c>
      <c r="AA6" s="186">
        <f>'GS &gt; 50 OLS Model'!$B$13*N6</f>
        <v>34669572.13485463</v>
      </c>
      <c r="AB6" s="186">
        <f>'GS &gt; 50 OLS Model'!$B$14*O6</f>
        <v>13083094.244134201</v>
      </c>
      <c r="AC6">
        <f t="shared" si="2"/>
        <v>70431816.587921053</v>
      </c>
      <c r="AD6" s="24">
        <f t="shared" ca="1" si="3"/>
        <v>3.2992803397895641E-2</v>
      </c>
    </row>
    <row r="7" spans="1:30">
      <c r="A7" s="26">
        <f>'Monthly Data'!A7</f>
        <v>39965</v>
      </c>
      <c r="B7" s="154">
        <f t="shared" si="4"/>
        <v>6</v>
      </c>
      <c r="C7">
        <f t="shared" si="1"/>
        <v>2009</v>
      </c>
      <c r="D7">
        <f ca="1">'Monthly Data'!O7</f>
        <v>70571023.231205851</v>
      </c>
      <c r="E7">
        <f>'Monthly Data'!BH7</f>
        <v>25.299999999999997</v>
      </c>
      <c r="F7">
        <f>'Monthly Data'!BI7</f>
        <v>79.399999999999991</v>
      </c>
      <c r="G7">
        <f>'Monthly Data'!BL7</f>
        <v>539388</v>
      </c>
      <c r="H7">
        <f>'Monthly Data'!BM7</f>
        <v>6</v>
      </c>
      <c r="I7">
        <f>'Monthly Data'!BQ7</f>
        <v>0</v>
      </c>
      <c r="J7">
        <f>'Monthly Data'!BS7</f>
        <v>1</v>
      </c>
      <c r="K7">
        <f>'Monthly Data'!BU7</f>
        <v>0</v>
      </c>
      <c r="L7">
        <f>'Monthly Data'!BV7</f>
        <v>0</v>
      </c>
      <c r="M7">
        <f>'Monthly Data'!BW7</f>
        <v>0</v>
      </c>
      <c r="N7">
        <f>'Monthly Data'!CC7</f>
        <v>30</v>
      </c>
      <c r="O7">
        <f>'Monthly Data'!CD7</f>
        <v>22</v>
      </c>
      <c r="Q7">
        <f>'GS &gt; 50 OLS Model'!$B$5</f>
        <v>-8508488.8174217809</v>
      </c>
      <c r="R7" s="186">
        <f>'GS &gt; 50 OLS Model'!$B$6*E7</f>
        <v>613419.59245543205</v>
      </c>
      <c r="S7" s="186">
        <f>'GS &gt; 50 OLS Model'!$B$7*F7</f>
        <v>5668175.9981332477</v>
      </c>
      <c r="T7" s="186">
        <f>'GS &gt; 50 OLS Model'!$B$8*G7</f>
        <v>28244636.365604453</v>
      </c>
      <c r="U7" s="186"/>
      <c r="V7" s="186">
        <f>'GS &gt; 50 OLS Model'!$B$9*I7</f>
        <v>0</v>
      </c>
      <c r="W7" s="186">
        <f>'GS &gt; 50 OLS Model'!$B$10*J7</f>
        <v>1244451.2383117899</v>
      </c>
      <c r="X7" s="186">
        <f>'GS &gt; 50 OLS Model'!$B$11*K7</f>
        <v>0</v>
      </c>
      <c r="Y7" s="186">
        <f>'GS &gt; 50 OLS Model'!$B$12*L7</f>
        <v>0</v>
      </c>
      <c r="Z7" s="186">
        <v>0</v>
      </c>
      <c r="AA7" s="186">
        <f>'GS &gt; 50 OLS Model'!$B$13*N7</f>
        <v>33551198.840181898</v>
      </c>
      <c r="AB7" s="186">
        <f>'GS &gt; 50 OLS Model'!$B$14*O7</f>
        <v>14391403.668547621</v>
      </c>
      <c r="AC7">
        <f t="shared" si="2"/>
        <v>75204796.885812655</v>
      </c>
      <c r="AD7" s="24">
        <f t="shared" ca="1" si="3"/>
        <v>6.5661137424996158E-2</v>
      </c>
    </row>
    <row r="8" spans="1:30">
      <c r="A8" s="26">
        <f>'Monthly Data'!A8</f>
        <v>39995</v>
      </c>
      <c r="B8" s="154">
        <f t="shared" si="4"/>
        <v>7</v>
      </c>
      <c r="C8">
        <f t="shared" si="1"/>
        <v>2009</v>
      </c>
      <c r="D8">
        <f ca="1">'Monthly Data'!O8</f>
        <v>74557299.569310844</v>
      </c>
      <c r="E8">
        <f>'Monthly Data'!BH8</f>
        <v>0.5</v>
      </c>
      <c r="F8">
        <f>'Monthly Data'!BI8</f>
        <v>100.19999999999999</v>
      </c>
      <c r="G8">
        <f>'Monthly Data'!BL8</f>
        <v>539388</v>
      </c>
      <c r="H8">
        <f>'Monthly Data'!BM8</f>
        <v>7</v>
      </c>
      <c r="I8">
        <f>'Monthly Data'!BQ8</f>
        <v>0</v>
      </c>
      <c r="J8">
        <f>'Monthly Data'!BS8</f>
        <v>0</v>
      </c>
      <c r="K8">
        <f>'Monthly Data'!BU8</f>
        <v>0</v>
      </c>
      <c r="L8">
        <f>'Monthly Data'!BV8</f>
        <v>0</v>
      </c>
      <c r="M8">
        <f>'Monthly Data'!BW8</f>
        <v>0</v>
      </c>
      <c r="N8">
        <f>'Monthly Data'!CC8</f>
        <v>31</v>
      </c>
      <c r="O8">
        <f>'Monthly Data'!CD8</f>
        <v>22</v>
      </c>
      <c r="Q8">
        <f>'GS &gt; 50 OLS Model'!$B$5</f>
        <v>-8508488.8174217809</v>
      </c>
      <c r="R8" s="186">
        <f>'GS &gt; 50 OLS Model'!$B$6*E8</f>
        <v>12122.9168469453</v>
      </c>
      <c r="S8" s="186">
        <f>'GS &gt; 50 OLS Model'!$B$7*F8</f>
        <v>7153038.2243444761</v>
      </c>
      <c r="T8" s="186">
        <f>'GS &gt; 50 OLS Model'!$B$8*G8</f>
        <v>28244636.365604453</v>
      </c>
      <c r="U8" s="186"/>
      <c r="V8" s="186">
        <f>'GS &gt; 50 OLS Model'!$B$9*I8</f>
        <v>0</v>
      </c>
      <c r="W8" s="186">
        <f>'GS &gt; 50 OLS Model'!$B$10*J8</f>
        <v>0</v>
      </c>
      <c r="X8" s="186">
        <f>'GS &gt; 50 OLS Model'!$B$11*K8</f>
        <v>0</v>
      </c>
      <c r="Y8" s="186">
        <f>'GS &gt; 50 OLS Model'!$B$12*L8</f>
        <v>0</v>
      </c>
      <c r="Z8" s="186">
        <v>0</v>
      </c>
      <c r="AA8" s="186">
        <f>'GS &gt; 50 OLS Model'!$B$13*N8</f>
        <v>34669572.13485463</v>
      </c>
      <c r="AB8" s="186">
        <f>'GS &gt; 50 OLS Model'!$B$14*O8</f>
        <v>14391403.668547621</v>
      </c>
      <c r="AC8">
        <f t="shared" si="2"/>
        <v>75962284.492776334</v>
      </c>
      <c r="AD8" s="24">
        <f t="shared" ca="1" si="3"/>
        <v>1.8844364422820486E-2</v>
      </c>
    </row>
    <row r="9" spans="1:30">
      <c r="A9" s="26">
        <f>'Monthly Data'!A9</f>
        <v>40026</v>
      </c>
      <c r="B9" s="154">
        <f t="shared" si="4"/>
        <v>8</v>
      </c>
      <c r="C9">
        <f t="shared" si="1"/>
        <v>2009</v>
      </c>
      <c r="D9">
        <f ca="1">'Monthly Data'!O9</f>
        <v>79205277.562828839</v>
      </c>
      <c r="E9">
        <f>'Monthly Data'!BH9</f>
        <v>5.9</v>
      </c>
      <c r="F9">
        <f>'Monthly Data'!BI9</f>
        <v>133.4</v>
      </c>
      <c r="G9">
        <f>'Monthly Data'!BL9</f>
        <v>539388</v>
      </c>
      <c r="H9">
        <f>'Monthly Data'!BM9</f>
        <v>8</v>
      </c>
      <c r="I9">
        <f>'Monthly Data'!BQ9</f>
        <v>0</v>
      </c>
      <c r="J9">
        <f>'Monthly Data'!BS9</f>
        <v>0</v>
      </c>
      <c r="K9">
        <f>'Monthly Data'!BU9</f>
        <v>1</v>
      </c>
      <c r="L9">
        <f>'Monthly Data'!BV9</f>
        <v>0</v>
      </c>
      <c r="M9">
        <f>'Monthly Data'!BW9</f>
        <v>0</v>
      </c>
      <c r="N9">
        <f>'Monthly Data'!CC9</f>
        <v>31</v>
      </c>
      <c r="O9">
        <f>'Monthly Data'!CD9</f>
        <v>20</v>
      </c>
      <c r="Q9">
        <f>'GS &gt; 50 OLS Model'!$B$5</f>
        <v>-8508488.8174217809</v>
      </c>
      <c r="R9" s="186">
        <f>'GS &gt; 50 OLS Model'!$B$6*E9</f>
        <v>143050.41879395454</v>
      </c>
      <c r="S9" s="186">
        <f>'GS &gt; 50 OLS Model'!$B$7*F9</f>
        <v>9523106.7777200919</v>
      </c>
      <c r="T9" s="186">
        <f>'GS &gt; 50 OLS Model'!$B$8*G9</f>
        <v>28244636.365604453</v>
      </c>
      <c r="U9" s="186"/>
      <c r="V9" s="186">
        <f>'GS &gt; 50 OLS Model'!$B$9*I9</f>
        <v>0</v>
      </c>
      <c r="W9" s="186">
        <f>'GS &gt; 50 OLS Model'!$B$10*J9</f>
        <v>0</v>
      </c>
      <c r="X9" s="186">
        <f>'GS &gt; 50 OLS Model'!$B$11*K9</f>
        <v>2505717.0713192602</v>
      </c>
      <c r="Y9" s="186">
        <f>'GS &gt; 50 OLS Model'!$B$12*L9</f>
        <v>0</v>
      </c>
      <c r="Z9" s="186">
        <v>0</v>
      </c>
      <c r="AA9" s="186">
        <f>'GS &gt; 50 OLS Model'!$B$13*N9</f>
        <v>34669572.13485463</v>
      </c>
      <c r="AB9" s="186">
        <f>'GS &gt; 50 OLS Model'!$B$14*O9</f>
        <v>13083094.244134201</v>
      </c>
      <c r="AC9">
        <f t="shared" si="2"/>
        <v>79660688.195004806</v>
      </c>
      <c r="AD9" s="24">
        <f t="shared" ca="1" si="3"/>
        <v>5.7497511048391556E-3</v>
      </c>
    </row>
    <row r="10" spans="1:30">
      <c r="A10" s="26">
        <f>'Monthly Data'!A10</f>
        <v>40057</v>
      </c>
      <c r="B10" s="154">
        <f t="shared" si="4"/>
        <v>9</v>
      </c>
      <c r="C10">
        <f t="shared" si="1"/>
        <v>2009</v>
      </c>
      <c r="D10">
        <f ca="1">'Monthly Data'!O10</f>
        <v>75059365.060484841</v>
      </c>
      <c r="E10">
        <f>'Monthly Data'!BH10</f>
        <v>26.2</v>
      </c>
      <c r="F10">
        <f>'Monthly Data'!BI10</f>
        <v>54.699999999999989</v>
      </c>
      <c r="G10">
        <f>'Monthly Data'!BL10</f>
        <v>539388</v>
      </c>
      <c r="H10">
        <f>'Monthly Data'!BM10</f>
        <v>9</v>
      </c>
      <c r="I10">
        <f>'Monthly Data'!BQ10</f>
        <v>0</v>
      </c>
      <c r="J10">
        <f>'Monthly Data'!BS10</f>
        <v>0</v>
      </c>
      <c r="K10">
        <f>'Monthly Data'!BU10</f>
        <v>0</v>
      </c>
      <c r="L10">
        <f>'Monthly Data'!BV10</f>
        <v>1</v>
      </c>
      <c r="M10">
        <f>'Monthly Data'!BW10</f>
        <v>0</v>
      </c>
      <c r="N10">
        <f>'Monthly Data'!CC10</f>
        <v>30</v>
      </c>
      <c r="O10">
        <f>'Monthly Data'!CD10</f>
        <v>21</v>
      </c>
      <c r="Q10">
        <f>'GS &gt; 50 OLS Model'!$B$5</f>
        <v>-8508488.8174217809</v>
      </c>
      <c r="R10" s="186">
        <f>'GS &gt; 50 OLS Model'!$B$6*E10</f>
        <v>635240.84277993371</v>
      </c>
      <c r="S10" s="186">
        <f>'GS &gt; 50 OLS Model'!$B$7*F10</f>
        <v>3904902.1045074132</v>
      </c>
      <c r="T10" s="186">
        <f>'GS &gt; 50 OLS Model'!$B$8*G10</f>
        <v>28244636.365604453</v>
      </c>
      <c r="U10" s="186"/>
      <c r="V10" s="186">
        <f>'GS &gt; 50 OLS Model'!$B$9*I10</f>
        <v>0</v>
      </c>
      <c r="W10" s="186">
        <f>'GS &gt; 50 OLS Model'!$B$10*J10</f>
        <v>0</v>
      </c>
      <c r="X10" s="186">
        <f>'GS &gt; 50 OLS Model'!$B$11*K10</f>
        <v>0</v>
      </c>
      <c r="Y10" s="186">
        <f>'GS &gt; 50 OLS Model'!$B$12*L10</f>
        <v>2345350.8919449002</v>
      </c>
      <c r="Z10" s="186">
        <v>0</v>
      </c>
      <c r="AA10" s="186">
        <f>'GS &gt; 50 OLS Model'!$B$13*N10</f>
        <v>33551198.840181898</v>
      </c>
      <c r="AB10" s="186">
        <f>'GS &gt; 50 OLS Model'!$B$14*O10</f>
        <v>13737248.956340911</v>
      </c>
      <c r="AC10">
        <f t="shared" si="2"/>
        <v>73910089.183937728</v>
      </c>
      <c r="AD10" s="24">
        <f t="shared" ca="1" si="3"/>
        <v>1.531155873249122E-2</v>
      </c>
    </row>
    <row r="11" spans="1:30">
      <c r="A11" s="26">
        <f>'Monthly Data'!A11</f>
        <v>40087</v>
      </c>
      <c r="B11" s="154">
        <f t="shared" si="4"/>
        <v>10</v>
      </c>
      <c r="C11">
        <f t="shared" si="1"/>
        <v>2009</v>
      </c>
      <c r="D11">
        <f ca="1">'Monthly Data'!O11</f>
        <v>74478609.626164854</v>
      </c>
      <c r="E11">
        <f>'Monthly Data'!BH11</f>
        <v>230.79999999999995</v>
      </c>
      <c r="F11">
        <f>'Monthly Data'!BI11</f>
        <v>0</v>
      </c>
      <c r="G11">
        <f>'Monthly Data'!BL11</f>
        <v>539388</v>
      </c>
      <c r="H11">
        <f>'Monthly Data'!BM11</f>
        <v>10</v>
      </c>
      <c r="I11">
        <f>'Monthly Data'!BQ11</f>
        <v>0</v>
      </c>
      <c r="J11">
        <f>'Monthly Data'!BS11</f>
        <v>0</v>
      </c>
      <c r="K11">
        <f>'Monthly Data'!BU11</f>
        <v>0</v>
      </c>
      <c r="L11">
        <f>'Monthly Data'!BV11</f>
        <v>0</v>
      </c>
      <c r="M11">
        <f>'Monthly Data'!BW11</f>
        <v>1</v>
      </c>
      <c r="N11">
        <f>'Monthly Data'!CC11</f>
        <v>31</v>
      </c>
      <c r="O11">
        <f>'Monthly Data'!CD11</f>
        <v>21</v>
      </c>
      <c r="Q11">
        <f>'GS &gt; 50 OLS Model'!$B$5</f>
        <v>-8508488.8174217809</v>
      </c>
      <c r="R11" s="186">
        <f>'GS &gt; 50 OLS Model'!$B$6*E11</f>
        <v>5595938.416549949</v>
      </c>
      <c r="S11" s="186">
        <f>'GS &gt; 50 OLS Model'!$B$7*F11</f>
        <v>0</v>
      </c>
      <c r="T11" s="186">
        <f>'GS &gt; 50 OLS Model'!$B$8*G11</f>
        <v>28244636.365604453</v>
      </c>
      <c r="U11" s="186"/>
      <c r="V11" s="186">
        <f>'GS &gt; 50 OLS Model'!$B$9*I11</f>
        <v>0</v>
      </c>
      <c r="W11" s="186">
        <f>'GS &gt; 50 OLS Model'!$B$10*J11</f>
        <v>0</v>
      </c>
      <c r="X11" s="186">
        <f>'GS &gt; 50 OLS Model'!$B$11*K11</f>
        <v>0</v>
      </c>
      <c r="Y11" s="186">
        <f>'GS &gt; 50 OLS Model'!$B$12*L11</f>
        <v>0</v>
      </c>
      <c r="Z11" s="186">
        <v>0</v>
      </c>
      <c r="AA11" s="186">
        <f>'GS &gt; 50 OLS Model'!$B$13*N11</f>
        <v>34669572.13485463</v>
      </c>
      <c r="AB11" s="186">
        <f>'GS &gt; 50 OLS Model'!$B$14*O11</f>
        <v>13737248.956340911</v>
      </c>
      <c r="AC11">
        <f t="shared" si="2"/>
        <v>73738907.055928156</v>
      </c>
      <c r="AD11" s="24">
        <f t="shared" ca="1" si="3"/>
        <v>9.9317451540721982E-3</v>
      </c>
    </row>
    <row r="12" spans="1:30">
      <c r="A12" s="26">
        <f>'Monthly Data'!A12</f>
        <v>40118</v>
      </c>
      <c r="B12" s="154">
        <f t="shared" si="4"/>
        <v>11</v>
      </c>
      <c r="C12">
        <f t="shared" si="1"/>
        <v>2009</v>
      </c>
      <c r="D12">
        <f ca="1">'Monthly Data'!O12</f>
        <v>74097028.329366833</v>
      </c>
      <c r="E12">
        <f>'Monthly Data'!BH12</f>
        <v>305.49999999999989</v>
      </c>
      <c r="F12">
        <f>'Monthly Data'!BI12</f>
        <v>0</v>
      </c>
      <c r="G12">
        <f>'Monthly Data'!BL12</f>
        <v>539388</v>
      </c>
      <c r="H12">
        <f>'Monthly Data'!BM12</f>
        <v>11</v>
      </c>
      <c r="I12">
        <f>'Monthly Data'!BQ12</f>
        <v>0</v>
      </c>
      <c r="J12">
        <f>'Monthly Data'!BS12</f>
        <v>0</v>
      </c>
      <c r="K12">
        <f>'Monthly Data'!BU12</f>
        <v>0</v>
      </c>
      <c r="L12">
        <f>'Monthly Data'!BV12</f>
        <v>0</v>
      </c>
      <c r="M12">
        <f>'Monthly Data'!BW12</f>
        <v>0</v>
      </c>
      <c r="N12">
        <f>'Monthly Data'!CC12</f>
        <v>30</v>
      </c>
      <c r="O12">
        <f>'Monthly Data'!CD12</f>
        <v>21</v>
      </c>
      <c r="Q12">
        <f>'GS &gt; 50 OLS Model'!$B$5</f>
        <v>-8508488.8174217809</v>
      </c>
      <c r="R12" s="186">
        <f>'GS &gt; 50 OLS Model'!$B$6*E12</f>
        <v>7407102.1934835752</v>
      </c>
      <c r="S12" s="186">
        <f>'GS &gt; 50 OLS Model'!$B$7*F12</f>
        <v>0</v>
      </c>
      <c r="T12" s="186">
        <f>'GS &gt; 50 OLS Model'!$B$8*G12</f>
        <v>28244636.365604453</v>
      </c>
      <c r="U12" s="186"/>
      <c r="V12" s="186">
        <f>'GS &gt; 50 OLS Model'!$B$9*I12</f>
        <v>0</v>
      </c>
      <c r="W12" s="186">
        <f>'GS &gt; 50 OLS Model'!$B$10*J12</f>
        <v>0</v>
      </c>
      <c r="X12" s="186">
        <f>'GS &gt; 50 OLS Model'!$B$11*K12</f>
        <v>0</v>
      </c>
      <c r="Y12" s="186">
        <f>'GS &gt; 50 OLS Model'!$B$12*L12</f>
        <v>0</v>
      </c>
      <c r="Z12" s="186">
        <v>0</v>
      </c>
      <c r="AA12" s="186">
        <f>'GS &gt; 50 OLS Model'!$B$13*N12</f>
        <v>33551198.840181898</v>
      </c>
      <c r="AB12" s="186">
        <f>'GS &gt; 50 OLS Model'!$B$14*O12</f>
        <v>13737248.956340911</v>
      </c>
      <c r="AC12">
        <f t="shared" si="2"/>
        <v>74431697.538189054</v>
      </c>
      <c r="AD12" s="24">
        <f t="shared" ca="1" si="3"/>
        <v>4.5166346932914896E-3</v>
      </c>
    </row>
    <row r="13" spans="1:30">
      <c r="A13" s="26">
        <f>'Monthly Data'!A13</f>
        <v>40148</v>
      </c>
      <c r="B13" s="154">
        <f t="shared" si="4"/>
        <v>12</v>
      </c>
      <c r="C13">
        <f t="shared" si="1"/>
        <v>2009</v>
      </c>
      <c r="D13">
        <f ca="1">'Monthly Data'!O13</f>
        <v>80736283.954950839</v>
      </c>
      <c r="E13">
        <f>'Monthly Data'!BH13</f>
        <v>582</v>
      </c>
      <c r="F13">
        <f>'Monthly Data'!BI13</f>
        <v>0</v>
      </c>
      <c r="G13">
        <f>'Monthly Data'!BL13</f>
        <v>539388</v>
      </c>
      <c r="H13">
        <f>'Monthly Data'!BM13</f>
        <v>12</v>
      </c>
      <c r="I13">
        <f>'Monthly Data'!BQ13</f>
        <v>0</v>
      </c>
      <c r="J13">
        <f>'Monthly Data'!BS13</f>
        <v>0</v>
      </c>
      <c r="K13">
        <f>'Monthly Data'!BU13</f>
        <v>0</v>
      </c>
      <c r="L13">
        <f>'Monthly Data'!BV13</f>
        <v>0</v>
      </c>
      <c r="M13">
        <f>'Monthly Data'!BW13</f>
        <v>0</v>
      </c>
      <c r="N13">
        <f>'Monthly Data'!CC13</f>
        <v>31</v>
      </c>
      <c r="O13">
        <f>'Monthly Data'!CD13</f>
        <v>21</v>
      </c>
      <c r="Q13">
        <f>'GS &gt; 50 OLS Model'!$B$5</f>
        <v>-8508488.8174217809</v>
      </c>
      <c r="R13" s="186">
        <f>'GS &gt; 50 OLS Model'!$B$6*E13</f>
        <v>14111075.209844328</v>
      </c>
      <c r="S13" s="186">
        <f>'GS &gt; 50 OLS Model'!$B$7*F13</f>
        <v>0</v>
      </c>
      <c r="T13" s="186">
        <f>'GS &gt; 50 OLS Model'!$B$8*G13</f>
        <v>28244636.365604453</v>
      </c>
      <c r="U13" s="186"/>
      <c r="V13" s="186">
        <f>'GS &gt; 50 OLS Model'!$B$9*I13</f>
        <v>0</v>
      </c>
      <c r="W13" s="186">
        <f>'GS &gt; 50 OLS Model'!$B$10*J13</f>
        <v>0</v>
      </c>
      <c r="X13" s="186">
        <f>'GS &gt; 50 OLS Model'!$B$11*K13</f>
        <v>0</v>
      </c>
      <c r="Y13" s="186">
        <f>'GS &gt; 50 OLS Model'!$B$12*L13</f>
        <v>0</v>
      </c>
      <c r="Z13" s="186">
        <v>0</v>
      </c>
      <c r="AA13" s="186">
        <f>'GS &gt; 50 OLS Model'!$B$13*N13</f>
        <v>34669572.13485463</v>
      </c>
      <c r="AB13" s="186">
        <f>'GS &gt; 50 OLS Model'!$B$14*O13</f>
        <v>13737248.956340911</v>
      </c>
      <c r="AC13">
        <f t="shared" si="2"/>
        <v>82254043.849222541</v>
      </c>
      <c r="AD13" s="24">
        <f t="shared" ca="1" si="3"/>
        <v>1.8798981324413939E-2</v>
      </c>
    </row>
    <row r="14" spans="1:30">
      <c r="A14" s="26">
        <f>'Monthly Data'!A14</f>
        <v>40179</v>
      </c>
      <c r="B14" s="154">
        <f t="shared" si="4"/>
        <v>1</v>
      </c>
      <c r="C14">
        <f t="shared" si="1"/>
        <v>2010</v>
      </c>
      <c r="D14">
        <f ca="1">'Monthly Data'!O14</f>
        <v>85427036.528221235</v>
      </c>
      <c r="E14">
        <f>'Monthly Data'!BH14</f>
        <v>663.29999999999984</v>
      </c>
      <c r="F14">
        <f>'Monthly Data'!BI14</f>
        <v>0</v>
      </c>
      <c r="G14">
        <f>'Monthly Data'!BL14</f>
        <v>555907.5</v>
      </c>
      <c r="H14">
        <f>'Monthly Data'!BM14</f>
        <v>13</v>
      </c>
      <c r="I14">
        <f>'Monthly Data'!BQ14</f>
        <v>0</v>
      </c>
      <c r="J14">
        <f>'Monthly Data'!BS14</f>
        <v>0</v>
      </c>
      <c r="K14">
        <f>'Monthly Data'!BU14</f>
        <v>0</v>
      </c>
      <c r="L14">
        <f>'Monthly Data'!BV14</f>
        <v>0</v>
      </c>
      <c r="M14">
        <f>'Monthly Data'!BW14</f>
        <v>0</v>
      </c>
      <c r="N14">
        <f>'Monthly Data'!CC14</f>
        <v>31</v>
      </c>
      <c r="O14">
        <f>'Monthly Data'!CD14</f>
        <v>20</v>
      </c>
      <c r="Q14">
        <f>'GS &gt; 50 OLS Model'!$B$5</f>
        <v>-8508488.8174217809</v>
      </c>
      <c r="R14" s="186">
        <f>'GS &gt; 50 OLS Model'!$B$6*E14</f>
        <v>16082261.48915763</v>
      </c>
      <c r="S14" s="186">
        <f>'GS &gt; 50 OLS Model'!$B$7*F14</f>
        <v>0</v>
      </c>
      <c r="T14" s="186">
        <f>'GS &gt; 50 OLS Model'!$B$8*G14</f>
        <v>29109667.234740593</v>
      </c>
      <c r="U14" s="186"/>
      <c r="V14" s="186">
        <f>'GS &gt; 50 OLS Model'!$B$9*I14</f>
        <v>0</v>
      </c>
      <c r="W14" s="186">
        <f>'GS &gt; 50 OLS Model'!$B$10*J14</f>
        <v>0</v>
      </c>
      <c r="X14" s="186">
        <f>'GS &gt; 50 OLS Model'!$B$11*K14</f>
        <v>0</v>
      </c>
      <c r="Y14" s="186">
        <f>'GS &gt; 50 OLS Model'!$B$12*L14</f>
        <v>0</v>
      </c>
      <c r="Z14" s="186">
        <v>0</v>
      </c>
      <c r="AA14" s="186">
        <f>'GS &gt; 50 OLS Model'!$B$13*N14</f>
        <v>34669572.13485463</v>
      </c>
      <c r="AB14" s="186">
        <f>'GS &gt; 50 OLS Model'!$B$14*O14</f>
        <v>13083094.244134201</v>
      </c>
      <c r="AC14">
        <f t="shared" si="2"/>
        <v>84436106.28546527</v>
      </c>
      <c r="AD14" s="24">
        <f t="shared" ca="1" si="3"/>
        <v>1.159972630478181E-2</v>
      </c>
    </row>
    <row r="15" spans="1:30">
      <c r="A15" s="26">
        <f>'Monthly Data'!A15</f>
        <v>40210</v>
      </c>
      <c r="B15" s="154">
        <f t="shared" si="4"/>
        <v>2</v>
      </c>
      <c r="C15">
        <f t="shared" si="1"/>
        <v>2010</v>
      </c>
      <c r="D15">
        <f ca="1">'Monthly Data'!O15</f>
        <v>77459286.107347235</v>
      </c>
      <c r="E15">
        <f>'Monthly Data'!BH15</f>
        <v>557.29999999999995</v>
      </c>
      <c r="F15">
        <f>'Monthly Data'!BI15</f>
        <v>0</v>
      </c>
      <c r="G15">
        <f>'Monthly Data'!BL15</f>
        <v>555907.5</v>
      </c>
      <c r="H15">
        <f>'Monthly Data'!BM15</f>
        <v>14</v>
      </c>
      <c r="I15">
        <f>'Monthly Data'!BQ15</f>
        <v>0</v>
      </c>
      <c r="J15">
        <f>'Monthly Data'!BS15</f>
        <v>0</v>
      </c>
      <c r="K15">
        <f>'Monthly Data'!BU15</f>
        <v>0</v>
      </c>
      <c r="L15">
        <f>'Monthly Data'!BV15</f>
        <v>0</v>
      </c>
      <c r="M15">
        <f>'Monthly Data'!BW15</f>
        <v>0</v>
      </c>
      <c r="N15">
        <f>'Monthly Data'!CC15</f>
        <v>28</v>
      </c>
      <c r="O15">
        <f>'Monthly Data'!CD15</f>
        <v>19</v>
      </c>
      <c r="Q15">
        <f>'GS &gt; 50 OLS Model'!$B$5</f>
        <v>-8508488.8174217809</v>
      </c>
      <c r="R15" s="186">
        <f>'GS &gt; 50 OLS Model'!$B$6*E15</f>
        <v>13512203.11760523</v>
      </c>
      <c r="S15" s="186">
        <f>'GS &gt; 50 OLS Model'!$B$7*F15</f>
        <v>0</v>
      </c>
      <c r="T15" s="186">
        <f>'GS &gt; 50 OLS Model'!$B$8*G15</f>
        <v>29109667.234740593</v>
      </c>
      <c r="U15" s="186"/>
      <c r="V15" s="186">
        <f>'GS &gt; 50 OLS Model'!$B$9*I15</f>
        <v>0</v>
      </c>
      <c r="W15" s="186">
        <f>'GS &gt; 50 OLS Model'!$B$10*J15</f>
        <v>0</v>
      </c>
      <c r="X15" s="186">
        <f>'GS &gt; 50 OLS Model'!$B$11*K15</f>
        <v>0</v>
      </c>
      <c r="Y15" s="186">
        <f>'GS &gt; 50 OLS Model'!$B$12*L15</f>
        <v>0</v>
      </c>
      <c r="Z15" s="186">
        <v>0</v>
      </c>
      <c r="AA15" s="186">
        <f>'GS &gt; 50 OLS Model'!$B$13*N15</f>
        <v>31314452.250836439</v>
      </c>
      <c r="AB15" s="186">
        <f>'GS &gt; 50 OLS Model'!$B$14*O15</f>
        <v>12428939.531927491</v>
      </c>
      <c r="AC15">
        <f t="shared" si="2"/>
        <v>77856773.317687973</v>
      </c>
      <c r="AD15" s="24">
        <f t="shared" ca="1" si="3"/>
        <v>5.1315630483590976E-3</v>
      </c>
    </row>
    <row r="16" spans="1:30">
      <c r="A16" s="26">
        <f>'Monthly Data'!A16</f>
        <v>40238</v>
      </c>
      <c r="B16" s="154">
        <f t="shared" si="4"/>
        <v>3</v>
      </c>
      <c r="C16">
        <f t="shared" si="1"/>
        <v>2010</v>
      </c>
      <c r="D16">
        <f ca="1">'Monthly Data'!O16</f>
        <v>79469302.564392224</v>
      </c>
      <c r="E16">
        <f>'Monthly Data'!BH16</f>
        <v>393.39999999999986</v>
      </c>
      <c r="F16">
        <f>'Monthly Data'!BI16</f>
        <v>0</v>
      </c>
      <c r="G16">
        <f>'Monthly Data'!BL16</f>
        <v>555907.5</v>
      </c>
      <c r="H16">
        <f>'Monthly Data'!BM16</f>
        <v>15</v>
      </c>
      <c r="I16">
        <f>'Monthly Data'!BQ16</f>
        <v>0</v>
      </c>
      <c r="J16">
        <f>'Monthly Data'!BS16</f>
        <v>0</v>
      </c>
      <c r="K16">
        <f>'Monthly Data'!BU16</f>
        <v>0</v>
      </c>
      <c r="L16">
        <f>'Monthly Data'!BV16</f>
        <v>0</v>
      </c>
      <c r="M16">
        <f>'Monthly Data'!BW16</f>
        <v>0</v>
      </c>
      <c r="N16">
        <f>'Monthly Data'!CC16</f>
        <v>31</v>
      </c>
      <c r="O16">
        <f>'Monthly Data'!CD16</f>
        <v>23</v>
      </c>
      <c r="Q16">
        <f>'GS &gt; 50 OLS Model'!$B$5</f>
        <v>-8508488.8174217809</v>
      </c>
      <c r="R16" s="186">
        <f>'GS &gt; 50 OLS Model'!$B$6*E16</f>
        <v>9538310.9751765579</v>
      </c>
      <c r="S16" s="186">
        <f>'GS &gt; 50 OLS Model'!$B$7*F16</f>
        <v>0</v>
      </c>
      <c r="T16" s="186">
        <f>'GS &gt; 50 OLS Model'!$B$8*G16</f>
        <v>29109667.234740593</v>
      </c>
      <c r="U16" s="186"/>
      <c r="V16" s="186">
        <f>'GS &gt; 50 OLS Model'!$B$9*I16</f>
        <v>0</v>
      </c>
      <c r="W16" s="186">
        <f>'GS &gt; 50 OLS Model'!$B$10*J16</f>
        <v>0</v>
      </c>
      <c r="X16" s="186">
        <f>'GS &gt; 50 OLS Model'!$B$11*K16</f>
        <v>0</v>
      </c>
      <c r="Y16" s="186">
        <f>'GS &gt; 50 OLS Model'!$B$12*L16</f>
        <v>0</v>
      </c>
      <c r="Z16" s="186">
        <v>0</v>
      </c>
      <c r="AA16" s="186">
        <f>'GS &gt; 50 OLS Model'!$B$13*N16</f>
        <v>34669572.13485463</v>
      </c>
      <c r="AB16" s="186">
        <f>'GS &gt; 50 OLS Model'!$B$14*O16</f>
        <v>15045558.380754331</v>
      </c>
      <c r="AC16">
        <f t="shared" si="2"/>
        <v>79854619.90810433</v>
      </c>
      <c r="AD16" s="24">
        <f t="shared" ca="1" si="3"/>
        <v>4.8486312485238213E-3</v>
      </c>
    </row>
    <row r="17" spans="1:30">
      <c r="A17" s="26">
        <f>'Monthly Data'!A17</f>
        <v>40269</v>
      </c>
      <c r="B17" s="154">
        <f t="shared" si="4"/>
        <v>4</v>
      </c>
      <c r="C17">
        <f t="shared" si="1"/>
        <v>2010</v>
      </c>
      <c r="D17">
        <f ca="1">'Monthly Data'!O17</f>
        <v>71033086.461556241</v>
      </c>
      <c r="E17">
        <f>'Monthly Data'!BH17</f>
        <v>174.9</v>
      </c>
      <c r="F17">
        <f>'Monthly Data'!BI17</f>
        <v>5</v>
      </c>
      <c r="G17">
        <f>'Monthly Data'!BL17</f>
        <v>555907.5</v>
      </c>
      <c r="H17">
        <f>'Monthly Data'!BM17</f>
        <v>16</v>
      </c>
      <c r="I17">
        <f>'Monthly Data'!BQ17</f>
        <v>1</v>
      </c>
      <c r="J17">
        <f>'Monthly Data'!BS17</f>
        <v>0</v>
      </c>
      <c r="K17">
        <f>'Monthly Data'!BU17</f>
        <v>0</v>
      </c>
      <c r="L17">
        <f>'Monthly Data'!BV17</f>
        <v>0</v>
      </c>
      <c r="M17">
        <f>'Monthly Data'!BW17</f>
        <v>0</v>
      </c>
      <c r="N17">
        <f>'Monthly Data'!CC17</f>
        <v>30</v>
      </c>
      <c r="O17">
        <f>'Monthly Data'!CD17</f>
        <v>20</v>
      </c>
      <c r="Q17">
        <f>'GS &gt; 50 OLS Model'!$B$5</f>
        <v>-8508488.8174217809</v>
      </c>
      <c r="R17" s="186">
        <f>'GS &gt; 50 OLS Model'!$B$6*E17</f>
        <v>4240596.3130614664</v>
      </c>
      <c r="S17" s="186">
        <f>'GS &gt; 50 OLS Model'!$B$7*F17</f>
        <v>356938.03514692996</v>
      </c>
      <c r="T17" s="186">
        <f>'GS &gt; 50 OLS Model'!$B$8*G17</f>
        <v>29109667.234740593</v>
      </c>
      <c r="U17" s="186"/>
      <c r="V17" s="186">
        <f>'GS &gt; 50 OLS Model'!$B$9*I17</f>
        <v>-1670359.8066300801</v>
      </c>
      <c r="W17" s="186">
        <f>'GS &gt; 50 OLS Model'!$B$10*J17</f>
        <v>0</v>
      </c>
      <c r="X17" s="186">
        <f>'GS &gt; 50 OLS Model'!$B$11*K17</f>
        <v>0</v>
      </c>
      <c r="Y17" s="186">
        <f>'GS &gt; 50 OLS Model'!$B$12*L17</f>
        <v>0</v>
      </c>
      <c r="Z17" s="186">
        <v>0</v>
      </c>
      <c r="AA17" s="186">
        <f>'GS &gt; 50 OLS Model'!$B$13*N17</f>
        <v>33551198.840181898</v>
      </c>
      <c r="AB17" s="186">
        <f>'GS &gt; 50 OLS Model'!$B$14*O17</f>
        <v>13083094.244134201</v>
      </c>
      <c r="AC17">
        <f t="shared" si="2"/>
        <v>70162646.043213233</v>
      </c>
      <c r="AD17" s="24">
        <f t="shared" ca="1" si="3"/>
        <v>1.2254013751944988E-2</v>
      </c>
    </row>
    <row r="18" spans="1:30">
      <c r="A18" s="26">
        <f>'Monthly Data'!A18</f>
        <v>40299</v>
      </c>
      <c r="B18" s="154">
        <f t="shared" si="4"/>
        <v>5</v>
      </c>
      <c r="C18">
        <f t="shared" si="1"/>
        <v>2010</v>
      </c>
      <c r="D18">
        <f ca="1">'Monthly Data'!O18</f>
        <v>75509222.108001232</v>
      </c>
      <c r="E18">
        <f>'Monthly Data'!BH18</f>
        <v>84.300000000000011</v>
      </c>
      <c r="F18">
        <f>'Monthly Data'!BI18</f>
        <v>59.699999999999989</v>
      </c>
      <c r="G18">
        <f>'Monthly Data'!BL18</f>
        <v>555907.5</v>
      </c>
      <c r="H18">
        <f>'Monthly Data'!BM18</f>
        <v>17</v>
      </c>
      <c r="I18">
        <f>'Monthly Data'!BQ18</f>
        <v>0</v>
      </c>
      <c r="J18">
        <f>'Monthly Data'!BS18</f>
        <v>0</v>
      </c>
      <c r="K18">
        <f>'Monthly Data'!BU18</f>
        <v>0</v>
      </c>
      <c r="L18">
        <f>'Monthly Data'!BV18</f>
        <v>0</v>
      </c>
      <c r="M18">
        <f>'Monthly Data'!BW18</f>
        <v>0</v>
      </c>
      <c r="N18">
        <f>'Monthly Data'!CC18</f>
        <v>31</v>
      </c>
      <c r="O18">
        <f>'Monthly Data'!CD18</f>
        <v>20</v>
      </c>
      <c r="Q18">
        <f>'GS &gt; 50 OLS Model'!$B$5</f>
        <v>-8508488.8174217809</v>
      </c>
      <c r="R18" s="186">
        <f>'GS &gt; 50 OLS Model'!$B$6*E18</f>
        <v>2043923.7803949779</v>
      </c>
      <c r="S18" s="186">
        <f>'GS &gt; 50 OLS Model'!$B$7*F18</f>
        <v>4261840.139654343</v>
      </c>
      <c r="T18" s="186">
        <f>'GS &gt; 50 OLS Model'!$B$8*G18</f>
        <v>29109667.234740593</v>
      </c>
      <c r="U18" s="186"/>
      <c r="V18" s="186">
        <f>'GS &gt; 50 OLS Model'!$B$9*I18</f>
        <v>0</v>
      </c>
      <c r="W18" s="186">
        <f>'GS &gt; 50 OLS Model'!$B$10*J18</f>
        <v>0</v>
      </c>
      <c r="X18" s="186">
        <f>'GS &gt; 50 OLS Model'!$B$11*K18</f>
        <v>0</v>
      </c>
      <c r="Y18" s="186">
        <f>'GS &gt; 50 OLS Model'!$B$12*L18</f>
        <v>0</v>
      </c>
      <c r="Z18" s="186">
        <v>0</v>
      </c>
      <c r="AA18" s="186">
        <f>'GS &gt; 50 OLS Model'!$B$13*N18</f>
        <v>34669572.13485463</v>
      </c>
      <c r="AB18" s="186">
        <f>'GS &gt; 50 OLS Model'!$B$14*O18</f>
        <v>13083094.244134201</v>
      </c>
      <c r="AC18">
        <f t="shared" si="2"/>
        <v>74659608.716356963</v>
      </c>
      <c r="AD18" s="24">
        <f t="shared" ca="1" si="3"/>
        <v>1.1251783132251883E-2</v>
      </c>
    </row>
    <row r="19" spans="1:30">
      <c r="A19" s="26">
        <f>'Monthly Data'!A19</f>
        <v>40330</v>
      </c>
      <c r="B19" s="154">
        <f t="shared" si="4"/>
        <v>6</v>
      </c>
      <c r="C19">
        <f t="shared" si="1"/>
        <v>2010</v>
      </c>
      <c r="D19">
        <f ca="1">'Monthly Data'!O19</f>
        <v>81034423.714442238</v>
      </c>
      <c r="E19">
        <f>'Monthly Data'!BH19</f>
        <v>3.9000000000000004</v>
      </c>
      <c r="F19">
        <f>'Monthly Data'!BI19</f>
        <v>135.89999999999998</v>
      </c>
      <c r="G19">
        <f>'Monthly Data'!BL19</f>
        <v>555907.5</v>
      </c>
      <c r="H19">
        <f>'Monthly Data'!BM19</f>
        <v>18</v>
      </c>
      <c r="I19">
        <f>'Monthly Data'!BQ19</f>
        <v>0</v>
      </c>
      <c r="J19">
        <f>'Monthly Data'!BS19</f>
        <v>1</v>
      </c>
      <c r="K19">
        <f>'Monthly Data'!BU19</f>
        <v>0</v>
      </c>
      <c r="L19">
        <f>'Monthly Data'!BV19</f>
        <v>0</v>
      </c>
      <c r="M19">
        <f>'Monthly Data'!BW19</f>
        <v>0</v>
      </c>
      <c r="N19">
        <f>'Monthly Data'!CC19</f>
        <v>30</v>
      </c>
      <c r="O19">
        <f>'Monthly Data'!CD19</f>
        <v>22</v>
      </c>
      <c r="Q19">
        <f>'GS &gt; 50 OLS Model'!$B$5</f>
        <v>-8508488.8174217809</v>
      </c>
      <c r="R19" s="186">
        <f>'GS &gt; 50 OLS Model'!$B$6*E19</f>
        <v>94558.751406173353</v>
      </c>
      <c r="S19" s="186">
        <f>'GS &gt; 50 OLS Model'!$B$7*F19</f>
        <v>9701575.7952935547</v>
      </c>
      <c r="T19" s="186">
        <f>'GS &gt; 50 OLS Model'!$B$8*G19</f>
        <v>29109667.234740593</v>
      </c>
      <c r="U19" s="186"/>
      <c r="V19" s="186">
        <f>'GS &gt; 50 OLS Model'!$B$9*I19</f>
        <v>0</v>
      </c>
      <c r="W19" s="186">
        <f>'GS &gt; 50 OLS Model'!$B$10*J19</f>
        <v>1244451.2383117899</v>
      </c>
      <c r="X19" s="186">
        <f>'GS &gt; 50 OLS Model'!$B$11*K19</f>
        <v>0</v>
      </c>
      <c r="Y19" s="186">
        <f>'GS &gt; 50 OLS Model'!$B$12*L19</f>
        <v>0</v>
      </c>
      <c r="Z19" s="186">
        <v>0</v>
      </c>
      <c r="AA19" s="186">
        <f>'GS &gt; 50 OLS Model'!$B$13*N19</f>
        <v>33551198.840181898</v>
      </c>
      <c r="AB19" s="186">
        <f>'GS &gt; 50 OLS Model'!$B$14*O19</f>
        <v>14391403.668547621</v>
      </c>
      <c r="AC19">
        <f t="shared" si="2"/>
        <v>79584366.711059839</v>
      </c>
      <c r="AD19" s="24">
        <f t="shared" ca="1" si="3"/>
        <v>1.7894333505625529E-2</v>
      </c>
    </row>
    <row r="20" spans="1:30">
      <c r="A20" s="26">
        <f>'Monthly Data'!A20</f>
        <v>40360</v>
      </c>
      <c r="B20" s="154">
        <f t="shared" si="4"/>
        <v>7</v>
      </c>
      <c r="C20">
        <f t="shared" si="1"/>
        <v>2010</v>
      </c>
      <c r="D20">
        <f ca="1">'Monthly Data'!O20</f>
        <v>85939810.851727232</v>
      </c>
      <c r="E20">
        <f>'Monthly Data'!BH20</f>
        <v>0</v>
      </c>
      <c r="F20">
        <f>'Monthly Data'!BI20</f>
        <v>227.00000000000006</v>
      </c>
      <c r="G20">
        <f>'Monthly Data'!BL20</f>
        <v>555907.5</v>
      </c>
      <c r="H20">
        <f>'Monthly Data'!BM20</f>
        <v>19</v>
      </c>
      <c r="I20">
        <f>'Monthly Data'!BQ20</f>
        <v>0</v>
      </c>
      <c r="J20">
        <f>'Monthly Data'!BS20</f>
        <v>0</v>
      </c>
      <c r="K20">
        <f>'Monthly Data'!BU20</f>
        <v>0</v>
      </c>
      <c r="L20">
        <f>'Monthly Data'!BV20</f>
        <v>0</v>
      </c>
      <c r="M20">
        <f>'Monthly Data'!BW20</f>
        <v>0</v>
      </c>
      <c r="N20">
        <f>'Monthly Data'!CC20</f>
        <v>31</v>
      </c>
      <c r="O20">
        <f>'Monthly Data'!CD20</f>
        <v>21</v>
      </c>
      <c r="Q20">
        <f>'GS &gt; 50 OLS Model'!$B$5</f>
        <v>-8508488.8174217809</v>
      </c>
      <c r="R20" s="186">
        <f>'GS &gt; 50 OLS Model'!$B$6*E20</f>
        <v>0</v>
      </c>
      <c r="S20" s="186">
        <f>'GS &gt; 50 OLS Model'!$B$7*F20</f>
        <v>16204986.795670625</v>
      </c>
      <c r="T20" s="186">
        <f>'GS &gt; 50 OLS Model'!$B$8*G20</f>
        <v>29109667.234740593</v>
      </c>
      <c r="U20" s="186"/>
      <c r="V20" s="186">
        <f>'GS &gt; 50 OLS Model'!$B$9*I20</f>
        <v>0</v>
      </c>
      <c r="W20" s="186">
        <f>'GS &gt; 50 OLS Model'!$B$10*J20</f>
        <v>0</v>
      </c>
      <c r="X20" s="186">
        <f>'GS &gt; 50 OLS Model'!$B$11*K20</f>
        <v>0</v>
      </c>
      <c r="Y20" s="186">
        <f>'GS &gt; 50 OLS Model'!$B$12*L20</f>
        <v>0</v>
      </c>
      <c r="Z20" s="186">
        <v>0</v>
      </c>
      <c r="AA20" s="186">
        <f>'GS &gt; 50 OLS Model'!$B$13*N20</f>
        <v>34669572.13485463</v>
      </c>
      <c r="AB20" s="186">
        <f>'GS &gt; 50 OLS Model'!$B$14*O20</f>
        <v>13737248.956340911</v>
      </c>
      <c r="AC20">
        <f t="shared" si="2"/>
        <v>85212986.304184973</v>
      </c>
      <c r="AD20" s="24">
        <f t="shared" ca="1" si="3"/>
        <v>8.457367317182678E-3</v>
      </c>
    </row>
    <row r="21" spans="1:30">
      <c r="A21" s="26">
        <f>'Monthly Data'!A21</f>
        <v>40391</v>
      </c>
      <c r="B21" s="154">
        <f t="shared" si="4"/>
        <v>8</v>
      </c>
      <c r="C21">
        <f t="shared" si="1"/>
        <v>2010</v>
      </c>
      <c r="D21">
        <f ca="1">'Monthly Data'!O21</f>
        <v>86205660.129896238</v>
      </c>
      <c r="E21">
        <f>'Monthly Data'!BH21</f>
        <v>0</v>
      </c>
      <c r="F21">
        <f>'Monthly Data'!BI21</f>
        <v>211.80000000000004</v>
      </c>
      <c r="G21">
        <f>'Monthly Data'!BL21</f>
        <v>555907.5</v>
      </c>
      <c r="H21">
        <f>'Monthly Data'!BM21</f>
        <v>20</v>
      </c>
      <c r="I21">
        <f>'Monthly Data'!BQ21</f>
        <v>0</v>
      </c>
      <c r="J21">
        <f>'Monthly Data'!BS21</f>
        <v>0</v>
      </c>
      <c r="K21">
        <f>'Monthly Data'!BU21</f>
        <v>1</v>
      </c>
      <c r="L21">
        <f>'Monthly Data'!BV21</f>
        <v>0</v>
      </c>
      <c r="M21">
        <f>'Monthly Data'!BW21</f>
        <v>0</v>
      </c>
      <c r="N21">
        <f>'Monthly Data'!CC21</f>
        <v>31</v>
      </c>
      <c r="O21">
        <f>'Monthly Data'!CD21</f>
        <v>21</v>
      </c>
      <c r="Q21">
        <f>'GS &gt; 50 OLS Model'!$B$5</f>
        <v>-8508488.8174217809</v>
      </c>
      <c r="R21" s="186">
        <f>'GS &gt; 50 OLS Model'!$B$6*E21</f>
        <v>0</v>
      </c>
      <c r="S21" s="186">
        <f>'GS &gt; 50 OLS Model'!$B$7*F21</f>
        <v>15119895.168823957</v>
      </c>
      <c r="T21" s="186">
        <f>'GS &gt; 50 OLS Model'!$B$8*G21</f>
        <v>29109667.234740593</v>
      </c>
      <c r="U21" s="186"/>
      <c r="V21" s="186">
        <f>'GS &gt; 50 OLS Model'!$B$9*I21</f>
        <v>0</v>
      </c>
      <c r="W21" s="186">
        <f>'GS &gt; 50 OLS Model'!$B$10*J21</f>
        <v>0</v>
      </c>
      <c r="X21" s="186">
        <f>'GS &gt; 50 OLS Model'!$B$11*K21</f>
        <v>2505717.0713192602</v>
      </c>
      <c r="Y21" s="186">
        <f>'GS &gt; 50 OLS Model'!$B$12*L21</f>
        <v>0</v>
      </c>
      <c r="Z21" s="186">
        <v>0</v>
      </c>
      <c r="AA21" s="186">
        <f>'GS &gt; 50 OLS Model'!$B$13*N21</f>
        <v>34669572.13485463</v>
      </c>
      <c r="AB21" s="186">
        <f>'GS &gt; 50 OLS Model'!$B$14*O21</f>
        <v>13737248.956340911</v>
      </c>
      <c r="AC21">
        <f t="shared" si="2"/>
        <v>86633611.748657569</v>
      </c>
      <c r="AD21" s="24">
        <f t="shared" ca="1" si="3"/>
        <v>4.9643099782135615E-3</v>
      </c>
    </row>
    <row r="22" spans="1:30">
      <c r="A22" s="26">
        <f>'Monthly Data'!A22</f>
        <v>40422</v>
      </c>
      <c r="B22" s="154">
        <f t="shared" si="4"/>
        <v>9</v>
      </c>
      <c r="C22">
        <f t="shared" si="1"/>
        <v>2010</v>
      </c>
      <c r="D22">
        <f ca="1">'Monthly Data'!O22</f>
        <v>75144375.415312231</v>
      </c>
      <c r="E22">
        <f>'Monthly Data'!BH22</f>
        <v>38</v>
      </c>
      <c r="F22">
        <f>'Monthly Data'!BI22</f>
        <v>59.699999999999989</v>
      </c>
      <c r="G22">
        <f>'Monthly Data'!BL22</f>
        <v>555907.5</v>
      </c>
      <c r="H22">
        <f>'Monthly Data'!BM22</f>
        <v>21</v>
      </c>
      <c r="I22">
        <f>'Monthly Data'!BQ22</f>
        <v>0</v>
      </c>
      <c r="J22">
        <f>'Monthly Data'!BS22</f>
        <v>0</v>
      </c>
      <c r="K22">
        <f>'Monthly Data'!BU22</f>
        <v>0</v>
      </c>
      <c r="L22">
        <f>'Monthly Data'!BV22</f>
        <v>1</v>
      </c>
      <c r="M22">
        <f>'Monthly Data'!BW22</f>
        <v>0</v>
      </c>
      <c r="N22">
        <f>'Monthly Data'!CC22</f>
        <v>30</v>
      </c>
      <c r="O22">
        <f>'Monthly Data'!CD22</f>
        <v>21</v>
      </c>
      <c r="Q22">
        <f>'GS &gt; 50 OLS Model'!$B$5</f>
        <v>-8508488.8174217809</v>
      </c>
      <c r="R22" s="186">
        <f>'GS &gt; 50 OLS Model'!$B$6*E22</f>
        <v>921341.68036784278</v>
      </c>
      <c r="S22" s="186">
        <f>'GS &gt; 50 OLS Model'!$B$7*F22</f>
        <v>4261840.139654343</v>
      </c>
      <c r="T22" s="186">
        <f>'GS &gt; 50 OLS Model'!$B$8*G22</f>
        <v>29109667.234740593</v>
      </c>
      <c r="U22" s="186"/>
      <c r="V22" s="186">
        <f>'GS &gt; 50 OLS Model'!$B$9*I22</f>
        <v>0</v>
      </c>
      <c r="W22" s="186">
        <f>'GS &gt; 50 OLS Model'!$B$10*J22</f>
        <v>0</v>
      </c>
      <c r="X22" s="186">
        <f>'GS &gt; 50 OLS Model'!$B$11*K22</f>
        <v>0</v>
      </c>
      <c r="Y22" s="186">
        <f>'GS &gt; 50 OLS Model'!$B$12*L22</f>
        <v>2345350.8919449002</v>
      </c>
      <c r="Z22" s="186">
        <v>0</v>
      </c>
      <c r="AA22" s="186">
        <f>'GS &gt; 50 OLS Model'!$B$13*N22</f>
        <v>33551198.840181898</v>
      </c>
      <c r="AB22" s="186">
        <f>'GS &gt; 50 OLS Model'!$B$14*O22</f>
        <v>13737248.956340911</v>
      </c>
      <c r="AC22">
        <f t="shared" ref="AC22:AC53" si="5">SUM(Q22:AB22)</f>
        <v>75418158.925808713</v>
      </c>
      <c r="AD22" s="24">
        <f t="shared" ref="AD22:AD53" ca="1" si="6">ABS(AC22-D22)/D22</f>
        <v>3.6434331775774286E-3</v>
      </c>
    </row>
    <row r="23" spans="1:30">
      <c r="A23" s="26">
        <f>'Monthly Data'!A23</f>
        <v>40452</v>
      </c>
      <c r="B23" s="154">
        <f t="shared" si="4"/>
        <v>10</v>
      </c>
      <c r="C23">
        <f t="shared" si="1"/>
        <v>2010</v>
      </c>
      <c r="D23">
        <f ca="1">'Monthly Data'!O23</f>
        <v>73712701.595507234</v>
      </c>
      <c r="E23">
        <f>'Monthly Data'!BH23</f>
        <v>157.6</v>
      </c>
      <c r="F23">
        <f>'Monthly Data'!BI23</f>
        <v>1.4000000000000001</v>
      </c>
      <c r="G23">
        <f>'Monthly Data'!BL23</f>
        <v>555907.5</v>
      </c>
      <c r="H23">
        <f>'Monthly Data'!BM23</f>
        <v>22</v>
      </c>
      <c r="I23">
        <f>'Monthly Data'!BQ23</f>
        <v>0</v>
      </c>
      <c r="J23">
        <f>'Monthly Data'!BS23</f>
        <v>0</v>
      </c>
      <c r="K23">
        <f>'Monthly Data'!BU23</f>
        <v>0</v>
      </c>
      <c r="L23">
        <f>'Monthly Data'!BV23</f>
        <v>0</v>
      </c>
      <c r="M23">
        <f>'Monthly Data'!BW23</f>
        <v>1</v>
      </c>
      <c r="N23">
        <f>'Monthly Data'!CC23</f>
        <v>31</v>
      </c>
      <c r="O23">
        <f>'Monthly Data'!CD23</f>
        <v>20</v>
      </c>
      <c r="Q23">
        <f>'GS &gt; 50 OLS Model'!$B$5</f>
        <v>-8508488.8174217809</v>
      </c>
      <c r="R23" s="186">
        <f>'GS &gt; 50 OLS Model'!$B$6*E23</f>
        <v>3821143.3901571585</v>
      </c>
      <c r="S23" s="186">
        <f>'GS &gt; 50 OLS Model'!$B$7*F23</f>
        <v>99942.649841140403</v>
      </c>
      <c r="T23" s="186">
        <f>'GS &gt; 50 OLS Model'!$B$8*G23</f>
        <v>29109667.234740593</v>
      </c>
      <c r="U23" s="186"/>
      <c r="V23" s="186">
        <f>'GS &gt; 50 OLS Model'!$B$9*I23</f>
        <v>0</v>
      </c>
      <c r="W23" s="186">
        <f>'GS &gt; 50 OLS Model'!$B$10*J23</f>
        <v>0</v>
      </c>
      <c r="X23" s="186">
        <f>'GS &gt; 50 OLS Model'!$B$11*K23</f>
        <v>0</v>
      </c>
      <c r="Y23" s="186">
        <f>'GS &gt; 50 OLS Model'!$B$12*L23</f>
        <v>0</v>
      </c>
      <c r="Z23" s="186">
        <v>0</v>
      </c>
      <c r="AA23" s="186">
        <f>'GS &gt; 50 OLS Model'!$B$13*N23</f>
        <v>34669572.13485463</v>
      </c>
      <c r="AB23" s="186">
        <f>'GS &gt; 50 OLS Model'!$B$14*O23</f>
        <v>13083094.244134201</v>
      </c>
      <c r="AC23">
        <f t="shared" si="5"/>
        <v>72274930.836305946</v>
      </c>
      <c r="AD23" s="24">
        <f t="shared" ca="1" si="6"/>
        <v>1.9505061245630968E-2</v>
      </c>
    </row>
    <row r="24" spans="1:30">
      <c r="A24" s="26">
        <f>'Monthly Data'!A24</f>
        <v>40483</v>
      </c>
      <c r="B24" s="154">
        <f t="shared" si="4"/>
        <v>11</v>
      </c>
      <c r="C24">
        <f t="shared" si="1"/>
        <v>2010</v>
      </c>
      <c r="D24">
        <f ca="1">'Monthly Data'!O24</f>
        <v>76223861.515962228</v>
      </c>
      <c r="E24">
        <f>'Monthly Data'!BH24</f>
        <v>376.59999999999991</v>
      </c>
      <c r="F24">
        <f>'Monthly Data'!BI24</f>
        <v>0</v>
      </c>
      <c r="G24">
        <f>'Monthly Data'!BL24</f>
        <v>555907.5</v>
      </c>
      <c r="H24">
        <f>'Monthly Data'!BM24</f>
        <v>23</v>
      </c>
      <c r="I24">
        <f>'Monthly Data'!BQ24</f>
        <v>0</v>
      </c>
      <c r="J24">
        <f>'Monthly Data'!BS24</f>
        <v>0</v>
      </c>
      <c r="K24">
        <f>'Monthly Data'!BU24</f>
        <v>0</v>
      </c>
      <c r="L24">
        <f>'Monthly Data'!BV24</f>
        <v>0</v>
      </c>
      <c r="M24">
        <f>'Monthly Data'!BW24</f>
        <v>0</v>
      </c>
      <c r="N24">
        <f>'Monthly Data'!CC24</f>
        <v>30</v>
      </c>
      <c r="O24">
        <f>'Monthly Data'!CD24</f>
        <v>22</v>
      </c>
      <c r="Q24">
        <f>'GS &gt; 50 OLS Model'!$B$5</f>
        <v>-8508488.8174217809</v>
      </c>
      <c r="R24" s="186">
        <f>'GS &gt; 50 OLS Model'!$B$6*E24</f>
        <v>9130980.9691191968</v>
      </c>
      <c r="S24" s="186">
        <f>'GS &gt; 50 OLS Model'!$B$7*F24</f>
        <v>0</v>
      </c>
      <c r="T24" s="186">
        <f>'GS &gt; 50 OLS Model'!$B$8*G24</f>
        <v>29109667.234740593</v>
      </c>
      <c r="U24" s="186"/>
      <c r="V24" s="186">
        <f>'GS &gt; 50 OLS Model'!$B$9*I24</f>
        <v>0</v>
      </c>
      <c r="W24" s="186">
        <f>'GS &gt; 50 OLS Model'!$B$10*J24</f>
        <v>0</v>
      </c>
      <c r="X24" s="186">
        <f>'GS &gt; 50 OLS Model'!$B$11*K24</f>
        <v>0</v>
      </c>
      <c r="Y24" s="186">
        <f>'GS &gt; 50 OLS Model'!$B$12*L24</f>
        <v>0</v>
      </c>
      <c r="Z24" s="186">
        <v>0</v>
      </c>
      <c r="AA24" s="186">
        <f>'GS &gt; 50 OLS Model'!$B$13*N24</f>
        <v>33551198.840181898</v>
      </c>
      <c r="AB24" s="186">
        <f>'GS &gt; 50 OLS Model'!$B$14*O24</f>
        <v>14391403.668547621</v>
      </c>
      <c r="AC24">
        <f t="shared" si="5"/>
        <v>77674761.89516753</v>
      </c>
      <c r="AD24" s="24">
        <f t="shared" ca="1" si="6"/>
        <v>1.903472679485629E-2</v>
      </c>
    </row>
    <row r="25" spans="1:30">
      <c r="A25" s="26">
        <f>'Monthly Data'!A25</f>
        <v>40513</v>
      </c>
      <c r="B25" s="154">
        <f t="shared" si="4"/>
        <v>12</v>
      </c>
      <c r="C25">
        <f t="shared" si="1"/>
        <v>2010</v>
      </c>
      <c r="D25">
        <f ca="1">'Monthly Data'!O25</f>
        <v>82782031.24842824</v>
      </c>
      <c r="E25">
        <f>'Monthly Data'!BH25</f>
        <v>645.59999999999991</v>
      </c>
      <c r="F25">
        <f>'Monthly Data'!BI25</f>
        <v>0</v>
      </c>
      <c r="G25">
        <f>'Monthly Data'!BL25</f>
        <v>555907.5</v>
      </c>
      <c r="H25">
        <f>'Monthly Data'!BM25</f>
        <v>24</v>
      </c>
      <c r="I25">
        <f>'Monthly Data'!BQ25</f>
        <v>0</v>
      </c>
      <c r="J25">
        <f>'Monthly Data'!BS25</f>
        <v>0</v>
      </c>
      <c r="K25">
        <f>'Monthly Data'!BU25</f>
        <v>0</v>
      </c>
      <c r="L25">
        <f>'Monthly Data'!BV25</f>
        <v>0</v>
      </c>
      <c r="M25">
        <f>'Monthly Data'!BW25</f>
        <v>0</v>
      </c>
      <c r="N25">
        <f>'Monthly Data'!CC25</f>
        <v>31</v>
      </c>
      <c r="O25">
        <f>'Monthly Data'!CD25</f>
        <v>21</v>
      </c>
      <c r="Q25">
        <f>'GS &gt; 50 OLS Model'!$B$5</f>
        <v>-8508488.8174217809</v>
      </c>
      <c r="R25" s="186">
        <f>'GS &gt; 50 OLS Model'!$B$6*E25</f>
        <v>15653110.232775768</v>
      </c>
      <c r="S25" s="186">
        <f>'GS &gt; 50 OLS Model'!$B$7*F25</f>
        <v>0</v>
      </c>
      <c r="T25" s="186">
        <f>'GS &gt; 50 OLS Model'!$B$8*G25</f>
        <v>29109667.234740593</v>
      </c>
      <c r="U25" s="186"/>
      <c r="V25" s="186">
        <f>'GS &gt; 50 OLS Model'!$B$9*I25</f>
        <v>0</v>
      </c>
      <c r="W25" s="186">
        <f>'GS &gt; 50 OLS Model'!$B$10*J25</f>
        <v>0</v>
      </c>
      <c r="X25" s="186">
        <f>'GS &gt; 50 OLS Model'!$B$11*K25</f>
        <v>0</v>
      </c>
      <c r="Y25" s="186">
        <f>'GS &gt; 50 OLS Model'!$B$12*L25</f>
        <v>0</v>
      </c>
      <c r="Z25" s="186">
        <v>0</v>
      </c>
      <c r="AA25" s="186">
        <f>'GS &gt; 50 OLS Model'!$B$13*N25</f>
        <v>34669572.13485463</v>
      </c>
      <c r="AB25" s="186">
        <f>'GS &gt; 50 OLS Model'!$B$14*O25</f>
        <v>13737248.956340911</v>
      </c>
      <c r="AC25">
        <f t="shared" si="5"/>
        <v>84661109.741290122</v>
      </c>
      <c r="AD25" s="24">
        <f t="shared" ca="1" si="6"/>
        <v>2.2699110719121902E-2</v>
      </c>
    </row>
    <row r="26" spans="1:30">
      <c r="A26" s="26">
        <f>'Monthly Data'!A26</f>
        <v>40544</v>
      </c>
      <c r="B26" s="154">
        <f t="shared" si="4"/>
        <v>1</v>
      </c>
      <c r="C26">
        <f t="shared" si="1"/>
        <v>2011</v>
      </c>
      <c r="D26">
        <f ca="1">'Monthly Data'!O26</f>
        <v>87926514.089346617</v>
      </c>
      <c r="E26">
        <f>'Monthly Data'!BH26</f>
        <v>703.59999999999991</v>
      </c>
      <c r="F26">
        <f>'Monthly Data'!BI26</f>
        <v>0</v>
      </c>
      <c r="G26">
        <f>'Monthly Data'!BL26</f>
        <v>570633.30000000005</v>
      </c>
      <c r="H26">
        <f>'Monthly Data'!BM26</f>
        <v>25</v>
      </c>
      <c r="I26">
        <f>'Monthly Data'!BQ26</f>
        <v>0</v>
      </c>
      <c r="J26">
        <f>'Monthly Data'!BS26</f>
        <v>0</v>
      </c>
      <c r="K26">
        <f>'Monthly Data'!BU26</f>
        <v>0</v>
      </c>
      <c r="L26">
        <f>'Monthly Data'!BV26</f>
        <v>0</v>
      </c>
      <c r="M26">
        <f>'Monthly Data'!BW26</f>
        <v>0</v>
      </c>
      <c r="N26">
        <f>'Monthly Data'!CC26</f>
        <v>31</v>
      </c>
      <c r="O26">
        <f>'Monthly Data'!CD26</f>
        <v>20</v>
      </c>
      <c r="Q26">
        <f>'GS &gt; 50 OLS Model'!$B$5</f>
        <v>-8508488.8174217809</v>
      </c>
      <c r="R26" s="186">
        <f>'GS &gt; 50 OLS Model'!$B$6*E26</f>
        <v>17059368.587021425</v>
      </c>
      <c r="S26" s="186">
        <f>'GS &gt; 50 OLS Model'!$B$7*F26</f>
        <v>0</v>
      </c>
      <c r="T26" s="186">
        <f>'GS &gt; 50 OLS Model'!$B$8*G26</f>
        <v>29880772.387603872</v>
      </c>
      <c r="U26" s="186"/>
      <c r="V26" s="186">
        <f>'GS &gt; 50 OLS Model'!$B$9*I26</f>
        <v>0</v>
      </c>
      <c r="W26" s="186">
        <f>'GS &gt; 50 OLS Model'!$B$10*J26</f>
        <v>0</v>
      </c>
      <c r="X26" s="186">
        <f>'GS &gt; 50 OLS Model'!$B$11*K26</f>
        <v>0</v>
      </c>
      <c r="Y26" s="186">
        <f>'GS &gt; 50 OLS Model'!$B$12*L26</f>
        <v>0</v>
      </c>
      <c r="Z26" s="186">
        <v>0</v>
      </c>
      <c r="AA26" s="186">
        <f>'GS &gt; 50 OLS Model'!$B$13*N26</f>
        <v>34669572.13485463</v>
      </c>
      <c r="AB26" s="186">
        <f>'GS &gt; 50 OLS Model'!$B$14*O26</f>
        <v>13083094.244134201</v>
      </c>
      <c r="AC26">
        <f t="shared" si="5"/>
        <v>86184318.536192343</v>
      </c>
      <c r="AD26" s="24">
        <f t="shared" ca="1" si="6"/>
        <v>1.9814222947402885E-2</v>
      </c>
    </row>
    <row r="27" spans="1:30">
      <c r="A27" s="26">
        <f>'Monthly Data'!A27</f>
        <v>40575</v>
      </c>
      <c r="B27" s="154">
        <f t="shared" si="4"/>
        <v>2</v>
      </c>
      <c r="C27">
        <f t="shared" si="1"/>
        <v>2011</v>
      </c>
      <c r="D27">
        <f ca="1">'Monthly Data'!O27</f>
        <v>79445566.339861631</v>
      </c>
      <c r="E27">
        <f>'Monthly Data'!BH27</f>
        <v>583.20000000000005</v>
      </c>
      <c r="F27">
        <f>'Monthly Data'!BI27</f>
        <v>0</v>
      </c>
      <c r="G27">
        <f>'Monthly Data'!BL27</f>
        <v>570633.30000000005</v>
      </c>
      <c r="H27">
        <f>'Monthly Data'!BM27</f>
        <v>26</v>
      </c>
      <c r="I27">
        <f>'Monthly Data'!BQ27</f>
        <v>0</v>
      </c>
      <c r="J27">
        <f>'Monthly Data'!BS27</f>
        <v>0</v>
      </c>
      <c r="K27">
        <f>'Monthly Data'!BU27</f>
        <v>0</v>
      </c>
      <c r="L27">
        <f>'Monthly Data'!BV27</f>
        <v>0</v>
      </c>
      <c r="M27">
        <f>'Monthly Data'!BW27</f>
        <v>0</v>
      </c>
      <c r="N27">
        <f>'Monthly Data'!CC27</f>
        <v>28</v>
      </c>
      <c r="O27">
        <f>'Monthly Data'!CD27</f>
        <v>19</v>
      </c>
      <c r="Q27">
        <f>'GS &gt; 50 OLS Model'!$B$5</f>
        <v>-8508488.8174217809</v>
      </c>
      <c r="R27" s="186">
        <f>'GS &gt; 50 OLS Model'!$B$6*E27</f>
        <v>14140170.210276999</v>
      </c>
      <c r="S27" s="186">
        <f>'GS &gt; 50 OLS Model'!$B$7*F27</f>
        <v>0</v>
      </c>
      <c r="T27" s="186">
        <f>'GS &gt; 50 OLS Model'!$B$8*G27</f>
        <v>29880772.387603872</v>
      </c>
      <c r="U27" s="186"/>
      <c r="V27" s="186">
        <f>'GS &gt; 50 OLS Model'!$B$9*I27</f>
        <v>0</v>
      </c>
      <c r="W27" s="186">
        <f>'GS &gt; 50 OLS Model'!$B$10*J27</f>
        <v>0</v>
      </c>
      <c r="X27" s="186">
        <f>'GS &gt; 50 OLS Model'!$B$11*K27</f>
        <v>0</v>
      </c>
      <c r="Y27" s="186">
        <f>'GS &gt; 50 OLS Model'!$B$12*L27</f>
        <v>0</v>
      </c>
      <c r="Z27" s="186">
        <v>0</v>
      </c>
      <c r="AA27" s="186">
        <f>'GS &gt; 50 OLS Model'!$B$13*N27</f>
        <v>31314452.250836439</v>
      </c>
      <c r="AB27" s="186">
        <f>'GS &gt; 50 OLS Model'!$B$14*O27</f>
        <v>12428939.531927491</v>
      </c>
      <c r="AC27">
        <f t="shared" si="5"/>
        <v>79255845.563223019</v>
      </c>
      <c r="AD27" s="24">
        <f t="shared" ca="1" si="6"/>
        <v>2.3880599683436354E-3</v>
      </c>
    </row>
    <row r="28" spans="1:30">
      <c r="A28" s="26">
        <f>'Monthly Data'!A28</f>
        <v>40603</v>
      </c>
      <c r="B28" s="154">
        <f t="shared" si="4"/>
        <v>3</v>
      </c>
      <c r="C28">
        <f t="shared" si="1"/>
        <v>2011</v>
      </c>
      <c r="D28">
        <f ca="1">'Monthly Data'!O28</f>
        <v>83484642.099464625</v>
      </c>
      <c r="E28">
        <f>'Monthly Data'!BH28</f>
        <v>514.30000000000007</v>
      </c>
      <c r="F28">
        <f>'Monthly Data'!BI28</f>
        <v>0</v>
      </c>
      <c r="G28">
        <f>'Monthly Data'!BL28</f>
        <v>570633.30000000005</v>
      </c>
      <c r="H28">
        <f>'Monthly Data'!BM28</f>
        <v>27</v>
      </c>
      <c r="I28">
        <f>'Monthly Data'!BQ28</f>
        <v>0</v>
      </c>
      <c r="J28">
        <f>'Monthly Data'!BS28</f>
        <v>0</v>
      </c>
      <c r="K28">
        <f>'Monthly Data'!BU28</f>
        <v>0</v>
      </c>
      <c r="L28">
        <f>'Monthly Data'!BV28</f>
        <v>0</v>
      </c>
      <c r="M28">
        <f>'Monthly Data'!BW28</f>
        <v>0</v>
      </c>
      <c r="N28">
        <f>'Monthly Data'!CC28</f>
        <v>31</v>
      </c>
      <c r="O28">
        <f>'Monthly Data'!CD28</f>
        <v>23</v>
      </c>
      <c r="Q28">
        <f>'GS &gt; 50 OLS Model'!$B$5</f>
        <v>-8508488.8174217809</v>
      </c>
      <c r="R28" s="186">
        <f>'GS &gt; 50 OLS Model'!$B$6*E28</f>
        <v>12469632.268767936</v>
      </c>
      <c r="S28" s="186">
        <f>'GS &gt; 50 OLS Model'!$B$7*F28</f>
        <v>0</v>
      </c>
      <c r="T28" s="186">
        <f>'GS &gt; 50 OLS Model'!$B$8*G28</f>
        <v>29880772.387603872</v>
      </c>
      <c r="U28" s="186"/>
      <c r="V28" s="186">
        <f>'GS &gt; 50 OLS Model'!$B$9*I28</f>
        <v>0</v>
      </c>
      <c r="W28" s="186">
        <f>'GS &gt; 50 OLS Model'!$B$10*J28</f>
        <v>0</v>
      </c>
      <c r="X28" s="186">
        <f>'GS &gt; 50 OLS Model'!$B$11*K28</f>
        <v>0</v>
      </c>
      <c r="Y28" s="186">
        <f>'GS &gt; 50 OLS Model'!$B$12*L28</f>
        <v>0</v>
      </c>
      <c r="Z28" s="186">
        <v>0</v>
      </c>
      <c r="AA28" s="186">
        <f>'GS &gt; 50 OLS Model'!$B$13*N28</f>
        <v>34669572.13485463</v>
      </c>
      <c r="AB28" s="186">
        <f>'GS &gt; 50 OLS Model'!$B$14*O28</f>
        <v>15045558.380754331</v>
      </c>
      <c r="AC28">
        <f t="shared" si="5"/>
        <v>83557046.354558989</v>
      </c>
      <c r="AD28" s="24">
        <f t="shared" ca="1" si="6"/>
        <v>8.6727634297217165E-4</v>
      </c>
    </row>
    <row r="29" spans="1:30">
      <c r="A29" s="26">
        <f>'Monthly Data'!A29</f>
        <v>40634</v>
      </c>
      <c r="B29" s="154">
        <f t="shared" si="4"/>
        <v>4</v>
      </c>
      <c r="C29">
        <f t="shared" si="1"/>
        <v>2011</v>
      </c>
      <c r="D29">
        <f ca="1">'Monthly Data'!O29</f>
        <v>73145108.283973634</v>
      </c>
      <c r="E29">
        <f>'Monthly Data'!BH29</f>
        <v>278.59999999999985</v>
      </c>
      <c r="F29">
        <f>'Monthly Data'!BI29</f>
        <v>0.5</v>
      </c>
      <c r="G29">
        <f>'Monthly Data'!BL29</f>
        <v>570633.30000000005</v>
      </c>
      <c r="H29">
        <f>'Monthly Data'!BM29</f>
        <v>28</v>
      </c>
      <c r="I29">
        <f>'Monthly Data'!BQ29</f>
        <v>1</v>
      </c>
      <c r="J29">
        <f>'Monthly Data'!BS29</f>
        <v>0</v>
      </c>
      <c r="K29">
        <f>'Monthly Data'!BU29</f>
        <v>0</v>
      </c>
      <c r="L29">
        <f>'Monthly Data'!BV29</f>
        <v>0</v>
      </c>
      <c r="M29">
        <f>'Monthly Data'!BW29</f>
        <v>0</v>
      </c>
      <c r="N29">
        <f>'Monthly Data'!CC29</f>
        <v>30</v>
      </c>
      <c r="O29">
        <f>'Monthly Data'!CD29</f>
        <v>19</v>
      </c>
      <c r="Q29">
        <f>'GS &gt; 50 OLS Model'!$B$5</f>
        <v>-8508488.8174217809</v>
      </c>
      <c r="R29" s="186">
        <f>'GS &gt; 50 OLS Model'!$B$6*E29</f>
        <v>6754889.2671179175</v>
      </c>
      <c r="S29" s="186">
        <f>'GS &gt; 50 OLS Model'!$B$7*F29</f>
        <v>35693.803514692998</v>
      </c>
      <c r="T29" s="186">
        <f>'GS &gt; 50 OLS Model'!$B$8*G29</f>
        <v>29880772.387603872</v>
      </c>
      <c r="U29" s="186"/>
      <c r="V29" s="186">
        <f>'GS &gt; 50 OLS Model'!$B$9*I29</f>
        <v>-1670359.8066300801</v>
      </c>
      <c r="W29" s="186">
        <f>'GS &gt; 50 OLS Model'!$B$10*J29</f>
        <v>0</v>
      </c>
      <c r="X29" s="186">
        <f>'GS &gt; 50 OLS Model'!$B$11*K29</f>
        <v>0</v>
      </c>
      <c r="Y29" s="186">
        <f>'GS &gt; 50 OLS Model'!$B$12*L29</f>
        <v>0</v>
      </c>
      <c r="Z29" s="186">
        <v>0</v>
      </c>
      <c r="AA29" s="186">
        <f>'GS &gt; 50 OLS Model'!$B$13*N29</f>
        <v>33551198.840181898</v>
      </c>
      <c r="AB29" s="186">
        <f>'GS &gt; 50 OLS Model'!$B$14*O29</f>
        <v>12428939.531927491</v>
      </c>
      <c r="AC29">
        <f t="shared" si="5"/>
        <v>72472645.206294015</v>
      </c>
      <c r="AD29" s="24">
        <f t="shared" ca="1" si="6"/>
        <v>9.1935481873769865E-3</v>
      </c>
    </row>
    <row r="30" spans="1:30">
      <c r="A30" s="26">
        <f>'Monthly Data'!A30</f>
        <v>40664</v>
      </c>
      <c r="B30" s="154">
        <f t="shared" si="4"/>
        <v>5</v>
      </c>
      <c r="C30">
        <f t="shared" si="1"/>
        <v>2011</v>
      </c>
      <c r="D30">
        <f ca="1">'Monthly Data'!O30</f>
        <v>74301939.895448625</v>
      </c>
      <c r="E30">
        <f>'Monthly Data'!BH30</f>
        <v>105.20000000000003</v>
      </c>
      <c r="F30">
        <f>'Monthly Data'!BI30</f>
        <v>37.200000000000003</v>
      </c>
      <c r="G30">
        <f>'Monthly Data'!BL30</f>
        <v>570633.30000000005</v>
      </c>
      <c r="H30">
        <f>'Monthly Data'!BM30</f>
        <v>29</v>
      </c>
      <c r="I30">
        <f>'Monthly Data'!BQ30</f>
        <v>0</v>
      </c>
      <c r="J30">
        <f>'Monthly Data'!BS30</f>
        <v>0</v>
      </c>
      <c r="K30">
        <f>'Monthly Data'!BU30</f>
        <v>0</v>
      </c>
      <c r="L30">
        <f>'Monthly Data'!BV30</f>
        <v>0</v>
      </c>
      <c r="M30">
        <f>'Monthly Data'!BW30</f>
        <v>0</v>
      </c>
      <c r="N30">
        <f>'Monthly Data'!CC30</f>
        <v>31</v>
      </c>
      <c r="O30">
        <f>'Monthly Data'!CD30</f>
        <v>21</v>
      </c>
      <c r="Q30">
        <f>'GS &gt; 50 OLS Model'!$B$5</f>
        <v>-8508488.8174217809</v>
      </c>
      <c r="R30" s="186">
        <f>'GS &gt; 50 OLS Model'!$B$6*E30</f>
        <v>2550661.704597292</v>
      </c>
      <c r="S30" s="186">
        <f>'GS &gt; 50 OLS Model'!$B$7*F30</f>
        <v>2655618.9814931592</v>
      </c>
      <c r="T30" s="186">
        <f>'GS &gt; 50 OLS Model'!$B$8*G30</f>
        <v>29880772.387603872</v>
      </c>
      <c r="U30" s="186"/>
      <c r="V30" s="186">
        <f>'GS &gt; 50 OLS Model'!$B$9*I30</f>
        <v>0</v>
      </c>
      <c r="W30" s="186">
        <f>'GS &gt; 50 OLS Model'!$B$10*J30</f>
        <v>0</v>
      </c>
      <c r="X30" s="186">
        <f>'GS &gt; 50 OLS Model'!$B$11*K30</f>
        <v>0</v>
      </c>
      <c r="Y30" s="186">
        <f>'GS &gt; 50 OLS Model'!$B$12*L30</f>
        <v>0</v>
      </c>
      <c r="Z30" s="186">
        <v>0</v>
      </c>
      <c r="AA30" s="186">
        <f>'GS &gt; 50 OLS Model'!$B$13*N30</f>
        <v>34669572.13485463</v>
      </c>
      <c r="AB30" s="186">
        <f>'GS &gt; 50 OLS Model'!$B$14*O30</f>
        <v>13737248.956340911</v>
      </c>
      <c r="AC30">
        <f t="shared" si="5"/>
        <v>74985385.347468078</v>
      </c>
      <c r="AD30" s="24">
        <f t="shared" ca="1" si="6"/>
        <v>9.1982181485589665E-3</v>
      </c>
    </row>
    <row r="31" spans="1:30">
      <c r="A31" s="26">
        <f>'Monthly Data'!A31</f>
        <v>40695</v>
      </c>
      <c r="B31" s="154">
        <f t="shared" si="4"/>
        <v>6</v>
      </c>
      <c r="C31">
        <f t="shared" si="1"/>
        <v>2011</v>
      </c>
      <c r="D31">
        <f ca="1">'Monthly Data'!O31</f>
        <v>79491543.190818623</v>
      </c>
      <c r="E31">
        <f>'Monthly Data'!BH31</f>
        <v>7.6000000000000005</v>
      </c>
      <c r="F31">
        <f>'Monthly Data'!BI31</f>
        <v>115.89999999999998</v>
      </c>
      <c r="G31">
        <f>'Monthly Data'!BL31</f>
        <v>570633.30000000005</v>
      </c>
      <c r="H31">
        <f>'Monthly Data'!BM31</f>
        <v>30</v>
      </c>
      <c r="I31">
        <f>'Monthly Data'!BQ31</f>
        <v>0</v>
      </c>
      <c r="J31">
        <f>'Monthly Data'!BS31</f>
        <v>1</v>
      </c>
      <c r="K31">
        <f>'Monthly Data'!BU31</f>
        <v>0</v>
      </c>
      <c r="L31">
        <f>'Monthly Data'!BV31</f>
        <v>0</v>
      </c>
      <c r="M31">
        <f>'Monthly Data'!BW31</f>
        <v>0</v>
      </c>
      <c r="N31">
        <f>'Monthly Data'!CC31</f>
        <v>30</v>
      </c>
      <c r="O31">
        <f>'Monthly Data'!CD31</f>
        <v>22</v>
      </c>
      <c r="Q31">
        <f>'GS &gt; 50 OLS Model'!$B$5</f>
        <v>-8508488.8174217809</v>
      </c>
      <c r="R31" s="186">
        <f>'GS &gt; 50 OLS Model'!$B$6*E31</f>
        <v>184268.33607356856</v>
      </c>
      <c r="S31" s="186">
        <f>'GS &gt; 50 OLS Model'!$B$7*F31</f>
        <v>8273823.6547058355</v>
      </c>
      <c r="T31" s="186">
        <f>'GS &gt; 50 OLS Model'!$B$8*G31</f>
        <v>29880772.387603872</v>
      </c>
      <c r="U31" s="186"/>
      <c r="V31" s="186">
        <f>'GS &gt; 50 OLS Model'!$B$9*I31</f>
        <v>0</v>
      </c>
      <c r="W31" s="186">
        <f>'GS &gt; 50 OLS Model'!$B$10*J31</f>
        <v>1244451.2383117899</v>
      </c>
      <c r="X31" s="186">
        <f>'GS &gt; 50 OLS Model'!$B$11*K31</f>
        <v>0</v>
      </c>
      <c r="Y31" s="186">
        <f>'GS &gt; 50 OLS Model'!$B$12*L31</f>
        <v>0</v>
      </c>
      <c r="Z31" s="186">
        <v>0</v>
      </c>
      <c r="AA31" s="186">
        <f>'GS &gt; 50 OLS Model'!$B$13*N31</f>
        <v>33551198.840181898</v>
      </c>
      <c r="AB31" s="186">
        <f>'GS &gt; 50 OLS Model'!$B$14*O31</f>
        <v>14391403.668547621</v>
      </c>
      <c r="AC31">
        <f t="shared" si="5"/>
        <v>79017429.3080028</v>
      </c>
      <c r="AD31" s="24">
        <f t="shared" ca="1" si="6"/>
        <v>5.9643310946639631E-3</v>
      </c>
    </row>
    <row r="32" spans="1:30">
      <c r="A32" s="26">
        <f>'Monthly Data'!A32</f>
        <v>40725</v>
      </c>
      <c r="B32" s="154">
        <f t="shared" si="4"/>
        <v>7</v>
      </c>
      <c r="C32">
        <f t="shared" si="1"/>
        <v>2011</v>
      </c>
      <c r="D32">
        <f ca="1">'Monthly Data'!O32</f>
        <v>85669531.856941611</v>
      </c>
      <c r="E32">
        <f>'Monthly Data'!BH32</f>
        <v>0</v>
      </c>
      <c r="F32">
        <f>'Monthly Data'!BI32</f>
        <v>255.50000000000006</v>
      </c>
      <c r="G32">
        <f>'Monthly Data'!BL32</f>
        <v>570633.30000000005</v>
      </c>
      <c r="H32">
        <f>'Monthly Data'!BM32</f>
        <v>31</v>
      </c>
      <c r="I32">
        <f>'Monthly Data'!BQ32</f>
        <v>0</v>
      </c>
      <c r="J32">
        <f>'Monthly Data'!BS32</f>
        <v>0</v>
      </c>
      <c r="K32">
        <f>'Monthly Data'!BU32</f>
        <v>0</v>
      </c>
      <c r="L32">
        <f>'Monthly Data'!BV32</f>
        <v>0</v>
      </c>
      <c r="M32">
        <f>'Monthly Data'!BW32</f>
        <v>0</v>
      </c>
      <c r="N32">
        <f>'Monthly Data'!CC32</f>
        <v>31</v>
      </c>
      <c r="O32">
        <f>'Monthly Data'!CD32</f>
        <v>20</v>
      </c>
      <c r="Q32">
        <f>'GS &gt; 50 OLS Model'!$B$5</f>
        <v>-8508488.8174217809</v>
      </c>
      <c r="R32" s="186">
        <f>'GS &gt; 50 OLS Model'!$B$6*E32</f>
        <v>0</v>
      </c>
      <c r="S32" s="186">
        <f>'GS &gt; 50 OLS Model'!$B$7*F32</f>
        <v>18239533.596008126</v>
      </c>
      <c r="T32" s="186">
        <f>'GS &gt; 50 OLS Model'!$B$8*G32</f>
        <v>29880772.387603872</v>
      </c>
      <c r="U32" s="186"/>
      <c r="V32" s="186">
        <f>'GS &gt; 50 OLS Model'!$B$9*I32</f>
        <v>0</v>
      </c>
      <c r="W32" s="186">
        <f>'GS &gt; 50 OLS Model'!$B$10*J32</f>
        <v>0</v>
      </c>
      <c r="X32" s="186">
        <f>'GS &gt; 50 OLS Model'!$B$11*K32</f>
        <v>0</v>
      </c>
      <c r="Y32" s="186">
        <f>'GS &gt; 50 OLS Model'!$B$12*L32</f>
        <v>0</v>
      </c>
      <c r="Z32" s="186">
        <v>0</v>
      </c>
      <c r="AA32" s="186">
        <f>'GS &gt; 50 OLS Model'!$B$13*N32</f>
        <v>34669572.13485463</v>
      </c>
      <c r="AB32" s="186">
        <f>'GS &gt; 50 OLS Model'!$B$14*O32</f>
        <v>13083094.244134201</v>
      </c>
      <c r="AC32">
        <f t="shared" si="5"/>
        <v>87364483.545179054</v>
      </c>
      <c r="AD32" s="24">
        <f t="shared" ca="1" si="6"/>
        <v>1.9784766550000769E-2</v>
      </c>
    </row>
    <row r="33" spans="1:30">
      <c r="A33" s="26">
        <f>'Monthly Data'!A33</f>
        <v>40756</v>
      </c>
      <c r="B33" s="154">
        <f t="shared" si="4"/>
        <v>8</v>
      </c>
      <c r="C33">
        <f t="shared" si="1"/>
        <v>2011</v>
      </c>
      <c r="D33">
        <f ca="1">'Monthly Data'!O33</f>
        <v>85461087.222262934</v>
      </c>
      <c r="E33">
        <f>'Monthly Data'!BH33</f>
        <v>0</v>
      </c>
      <c r="F33">
        <f>'Monthly Data'!BI33</f>
        <v>159.50000000000003</v>
      </c>
      <c r="G33">
        <f>'Monthly Data'!BL33</f>
        <v>570633.30000000005</v>
      </c>
      <c r="H33">
        <f>'Monthly Data'!BM33</f>
        <v>32</v>
      </c>
      <c r="I33">
        <f>'Monthly Data'!BQ33</f>
        <v>0</v>
      </c>
      <c r="J33">
        <f>'Monthly Data'!BS33</f>
        <v>0</v>
      </c>
      <c r="K33">
        <f>'Monthly Data'!BU33</f>
        <v>1</v>
      </c>
      <c r="L33">
        <f>'Monthly Data'!BV33</f>
        <v>0</v>
      </c>
      <c r="M33">
        <f>'Monthly Data'!BW33</f>
        <v>0</v>
      </c>
      <c r="N33">
        <f>'Monthly Data'!CC33</f>
        <v>31</v>
      </c>
      <c r="O33">
        <f>'Monthly Data'!CD33</f>
        <v>22</v>
      </c>
      <c r="Q33">
        <f>'GS &gt; 50 OLS Model'!$B$5</f>
        <v>-8508488.8174217809</v>
      </c>
      <c r="R33" s="186">
        <f>'GS &gt; 50 OLS Model'!$B$6*E33</f>
        <v>0</v>
      </c>
      <c r="S33" s="186">
        <f>'GS &gt; 50 OLS Model'!$B$7*F33</f>
        <v>11386323.321187068</v>
      </c>
      <c r="T33" s="186">
        <f>'GS &gt; 50 OLS Model'!$B$8*G33</f>
        <v>29880772.387603872</v>
      </c>
      <c r="U33" s="186"/>
      <c r="V33" s="186">
        <f>'GS &gt; 50 OLS Model'!$B$9*I33</f>
        <v>0</v>
      </c>
      <c r="W33" s="186">
        <f>'GS &gt; 50 OLS Model'!$B$10*J33</f>
        <v>0</v>
      </c>
      <c r="X33" s="186">
        <f>'GS &gt; 50 OLS Model'!$B$11*K33</f>
        <v>2505717.0713192602</v>
      </c>
      <c r="Y33" s="186">
        <f>'GS &gt; 50 OLS Model'!$B$12*L33</f>
        <v>0</v>
      </c>
      <c r="Z33" s="186">
        <v>0</v>
      </c>
      <c r="AA33" s="186">
        <f>'GS &gt; 50 OLS Model'!$B$13*N33</f>
        <v>34669572.13485463</v>
      </c>
      <c r="AB33" s="186">
        <f>'GS &gt; 50 OLS Model'!$B$14*O33</f>
        <v>14391403.668547621</v>
      </c>
      <c r="AC33">
        <f t="shared" si="5"/>
        <v>84325299.766090661</v>
      </c>
      <c r="AD33" s="24">
        <f t="shared" ca="1" si="6"/>
        <v>1.3290112413599106E-2</v>
      </c>
    </row>
    <row r="34" spans="1:30">
      <c r="A34" s="26">
        <f>'Monthly Data'!A34</f>
        <v>40787</v>
      </c>
      <c r="B34" s="154">
        <f t="shared" si="4"/>
        <v>9</v>
      </c>
      <c r="C34">
        <f t="shared" si="1"/>
        <v>2011</v>
      </c>
      <c r="D34">
        <f ca="1">'Monthly Data'!O34</f>
        <v>75648608.630284414</v>
      </c>
      <c r="E34">
        <f>'Monthly Data'!BH34</f>
        <v>51.4</v>
      </c>
      <c r="F34">
        <f>'Monthly Data'!BI34</f>
        <v>60.199999999999989</v>
      </c>
      <c r="G34">
        <f>'Monthly Data'!BL34</f>
        <v>570633.30000000005</v>
      </c>
      <c r="H34">
        <f>'Monthly Data'!BM34</f>
        <v>33</v>
      </c>
      <c r="I34">
        <f>'Monthly Data'!BQ34</f>
        <v>0</v>
      </c>
      <c r="J34">
        <f>'Monthly Data'!BS34</f>
        <v>0</v>
      </c>
      <c r="K34">
        <f>'Monthly Data'!BU34</f>
        <v>0</v>
      </c>
      <c r="L34">
        <f>'Monthly Data'!BV34</f>
        <v>1</v>
      </c>
      <c r="M34">
        <f>'Monthly Data'!BW34</f>
        <v>0</v>
      </c>
      <c r="N34">
        <f>'Monthly Data'!CC34</f>
        <v>30</v>
      </c>
      <c r="O34">
        <f>'Monthly Data'!CD34</f>
        <v>21</v>
      </c>
      <c r="Q34">
        <f>'GS &gt; 50 OLS Model'!$B$5</f>
        <v>-8508488.8174217809</v>
      </c>
      <c r="R34" s="186">
        <f>'GS &gt; 50 OLS Model'!$B$6*E34</f>
        <v>1246235.8518659768</v>
      </c>
      <c r="S34" s="186">
        <f>'GS &gt; 50 OLS Model'!$B$7*F34</f>
        <v>4297533.9431690359</v>
      </c>
      <c r="T34" s="186">
        <f>'GS &gt; 50 OLS Model'!$B$8*G34</f>
        <v>29880772.387603872</v>
      </c>
      <c r="U34" s="186"/>
      <c r="V34" s="186">
        <f>'GS &gt; 50 OLS Model'!$B$9*I34</f>
        <v>0</v>
      </c>
      <c r="W34" s="186">
        <f>'GS &gt; 50 OLS Model'!$B$10*J34</f>
        <v>0</v>
      </c>
      <c r="X34" s="186">
        <f>'GS &gt; 50 OLS Model'!$B$11*K34</f>
        <v>0</v>
      </c>
      <c r="Y34" s="186">
        <f>'GS &gt; 50 OLS Model'!$B$12*L34</f>
        <v>2345350.8919449002</v>
      </c>
      <c r="Z34" s="186">
        <v>0</v>
      </c>
      <c r="AA34" s="186">
        <f>'GS &gt; 50 OLS Model'!$B$13*N34</f>
        <v>33551198.840181898</v>
      </c>
      <c r="AB34" s="186">
        <f>'GS &gt; 50 OLS Model'!$B$14*O34</f>
        <v>13737248.956340911</v>
      </c>
      <c r="AC34">
        <f t="shared" si="5"/>
        <v>76549852.053684816</v>
      </c>
      <c r="AD34" s="24">
        <f t="shared" ca="1" si="6"/>
        <v>1.191354923399883E-2</v>
      </c>
    </row>
    <row r="35" spans="1:30">
      <c r="A35" s="26">
        <f>'Monthly Data'!A35</f>
        <v>40817</v>
      </c>
      <c r="B35" s="154">
        <f t="shared" si="4"/>
        <v>10</v>
      </c>
      <c r="C35">
        <f t="shared" si="1"/>
        <v>2011</v>
      </c>
      <c r="D35">
        <f ca="1">'Monthly Data'!O35</f>
        <v>74971165.15079917</v>
      </c>
      <c r="E35">
        <f>'Monthly Data'!BH35</f>
        <v>185.29999999999998</v>
      </c>
      <c r="F35">
        <f>'Monthly Data'!BI35</f>
        <v>2.6999999999999997</v>
      </c>
      <c r="G35">
        <f>'Monthly Data'!BL35</f>
        <v>570633.30000000005</v>
      </c>
      <c r="H35">
        <f>'Monthly Data'!BM35</f>
        <v>34</v>
      </c>
      <c r="I35">
        <f>'Monthly Data'!BQ35</f>
        <v>0</v>
      </c>
      <c r="J35">
        <f>'Monthly Data'!BS35</f>
        <v>0</v>
      </c>
      <c r="K35">
        <f>'Monthly Data'!BU35</f>
        <v>0</v>
      </c>
      <c r="L35">
        <f>'Monthly Data'!BV35</f>
        <v>0</v>
      </c>
      <c r="M35">
        <f>'Monthly Data'!BW35</f>
        <v>1</v>
      </c>
      <c r="N35">
        <f>'Monthly Data'!CC35</f>
        <v>31</v>
      </c>
      <c r="O35">
        <f>'Monthly Data'!CD35</f>
        <v>20</v>
      </c>
      <c r="Q35">
        <f>'GS &gt; 50 OLS Model'!$B$5</f>
        <v>-8508488.8174217809</v>
      </c>
      <c r="R35" s="186">
        <f>'GS &gt; 50 OLS Model'!$B$6*E35</f>
        <v>4492752.9834779277</v>
      </c>
      <c r="S35" s="186">
        <f>'GS &gt; 50 OLS Model'!$B$7*F35</f>
        <v>192746.53897934218</v>
      </c>
      <c r="T35" s="186">
        <f>'GS &gt; 50 OLS Model'!$B$8*G35</f>
        <v>29880772.387603872</v>
      </c>
      <c r="U35" s="186"/>
      <c r="V35" s="186">
        <f>'GS &gt; 50 OLS Model'!$B$9*I35</f>
        <v>0</v>
      </c>
      <c r="W35" s="186">
        <f>'GS &gt; 50 OLS Model'!$B$10*J35</f>
        <v>0</v>
      </c>
      <c r="X35" s="186">
        <f>'GS &gt; 50 OLS Model'!$B$11*K35</f>
        <v>0</v>
      </c>
      <c r="Y35" s="186">
        <f>'GS &gt; 50 OLS Model'!$B$12*L35</f>
        <v>0</v>
      </c>
      <c r="Z35" s="186">
        <v>0</v>
      </c>
      <c r="AA35" s="186">
        <f>'GS &gt; 50 OLS Model'!$B$13*N35</f>
        <v>34669572.13485463</v>
      </c>
      <c r="AB35" s="186">
        <f>'GS &gt; 50 OLS Model'!$B$14*O35</f>
        <v>13083094.244134201</v>
      </c>
      <c r="AC35">
        <f t="shared" si="5"/>
        <v>73810449.471628189</v>
      </c>
      <c r="AD35" s="24">
        <f t="shared" ca="1" si="6"/>
        <v>1.5482161399469835E-2</v>
      </c>
    </row>
    <row r="36" spans="1:30">
      <c r="A36" s="26">
        <f>'Monthly Data'!A36</f>
        <v>40848</v>
      </c>
      <c r="B36" s="154">
        <f t="shared" si="4"/>
        <v>11</v>
      </c>
      <c r="C36">
        <f t="shared" si="1"/>
        <v>2011</v>
      </c>
      <c r="D36">
        <f ca="1">'Monthly Data'!O36</f>
        <v>75882976.979724109</v>
      </c>
      <c r="E36">
        <f>'Monthly Data'!BH36</f>
        <v>297.2999999999999</v>
      </c>
      <c r="F36">
        <f>'Monthly Data'!BI36</f>
        <v>0</v>
      </c>
      <c r="G36">
        <f>'Monthly Data'!BL36</f>
        <v>570633.30000000005</v>
      </c>
      <c r="H36">
        <f>'Monthly Data'!BM36</f>
        <v>35</v>
      </c>
      <c r="I36">
        <f>'Monthly Data'!BQ36</f>
        <v>0</v>
      </c>
      <c r="J36">
        <f>'Monthly Data'!BS36</f>
        <v>0</v>
      </c>
      <c r="K36">
        <f>'Monthly Data'!BU36</f>
        <v>0</v>
      </c>
      <c r="L36">
        <f>'Monthly Data'!BV36</f>
        <v>0</v>
      </c>
      <c r="M36">
        <f>'Monthly Data'!BW36</f>
        <v>0</v>
      </c>
      <c r="N36">
        <f>'Monthly Data'!CC36</f>
        <v>30</v>
      </c>
      <c r="O36">
        <f>'Monthly Data'!CD36</f>
        <v>22</v>
      </c>
      <c r="Q36">
        <f>'GS &gt; 50 OLS Model'!$B$5</f>
        <v>-8508488.8174217809</v>
      </c>
      <c r="R36" s="186">
        <f>'GS &gt; 50 OLS Model'!$B$6*E36</f>
        <v>7208286.357193673</v>
      </c>
      <c r="S36" s="186">
        <f>'GS &gt; 50 OLS Model'!$B$7*F36</f>
        <v>0</v>
      </c>
      <c r="T36" s="186">
        <f>'GS &gt; 50 OLS Model'!$B$8*G36</f>
        <v>29880772.387603872</v>
      </c>
      <c r="U36" s="186"/>
      <c r="V36" s="186">
        <f>'GS &gt; 50 OLS Model'!$B$9*I36</f>
        <v>0</v>
      </c>
      <c r="W36" s="186">
        <f>'GS &gt; 50 OLS Model'!$B$10*J36</f>
        <v>0</v>
      </c>
      <c r="X36" s="186">
        <f>'GS &gt; 50 OLS Model'!$B$11*K36</f>
        <v>0</v>
      </c>
      <c r="Y36" s="186">
        <f>'GS &gt; 50 OLS Model'!$B$12*L36</f>
        <v>0</v>
      </c>
      <c r="Z36" s="186">
        <v>0</v>
      </c>
      <c r="AA36" s="186">
        <f>'GS &gt; 50 OLS Model'!$B$13*N36</f>
        <v>33551198.840181898</v>
      </c>
      <c r="AB36" s="186">
        <f>'GS &gt; 50 OLS Model'!$B$14*O36</f>
        <v>14391403.668547621</v>
      </c>
      <c r="AC36">
        <f t="shared" si="5"/>
        <v>76523172.436105281</v>
      </c>
      <c r="AD36" s="24">
        <f t="shared" ca="1" si="6"/>
        <v>8.4366149281706725E-3</v>
      </c>
    </row>
    <row r="37" spans="1:30">
      <c r="A37" s="26">
        <f>'Monthly Data'!A37</f>
        <v>40878</v>
      </c>
      <c r="B37" s="154">
        <f t="shared" si="4"/>
        <v>12</v>
      </c>
      <c r="C37">
        <f t="shared" si="1"/>
        <v>2011</v>
      </c>
      <c r="D37">
        <f ca="1">'Monthly Data'!O37</f>
        <v>79287692.662937596</v>
      </c>
      <c r="E37">
        <f>'Monthly Data'!BH37</f>
        <v>485.4</v>
      </c>
      <c r="F37">
        <f>'Monthly Data'!BI37</f>
        <v>0</v>
      </c>
      <c r="G37">
        <f>'Monthly Data'!BL37</f>
        <v>570633.30000000005</v>
      </c>
      <c r="H37">
        <f>'Monthly Data'!BM37</f>
        <v>36</v>
      </c>
      <c r="I37">
        <f>'Monthly Data'!BQ37</f>
        <v>0</v>
      </c>
      <c r="J37">
        <f>'Monthly Data'!BS37</f>
        <v>0</v>
      </c>
      <c r="K37">
        <f>'Monthly Data'!BU37</f>
        <v>0</v>
      </c>
      <c r="L37">
        <f>'Monthly Data'!BV37</f>
        <v>0</v>
      </c>
      <c r="M37">
        <f>'Monthly Data'!BW37</f>
        <v>0</v>
      </c>
      <c r="N37">
        <f>'Monthly Data'!CC37</f>
        <v>31</v>
      </c>
      <c r="O37">
        <f>'Monthly Data'!CD37</f>
        <v>20</v>
      </c>
      <c r="Q37">
        <f>'GS &gt; 50 OLS Model'!$B$5</f>
        <v>-8508488.8174217809</v>
      </c>
      <c r="R37" s="186">
        <f>'GS &gt; 50 OLS Model'!$B$6*E37</f>
        <v>11768927.675014496</v>
      </c>
      <c r="S37" s="186">
        <f>'GS &gt; 50 OLS Model'!$B$7*F37</f>
        <v>0</v>
      </c>
      <c r="T37" s="186">
        <f>'GS &gt; 50 OLS Model'!$B$8*G37</f>
        <v>29880772.387603872</v>
      </c>
      <c r="U37" s="186"/>
      <c r="V37" s="186">
        <f>'GS &gt; 50 OLS Model'!$B$9*I37</f>
        <v>0</v>
      </c>
      <c r="W37" s="186">
        <f>'GS &gt; 50 OLS Model'!$B$10*J37</f>
        <v>0</v>
      </c>
      <c r="X37" s="186">
        <f>'GS &gt; 50 OLS Model'!$B$11*K37</f>
        <v>0</v>
      </c>
      <c r="Y37" s="186">
        <f>'GS &gt; 50 OLS Model'!$B$12*L37</f>
        <v>0</v>
      </c>
      <c r="Z37" s="186">
        <v>0</v>
      </c>
      <c r="AA37" s="186">
        <f>'GS &gt; 50 OLS Model'!$B$13*N37</f>
        <v>34669572.13485463</v>
      </c>
      <c r="AB37" s="186">
        <f>'GS &gt; 50 OLS Model'!$B$14*O37</f>
        <v>13083094.244134201</v>
      </c>
      <c r="AC37">
        <f t="shared" si="5"/>
        <v>80893877.624185428</v>
      </c>
      <c r="AD37" s="24">
        <f t="shared" ca="1" si="6"/>
        <v>2.0257683220470734E-2</v>
      </c>
    </row>
    <row r="38" spans="1:30">
      <c r="A38" s="26">
        <f>'Monthly Data'!A38</f>
        <v>40909</v>
      </c>
      <c r="B38" s="154">
        <f t="shared" si="4"/>
        <v>1</v>
      </c>
      <c r="C38">
        <f t="shared" si="1"/>
        <v>2012</v>
      </c>
      <c r="D38">
        <f ca="1">'Monthly Data'!O38</f>
        <v>83627865.943462819</v>
      </c>
      <c r="E38">
        <f>'Monthly Data'!BH38</f>
        <v>559.59999999999991</v>
      </c>
      <c r="F38">
        <f>'Monthly Data'!BI38</f>
        <v>0</v>
      </c>
      <c r="G38">
        <f>'Monthly Data'!BL38</f>
        <v>578793.9</v>
      </c>
      <c r="H38">
        <f>'Monthly Data'!BM38</f>
        <v>37</v>
      </c>
      <c r="I38">
        <f>'Monthly Data'!BQ38</f>
        <v>0</v>
      </c>
      <c r="J38">
        <f>'Monthly Data'!BS38</f>
        <v>0</v>
      </c>
      <c r="K38">
        <f>'Monthly Data'!BU38</f>
        <v>0</v>
      </c>
      <c r="L38">
        <f>'Monthly Data'!BV38</f>
        <v>0</v>
      </c>
      <c r="M38">
        <f>'Monthly Data'!BW38</f>
        <v>0</v>
      </c>
      <c r="N38">
        <f>'Monthly Data'!CC38</f>
        <v>31</v>
      </c>
      <c r="O38">
        <f>'Monthly Data'!CD38</f>
        <v>21</v>
      </c>
      <c r="Q38">
        <f>'GS &gt; 50 OLS Model'!$B$5</f>
        <v>-8508488.8174217809</v>
      </c>
      <c r="R38" s="186">
        <f>'GS &gt; 50 OLS Model'!$B$6*E38</f>
        <v>13567968.535101177</v>
      </c>
      <c r="S38" s="186">
        <f>'GS &gt; 50 OLS Model'!$B$7*F38</f>
        <v>0</v>
      </c>
      <c r="T38" s="186">
        <f>'GS &gt; 50 OLS Model'!$B$8*G38</f>
        <v>30308095.908937588</v>
      </c>
      <c r="U38" s="186"/>
      <c r="V38" s="186">
        <f>'GS &gt; 50 OLS Model'!$B$9*I38</f>
        <v>0</v>
      </c>
      <c r="W38" s="186">
        <f>'GS &gt; 50 OLS Model'!$B$10*J38</f>
        <v>0</v>
      </c>
      <c r="X38" s="186">
        <f>'GS &gt; 50 OLS Model'!$B$11*K38</f>
        <v>0</v>
      </c>
      <c r="Y38" s="186">
        <f>'GS &gt; 50 OLS Model'!$B$12*L38</f>
        <v>0</v>
      </c>
      <c r="Z38" s="186">
        <v>0</v>
      </c>
      <c r="AA38" s="186">
        <f>'GS &gt; 50 OLS Model'!$B$13*N38</f>
        <v>34669572.13485463</v>
      </c>
      <c r="AB38" s="186">
        <f>'GS &gt; 50 OLS Model'!$B$14*O38</f>
        <v>13737248.956340911</v>
      </c>
      <c r="AC38">
        <f t="shared" si="5"/>
        <v>83774396.717812523</v>
      </c>
      <c r="AD38" s="24">
        <f t="shared" ca="1" si="6"/>
        <v>1.7521764150811585E-3</v>
      </c>
    </row>
    <row r="39" spans="1:30">
      <c r="A39" s="26">
        <f>'Monthly Data'!A39</f>
        <v>40940</v>
      </c>
      <c r="B39" s="154">
        <f t="shared" si="4"/>
        <v>2</v>
      </c>
      <c r="C39">
        <f t="shared" si="1"/>
        <v>2012</v>
      </c>
      <c r="D39">
        <f ca="1">'Monthly Data'!O39</f>
        <v>78960983.658556581</v>
      </c>
      <c r="E39">
        <f>'Monthly Data'!BH39</f>
        <v>492.40000000000003</v>
      </c>
      <c r="F39">
        <f>'Monthly Data'!BI39</f>
        <v>0</v>
      </c>
      <c r="G39">
        <f>'Monthly Data'!BL39</f>
        <v>578793.9</v>
      </c>
      <c r="H39">
        <f>'Monthly Data'!BM39</f>
        <v>38</v>
      </c>
      <c r="I39">
        <f>'Monthly Data'!BQ39</f>
        <v>0</v>
      </c>
      <c r="J39">
        <f>'Monthly Data'!BS39</f>
        <v>0</v>
      </c>
      <c r="K39">
        <f>'Monthly Data'!BU39</f>
        <v>0</v>
      </c>
      <c r="L39">
        <f>'Monthly Data'!BV39</f>
        <v>0</v>
      </c>
      <c r="M39">
        <f>'Monthly Data'!BW39</f>
        <v>0</v>
      </c>
      <c r="N39">
        <f>'Monthly Data'!CC39</f>
        <v>29</v>
      </c>
      <c r="O39">
        <f>'Monthly Data'!CD39</f>
        <v>20</v>
      </c>
      <c r="Q39">
        <f>'GS &gt; 50 OLS Model'!$B$5</f>
        <v>-8508488.8174217809</v>
      </c>
      <c r="R39" s="186">
        <f>'GS &gt; 50 OLS Model'!$B$6*E39</f>
        <v>11938648.510871733</v>
      </c>
      <c r="S39" s="186">
        <f>'GS &gt; 50 OLS Model'!$B$7*F39</f>
        <v>0</v>
      </c>
      <c r="T39" s="186">
        <f>'GS &gt; 50 OLS Model'!$B$8*G39</f>
        <v>30308095.908937588</v>
      </c>
      <c r="U39" s="186"/>
      <c r="V39" s="186">
        <f>'GS &gt; 50 OLS Model'!$B$9*I39</f>
        <v>0</v>
      </c>
      <c r="W39" s="186">
        <f>'GS &gt; 50 OLS Model'!$B$10*J39</f>
        <v>0</v>
      </c>
      <c r="X39" s="186">
        <f>'GS &gt; 50 OLS Model'!$B$11*K39</f>
        <v>0</v>
      </c>
      <c r="Y39" s="186">
        <f>'GS &gt; 50 OLS Model'!$B$12*L39</f>
        <v>0</v>
      </c>
      <c r="Z39" s="186">
        <v>0</v>
      </c>
      <c r="AA39" s="186">
        <f>'GS &gt; 50 OLS Model'!$B$13*N39</f>
        <v>32432825.545509167</v>
      </c>
      <c r="AB39" s="186">
        <f>'GS &gt; 50 OLS Model'!$B$14*O39</f>
        <v>13083094.244134201</v>
      </c>
      <c r="AC39">
        <f t="shared" si="5"/>
        <v>79254175.39203091</v>
      </c>
      <c r="AD39" s="24">
        <f t="shared" ca="1" si="6"/>
        <v>3.713121593598049E-3</v>
      </c>
    </row>
    <row r="40" spans="1:30">
      <c r="A40" s="26">
        <f>'Monthly Data'!A40</f>
        <v>40969</v>
      </c>
      <c r="B40" s="154">
        <f t="shared" si="4"/>
        <v>3</v>
      </c>
      <c r="C40">
        <f t="shared" si="1"/>
        <v>2012</v>
      </c>
      <c r="D40">
        <f ca="1">'Monthly Data'!O40</f>
        <v>78967146.21412468</v>
      </c>
      <c r="E40">
        <f>'Monthly Data'!BH40</f>
        <v>250.79999999999995</v>
      </c>
      <c r="F40">
        <f>'Monthly Data'!BI40</f>
        <v>4.8</v>
      </c>
      <c r="G40">
        <f>'Monthly Data'!BL40</f>
        <v>578793.9</v>
      </c>
      <c r="H40">
        <f>'Monthly Data'!BM40</f>
        <v>39</v>
      </c>
      <c r="I40">
        <f>'Monthly Data'!BQ40</f>
        <v>0</v>
      </c>
      <c r="J40">
        <f>'Monthly Data'!BS40</f>
        <v>0</v>
      </c>
      <c r="K40">
        <f>'Monthly Data'!BU40</f>
        <v>0</v>
      </c>
      <c r="L40">
        <f>'Monthly Data'!BV40</f>
        <v>0</v>
      </c>
      <c r="M40">
        <f>'Monthly Data'!BW40</f>
        <v>0</v>
      </c>
      <c r="N40">
        <f>'Monthly Data'!CC40</f>
        <v>31</v>
      </c>
      <c r="O40">
        <f>'Monthly Data'!CD40</f>
        <v>22</v>
      </c>
      <c r="Q40">
        <f>'GS &gt; 50 OLS Model'!$B$5</f>
        <v>-8508488.8174217809</v>
      </c>
      <c r="R40" s="186">
        <f>'GS &gt; 50 OLS Model'!$B$6*E40</f>
        <v>6080855.090427761</v>
      </c>
      <c r="S40" s="186">
        <f>'GS &gt; 50 OLS Model'!$B$7*F40</f>
        <v>342660.51374105277</v>
      </c>
      <c r="T40" s="186">
        <f>'GS &gt; 50 OLS Model'!$B$8*G40</f>
        <v>30308095.908937588</v>
      </c>
      <c r="U40" s="186"/>
      <c r="V40" s="186">
        <f>'GS &gt; 50 OLS Model'!$B$9*I40</f>
        <v>0</v>
      </c>
      <c r="W40" s="186">
        <f>'GS &gt; 50 OLS Model'!$B$10*J40</f>
        <v>0</v>
      </c>
      <c r="X40" s="186">
        <f>'GS &gt; 50 OLS Model'!$B$11*K40</f>
        <v>0</v>
      </c>
      <c r="Y40" s="186">
        <f>'GS &gt; 50 OLS Model'!$B$12*L40</f>
        <v>0</v>
      </c>
      <c r="Z40" s="186">
        <v>0</v>
      </c>
      <c r="AA40" s="186">
        <f>'GS &gt; 50 OLS Model'!$B$13*N40</f>
        <v>34669572.13485463</v>
      </c>
      <c r="AB40" s="186">
        <f>'GS &gt; 50 OLS Model'!$B$14*O40</f>
        <v>14391403.668547621</v>
      </c>
      <c r="AC40">
        <f t="shared" si="5"/>
        <v>77284098.499086872</v>
      </c>
      <c r="AD40" s="24">
        <f t="shared" ca="1" si="6"/>
        <v>2.1313265018772641E-2</v>
      </c>
    </row>
    <row r="41" spans="1:30">
      <c r="A41" s="26">
        <f>'Monthly Data'!A41</f>
        <v>41000</v>
      </c>
      <c r="B41" s="154">
        <f t="shared" si="4"/>
        <v>4</v>
      </c>
      <c r="C41">
        <f t="shared" si="1"/>
        <v>2012</v>
      </c>
      <c r="D41">
        <f ca="1">'Monthly Data'!O41</f>
        <v>70404346.904171199</v>
      </c>
      <c r="E41">
        <f>'Monthly Data'!BH41</f>
        <v>252.49999999999991</v>
      </c>
      <c r="F41">
        <f>'Monthly Data'!BI41</f>
        <v>4.3</v>
      </c>
      <c r="G41">
        <f>'Monthly Data'!BL41</f>
        <v>578793.9</v>
      </c>
      <c r="H41">
        <f>'Monthly Data'!BM41</f>
        <v>40</v>
      </c>
      <c r="I41">
        <f>'Monthly Data'!BQ41</f>
        <v>1</v>
      </c>
      <c r="J41">
        <f>'Monthly Data'!BS41</f>
        <v>0</v>
      </c>
      <c r="K41">
        <f>'Monthly Data'!BU41</f>
        <v>0</v>
      </c>
      <c r="L41">
        <f>'Monthly Data'!BV41</f>
        <v>0</v>
      </c>
      <c r="M41">
        <f>'Monthly Data'!BW41</f>
        <v>0</v>
      </c>
      <c r="N41">
        <f>'Monthly Data'!CC41</f>
        <v>30</v>
      </c>
      <c r="O41">
        <f>'Monthly Data'!CD41</f>
        <v>19</v>
      </c>
      <c r="Q41">
        <f>'GS &gt; 50 OLS Model'!$B$5</f>
        <v>-8508488.8174217809</v>
      </c>
      <c r="R41" s="186">
        <f>'GS &gt; 50 OLS Model'!$B$6*E41</f>
        <v>6122073.0077073742</v>
      </c>
      <c r="S41" s="186">
        <f>'GS &gt; 50 OLS Model'!$B$7*F41</f>
        <v>306966.71022635978</v>
      </c>
      <c r="T41" s="186">
        <f>'GS &gt; 50 OLS Model'!$B$8*G41</f>
        <v>30308095.908937588</v>
      </c>
      <c r="U41" s="186"/>
      <c r="V41" s="186">
        <f>'GS &gt; 50 OLS Model'!$B$9*I41</f>
        <v>-1670359.8066300801</v>
      </c>
      <c r="W41" s="186">
        <f>'GS &gt; 50 OLS Model'!$B$10*J41</f>
        <v>0</v>
      </c>
      <c r="X41" s="186">
        <f>'GS &gt; 50 OLS Model'!$B$11*K41</f>
        <v>0</v>
      </c>
      <c r="Y41" s="186">
        <f>'GS &gt; 50 OLS Model'!$B$12*L41</f>
        <v>0</v>
      </c>
      <c r="Z41" s="186">
        <v>0</v>
      </c>
      <c r="AA41" s="186">
        <f>'GS &gt; 50 OLS Model'!$B$13*N41</f>
        <v>33551198.840181898</v>
      </c>
      <c r="AB41" s="186">
        <f>'GS &gt; 50 OLS Model'!$B$14*O41</f>
        <v>12428939.531927491</v>
      </c>
      <c r="AC41">
        <f t="shared" si="5"/>
        <v>72538425.374928862</v>
      </c>
      <c r="AD41" s="24">
        <f t="shared" ca="1" si="6"/>
        <v>3.0311743018686065E-2</v>
      </c>
    </row>
    <row r="42" spans="1:30">
      <c r="A42" s="26">
        <f>'Monthly Data'!A42</f>
        <v>41030</v>
      </c>
      <c r="B42" s="154">
        <f t="shared" si="4"/>
        <v>5</v>
      </c>
      <c r="C42">
        <f t="shared" si="1"/>
        <v>2012</v>
      </c>
      <c r="D42">
        <f ca="1">'Monthly Data'!O42</f>
        <v>76707141.256383926</v>
      </c>
      <c r="E42">
        <f>'Monthly Data'!BH42</f>
        <v>48.2</v>
      </c>
      <c r="F42">
        <f>'Monthly Data'!BI42</f>
        <v>59.3</v>
      </c>
      <c r="G42">
        <f>'Monthly Data'!BL42</f>
        <v>578793.9</v>
      </c>
      <c r="H42">
        <f>'Monthly Data'!BM42</f>
        <v>41</v>
      </c>
      <c r="I42">
        <f>'Monthly Data'!BQ42</f>
        <v>0</v>
      </c>
      <c r="J42">
        <f>'Monthly Data'!BS42</f>
        <v>0</v>
      </c>
      <c r="K42">
        <f>'Monthly Data'!BU42</f>
        <v>0</v>
      </c>
      <c r="L42">
        <f>'Monthly Data'!BV42</f>
        <v>0</v>
      </c>
      <c r="M42">
        <f>'Monthly Data'!BW42</f>
        <v>0</v>
      </c>
      <c r="N42">
        <f>'Monthly Data'!CC42</f>
        <v>31</v>
      </c>
      <c r="O42">
        <f>'Monthly Data'!CD42</f>
        <v>22</v>
      </c>
      <c r="Q42">
        <f>'GS &gt; 50 OLS Model'!$B$5</f>
        <v>-8508488.8174217809</v>
      </c>
      <c r="R42" s="186">
        <f>'GS &gt; 50 OLS Model'!$B$6*E42</f>
        <v>1168649.1840455269</v>
      </c>
      <c r="S42" s="186">
        <f>'GS &gt; 50 OLS Model'!$B$7*F42</f>
        <v>4233285.0968425898</v>
      </c>
      <c r="T42" s="186">
        <f>'GS &gt; 50 OLS Model'!$B$8*G42</f>
        <v>30308095.908937588</v>
      </c>
      <c r="U42" s="186"/>
      <c r="V42" s="186">
        <f>'GS &gt; 50 OLS Model'!$B$9*I42</f>
        <v>0</v>
      </c>
      <c r="W42" s="186">
        <f>'GS &gt; 50 OLS Model'!$B$10*J42</f>
        <v>0</v>
      </c>
      <c r="X42" s="186">
        <f>'GS &gt; 50 OLS Model'!$B$11*K42</f>
        <v>0</v>
      </c>
      <c r="Y42" s="186">
        <f>'GS &gt; 50 OLS Model'!$B$12*L42</f>
        <v>0</v>
      </c>
      <c r="Z42" s="186">
        <v>0</v>
      </c>
      <c r="AA42" s="186">
        <f>'GS &gt; 50 OLS Model'!$B$13*N42</f>
        <v>34669572.13485463</v>
      </c>
      <c r="AB42" s="186">
        <f>'GS &gt; 50 OLS Model'!$B$14*O42</f>
        <v>14391403.668547621</v>
      </c>
      <c r="AC42">
        <f t="shared" si="5"/>
        <v>76262517.175806165</v>
      </c>
      <c r="AD42" s="24">
        <f t="shared" ca="1" si="6"/>
        <v>5.7963844473314565E-3</v>
      </c>
    </row>
    <row r="43" spans="1:30">
      <c r="A43" s="26">
        <f>'Monthly Data'!A43</f>
        <v>41061</v>
      </c>
      <c r="B43" s="154">
        <f t="shared" si="4"/>
        <v>6</v>
      </c>
      <c r="C43">
        <f t="shared" ref="C43:C97" si="7">YEAR(A43)</f>
        <v>2012</v>
      </c>
      <c r="D43">
        <f ca="1">'Monthly Data'!O43</f>
        <v>81073916.050987154</v>
      </c>
      <c r="E43">
        <f>'Monthly Data'!BH43</f>
        <v>10.3</v>
      </c>
      <c r="F43">
        <f>'Monthly Data'!BI43</f>
        <v>147.09999999999997</v>
      </c>
      <c r="G43">
        <f>'Monthly Data'!BL43</f>
        <v>578793.9</v>
      </c>
      <c r="H43">
        <f>'Monthly Data'!BM43</f>
        <v>42</v>
      </c>
      <c r="I43">
        <f>'Monthly Data'!BQ43</f>
        <v>0</v>
      </c>
      <c r="J43">
        <f>'Monthly Data'!BS43</f>
        <v>1</v>
      </c>
      <c r="K43">
        <f>'Monthly Data'!BU43</f>
        <v>0</v>
      </c>
      <c r="L43">
        <f>'Monthly Data'!BV43</f>
        <v>0</v>
      </c>
      <c r="M43">
        <f>'Monthly Data'!BW43</f>
        <v>0</v>
      </c>
      <c r="N43">
        <f>'Monthly Data'!CC43</f>
        <v>30</v>
      </c>
      <c r="O43">
        <f>'Monthly Data'!CD43</f>
        <v>21</v>
      </c>
      <c r="Q43">
        <f>'GS &gt; 50 OLS Model'!$B$5</f>
        <v>-8508488.8174217809</v>
      </c>
      <c r="R43" s="186">
        <f>'GS &gt; 50 OLS Model'!$B$6*E43</f>
        <v>249732.0870470732</v>
      </c>
      <c r="S43" s="186">
        <f>'GS &gt; 50 OLS Model'!$B$7*F43</f>
        <v>10501116.994022677</v>
      </c>
      <c r="T43" s="186">
        <f>'GS &gt; 50 OLS Model'!$B$8*G43</f>
        <v>30308095.908937588</v>
      </c>
      <c r="U43" s="186"/>
      <c r="V43" s="186">
        <f>'GS &gt; 50 OLS Model'!$B$9*I43</f>
        <v>0</v>
      </c>
      <c r="W43" s="186">
        <f>'GS &gt; 50 OLS Model'!$B$10*J43</f>
        <v>1244451.2383117899</v>
      </c>
      <c r="X43" s="186">
        <f>'GS &gt; 50 OLS Model'!$B$11*K43</f>
        <v>0</v>
      </c>
      <c r="Y43" s="186">
        <f>'GS &gt; 50 OLS Model'!$B$12*L43</f>
        <v>0</v>
      </c>
      <c r="Z43" s="186">
        <v>0</v>
      </c>
      <c r="AA43" s="186">
        <f>'GS &gt; 50 OLS Model'!$B$13*N43</f>
        <v>33551198.840181898</v>
      </c>
      <c r="AB43" s="186">
        <f>'GS &gt; 50 OLS Model'!$B$14*O43</f>
        <v>13737248.956340911</v>
      </c>
      <c r="AC43">
        <f t="shared" si="5"/>
        <v>81083355.207420155</v>
      </c>
      <c r="AD43" s="24">
        <f t="shared" ca="1" si="6"/>
        <v>1.1642655113717341E-4</v>
      </c>
    </row>
    <row r="44" spans="1:30">
      <c r="A44" s="26">
        <f>'Monthly Data'!A44</f>
        <v>41091</v>
      </c>
      <c r="B44" s="154">
        <f t="shared" si="4"/>
        <v>7</v>
      </c>
      <c r="C44">
        <f t="shared" si="7"/>
        <v>2012</v>
      </c>
      <c r="D44">
        <f ca="1">'Monthly Data'!O44</f>
        <v>86497634.17916283</v>
      </c>
      <c r="E44">
        <f>'Monthly Data'!BH44</f>
        <v>0</v>
      </c>
      <c r="F44">
        <f>'Monthly Data'!BI44</f>
        <v>235.50000000000009</v>
      </c>
      <c r="G44">
        <f>'Monthly Data'!BL44</f>
        <v>578793.9</v>
      </c>
      <c r="H44">
        <f>'Monthly Data'!BM44</f>
        <v>43</v>
      </c>
      <c r="I44">
        <f>'Monthly Data'!BQ44</f>
        <v>0</v>
      </c>
      <c r="J44">
        <f>'Monthly Data'!BS44</f>
        <v>0</v>
      </c>
      <c r="K44">
        <f>'Monthly Data'!BU44</f>
        <v>0</v>
      </c>
      <c r="L44">
        <f>'Monthly Data'!BV44</f>
        <v>0</v>
      </c>
      <c r="M44">
        <f>'Monthly Data'!BW44</f>
        <v>0</v>
      </c>
      <c r="N44">
        <f>'Monthly Data'!CC44</f>
        <v>31</v>
      </c>
      <c r="O44">
        <f>'Monthly Data'!CD44</f>
        <v>21</v>
      </c>
      <c r="Q44">
        <f>'GS &gt; 50 OLS Model'!$B$5</f>
        <v>-8508488.8174217809</v>
      </c>
      <c r="R44" s="186">
        <f>'GS &gt; 50 OLS Model'!$B$6*E44</f>
        <v>0</v>
      </c>
      <c r="S44" s="186">
        <f>'GS &gt; 50 OLS Model'!$B$7*F44</f>
        <v>16811781.455420408</v>
      </c>
      <c r="T44" s="186">
        <f>'GS &gt; 50 OLS Model'!$B$8*G44</f>
        <v>30308095.908937588</v>
      </c>
      <c r="U44" s="186"/>
      <c r="V44" s="186">
        <f>'GS &gt; 50 OLS Model'!$B$9*I44</f>
        <v>0</v>
      </c>
      <c r="W44" s="186">
        <f>'GS &gt; 50 OLS Model'!$B$10*J44</f>
        <v>0</v>
      </c>
      <c r="X44" s="186">
        <f>'GS &gt; 50 OLS Model'!$B$11*K44</f>
        <v>0</v>
      </c>
      <c r="Y44" s="186">
        <f>'GS &gt; 50 OLS Model'!$B$12*L44</f>
        <v>0</v>
      </c>
      <c r="Z44" s="186">
        <v>0</v>
      </c>
      <c r="AA44" s="186">
        <f>'GS &gt; 50 OLS Model'!$B$13*N44</f>
        <v>34669572.13485463</v>
      </c>
      <c r="AB44" s="186">
        <f>'GS &gt; 50 OLS Model'!$B$14*O44</f>
        <v>13737248.956340911</v>
      </c>
      <c r="AC44">
        <f t="shared" si="5"/>
        <v>87018209.638131753</v>
      </c>
      <c r="AD44" s="24">
        <f t="shared" ca="1" si="6"/>
        <v>6.0183780043122663E-3</v>
      </c>
    </row>
    <row r="45" spans="1:30">
      <c r="A45" s="26">
        <f>'Monthly Data'!A45</f>
        <v>41122</v>
      </c>
      <c r="B45" s="154">
        <f t="shared" si="4"/>
        <v>8</v>
      </c>
      <c r="C45">
        <f t="shared" si="7"/>
        <v>2012</v>
      </c>
      <c r="D45">
        <f ca="1">'Monthly Data'!O45</f>
        <v>84955144.682128251</v>
      </c>
      <c r="E45">
        <f>'Monthly Data'!BH45</f>
        <v>0.7</v>
      </c>
      <c r="F45">
        <f>'Monthly Data'!BI45</f>
        <v>143.69999999999999</v>
      </c>
      <c r="G45">
        <f>'Monthly Data'!BL45</f>
        <v>578793.9</v>
      </c>
      <c r="H45">
        <f>'Monthly Data'!BM45</f>
        <v>44</v>
      </c>
      <c r="I45">
        <f>'Monthly Data'!BQ45</f>
        <v>0</v>
      </c>
      <c r="J45">
        <f>'Monthly Data'!BS45</f>
        <v>0</v>
      </c>
      <c r="K45">
        <f>'Monthly Data'!BU45</f>
        <v>1</v>
      </c>
      <c r="L45">
        <f>'Monthly Data'!BV45</f>
        <v>0</v>
      </c>
      <c r="M45">
        <f>'Monthly Data'!BW45</f>
        <v>0</v>
      </c>
      <c r="N45">
        <f>'Monthly Data'!CC45</f>
        <v>31</v>
      </c>
      <c r="O45">
        <f>'Monthly Data'!CD45</f>
        <v>22</v>
      </c>
      <c r="Q45">
        <f>'GS &gt; 50 OLS Model'!$B$5</f>
        <v>-8508488.8174217809</v>
      </c>
      <c r="R45" s="186">
        <f>'GS &gt; 50 OLS Model'!$B$6*E45</f>
        <v>16972.08358572342</v>
      </c>
      <c r="S45" s="186">
        <f>'GS &gt; 50 OLS Model'!$B$7*F45</f>
        <v>10258399.130122766</v>
      </c>
      <c r="T45" s="186">
        <f>'GS &gt; 50 OLS Model'!$B$8*G45</f>
        <v>30308095.908937588</v>
      </c>
      <c r="U45" s="186"/>
      <c r="V45" s="186">
        <f>'GS &gt; 50 OLS Model'!$B$9*I45</f>
        <v>0</v>
      </c>
      <c r="W45" s="186">
        <f>'GS &gt; 50 OLS Model'!$B$10*J45</f>
        <v>0</v>
      </c>
      <c r="X45" s="186">
        <f>'GS &gt; 50 OLS Model'!$B$11*K45</f>
        <v>2505717.0713192602</v>
      </c>
      <c r="Y45" s="186">
        <f>'GS &gt; 50 OLS Model'!$B$12*L45</f>
        <v>0</v>
      </c>
      <c r="Z45" s="186">
        <v>0</v>
      </c>
      <c r="AA45" s="186">
        <f>'GS &gt; 50 OLS Model'!$B$13*N45</f>
        <v>34669572.13485463</v>
      </c>
      <c r="AB45" s="186">
        <f>'GS &gt; 50 OLS Model'!$B$14*O45</f>
        <v>14391403.668547621</v>
      </c>
      <c r="AC45">
        <f t="shared" si="5"/>
        <v>83641671.179945812</v>
      </c>
      <c r="AD45" s="24">
        <f t="shared" ca="1" si="6"/>
        <v>1.5460788244160925E-2</v>
      </c>
    </row>
    <row r="46" spans="1:30">
      <c r="A46" s="26">
        <f>'Monthly Data'!A46</f>
        <v>41153</v>
      </c>
      <c r="B46" s="154">
        <f t="shared" si="4"/>
        <v>9</v>
      </c>
      <c r="C46">
        <f t="shared" si="7"/>
        <v>2012</v>
      </c>
      <c r="D46">
        <f ca="1">'Monthly Data'!O46</f>
        <v>75637873.117112935</v>
      </c>
      <c r="E46">
        <f>'Monthly Data'!BH46</f>
        <v>53.2</v>
      </c>
      <c r="F46">
        <f>'Monthly Data'!BI46</f>
        <v>50.29999999999999</v>
      </c>
      <c r="G46">
        <f>'Monthly Data'!BL46</f>
        <v>578793.9</v>
      </c>
      <c r="H46">
        <f>'Monthly Data'!BM46</f>
        <v>45</v>
      </c>
      <c r="I46">
        <f>'Monthly Data'!BQ46</f>
        <v>0</v>
      </c>
      <c r="J46">
        <f>'Monthly Data'!BS46</f>
        <v>0</v>
      </c>
      <c r="K46">
        <f>'Monthly Data'!BU46</f>
        <v>0</v>
      </c>
      <c r="L46">
        <f>'Monthly Data'!BV46</f>
        <v>1</v>
      </c>
      <c r="M46">
        <f>'Monthly Data'!BW46</f>
        <v>0</v>
      </c>
      <c r="N46">
        <f>'Monthly Data'!CC46</f>
        <v>30</v>
      </c>
      <c r="O46">
        <f>'Monthly Data'!CD46</f>
        <v>19</v>
      </c>
      <c r="Q46">
        <f>'GS &gt; 50 OLS Model'!$B$5</f>
        <v>-8508488.8174217809</v>
      </c>
      <c r="R46" s="186">
        <f>'GS &gt; 50 OLS Model'!$B$6*E46</f>
        <v>1289878.3525149799</v>
      </c>
      <c r="S46" s="186">
        <f>'GS &gt; 50 OLS Model'!$B$7*F46</f>
        <v>3590796.6335781147</v>
      </c>
      <c r="T46" s="186">
        <f>'GS &gt; 50 OLS Model'!$B$8*G46</f>
        <v>30308095.908937588</v>
      </c>
      <c r="U46" s="186"/>
      <c r="V46" s="186">
        <f>'GS &gt; 50 OLS Model'!$B$9*I46</f>
        <v>0</v>
      </c>
      <c r="W46" s="186">
        <f>'GS &gt; 50 OLS Model'!$B$10*J46</f>
        <v>0</v>
      </c>
      <c r="X46" s="186">
        <f>'GS &gt; 50 OLS Model'!$B$11*K46</f>
        <v>0</v>
      </c>
      <c r="Y46" s="186">
        <f>'GS &gt; 50 OLS Model'!$B$12*L46</f>
        <v>2345350.8919449002</v>
      </c>
      <c r="Z46" s="186">
        <v>0</v>
      </c>
      <c r="AA46" s="186">
        <f>'GS &gt; 50 OLS Model'!$B$13*N46</f>
        <v>33551198.840181898</v>
      </c>
      <c r="AB46" s="186">
        <f>'GS &gt; 50 OLS Model'!$B$14*O46</f>
        <v>12428939.531927491</v>
      </c>
      <c r="AC46">
        <f t="shared" si="5"/>
        <v>75005771.341663197</v>
      </c>
      <c r="AD46" s="24">
        <f t="shared" ca="1" si="6"/>
        <v>8.3569480393906794E-3</v>
      </c>
    </row>
    <row r="47" spans="1:30">
      <c r="A47" s="26">
        <f>'Monthly Data'!A47</f>
        <v>41183</v>
      </c>
      <c r="B47" s="154">
        <f t="shared" si="4"/>
        <v>10</v>
      </c>
      <c r="C47">
        <f t="shared" si="7"/>
        <v>2012</v>
      </c>
      <c r="D47">
        <f ca="1">'Monthly Data'!O47</f>
        <v>75854816.158008024</v>
      </c>
      <c r="E47">
        <f>'Monthly Data'!BH47</f>
        <v>207.19999999999996</v>
      </c>
      <c r="F47">
        <f>'Monthly Data'!BI47</f>
        <v>5.6</v>
      </c>
      <c r="G47">
        <f>'Monthly Data'!BL47</f>
        <v>578793.9</v>
      </c>
      <c r="H47">
        <f>'Monthly Data'!BM47</f>
        <v>46</v>
      </c>
      <c r="I47">
        <f>'Monthly Data'!BQ47</f>
        <v>0</v>
      </c>
      <c r="J47">
        <f>'Monthly Data'!BS47</f>
        <v>0</v>
      </c>
      <c r="K47">
        <f>'Monthly Data'!BU47</f>
        <v>0</v>
      </c>
      <c r="L47">
        <f>'Monthly Data'!BV47</f>
        <v>0</v>
      </c>
      <c r="M47">
        <f>'Monthly Data'!BW47</f>
        <v>1</v>
      </c>
      <c r="N47">
        <f>'Monthly Data'!CC47</f>
        <v>31</v>
      </c>
      <c r="O47">
        <f>'Monthly Data'!CD47</f>
        <v>22</v>
      </c>
      <c r="Q47">
        <f>'GS &gt; 50 OLS Model'!$B$5</f>
        <v>-8508488.8174217809</v>
      </c>
      <c r="R47" s="186">
        <f>'GS &gt; 50 OLS Model'!$B$6*E47</f>
        <v>5023736.7413741313</v>
      </c>
      <c r="S47" s="186">
        <f>'GS &gt; 50 OLS Model'!$B$7*F47</f>
        <v>399770.59936456155</v>
      </c>
      <c r="T47" s="186">
        <f>'GS &gt; 50 OLS Model'!$B$8*G47</f>
        <v>30308095.908937588</v>
      </c>
      <c r="U47" s="186"/>
      <c r="V47" s="186">
        <f>'GS &gt; 50 OLS Model'!$B$9*I47</f>
        <v>0</v>
      </c>
      <c r="W47" s="186">
        <f>'GS &gt; 50 OLS Model'!$B$10*J47</f>
        <v>0</v>
      </c>
      <c r="X47" s="186">
        <f>'GS &gt; 50 OLS Model'!$B$11*K47</f>
        <v>0</v>
      </c>
      <c r="Y47" s="186">
        <f>'GS &gt; 50 OLS Model'!$B$12*L47</f>
        <v>0</v>
      </c>
      <c r="Z47" s="186">
        <v>0</v>
      </c>
      <c r="AA47" s="186">
        <f>'GS &gt; 50 OLS Model'!$B$13*N47</f>
        <v>34669572.13485463</v>
      </c>
      <c r="AB47" s="186">
        <f>'GS &gt; 50 OLS Model'!$B$14*O47</f>
        <v>14391403.668547621</v>
      </c>
      <c r="AC47">
        <f t="shared" si="5"/>
        <v>76284090.235656753</v>
      </c>
      <c r="AD47" s="24">
        <f t="shared" ca="1" si="6"/>
        <v>5.6591538862151795E-3</v>
      </c>
    </row>
    <row r="48" spans="1:30">
      <c r="A48" s="26">
        <f>'Monthly Data'!A48</f>
        <v>41214</v>
      </c>
      <c r="B48" s="154">
        <f t="shared" si="4"/>
        <v>11</v>
      </c>
      <c r="C48">
        <f t="shared" si="7"/>
        <v>2012</v>
      </c>
      <c r="D48">
        <f ca="1">'Monthly Data'!O48</f>
        <v>76825179.447514161</v>
      </c>
      <c r="E48">
        <f>'Monthly Data'!BH48</f>
        <v>405.49999999999994</v>
      </c>
      <c r="F48">
        <f>'Monthly Data'!BI48</f>
        <v>0</v>
      </c>
      <c r="G48">
        <f>'Monthly Data'!BL48</f>
        <v>578793.9</v>
      </c>
      <c r="H48">
        <f>'Monthly Data'!BM48</f>
        <v>47</v>
      </c>
      <c r="I48">
        <f>'Monthly Data'!BQ48</f>
        <v>0</v>
      </c>
      <c r="J48">
        <f>'Monthly Data'!BS48</f>
        <v>0</v>
      </c>
      <c r="K48">
        <f>'Monthly Data'!BU48</f>
        <v>0</v>
      </c>
      <c r="L48">
        <f>'Monthly Data'!BV48</f>
        <v>0</v>
      </c>
      <c r="M48">
        <f>'Monthly Data'!BW48</f>
        <v>0</v>
      </c>
      <c r="N48">
        <f>'Monthly Data'!CC48</f>
        <v>30</v>
      </c>
      <c r="O48">
        <f>'Monthly Data'!CD48</f>
        <v>22</v>
      </c>
      <c r="Q48">
        <f>'GS &gt; 50 OLS Model'!$B$5</f>
        <v>-8508488.8174217809</v>
      </c>
      <c r="R48" s="186">
        <f>'GS &gt; 50 OLS Model'!$B$6*E48</f>
        <v>9831685.5628726371</v>
      </c>
      <c r="S48" s="186">
        <f>'GS &gt; 50 OLS Model'!$B$7*F48</f>
        <v>0</v>
      </c>
      <c r="T48" s="186">
        <f>'GS &gt; 50 OLS Model'!$B$8*G48</f>
        <v>30308095.908937588</v>
      </c>
      <c r="U48" s="186"/>
      <c r="V48" s="186">
        <f>'GS &gt; 50 OLS Model'!$B$9*I48</f>
        <v>0</v>
      </c>
      <c r="W48" s="186">
        <f>'GS &gt; 50 OLS Model'!$B$10*J48</f>
        <v>0</v>
      </c>
      <c r="X48" s="186">
        <f>'GS &gt; 50 OLS Model'!$B$11*K48</f>
        <v>0</v>
      </c>
      <c r="Y48" s="186">
        <f>'GS &gt; 50 OLS Model'!$B$12*L48</f>
        <v>0</v>
      </c>
      <c r="Z48" s="186">
        <v>0</v>
      </c>
      <c r="AA48" s="186">
        <f>'GS &gt; 50 OLS Model'!$B$13*N48</f>
        <v>33551198.840181898</v>
      </c>
      <c r="AB48" s="186">
        <f>'GS &gt; 50 OLS Model'!$B$14*O48</f>
        <v>14391403.668547621</v>
      </c>
      <c r="AC48">
        <f t="shared" si="5"/>
        <v>79573895.16311796</v>
      </c>
      <c r="AD48" s="24">
        <f t="shared" ca="1" si="6"/>
        <v>3.5778838856883904E-2</v>
      </c>
    </row>
    <row r="49" spans="1:30">
      <c r="A49" s="26">
        <f>'Monthly Data'!A49</f>
        <v>41244</v>
      </c>
      <c r="B49" s="154">
        <f t="shared" si="4"/>
        <v>12</v>
      </c>
      <c r="C49">
        <f t="shared" si="7"/>
        <v>2012</v>
      </c>
      <c r="D49">
        <f ca="1">'Monthly Data'!O49</f>
        <v>78089232.601768956</v>
      </c>
      <c r="E49">
        <f>'Monthly Data'!BH49</f>
        <v>484.20000000000005</v>
      </c>
      <c r="F49">
        <f>'Monthly Data'!BI49</f>
        <v>0</v>
      </c>
      <c r="G49">
        <f>'Monthly Data'!BL49</f>
        <v>578793.9</v>
      </c>
      <c r="H49">
        <f>'Monthly Data'!BM49</f>
        <v>48</v>
      </c>
      <c r="I49">
        <f>'Monthly Data'!BQ49</f>
        <v>0</v>
      </c>
      <c r="J49">
        <f>'Monthly Data'!BS49</f>
        <v>0</v>
      </c>
      <c r="K49">
        <f>'Monthly Data'!BU49</f>
        <v>0</v>
      </c>
      <c r="L49">
        <f>'Monthly Data'!BV49</f>
        <v>0</v>
      </c>
      <c r="M49">
        <f>'Monthly Data'!BW49</f>
        <v>0</v>
      </c>
      <c r="N49">
        <f>'Monthly Data'!CC49</f>
        <v>31</v>
      </c>
      <c r="O49">
        <f>'Monthly Data'!CD49</f>
        <v>19</v>
      </c>
      <c r="Q49">
        <f>'GS &gt; 50 OLS Model'!$B$5</f>
        <v>-8508488.8174217809</v>
      </c>
      <c r="R49" s="186">
        <f>'GS &gt; 50 OLS Model'!$B$6*E49</f>
        <v>11739832.674581829</v>
      </c>
      <c r="S49" s="186">
        <f>'GS &gt; 50 OLS Model'!$B$7*F49</f>
        <v>0</v>
      </c>
      <c r="T49" s="186">
        <f>'GS &gt; 50 OLS Model'!$B$8*G49</f>
        <v>30308095.908937588</v>
      </c>
      <c r="U49" s="186"/>
      <c r="V49" s="186">
        <f>'GS &gt; 50 OLS Model'!$B$9*I49</f>
        <v>0</v>
      </c>
      <c r="W49" s="186">
        <f>'GS &gt; 50 OLS Model'!$B$10*J49</f>
        <v>0</v>
      </c>
      <c r="X49" s="186">
        <f>'GS &gt; 50 OLS Model'!$B$11*K49</f>
        <v>0</v>
      </c>
      <c r="Y49" s="186">
        <f>'GS &gt; 50 OLS Model'!$B$12*L49</f>
        <v>0</v>
      </c>
      <c r="Z49" s="186">
        <v>0</v>
      </c>
      <c r="AA49" s="186">
        <f>'GS &gt; 50 OLS Model'!$B$13*N49</f>
        <v>34669572.13485463</v>
      </c>
      <c r="AB49" s="186">
        <f>'GS &gt; 50 OLS Model'!$B$14*O49</f>
        <v>12428939.531927491</v>
      </c>
      <c r="AC49">
        <f t="shared" si="5"/>
        <v>80637951.432879761</v>
      </c>
      <c r="AD49" s="24">
        <f t="shared" ca="1" si="6"/>
        <v>3.2638543704334839E-2</v>
      </c>
    </row>
    <row r="50" spans="1:30">
      <c r="A50" s="26">
        <f>'Monthly Data'!A50</f>
        <v>41275</v>
      </c>
      <c r="B50" s="154">
        <f t="shared" si="4"/>
        <v>1</v>
      </c>
      <c r="C50">
        <f t="shared" si="7"/>
        <v>2013</v>
      </c>
      <c r="D50">
        <f ca="1">'Monthly Data'!O50</f>
        <v>86172794.297903538</v>
      </c>
      <c r="E50">
        <f>'Monthly Data'!BH50</f>
        <v>598.19999999999993</v>
      </c>
      <c r="F50">
        <f>'Monthly Data'!BI50</f>
        <v>0</v>
      </c>
      <c r="G50">
        <f>'Monthly Data'!BL50</f>
        <v>586913</v>
      </c>
      <c r="H50">
        <f>'Monthly Data'!BM50</f>
        <v>49</v>
      </c>
      <c r="I50">
        <f>'Monthly Data'!BQ50</f>
        <v>0</v>
      </c>
      <c r="J50">
        <f>'Monthly Data'!BS50</f>
        <v>0</v>
      </c>
      <c r="K50">
        <f>'Monthly Data'!BU50</f>
        <v>0</v>
      </c>
      <c r="L50">
        <f>'Monthly Data'!BV50</f>
        <v>0</v>
      </c>
      <c r="M50">
        <f>'Monthly Data'!BW50</f>
        <v>0</v>
      </c>
      <c r="N50">
        <f>'Monthly Data'!CC50</f>
        <v>31</v>
      </c>
      <c r="O50">
        <f>'Monthly Data'!CD50</f>
        <v>22</v>
      </c>
      <c r="Q50">
        <f>'GS &gt; 50 OLS Model'!$B$5</f>
        <v>-8508488.8174217809</v>
      </c>
      <c r="R50" s="186">
        <f>'GS &gt; 50 OLS Model'!$B$6*E50</f>
        <v>14503857.715685355</v>
      </c>
      <c r="S50" s="186">
        <f>'GS &gt; 50 OLS Model'!$B$7*F50</f>
        <v>0</v>
      </c>
      <c r="T50" s="186">
        <f>'GS &gt; 50 OLS Model'!$B$8*G50</f>
        <v>30733246.314797524</v>
      </c>
      <c r="U50" s="186"/>
      <c r="V50" s="186">
        <f>'GS &gt; 50 OLS Model'!$B$9*I50</f>
        <v>0</v>
      </c>
      <c r="W50" s="186">
        <f>'GS &gt; 50 OLS Model'!$B$10*J50</f>
        <v>0</v>
      </c>
      <c r="X50" s="186">
        <f>'GS &gt; 50 OLS Model'!$B$11*K50</f>
        <v>0</v>
      </c>
      <c r="Y50" s="186">
        <f>'GS &gt; 50 OLS Model'!$B$12*L50</f>
        <v>0</v>
      </c>
      <c r="Z50" s="186">
        <v>0</v>
      </c>
      <c r="AA50" s="186">
        <f>'GS &gt; 50 OLS Model'!$B$13*N50</f>
        <v>34669572.13485463</v>
      </c>
      <c r="AB50" s="186">
        <f>'GS &gt; 50 OLS Model'!$B$14*O50</f>
        <v>14391403.668547621</v>
      </c>
      <c r="AC50">
        <f t="shared" si="5"/>
        <v>85789591.016463339</v>
      </c>
      <c r="AD50" s="24">
        <f t="shared" ca="1" si="6"/>
        <v>4.4469172035369545E-3</v>
      </c>
    </row>
    <row r="51" spans="1:30">
      <c r="A51" s="26">
        <f>'Monthly Data'!A51</f>
        <v>41306</v>
      </c>
      <c r="B51" s="154">
        <f t="shared" si="4"/>
        <v>2</v>
      </c>
      <c r="C51">
        <f t="shared" si="7"/>
        <v>2013</v>
      </c>
      <c r="D51">
        <f ca="1">'Monthly Data'!O51</f>
        <v>80116229.569861323</v>
      </c>
      <c r="E51">
        <f>'Monthly Data'!BH51</f>
        <v>574.80000000000007</v>
      </c>
      <c r="F51">
        <f>'Monthly Data'!BI51</f>
        <v>0</v>
      </c>
      <c r="G51">
        <f>'Monthly Data'!BL51</f>
        <v>586913</v>
      </c>
      <c r="H51">
        <f>'Monthly Data'!BM51</f>
        <v>50</v>
      </c>
      <c r="I51">
        <f>'Monthly Data'!BQ51</f>
        <v>0</v>
      </c>
      <c r="J51">
        <f>'Monthly Data'!BS51</f>
        <v>0</v>
      </c>
      <c r="K51">
        <f>'Monthly Data'!BU51</f>
        <v>0</v>
      </c>
      <c r="L51">
        <f>'Monthly Data'!BV51</f>
        <v>0</v>
      </c>
      <c r="M51">
        <f>'Monthly Data'!BW51</f>
        <v>0</v>
      </c>
      <c r="N51">
        <f>'Monthly Data'!CC51</f>
        <v>28</v>
      </c>
      <c r="O51">
        <f>'Monthly Data'!CD51</f>
        <v>19</v>
      </c>
      <c r="Q51">
        <f>'GS &gt; 50 OLS Model'!$B$5</f>
        <v>-8508488.8174217809</v>
      </c>
      <c r="R51" s="186">
        <f>'GS &gt; 50 OLS Model'!$B$6*E51</f>
        <v>13936505.207248319</v>
      </c>
      <c r="S51" s="186">
        <f>'GS &gt; 50 OLS Model'!$B$7*F51</f>
        <v>0</v>
      </c>
      <c r="T51" s="186">
        <f>'GS &gt; 50 OLS Model'!$B$8*G51</f>
        <v>30733246.314797524</v>
      </c>
      <c r="U51" s="186"/>
      <c r="V51" s="186">
        <f>'GS &gt; 50 OLS Model'!$B$9*I51</f>
        <v>0</v>
      </c>
      <c r="W51" s="186">
        <f>'GS &gt; 50 OLS Model'!$B$10*J51</f>
        <v>0</v>
      </c>
      <c r="X51" s="186">
        <f>'GS &gt; 50 OLS Model'!$B$11*K51</f>
        <v>0</v>
      </c>
      <c r="Y51" s="186">
        <f>'GS &gt; 50 OLS Model'!$B$12*L51</f>
        <v>0</v>
      </c>
      <c r="Z51" s="186">
        <v>0</v>
      </c>
      <c r="AA51" s="186">
        <f>'GS &gt; 50 OLS Model'!$B$13*N51</f>
        <v>31314452.250836439</v>
      </c>
      <c r="AB51" s="186">
        <f>'GS &gt; 50 OLS Model'!$B$14*O51</f>
        <v>12428939.531927491</v>
      </c>
      <c r="AC51">
        <f t="shared" si="5"/>
        <v>79904654.487388</v>
      </c>
      <c r="AD51" s="24">
        <f t="shared" ca="1" si="6"/>
        <v>2.6408517176763711E-3</v>
      </c>
    </row>
    <row r="52" spans="1:30">
      <c r="A52" s="26">
        <f>'Monthly Data'!A52</f>
        <v>41334</v>
      </c>
      <c r="B52" s="154">
        <f t="shared" si="4"/>
        <v>3</v>
      </c>
      <c r="C52">
        <f t="shared" si="7"/>
        <v>2013</v>
      </c>
      <c r="D52">
        <f ca="1">'Monthly Data'!O52</f>
        <v>83295056.131635845</v>
      </c>
      <c r="E52">
        <f>'Monthly Data'!BH52</f>
        <v>505.20000000000005</v>
      </c>
      <c r="F52">
        <f>'Monthly Data'!BI52</f>
        <v>0</v>
      </c>
      <c r="G52">
        <f>'Monthly Data'!BL52</f>
        <v>586913</v>
      </c>
      <c r="H52">
        <f>'Monthly Data'!BM52</f>
        <v>51</v>
      </c>
      <c r="I52">
        <f>'Monthly Data'!BQ52</f>
        <v>0</v>
      </c>
      <c r="J52">
        <f>'Monthly Data'!BS52</f>
        <v>0</v>
      </c>
      <c r="K52">
        <f>'Monthly Data'!BU52</f>
        <v>0</v>
      </c>
      <c r="L52">
        <f>'Monthly Data'!BV52</f>
        <v>0</v>
      </c>
      <c r="M52">
        <f>'Monthly Data'!BW52</f>
        <v>0</v>
      </c>
      <c r="N52">
        <f>'Monthly Data'!CC52</f>
        <v>31</v>
      </c>
      <c r="O52">
        <f>'Monthly Data'!CD52</f>
        <v>19</v>
      </c>
      <c r="Q52">
        <f>'GS &gt; 50 OLS Model'!$B$5</f>
        <v>-8508488.8174217809</v>
      </c>
      <c r="R52" s="186">
        <f>'GS &gt; 50 OLS Model'!$B$6*E52</f>
        <v>12248995.182153532</v>
      </c>
      <c r="S52" s="186">
        <f>'GS &gt; 50 OLS Model'!$B$7*F52</f>
        <v>0</v>
      </c>
      <c r="T52" s="186">
        <f>'GS &gt; 50 OLS Model'!$B$8*G52</f>
        <v>30733246.314797524</v>
      </c>
      <c r="U52" s="186"/>
      <c r="V52" s="186">
        <f>'GS &gt; 50 OLS Model'!$B$9*I52</f>
        <v>0</v>
      </c>
      <c r="W52" s="186">
        <f>'GS &gt; 50 OLS Model'!$B$10*J52</f>
        <v>0</v>
      </c>
      <c r="X52" s="186">
        <f>'GS &gt; 50 OLS Model'!$B$11*K52</f>
        <v>0</v>
      </c>
      <c r="Y52" s="186">
        <f>'GS &gt; 50 OLS Model'!$B$12*L52</f>
        <v>0</v>
      </c>
      <c r="Z52" s="186">
        <v>0</v>
      </c>
      <c r="AA52" s="186">
        <f>'GS &gt; 50 OLS Model'!$B$13*N52</f>
        <v>34669572.13485463</v>
      </c>
      <c r="AB52" s="186">
        <f>'GS &gt; 50 OLS Model'!$B$14*O52</f>
        <v>12428939.531927491</v>
      </c>
      <c r="AC52">
        <f t="shared" si="5"/>
        <v>81572264.346311405</v>
      </c>
      <c r="AD52" s="24">
        <f t="shared" ca="1" si="6"/>
        <v>2.0683001673014241E-2</v>
      </c>
    </row>
    <row r="53" spans="1:30">
      <c r="A53" s="26">
        <f>'Monthly Data'!A53</f>
        <v>41365</v>
      </c>
      <c r="B53" s="154">
        <f t="shared" si="4"/>
        <v>4</v>
      </c>
      <c r="C53">
        <f t="shared" si="7"/>
        <v>2013</v>
      </c>
      <c r="D53">
        <f ca="1">'Monthly Data'!O53</f>
        <v>75368667.834339544</v>
      </c>
      <c r="E53">
        <f>'Monthly Data'!BH53</f>
        <v>300.19999999999993</v>
      </c>
      <c r="F53">
        <f>'Monthly Data'!BI53</f>
        <v>0</v>
      </c>
      <c r="G53">
        <f>'Monthly Data'!BL53</f>
        <v>586913</v>
      </c>
      <c r="H53">
        <f>'Monthly Data'!BM53</f>
        <v>52</v>
      </c>
      <c r="I53">
        <f>'Monthly Data'!BQ53</f>
        <v>1</v>
      </c>
      <c r="J53">
        <f>'Monthly Data'!BS53</f>
        <v>0</v>
      </c>
      <c r="K53">
        <f>'Monthly Data'!BU53</f>
        <v>0</v>
      </c>
      <c r="L53">
        <f>'Monthly Data'!BV53</f>
        <v>0</v>
      </c>
      <c r="M53">
        <f>'Monthly Data'!BW53</f>
        <v>0</v>
      </c>
      <c r="N53">
        <f>'Monthly Data'!CC53</f>
        <v>30</v>
      </c>
      <c r="O53">
        <f>'Monthly Data'!CD53</f>
        <v>22</v>
      </c>
      <c r="Q53">
        <f>'GS &gt; 50 OLS Model'!$B$5</f>
        <v>-8508488.8174217809</v>
      </c>
      <c r="R53" s="186">
        <f>'GS &gt; 50 OLS Model'!$B$6*E53</f>
        <v>7278599.2749059564</v>
      </c>
      <c r="S53" s="186">
        <f>'GS &gt; 50 OLS Model'!$B$7*F53</f>
        <v>0</v>
      </c>
      <c r="T53" s="186">
        <f>'GS &gt; 50 OLS Model'!$B$8*G53</f>
        <v>30733246.314797524</v>
      </c>
      <c r="U53" s="186"/>
      <c r="V53" s="186">
        <f>'GS &gt; 50 OLS Model'!$B$9*I53</f>
        <v>-1670359.8066300801</v>
      </c>
      <c r="W53" s="186">
        <f>'GS &gt; 50 OLS Model'!$B$10*J53</f>
        <v>0</v>
      </c>
      <c r="X53" s="186">
        <f>'GS &gt; 50 OLS Model'!$B$11*K53</f>
        <v>0</v>
      </c>
      <c r="Y53" s="186">
        <f>'GS &gt; 50 OLS Model'!$B$12*L53</f>
        <v>0</v>
      </c>
      <c r="Z53" s="186">
        <v>0</v>
      </c>
      <c r="AA53" s="186">
        <f>'GS &gt; 50 OLS Model'!$B$13*N53</f>
        <v>33551198.840181898</v>
      </c>
      <c r="AB53" s="186">
        <f>'GS &gt; 50 OLS Model'!$B$14*O53</f>
        <v>14391403.668547621</v>
      </c>
      <c r="AC53">
        <f t="shared" si="5"/>
        <v>75775599.474381134</v>
      </c>
      <c r="AD53" s="24">
        <f t="shared" ca="1" si="6"/>
        <v>5.399214975326699E-3</v>
      </c>
    </row>
    <row r="54" spans="1:30">
      <c r="A54" s="26">
        <f>'Monthly Data'!A54</f>
        <v>41395</v>
      </c>
      <c r="B54" s="154">
        <f t="shared" si="4"/>
        <v>5</v>
      </c>
      <c r="C54">
        <f t="shared" si="7"/>
        <v>2013</v>
      </c>
      <c r="D54">
        <f ca="1">'Monthly Data'!O54</f>
        <v>76645979.128271654</v>
      </c>
      <c r="E54">
        <f>'Monthly Data'!BH54</f>
        <v>73.300000000000011</v>
      </c>
      <c r="F54">
        <f>'Monthly Data'!BI54</f>
        <v>59.899999999999991</v>
      </c>
      <c r="G54">
        <f>'Monthly Data'!BL54</f>
        <v>586913</v>
      </c>
      <c r="H54">
        <f>'Monthly Data'!BM54</f>
        <v>53</v>
      </c>
      <c r="I54">
        <f>'Monthly Data'!BQ54</f>
        <v>0</v>
      </c>
      <c r="J54">
        <f>'Monthly Data'!BS54</f>
        <v>0</v>
      </c>
      <c r="K54">
        <f>'Monthly Data'!BU54</f>
        <v>0</v>
      </c>
      <c r="L54">
        <f>'Monthly Data'!BV54</f>
        <v>0</v>
      </c>
      <c r="M54">
        <f>'Monthly Data'!BW54</f>
        <v>0</v>
      </c>
      <c r="N54">
        <f>'Monthly Data'!CC54</f>
        <v>31</v>
      </c>
      <c r="O54">
        <f>'Monthly Data'!CD54</f>
        <v>22</v>
      </c>
      <c r="Q54">
        <f>'GS &gt; 50 OLS Model'!$B$5</f>
        <v>-8508488.8174217809</v>
      </c>
      <c r="R54" s="186">
        <f>'GS &gt; 50 OLS Model'!$B$6*E54</f>
        <v>1777219.6097621813</v>
      </c>
      <c r="S54" s="186">
        <f>'GS &gt; 50 OLS Model'!$B$7*F54</f>
        <v>4276117.6610602206</v>
      </c>
      <c r="T54" s="186">
        <f>'GS &gt; 50 OLS Model'!$B$8*G54</f>
        <v>30733246.314797524</v>
      </c>
      <c r="U54" s="186"/>
      <c r="V54" s="186">
        <f>'GS &gt; 50 OLS Model'!$B$9*I54</f>
        <v>0</v>
      </c>
      <c r="W54" s="186">
        <f>'GS &gt; 50 OLS Model'!$B$10*J54</f>
        <v>0</v>
      </c>
      <c r="X54" s="186">
        <f>'GS &gt; 50 OLS Model'!$B$11*K54</f>
        <v>0</v>
      </c>
      <c r="Y54" s="186">
        <f>'GS &gt; 50 OLS Model'!$B$12*L54</f>
        <v>0</v>
      </c>
      <c r="Z54" s="186">
        <v>0</v>
      </c>
      <c r="AA54" s="186">
        <f>'GS &gt; 50 OLS Model'!$B$13*N54</f>
        <v>34669572.13485463</v>
      </c>
      <c r="AB54" s="186">
        <f>'GS &gt; 50 OLS Model'!$B$14*O54</f>
        <v>14391403.668547621</v>
      </c>
      <c r="AC54">
        <f t="shared" ref="AC54:AC85" si="8">SUM(Q54:AB54)</f>
        <v>77339070.571600392</v>
      </c>
      <c r="AD54" s="24">
        <f t="shared" ref="AD54:AD85" ca="1" si="9">ABS(AC54-D54)/D54</f>
        <v>9.0427632500957155E-3</v>
      </c>
    </row>
    <row r="55" spans="1:30">
      <c r="A55" s="26">
        <f>'Monthly Data'!A55</f>
        <v>41426</v>
      </c>
      <c r="B55" s="154">
        <f t="shared" si="4"/>
        <v>6</v>
      </c>
      <c r="C55">
        <f t="shared" si="7"/>
        <v>2013</v>
      </c>
      <c r="D55">
        <f ca="1">'Monthly Data'!O55</f>
        <v>77950659.403683424</v>
      </c>
      <c r="E55">
        <f>'Monthly Data'!BH55</f>
        <v>14.700000000000001</v>
      </c>
      <c r="F55">
        <f>'Monthly Data'!BI55</f>
        <v>103.49999999999999</v>
      </c>
      <c r="G55">
        <f>'Monthly Data'!BL55</f>
        <v>586913</v>
      </c>
      <c r="H55">
        <f>'Monthly Data'!BM55</f>
        <v>54</v>
      </c>
      <c r="I55">
        <f>'Monthly Data'!BQ55</f>
        <v>0</v>
      </c>
      <c r="J55">
        <f>'Monthly Data'!BS55</f>
        <v>1</v>
      </c>
      <c r="K55">
        <f>'Monthly Data'!BU55</f>
        <v>0</v>
      </c>
      <c r="L55">
        <f>'Monthly Data'!BV55</f>
        <v>0</v>
      </c>
      <c r="M55">
        <f>'Monthly Data'!BW55</f>
        <v>0</v>
      </c>
      <c r="N55">
        <f>'Monthly Data'!CC55</f>
        <v>30</v>
      </c>
      <c r="O55">
        <f>'Monthly Data'!CD55</f>
        <v>20</v>
      </c>
      <c r="Q55">
        <f>'GS &gt; 50 OLS Model'!$B$5</f>
        <v>-8508488.8174217809</v>
      </c>
      <c r="R55" s="186">
        <f>'GS &gt; 50 OLS Model'!$B$6*E55</f>
        <v>356413.75530019181</v>
      </c>
      <c r="S55" s="186">
        <f>'GS &gt; 50 OLS Model'!$B$7*F55</f>
        <v>7388617.3275414491</v>
      </c>
      <c r="T55" s="186">
        <f>'GS &gt; 50 OLS Model'!$B$8*G55</f>
        <v>30733246.314797524</v>
      </c>
      <c r="U55" s="186"/>
      <c r="V55" s="186">
        <f>'GS &gt; 50 OLS Model'!$B$9*I55</f>
        <v>0</v>
      </c>
      <c r="W55" s="186">
        <f>'GS &gt; 50 OLS Model'!$B$10*J55</f>
        <v>1244451.2383117899</v>
      </c>
      <c r="X55" s="186">
        <f>'GS &gt; 50 OLS Model'!$B$11*K55</f>
        <v>0</v>
      </c>
      <c r="Y55" s="186">
        <f>'GS &gt; 50 OLS Model'!$B$12*L55</f>
        <v>0</v>
      </c>
      <c r="Z55" s="186">
        <v>0</v>
      </c>
      <c r="AA55" s="186">
        <f>'GS &gt; 50 OLS Model'!$B$13*N55</f>
        <v>33551198.840181898</v>
      </c>
      <c r="AB55" s="186">
        <f>'GS &gt; 50 OLS Model'!$B$14*O55</f>
        <v>13083094.244134201</v>
      </c>
      <c r="AC55">
        <f t="shared" si="8"/>
        <v>77848532.902845278</v>
      </c>
      <c r="AD55" s="24">
        <f t="shared" ca="1" si="9"/>
        <v>1.310142872676197E-3</v>
      </c>
    </row>
    <row r="56" spans="1:30">
      <c r="A56" s="26">
        <f>'Monthly Data'!A56</f>
        <v>41456</v>
      </c>
      <c r="B56" s="154">
        <f t="shared" si="4"/>
        <v>7</v>
      </c>
      <c r="C56">
        <f t="shared" si="7"/>
        <v>2013</v>
      </c>
      <c r="D56">
        <f ca="1">'Monthly Data'!O56</f>
        <v>82611806.230879351</v>
      </c>
      <c r="E56">
        <f>'Monthly Data'!BH56</f>
        <v>1.5</v>
      </c>
      <c r="F56">
        <f>'Monthly Data'!BI56</f>
        <v>174.80000000000004</v>
      </c>
      <c r="G56">
        <f>'Monthly Data'!BL56</f>
        <v>586913</v>
      </c>
      <c r="H56">
        <f>'Monthly Data'!BM56</f>
        <v>55</v>
      </c>
      <c r="I56">
        <f>'Monthly Data'!BQ56</f>
        <v>0</v>
      </c>
      <c r="J56">
        <f>'Monthly Data'!BS56</f>
        <v>0</v>
      </c>
      <c r="K56">
        <f>'Monthly Data'!BU56</f>
        <v>0</v>
      </c>
      <c r="L56">
        <f>'Monthly Data'!BV56</f>
        <v>0</v>
      </c>
      <c r="M56">
        <f>'Monthly Data'!BW56</f>
        <v>0</v>
      </c>
      <c r="N56">
        <f>'Monthly Data'!CC56</f>
        <v>31</v>
      </c>
      <c r="O56">
        <f>'Monthly Data'!CD56</f>
        <v>22</v>
      </c>
      <c r="Q56">
        <f>'GS &gt; 50 OLS Model'!$B$5</f>
        <v>-8508488.8174217809</v>
      </c>
      <c r="R56" s="186">
        <f>'GS &gt; 50 OLS Model'!$B$6*E56</f>
        <v>36368.750540835899</v>
      </c>
      <c r="S56" s="186">
        <f>'GS &gt; 50 OLS Model'!$B$7*F56</f>
        <v>12478553.708736675</v>
      </c>
      <c r="T56" s="186">
        <f>'GS &gt; 50 OLS Model'!$B$8*G56</f>
        <v>30733246.314797524</v>
      </c>
      <c r="U56" s="186"/>
      <c r="V56" s="186">
        <f>'GS &gt; 50 OLS Model'!$B$9*I56</f>
        <v>0</v>
      </c>
      <c r="W56" s="186">
        <f>'GS &gt; 50 OLS Model'!$B$10*J56</f>
        <v>0</v>
      </c>
      <c r="X56" s="186">
        <f>'GS &gt; 50 OLS Model'!$B$11*K56</f>
        <v>0</v>
      </c>
      <c r="Y56" s="186">
        <f>'GS &gt; 50 OLS Model'!$B$12*L56</f>
        <v>0</v>
      </c>
      <c r="Z56" s="186">
        <v>0</v>
      </c>
      <c r="AA56" s="186">
        <f>'GS &gt; 50 OLS Model'!$B$13*N56</f>
        <v>34669572.13485463</v>
      </c>
      <c r="AB56" s="186">
        <f>'GS &gt; 50 OLS Model'!$B$14*O56</f>
        <v>14391403.668547621</v>
      </c>
      <c r="AC56">
        <f t="shared" si="8"/>
        <v>83800655.760055497</v>
      </c>
      <c r="AD56" s="24">
        <f t="shared" ca="1" si="9"/>
        <v>1.4390794529459973E-2</v>
      </c>
    </row>
    <row r="57" spans="1:30">
      <c r="A57" s="26">
        <f>'Monthly Data'!A57</f>
        <v>41487</v>
      </c>
      <c r="B57" s="154">
        <f t="shared" si="4"/>
        <v>8</v>
      </c>
      <c r="C57">
        <f t="shared" si="7"/>
        <v>2013</v>
      </c>
      <c r="D57">
        <f ca="1">'Monthly Data'!O57</f>
        <v>81402470.109881312</v>
      </c>
      <c r="E57">
        <f>'Monthly Data'!BH57</f>
        <v>1.2</v>
      </c>
      <c r="F57">
        <f>'Monthly Data'!BI57</f>
        <v>134.29999999999998</v>
      </c>
      <c r="G57">
        <f>'Monthly Data'!BL57</f>
        <v>586913</v>
      </c>
      <c r="H57">
        <f>'Monthly Data'!BM57</f>
        <v>56</v>
      </c>
      <c r="I57">
        <f>'Monthly Data'!BQ57</f>
        <v>0</v>
      </c>
      <c r="J57">
        <f>'Monthly Data'!BS57</f>
        <v>0</v>
      </c>
      <c r="K57">
        <f>'Monthly Data'!BU57</f>
        <v>1</v>
      </c>
      <c r="L57">
        <f>'Monthly Data'!BV57</f>
        <v>0</v>
      </c>
      <c r="M57">
        <f>'Monthly Data'!BW57</f>
        <v>0</v>
      </c>
      <c r="N57">
        <f>'Monthly Data'!CC57</f>
        <v>31</v>
      </c>
      <c r="O57">
        <f>'Monthly Data'!CD57</f>
        <v>21</v>
      </c>
      <c r="Q57">
        <f>'GS &gt; 50 OLS Model'!$B$5</f>
        <v>-8508488.8174217809</v>
      </c>
      <c r="R57" s="186">
        <f>'GS &gt; 50 OLS Model'!$B$6*E57</f>
        <v>29095.000432668719</v>
      </c>
      <c r="S57" s="186">
        <f>'GS &gt; 50 OLS Model'!$B$7*F57</f>
        <v>9587355.624046538</v>
      </c>
      <c r="T57" s="186">
        <f>'GS &gt; 50 OLS Model'!$B$8*G57</f>
        <v>30733246.314797524</v>
      </c>
      <c r="U57" s="186"/>
      <c r="V57" s="186">
        <f>'GS &gt; 50 OLS Model'!$B$9*I57</f>
        <v>0</v>
      </c>
      <c r="W57" s="186">
        <f>'GS &gt; 50 OLS Model'!$B$10*J57</f>
        <v>0</v>
      </c>
      <c r="X57" s="186">
        <f>'GS &gt; 50 OLS Model'!$B$11*K57</f>
        <v>2505717.0713192602</v>
      </c>
      <c r="Y57" s="186">
        <f>'GS &gt; 50 OLS Model'!$B$12*L57</f>
        <v>0</v>
      </c>
      <c r="Z57" s="186">
        <v>0</v>
      </c>
      <c r="AA57" s="186">
        <f>'GS &gt; 50 OLS Model'!$B$13*N57</f>
        <v>34669572.13485463</v>
      </c>
      <c r="AB57" s="186">
        <f>'GS &gt; 50 OLS Model'!$B$14*O57</f>
        <v>13737248.956340911</v>
      </c>
      <c r="AC57">
        <f t="shared" si="8"/>
        <v>82753746.284369752</v>
      </c>
      <c r="AD57" s="24">
        <f t="shared" ca="1" si="9"/>
        <v>1.6599940673353238E-2</v>
      </c>
    </row>
    <row r="58" spans="1:30">
      <c r="A58" s="26">
        <f>'Monthly Data'!A58</f>
        <v>41518</v>
      </c>
      <c r="B58" s="154">
        <f t="shared" si="4"/>
        <v>9</v>
      </c>
      <c r="C58">
        <f t="shared" si="7"/>
        <v>2013</v>
      </c>
      <c r="D58">
        <f ca="1">'Monthly Data'!O58</f>
        <v>76153505.586661026</v>
      </c>
      <c r="E58">
        <f>'Monthly Data'!BH58</f>
        <v>41.2</v>
      </c>
      <c r="F58">
        <f>'Monthly Data'!BI58</f>
        <v>65.3</v>
      </c>
      <c r="G58">
        <f>'Monthly Data'!BL58</f>
        <v>586913</v>
      </c>
      <c r="H58">
        <f>'Monthly Data'!BM58</f>
        <v>57</v>
      </c>
      <c r="I58">
        <f>'Monthly Data'!BQ58</f>
        <v>0</v>
      </c>
      <c r="J58">
        <f>'Monthly Data'!BS58</f>
        <v>0</v>
      </c>
      <c r="K58">
        <f>'Monthly Data'!BU58</f>
        <v>0</v>
      </c>
      <c r="L58">
        <f>'Monthly Data'!BV58</f>
        <v>1</v>
      </c>
      <c r="M58">
        <f>'Monthly Data'!BW58</f>
        <v>0</v>
      </c>
      <c r="N58">
        <f>'Monthly Data'!CC58</f>
        <v>30</v>
      </c>
      <c r="O58">
        <f>'Monthly Data'!CD58</f>
        <v>20</v>
      </c>
      <c r="Q58">
        <f>'GS &gt; 50 OLS Model'!$B$5</f>
        <v>-8508488.8174217809</v>
      </c>
      <c r="R58" s="186">
        <f>'GS &gt; 50 OLS Model'!$B$6*E58</f>
        <v>998928.34818829282</v>
      </c>
      <c r="S58" s="186">
        <f>'GS &gt; 50 OLS Model'!$B$7*F58</f>
        <v>4661610.739018905</v>
      </c>
      <c r="T58" s="186">
        <f>'GS &gt; 50 OLS Model'!$B$8*G58</f>
        <v>30733246.314797524</v>
      </c>
      <c r="U58" s="186"/>
      <c r="V58" s="186">
        <f>'GS &gt; 50 OLS Model'!$B$9*I58</f>
        <v>0</v>
      </c>
      <c r="W58" s="186">
        <f>'GS &gt; 50 OLS Model'!$B$10*J58</f>
        <v>0</v>
      </c>
      <c r="X58" s="186">
        <f>'GS &gt; 50 OLS Model'!$B$11*K58</f>
        <v>0</v>
      </c>
      <c r="Y58" s="186">
        <f>'GS &gt; 50 OLS Model'!$B$12*L58</f>
        <v>2345350.8919449002</v>
      </c>
      <c r="Z58" s="186">
        <v>0</v>
      </c>
      <c r="AA58" s="186">
        <f>'GS &gt; 50 OLS Model'!$B$13*N58</f>
        <v>33551198.840181898</v>
      </c>
      <c r="AB58" s="186">
        <f>'GS &gt; 50 OLS Model'!$B$14*O58</f>
        <v>13083094.244134201</v>
      </c>
      <c r="AC58">
        <f t="shared" si="8"/>
        <v>76864940.560843945</v>
      </c>
      <c r="AD58" s="24">
        <f t="shared" ca="1" si="9"/>
        <v>9.3421171973931162E-3</v>
      </c>
    </row>
    <row r="59" spans="1:30">
      <c r="A59" s="26">
        <f>'Monthly Data'!A59</f>
        <v>41548</v>
      </c>
      <c r="B59" s="154">
        <f t="shared" si="4"/>
        <v>10</v>
      </c>
      <c r="C59">
        <f t="shared" si="7"/>
        <v>2013</v>
      </c>
      <c r="D59">
        <f ca="1">'Monthly Data'!O59</f>
        <v>77422083.680861652</v>
      </c>
      <c r="E59">
        <f>'Monthly Data'!BH59</f>
        <v>170.49999999999997</v>
      </c>
      <c r="F59">
        <f>'Monthly Data'!BI59</f>
        <v>19.899999999999999</v>
      </c>
      <c r="G59">
        <f>'Monthly Data'!BL59</f>
        <v>586913</v>
      </c>
      <c r="H59">
        <f>'Monthly Data'!BM59</f>
        <v>58</v>
      </c>
      <c r="I59">
        <f>'Monthly Data'!BQ59</f>
        <v>0</v>
      </c>
      <c r="J59">
        <f>'Monthly Data'!BS59</f>
        <v>0</v>
      </c>
      <c r="K59">
        <f>'Monthly Data'!BU59</f>
        <v>0</v>
      </c>
      <c r="L59">
        <f>'Monthly Data'!BV59</f>
        <v>0</v>
      </c>
      <c r="M59">
        <f>'Monthly Data'!BW59</f>
        <v>1</v>
      </c>
      <c r="N59">
        <f>'Monthly Data'!CC59</f>
        <v>31</v>
      </c>
      <c r="O59">
        <f>'Monthly Data'!CD59</f>
        <v>22</v>
      </c>
      <c r="Q59">
        <f>'GS &gt; 50 OLS Model'!$B$5</f>
        <v>-8508488.8174217809</v>
      </c>
      <c r="R59" s="186">
        <f>'GS &gt; 50 OLS Model'!$B$6*E59</f>
        <v>4133914.6448083464</v>
      </c>
      <c r="S59" s="186">
        <f>'GS &gt; 50 OLS Model'!$B$7*F59</f>
        <v>1420613.3798847813</v>
      </c>
      <c r="T59" s="186">
        <f>'GS &gt; 50 OLS Model'!$B$8*G59</f>
        <v>30733246.314797524</v>
      </c>
      <c r="U59" s="186"/>
      <c r="V59" s="186">
        <f>'GS &gt; 50 OLS Model'!$B$9*I59</f>
        <v>0</v>
      </c>
      <c r="W59" s="186">
        <f>'GS &gt; 50 OLS Model'!$B$10*J59</f>
        <v>0</v>
      </c>
      <c r="X59" s="186">
        <f>'GS &gt; 50 OLS Model'!$B$11*K59</f>
        <v>0</v>
      </c>
      <c r="Y59" s="186">
        <f>'GS &gt; 50 OLS Model'!$B$12*L59</f>
        <v>0</v>
      </c>
      <c r="Z59" s="186">
        <v>0</v>
      </c>
      <c r="AA59" s="186">
        <f>'GS &gt; 50 OLS Model'!$B$13*N59</f>
        <v>34669572.13485463</v>
      </c>
      <c r="AB59" s="186">
        <f>'GS &gt; 50 OLS Model'!$B$14*O59</f>
        <v>14391403.668547621</v>
      </c>
      <c r="AC59">
        <f t="shared" si="8"/>
        <v>76840261.325471118</v>
      </c>
      <c r="AD59" s="24">
        <f t="shared" ca="1" si="9"/>
        <v>7.5149405405935538E-3</v>
      </c>
    </row>
    <row r="60" spans="1:30">
      <c r="A60" s="26">
        <f>'Monthly Data'!A60</f>
        <v>41579</v>
      </c>
      <c r="B60" s="154">
        <f t="shared" si="4"/>
        <v>11</v>
      </c>
      <c r="C60">
        <f t="shared" si="7"/>
        <v>2013</v>
      </c>
      <c r="D60">
        <f ca="1">'Monthly Data'!O60</f>
        <v>79988549.467103228</v>
      </c>
      <c r="E60">
        <f>'Monthly Data'!BH60</f>
        <v>424.9</v>
      </c>
      <c r="F60">
        <f>'Monthly Data'!BI60</f>
        <v>0</v>
      </c>
      <c r="G60">
        <f>'Monthly Data'!BL60</f>
        <v>586913</v>
      </c>
      <c r="H60">
        <f>'Monthly Data'!BM60</f>
        <v>59</v>
      </c>
      <c r="I60">
        <f>'Monthly Data'!BQ60</f>
        <v>0</v>
      </c>
      <c r="J60">
        <f>'Monthly Data'!BS60</f>
        <v>0</v>
      </c>
      <c r="K60">
        <f>'Monthly Data'!BU60</f>
        <v>0</v>
      </c>
      <c r="L60">
        <f>'Monthly Data'!BV60</f>
        <v>0</v>
      </c>
      <c r="M60">
        <f>'Monthly Data'!BW60</f>
        <v>0</v>
      </c>
      <c r="N60">
        <f>'Monthly Data'!CC60</f>
        <v>30</v>
      </c>
      <c r="O60">
        <f>'Monthly Data'!CD60</f>
        <v>21</v>
      </c>
      <c r="Q60">
        <f>'GS &gt; 50 OLS Model'!$B$5</f>
        <v>-8508488.8174217809</v>
      </c>
      <c r="R60" s="186">
        <f>'GS &gt; 50 OLS Model'!$B$6*E60</f>
        <v>10302054.736534115</v>
      </c>
      <c r="S60" s="186">
        <f>'GS &gt; 50 OLS Model'!$B$7*F60</f>
        <v>0</v>
      </c>
      <c r="T60" s="186">
        <f>'GS &gt; 50 OLS Model'!$B$8*G60</f>
        <v>30733246.314797524</v>
      </c>
      <c r="U60" s="186"/>
      <c r="V60" s="186">
        <f>'GS &gt; 50 OLS Model'!$B$9*I60</f>
        <v>0</v>
      </c>
      <c r="W60" s="186">
        <f>'GS &gt; 50 OLS Model'!$B$10*J60</f>
        <v>0</v>
      </c>
      <c r="X60" s="186">
        <f>'GS &gt; 50 OLS Model'!$B$11*K60</f>
        <v>0</v>
      </c>
      <c r="Y60" s="186">
        <f>'GS &gt; 50 OLS Model'!$B$12*L60</f>
        <v>0</v>
      </c>
      <c r="Z60" s="186">
        <v>0</v>
      </c>
      <c r="AA60" s="186">
        <f>'GS &gt; 50 OLS Model'!$B$13*N60</f>
        <v>33551198.840181898</v>
      </c>
      <c r="AB60" s="186">
        <f>'GS &gt; 50 OLS Model'!$B$14*O60</f>
        <v>13737248.956340911</v>
      </c>
      <c r="AC60">
        <f t="shared" si="8"/>
        <v>79815260.030432671</v>
      </c>
      <c r="AD60" s="24">
        <f t="shared" ca="1" si="9"/>
        <v>2.1664280428266192E-3</v>
      </c>
    </row>
    <row r="61" spans="1:30">
      <c r="A61" s="26">
        <f>'Monthly Data'!A61</f>
        <v>41609</v>
      </c>
      <c r="B61" s="154">
        <f t="shared" si="4"/>
        <v>12</v>
      </c>
      <c r="C61">
        <f t="shared" si="7"/>
        <v>2013</v>
      </c>
      <c r="D61">
        <f ca="1">'Monthly Data'!O61</f>
        <v>83719004.850571141</v>
      </c>
      <c r="E61">
        <f>'Monthly Data'!BH61</f>
        <v>614.30000000000007</v>
      </c>
      <c r="F61">
        <f>'Monthly Data'!BI61</f>
        <v>0</v>
      </c>
      <c r="G61">
        <f>'Monthly Data'!BL61</f>
        <v>586913</v>
      </c>
      <c r="H61">
        <f>'Monthly Data'!BM61</f>
        <v>60</v>
      </c>
      <c r="I61">
        <f>'Monthly Data'!BQ61</f>
        <v>0</v>
      </c>
      <c r="J61">
        <f>'Monthly Data'!BS61</f>
        <v>0</v>
      </c>
      <c r="K61">
        <f>'Monthly Data'!BU61</f>
        <v>0</v>
      </c>
      <c r="L61">
        <f>'Monthly Data'!BV61</f>
        <v>0</v>
      </c>
      <c r="M61">
        <f>'Monthly Data'!BW61</f>
        <v>0</v>
      </c>
      <c r="N61">
        <f>'Monthly Data'!CC61</f>
        <v>31</v>
      </c>
      <c r="O61">
        <f>'Monthly Data'!CD61</f>
        <v>20</v>
      </c>
      <c r="Q61">
        <f>'GS &gt; 50 OLS Model'!$B$5</f>
        <v>-8508488.8174217809</v>
      </c>
      <c r="R61" s="186">
        <f>'GS &gt; 50 OLS Model'!$B$6*E61</f>
        <v>14894215.638156997</v>
      </c>
      <c r="S61" s="186">
        <f>'GS &gt; 50 OLS Model'!$B$7*F61</f>
        <v>0</v>
      </c>
      <c r="T61" s="186">
        <f>'GS &gt; 50 OLS Model'!$B$8*G61</f>
        <v>30733246.314797524</v>
      </c>
      <c r="U61" s="186"/>
      <c r="V61" s="186">
        <f>'GS &gt; 50 OLS Model'!$B$9*I61</f>
        <v>0</v>
      </c>
      <c r="W61" s="186">
        <f>'GS &gt; 50 OLS Model'!$B$10*J61</f>
        <v>0</v>
      </c>
      <c r="X61" s="186">
        <f>'GS &gt; 50 OLS Model'!$B$11*K61</f>
        <v>0</v>
      </c>
      <c r="Y61" s="186">
        <f>'GS &gt; 50 OLS Model'!$B$12*L61</f>
        <v>0</v>
      </c>
      <c r="Z61" s="186">
        <v>0</v>
      </c>
      <c r="AA61" s="186">
        <f>'GS &gt; 50 OLS Model'!$B$13*N61</f>
        <v>34669572.13485463</v>
      </c>
      <c r="AB61" s="186">
        <f>'GS &gt; 50 OLS Model'!$B$14*O61</f>
        <v>13083094.244134201</v>
      </c>
      <c r="AC61">
        <f t="shared" si="8"/>
        <v>84871639.514521569</v>
      </c>
      <c r="AD61" s="24">
        <f t="shared" ca="1" si="9"/>
        <v>1.3767897337142858E-2</v>
      </c>
    </row>
    <row r="62" spans="1:30">
      <c r="A62" s="26">
        <f>'Monthly Data'!A62</f>
        <v>41640</v>
      </c>
      <c r="B62" s="154">
        <f t="shared" si="4"/>
        <v>1</v>
      </c>
      <c r="C62">
        <f t="shared" si="7"/>
        <v>2014</v>
      </c>
      <c r="D62">
        <f ca="1">'Monthly Data'!O62</f>
        <v>96510112.683375672</v>
      </c>
      <c r="E62">
        <f>'Monthly Data'!BH62</f>
        <v>784.99999999999977</v>
      </c>
      <c r="F62">
        <f>'Monthly Data'!BI62</f>
        <v>0</v>
      </c>
      <c r="G62">
        <f>'Monthly Data'!BL62</f>
        <v>601343.5</v>
      </c>
      <c r="H62">
        <f>'Monthly Data'!BM62</f>
        <v>61</v>
      </c>
      <c r="I62">
        <f>'Monthly Data'!BQ62</f>
        <v>0</v>
      </c>
      <c r="J62">
        <f>'Monthly Data'!BS62</f>
        <v>0</v>
      </c>
      <c r="K62">
        <f>'Monthly Data'!BU62</f>
        <v>0</v>
      </c>
      <c r="L62">
        <f>'Monthly Data'!BV62</f>
        <v>0</v>
      </c>
      <c r="M62">
        <f>'Monthly Data'!BW62</f>
        <v>0</v>
      </c>
      <c r="N62">
        <f>'Monthly Data'!CC62</f>
        <v>31</v>
      </c>
      <c r="O62">
        <f>'Monthly Data'!CD62</f>
        <v>22</v>
      </c>
      <c r="Q62">
        <f>'GS &gt; 50 OLS Model'!$B$5</f>
        <v>-8508488.8174217809</v>
      </c>
      <c r="R62" s="186">
        <f>'GS &gt; 50 OLS Model'!$B$6*E62</f>
        <v>19032979.449704114</v>
      </c>
      <c r="S62" s="186">
        <f>'GS &gt; 50 OLS Model'!$B$7*F62</f>
        <v>0</v>
      </c>
      <c r="T62" s="186">
        <f>'GS &gt; 50 OLS Model'!$B$8*G62</f>
        <v>31488888.311048564</v>
      </c>
      <c r="U62" s="186"/>
      <c r="V62" s="186">
        <f>'GS &gt; 50 OLS Model'!$B$9*I62</f>
        <v>0</v>
      </c>
      <c r="W62" s="186">
        <f>'GS &gt; 50 OLS Model'!$B$10*J62</f>
        <v>0</v>
      </c>
      <c r="X62" s="186">
        <f>'GS &gt; 50 OLS Model'!$B$11*K62</f>
        <v>0</v>
      </c>
      <c r="Y62" s="186">
        <f>'GS &gt; 50 OLS Model'!$B$12*L62</f>
        <v>0</v>
      </c>
      <c r="Z62" s="186">
        <v>0</v>
      </c>
      <c r="AA62" s="186">
        <f>'GS &gt; 50 OLS Model'!$B$13*N62</f>
        <v>34669572.13485463</v>
      </c>
      <c r="AB62" s="186">
        <f>'GS &gt; 50 OLS Model'!$B$14*O62</f>
        <v>14391403.668547621</v>
      </c>
      <c r="AC62">
        <f t="shared" si="8"/>
        <v>91074354.746733144</v>
      </c>
      <c r="AD62" s="24">
        <f t="shared" ca="1" si="9"/>
        <v>5.6323195419694737E-2</v>
      </c>
    </row>
    <row r="63" spans="1:30">
      <c r="A63" s="26">
        <f>'Monthly Data'!A63</f>
        <v>41671</v>
      </c>
      <c r="B63" s="154">
        <f t="shared" si="4"/>
        <v>2</v>
      </c>
      <c r="C63">
        <f t="shared" si="7"/>
        <v>2014</v>
      </c>
      <c r="D63">
        <f ca="1">'Monthly Data'!O63</f>
        <v>85964089.963368535</v>
      </c>
      <c r="E63">
        <f>'Monthly Data'!BH63</f>
        <v>674.19999999999982</v>
      </c>
      <c r="F63">
        <f>'Monthly Data'!BI63</f>
        <v>0</v>
      </c>
      <c r="G63">
        <f>'Monthly Data'!BL63</f>
        <v>601343.5</v>
      </c>
      <c r="H63">
        <f>'Monthly Data'!BM63</f>
        <v>62</v>
      </c>
      <c r="I63">
        <f>'Monthly Data'!BQ63</f>
        <v>0</v>
      </c>
      <c r="J63">
        <f>'Monthly Data'!BS63</f>
        <v>0</v>
      </c>
      <c r="K63">
        <f>'Monthly Data'!BU63</f>
        <v>0</v>
      </c>
      <c r="L63">
        <f>'Monthly Data'!BV63</f>
        <v>0</v>
      </c>
      <c r="M63">
        <f>'Monthly Data'!BW63</f>
        <v>0</v>
      </c>
      <c r="N63">
        <f>'Monthly Data'!CC63</f>
        <v>28</v>
      </c>
      <c r="O63">
        <f>'Monthly Data'!CD63</f>
        <v>19</v>
      </c>
      <c r="Q63">
        <f>'GS &gt; 50 OLS Model'!$B$5</f>
        <v>-8508488.8174217809</v>
      </c>
      <c r="R63" s="186">
        <f>'GS &gt; 50 OLS Model'!$B$6*E63</f>
        <v>16346541.076421037</v>
      </c>
      <c r="S63" s="186">
        <f>'GS &gt; 50 OLS Model'!$B$7*F63</f>
        <v>0</v>
      </c>
      <c r="T63" s="186">
        <f>'GS &gt; 50 OLS Model'!$B$8*G63</f>
        <v>31488888.311048564</v>
      </c>
      <c r="U63" s="186"/>
      <c r="V63" s="186">
        <f>'GS &gt; 50 OLS Model'!$B$9*I63</f>
        <v>0</v>
      </c>
      <c r="W63" s="186">
        <f>'GS &gt; 50 OLS Model'!$B$10*J63</f>
        <v>0</v>
      </c>
      <c r="X63" s="186">
        <f>'GS &gt; 50 OLS Model'!$B$11*K63</f>
        <v>0</v>
      </c>
      <c r="Y63" s="186">
        <f>'GS &gt; 50 OLS Model'!$B$12*L63</f>
        <v>0</v>
      </c>
      <c r="Z63" s="186">
        <v>0</v>
      </c>
      <c r="AA63" s="186">
        <f>'GS &gt; 50 OLS Model'!$B$13*N63</f>
        <v>31314452.250836439</v>
      </c>
      <c r="AB63" s="186">
        <f>'GS &gt; 50 OLS Model'!$B$14*O63</f>
        <v>12428939.531927491</v>
      </c>
      <c r="AC63">
        <f t="shared" si="8"/>
        <v>83070332.352811754</v>
      </c>
      <c r="AD63" s="24">
        <f t="shared" ca="1" si="9"/>
        <v>3.3662400332393261E-2</v>
      </c>
    </row>
    <row r="64" spans="1:30">
      <c r="A64" s="26">
        <f>'Monthly Data'!A64</f>
        <v>41699</v>
      </c>
      <c r="B64" s="154">
        <f t="shared" si="4"/>
        <v>3</v>
      </c>
      <c r="C64">
        <f t="shared" si="7"/>
        <v>2014</v>
      </c>
      <c r="D64">
        <f ca="1">'Monthly Data'!O64</f>
        <v>88422332.078679308</v>
      </c>
      <c r="E64">
        <f>'Monthly Data'!BH64</f>
        <v>591.90000000000009</v>
      </c>
      <c r="F64">
        <f>'Monthly Data'!BI64</f>
        <v>0</v>
      </c>
      <c r="G64">
        <f>'Monthly Data'!BL64</f>
        <v>601343.5</v>
      </c>
      <c r="H64">
        <f>'Monthly Data'!BM64</f>
        <v>63</v>
      </c>
      <c r="I64">
        <f>'Monthly Data'!BQ64</f>
        <v>0</v>
      </c>
      <c r="J64">
        <f>'Monthly Data'!BS64</f>
        <v>0</v>
      </c>
      <c r="K64">
        <f>'Monthly Data'!BU64</f>
        <v>0</v>
      </c>
      <c r="L64">
        <f>'Monthly Data'!BV64</f>
        <v>0</v>
      </c>
      <c r="M64">
        <f>'Monthly Data'!BW64</f>
        <v>0</v>
      </c>
      <c r="N64">
        <f>'Monthly Data'!CC64</f>
        <v>31</v>
      </c>
      <c r="O64">
        <f>'Monthly Data'!CD64</f>
        <v>21</v>
      </c>
      <c r="Q64">
        <f>'GS &gt; 50 OLS Model'!$B$5</f>
        <v>-8508488.8174217809</v>
      </c>
      <c r="R64" s="186">
        <f>'GS &gt; 50 OLS Model'!$B$6*E64</f>
        <v>14351108.963413848</v>
      </c>
      <c r="S64" s="186">
        <f>'GS &gt; 50 OLS Model'!$B$7*F64</f>
        <v>0</v>
      </c>
      <c r="T64" s="186">
        <f>'GS &gt; 50 OLS Model'!$B$8*G64</f>
        <v>31488888.311048564</v>
      </c>
      <c r="U64" s="186"/>
      <c r="V64" s="186">
        <f>'GS &gt; 50 OLS Model'!$B$9*I64</f>
        <v>0</v>
      </c>
      <c r="W64" s="186">
        <f>'GS &gt; 50 OLS Model'!$B$10*J64</f>
        <v>0</v>
      </c>
      <c r="X64" s="186">
        <f>'GS &gt; 50 OLS Model'!$B$11*K64</f>
        <v>0</v>
      </c>
      <c r="Y64" s="186">
        <f>'GS &gt; 50 OLS Model'!$B$12*L64</f>
        <v>0</v>
      </c>
      <c r="Z64" s="186">
        <v>0</v>
      </c>
      <c r="AA64" s="186">
        <f>'GS &gt; 50 OLS Model'!$B$13*N64</f>
        <v>34669572.13485463</v>
      </c>
      <c r="AB64" s="186">
        <f>'GS &gt; 50 OLS Model'!$B$14*O64</f>
        <v>13737248.956340911</v>
      </c>
      <c r="AC64">
        <f t="shared" si="8"/>
        <v>85738329.548236161</v>
      </c>
      <c r="AD64" s="24">
        <f t="shared" ca="1" si="9"/>
        <v>3.0354351297304481E-2</v>
      </c>
    </row>
    <row r="65" spans="1:30">
      <c r="A65" s="26">
        <f>'Monthly Data'!A65</f>
        <v>41730</v>
      </c>
      <c r="B65" s="154">
        <f t="shared" si="4"/>
        <v>4</v>
      </c>
      <c r="C65">
        <f t="shared" si="7"/>
        <v>2014</v>
      </c>
      <c r="D65">
        <f ca="1">'Monthly Data'!O65</f>
        <v>76199788.927618995</v>
      </c>
      <c r="E65">
        <f>'Monthly Data'!BH65</f>
        <v>253.7</v>
      </c>
      <c r="F65">
        <f>'Monthly Data'!BI65</f>
        <v>0</v>
      </c>
      <c r="G65">
        <f>'Monthly Data'!BL65</f>
        <v>601343.5</v>
      </c>
      <c r="H65">
        <f>'Monthly Data'!BM65</f>
        <v>64</v>
      </c>
      <c r="I65">
        <f>'Monthly Data'!BQ65</f>
        <v>1</v>
      </c>
      <c r="J65">
        <f>'Monthly Data'!BS65</f>
        <v>0</v>
      </c>
      <c r="K65">
        <f>'Monthly Data'!BU65</f>
        <v>0</v>
      </c>
      <c r="L65">
        <f>'Monthly Data'!BV65</f>
        <v>0</v>
      </c>
      <c r="M65">
        <f>'Monthly Data'!BW65</f>
        <v>0</v>
      </c>
      <c r="N65">
        <f>'Monthly Data'!CC65</f>
        <v>30</v>
      </c>
      <c r="O65">
        <f>'Monthly Data'!CD65</f>
        <v>20</v>
      </c>
      <c r="Q65">
        <f>'GS &gt; 50 OLS Model'!$B$5</f>
        <v>-8508488.8174217809</v>
      </c>
      <c r="R65" s="186">
        <f>'GS &gt; 50 OLS Model'!$B$6*E65</f>
        <v>6151168.0081400452</v>
      </c>
      <c r="S65" s="186">
        <f>'GS &gt; 50 OLS Model'!$B$7*F65</f>
        <v>0</v>
      </c>
      <c r="T65" s="186">
        <f>'GS &gt; 50 OLS Model'!$B$8*G65</f>
        <v>31488888.311048564</v>
      </c>
      <c r="U65" s="186"/>
      <c r="V65" s="186">
        <f>'GS &gt; 50 OLS Model'!$B$9*I65</f>
        <v>-1670359.8066300801</v>
      </c>
      <c r="W65" s="186">
        <f>'GS &gt; 50 OLS Model'!$B$10*J65</f>
        <v>0</v>
      </c>
      <c r="X65" s="186">
        <f>'GS &gt; 50 OLS Model'!$B$11*K65</f>
        <v>0</v>
      </c>
      <c r="Y65" s="186">
        <f>'GS &gt; 50 OLS Model'!$B$12*L65</f>
        <v>0</v>
      </c>
      <c r="Z65" s="186">
        <v>0</v>
      </c>
      <c r="AA65" s="186">
        <f>'GS &gt; 50 OLS Model'!$B$13*N65</f>
        <v>33551198.840181898</v>
      </c>
      <c r="AB65" s="186">
        <f>'GS &gt; 50 OLS Model'!$B$14*O65</f>
        <v>13083094.244134201</v>
      </c>
      <c r="AC65">
        <f t="shared" si="8"/>
        <v>74095500.779452845</v>
      </c>
      <c r="AD65" s="24">
        <f t="shared" ca="1" si="9"/>
        <v>2.7615406522516497E-2</v>
      </c>
    </row>
    <row r="66" spans="1:30">
      <c r="A66" s="26">
        <f>'Monthly Data'!A66</f>
        <v>41760</v>
      </c>
      <c r="B66" s="154">
        <f t="shared" si="4"/>
        <v>5</v>
      </c>
      <c r="C66">
        <f t="shared" si="7"/>
        <v>2014</v>
      </c>
      <c r="D66">
        <f ca="1">'Monthly Data'!O66</f>
        <v>78731314.204411477</v>
      </c>
      <c r="E66">
        <f>'Monthly Data'!BH66</f>
        <v>90.600000000000009</v>
      </c>
      <c r="F66">
        <f>'Monthly Data'!BI66</f>
        <v>36.4</v>
      </c>
      <c r="G66">
        <f>'Monthly Data'!BL66</f>
        <v>601343.5</v>
      </c>
      <c r="H66">
        <f>'Monthly Data'!BM66</f>
        <v>65</v>
      </c>
      <c r="I66">
        <f>'Monthly Data'!BQ66</f>
        <v>0</v>
      </c>
      <c r="J66">
        <f>'Monthly Data'!BS66</f>
        <v>0</v>
      </c>
      <c r="K66">
        <f>'Monthly Data'!BU66</f>
        <v>0</v>
      </c>
      <c r="L66">
        <f>'Monthly Data'!BV66</f>
        <v>0</v>
      </c>
      <c r="M66">
        <f>'Monthly Data'!BW66</f>
        <v>0</v>
      </c>
      <c r="N66">
        <f>'Monthly Data'!CC66</f>
        <v>31</v>
      </c>
      <c r="O66">
        <f>'Monthly Data'!CD66</f>
        <v>22</v>
      </c>
      <c r="Q66">
        <f>'GS &gt; 50 OLS Model'!$B$5</f>
        <v>-8508488.8174217809</v>
      </c>
      <c r="R66" s="186">
        <f>'GS &gt; 50 OLS Model'!$B$6*E66</f>
        <v>2196672.5326664886</v>
      </c>
      <c r="S66" s="186">
        <f>'GS &gt; 50 OLS Model'!$B$7*F66</f>
        <v>2598508.8958696499</v>
      </c>
      <c r="T66" s="186">
        <f>'GS &gt; 50 OLS Model'!$B$8*G66</f>
        <v>31488888.311048564</v>
      </c>
      <c r="U66" s="186"/>
      <c r="V66" s="186">
        <f>'GS &gt; 50 OLS Model'!$B$9*I66</f>
        <v>0</v>
      </c>
      <c r="W66" s="186">
        <f>'GS &gt; 50 OLS Model'!$B$10*J66</f>
        <v>0</v>
      </c>
      <c r="X66" s="186">
        <f>'GS &gt; 50 OLS Model'!$B$11*K66</f>
        <v>0</v>
      </c>
      <c r="Y66" s="186">
        <f>'GS &gt; 50 OLS Model'!$B$12*L66</f>
        <v>0</v>
      </c>
      <c r="Z66" s="186">
        <v>0</v>
      </c>
      <c r="AA66" s="186">
        <f>'GS &gt; 50 OLS Model'!$B$13*N66</f>
        <v>34669572.13485463</v>
      </c>
      <c r="AB66" s="186">
        <f>'GS &gt; 50 OLS Model'!$B$14*O66</f>
        <v>14391403.668547621</v>
      </c>
      <c r="AC66">
        <f t="shared" si="8"/>
        <v>76836556.725565165</v>
      </c>
      <c r="AD66" s="24">
        <f t="shared" ca="1" si="9"/>
        <v>2.4066122838073297E-2</v>
      </c>
    </row>
    <row r="67" spans="1:30">
      <c r="A67" s="26">
        <f>'Monthly Data'!A67</f>
        <v>41791</v>
      </c>
      <c r="B67" s="154">
        <f t="shared" ref="B67:B121" si="10">MONTH(A67)</f>
        <v>6</v>
      </c>
      <c r="C67">
        <f t="shared" si="7"/>
        <v>2014</v>
      </c>
      <c r="D67">
        <f ca="1">'Monthly Data'!O67</f>
        <v>82040736.439185008</v>
      </c>
      <c r="E67">
        <f>'Monthly Data'!BH67</f>
        <v>2.4000000000000004</v>
      </c>
      <c r="F67">
        <f>'Monthly Data'!BI67</f>
        <v>123.29999999999997</v>
      </c>
      <c r="G67">
        <f>'Monthly Data'!BL67</f>
        <v>601343.5</v>
      </c>
      <c r="H67">
        <f>'Monthly Data'!BM67</f>
        <v>66</v>
      </c>
      <c r="I67">
        <f>'Monthly Data'!BQ67</f>
        <v>0</v>
      </c>
      <c r="J67">
        <f>'Monthly Data'!BS67</f>
        <v>1</v>
      </c>
      <c r="K67">
        <f>'Monthly Data'!BU67</f>
        <v>0</v>
      </c>
      <c r="L67">
        <f>'Monthly Data'!BV67</f>
        <v>0</v>
      </c>
      <c r="M67">
        <f>'Monthly Data'!BW67</f>
        <v>0</v>
      </c>
      <c r="N67">
        <f>'Monthly Data'!CC67</f>
        <v>30</v>
      </c>
      <c r="O67">
        <f>'Monthly Data'!CD67</f>
        <v>21</v>
      </c>
      <c r="Q67">
        <f>'GS &gt; 50 OLS Model'!$B$5</f>
        <v>-8508488.8174217809</v>
      </c>
      <c r="R67" s="186">
        <f>'GS &gt; 50 OLS Model'!$B$6*E67</f>
        <v>58190.000865337446</v>
      </c>
      <c r="S67" s="186">
        <f>'GS &gt; 50 OLS Model'!$B$7*F67</f>
        <v>8802091.9467232917</v>
      </c>
      <c r="T67" s="186">
        <f>'GS &gt; 50 OLS Model'!$B$8*G67</f>
        <v>31488888.311048564</v>
      </c>
      <c r="U67" s="186"/>
      <c r="V67" s="186">
        <f>'GS &gt; 50 OLS Model'!$B$9*I67</f>
        <v>0</v>
      </c>
      <c r="W67" s="186">
        <f>'GS &gt; 50 OLS Model'!$B$10*J67</f>
        <v>1244451.2383117899</v>
      </c>
      <c r="X67" s="186">
        <f>'GS &gt; 50 OLS Model'!$B$11*K67</f>
        <v>0</v>
      </c>
      <c r="Y67" s="186">
        <f>'GS &gt; 50 OLS Model'!$B$12*L67</f>
        <v>0</v>
      </c>
      <c r="Z67" s="186">
        <v>0</v>
      </c>
      <c r="AA67" s="186">
        <f>'GS &gt; 50 OLS Model'!$B$13*N67</f>
        <v>33551198.840181898</v>
      </c>
      <c r="AB67" s="186">
        <f>'GS &gt; 50 OLS Model'!$B$14*O67</f>
        <v>13737248.956340911</v>
      </c>
      <c r="AC67">
        <f t="shared" si="8"/>
        <v>80373580.476050004</v>
      </c>
      <c r="AD67" s="24">
        <f t="shared" ca="1" si="9"/>
        <v>2.0321075059715366E-2</v>
      </c>
    </row>
    <row r="68" spans="1:30">
      <c r="A68" s="26">
        <f>'Monthly Data'!A68</f>
        <v>41821</v>
      </c>
      <c r="B68" s="154">
        <f t="shared" si="10"/>
        <v>7</v>
      </c>
      <c r="C68">
        <f t="shared" si="7"/>
        <v>2014</v>
      </c>
      <c r="D68">
        <f ca="1">'Monthly Data'!O68</f>
        <v>83536033.436047852</v>
      </c>
      <c r="E68">
        <f>'Monthly Data'!BH68</f>
        <v>0.7</v>
      </c>
      <c r="F68">
        <f>'Monthly Data'!BI68</f>
        <v>113.59999999999997</v>
      </c>
      <c r="G68">
        <f>'Monthly Data'!BL68</f>
        <v>601343.5</v>
      </c>
      <c r="H68">
        <f>'Monthly Data'!BM68</f>
        <v>67</v>
      </c>
      <c r="I68">
        <f>'Monthly Data'!BQ68</f>
        <v>0</v>
      </c>
      <c r="J68">
        <f>'Monthly Data'!BS68</f>
        <v>0</v>
      </c>
      <c r="K68">
        <f>'Monthly Data'!BU68</f>
        <v>0</v>
      </c>
      <c r="L68">
        <f>'Monthly Data'!BV68</f>
        <v>0</v>
      </c>
      <c r="M68">
        <f>'Monthly Data'!BW68</f>
        <v>0</v>
      </c>
      <c r="N68">
        <f>'Monthly Data'!CC68</f>
        <v>31</v>
      </c>
      <c r="O68">
        <f>'Monthly Data'!CD68</f>
        <v>22</v>
      </c>
      <c r="Q68">
        <f>'GS &gt; 50 OLS Model'!$B$5</f>
        <v>-8508488.8174217809</v>
      </c>
      <c r="R68" s="186">
        <f>'GS &gt; 50 OLS Model'!$B$6*E68</f>
        <v>16972.08358572342</v>
      </c>
      <c r="S68" s="186">
        <f>'GS &gt; 50 OLS Model'!$B$7*F68</f>
        <v>8109632.1585382465</v>
      </c>
      <c r="T68" s="186">
        <f>'GS &gt; 50 OLS Model'!$B$8*G68</f>
        <v>31488888.311048564</v>
      </c>
      <c r="U68" s="186"/>
      <c r="V68" s="186">
        <f>'GS &gt; 50 OLS Model'!$B$9*I68</f>
        <v>0</v>
      </c>
      <c r="W68" s="186">
        <f>'GS &gt; 50 OLS Model'!$B$10*J68</f>
        <v>0</v>
      </c>
      <c r="X68" s="186">
        <f>'GS &gt; 50 OLS Model'!$B$11*K68</f>
        <v>0</v>
      </c>
      <c r="Y68" s="186">
        <f>'GS &gt; 50 OLS Model'!$B$12*L68</f>
        <v>0</v>
      </c>
      <c r="Z68" s="186">
        <v>0</v>
      </c>
      <c r="AA68" s="186">
        <f>'GS &gt; 50 OLS Model'!$B$13*N68</f>
        <v>34669572.13485463</v>
      </c>
      <c r="AB68" s="186">
        <f>'GS &gt; 50 OLS Model'!$B$14*O68</f>
        <v>14391403.668547621</v>
      </c>
      <c r="AC68">
        <f t="shared" si="8"/>
        <v>80167979.539152995</v>
      </c>
      <c r="AD68" s="24">
        <f t="shared" ca="1" si="9"/>
        <v>4.0318575809244243E-2</v>
      </c>
    </row>
    <row r="69" spans="1:30">
      <c r="A69" s="26">
        <f>'Monthly Data'!A69</f>
        <v>41852</v>
      </c>
      <c r="B69" s="154">
        <f t="shared" si="10"/>
        <v>8</v>
      </c>
      <c r="C69">
        <f t="shared" si="7"/>
        <v>2014</v>
      </c>
      <c r="D69">
        <f ca="1">'Monthly Data'!O69</f>
        <v>82890715.101407543</v>
      </c>
      <c r="E69">
        <f>'Monthly Data'!BH69</f>
        <v>0.7</v>
      </c>
      <c r="F69">
        <f>'Monthly Data'!BI69</f>
        <v>130.19999999999996</v>
      </c>
      <c r="G69">
        <f>'Monthly Data'!BL69</f>
        <v>601343.5</v>
      </c>
      <c r="H69">
        <f>'Monthly Data'!BM69</f>
        <v>68</v>
      </c>
      <c r="I69">
        <f>'Monthly Data'!BQ69</f>
        <v>0</v>
      </c>
      <c r="J69">
        <f>'Monthly Data'!BS69</f>
        <v>0</v>
      </c>
      <c r="K69">
        <f>'Monthly Data'!BU69</f>
        <v>1</v>
      </c>
      <c r="L69">
        <f>'Monthly Data'!BV69</f>
        <v>0</v>
      </c>
      <c r="M69">
        <f>'Monthly Data'!BW69</f>
        <v>0</v>
      </c>
      <c r="N69">
        <f>'Monthly Data'!CC69</f>
        <v>31</v>
      </c>
      <c r="O69">
        <f>'Monthly Data'!CD69</f>
        <v>20</v>
      </c>
      <c r="Q69">
        <f>'GS &gt; 50 OLS Model'!$B$5</f>
        <v>-8508488.8174217809</v>
      </c>
      <c r="R69" s="186">
        <f>'GS &gt; 50 OLS Model'!$B$6*E69</f>
        <v>16972.08358572342</v>
      </c>
      <c r="S69" s="186">
        <f>'GS &gt; 50 OLS Model'!$B$7*F69</f>
        <v>9294666.435226053</v>
      </c>
      <c r="T69" s="186">
        <f>'GS &gt; 50 OLS Model'!$B$8*G69</f>
        <v>31488888.311048564</v>
      </c>
      <c r="U69" s="186"/>
      <c r="V69" s="186">
        <f>'GS &gt; 50 OLS Model'!$B$9*I69</f>
        <v>0</v>
      </c>
      <c r="W69" s="186">
        <f>'GS &gt; 50 OLS Model'!$B$10*J69</f>
        <v>0</v>
      </c>
      <c r="X69" s="186">
        <f>'GS &gt; 50 OLS Model'!$B$11*K69</f>
        <v>2505717.0713192602</v>
      </c>
      <c r="Y69" s="186">
        <f>'GS &gt; 50 OLS Model'!$B$12*L69</f>
        <v>0</v>
      </c>
      <c r="Z69" s="186">
        <v>0</v>
      </c>
      <c r="AA69" s="186">
        <f>'GS &gt; 50 OLS Model'!$B$13*N69</f>
        <v>34669572.13485463</v>
      </c>
      <c r="AB69" s="186">
        <f>'GS &gt; 50 OLS Model'!$B$14*O69</f>
        <v>13083094.244134201</v>
      </c>
      <c r="AC69">
        <f t="shared" si="8"/>
        <v>82550421.46274665</v>
      </c>
      <c r="AD69" s="24">
        <f t="shared" ca="1" si="9"/>
        <v>4.1053287843467335E-3</v>
      </c>
    </row>
    <row r="70" spans="1:30">
      <c r="A70" s="26">
        <f>'Monthly Data'!A70</f>
        <v>41883</v>
      </c>
      <c r="B70" s="154">
        <f t="shared" si="10"/>
        <v>9</v>
      </c>
      <c r="C70">
        <f t="shared" si="7"/>
        <v>2014</v>
      </c>
      <c r="D70">
        <f ca="1">'Monthly Data'!O70</f>
        <v>78138961.690904036</v>
      </c>
      <c r="E70">
        <f>'Monthly Data'!BH70</f>
        <v>57.20000000000001</v>
      </c>
      <c r="F70">
        <f>'Monthly Data'!BI70</f>
        <v>50.499999999999979</v>
      </c>
      <c r="G70">
        <f>'Monthly Data'!BL70</f>
        <v>601343.5</v>
      </c>
      <c r="H70">
        <f>'Monthly Data'!BM70</f>
        <v>69</v>
      </c>
      <c r="I70">
        <f>'Monthly Data'!BQ70</f>
        <v>0</v>
      </c>
      <c r="J70">
        <f>'Monthly Data'!BS70</f>
        <v>0</v>
      </c>
      <c r="K70">
        <f>'Monthly Data'!BU70</f>
        <v>0</v>
      </c>
      <c r="L70">
        <f>'Monthly Data'!BV70</f>
        <v>1</v>
      </c>
      <c r="M70">
        <f>'Monthly Data'!BW70</f>
        <v>0</v>
      </c>
      <c r="N70">
        <f>'Monthly Data'!CC70</f>
        <v>30</v>
      </c>
      <c r="O70">
        <f>'Monthly Data'!CD70</f>
        <v>21</v>
      </c>
      <c r="Q70">
        <f>'GS &gt; 50 OLS Model'!$B$5</f>
        <v>-8508488.8174217809</v>
      </c>
      <c r="R70" s="186">
        <f>'GS &gt; 50 OLS Model'!$B$6*E70</f>
        <v>1386861.6872905425</v>
      </c>
      <c r="S70" s="186">
        <f>'GS &gt; 50 OLS Model'!$B$7*F70</f>
        <v>3605074.1549839913</v>
      </c>
      <c r="T70" s="186">
        <f>'GS &gt; 50 OLS Model'!$B$8*G70</f>
        <v>31488888.311048564</v>
      </c>
      <c r="U70" s="186"/>
      <c r="V70" s="186">
        <f>'GS &gt; 50 OLS Model'!$B$9*I70</f>
        <v>0</v>
      </c>
      <c r="W70" s="186">
        <f>'GS &gt; 50 OLS Model'!$B$10*J70</f>
        <v>0</v>
      </c>
      <c r="X70" s="186">
        <f>'GS &gt; 50 OLS Model'!$B$11*K70</f>
        <v>0</v>
      </c>
      <c r="Y70" s="186">
        <f>'GS &gt; 50 OLS Model'!$B$12*L70</f>
        <v>2345350.8919449002</v>
      </c>
      <c r="Z70" s="186">
        <v>0</v>
      </c>
      <c r="AA70" s="186">
        <f>'GS &gt; 50 OLS Model'!$B$13*N70</f>
        <v>33551198.840181898</v>
      </c>
      <c r="AB70" s="186">
        <f>'GS &gt; 50 OLS Model'!$B$14*O70</f>
        <v>13737248.956340911</v>
      </c>
      <c r="AC70">
        <f t="shared" si="8"/>
        <v>77606134.024369031</v>
      </c>
      <c r="AD70" s="24">
        <f t="shared" ca="1" si="9"/>
        <v>6.8189755149642602E-3</v>
      </c>
    </row>
    <row r="71" spans="1:30">
      <c r="A71" s="26">
        <f>'Monthly Data'!A71</f>
        <v>41913</v>
      </c>
      <c r="B71" s="154">
        <f t="shared" si="10"/>
        <v>10</v>
      </c>
      <c r="C71">
        <f t="shared" si="7"/>
        <v>2014</v>
      </c>
      <c r="D71">
        <f ca="1">'Monthly Data'!O71</f>
        <v>78077874.416335806</v>
      </c>
      <c r="E71">
        <f>'Monthly Data'!BH71</f>
        <v>179.7</v>
      </c>
      <c r="F71">
        <f>'Monthly Data'!BI71</f>
        <v>3.9</v>
      </c>
      <c r="G71">
        <f>'Monthly Data'!BL71</f>
        <v>601343.5</v>
      </c>
      <c r="H71">
        <f>'Monthly Data'!BM71</f>
        <v>70</v>
      </c>
      <c r="I71">
        <f>'Monthly Data'!BQ71</f>
        <v>0</v>
      </c>
      <c r="J71">
        <f>'Monthly Data'!BS71</f>
        <v>0</v>
      </c>
      <c r="K71">
        <f>'Monthly Data'!BU71</f>
        <v>0</v>
      </c>
      <c r="L71">
        <f>'Monthly Data'!BV71</f>
        <v>0</v>
      </c>
      <c r="M71">
        <f>'Monthly Data'!BW71</f>
        <v>1</v>
      </c>
      <c r="N71">
        <f>'Monthly Data'!CC71</f>
        <v>31</v>
      </c>
      <c r="O71">
        <f>'Monthly Data'!CD71</f>
        <v>22</v>
      </c>
      <c r="Q71">
        <f>'GS &gt; 50 OLS Model'!$B$5</f>
        <v>-8508488.8174217809</v>
      </c>
      <c r="R71" s="186">
        <f>'GS &gt; 50 OLS Model'!$B$6*E71</f>
        <v>4356976.3147921404</v>
      </c>
      <c r="S71" s="186">
        <f>'GS &gt; 50 OLS Model'!$B$7*F71</f>
        <v>278411.66741460538</v>
      </c>
      <c r="T71" s="186">
        <f>'GS &gt; 50 OLS Model'!$B$8*G71</f>
        <v>31488888.311048564</v>
      </c>
      <c r="U71" s="186"/>
      <c r="V71" s="186">
        <f>'GS &gt; 50 OLS Model'!$B$9*I71</f>
        <v>0</v>
      </c>
      <c r="W71" s="186">
        <f>'GS &gt; 50 OLS Model'!$B$10*J71</f>
        <v>0</v>
      </c>
      <c r="X71" s="186">
        <f>'GS &gt; 50 OLS Model'!$B$11*K71</f>
        <v>0</v>
      </c>
      <c r="Y71" s="186">
        <f>'GS &gt; 50 OLS Model'!$B$12*L71</f>
        <v>0</v>
      </c>
      <c r="Z71" s="186">
        <v>0</v>
      </c>
      <c r="AA71" s="186">
        <f>'GS &gt; 50 OLS Model'!$B$13*N71</f>
        <v>34669572.13485463</v>
      </c>
      <c r="AB71" s="186">
        <f>'GS &gt; 50 OLS Model'!$B$14*O71</f>
        <v>14391403.668547621</v>
      </c>
      <c r="AC71">
        <f t="shared" si="8"/>
        <v>76676763.27923578</v>
      </c>
      <c r="AD71" s="24">
        <f t="shared" ca="1" si="9"/>
        <v>1.7945047141381697E-2</v>
      </c>
    </row>
    <row r="72" spans="1:30">
      <c r="A72" s="26">
        <f>'Monthly Data'!A72</f>
        <v>41944</v>
      </c>
      <c r="B72" s="154">
        <f t="shared" si="10"/>
        <v>11</v>
      </c>
      <c r="C72">
        <f t="shared" si="7"/>
        <v>2014</v>
      </c>
      <c r="D72">
        <f ca="1">'Monthly Data'!O72</f>
        <v>81347157.776762664</v>
      </c>
      <c r="E72">
        <f>'Monthly Data'!BH72</f>
        <v>442</v>
      </c>
      <c r="F72">
        <f>'Monthly Data'!BI72</f>
        <v>0</v>
      </c>
      <c r="G72">
        <f>'Monthly Data'!BL72</f>
        <v>601343.5</v>
      </c>
      <c r="H72">
        <f>'Monthly Data'!BM72</f>
        <v>71</v>
      </c>
      <c r="I72">
        <f>'Monthly Data'!BQ72</f>
        <v>0</v>
      </c>
      <c r="J72">
        <f>'Monthly Data'!BS72</f>
        <v>0</v>
      </c>
      <c r="K72">
        <f>'Monthly Data'!BU72</f>
        <v>0</v>
      </c>
      <c r="L72">
        <f>'Monthly Data'!BV72</f>
        <v>0</v>
      </c>
      <c r="M72">
        <f>'Monthly Data'!BW72</f>
        <v>0</v>
      </c>
      <c r="N72">
        <f>'Monthly Data'!CC72</f>
        <v>30</v>
      </c>
      <c r="O72">
        <f>'Monthly Data'!CD72</f>
        <v>20</v>
      </c>
      <c r="Q72">
        <f>'GS &gt; 50 OLS Model'!$B$5</f>
        <v>-8508488.8174217809</v>
      </c>
      <c r="R72" s="186">
        <f>'GS &gt; 50 OLS Model'!$B$6*E72</f>
        <v>10716658.492699645</v>
      </c>
      <c r="S72" s="186">
        <f>'GS &gt; 50 OLS Model'!$B$7*F72</f>
        <v>0</v>
      </c>
      <c r="T72" s="186">
        <f>'GS &gt; 50 OLS Model'!$B$8*G72</f>
        <v>31488888.311048564</v>
      </c>
      <c r="U72" s="186"/>
      <c r="V72" s="186">
        <f>'GS &gt; 50 OLS Model'!$B$9*I72</f>
        <v>0</v>
      </c>
      <c r="W72" s="186">
        <f>'GS &gt; 50 OLS Model'!$B$10*J72</f>
        <v>0</v>
      </c>
      <c r="X72" s="186">
        <f>'GS &gt; 50 OLS Model'!$B$11*K72</f>
        <v>0</v>
      </c>
      <c r="Y72" s="186">
        <f>'GS &gt; 50 OLS Model'!$B$12*L72</f>
        <v>0</v>
      </c>
      <c r="Z72" s="186">
        <v>0</v>
      </c>
      <c r="AA72" s="186">
        <f>'GS &gt; 50 OLS Model'!$B$13*N72</f>
        <v>33551198.840181898</v>
      </c>
      <c r="AB72" s="186">
        <f>'GS &gt; 50 OLS Model'!$B$14*O72</f>
        <v>13083094.244134201</v>
      </c>
      <c r="AC72">
        <f t="shared" si="8"/>
        <v>80331351.070642531</v>
      </c>
      <c r="AD72" s="24">
        <f t="shared" ca="1" si="9"/>
        <v>1.2487304214214416E-2</v>
      </c>
    </row>
    <row r="73" spans="1:30">
      <c r="A73" s="26">
        <f>'Monthly Data'!A73</f>
        <v>41974</v>
      </c>
      <c r="B73" s="154">
        <f t="shared" si="10"/>
        <v>12</v>
      </c>
      <c r="C73">
        <f t="shared" si="7"/>
        <v>2014</v>
      </c>
      <c r="D73">
        <f ca="1">'Monthly Data'!O73</f>
        <v>84624117.962985575</v>
      </c>
      <c r="E73">
        <f>'Monthly Data'!BH73</f>
        <v>513.9</v>
      </c>
      <c r="F73">
        <f>'Monthly Data'!BI73</f>
        <v>0</v>
      </c>
      <c r="G73">
        <f>'Monthly Data'!BL73</f>
        <v>601343.5</v>
      </c>
      <c r="H73">
        <f>'Monthly Data'!BM73</f>
        <v>72</v>
      </c>
      <c r="I73">
        <f>'Monthly Data'!BQ73</f>
        <v>0</v>
      </c>
      <c r="J73">
        <f>'Monthly Data'!BS73</f>
        <v>0</v>
      </c>
      <c r="K73">
        <f>'Monthly Data'!BU73</f>
        <v>0</v>
      </c>
      <c r="L73">
        <f>'Monthly Data'!BV73</f>
        <v>0</v>
      </c>
      <c r="M73">
        <f>'Monthly Data'!BW73</f>
        <v>0</v>
      </c>
      <c r="N73">
        <f>'Monthly Data'!CC73</f>
        <v>31</v>
      </c>
      <c r="O73">
        <f>'Monthly Data'!CD73</f>
        <v>21</v>
      </c>
      <c r="Q73">
        <f>'GS &gt; 50 OLS Model'!$B$5</f>
        <v>-8508488.8174217809</v>
      </c>
      <c r="R73" s="186">
        <f>'GS &gt; 50 OLS Model'!$B$6*E73</f>
        <v>12459933.935290379</v>
      </c>
      <c r="S73" s="186">
        <f>'GS &gt; 50 OLS Model'!$B$7*F73</f>
        <v>0</v>
      </c>
      <c r="T73" s="186">
        <f>'GS &gt; 50 OLS Model'!$B$8*G73</f>
        <v>31488888.311048564</v>
      </c>
      <c r="U73" s="186"/>
      <c r="V73" s="186">
        <f>'GS &gt; 50 OLS Model'!$B$9*I73</f>
        <v>0</v>
      </c>
      <c r="W73" s="186">
        <f>'GS &gt; 50 OLS Model'!$B$10*J73</f>
        <v>0</v>
      </c>
      <c r="X73" s="186">
        <f>'GS &gt; 50 OLS Model'!$B$11*K73</f>
        <v>0</v>
      </c>
      <c r="Y73" s="186">
        <f>'GS &gt; 50 OLS Model'!$B$12*L73</f>
        <v>0</v>
      </c>
      <c r="Z73" s="186">
        <v>0</v>
      </c>
      <c r="AA73" s="186">
        <f>'GS &gt; 50 OLS Model'!$B$13*N73</f>
        <v>34669572.13485463</v>
      </c>
      <c r="AB73" s="186">
        <f>'GS &gt; 50 OLS Model'!$B$14*O73</f>
        <v>13737248.956340911</v>
      </c>
      <c r="AC73">
        <f t="shared" si="8"/>
        <v>83847154.520112693</v>
      </c>
      <c r="AD73" s="24">
        <f t="shared" ca="1" si="9"/>
        <v>9.1813476060420996E-3</v>
      </c>
    </row>
    <row r="74" spans="1:30">
      <c r="A74" s="26">
        <f>'Monthly Data'!A74</f>
        <v>42005</v>
      </c>
      <c r="B74" s="154">
        <f t="shared" si="10"/>
        <v>1</v>
      </c>
      <c r="C74">
        <f t="shared" si="7"/>
        <v>2015</v>
      </c>
      <c r="D74">
        <f ca="1">'Monthly Data'!O74</f>
        <v>91047914.988406837</v>
      </c>
      <c r="E74">
        <f>'Monthly Data'!BH74</f>
        <v>724.69999999999982</v>
      </c>
      <c r="F74">
        <f>'Monthly Data'!BI74</f>
        <v>0</v>
      </c>
      <c r="G74">
        <f>'Monthly Data'!BL74</f>
        <v>618051.4</v>
      </c>
      <c r="H74">
        <f>'Monthly Data'!BM74</f>
        <v>73</v>
      </c>
      <c r="I74">
        <f>'Monthly Data'!BQ74</f>
        <v>0</v>
      </c>
      <c r="J74">
        <f>'Monthly Data'!BS74</f>
        <v>0</v>
      </c>
      <c r="K74">
        <f>'Monthly Data'!BU74</f>
        <v>0</v>
      </c>
      <c r="L74">
        <f>'Monthly Data'!BV74</f>
        <v>0</v>
      </c>
      <c r="M74">
        <f>'Monthly Data'!BW74</f>
        <v>0</v>
      </c>
      <c r="N74">
        <f>'Monthly Data'!CC74</f>
        <v>31</v>
      </c>
      <c r="O74">
        <f>'Monthly Data'!CD74</f>
        <v>21</v>
      </c>
      <c r="Q74">
        <f>'GS &gt; 50 OLS Model'!$B$5</f>
        <v>-8508488.8174217809</v>
      </c>
      <c r="R74" s="186">
        <f>'GS &gt; 50 OLS Model'!$B$6*E74</f>
        <v>17570955.677962512</v>
      </c>
      <c r="S74" s="186">
        <f>'GS &gt; 50 OLS Model'!$B$7*F74</f>
        <v>0</v>
      </c>
      <c r="T74" s="186">
        <f>'GS &gt; 50 OLS Model'!$B$8*G74</f>
        <v>32363784.600793391</v>
      </c>
      <c r="U74" s="186"/>
      <c r="V74" s="186">
        <f>'GS &gt; 50 OLS Model'!$B$9*I74</f>
        <v>0</v>
      </c>
      <c r="W74" s="186">
        <f>'GS &gt; 50 OLS Model'!$B$10*J74</f>
        <v>0</v>
      </c>
      <c r="X74" s="186">
        <f>'GS &gt; 50 OLS Model'!$B$11*K74</f>
        <v>0</v>
      </c>
      <c r="Y74" s="186">
        <f>'GS &gt; 50 OLS Model'!$B$12*L74</f>
        <v>0</v>
      </c>
      <c r="Z74" s="186">
        <v>0</v>
      </c>
      <c r="AA74" s="186">
        <f>'GS &gt; 50 OLS Model'!$B$13*N74</f>
        <v>34669572.13485463</v>
      </c>
      <c r="AB74" s="186">
        <f>'GS &gt; 50 OLS Model'!$B$14*O74</f>
        <v>13737248.956340911</v>
      </c>
      <c r="AC74">
        <f t="shared" si="8"/>
        <v>89833072.552529663</v>
      </c>
      <c r="AD74" s="24">
        <f t="shared" ca="1" si="9"/>
        <v>1.3342891333995518E-2</v>
      </c>
    </row>
    <row r="75" spans="1:30">
      <c r="A75" s="26">
        <f>'Monthly Data'!A75</f>
        <v>42036</v>
      </c>
      <c r="B75" s="154">
        <f t="shared" si="10"/>
        <v>2</v>
      </c>
      <c r="C75">
        <f t="shared" si="7"/>
        <v>2015</v>
      </c>
      <c r="D75">
        <f ca="1">'Monthly Data'!O75</f>
        <v>84953121.000252485</v>
      </c>
      <c r="E75">
        <f>'Monthly Data'!BH75</f>
        <v>757.39999999999986</v>
      </c>
      <c r="F75">
        <f>'Monthly Data'!BI75</f>
        <v>0</v>
      </c>
      <c r="G75">
        <f>'Monthly Data'!BL75</f>
        <v>618051.4</v>
      </c>
      <c r="H75">
        <f>'Monthly Data'!BM75</f>
        <v>74</v>
      </c>
      <c r="I75">
        <f>'Monthly Data'!BQ75</f>
        <v>0</v>
      </c>
      <c r="J75">
        <f>'Monthly Data'!BS75</f>
        <v>0</v>
      </c>
      <c r="K75">
        <f>'Monthly Data'!BU75</f>
        <v>0</v>
      </c>
      <c r="L75">
        <f>'Monthly Data'!BV75</f>
        <v>0</v>
      </c>
      <c r="M75">
        <f>'Monthly Data'!BW75</f>
        <v>0</v>
      </c>
      <c r="N75">
        <f>'Monthly Data'!CC75</f>
        <v>28</v>
      </c>
      <c r="O75">
        <f>'Monthly Data'!CD75</f>
        <v>19</v>
      </c>
      <c r="Q75">
        <f>'GS &gt; 50 OLS Model'!$B$5</f>
        <v>-8508488.8174217809</v>
      </c>
      <c r="R75" s="186">
        <f>'GS &gt; 50 OLS Model'!$B$6*E75</f>
        <v>18363794.439752735</v>
      </c>
      <c r="S75" s="186">
        <f>'GS &gt; 50 OLS Model'!$B$7*F75</f>
        <v>0</v>
      </c>
      <c r="T75" s="186">
        <f>'GS &gt; 50 OLS Model'!$B$8*G75</f>
        <v>32363784.600793391</v>
      </c>
      <c r="U75" s="186"/>
      <c r="V75" s="186">
        <f>'GS &gt; 50 OLS Model'!$B$9*I75</f>
        <v>0</v>
      </c>
      <c r="W75" s="186">
        <f>'GS &gt; 50 OLS Model'!$B$10*J75</f>
        <v>0</v>
      </c>
      <c r="X75" s="186">
        <f>'GS &gt; 50 OLS Model'!$B$11*K75</f>
        <v>0</v>
      </c>
      <c r="Y75" s="186">
        <f>'GS &gt; 50 OLS Model'!$B$12*L75</f>
        <v>0</v>
      </c>
      <c r="Z75" s="186">
        <v>0</v>
      </c>
      <c r="AA75" s="186">
        <f>'GS &gt; 50 OLS Model'!$B$13*N75</f>
        <v>31314452.250836439</v>
      </c>
      <c r="AB75" s="186">
        <f>'GS &gt; 50 OLS Model'!$B$14*O75</f>
        <v>12428939.531927491</v>
      </c>
      <c r="AC75">
        <f t="shared" si="8"/>
        <v>85962482.005888283</v>
      </c>
      <c r="AD75" s="24">
        <f t="shared" ca="1" si="9"/>
        <v>1.1881388155625243E-2</v>
      </c>
    </row>
    <row r="76" spans="1:30">
      <c r="A76" s="26">
        <f>'Monthly Data'!A76</f>
        <v>42064</v>
      </c>
      <c r="B76" s="154">
        <f t="shared" si="10"/>
        <v>3</v>
      </c>
      <c r="C76">
        <f t="shared" si="7"/>
        <v>2015</v>
      </c>
      <c r="D76">
        <f ca="1">'Monthly Data'!O76</f>
        <v>85185196.803851202</v>
      </c>
      <c r="E76">
        <f>'Monthly Data'!BH76</f>
        <v>508.7</v>
      </c>
      <c r="F76">
        <f>'Monthly Data'!BI76</f>
        <v>0</v>
      </c>
      <c r="G76">
        <f>'Monthly Data'!BL76</f>
        <v>618051.4</v>
      </c>
      <c r="H76">
        <f>'Monthly Data'!BM76</f>
        <v>75</v>
      </c>
      <c r="I76">
        <f>'Monthly Data'!BQ76</f>
        <v>0</v>
      </c>
      <c r="J76">
        <f>'Monthly Data'!BS76</f>
        <v>0</v>
      </c>
      <c r="K76">
        <f>'Monthly Data'!BU76</f>
        <v>0</v>
      </c>
      <c r="L76">
        <f>'Monthly Data'!BV76</f>
        <v>0</v>
      </c>
      <c r="M76">
        <f>'Monthly Data'!BW76</f>
        <v>0</v>
      </c>
      <c r="N76">
        <f>'Monthly Data'!CC76</f>
        <v>31</v>
      </c>
      <c r="O76">
        <f>'Monthly Data'!CD76</f>
        <v>22</v>
      </c>
      <c r="Q76">
        <f>'GS &gt; 50 OLS Model'!$B$5</f>
        <v>-8508488.8174217809</v>
      </c>
      <c r="R76" s="186">
        <f>'GS &gt; 50 OLS Model'!$B$6*E76</f>
        <v>12333855.600082148</v>
      </c>
      <c r="S76" s="186">
        <f>'GS &gt; 50 OLS Model'!$B$7*F76</f>
        <v>0</v>
      </c>
      <c r="T76" s="186">
        <f>'GS &gt; 50 OLS Model'!$B$8*G76</f>
        <v>32363784.600793391</v>
      </c>
      <c r="U76" s="186"/>
      <c r="V76" s="186">
        <f>'GS &gt; 50 OLS Model'!$B$9*I76</f>
        <v>0</v>
      </c>
      <c r="W76" s="186">
        <f>'GS &gt; 50 OLS Model'!$B$10*J76</f>
        <v>0</v>
      </c>
      <c r="X76" s="186">
        <f>'GS &gt; 50 OLS Model'!$B$11*K76</f>
        <v>0</v>
      </c>
      <c r="Y76" s="186">
        <f>'GS &gt; 50 OLS Model'!$B$12*L76</f>
        <v>0</v>
      </c>
      <c r="Z76" s="186">
        <v>0</v>
      </c>
      <c r="AA76" s="186">
        <f>'GS &gt; 50 OLS Model'!$B$13*N76</f>
        <v>34669572.13485463</v>
      </c>
      <c r="AB76" s="186">
        <f>'GS &gt; 50 OLS Model'!$B$14*O76</f>
        <v>14391403.668547621</v>
      </c>
      <c r="AC76">
        <f t="shared" si="8"/>
        <v>85250127.186856002</v>
      </c>
      <c r="AD76" s="24">
        <f t="shared" ca="1" si="9"/>
        <v>7.6222613131139705E-4</v>
      </c>
    </row>
    <row r="77" spans="1:30">
      <c r="A77" s="26">
        <f>'Monthly Data'!A77</f>
        <v>42095</v>
      </c>
      <c r="B77" s="154">
        <f t="shared" si="10"/>
        <v>4</v>
      </c>
      <c r="C77">
        <f t="shared" si="7"/>
        <v>2015</v>
      </c>
      <c r="D77">
        <f ca="1">'Monthly Data'!O77</f>
        <v>74690896.334334388</v>
      </c>
      <c r="E77">
        <f>'Monthly Data'!BH77</f>
        <v>257.39999999999992</v>
      </c>
      <c r="F77">
        <f>'Monthly Data'!BI77</f>
        <v>0</v>
      </c>
      <c r="G77">
        <f>'Monthly Data'!BL77</f>
        <v>618051.4</v>
      </c>
      <c r="H77">
        <f>'Monthly Data'!BM77</f>
        <v>76</v>
      </c>
      <c r="I77">
        <f>'Monthly Data'!BQ77</f>
        <v>1</v>
      </c>
      <c r="J77">
        <f>'Monthly Data'!BS77</f>
        <v>0</v>
      </c>
      <c r="K77">
        <f>'Monthly Data'!BU77</f>
        <v>0</v>
      </c>
      <c r="L77">
        <f>'Monthly Data'!BV77</f>
        <v>0</v>
      </c>
      <c r="M77">
        <f>'Monthly Data'!BW77</f>
        <v>0</v>
      </c>
      <c r="N77">
        <f>'Monthly Data'!CC77</f>
        <v>30</v>
      </c>
      <c r="O77">
        <f>'Monthly Data'!CD77</f>
        <v>20</v>
      </c>
      <c r="Q77">
        <f>'GS &gt; 50 OLS Model'!$B$5</f>
        <v>-8508488.8174217809</v>
      </c>
      <c r="R77" s="186">
        <f>'GS &gt; 50 OLS Model'!$B$6*E77</f>
        <v>6240877.5928074382</v>
      </c>
      <c r="S77" s="186">
        <f>'GS &gt; 50 OLS Model'!$B$7*F77</f>
        <v>0</v>
      </c>
      <c r="T77" s="186">
        <f>'GS &gt; 50 OLS Model'!$B$8*G77</f>
        <v>32363784.600793391</v>
      </c>
      <c r="U77" s="186"/>
      <c r="V77" s="186">
        <f>'GS &gt; 50 OLS Model'!$B$9*I77</f>
        <v>-1670359.8066300801</v>
      </c>
      <c r="W77" s="186">
        <f>'GS &gt; 50 OLS Model'!$B$10*J77</f>
        <v>0</v>
      </c>
      <c r="X77" s="186">
        <f>'GS &gt; 50 OLS Model'!$B$11*K77</f>
        <v>0</v>
      </c>
      <c r="Y77" s="186">
        <f>'GS &gt; 50 OLS Model'!$B$12*L77</f>
        <v>0</v>
      </c>
      <c r="Z77" s="186">
        <v>0</v>
      </c>
      <c r="AA77" s="186">
        <f>'GS &gt; 50 OLS Model'!$B$13*N77</f>
        <v>33551198.840181898</v>
      </c>
      <c r="AB77" s="186">
        <f>'GS &gt; 50 OLS Model'!$B$14*O77</f>
        <v>13083094.244134201</v>
      </c>
      <c r="AC77">
        <f t="shared" si="8"/>
        <v>75060106.653865069</v>
      </c>
      <c r="AD77" s="24">
        <f t="shared" ca="1" si="9"/>
        <v>4.9431769820783341E-3</v>
      </c>
    </row>
    <row r="78" spans="1:30">
      <c r="A78" s="26">
        <f>'Monthly Data'!A78</f>
        <v>42125</v>
      </c>
      <c r="B78" s="154">
        <f t="shared" si="10"/>
        <v>5</v>
      </c>
      <c r="C78">
        <f t="shared" si="7"/>
        <v>2015</v>
      </c>
      <c r="D78">
        <f ca="1">'Monthly Data'!O78</f>
        <v>77420119.172960088</v>
      </c>
      <c r="E78">
        <f>'Monthly Data'!BH78</f>
        <v>68.7</v>
      </c>
      <c r="F78">
        <f>'Monthly Data'!BI78</f>
        <v>64.099999999999994</v>
      </c>
      <c r="G78">
        <f>'Monthly Data'!BL78</f>
        <v>618051.4</v>
      </c>
      <c r="H78">
        <f>'Monthly Data'!BM78</f>
        <v>77</v>
      </c>
      <c r="I78">
        <f>'Monthly Data'!BQ78</f>
        <v>0</v>
      </c>
      <c r="J78">
        <f>'Monthly Data'!BS78</f>
        <v>0</v>
      </c>
      <c r="K78">
        <f>'Monthly Data'!BU78</f>
        <v>0</v>
      </c>
      <c r="L78">
        <f>'Monthly Data'!BV78</f>
        <v>0</v>
      </c>
      <c r="M78">
        <f>'Monthly Data'!BW78</f>
        <v>0</v>
      </c>
      <c r="N78">
        <f>'Monthly Data'!CC78</f>
        <v>31</v>
      </c>
      <c r="O78">
        <f>'Monthly Data'!CD78</f>
        <v>20</v>
      </c>
      <c r="Q78">
        <f>'GS &gt; 50 OLS Model'!$B$5</f>
        <v>-8508488.8174217809</v>
      </c>
      <c r="R78" s="186">
        <f>'GS &gt; 50 OLS Model'!$B$6*E78</f>
        <v>1665688.7747702843</v>
      </c>
      <c r="S78" s="186">
        <f>'GS &gt; 50 OLS Model'!$B$7*F78</f>
        <v>4575945.6105836416</v>
      </c>
      <c r="T78" s="186">
        <f>'GS &gt; 50 OLS Model'!$B$8*G78</f>
        <v>32363784.600793391</v>
      </c>
      <c r="U78" s="186"/>
      <c r="V78" s="186">
        <f>'GS &gt; 50 OLS Model'!$B$9*I78</f>
        <v>0</v>
      </c>
      <c r="W78" s="186">
        <f>'GS &gt; 50 OLS Model'!$B$10*J78</f>
        <v>0</v>
      </c>
      <c r="X78" s="186">
        <f>'GS &gt; 50 OLS Model'!$B$11*K78</f>
        <v>0</v>
      </c>
      <c r="Y78" s="186">
        <f>'GS &gt; 50 OLS Model'!$B$12*L78</f>
        <v>0</v>
      </c>
      <c r="Z78" s="186">
        <v>0</v>
      </c>
      <c r="AA78" s="186">
        <f>'GS &gt; 50 OLS Model'!$B$13*N78</f>
        <v>34669572.13485463</v>
      </c>
      <c r="AB78" s="186">
        <f>'GS &gt; 50 OLS Model'!$B$14*O78</f>
        <v>13083094.244134201</v>
      </c>
      <c r="AC78">
        <f t="shared" si="8"/>
        <v>77849596.547714368</v>
      </c>
      <c r="AD78" s="24">
        <f t="shared" ca="1" si="9"/>
        <v>5.5473613234152709E-3</v>
      </c>
    </row>
    <row r="79" spans="1:30">
      <c r="A79" s="26">
        <f>'Monthly Data'!A79</f>
        <v>42156</v>
      </c>
      <c r="B79" s="154">
        <f t="shared" si="10"/>
        <v>6</v>
      </c>
      <c r="C79">
        <f t="shared" si="7"/>
        <v>2015</v>
      </c>
      <c r="D79">
        <f ca="1">'Monthly Data'!O79</f>
        <v>80301286.449218079</v>
      </c>
      <c r="E79">
        <f>'Monthly Data'!BH79</f>
        <v>13.1</v>
      </c>
      <c r="F79">
        <f>'Monthly Data'!BI79</f>
        <v>89.59999999999998</v>
      </c>
      <c r="G79">
        <f>'Monthly Data'!BL79</f>
        <v>618051.4</v>
      </c>
      <c r="H79">
        <f>'Monthly Data'!BM79</f>
        <v>78</v>
      </c>
      <c r="I79">
        <f>'Monthly Data'!BQ79</f>
        <v>0</v>
      </c>
      <c r="J79">
        <f>'Monthly Data'!BS79</f>
        <v>1</v>
      </c>
      <c r="K79">
        <f>'Monthly Data'!BU79</f>
        <v>0</v>
      </c>
      <c r="L79">
        <f>'Monthly Data'!BV79</f>
        <v>0</v>
      </c>
      <c r="M79">
        <f>'Monthly Data'!BW79</f>
        <v>0</v>
      </c>
      <c r="N79">
        <f>'Monthly Data'!CC79</f>
        <v>30</v>
      </c>
      <c r="O79">
        <f>'Monthly Data'!CD79</f>
        <v>22</v>
      </c>
      <c r="Q79">
        <f>'GS &gt; 50 OLS Model'!$B$5</f>
        <v>-8508488.8174217809</v>
      </c>
      <c r="R79" s="186">
        <f>'GS &gt; 50 OLS Model'!$B$6*E79</f>
        <v>317620.42138996685</v>
      </c>
      <c r="S79" s="186">
        <f>'GS &gt; 50 OLS Model'!$B$7*F79</f>
        <v>6396329.5898329839</v>
      </c>
      <c r="T79" s="186">
        <f>'GS &gt; 50 OLS Model'!$B$8*G79</f>
        <v>32363784.600793391</v>
      </c>
      <c r="U79" s="186"/>
      <c r="V79" s="186">
        <f>'GS &gt; 50 OLS Model'!$B$9*I79</f>
        <v>0</v>
      </c>
      <c r="W79" s="186">
        <f>'GS &gt; 50 OLS Model'!$B$10*J79</f>
        <v>1244451.2383117899</v>
      </c>
      <c r="X79" s="186">
        <f>'GS &gt; 50 OLS Model'!$B$11*K79</f>
        <v>0</v>
      </c>
      <c r="Y79" s="186">
        <f>'GS &gt; 50 OLS Model'!$B$12*L79</f>
        <v>0</v>
      </c>
      <c r="Z79" s="186">
        <v>0</v>
      </c>
      <c r="AA79" s="186">
        <f>'GS &gt; 50 OLS Model'!$B$13*N79</f>
        <v>33551198.840181898</v>
      </c>
      <c r="AB79" s="186">
        <f>'GS &gt; 50 OLS Model'!$B$14*O79</f>
        <v>14391403.668547621</v>
      </c>
      <c r="AC79">
        <f t="shared" si="8"/>
        <v>79756299.541635871</v>
      </c>
      <c r="AD79" s="24">
        <f t="shared" ca="1" si="9"/>
        <v>6.7867767962454008E-3</v>
      </c>
    </row>
    <row r="80" spans="1:30">
      <c r="A80" s="26">
        <f>'Monthly Data'!A80</f>
        <v>42186</v>
      </c>
      <c r="B80" s="154">
        <f t="shared" si="10"/>
        <v>7</v>
      </c>
      <c r="C80">
        <f t="shared" si="7"/>
        <v>2015</v>
      </c>
      <c r="D80">
        <f ca="1">'Monthly Data'!O80</f>
        <v>84741146.439340681</v>
      </c>
      <c r="E80">
        <f>'Monthly Data'!BH80</f>
        <v>1.9</v>
      </c>
      <c r="F80">
        <f>'Monthly Data'!BI80</f>
        <v>152.89999999999998</v>
      </c>
      <c r="G80">
        <f>'Monthly Data'!BL80</f>
        <v>618051.4</v>
      </c>
      <c r="H80">
        <f>'Monthly Data'!BM80</f>
        <v>79</v>
      </c>
      <c r="I80">
        <f>'Monthly Data'!BQ80</f>
        <v>0</v>
      </c>
      <c r="J80">
        <f>'Monthly Data'!BS80</f>
        <v>0</v>
      </c>
      <c r="K80">
        <f>'Monthly Data'!BU80</f>
        <v>0</v>
      </c>
      <c r="L80">
        <f>'Monthly Data'!BV80</f>
        <v>0</v>
      </c>
      <c r="M80">
        <f>'Monthly Data'!BW80</f>
        <v>0</v>
      </c>
      <c r="N80">
        <f>'Monthly Data'!CC80</f>
        <v>31</v>
      </c>
      <c r="O80">
        <f>'Monthly Data'!CD80</f>
        <v>22</v>
      </c>
      <c r="Q80">
        <f>'GS &gt; 50 OLS Model'!$B$5</f>
        <v>-8508488.8174217809</v>
      </c>
      <c r="R80" s="186">
        <f>'GS &gt; 50 OLS Model'!$B$6*E80</f>
        <v>46067.084018392139</v>
      </c>
      <c r="S80" s="186">
        <f>'GS &gt; 50 OLS Model'!$B$7*F80</f>
        <v>10915165.114793116</v>
      </c>
      <c r="T80" s="186">
        <f>'GS &gt; 50 OLS Model'!$B$8*G80</f>
        <v>32363784.600793391</v>
      </c>
      <c r="U80" s="186"/>
      <c r="V80" s="186">
        <f>'GS &gt; 50 OLS Model'!$B$9*I80</f>
        <v>0</v>
      </c>
      <c r="W80" s="186">
        <f>'GS &gt; 50 OLS Model'!$B$10*J80</f>
        <v>0</v>
      </c>
      <c r="X80" s="186">
        <f>'GS &gt; 50 OLS Model'!$B$11*K80</f>
        <v>0</v>
      </c>
      <c r="Y80" s="186">
        <f>'GS &gt; 50 OLS Model'!$B$12*L80</f>
        <v>0</v>
      </c>
      <c r="Z80" s="186">
        <v>0</v>
      </c>
      <c r="AA80" s="186">
        <f>'GS &gt; 50 OLS Model'!$B$13*N80</f>
        <v>34669572.13485463</v>
      </c>
      <c r="AB80" s="186">
        <f>'GS &gt; 50 OLS Model'!$B$14*O80</f>
        <v>14391403.668547621</v>
      </c>
      <c r="AC80">
        <f t="shared" si="8"/>
        <v>83877503.785585359</v>
      </c>
      <c r="AD80" s="24">
        <f t="shared" ca="1" si="9"/>
        <v>1.019153846795705E-2</v>
      </c>
    </row>
    <row r="81" spans="1:30">
      <c r="A81" s="26">
        <f>'Monthly Data'!A81</f>
        <v>42217</v>
      </c>
      <c r="B81" s="154">
        <f t="shared" si="10"/>
        <v>8</v>
      </c>
      <c r="C81">
        <f t="shared" si="7"/>
        <v>2015</v>
      </c>
      <c r="D81">
        <f ca="1">'Monthly Data'!O81</f>
        <v>85831922.046712875</v>
      </c>
      <c r="E81">
        <f>'Monthly Data'!BH81</f>
        <v>3.2</v>
      </c>
      <c r="F81">
        <f>'Monthly Data'!BI81</f>
        <v>138.69999999999999</v>
      </c>
      <c r="G81">
        <f>'Monthly Data'!BL81</f>
        <v>618051.4</v>
      </c>
      <c r="H81">
        <f>'Monthly Data'!BM81</f>
        <v>80</v>
      </c>
      <c r="I81">
        <f>'Monthly Data'!BQ81</f>
        <v>0</v>
      </c>
      <c r="J81">
        <f>'Monthly Data'!BS81</f>
        <v>0</v>
      </c>
      <c r="K81">
        <f>'Monthly Data'!BU81</f>
        <v>1</v>
      </c>
      <c r="L81">
        <f>'Monthly Data'!BV81</f>
        <v>0</v>
      </c>
      <c r="M81">
        <f>'Monthly Data'!BW81</f>
        <v>0</v>
      </c>
      <c r="N81">
        <f>'Monthly Data'!CC81</f>
        <v>31</v>
      </c>
      <c r="O81">
        <f>'Monthly Data'!CD81</f>
        <v>20</v>
      </c>
      <c r="Q81">
        <f>'GS &gt; 50 OLS Model'!$B$5</f>
        <v>-8508488.8174217809</v>
      </c>
      <c r="R81" s="186">
        <f>'GS &gt; 50 OLS Model'!$B$6*E81</f>
        <v>77586.667820449919</v>
      </c>
      <c r="S81" s="186">
        <f>'GS &gt; 50 OLS Model'!$B$7*F81</f>
        <v>9901461.0949758366</v>
      </c>
      <c r="T81" s="186">
        <f>'GS &gt; 50 OLS Model'!$B$8*G81</f>
        <v>32363784.600793391</v>
      </c>
      <c r="U81" s="186"/>
      <c r="V81" s="186">
        <f>'GS &gt; 50 OLS Model'!$B$9*I81</f>
        <v>0</v>
      </c>
      <c r="W81" s="186">
        <f>'GS &gt; 50 OLS Model'!$B$10*J81</f>
        <v>0</v>
      </c>
      <c r="X81" s="186">
        <f>'GS &gt; 50 OLS Model'!$B$11*K81</f>
        <v>2505717.0713192602</v>
      </c>
      <c r="Y81" s="186">
        <f>'GS &gt; 50 OLS Model'!$B$12*L81</f>
        <v>0</v>
      </c>
      <c r="Z81" s="186">
        <v>0</v>
      </c>
      <c r="AA81" s="186">
        <f>'GS &gt; 50 OLS Model'!$B$13*N81</f>
        <v>34669572.13485463</v>
      </c>
      <c r="AB81" s="186">
        <f>'GS &gt; 50 OLS Model'!$B$14*O81</f>
        <v>13083094.244134201</v>
      </c>
      <c r="AC81">
        <f t="shared" si="8"/>
        <v>84092726.99647598</v>
      </c>
      <c r="AD81" s="24">
        <f t="shared" ca="1" si="9"/>
        <v>2.0262799769185665E-2</v>
      </c>
    </row>
    <row r="82" spans="1:30">
      <c r="A82" s="26">
        <f>'Monthly Data'!A82</f>
        <v>42248</v>
      </c>
      <c r="B82" s="154">
        <f t="shared" si="10"/>
        <v>9</v>
      </c>
      <c r="C82">
        <f t="shared" si="7"/>
        <v>2015</v>
      </c>
      <c r="D82">
        <f ca="1">'Monthly Data'!O82</f>
        <v>81721577.513162851</v>
      </c>
      <c r="E82">
        <f>'Monthly Data'!BH82</f>
        <v>10.8</v>
      </c>
      <c r="F82">
        <f>'Monthly Data'!BI82</f>
        <v>109.19999999999997</v>
      </c>
      <c r="G82">
        <f>'Monthly Data'!BL82</f>
        <v>618051.4</v>
      </c>
      <c r="H82">
        <f>'Monthly Data'!BM82</f>
        <v>81</v>
      </c>
      <c r="I82">
        <f>'Monthly Data'!BQ82</f>
        <v>0</v>
      </c>
      <c r="J82">
        <f>'Monthly Data'!BS82</f>
        <v>0</v>
      </c>
      <c r="K82">
        <f>'Monthly Data'!BU82</f>
        <v>0</v>
      </c>
      <c r="L82">
        <f>'Monthly Data'!BV82</f>
        <v>1</v>
      </c>
      <c r="M82">
        <f>'Monthly Data'!BW82</f>
        <v>0</v>
      </c>
      <c r="N82">
        <f>'Monthly Data'!CC82</f>
        <v>30</v>
      </c>
      <c r="O82">
        <f>'Monthly Data'!CD82</f>
        <v>21</v>
      </c>
      <c r="Q82">
        <f>'GS &gt; 50 OLS Model'!$B$5</f>
        <v>-8508488.8174217809</v>
      </c>
      <c r="R82" s="186">
        <f>'GS &gt; 50 OLS Model'!$B$6*E82</f>
        <v>261855.0038940185</v>
      </c>
      <c r="S82" s="186">
        <f>'GS &gt; 50 OLS Model'!$B$7*F82</f>
        <v>7795526.6876089489</v>
      </c>
      <c r="T82" s="186">
        <f>'GS &gt; 50 OLS Model'!$B$8*G82</f>
        <v>32363784.600793391</v>
      </c>
      <c r="U82" s="186"/>
      <c r="V82" s="186">
        <f>'GS &gt; 50 OLS Model'!$B$9*I82</f>
        <v>0</v>
      </c>
      <c r="W82" s="186">
        <f>'GS &gt; 50 OLS Model'!$B$10*J82</f>
        <v>0</v>
      </c>
      <c r="X82" s="186">
        <f>'GS &gt; 50 OLS Model'!$B$11*K82</f>
        <v>0</v>
      </c>
      <c r="Y82" s="186">
        <f>'GS &gt; 50 OLS Model'!$B$12*L82</f>
        <v>2345350.8919449002</v>
      </c>
      <c r="Z82" s="186">
        <v>0</v>
      </c>
      <c r="AA82" s="186">
        <f>'GS &gt; 50 OLS Model'!$B$13*N82</f>
        <v>33551198.840181898</v>
      </c>
      <c r="AB82" s="186">
        <f>'GS &gt; 50 OLS Model'!$B$14*O82</f>
        <v>13737248.956340911</v>
      </c>
      <c r="AC82">
        <f t="shared" si="8"/>
        <v>81546476.163342282</v>
      </c>
      <c r="AD82" s="24">
        <f t="shared" ca="1" si="9"/>
        <v>2.14265748592978E-3</v>
      </c>
    </row>
    <row r="83" spans="1:30">
      <c r="A83" s="26">
        <f>'Monthly Data'!A83</f>
        <v>42278</v>
      </c>
      <c r="B83" s="154">
        <f t="shared" si="10"/>
        <v>10</v>
      </c>
      <c r="C83">
        <f t="shared" si="7"/>
        <v>2015</v>
      </c>
      <c r="D83">
        <f ca="1">'Monthly Data'!O83</f>
        <v>77593220.91340512</v>
      </c>
      <c r="E83">
        <f>'Monthly Data'!BH83</f>
        <v>157.80000000000001</v>
      </c>
      <c r="F83">
        <f>'Monthly Data'!BI83</f>
        <v>2.6</v>
      </c>
      <c r="G83">
        <f>'Monthly Data'!BL83</f>
        <v>618051.4</v>
      </c>
      <c r="H83">
        <f>'Monthly Data'!BM83</f>
        <v>82</v>
      </c>
      <c r="I83">
        <f>'Monthly Data'!BQ83</f>
        <v>0</v>
      </c>
      <c r="J83">
        <f>'Monthly Data'!BS83</f>
        <v>0</v>
      </c>
      <c r="K83">
        <f>'Monthly Data'!BU83</f>
        <v>0</v>
      </c>
      <c r="L83">
        <f>'Monthly Data'!BV83</f>
        <v>0</v>
      </c>
      <c r="M83">
        <f>'Monthly Data'!BW83</f>
        <v>1</v>
      </c>
      <c r="N83">
        <f>'Monthly Data'!CC83</f>
        <v>31</v>
      </c>
      <c r="O83">
        <f>'Monthly Data'!CD83</f>
        <v>21</v>
      </c>
      <c r="Q83">
        <f>'GS &gt; 50 OLS Model'!$B$5</f>
        <v>-8508488.8174217809</v>
      </c>
      <c r="R83" s="186">
        <f>'GS &gt; 50 OLS Model'!$B$6*E83</f>
        <v>3825992.5568959368</v>
      </c>
      <c r="S83" s="186">
        <f>'GS &gt; 50 OLS Model'!$B$7*F83</f>
        <v>185607.77827640361</v>
      </c>
      <c r="T83" s="186">
        <f>'GS &gt; 50 OLS Model'!$B$8*G83</f>
        <v>32363784.600793391</v>
      </c>
      <c r="U83" s="186"/>
      <c r="V83" s="186">
        <f>'GS &gt; 50 OLS Model'!$B$9*I83</f>
        <v>0</v>
      </c>
      <c r="W83" s="186">
        <f>'GS &gt; 50 OLS Model'!$B$10*J83</f>
        <v>0</v>
      </c>
      <c r="X83" s="186">
        <f>'GS &gt; 50 OLS Model'!$B$11*K83</f>
        <v>0</v>
      </c>
      <c r="Y83" s="186">
        <f>'GS &gt; 50 OLS Model'!$B$12*L83</f>
        <v>0</v>
      </c>
      <c r="Z83" s="186">
        <v>0</v>
      </c>
      <c r="AA83" s="186">
        <f>'GS &gt; 50 OLS Model'!$B$13*N83</f>
        <v>34669572.13485463</v>
      </c>
      <c r="AB83" s="186">
        <f>'GS &gt; 50 OLS Model'!$B$14*O83</f>
        <v>13737248.956340911</v>
      </c>
      <c r="AC83">
        <f t="shared" si="8"/>
        <v>76273717.209739491</v>
      </c>
      <c r="AD83" s="24">
        <f t="shared" ca="1" si="9"/>
        <v>1.7005399287886368E-2</v>
      </c>
    </row>
    <row r="84" spans="1:30">
      <c r="A84" s="26">
        <f>'Monthly Data'!A84</f>
        <v>42309</v>
      </c>
      <c r="B84" s="154">
        <f t="shared" si="10"/>
        <v>11</v>
      </c>
      <c r="C84">
        <f t="shared" si="7"/>
        <v>2015</v>
      </c>
      <c r="D84">
        <f ca="1">'Monthly Data'!O84</f>
        <v>77813417.982195601</v>
      </c>
      <c r="E84">
        <f>'Monthly Data'!BH84</f>
        <v>286.60000000000002</v>
      </c>
      <c r="F84">
        <f>'Monthly Data'!BI84</f>
        <v>0.5</v>
      </c>
      <c r="G84">
        <f>'Monthly Data'!BL84</f>
        <v>618051.4</v>
      </c>
      <c r="H84">
        <f>'Monthly Data'!BM84</f>
        <v>83</v>
      </c>
      <c r="I84">
        <f>'Monthly Data'!BQ84</f>
        <v>0</v>
      </c>
      <c r="J84">
        <f>'Monthly Data'!BS84</f>
        <v>0</v>
      </c>
      <c r="K84">
        <f>'Monthly Data'!BU84</f>
        <v>0</v>
      </c>
      <c r="L84">
        <f>'Monthly Data'!BV84</f>
        <v>0</v>
      </c>
      <c r="M84">
        <f>'Monthly Data'!BW84</f>
        <v>0</v>
      </c>
      <c r="N84">
        <f>'Monthly Data'!CC84</f>
        <v>30</v>
      </c>
      <c r="O84">
        <f>'Monthly Data'!CD84</f>
        <v>21</v>
      </c>
      <c r="Q84">
        <f>'GS &gt; 50 OLS Model'!$B$5</f>
        <v>-8508488.8174217809</v>
      </c>
      <c r="R84" s="186">
        <f>'GS &gt; 50 OLS Model'!$B$6*E84</f>
        <v>6948855.9366690461</v>
      </c>
      <c r="S84" s="186">
        <f>'GS &gt; 50 OLS Model'!$B$7*F84</f>
        <v>35693.803514692998</v>
      </c>
      <c r="T84" s="186">
        <f>'GS &gt; 50 OLS Model'!$B$8*G84</f>
        <v>32363784.600793391</v>
      </c>
      <c r="U84" s="186"/>
      <c r="V84" s="186">
        <f>'GS &gt; 50 OLS Model'!$B$9*I84</f>
        <v>0</v>
      </c>
      <c r="W84" s="186">
        <f>'GS &gt; 50 OLS Model'!$B$10*J84</f>
        <v>0</v>
      </c>
      <c r="X84" s="186">
        <f>'GS &gt; 50 OLS Model'!$B$11*K84</f>
        <v>0</v>
      </c>
      <c r="Y84" s="186">
        <f>'GS &gt; 50 OLS Model'!$B$12*L84</f>
        <v>0</v>
      </c>
      <c r="Z84" s="186">
        <v>0</v>
      </c>
      <c r="AA84" s="186">
        <f>'GS &gt; 50 OLS Model'!$B$13*N84</f>
        <v>33551198.840181898</v>
      </c>
      <c r="AB84" s="186">
        <f>'GS &gt; 50 OLS Model'!$B$14*O84</f>
        <v>13737248.956340911</v>
      </c>
      <c r="AC84">
        <f t="shared" si="8"/>
        <v>78128293.320078164</v>
      </c>
      <c r="AD84" s="24">
        <f t="shared" ca="1" si="9"/>
        <v>4.0465429491172043E-3</v>
      </c>
    </row>
    <row r="85" spans="1:30">
      <c r="A85" s="26">
        <f>'Monthly Data'!A85</f>
        <v>42339</v>
      </c>
      <c r="B85" s="154">
        <f t="shared" si="10"/>
        <v>12</v>
      </c>
      <c r="C85">
        <f t="shared" si="7"/>
        <v>2015</v>
      </c>
      <c r="D85">
        <f ca="1">'Monthly Data'!O85</f>
        <v>79732634.01091066</v>
      </c>
      <c r="E85">
        <f>'Monthly Data'!BH85</f>
        <v>392.2</v>
      </c>
      <c r="F85">
        <f>'Monthly Data'!BI85</f>
        <v>0</v>
      </c>
      <c r="G85">
        <f>'Monthly Data'!BL85</f>
        <v>618051.4</v>
      </c>
      <c r="H85">
        <f>'Monthly Data'!BM85</f>
        <v>84</v>
      </c>
      <c r="I85">
        <f>'Monthly Data'!BQ85</f>
        <v>0</v>
      </c>
      <c r="J85">
        <f>'Monthly Data'!BS85</f>
        <v>0</v>
      </c>
      <c r="K85">
        <f>'Monthly Data'!BU85</f>
        <v>0</v>
      </c>
      <c r="L85">
        <f>'Monthly Data'!BV85</f>
        <v>0</v>
      </c>
      <c r="M85">
        <f>'Monthly Data'!BW85</f>
        <v>0</v>
      </c>
      <c r="N85">
        <f>'Monthly Data'!CC85</f>
        <v>31</v>
      </c>
      <c r="O85">
        <f>'Monthly Data'!CD85</f>
        <v>21</v>
      </c>
      <c r="Q85">
        <f>'GS &gt; 50 OLS Model'!$B$5</f>
        <v>-8508488.8174217809</v>
      </c>
      <c r="R85" s="186">
        <f>'GS &gt; 50 OLS Model'!$B$6*E85</f>
        <v>9509215.9747438934</v>
      </c>
      <c r="S85" s="186">
        <f>'GS &gt; 50 OLS Model'!$B$7*F85</f>
        <v>0</v>
      </c>
      <c r="T85" s="186">
        <f>'GS &gt; 50 OLS Model'!$B$8*G85</f>
        <v>32363784.600793391</v>
      </c>
      <c r="U85" s="186"/>
      <c r="V85" s="186">
        <f>'GS &gt; 50 OLS Model'!$B$9*I85</f>
        <v>0</v>
      </c>
      <c r="W85" s="186">
        <f>'GS &gt; 50 OLS Model'!$B$10*J85</f>
        <v>0</v>
      </c>
      <c r="X85" s="186">
        <f>'GS &gt; 50 OLS Model'!$B$11*K85</f>
        <v>0</v>
      </c>
      <c r="Y85" s="186">
        <f>'GS &gt; 50 OLS Model'!$B$12*L85</f>
        <v>0</v>
      </c>
      <c r="Z85" s="186">
        <v>0</v>
      </c>
      <c r="AA85" s="186">
        <f>'GS &gt; 50 OLS Model'!$B$13*N85</f>
        <v>34669572.13485463</v>
      </c>
      <c r="AB85" s="186">
        <f>'GS &gt; 50 OLS Model'!$B$14*O85</f>
        <v>13737248.956340911</v>
      </c>
      <c r="AC85">
        <f t="shared" si="8"/>
        <v>81771332.849311039</v>
      </c>
      <c r="AD85" s="24">
        <f t="shared" ca="1" si="9"/>
        <v>2.5569189625936628E-2</v>
      </c>
    </row>
    <row r="86" spans="1:30">
      <c r="A86" s="26">
        <f>'Monthly Data'!A86</f>
        <v>42370</v>
      </c>
      <c r="B86" s="154">
        <f t="shared" si="10"/>
        <v>1</v>
      </c>
      <c r="C86">
        <f t="shared" si="7"/>
        <v>2016</v>
      </c>
      <c r="D86">
        <f ca="1">'Monthly Data'!O86</f>
        <v>87340715.811404184</v>
      </c>
      <c r="E86">
        <f>'Monthly Data'!BH86</f>
        <v>618.5</v>
      </c>
      <c r="F86">
        <f>'Monthly Data'!BI86</f>
        <v>0</v>
      </c>
      <c r="G86">
        <f>'Monthly Data'!BL86</f>
        <v>634257.80000000005</v>
      </c>
      <c r="H86">
        <f>'Monthly Data'!BM86</f>
        <v>85</v>
      </c>
      <c r="I86">
        <f>'Monthly Data'!BQ86</f>
        <v>0</v>
      </c>
      <c r="J86">
        <f>'Monthly Data'!BS86</f>
        <v>0</v>
      </c>
      <c r="K86">
        <f>'Monthly Data'!BU86</f>
        <v>0</v>
      </c>
      <c r="L86">
        <f>'Monthly Data'!BV86</f>
        <v>0</v>
      </c>
      <c r="M86">
        <f>'Monthly Data'!BW86</f>
        <v>0</v>
      </c>
      <c r="N86">
        <f>'Monthly Data'!CC86</f>
        <v>31</v>
      </c>
      <c r="O86">
        <f>'Monthly Data'!CD86</f>
        <v>20</v>
      </c>
      <c r="Q86">
        <f>'GS &gt; 50 OLS Model'!$B$5</f>
        <v>-8508488.8174217809</v>
      </c>
      <c r="R86" s="186">
        <f>'GS &gt; 50 OLS Model'!$B$6*E86</f>
        <v>14996048.139671335</v>
      </c>
      <c r="S86" s="186">
        <f>'GS &gt; 50 OLS Model'!$B$7*F86</f>
        <v>0</v>
      </c>
      <c r="T86" s="186">
        <f>'GS &gt; 50 OLS Model'!$B$8*G86</f>
        <v>33212420.230053835</v>
      </c>
      <c r="U86" s="186"/>
      <c r="V86" s="186">
        <f>'GS &gt; 50 OLS Model'!$B$9*I86</f>
        <v>0</v>
      </c>
      <c r="W86" s="186">
        <f>'GS &gt; 50 OLS Model'!$B$10*J86</f>
        <v>0</v>
      </c>
      <c r="X86" s="186">
        <f>'GS &gt; 50 OLS Model'!$B$11*K86</f>
        <v>0</v>
      </c>
      <c r="Y86" s="186">
        <f>'GS &gt; 50 OLS Model'!$B$12*L86</f>
        <v>0</v>
      </c>
      <c r="Z86" s="186">
        <v>0</v>
      </c>
      <c r="AA86" s="186">
        <f>'GS &gt; 50 OLS Model'!$B$13*N86</f>
        <v>34669572.13485463</v>
      </c>
      <c r="AB86" s="186">
        <f>'GS &gt; 50 OLS Model'!$B$14*O86</f>
        <v>13083094.244134201</v>
      </c>
      <c r="AC86">
        <f t="shared" ref="AC86:AC109" si="11">SUM(Q86:AB86)</f>
        <v>87452645.931292221</v>
      </c>
      <c r="AD86" s="24">
        <f t="shared" ref="AD86:AD109" ca="1" si="12">ABS(AC86-D86)/D86</f>
        <v>1.2815342632378861E-3</v>
      </c>
    </row>
    <row r="87" spans="1:30">
      <c r="A87" s="26">
        <f>'Monthly Data'!A87</f>
        <v>42401</v>
      </c>
      <c r="B87" s="154">
        <f t="shared" si="10"/>
        <v>2</v>
      </c>
      <c r="C87">
        <f t="shared" si="7"/>
        <v>2016</v>
      </c>
      <c r="D87">
        <f ca="1">'Monthly Data'!O87</f>
        <v>83154848.343503043</v>
      </c>
      <c r="E87">
        <f>'Monthly Data'!BH87</f>
        <v>510.5</v>
      </c>
      <c r="F87">
        <f>'Monthly Data'!BI87</f>
        <v>0</v>
      </c>
      <c r="G87">
        <f>'Monthly Data'!BL87</f>
        <v>634257.80000000005</v>
      </c>
      <c r="H87">
        <f>'Monthly Data'!BM87</f>
        <v>86</v>
      </c>
      <c r="I87">
        <f>'Monthly Data'!BQ87</f>
        <v>0</v>
      </c>
      <c r="J87">
        <f>'Monthly Data'!BS87</f>
        <v>0</v>
      </c>
      <c r="K87">
        <f>'Monthly Data'!BU87</f>
        <v>0</v>
      </c>
      <c r="L87">
        <f>'Monthly Data'!BV87</f>
        <v>0</v>
      </c>
      <c r="M87">
        <f>'Monthly Data'!BW87</f>
        <v>0</v>
      </c>
      <c r="N87">
        <f>'Monthly Data'!CC87</f>
        <v>29</v>
      </c>
      <c r="O87">
        <f>'Monthly Data'!CD87</f>
        <v>20</v>
      </c>
      <c r="Q87">
        <f>'GS &gt; 50 OLS Model'!$B$5</f>
        <v>-8508488.8174217809</v>
      </c>
      <c r="R87" s="186">
        <f>'GS &gt; 50 OLS Model'!$B$6*E87</f>
        <v>12377498.100731151</v>
      </c>
      <c r="S87" s="186">
        <f>'GS &gt; 50 OLS Model'!$B$7*F87</f>
        <v>0</v>
      </c>
      <c r="T87" s="186">
        <f>'GS &gt; 50 OLS Model'!$B$8*G87</f>
        <v>33212420.230053835</v>
      </c>
      <c r="U87" s="186"/>
      <c r="V87" s="186">
        <f>'GS &gt; 50 OLS Model'!$B$9*I87</f>
        <v>0</v>
      </c>
      <c r="W87" s="186">
        <f>'GS &gt; 50 OLS Model'!$B$10*J87</f>
        <v>0</v>
      </c>
      <c r="X87" s="186">
        <f>'GS &gt; 50 OLS Model'!$B$11*K87</f>
        <v>0</v>
      </c>
      <c r="Y87" s="186">
        <f>'GS &gt; 50 OLS Model'!$B$12*L87</f>
        <v>0</v>
      </c>
      <c r="Z87" s="186">
        <v>0</v>
      </c>
      <c r="AA87" s="186">
        <f>'GS &gt; 50 OLS Model'!$B$13*N87</f>
        <v>32432825.545509167</v>
      </c>
      <c r="AB87" s="186">
        <f>'GS &gt; 50 OLS Model'!$B$14*O87</f>
        <v>13083094.244134201</v>
      </c>
      <c r="AC87">
        <f t="shared" si="11"/>
        <v>82597349.303006575</v>
      </c>
      <c r="AD87" s="24">
        <f t="shared" ca="1" si="12"/>
        <v>6.7043479917551479E-3</v>
      </c>
    </row>
    <row r="88" spans="1:30">
      <c r="A88" s="26">
        <f>'Monthly Data'!A88</f>
        <v>42430</v>
      </c>
      <c r="B88" s="154">
        <f t="shared" si="10"/>
        <v>3</v>
      </c>
      <c r="C88">
        <f t="shared" si="7"/>
        <v>2016</v>
      </c>
      <c r="D88">
        <f ca="1">'Monthly Data'!O88</f>
        <v>82620214.015487328</v>
      </c>
      <c r="E88">
        <f>'Monthly Data'!BH88</f>
        <v>350.9</v>
      </c>
      <c r="F88">
        <f>'Monthly Data'!BI88</f>
        <v>0</v>
      </c>
      <c r="G88">
        <f>'Monthly Data'!BL88</f>
        <v>634257.80000000005</v>
      </c>
      <c r="H88">
        <f>'Monthly Data'!BM88</f>
        <v>87</v>
      </c>
      <c r="I88">
        <f>'Monthly Data'!BQ88</f>
        <v>0</v>
      </c>
      <c r="J88">
        <f>'Monthly Data'!BS88</f>
        <v>0</v>
      </c>
      <c r="K88">
        <f>'Monthly Data'!BU88</f>
        <v>0</v>
      </c>
      <c r="L88">
        <f>'Monthly Data'!BV88</f>
        <v>0</v>
      </c>
      <c r="M88">
        <f>'Monthly Data'!BW88</f>
        <v>0</v>
      </c>
      <c r="N88">
        <f>'Monthly Data'!CC88</f>
        <v>31</v>
      </c>
      <c r="O88">
        <f>'Monthly Data'!CD88</f>
        <v>21</v>
      </c>
      <c r="Q88">
        <f>'GS &gt; 50 OLS Model'!$B$5</f>
        <v>-8508488.8174217809</v>
      </c>
      <c r="R88" s="186">
        <f>'GS &gt; 50 OLS Model'!$B$6*E88</f>
        <v>8507863.0431862101</v>
      </c>
      <c r="S88" s="186">
        <f>'GS &gt; 50 OLS Model'!$B$7*F88</f>
        <v>0</v>
      </c>
      <c r="T88" s="186">
        <f>'GS &gt; 50 OLS Model'!$B$8*G88</f>
        <v>33212420.230053835</v>
      </c>
      <c r="U88" s="186"/>
      <c r="V88" s="186">
        <f>'GS &gt; 50 OLS Model'!$B$9*I88</f>
        <v>0</v>
      </c>
      <c r="W88" s="186">
        <f>'GS &gt; 50 OLS Model'!$B$10*J88</f>
        <v>0</v>
      </c>
      <c r="X88" s="186">
        <f>'GS &gt; 50 OLS Model'!$B$11*K88</f>
        <v>0</v>
      </c>
      <c r="Y88" s="186">
        <f>'GS &gt; 50 OLS Model'!$B$12*L88</f>
        <v>0</v>
      </c>
      <c r="Z88" s="186">
        <v>0</v>
      </c>
      <c r="AA88" s="186">
        <f>'GS &gt; 50 OLS Model'!$B$13*N88</f>
        <v>34669572.13485463</v>
      </c>
      <c r="AB88" s="186">
        <f>'GS &gt; 50 OLS Model'!$B$14*O88</f>
        <v>13737248.956340911</v>
      </c>
      <c r="AC88">
        <f t="shared" si="11"/>
        <v>81618615.547013804</v>
      </c>
      <c r="AD88" s="24">
        <f t="shared" ca="1" si="12"/>
        <v>1.2122922706128214E-2</v>
      </c>
    </row>
    <row r="89" spans="1:30">
      <c r="A89" s="26">
        <f>'Monthly Data'!A89</f>
        <v>42461</v>
      </c>
      <c r="B89" s="154">
        <f t="shared" si="10"/>
        <v>4</v>
      </c>
      <c r="C89">
        <f t="shared" si="7"/>
        <v>2016</v>
      </c>
      <c r="D89">
        <f ca="1">'Monthly Data'!O89</f>
        <v>76969494.488034636</v>
      </c>
      <c r="E89">
        <f>'Monthly Data'!BH89</f>
        <v>315.20000000000005</v>
      </c>
      <c r="F89">
        <f>'Monthly Data'!BI89</f>
        <v>0</v>
      </c>
      <c r="G89">
        <f>'Monthly Data'!BL89</f>
        <v>634257.80000000005</v>
      </c>
      <c r="H89">
        <f>'Monthly Data'!BM89</f>
        <v>88</v>
      </c>
      <c r="I89">
        <f>'Monthly Data'!BQ89</f>
        <v>1</v>
      </c>
      <c r="J89">
        <f>'Monthly Data'!BS89</f>
        <v>0</v>
      </c>
      <c r="K89">
        <f>'Monthly Data'!BU89</f>
        <v>0</v>
      </c>
      <c r="L89">
        <f>'Monthly Data'!BV89</f>
        <v>0</v>
      </c>
      <c r="M89">
        <f>'Monthly Data'!BW89</f>
        <v>0</v>
      </c>
      <c r="N89">
        <f>'Monthly Data'!CC89</f>
        <v>30</v>
      </c>
      <c r="O89">
        <f>'Monthly Data'!CD89</f>
        <v>21</v>
      </c>
      <c r="Q89">
        <f>'GS &gt; 50 OLS Model'!$B$5</f>
        <v>-8508488.8174217809</v>
      </c>
      <c r="R89" s="186">
        <f>'GS &gt; 50 OLS Model'!$B$6*E89</f>
        <v>7642286.7803143179</v>
      </c>
      <c r="S89" s="186">
        <f>'GS &gt; 50 OLS Model'!$B$7*F89</f>
        <v>0</v>
      </c>
      <c r="T89" s="186">
        <f>'GS &gt; 50 OLS Model'!$B$8*G89</f>
        <v>33212420.230053835</v>
      </c>
      <c r="U89" s="186"/>
      <c r="V89" s="186">
        <f>'GS &gt; 50 OLS Model'!$B$9*I89</f>
        <v>-1670359.8066300801</v>
      </c>
      <c r="W89" s="186">
        <f>'GS &gt; 50 OLS Model'!$B$10*J89</f>
        <v>0</v>
      </c>
      <c r="X89" s="186">
        <f>'GS &gt; 50 OLS Model'!$B$11*K89</f>
        <v>0</v>
      </c>
      <c r="Y89" s="186">
        <f>'GS &gt; 50 OLS Model'!$B$12*L89</f>
        <v>0</v>
      </c>
      <c r="Z89" s="186">
        <v>0</v>
      </c>
      <c r="AA89" s="186">
        <f>'GS &gt; 50 OLS Model'!$B$13*N89</f>
        <v>33551198.840181898</v>
      </c>
      <c r="AB89" s="186">
        <f>'GS &gt; 50 OLS Model'!$B$14*O89</f>
        <v>13737248.956340911</v>
      </c>
      <c r="AC89">
        <f t="shared" si="11"/>
        <v>77964306.182839096</v>
      </c>
      <c r="AD89" s="24">
        <f t="shared" ca="1" si="12"/>
        <v>1.2924752870231065E-2</v>
      </c>
    </row>
    <row r="90" spans="1:30">
      <c r="A90" s="26">
        <f>'Monthly Data'!A90</f>
        <v>42491</v>
      </c>
      <c r="B90" s="154">
        <f t="shared" si="10"/>
        <v>5</v>
      </c>
      <c r="C90">
        <f t="shared" si="7"/>
        <v>2016</v>
      </c>
      <c r="D90">
        <f ca="1">'Monthly Data'!O90</f>
        <v>79885437.080991775</v>
      </c>
      <c r="E90">
        <f>'Monthly Data'!BH90</f>
        <v>110.9</v>
      </c>
      <c r="F90">
        <f>'Monthly Data'!BI90</f>
        <v>47</v>
      </c>
      <c r="G90">
        <f>'Monthly Data'!BL90</f>
        <v>634257.80000000005</v>
      </c>
      <c r="H90">
        <f>'Monthly Data'!BM90</f>
        <v>89</v>
      </c>
      <c r="I90">
        <f>'Monthly Data'!BQ90</f>
        <v>0</v>
      </c>
      <c r="J90">
        <f>'Monthly Data'!BS90</f>
        <v>0</v>
      </c>
      <c r="K90">
        <f>'Monthly Data'!BU90</f>
        <v>0</v>
      </c>
      <c r="L90">
        <f>'Monthly Data'!BV90</f>
        <v>0</v>
      </c>
      <c r="M90">
        <f>'Monthly Data'!BW90</f>
        <v>0</v>
      </c>
      <c r="N90">
        <f>'Monthly Data'!CC90</f>
        <v>31</v>
      </c>
      <c r="O90">
        <f>'Monthly Data'!CD90</f>
        <v>21</v>
      </c>
      <c r="Q90">
        <f>'GS &gt; 50 OLS Model'!$B$5</f>
        <v>-8508488.8174217809</v>
      </c>
      <c r="R90" s="186">
        <f>'GS &gt; 50 OLS Model'!$B$6*E90</f>
        <v>2688862.9566524676</v>
      </c>
      <c r="S90" s="186">
        <f>'GS &gt; 50 OLS Model'!$B$7*F90</f>
        <v>3355217.5303811417</v>
      </c>
      <c r="T90" s="186">
        <f>'GS &gt; 50 OLS Model'!$B$8*G90</f>
        <v>33212420.230053835</v>
      </c>
      <c r="U90" s="186"/>
      <c r="V90" s="186">
        <f>'GS &gt; 50 OLS Model'!$B$9*I90</f>
        <v>0</v>
      </c>
      <c r="W90" s="186">
        <f>'GS &gt; 50 OLS Model'!$B$10*J90</f>
        <v>0</v>
      </c>
      <c r="X90" s="186">
        <f>'GS &gt; 50 OLS Model'!$B$11*K90</f>
        <v>0</v>
      </c>
      <c r="Y90" s="186">
        <f>'GS &gt; 50 OLS Model'!$B$12*L90</f>
        <v>0</v>
      </c>
      <c r="Z90" s="186">
        <v>0</v>
      </c>
      <c r="AA90" s="186">
        <f>'GS &gt; 50 OLS Model'!$B$13*N90</f>
        <v>34669572.13485463</v>
      </c>
      <c r="AB90" s="186">
        <f>'GS &gt; 50 OLS Model'!$B$14*O90</f>
        <v>13737248.956340911</v>
      </c>
      <c r="AC90">
        <f t="shared" si="11"/>
        <v>79154832.990861207</v>
      </c>
      <c r="AD90" s="24">
        <f t="shared" ca="1" si="12"/>
        <v>9.1456480283114098E-3</v>
      </c>
    </row>
    <row r="91" spans="1:30">
      <c r="A91" s="26">
        <f>'Monthly Data'!A91</f>
        <v>42522</v>
      </c>
      <c r="B91" s="154">
        <f t="shared" si="10"/>
        <v>6</v>
      </c>
      <c r="C91">
        <f t="shared" si="7"/>
        <v>2016</v>
      </c>
      <c r="D91">
        <f ca="1">'Monthly Data'!O91</f>
        <v>84108563.980985105</v>
      </c>
      <c r="E91">
        <f>'Monthly Data'!BH91</f>
        <v>5.6</v>
      </c>
      <c r="F91">
        <f>'Monthly Data'!BI91</f>
        <v>127.2</v>
      </c>
      <c r="G91">
        <f>'Monthly Data'!BL91</f>
        <v>634257.80000000005</v>
      </c>
      <c r="H91">
        <f>'Monthly Data'!BM91</f>
        <v>90</v>
      </c>
      <c r="I91">
        <f>'Monthly Data'!BQ91</f>
        <v>0</v>
      </c>
      <c r="J91">
        <f>'Monthly Data'!BS91</f>
        <v>1</v>
      </c>
      <c r="K91">
        <f>'Monthly Data'!BU91</f>
        <v>0</v>
      </c>
      <c r="L91">
        <f>'Monthly Data'!BV91</f>
        <v>0</v>
      </c>
      <c r="M91">
        <f>'Monthly Data'!BW91</f>
        <v>0</v>
      </c>
      <c r="N91">
        <f>'Monthly Data'!CC91</f>
        <v>30</v>
      </c>
      <c r="O91">
        <f>'Monthly Data'!CD91</f>
        <v>22</v>
      </c>
      <c r="Q91">
        <f>'GS &gt; 50 OLS Model'!$B$5</f>
        <v>-8508488.8174217809</v>
      </c>
      <c r="R91" s="186">
        <f>'GS &gt; 50 OLS Model'!$B$6*E91</f>
        <v>135776.66868578736</v>
      </c>
      <c r="S91" s="186">
        <f>'GS &gt; 50 OLS Model'!$B$7*F91</f>
        <v>9080503.6141378991</v>
      </c>
      <c r="T91" s="186">
        <f>'GS &gt; 50 OLS Model'!$B$8*G91</f>
        <v>33212420.230053835</v>
      </c>
      <c r="U91" s="186"/>
      <c r="V91" s="186">
        <f>'GS &gt; 50 OLS Model'!$B$9*I91</f>
        <v>0</v>
      </c>
      <c r="W91" s="186">
        <f>'GS &gt; 50 OLS Model'!$B$10*J91</f>
        <v>1244451.2383117899</v>
      </c>
      <c r="X91" s="186">
        <f>'GS &gt; 50 OLS Model'!$B$11*K91</f>
        <v>0</v>
      </c>
      <c r="Y91" s="186">
        <f>'GS &gt; 50 OLS Model'!$B$12*L91</f>
        <v>0</v>
      </c>
      <c r="Z91" s="186">
        <v>0</v>
      </c>
      <c r="AA91" s="186">
        <f>'GS &gt; 50 OLS Model'!$B$13*N91</f>
        <v>33551198.840181898</v>
      </c>
      <c r="AB91" s="186">
        <f>'GS &gt; 50 OLS Model'!$B$14*O91</f>
        <v>14391403.668547621</v>
      </c>
      <c r="AC91">
        <f t="shared" si="11"/>
        <v>83107265.442497045</v>
      </c>
      <c r="AD91" s="24">
        <f t="shared" ca="1" si="12"/>
        <v>1.1904834550669886E-2</v>
      </c>
    </row>
    <row r="92" spans="1:30">
      <c r="A92" s="26">
        <f>'Monthly Data'!A92</f>
        <v>42552</v>
      </c>
      <c r="B92" s="154">
        <f t="shared" si="10"/>
        <v>7</v>
      </c>
      <c r="C92">
        <f t="shared" si="7"/>
        <v>2016</v>
      </c>
      <c r="D92">
        <f ca="1">'Monthly Data'!O92</f>
        <v>89208055.874293894</v>
      </c>
      <c r="E92">
        <f>'Monthly Data'!BH92</f>
        <v>0</v>
      </c>
      <c r="F92">
        <f>'Monthly Data'!BI92</f>
        <v>213.1</v>
      </c>
      <c r="G92">
        <f>'Monthly Data'!BL92</f>
        <v>634257.80000000005</v>
      </c>
      <c r="H92">
        <f>'Monthly Data'!BM92</f>
        <v>91</v>
      </c>
      <c r="I92">
        <f>'Monthly Data'!BQ92</f>
        <v>0</v>
      </c>
      <c r="J92">
        <f>'Monthly Data'!BS92</f>
        <v>0</v>
      </c>
      <c r="K92">
        <f>'Monthly Data'!BU92</f>
        <v>0</v>
      </c>
      <c r="L92">
        <f>'Monthly Data'!BV92</f>
        <v>0</v>
      </c>
      <c r="M92">
        <f>'Monthly Data'!BW92</f>
        <v>0</v>
      </c>
      <c r="N92">
        <f>'Monthly Data'!CC92</f>
        <v>31</v>
      </c>
      <c r="O92">
        <f>'Monthly Data'!CD92</f>
        <v>20</v>
      </c>
      <c r="Q92">
        <f>'GS &gt; 50 OLS Model'!$B$5</f>
        <v>-8508488.8174217809</v>
      </c>
      <c r="R92" s="186">
        <f>'GS &gt; 50 OLS Model'!$B$6*E92</f>
        <v>0</v>
      </c>
      <c r="S92" s="186">
        <f>'GS &gt; 50 OLS Model'!$B$7*F92</f>
        <v>15212699.057962155</v>
      </c>
      <c r="T92" s="186">
        <f>'GS &gt; 50 OLS Model'!$B$8*G92</f>
        <v>33212420.230053835</v>
      </c>
      <c r="U92" s="186"/>
      <c r="V92" s="186">
        <f>'GS &gt; 50 OLS Model'!$B$9*I92</f>
        <v>0</v>
      </c>
      <c r="W92" s="186">
        <f>'GS &gt; 50 OLS Model'!$B$10*J92</f>
        <v>0</v>
      </c>
      <c r="X92" s="186">
        <f>'GS &gt; 50 OLS Model'!$B$11*K92</f>
        <v>0</v>
      </c>
      <c r="Y92" s="186">
        <f>'GS &gt; 50 OLS Model'!$B$12*L92</f>
        <v>0</v>
      </c>
      <c r="Z92" s="186">
        <v>0</v>
      </c>
      <c r="AA92" s="186">
        <f>'GS &gt; 50 OLS Model'!$B$13*N92</f>
        <v>34669572.13485463</v>
      </c>
      <c r="AB92" s="186">
        <f>'GS &gt; 50 OLS Model'!$B$14*O92</f>
        <v>13083094.244134201</v>
      </c>
      <c r="AC92">
        <f t="shared" si="11"/>
        <v>87669296.849583045</v>
      </c>
      <c r="AD92" s="24">
        <f t="shared" ca="1" si="12"/>
        <v>1.7249103902445388E-2</v>
      </c>
    </row>
    <row r="93" spans="1:30">
      <c r="A93" s="26">
        <f>'Monthly Data'!A93</f>
        <v>42583</v>
      </c>
      <c r="B93" s="154">
        <f t="shared" si="10"/>
        <v>8</v>
      </c>
      <c r="C93">
        <f t="shared" si="7"/>
        <v>2016</v>
      </c>
      <c r="D93">
        <f ca="1">'Monthly Data'!O93</f>
        <v>92081052.006418362</v>
      </c>
      <c r="E93">
        <f>'Monthly Data'!BH93</f>
        <v>0</v>
      </c>
      <c r="F93">
        <f>'Monthly Data'!BI93</f>
        <v>219</v>
      </c>
      <c r="G93">
        <f>'Monthly Data'!BL93</f>
        <v>634257.80000000005</v>
      </c>
      <c r="H93">
        <f>'Monthly Data'!BM93</f>
        <v>92</v>
      </c>
      <c r="I93">
        <f>'Monthly Data'!BQ93</f>
        <v>0</v>
      </c>
      <c r="J93">
        <f>'Monthly Data'!BS93</f>
        <v>0</v>
      </c>
      <c r="K93">
        <f>'Monthly Data'!BU93</f>
        <v>1</v>
      </c>
      <c r="L93">
        <f>'Monthly Data'!BV93</f>
        <v>0</v>
      </c>
      <c r="M93">
        <f>'Monthly Data'!BW93</f>
        <v>0</v>
      </c>
      <c r="N93">
        <f>'Monthly Data'!CC93</f>
        <v>31</v>
      </c>
      <c r="O93">
        <f>'Monthly Data'!CD93</f>
        <v>22</v>
      </c>
      <c r="Q93">
        <f>'GS &gt; 50 OLS Model'!$B$5</f>
        <v>-8508488.8174217809</v>
      </c>
      <c r="R93" s="186">
        <f>'GS &gt; 50 OLS Model'!$B$6*E93</f>
        <v>0</v>
      </c>
      <c r="S93" s="186">
        <f>'GS &gt; 50 OLS Model'!$B$7*F93</f>
        <v>15633885.939435532</v>
      </c>
      <c r="T93" s="186">
        <f>'GS &gt; 50 OLS Model'!$B$8*G93</f>
        <v>33212420.230053835</v>
      </c>
      <c r="U93" s="186"/>
      <c r="V93" s="186">
        <f>'GS &gt; 50 OLS Model'!$B$9*I93</f>
        <v>0</v>
      </c>
      <c r="W93" s="186">
        <f>'GS &gt; 50 OLS Model'!$B$10*J93</f>
        <v>0</v>
      </c>
      <c r="X93" s="186">
        <f>'GS &gt; 50 OLS Model'!$B$11*K93</f>
        <v>2505717.0713192602</v>
      </c>
      <c r="Y93" s="186">
        <f>'GS &gt; 50 OLS Model'!$B$12*L93</f>
        <v>0</v>
      </c>
      <c r="Z93" s="186">
        <v>0</v>
      </c>
      <c r="AA93" s="186">
        <f>'GS &gt; 50 OLS Model'!$B$13*N93</f>
        <v>34669572.13485463</v>
      </c>
      <c r="AB93" s="186">
        <f>'GS &gt; 50 OLS Model'!$B$14*O93</f>
        <v>14391403.668547621</v>
      </c>
      <c r="AC93">
        <f t="shared" si="11"/>
        <v>91904510.226789102</v>
      </c>
      <c r="AD93" s="24">
        <f t="shared" ca="1" si="12"/>
        <v>1.917243295797215E-3</v>
      </c>
    </row>
    <row r="94" spans="1:30">
      <c r="A94" s="26">
        <f>'Monthly Data'!A94</f>
        <v>42614</v>
      </c>
      <c r="B94" s="154">
        <f t="shared" si="10"/>
        <v>9</v>
      </c>
      <c r="C94">
        <f t="shared" si="7"/>
        <v>2016</v>
      </c>
      <c r="D94">
        <f ca="1">'Monthly Data'!O94</f>
        <v>82625134.428336576</v>
      </c>
      <c r="E94">
        <f>'Monthly Data'!BH94</f>
        <v>8</v>
      </c>
      <c r="F94">
        <f>'Monthly Data'!BI94</f>
        <v>90.1</v>
      </c>
      <c r="G94">
        <f>'Monthly Data'!BL94</f>
        <v>634257.80000000005</v>
      </c>
      <c r="H94">
        <f>'Monthly Data'!BM94</f>
        <v>93</v>
      </c>
      <c r="I94">
        <f>'Monthly Data'!BQ94</f>
        <v>0</v>
      </c>
      <c r="J94">
        <f>'Monthly Data'!BS94</f>
        <v>0</v>
      </c>
      <c r="K94">
        <f>'Monthly Data'!BU94</f>
        <v>0</v>
      </c>
      <c r="L94">
        <f>'Monthly Data'!BV94</f>
        <v>1</v>
      </c>
      <c r="M94">
        <f>'Monthly Data'!BW94</f>
        <v>0</v>
      </c>
      <c r="N94">
        <f>'Monthly Data'!CC94</f>
        <v>30</v>
      </c>
      <c r="O94">
        <f>'Monthly Data'!CD94</f>
        <v>21</v>
      </c>
      <c r="Q94">
        <f>'GS &gt; 50 OLS Model'!$B$5</f>
        <v>-8508488.8174217809</v>
      </c>
      <c r="R94" s="186">
        <f>'GS &gt; 50 OLS Model'!$B$6*E94</f>
        <v>193966.6695511248</v>
      </c>
      <c r="S94" s="186">
        <f>'GS &gt; 50 OLS Model'!$B$7*F94</f>
        <v>6432023.3933476778</v>
      </c>
      <c r="T94" s="186">
        <f>'GS &gt; 50 OLS Model'!$B$8*G94</f>
        <v>33212420.230053835</v>
      </c>
      <c r="U94" s="186"/>
      <c r="V94" s="186">
        <f>'GS &gt; 50 OLS Model'!$B$9*I94</f>
        <v>0</v>
      </c>
      <c r="W94" s="186">
        <f>'GS &gt; 50 OLS Model'!$B$10*J94</f>
        <v>0</v>
      </c>
      <c r="X94" s="186">
        <f>'GS &gt; 50 OLS Model'!$B$11*K94</f>
        <v>0</v>
      </c>
      <c r="Y94" s="186">
        <f>'GS &gt; 50 OLS Model'!$B$12*L94</f>
        <v>2345350.8919449002</v>
      </c>
      <c r="Z94" s="186">
        <v>0</v>
      </c>
      <c r="AA94" s="186">
        <f>'GS &gt; 50 OLS Model'!$B$13*N94</f>
        <v>33551198.840181898</v>
      </c>
      <c r="AB94" s="186">
        <f>'GS &gt; 50 OLS Model'!$B$14*O94</f>
        <v>13737248.956340911</v>
      </c>
      <c r="AC94">
        <f t="shared" si="11"/>
        <v>80963720.163998559</v>
      </c>
      <c r="AD94" s="24">
        <f t="shared" ca="1" si="12"/>
        <v>2.010785550707956E-2</v>
      </c>
    </row>
    <row r="95" spans="1:30">
      <c r="A95" s="26">
        <f>'Monthly Data'!A95</f>
        <v>42644</v>
      </c>
      <c r="B95" s="154">
        <f t="shared" si="10"/>
        <v>10</v>
      </c>
      <c r="C95">
        <f t="shared" si="7"/>
        <v>2016</v>
      </c>
      <c r="D95">
        <f ca="1">'Monthly Data'!O95</f>
        <v>79761867.387980133</v>
      </c>
      <c r="E95">
        <f>'Monthly Data'!BH95</f>
        <v>146</v>
      </c>
      <c r="F95">
        <f>'Monthly Data'!BI95</f>
        <v>22.7</v>
      </c>
      <c r="G95">
        <f>'Monthly Data'!BL95</f>
        <v>634257.80000000005</v>
      </c>
      <c r="H95">
        <f>'Monthly Data'!BM95</f>
        <v>94</v>
      </c>
      <c r="I95">
        <f>'Monthly Data'!BQ95</f>
        <v>0</v>
      </c>
      <c r="J95">
        <f>'Monthly Data'!BS95</f>
        <v>0</v>
      </c>
      <c r="K95">
        <f>'Monthly Data'!BU95</f>
        <v>0</v>
      </c>
      <c r="L95">
        <f>'Monthly Data'!BV95</f>
        <v>0</v>
      </c>
      <c r="M95">
        <f>'Monthly Data'!BW95</f>
        <v>1</v>
      </c>
      <c r="N95">
        <f>'Monthly Data'!CC95</f>
        <v>31</v>
      </c>
      <c r="O95">
        <f>'Monthly Data'!CD95</f>
        <v>20</v>
      </c>
      <c r="Q95">
        <f>'GS &gt; 50 OLS Model'!$B$5</f>
        <v>-8508488.8174217809</v>
      </c>
      <c r="R95" s="186">
        <f>'GS &gt; 50 OLS Model'!$B$6*E95</f>
        <v>3539891.7193080275</v>
      </c>
      <c r="S95" s="186">
        <f>'GS &gt; 50 OLS Model'!$B$7*F95</f>
        <v>1620498.6795670621</v>
      </c>
      <c r="T95" s="186">
        <f>'GS &gt; 50 OLS Model'!$B$8*G95</f>
        <v>33212420.230053835</v>
      </c>
      <c r="U95" s="186"/>
      <c r="V95" s="186">
        <f>'GS &gt; 50 OLS Model'!$B$9*I95</f>
        <v>0</v>
      </c>
      <c r="W95" s="186">
        <f>'GS &gt; 50 OLS Model'!$B$10*J95</f>
        <v>0</v>
      </c>
      <c r="X95" s="186">
        <f>'GS &gt; 50 OLS Model'!$B$11*K95</f>
        <v>0</v>
      </c>
      <c r="Y95" s="186">
        <f>'GS &gt; 50 OLS Model'!$B$12*L95</f>
        <v>0</v>
      </c>
      <c r="Z95" s="186">
        <v>0</v>
      </c>
      <c r="AA95" s="186">
        <f>'GS &gt; 50 OLS Model'!$B$13*N95</f>
        <v>34669572.13485463</v>
      </c>
      <c r="AB95" s="186">
        <f>'GS &gt; 50 OLS Model'!$B$14*O95</f>
        <v>13083094.244134201</v>
      </c>
      <c r="AC95">
        <f t="shared" si="11"/>
        <v>77616988.190495968</v>
      </c>
      <c r="AD95" s="24">
        <f t="shared" ca="1" si="12"/>
        <v>2.6891035374723336E-2</v>
      </c>
    </row>
    <row r="96" spans="1:30">
      <c r="A96" s="26">
        <f>'Monthly Data'!A96</f>
        <v>42675</v>
      </c>
      <c r="B96" s="154">
        <f t="shared" si="10"/>
        <v>11</v>
      </c>
      <c r="C96">
        <f t="shared" si="7"/>
        <v>2016</v>
      </c>
      <c r="D96">
        <f ca="1">'Monthly Data'!O96</f>
        <v>79632729.527031347</v>
      </c>
      <c r="E96">
        <f>'Monthly Data'!BH96</f>
        <v>290.7</v>
      </c>
      <c r="F96">
        <f>'Monthly Data'!BI96</f>
        <v>0</v>
      </c>
      <c r="G96">
        <f>'Monthly Data'!BL96</f>
        <v>634257.80000000005</v>
      </c>
      <c r="H96">
        <f>'Monthly Data'!BM96</f>
        <v>95</v>
      </c>
      <c r="I96">
        <f>'Monthly Data'!BQ96</f>
        <v>0</v>
      </c>
      <c r="J96">
        <f>'Monthly Data'!BS96</f>
        <v>0</v>
      </c>
      <c r="K96">
        <f>'Monthly Data'!BU96</f>
        <v>0</v>
      </c>
      <c r="L96">
        <f>'Monthly Data'!BV96</f>
        <v>0</v>
      </c>
      <c r="M96">
        <f>'Monthly Data'!BW96</f>
        <v>0</v>
      </c>
      <c r="N96">
        <f>'Monthly Data'!CC96</f>
        <v>30</v>
      </c>
      <c r="O96">
        <f>'Monthly Data'!CD96</f>
        <v>22</v>
      </c>
      <c r="Q96">
        <f>'GS &gt; 50 OLS Model'!$B$5</f>
        <v>-8508488.8174217809</v>
      </c>
      <c r="R96" s="186">
        <f>'GS &gt; 50 OLS Model'!$B$6*E96</f>
        <v>7048263.8548139967</v>
      </c>
      <c r="S96" s="186">
        <f>'GS &gt; 50 OLS Model'!$B$7*F96</f>
        <v>0</v>
      </c>
      <c r="T96" s="186">
        <f>'GS &gt; 50 OLS Model'!$B$8*G96</f>
        <v>33212420.230053835</v>
      </c>
      <c r="U96" s="186"/>
      <c r="V96" s="186">
        <f>'GS &gt; 50 OLS Model'!$B$9*I96</f>
        <v>0</v>
      </c>
      <c r="W96" s="186">
        <f>'GS &gt; 50 OLS Model'!$B$10*J96</f>
        <v>0</v>
      </c>
      <c r="X96" s="186">
        <f>'GS &gt; 50 OLS Model'!$B$11*K96</f>
        <v>0</v>
      </c>
      <c r="Y96" s="186">
        <f>'GS &gt; 50 OLS Model'!$B$12*L96</f>
        <v>0</v>
      </c>
      <c r="Z96" s="186">
        <v>0</v>
      </c>
      <c r="AA96" s="186">
        <f>'GS &gt; 50 OLS Model'!$B$13*N96</f>
        <v>33551198.840181898</v>
      </c>
      <c r="AB96" s="186">
        <f>'GS &gt; 50 OLS Model'!$B$14*O96</f>
        <v>14391403.668547621</v>
      </c>
      <c r="AC96">
        <f t="shared" si="11"/>
        <v>79694797.776175559</v>
      </c>
      <c r="AD96" s="24">
        <f t="shared" ca="1" si="12"/>
        <v>7.7943139099787267E-4</v>
      </c>
    </row>
    <row r="97" spans="1:30">
      <c r="A97" s="26">
        <f>'Monthly Data'!A97</f>
        <v>42705</v>
      </c>
      <c r="B97" s="154">
        <f t="shared" si="10"/>
        <v>12</v>
      </c>
      <c r="C97">
        <f t="shared" si="7"/>
        <v>2016</v>
      </c>
      <c r="D97">
        <f ca="1">'Monthly Data'!O97</f>
        <v>85703762.977146074</v>
      </c>
      <c r="E97">
        <f>'Monthly Data'!BH97</f>
        <v>581.1</v>
      </c>
      <c r="F97">
        <f>'Monthly Data'!BI97</f>
        <v>0</v>
      </c>
      <c r="G97">
        <f>'Monthly Data'!BL97</f>
        <v>634257.80000000005</v>
      </c>
      <c r="H97">
        <f>'Monthly Data'!BM97</f>
        <v>96</v>
      </c>
      <c r="I97">
        <f>'Monthly Data'!BQ97</f>
        <v>0</v>
      </c>
      <c r="J97">
        <f>'Monthly Data'!BS97</f>
        <v>0</v>
      </c>
      <c r="K97">
        <f>'Monthly Data'!BU97</f>
        <v>0</v>
      </c>
      <c r="L97">
        <f>'Monthly Data'!BV97</f>
        <v>0</v>
      </c>
      <c r="M97">
        <f>'Monthly Data'!BW97</f>
        <v>0</v>
      </c>
      <c r="N97">
        <f>'Monthly Data'!CC97</f>
        <v>31</v>
      </c>
      <c r="O97">
        <f>'Monthly Data'!CD97</f>
        <v>20</v>
      </c>
      <c r="Q97">
        <f>'GS &gt; 50 OLS Model'!$B$5</f>
        <v>-8508488.8174217809</v>
      </c>
      <c r="R97" s="186">
        <f>'GS &gt; 50 OLS Model'!$B$6*E97</f>
        <v>14089253.959519828</v>
      </c>
      <c r="S97" s="186">
        <f>'GS &gt; 50 OLS Model'!$B$7*F97</f>
        <v>0</v>
      </c>
      <c r="T97" s="186">
        <f>'GS &gt; 50 OLS Model'!$B$8*G97</f>
        <v>33212420.230053835</v>
      </c>
      <c r="U97" s="186"/>
      <c r="V97" s="186">
        <f>'GS &gt; 50 OLS Model'!$B$9*I97</f>
        <v>0</v>
      </c>
      <c r="W97" s="186">
        <f>'GS &gt; 50 OLS Model'!$B$10*J97</f>
        <v>0</v>
      </c>
      <c r="X97" s="186">
        <f>'GS &gt; 50 OLS Model'!$B$11*K97</f>
        <v>0</v>
      </c>
      <c r="Y97" s="186">
        <f>'GS &gt; 50 OLS Model'!$B$12*L97</f>
        <v>0</v>
      </c>
      <c r="Z97" s="186">
        <v>0</v>
      </c>
      <c r="AA97" s="186">
        <f>'GS &gt; 50 OLS Model'!$B$13*N97</f>
        <v>34669572.13485463</v>
      </c>
      <c r="AB97" s="186">
        <f>'GS &gt; 50 OLS Model'!$B$14*O97</f>
        <v>13083094.244134201</v>
      </c>
      <c r="AC97">
        <f t="shared" si="11"/>
        <v>86545851.751140714</v>
      </c>
      <c r="AD97" s="24">
        <f t="shared" ca="1" si="12"/>
        <v>9.8255752693051819E-3</v>
      </c>
    </row>
    <row r="98" spans="1:30" s="127" customFormat="1">
      <c r="A98" s="128">
        <f>'Monthly Data'!A98</f>
        <v>42736</v>
      </c>
      <c r="B98" s="154">
        <f t="shared" si="10"/>
        <v>1</v>
      </c>
      <c r="C98" s="127">
        <f t="shared" ref="C98:C109" si="13">YEAR(A98)</f>
        <v>2017</v>
      </c>
      <c r="D98" s="127">
        <f ca="1">'Monthly Data'!O98</f>
        <v>89452615.289801002</v>
      </c>
      <c r="E98" s="127">
        <f>'Monthly Data'!BH98</f>
        <v>570.4</v>
      </c>
      <c r="F98" s="127">
        <f>'Monthly Data'!BI98</f>
        <v>0</v>
      </c>
      <c r="G98" s="127">
        <f>'Monthly Data'!BL98</f>
        <v>651932.30000000005</v>
      </c>
      <c r="H98" s="127">
        <f>'Monthly Data'!BM98</f>
        <v>97</v>
      </c>
      <c r="I98" s="127">
        <f>'Monthly Data'!BQ98</f>
        <v>0</v>
      </c>
      <c r="J98" s="127">
        <f>'Monthly Data'!BS98</f>
        <v>0</v>
      </c>
      <c r="K98" s="127">
        <f>'Monthly Data'!BU98</f>
        <v>0</v>
      </c>
      <c r="L98" s="127">
        <f>'Monthly Data'!BV98</f>
        <v>0</v>
      </c>
      <c r="M98" s="127">
        <f>'Monthly Data'!BW98</f>
        <v>0</v>
      </c>
      <c r="N98" s="127">
        <f>'Monthly Data'!CC98</f>
        <v>31</v>
      </c>
      <c r="O98" s="127">
        <f>'Monthly Data'!CD98</f>
        <v>22</v>
      </c>
      <c r="Q98" s="127">
        <f>'GS &gt; 50 OLS Model'!$B$5</f>
        <v>-8508488.8174217809</v>
      </c>
      <c r="R98" s="186">
        <f>'GS &gt; 50 OLS Model'!$B$6*E98</f>
        <v>13829823.538995197</v>
      </c>
      <c r="S98" s="186">
        <f>'GS &gt; 50 OLS Model'!$B$7*F98</f>
        <v>0</v>
      </c>
      <c r="T98" s="186">
        <f>'GS &gt; 50 OLS Model'!$B$8*G98</f>
        <v>34137931.782857895</v>
      </c>
      <c r="U98" s="186"/>
      <c r="V98" s="186">
        <f>'GS &gt; 50 OLS Model'!$B$9*I98</f>
        <v>0</v>
      </c>
      <c r="W98" s="186">
        <f>'GS &gt; 50 OLS Model'!$B$10*J98</f>
        <v>0</v>
      </c>
      <c r="X98" s="186">
        <f>'GS &gt; 50 OLS Model'!$B$11*K98</f>
        <v>0</v>
      </c>
      <c r="Y98" s="186">
        <f>'GS &gt; 50 OLS Model'!$B$12*L98</f>
        <v>0</v>
      </c>
      <c r="Z98" s="186">
        <v>0</v>
      </c>
      <c r="AA98" s="186">
        <f>'GS &gt; 50 OLS Model'!$B$13*N98</f>
        <v>34669572.13485463</v>
      </c>
      <c r="AB98" s="186">
        <f>'GS &gt; 50 OLS Model'!$B$14*O98</f>
        <v>14391403.668547621</v>
      </c>
      <c r="AC98" s="127">
        <f t="shared" si="11"/>
        <v>88520242.307833552</v>
      </c>
      <c r="AD98" s="24">
        <f t="shared" ca="1" si="12"/>
        <v>1.0423093600414322E-2</v>
      </c>
    </row>
    <row r="99" spans="1:30" s="127" customFormat="1">
      <c r="A99" s="128">
        <f>'Monthly Data'!A99</f>
        <v>42767</v>
      </c>
      <c r="B99" s="154">
        <f t="shared" si="10"/>
        <v>2</v>
      </c>
      <c r="C99" s="127">
        <f t="shared" si="13"/>
        <v>2017</v>
      </c>
      <c r="D99" s="127">
        <f ca="1">'Monthly Data'!O99</f>
        <v>79369250.509801</v>
      </c>
      <c r="E99" s="127">
        <f>'Monthly Data'!BH99</f>
        <v>411.8</v>
      </c>
      <c r="F99" s="127">
        <f>'Monthly Data'!BI99</f>
        <v>0</v>
      </c>
      <c r="G99" s="127">
        <f>'Monthly Data'!BL99</f>
        <v>651932.30000000005</v>
      </c>
      <c r="H99" s="127">
        <f>'Monthly Data'!BM99</f>
        <v>98</v>
      </c>
      <c r="I99" s="127">
        <f>'Monthly Data'!BQ99</f>
        <v>0</v>
      </c>
      <c r="J99" s="127">
        <f>'Monthly Data'!BS99</f>
        <v>0</v>
      </c>
      <c r="K99" s="127">
        <f>'Monthly Data'!BU99</f>
        <v>0</v>
      </c>
      <c r="L99" s="127">
        <f>'Monthly Data'!BV99</f>
        <v>0</v>
      </c>
      <c r="M99" s="127">
        <f>'Monthly Data'!BW99</f>
        <v>0</v>
      </c>
      <c r="N99" s="127">
        <f>'Monthly Data'!CC99</f>
        <v>28</v>
      </c>
      <c r="O99" s="127">
        <f>'Monthly Data'!CD99</f>
        <v>19</v>
      </c>
      <c r="Q99" s="127">
        <f>'GS &gt; 50 OLS Model'!$B$5</f>
        <v>-8508488.8174217809</v>
      </c>
      <c r="R99" s="186">
        <f>'GS &gt; 50 OLS Model'!$B$6*E99</f>
        <v>9984434.3151441496</v>
      </c>
      <c r="S99" s="186">
        <f>'GS &gt; 50 OLS Model'!$B$7*F99</f>
        <v>0</v>
      </c>
      <c r="T99" s="186">
        <f>'GS &gt; 50 OLS Model'!$B$8*G99</f>
        <v>34137931.782857895</v>
      </c>
      <c r="U99" s="186"/>
      <c r="V99" s="186">
        <f>'GS &gt; 50 OLS Model'!$B$9*I99</f>
        <v>0</v>
      </c>
      <c r="W99" s="186">
        <f>'GS &gt; 50 OLS Model'!$B$10*J99</f>
        <v>0</v>
      </c>
      <c r="X99" s="186">
        <f>'GS &gt; 50 OLS Model'!$B$11*K99</f>
        <v>0</v>
      </c>
      <c r="Y99" s="186">
        <f>'GS &gt; 50 OLS Model'!$B$12*L99</f>
        <v>0</v>
      </c>
      <c r="Z99" s="186">
        <v>0</v>
      </c>
      <c r="AA99" s="186">
        <f>'GS &gt; 50 OLS Model'!$B$13*N99</f>
        <v>31314452.250836439</v>
      </c>
      <c r="AB99" s="186">
        <f>'GS &gt; 50 OLS Model'!$B$14*O99</f>
        <v>12428939.531927491</v>
      </c>
      <c r="AC99" s="127">
        <f t="shared" si="11"/>
        <v>79357269.063344195</v>
      </c>
      <c r="AD99" s="24">
        <f t="shared" ca="1" si="12"/>
        <v>1.5095829152784212E-4</v>
      </c>
    </row>
    <row r="100" spans="1:30" s="127" customFormat="1">
      <c r="A100" s="128">
        <f>'Monthly Data'!A100</f>
        <v>42795</v>
      </c>
      <c r="B100" s="154">
        <f t="shared" si="10"/>
        <v>3</v>
      </c>
      <c r="C100" s="127">
        <f t="shared" si="13"/>
        <v>2017</v>
      </c>
      <c r="D100" s="127">
        <f ca="1">'Monthly Data'!O100</f>
        <v>85130613.079801008</v>
      </c>
      <c r="E100" s="127">
        <f>'Monthly Data'!BH100</f>
        <v>469.7</v>
      </c>
      <c r="F100" s="127">
        <f>'Monthly Data'!BI100</f>
        <v>0</v>
      </c>
      <c r="G100" s="127">
        <f>'Monthly Data'!BL100</f>
        <v>651932.30000000005</v>
      </c>
      <c r="H100" s="127">
        <f>'Monthly Data'!BM100</f>
        <v>99</v>
      </c>
      <c r="I100" s="127">
        <f>'Monthly Data'!BQ100</f>
        <v>0</v>
      </c>
      <c r="J100" s="127">
        <f>'Monthly Data'!BS100</f>
        <v>0</v>
      </c>
      <c r="K100" s="127">
        <f>'Monthly Data'!BU100</f>
        <v>0</v>
      </c>
      <c r="L100" s="127">
        <f>'Monthly Data'!BV100</f>
        <v>0</v>
      </c>
      <c r="M100" s="127">
        <f>'Monthly Data'!BW100</f>
        <v>0</v>
      </c>
      <c r="N100" s="127">
        <f>'Monthly Data'!CC100</f>
        <v>31</v>
      </c>
      <c r="O100" s="127">
        <f>'Monthly Data'!CD100</f>
        <v>23</v>
      </c>
      <c r="Q100" s="127">
        <f>'GS &gt; 50 OLS Model'!$B$5</f>
        <v>-8508488.8174217809</v>
      </c>
      <c r="R100" s="186">
        <f>'GS &gt; 50 OLS Model'!$B$6*E100</f>
        <v>11388268.086020414</v>
      </c>
      <c r="S100" s="186">
        <f>'GS &gt; 50 OLS Model'!$B$7*F100</f>
        <v>0</v>
      </c>
      <c r="T100" s="186">
        <f>'GS &gt; 50 OLS Model'!$B$8*G100</f>
        <v>34137931.782857895</v>
      </c>
      <c r="U100" s="186"/>
      <c r="V100" s="186">
        <f>'GS &gt; 50 OLS Model'!$B$9*I100</f>
        <v>0</v>
      </c>
      <c r="W100" s="186">
        <f>'GS &gt; 50 OLS Model'!$B$10*J100</f>
        <v>0</v>
      </c>
      <c r="X100" s="186">
        <f>'GS &gt; 50 OLS Model'!$B$11*K100</f>
        <v>0</v>
      </c>
      <c r="Y100" s="186">
        <f>'GS &gt; 50 OLS Model'!$B$12*L100</f>
        <v>0</v>
      </c>
      <c r="Z100" s="186">
        <v>0</v>
      </c>
      <c r="AA100" s="186">
        <f>'GS &gt; 50 OLS Model'!$B$13*N100</f>
        <v>34669572.13485463</v>
      </c>
      <c r="AB100" s="186">
        <f>'GS &gt; 50 OLS Model'!$B$14*O100</f>
        <v>15045558.380754331</v>
      </c>
      <c r="AC100" s="127">
        <f t="shared" si="11"/>
        <v>86732841.567065492</v>
      </c>
      <c r="AD100" s="24">
        <f t="shared" ca="1" si="12"/>
        <v>1.882082636668625E-2</v>
      </c>
    </row>
    <row r="101" spans="1:30" s="127" customFormat="1">
      <c r="A101" s="128">
        <f>'Monthly Data'!A101</f>
        <v>42826</v>
      </c>
      <c r="B101" s="154">
        <f t="shared" si="10"/>
        <v>4</v>
      </c>
      <c r="C101" s="127">
        <f t="shared" si="13"/>
        <v>2017</v>
      </c>
      <c r="D101" s="127">
        <f ca="1">'Monthly Data'!O101</f>
        <v>75264677.349801004</v>
      </c>
      <c r="E101" s="127">
        <f>'Monthly Data'!BH101</f>
        <v>177.1</v>
      </c>
      <c r="F101" s="127">
        <f>'Monthly Data'!BI101</f>
        <v>6.1</v>
      </c>
      <c r="G101" s="127">
        <f>'Monthly Data'!BL101</f>
        <v>651932.30000000005</v>
      </c>
      <c r="H101" s="127">
        <f>'Monthly Data'!BM101</f>
        <v>100</v>
      </c>
      <c r="I101" s="127">
        <f>'Monthly Data'!BQ101</f>
        <v>1</v>
      </c>
      <c r="J101" s="127">
        <f>'Monthly Data'!BS101</f>
        <v>0</v>
      </c>
      <c r="K101" s="127">
        <f>'Monthly Data'!BU101</f>
        <v>0</v>
      </c>
      <c r="L101" s="127">
        <f>'Monthly Data'!BV101</f>
        <v>0</v>
      </c>
      <c r="M101" s="127">
        <f>'Monthly Data'!BW101</f>
        <v>0</v>
      </c>
      <c r="N101" s="127">
        <f>'Monthly Data'!CC101</f>
        <v>30</v>
      </c>
      <c r="O101" s="127">
        <f>'Monthly Data'!CD101</f>
        <v>19</v>
      </c>
      <c r="Q101" s="127">
        <f>'GS &gt; 50 OLS Model'!$B$5</f>
        <v>-8508488.8174217809</v>
      </c>
      <c r="R101" s="186">
        <f>'GS &gt; 50 OLS Model'!$B$6*E101</f>
        <v>4293937.1471880246</v>
      </c>
      <c r="S101" s="186">
        <f>'GS &gt; 50 OLS Model'!$B$7*F101</f>
        <v>435464.40287925454</v>
      </c>
      <c r="T101" s="186">
        <f>'GS &gt; 50 OLS Model'!$B$8*G101</f>
        <v>34137931.782857895</v>
      </c>
      <c r="U101" s="186"/>
      <c r="V101" s="186">
        <f>'GS &gt; 50 OLS Model'!$B$9*I101</f>
        <v>-1670359.8066300801</v>
      </c>
      <c r="W101" s="186">
        <f>'GS &gt; 50 OLS Model'!$B$10*J101</f>
        <v>0</v>
      </c>
      <c r="X101" s="186">
        <f>'GS &gt; 50 OLS Model'!$B$11*K101</f>
        <v>0</v>
      </c>
      <c r="Y101" s="186">
        <f>'GS &gt; 50 OLS Model'!$B$12*L101</f>
        <v>0</v>
      </c>
      <c r="Z101" s="186">
        <v>0</v>
      </c>
      <c r="AA101" s="186">
        <f>'GS &gt; 50 OLS Model'!$B$13*N101</f>
        <v>33551198.840181898</v>
      </c>
      <c r="AB101" s="186">
        <f>'GS &gt; 50 OLS Model'!$B$14*O101</f>
        <v>12428939.531927491</v>
      </c>
      <c r="AC101" s="127">
        <f t="shared" si="11"/>
        <v>74668623.0809827</v>
      </c>
      <c r="AD101" s="24">
        <f t="shared" ca="1" si="12"/>
        <v>7.9194422909444635E-3</v>
      </c>
    </row>
    <row r="102" spans="1:30" s="127" customFormat="1">
      <c r="A102" s="128">
        <f>'Monthly Data'!A102</f>
        <v>42856</v>
      </c>
      <c r="B102" s="154">
        <f t="shared" si="10"/>
        <v>5</v>
      </c>
      <c r="C102" s="127">
        <f t="shared" si="13"/>
        <v>2017</v>
      </c>
      <c r="D102" s="127">
        <f ca="1">'Monthly Data'!O102</f>
        <v>78986166.629801005</v>
      </c>
      <c r="E102" s="127">
        <f>'Monthly Data'!BH102</f>
        <v>124.4</v>
      </c>
      <c r="F102" s="127">
        <f>'Monthly Data'!BI102</f>
        <v>28.5</v>
      </c>
      <c r="G102" s="127">
        <f>'Monthly Data'!BL102</f>
        <v>651932.30000000005</v>
      </c>
      <c r="H102" s="127">
        <f>'Monthly Data'!BM102</f>
        <v>101</v>
      </c>
      <c r="I102" s="127">
        <f>'Monthly Data'!BQ102</f>
        <v>0</v>
      </c>
      <c r="J102" s="127">
        <f>'Monthly Data'!BS102</f>
        <v>0</v>
      </c>
      <c r="K102" s="127">
        <f>'Monthly Data'!BU102</f>
        <v>0</v>
      </c>
      <c r="L102" s="127">
        <f>'Monthly Data'!BV102</f>
        <v>0</v>
      </c>
      <c r="M102" s="127">
        <f>'Monthly Data'!BW102</f>
        <v>0</v>
      </c>
      <c r="N102" s="127">
        <f>'Monthly Data'!CC102</f>
        <v>31</v>
      </c>
      <c r="O102" s="127">
        <f>'Monthly Data'!CD102</f>
        <v>22</v>
      </c>
      <c r="Q102" s="127">
        <f>'GS &gt; 50 OLS Model'!$B$5</f>
        <v>-8508488.8174217809</v>
      </c>
      <c r="R102" s="186">
        <f>'GS &gt; 50 OLS Model'!$B$6*E102</f>
        <v>3016181.7115199906</v>
      </c>
      <c r="S102" s="186">
        <f>'GS &gt; 50 OLS Model'!$B$7*F102</f>
        <v>2034546.8003375009</v>
      </c>
      <c r="T102" s="186">
        <f>'GS &gt; 50 OLS Model'!$B$8*G102</f>
        <v>34137931.782857895</v>
      </c>
      <c r="U102" s="186"/>
      <c r="V102" s="186">
        <f>'GS &gt; 50 OLS Model'!$B$9*I102</f>
        <v>0</v>
      </c>
      <c r="W102" s="186">
        <f>'GS &gt; 50 OLS Model'!$B$10*J102</f>
        <v>0</v>
      </c>
      <c r="X102" s="186">
        <f>'GS &gt; 50 OLS Model'!$B$11*K102</f>
        <v>0</v>
      </c>
      <c r="Y102" s="186">
        <f>'GS &gt; 50 OLS Model'!$B$12*L102</f>
        <v>0</v>
      </c>
      <c r="Z102" s="186">
        <v>0</v>
      </c>
      <c r="AA102" s="186">
        <f>'GS &gt; 50 OLS Model'!$B$13*N102</f>
        <v>34669572.13485463</v>
      </c>
      <c r="AB102" s="186">
        <f>'GS &gt; 50 OLS Model'!$B$14*O102</f>
        <v>14391403.668547621</v>
      </c>
      <c r="AC102" s="127">
        <f t="shared" si="11"/>
        <v>79741147.280695856</v>
      </c>
      <c r="AD102" s="24">
        <f t="shared" ca="1" si="12"/>
        <v>9.5583908310597869E-3</v>
      </c>
    </row>
    <row r="103" spans="1:30" s="127" customFormat="1">
      <c r="A103" s="128">
        <f>'Monthly Data'!A103</f>
        <v>42887</v>
      </c>
      <c r="B103" s="154">
        <f t="shared" si="10"/>
        <v>6</v>
      </c>
      <c r="C103" s="127">
        <f t="shared" si="13"/>
        <v>2017</v>
      </c>
      <c r="D103" s="127">
        <f ca="1">'Monthly Data'!O103</f>
        <v>82979146.239801005</v>
      </c>
      <c r="E103" s="127">
        <f>'Monthly Data'!BH103</f>
        <v>2.9</v>
      </c>
      <c r="F103" s="127">
        <f>'Monthly Data'!BI103</f>
        <v>128.1</v>
      </c>
      <c r="G103" s="127">
        <f>'Monthly Data'!BL103</f>
        <v>651932.30000000005</v>
      </c>
      <c r="H103" s="127">
        <f>'Monthly Data'!BM103</f>
        <v>102</v>
      </c>
      <c r="I103" s="127">
        <f>'Monthly Data'!BQ103</f>
        <v>0</v>
      </c>
      <c r="J103" s="127">
        <f>'Monthly Data'!BS103</f>
        <v>1</v>
      </c>
      <c r="K103" s="127">
        <f>'Monthly Data'!BU103</f>
        <v>0</v>
      </c>
      <c r="L103" s="127">
        <f>'Monthly Data'!BV103</f>
        <v>0</v>
      </c>
      <c r="M103" s="127">
        <f>'Monthly Data'!BW103</f>
        <v>0</v>
      </c>
      <c r="N103" s="127">
        <f>'Monthly Data'!CC103</f>
        <v>30</v>
      </c>
      <c r="O103" s="127">
        <f>'Monthly Data'!CD103</f>
        <v>22</v>
      </c>
      <c r="Q103" s="127">
        <f>'GS &gt; 50 OLS Model'!$B$5</f>
        <v>-8508488.8174217809</v>
      </c>
      <c r="R103" s="186">
        <f>'GS &gt; 50 OLS Model'!$B$6*E103</f>
        <v>70312.917712282739</v>
      </c>
      <c r="S103" s="186">
        <f>'GS &gt; 50 OLS Model'!$B$7*F103</f>
        <v>9144752.4604643453</v>
      </c>
      <c r="T103" s="186">
        <f>'GS &gt; 50 OLS Model'!$B$8*G103</f>
        <v>34137931.782857895</v>
      </c>
      <c r="U103" s="186"/>
      <c r="V103" s="186">
        <f>'GS &gt; 50 OLS Model'!$B$9*I103</f>
        <v>0</v>
      </c>
      <c r="W103" s="186">
        <f>'GS &gt; 50 OLS Model'!$B$10*J103</f>
        <v>1244451.2383117899</v>
      </c>
      <c r="X103" s="186">
        <f>'GS &gt; 50 OLS Model'!$B$11*K103</f>
        <v>0</v>
      </c>
      <c r="Y103" s="186">
        <f>'GS &gt; 50 OLS Model'!$B$12*L103</f>
        <v>0</v>
      </c>
      <c r="Z103" s="186">
        <v>0</v>
      </c>
      <c r="AA103" s="186">
        <f>'GS &gt; 50 OLS Model'!$B$13*N103</f>
        <v>33551198.840181898</v>
      </c>
      <c r="AB103" s="186">
        <f>'GS &gt; 50 OLS Model'!$B$14*O103</f>
        <v>14391403.668547621</v>
      </c>
      <c r="AC103" s="127">
        <f t="shared" si="11"/>
        <v>84031562.090654045</v>
      </c>
      <c r="AD103" s="24">
        <f t="shared" ca="1" si="12"/>
        <v>1.2682895625506554E-2</v>
      </c>
    </row>
    <row r="104" spans="1:30" s="127" customFormat="1">
      <c r="A104" s="128">
        <f>'Monthly Data'!A104</f>
        <v>42917</v>
      </c>
      <c r="B104" s="154">
        <f t="shared" si="10"/>
        <v>7</v>
      </c>
      <c r="C104" s="127">
        <f t="shared" si="13"/>
        <v>2017</v>
      </c>
      <c r="D104" s="127">
        <f ca="1">'Monthly Data'!O104</f>
        <v>86438186.809800997</v>
      </c>
      <c r="E104" s="127">
        <f>'Monthly Data'!BH104</f>
        <v>0</v>
      </c>
      <c r="F104" s="127">
        <f>'Monthly Data'!BI104</f>
        <v>179.5</v>
      </c>
      <c r="G104" s="127">
        <f>'Monthly Data'!BL104</f>
        <v>651932.30000000005</v>
      </c>
      <c r="H104" s="127">
        <f>'Monthly Data'!BM104</f>
        <v>103</v>
      </c>
      <c r="I104" s="127">
        <f>'Monthly Data'!BQ104</f>
        <v>0</v>
      </c>
      <c r="J104" s="127">
        <f>'Monthly Data'!BS104</f>
        <v>0</v>
      </c>
      <c r="K104" s="127">
        <f>'Monthly Data'!BU104</f>
        <v>0</v>
      </c>
      <c r="L104" s="127">
        <f>'Monthly Data'!BV104</f>
        <v>0</v>
      </c>
      <c r="M104" s="127">
        <f>'Monthly Data'!BW104</f>
        <v>0</v>
      </c>
      <c r="N104" s="127">
        <f>'Monthly Data'!CC104</f>
        <v>31</v>
      </c>
      <c r="O104" s="127">
        <f>'Monthly Data'!CD104</f>
        <v>20</v>
      </c>
      <c r="Q104" s="127">
        <f>'GS &gt; 50 OLS Model'!$B$5</f>
        <v>-8508488.8174217809</v>
      </c>
      <c r="R104" s="186">
        <f>'GS &gt; 50 OLS Model'!$B$6*E104</f>
        <v>0</v>
      </c>
      <c r="S104" s="186">
        <f>'GS &gt; 50 OLS Model'!$B$7*F104</f>
        <v>12814075.461774787</v>
      </c>
      <c r="T104" s="186">
        <f>'GS &gt; 50 OLS Model'!$B$8*G104</f>
        <v>34137931.782857895</v>
      </c>
      <c r="U104" s="186"/>
      <c r="V104" s="186">
        <f>'GS &gt; 50 OLS Model'!$B$9*I104</f>
        <v>0</v>
      </c>
      <c r="W104" s="186">
        <f>'GS &gt; 50 OLS Model'!$B$10*J104</f>
        <v>0</v>
      </c>
      <c r="X104" s="186">
        <f>'GS &gt; 50 OLS Model'!$B$11*K104</f>
        <v>0</v>
      </c>
      <c r="Y104" s="186">
        <f>'GS &gt; 50 OLS Model'!$B$12*L104</f>
        <v>0</v>
      </c>
      <c r="Z104" s="186">
        <v>0</v>
      </c>
      <c r="AA104" s="186">
        <f>'GS &gt; 50 OLS Model'!$B$13*N104</f>
        <v>34669572.13485463</v>
      </c>
      <c r="AB104" s="186">
        <f>'GS &gt; 50 OLS Model'!$B$14*O104</f>
        <v>13083094.244134201</v>
      </c>
      <c r="AC104" s="127">
        <f t="shared" si="11"/>
        <v>86196184.806199729</v>
      </c>
      <c r="AD104" s="24">
        <f t="shared" ca="1" si="12"/>
        <v>2.7997117076711746E-3</v>
      </c>
    </row>
    <row r="105" spans="1:30" s="127" customFormat="1">
      <c r="A105" s="128">
        <f>'Monthly Data'!A105</f>
        <v>42948</v>
      </c>
      <c r="B105" s="154">
        <f t="shared" si="10"/>
        <v>8</v>
      </c>
      <c r="C105" s="127">
        <f t="shared" si="13"/>
        <v>2017</v>
      </c>
      <c r="D105" s="127">
        <f ca="1">'Monthly Data'!O105</f>
        <v>86020553.329801008</v>
      </c>
      <c r="E105" s="127">
        <f>'Monthly Data'!BH105</f>
        <v>1.9</v>
      </c>
      <c r="F105" s="127">
        <f>'Monthly Data'!BI105</f>
        <v>121.4</v>
      </c>
      <c r="G105" s="127">
        <f>'Monthly Data'!BL105</f>
        <v>651932.30000000005</v>
      </c>
      <c r="H105" s="127">
        <f>'Monthly Data'!BM105</f>
        <v>104</v>
      </c>
      <c r="I105" s="127">
        <f>'Monthly Data'!BQ105</f>
        <v>0</v>
      </c>
      <c r="J105" s="127">
        <f>'Monthly Data'!BS105</f>
        <v>0</v>
      </c>
      <c r="K105" s="127">
        <f>'Monthly Data'!BU105</f>
        <v>1</v>
      </c>
      <c r="L105" s="127">
        <f>'Monthly Data'!BV105</f>
        <v>0</v>
      </c>
      <c r="M105" s="127">
        <f>'Monthly Data'!BW105</f>
        <v>0</v>
      </c>
      <c r="N105" s="127">
        <f>'Monthly Data'!CC105</f>
        <v>31</v>
      </c>
      <c r="O105" s="127">
        <f>'Monthly Data'!CD105</f>
        <v>22</v>
      </c>
      <c r="Q105" s="127">
        <f>'GS &gt; 50 OLS Model'!$B$5</f>
        <v>-8508488.8174217809</v>
      </c>
      <c r="R105" s="186">
        <f>'GS &gt; 50 OLS Model'!$B$6*E105</f>
        <v>46067.084018392139</v>
      </c>
      <c r="S105" s="186">
        <f>'GS &gt; 50 OLS Model'!$B$7*F105</f>
        <v>8666455.4933674596</v>
      </c>
      <c r="T105" s="186">
        <f>'GS &gt; 50 OLS Model'!$B$8*G105</f>
        <v>34137931.782857895</v>
      </c>
      <c r="U105" s="186"/>
      <c r="V105" s="186">
        <f>'GS &gt; 50 OLS Model'!$B$9*I105</f>
        <v>0</v>
      </c>
      <c r="W105" s="186">
        <f>'GS &gt; 50 OLS Model'!$B$10*J105</f>
        <v>0</v>
      </c>
      <c r="X105" s="186">
        <f>'GS &gt; 50 OLS Model'!$B$11*K105</f>
        <v>2505717.0713192602</v>
      </c>
      <c r="Y105" s="186">
        <f>'GS &gt; 50 OLS Model'!$B$12*L105</f>
        <v>0</v>
      </c>
      <c r="Z105" s="186">
        <v>0</v>
      </c>
      <c r="AA105" s="186">
        <f>'GS &gt; 50 OLS Model'!$B$13*N105</f>
        <v>34669572.13485463</v>
      </c>
      <c r="AB105" s="186">
        <f>'GS &gt; 50 OLS Model'!$B$14*O105</f>
        <v>14391403.668547621</v>
      </c>
      <c r="AC105" s="127">
        <f t="shared" si="11"/>
        <v>85908658.417543471</v>
      </c>
      <c r="AD105" s="24">
        <f t="shared" ca="1" si="12"/>
        <v>1.3007927515710632E-3</v>
      </c>
    </row>
    <row r="106" spans="1:30" s="127" customFormat="1">
      <c r="A106" s="128">
        <f>'Monthly Data'!A106</f>
        <v>42979</v>
      </c>
      <c r="B106" s="154">
        <f t="shared" si="10"/>
        <v>9</v>
      </c>
      <c r="C106" s="127">
        <f t="shared" si="13"/>
        <v>2017</v>
      </c>
      <c r="D106" s="127">
        <f ca="1">'Monthly Data'!O106</f>
        <v>80922821.089800999</v>
      </c>
      <c r="E106" s="127">
        <f>'Monthly Data'!BH106</f>
        <v>27.4</v>
      </c>
      <c r="F106" s="127">
        <f>'Monthly Data'!BI106</f>
        <v>80.7</v>
      </c>
      <c r="G106" s="127">
        <f>'Monthly Data'!BL106</f>
        <v>651932.30000000005</v>
      </c>
      <c r="H106" s="127">
        <f>'Monthly Data'!BM106</f>
        <v>105</v>
      </c>
      <c r="I106" s="127">
        <f>'Monthly Data'!BQ106</f>
        <v>0</v>
      </c>
      <c r="J106" s="127">
        <f>'Monthly Data'!BS106</f>
        <v>0</v>
      </c>
      <c r="K106" s="127">
        <f>'Monthly Data'!BU106</f>
        <v>0</v>
      </c>
      <c r="L106" s="127">
        <f>'Monthly Data'!BV106</f>
        <v>1</v>
      </c>
      <c r="M106" s="127">
        <f>'Monthly Data'!BW106</f>
        <v>0</v>
      </c>
      <c r="N106" s="127">
        <f>'Monthly Data'!CC106</f>
        <v>30</v>
      </c>
      <c r="O106" s="127">
        <f>'Monthly Data'!CD106</f>
        <v>20</v>
      </c>
      <c r="Q106" s="127">
        <f>'GS &gt; 50 OLS Model'!$B$5</f>
        <v>-8508488.8174217809</v>
      </c>
      <c r="R106" s="186">
        <f>'GS &gt; 50 OLS Model'!$B$6*E106</f>
        <v>664335.84321260243</v>
      </c>
      <c r="S106" s="186">
        <f>'GS &gt; 50 OLS Model'!$B$7*F106</f>
        <v>5760979.8872714499</v>
      </c>
      <c r="T106" s="186">
        <f>'GS &gt; 50 OLS Model'!$B$8*G106</f>
        <v>34137931.782857895</v>
      </c>
      <c r="U106" s="186"/>
      <c r="V106" s="186">
        <f>'GS &gt; 50 OLS Model'!$B$9*I106</f>
        <v>0</v>
      </c>
      <c r="W106" s="186">
        <f>'GS &gt; 50 OLS Model'!$B$10*J106</f>
        <v>0</v>
      </c>
      <c r="X106" s="186">
        <f>'GS &gt; 50 OLS Model'!$B$11*K106</f>
        <v>0</v>
      </c>
      <c r="Y106" s="186">
        <f>'GS &gt; 50 OLS Model'!$B$12*L106</f>
        <v>2345350.8919449002</v>
      </c>
      <c r="Z106" s="186">
        <v>0</v>
      </c>
      <c r="AA106" s="186">
        <f>'GS &gt; 50 OLS Model'!$B$13*N106</f>
        <v>33551198.840181898</v>
      </c>
      <c r="AB106" s="186">
        <f>'GS &gt; 50 OLS Model'!$B$14*O106</f>
        <v>13083094.244134201</v>
      </c>
      <c r="AC106" s="127">
        <f t="shared" si="11"/>
        <v>81034402.672181174</v>
      </c>
      <c r="AD106" s="24">
        <f t="shared" ca="1" si="12"/>
        <v>1.378864217503641E-3</v>
      </c>
    </row>
    <row r="107" spans="1:30" s="127" customFormat="1">
      <c r="A107" s="128">
        <f>'Monthly Data'!A107</f>
        <v>43009</v>
      </c>
      <c r="B107" s="154">
        <f t="shared" si="10"/>
        <v>10</v>
      </c>
      <c r="C107" s="127">
        <f t="shared" si="13"/>
        <v>2017</v>
      </c>
      <c r="D107" s="127">
        <f ca="1">'Monthly Data'!O107</f>
        <v>79895134.919800997</v>
      </c>
      <c r="E107" s="127">
        <f>'Monthly Data'!BH107</f>
        <v>124.6</v>
      </c>
      <c r="F107" s="127">
        <f>'Monthly Data'!BI107</f>
        <v>24.9</v>
      </c>
      <c r="G107" s="127">
        <f>'Monthly Data'!BL107</f>
        <v>651932.30000000005</v>
      </c>
      <c r="H107" s="127">
        <f>'Monthly Data'!BM107</f>
        <v>106</v>
      </c>
      <c r="I107" s="127">
        <f>'Monthly Data'!BQ107</f>
        <v>0</v>
      </c>
      <c r="J107" s="127">
        <f>'Monthly Data'!BS107</f>
        <v>0</v>
      </c>
      <c r="K107" s="127">
        <f>'Monthly Data'!BU107</f>
        <v>0</v>
      </c>
      <c r="L107" s="127">
        <f>'Monthly Data'!BV107</f>
        <v>0</v>
      </c>
      <c r="M107" s="127">
        <f>'Monthly Data'!BW107</f>
        <v>1</v>
      </c>
      <c r="N107" s="127">
        <f>'Monthly Data'!CC107</f>
        <v>31</v>
      </c>
      <c r="O107" s="127">
        <f>'Monthly Data'!CD107</f>
        <v>21</v>
      </c>
      <c r="Q107" s="127">
        <f>'GS &gt; 50 OLS Model'!$B$5</f>
        <v>-8508488.8174217809</v>
      </c>
      <c r="R107" s="186">
        <f>'GS &gt; 50 OLS Model'!$B$6*E107</f>
        <v>3021030.8782587685</v>
      </c>
      <c r="S107" s="186">
        <f>'GS &gt; 50 OLS Model'!$B$7*F107</f>
        <v>1777551.4150317111</v>
      </c>
      <c r="T107" s="186">
        <f>'GS &gt; 50 OLS Model'!$B$8*G107</f>
        <v>34137931.782857895</v>
      </c>
      <c r="U107" s="186"/>
      <c r="V107" s="186">
        <f>'GS &gt; 50 OLS Model'!$B$9*I107</f>
        <v>0</v>
      </c>
      <c r="W107" s="186">
        <f>'GS &gt; 50 OLS Model'!$B$10*J107</f>
        <v>0</v>
      </c>
      <c r="X107" s="186">
        <f>'GS &gt; 50 OLS Model'!$B$11*K107</f>
        <v>0</v>
      </c>
      <c r="Y107" s="186">
        <f>'GS &gt; 50 OLS Model'!$B$12*L107</f>
        <v>0</v>
      </c>
      <c r="Z107" s="186">
        <v>0</v>
      </c>
      <c r="AA107" s="186">
        <f>'GS &gt; 50 OLS Model'!$B$13*N107</f>
        <v>34669572.13485463</v>
      </c>
      <c r="AB107" s="186">
        <f>'GS &gt; 50 OLS Model'!$B$14*O107</f>
        <v>13737248.956340911</v>
      </c>
      <c r="AC107" s="127">
        <f t="shared" si="11"/>
        <v>78834846.349922135</v>
      </c>
      <c r="AD107" s="24">
        <f t="shared" ca="1" si="12"/>
        <v>1.3271002933322317E-2</v>
      </c>
    </row>
    <row r="108" spans="1:30" s="127" customFormat="1">
      <c r="A108" s="128">
        <f>'Monthly Data'!A108</f>
        <v>43040</v>
      </c>
      <c r="B108" s="154">
        <f t="shared" si="10"/>
        <v>11</v>
      </c>
      <c r="C108" s="127">
        <f t="shared" si="13"/>
        <v>2017</v>
      </c>
      <c r="D108" s="127">
        <f ca="1">'Monthly Data'!O108</f>
        <v>81623489.689801008</v>
      </c>
      <c r="E108" s="127">
        <f>'Monthly Data'!BH108</f>
        <v>379.5</v>
      </c>
      <c r="F108" s="127">
        <f>'Monthly Data'!BI108</f>
        <v>0</v>
      </c>
      <c r="G108" s="127">
        <f>'Monthly Data'!BL108</f>
        <v>651932.30000000005</v>
      </c>
      <c r="H108" s="127">
        <f>'Monthly Data'!BM108</f>
        <v>107</v>
      </c>
      <c r="I108" s="127">
        <f>'Monthly Data'!BQ108</f>
        <v>0</v>
      </c>
      <c r="J108" s="127">
        <f>'Monthly Data'!BS108</f>
        <v>0</v>
      </c>
      <c r="K108" s="127">
        <f>'Monthly Data'!BU108</f>
        <v>0</v>
      </c>
      <c r="L108" s="127">
        <f>'Monthly Data'!BV108</f>
        <v>0</v>
      </c>
      <c r="M108" s="127">
        <f>'Monthly Data'!BW108</f>
        <v>0</v>
      </c>
      <c r="N108" s="127">
        <f>'Monthly Data'!CC108</f>
        <v>30</v>
      </c>
      <c r="O108" s="127">
        <f>'Monthly Data'!CD108</f>
        <v>22</v>
      </c>
      <c r="Q108" s="127">
        <f>'GS &gt; 50 OLS Model'!$B$5</f>
        <v>-8508488.8174217809</v>
      </c>
      <c r="R108" s="186">
        <f>'GS &gt; 50 OLS Model'!$B$6*E108</f>
        <v>9201293.8868314829</v>
      </c>
      <c r="S108" s="186">
        <f>'GS &gt; 50 OLS Model'!$B$7*F108</f>
        <v>0</v>
      </c>
      <c r="T108" s="186">
        <f>'GS &gt; 50 OLS Model'!$B$8*G108</f>
        <v>34137931.782857895</v>
      </c>
      <c r="U108" s="186"/>
      <c r="V108" s="186">
        <f>'GS &gt; 50 OLS Model'!$B$9*I108</f>
        <v>0</v>
      </c>
      <c r="W108" s="186">
        <f>'GS &gt; 50 OLS Model'!$B$10*J108</f>
        <v>0</v>
      </c>
      <c r="X108" s="186">
        <f>'GS &gt; 50 OLS Model'!$B$11*K108</f>
        <v>0</v>
      </c>
      <c r="Y108" s="186">
        <f>'GS &gt; 50 OLS Model'!$B$12*L108</f>
        <v>0</v>
      </c>
      <c r="Z108" s="186">
        <v>0</v>
      </c>
      <c r="AA108" s="186">
        <f>'GS &gt; 50 OLS Model'!$B$13*N108</f>
        <v>33551198.840181898</v>
      </c>
      <c r="AB108" s="186">
        <f>'GS &gt; 50 OLS Model'!$B$14*O108</f>
        <v>14391403.668547621</v>
      </c>
      <c r="AC108" s="127">
        <f t="shared" si="11"/>
        <v>82773339.360997111</v>
      </c>
      <c r="AD108" s="24">
        <f t="shared" ca="1" si="12"/>
        <v>1.4087239783130453E-2</v>
      </c>
    </row>
    <row r="109" spans="1:30" s="127" customFormat="1">
      <c r="A109" s="128">
        <f>'Monthly Data'!A109</f>
        <v>43070</v>
      </c>
      <c r="B109" s="154">
        <f t="shared" si="10"/>
        <v>12</v>
      </c>
      <c r="C109" s="127">
        <f t="shared" si="13"/>
        <v>2017</v>
      </c>
      <c r="D109" s="127">
        <f ca="1">'Monthly Data'!O109</f>
        <v>86732874.189801008</v>
      </c>
      <c r="E109" s="127">
        <f>'Monthly Data'!BH109</f>
        <v>634.4</v>
      </c>
      <c r="F109" s="127">
        <f>'Monthly Data'!BI109</f>
        <v>0</v>
      </c>
      <c r="G109" s="127">
        <f>'Monthly Data'!BL109</f>
        <v>651932.30000000005</v>
      </c>
      <c r="H109" s="127">
        <f>'Monthly Data'!BM109</f>
        <v>108</v>
      </c>
      <c r="I109" s="127">
        <f>'Monthly Data'!BQ109</f>
        <v>0</v>
      </c>
      <c r="J109" s="127">
        <f>'Monthly Data'!BS109</f>
        <v>0</v>
      </c>
      <c r="K109" s="127">
        <f>'Monthly Data'!BU109</f>
        <v>0</v>
      </c>
      <c r="L109" s="127">
        <f>'Monthly Data'!BV109</f>
        <v>0</v>
      </c>
      <c r="M109" s="127">
        <f>'Monthly Data'!BW109</f>
        <v>0</v>
      </c>
      <c r="N109" s="127">
        <f>'Monthly Data'!CC109</f>
        <v>31</v>
      </c>
      <c r="O109" s="127">
        <f>'Monthly Data'!CD109</f>
        <v>19</v>
      </c>
      <c r="Q109" s="127">
        <f>'GS &gt; 50 OLS Model'!$B$5</f>
        <v>-8508488.8174217809</v>
      </c>
      <c r="R109" s="186">
        <f>'GS &gt; 50 OLS Model'!$B$6*E109</f>
        <v>15381556.895404195</v>
      </c>
      <c r="S109" s="186">
        <f>'GS &gt; 50 OLS Model'!$B$7*F109</f>
        <v>0</v>
      </c>
      <c r="T109" s="186">
        <f>'GS &gt; 50 OLS Model'!$B$8*G109</f>
        <v>34137931.782857895</v>
      </c>
      <c r="U109" s="186"/>
      <c r="V109" s="186">
        <f>'GS &gt; 50 OLS Model'!$B$9*I109</f>
        <v>0</v>
      </c>
      <c r="W109" s="186">
        <f>'GS &gt; 50 OLS Model'!$B$10*J109</f>
        <v>0</v>
      </c>
      <c r="X109" s="186">
        <f>'GS &gt; 50 OLS Model'!$B$11*K109</f>
        <v>0</v>
      </c>
      <c r="Y109" s="186">
        <f>'GS &gt; 50 OLS Model'!$B$12*L109</f>
        <v>0</v>
      </c>
      <c r="Z109" s="186">
        <v>0</v>
      </c>
      <c r="AA109" s="186">
        <f>'GS &gt; 50 OLS Model'!$B$13*N109</f>
        <v>34669572.13485463</v>
      </c>
      <c r="AB109" s="186">
        <f>'GS &gt; 50 OLS Model'!$B$14*O109</f>
        <v>12428939.531927491</v>
      </c>
      <c r="AC109" s="127">
        <f t="shared" si="11"/>
        <v>88109511.527622432</v>
      </c>
      <c r="AD109" s="24">
        <f t="shared" ca="1" si="12"/>
        <v>1.5872151715033374E-2</v>
      </c>
    </row>
    <row r="110" spans="1:30" s="186" customFormat="1">
      <c r="A110" s="128">
        <f>'Monthly Data'!A110</f>
        <v>43101</v>
      </c>
      <c r="B110" s="154">
        <f t="shared" si="10"/>
        <v>1</v>
      </c>
      <c r="C110" s="186">
        <f t="shared" ref="C110:C121" si="14">YEAR(A110)</f>
        <v>2018</v>
      </c>
      <c r="D110" s="186">
        <f ca="1">'Monthly Data'!O110</f>
        <v>93400783.231379122</v>
      </c>
      <c r="E110" s="186">
        <f>'Monthly Data'!BH110</f>
        <v>671.40000000000009</v>
      </c>
      <c r="F110" s="186">
        <f>'Monthly Data'!BI110</f>
        <v>0</v>
      </c>
      <c r="G110" s="186">
        <f>'Monthly Data'!BL110</f>
        <v>665994.78021817585</v>
      </c>
      <c r="H110" s="186">
        <f>'Monthly Data'!BM110</f>
        <v>109</v>
      </c>
      <c r="I110" s="186">
        <f>'Monthly Data'!BQ110</f>
        <v>0</v>
      </c>
      <c r="J110" s="186">
        <f>'Monthly Data'!BS110</f>
        <v>0</v>
      </c>
      <c r="K110" s="186">
        <f>'Monthly Data'!BU110</f>
        <v>0</v>
      </c>
      <c r="L110" s="186">
        <f>'Monthly Data'!BV110</f>
        <v>0</v>
      </c>
      <c r="M110" s="186">
        <f>'Monthly Data'!BW110</f>
        <v>0</v>
      </c>
      <c r="N110" s="186">
        <f>'Monthly Data'!CC110</f>
        <v>31</v>
      </c>
      <c r="O110" s="186">
        <f>'Monthly Data'!CD110</f>
        <v>22</v>
      </c>
      <c r="Q110" s="186">
        <f>'GS &gt; 50 OLS Model'!$B$5</f>
        <v>-8508488.8174217809</v>
      </c>
      <c r="R110" s="186">
        <f>'GS &gt; 50 OLS Model'!$B$6*E110</f>
        <v>16278652.742078152</v>
      </c>
      <c r="S110" s="186">
        <f>'GS &gt; 50 OLS Model'!$B$7*F110</f>
        <v>0</v>
      </c>
      <c r="T110" s="186">
        <f>'GS &gt; 50 OLS Model'!$B$8*G110</f>
        <v>34874302.707240492</v>
      </c>
      <c r="V110" s="186">
        <f>'GS &gt; 50 OLS Model'!$B$9*I110</f>
        <v>0</v>
      </c>
      <c r="W110" s="186">
        <f>'GS &gt; 50 OLS Model'!$B$10*J110</f>
        <v>0</v>
      </c>
      <c r="X110" s="186">
        <f>'GS &gt; 50 OLS Model'!$B$11*K110</f>
        <v>0</v>
      </c>
      <c r="Y110" s="186">
        <f>'GS &gt; 50 OLS Model'!$B$12*L110</f>
        <v>0</v>
      </c>
      <c r="Z110" s="186">
        <v>0</v>
      </c>
      <c r="AA110" s="186">
        <f>'GS &gt; 50 OLS Model'!$B$13*N110</f>
        <v>34669572.13485463</v>
      </c>
      <c r="AB110" s="186">
        <f>'GS &gt; 50 OLS Model'!$B$14*O110</f>
        <v>14391403.668547621</v>
      </c>
      <c r="AC110" s="186">
        <f t="shared" ref="AC110:AC121" si="15">SUM(Q110:AB110)</f>
        <v>91705442.435299113</v>
      </c>
      <c r="AD110" s="24">
        <f t="shared" ref="AD110:AD121" ca="1" si="16">ABS(AC110-D110)/D110</f>
        <v>1.8151248174013576E-2</v>
      </c>
    </row>
    <row r="111" spans="1:30" s="186" customFormat="1">
      <c r="A111" s="128">
        <f>'Monthly Data'!A111</f>
        <v>43132</v>
      </c>
      <c r="B111" s="154">
        <f t="shared" si="10"/>
        <v>2</v>
      </c>
      <c r="C111" s="186">
        <f t="shared" si="14"/>
        <v>2018</v>
      </c>
      <c r="D111" s="186">
        <f ca="1">'Monthly Data'!O111</f>
        <v>82408782.703978285</v>
      </c>
      <c r="E111" s="186">
        <f>'Monthly Data'!BH111</f>
        <v>497.29999999999995</v>
      </c>
      <c r="F111" s="186">
        <f>'Monthly Data'!BI111</f>
        <v>0</v>
      </c>
      <c r="G111" s="186">
        <f>'Monthly Data'!BL111</f>
        <v>665994.78021817585</v>
      </c>
      <c r="H111" s="186">
        <f>'Monthly Data'!BM111</f>
        <v>110</v>
      </c>
      <c r="I111" s="186">
        <f>'Monthly Data'!BQ111</f>
        <v>0</v>
      </c>
      <c r="J111" s="186">
        <f>'Monthly Data'!BS111</f>
        <v>0</v>
      </c>
      <c r="K111" s="186">
        <f>'Monthly Data'!BU111</f>
        <v>0</v>
      </c>
      <c r="L111" s="186">
        <f>'Monthly Data'!BV111</f>
        <v>0</v>
      </c>
      <c r="M111" s="186">
        <f>'Monthly Data'!BW111</f>
        <v>0</v>
      </c>
      <c r="N111" s="186">
        <f>'Monthly Data'!CC111</f>
        <v>28</v>
      </c>
      <c r="O111" s="186">
        <f>'Monthly Data'!CD111</f>
        <v>19</v>
      </c>
      <c r="Q111" s="186">
        <f>'GS &gt; 50 OLS Model'!$B$5</f>
        <v>-8508488.8174217809</v>
      </c>
      <c r="R111" s="186">
        <f>'GS &gt; 50 OLS Model'!$B$6*E111</f>
        <v>12057453.095971795</v>
      </c>
      <c r="S111" s="186">
        <f>'GS &gt; 50 OLS Model'!$B$7*F111</f>
        <v>0</v>
      </c>
      <c r="T111" s="186">
        <f>'GS &gt; 50 OLS Model'!$B$8*G111</f>
        <v>34874302.707240492</v>
      </c>
      <c r="V111" s="186">
        <f>'GS &gt; 50 OLS Model'!$B$9*I111</f>
        <v>0</v>
      </c>
      <c r="W111" s="186">
        <f>'GS &gt; 50 OLS Model'!$B$10*J111</f>
        <v>0</v>
      </c>
      <c r="X111" s="186">
        <f>'GS &gt; 50 OLS Model'!$B$11*K111</f>
        <v>0</v>
      </c>
      <c r="Y111" s="186">
        <f>'GS &gt; 50 OLS Model'!$B$12*L111</f>
        <v>0</v>
      </c>
      <c r="Z111" s="186">
        <v>0</v>
      </c>
      <c r="AA111" s="186">
        <f>'GS &gt; 50 OLS Model'!$B$13*N111</f>
        <v>31314452.250836439</v>
      </c>
      <c r="AB111" s="186">
        <f>'GS &gt; 50 OLS Model'!$B$14*O111</f>
        <v>12428939.531927491</v>
      </c>
      <c r="AC111" s="186">
        <f t="shared" si="15"/>
        <v>82166658.768554449</v>
      </c>
      <c r="AD111" s="24">
        <f t="shared" ca="1" si="16"/>
        <v>2.9380841153008267E-3</v>
      </c>
    </row>
    <row r="112" spans="1:30" s="186" customFormat="1">
      <c r="A112" s="128">
        <f>'Monthly Data'!A112</f>
        <v>43160</v>
      </c>
      <c r="B112" s="154">
        <f t="shared" si="10"/>
        <v>3</v>
      </c>
      <c r="C112" s="186">
        <f t="shared" si="14"/>
        <v>2018</v>
      </c>
      <c r="D112" s="186">
        <f ca="1">'Monthly Data'!O112</f>
        <v>87484965.565347284</v>
      </c>
      <c r="E112" s="186">
        <f>'Monthly Data'!BH112</f>
        <v>510.59999999999997</v>
      </c>
      <c r="F112" s="186">
        <f>'Monthly Data'!BI112</f>
        <v>0</v>
      </c>
      <c r="G112" s="186">
        <f>'Monthly Data'!BL112</f>
        <v>665994.78021817585</v>
      </c>
      <c r="H112" s="186">
        <f>'Monthly Data'!BM112</f>
        <v>111</v>
      </c>
      <c r="I112" s="186">
        <f>'Monthly Data'!BQ112</f>
        <v>0</v>
      </c>
      <c r="J112" s="186">
        <f>'Monthly Data'!BS112</f>
        <v>0</v>
      </c>
      <c r="K112" s="186">
        <f>'Monthly Data'!BU112</f>
        <v>0</v>
      </c>
      <c r="L112" s="186">
        <f>'Monthly Data'!BV112</f>
        <v>0</v>
      </c>
      <c r="M112" s="186">
        <f>'Monthly Data'!BW112</f>
        <v>0</v>
      </c>
      <c r="N112" s="186">
        <f>'Monthly Data'!CC112</f>
        <v>31</v>
      </c>
      <c r="O112" s="186">
        <f>'Monthly Data'!CD112</f>
        <v>21</v>
      </c>
      <c r="Q112" s="186">
        <f>'GS &gt; 50 OLS Model'!$B$5</f>
        <v>-8508488.8174217809</v>
      </c>
      <c r="R112" s="186">
        <f>'GS &gt; 50 OLS Model'!$B$6*E112</f>
        <v>12379922.684100538</v>
      </c>
      <c r="S112" s="186">
        <f>'GS &gt; 50 OLS Model'!$B$7*F112</f>
        <v>0</v>
      </c>
      <c r="T112" s="186">
        <f>'GS &gt; 50 OLS Model'!$B$8*G112</f>
        <v>34874302.707240492</v>
      </c>
      <c r="V112" s="186">
        <f>'GS &gt; 50 OLS Model'!$B$9*I112</f>
        <v>0</v>
      </c>
      <c r="W112" s="186">
        <f>'GS &gt; 50 OLS Model'!$B$10*J112</f>
        <v>0</v>
      </c>
      <c r="X112" s="186">
        <f>'GS &gt; 50 OLS Model'!$B$11*K112</f>
        <v>0</v>
      </c>
      <c r="Y112" s="186">
        <f>'GS &gt; 50 OLS Model'!$B$12*L112</f>
        <v>0</v>
      </c>
      <c r="Z112" s="186">
        <v>0</v>
      </c>
      <c r="AA112" s="186">
        <f>'GS &gt; 50 OLS Model'!$B$13*N112</f>
        <v>34669572.13485463</v>
      </c>
      <c r="AB112" s="186">
        <f>'GS &gt; 50 OLS Model'!$B$14*O112</f>
        <v>13737248.956340911</v>
      </c>
      <c r="AC112" s="186">
        <f t="shared" si="15"/>
        <v>87152557.66511479</v>
      </c>
      <c r="AD112" s="24">
        <f t="shared" ca="1" si="16"/>
        <v>3.7996002865680997E-3</v>
      </c>
    </row>
    <row r="113" spans="1:37" s="186" customFormat="1">
      <c r="A113" s="128">
        <f>'Monthly Data'!A113</f>
        <v>43191</v>
      </c>
      <c r="B113" s="154">
        <f t="shared" si="10"/>
        <v>4</v>
      </c>
      <c r="C113" s="186">
        <f t="shared" si="14"/>
        <v>2018</v>
      </c>
      <c r="D113" s="186">
        <f ca="1">'Monthly Data'!O113</f>
        <v>80547273.998100206</v>
      </c>
      <c r="E113" s="186">
        <f>'Monthly Data'!BH113</f>
        <v>334.19999999999993</v>
      </c>
      <c r="F113" s="186">
        <f>'Monthly Data'!BI113</f>
        <v>0</v>
      </c>
      <c r="G113" s="186">
        <f>'Monthly Data'!BL113</f>
        <v>665994.78021817585</v>
      </c>
      <c r="H113" s="186">
        <f>'Monthly Data'!BM113</f>
        <v>112</v>
      </c>
      <c r="I113" s="186">
        <f>'Monthly Data'!BQ113</f>
        <v>1</v>
      </c>
      <c r="J113" s="186">
        <f>'Monthly Data'!BS113</f>
        <v>0</v>
      </c>
      <c r="K113" s="186">
        <f>'Monthly Data'!BU113</f>
        <v>0</v>
      </c>
      <c r="L113" s="186">
        <f>'Monthly Data'!BV113</f>
        <v>0</v>
      </c>
      <c r="M113" s="186">
        <f>'Monthly Data'!BW113</f>
        <v>0</v>
      </c>
      <c r="N113" s="186">
        <f>'Monthly Data'!CC113</f>
        <v>30</v>
      </c>
      <c r="O113" s="186">
        <f>'Monthly Data'!CD113</f>
        <v>21</v>
      </c>
      <c r="Q113" s="186">
        <f>'GS &gt; 50 OLS Model'!$B$5</f>
        <v>-8508488.8174217809</v>
      </c>
      <c r="R113" s="186">
        <f>'GS &gt; 50 OLS Model'!$B$6*E113</f>
        <v>8102957.6204982363</v>
      </c>
      <c r="S113" s="186">
        <f>'GS &gt; 50 OLS Model'!$B$7*F113</f>
        <v>0</v>
      </c>
      <c r="T113" s="186">
        <f>'GS &gt; 50 OLS Model'!$B$8*G113</f>
        <v>34874302.707240492</v>
      </c>
      <c r="V113" s="186">
        <f>'GS &gt; 50 OLS Model'!$B$9*I113</f>
        <v>-1670359.8066300801</v>
      </c>
      <c r="W113" s="186">
        <f>'GS &gt; 50 OLS Model'!$B$10*J113</f>
        <v>0</v>
      </c>
      <c r="X113" s="186">
        <f>'GS &gt; 50 OLS Model'!$B$11*K113</f>
        <v>0</v>
      </c>
      <c r="Y113" s="186">
        <f>'GS &gt; 50 OLS Model'!$B$12*L113</f>
        <v>0</v>
      </c>
      <c r="Z113" s="186">
        <v>0</v>
      </c>
      <c r="AA113" s="186">
        <f>'GS &gt; 50 OLS Model'!$B$13*N113</f>
        <v>33551198.840181898</v>
      </c>
      <c r="AB113" s="186">
        <f>'GS &gt; 50 OLS Model'!$B$14*O113</f>
        <v>13737248.956340911</v>
      </c>
      <c r="AC113" s="186">
        <f t="shared" si="15"/>
        <v>80086859.500209674</v>
      </c>
      <c r="AD113" s="24">
        <f t="shared" ca="1" si="16"/>
        <v>5.7160779631274848E-3</v>
      </c>
    </row>
    <row r="114" spans="1:37" s="186" customFormat="1">
      <c r="A114" s="128">
        <f>'Monthly Data'!A114</f>
        <v>43221</v>
      </c>
      <c r="B114" s="154">
        <f t="shared" si="10"/>
        <v>5</v>
      </c>
      <c r="C114" s="186">
        <f t="shared" si="14"/>
        <v>2018</v>
      </c>
      <c r="D114" s="186">
        <f ca="1">'Monthly Data'!O114</f>
        <v>81380421.939878672</v>
      </c>
      <c r="E114" s="186">
        <f>'Monthly Data'!BH114</f>
        <v>44.6</v>
      </c>
      <c r="F114" s="186">
        <f>'Monthly Data'!BI114</f>
        <v>68.7</v>
      </c>
      <c r="G114" s="186">
        <f>'Monthly Data'!BL114</f>
        <v>665994.78021817585</v>
      </c>
      <c r="H114" s="186">
        <f>'Monthly Data'!BM114</f>
        <v>113</v>
      </c>
      <c r="I114" s="186">
        <f>'Monthly Data'!BQ114</f>
        <v>0</v>
      </c>
      <c r="J114" s="186">
        <f>'Monthly Data'!BS114</f>
        <v>0</v>
      </c>
      <c r="K114" s="186">
        <f>'Monthly Data'!BU114</f>
        <v>0</v>
      </c>
      <c r="L114" s="186">
        <f>'Monthly Data'!BV114</f>
        <v>0</v>
      </c>
      <c r="M114" s="186">
        <f>'Monthly Data'!BW114</f>
        <v>0</v>
      </c>
      <c r="N114" s="186">
        <f>'Monthly Data'!CC114</f>
        <v>31</v>
      </c>
      <c r="O114" s="186">
        <f>'Monthly Data'!CD114</f>
        <v>22</v>
      </c>
      <c r="Q114" s="186">
        <f>'GS &gt; 50 OLS Model'!$B$5</f>
        <v>-8508488.8174217809</v>
      </c>
      <c r="R114" s="186">
        <f>'GS &gt; 50 OLS Model'!$B$6*E114</f>
        <v>1081364.1827475207</v>
      </c>
      <c r="S114" s="186">
        <f>'GS &gt; 50 OLS Model'!$B$7*F114</f>
        <v>4904328.6029188177</v>
      </c>
      <c r="T114" s="186">
        <f>'GS &gt; 50 OLS Model'!$B$8*G114</f>
        <v>34874302.707240492</v>
      </c>
      <c r="V114" s="186">
        <f>'GS &gt; 50 OLS Model'!$B$9*I114</f>
        <v>0</v>
      </c>
      <c r="W114" s="186">
        <f>'GS &gt; 50 OLS Model'!$B$10*J114</f>
        <v>0</v>
      </c>
      <c r="X114" s="186">
        <f>'GS &gt; 50 OLS Model'!$B$11*K114</f>
        <v>0</v>
      </c>
      <c r="Y114" s="186">
        <f>'GS &gt; 50 OLS Model'!$B$12*L114</f>
        <v>0</v>
      </c>
      <c r="Z114" s="186">
        <v>0</v>
      </c>
      <c r="AA114" s="186">
        <f>'GS &gt; 50 OLS Model'!$B$13*N114</f>
        <v>34669572.13485463</v>
      </c>
      <c r="AB114" s="186">
        <f>'GS &gt; 50 OLS Model'!$B$14*O114</f>
        <v>14391403.668547621</v>
      </c>
      <c r="AC114" s="186">
        <f t="shared" si="15"/>
        <v>81412482.47888729</v>
      </c>
      <c r="AD114" s="24">
        <f t="shared" ca="1" si="16"/>
        <v>3.9395886927574218E-4</v>
      </c>
      <c r="AI114" s="155"/>
      <c r="AJ114" s="155"/>
      <c r="AK114" s="155"/>
    </row>
    <row r="115" spans="1:37" s="186" customFormat="1">
      <c r="A115" s="128">
        <f>'Monthly Data'!A115</f>
        <v>43252</v>
      </c>
      <c r="B115" s="154">
        <f t="shared" si="10"/>
        <v>6</v>
      </c>
      <c r="C115" s="186">
        <f t="shared" si="14"/>
        <v>2018</v>
      </c>
      <c r="D115" s="186">
        <f ca="1">'Monthly Data'!O115</f>
        <v>84189429.225478336</v>
      </c>
      <c r="E115" s="186">
        <f>'Monthly Data'!BH115</f>
        <v>4</v>
      </c>
      <c r="F115" s="186">
        <f>'Monthly Data'!BI115</f>
        <v>122.39999999999998</v>
      </c>
      <c r="G115" s="186">
        <f>'Monthly Data'!BL115</f>
        <v>665994.78021817585</v>
      </c>
      <c r="H115" s="186">
        <f>'Monthly Data'!BM115</f>
        <v>114</v>
      </c>
      <c r="I115" s="186">
        <f>'Monthly Data'!BQ115</f>
        <v>0</v>
      </c>
      <c r="J115" s="186">
        <f>'Monthly Data'!BS115</f>
        <v>1</v>
      </c>
      <c r="K115" s="186">
        <f>'Monthly Data'!BU115</f>
        <v>0</v>
      </c>
      <c r="L115" s="186">
        <f>'Monthly Data'!BV115</f>
        <v>0</v>
      </c>
      <c r="M115" s="186">
        <f>'Monthly Data'!BW115</f>
        <v>0</v>
      </c>
      <c r="N115" s="186">
        <f>'Monthly Data'!CC115</f>
        <v>30</v>
      </c>
      <c r="O115" s="186">
        <f>'Monthly Data'!CD115</f>
        <v>21</v>
      </c>
      <c r="Q115" s="186">
        <f>'GS &gt; 50 OLS Model'!$B$5</f>
        <v>-8508488.8174217809</v>
      </c>
      <c r="R115" s="186">
        <f>'GS &gt; 50 OLS Model'!$B$6*E115</f>
        <v>96983.334775562398</v>
      </c>
      <c r="S115" s="186">
        <f>'GS &gt; 50 OLS Model'!$B$7*F115</f>
        <v>8737843.1003968436</v>
      </c>
      <c r="T115" s="186">
        <f>'GS &gt; 50 OLS Model'!$B$8*G115</f>
        <v>34874302.707240492</v>
      </c>
      <c r="V115" s="186">
        <f>'GS &gt; 50 OLS Model'!$B$9*I115</f>
        <v>0</v>
      </c>
      <c r="W115" s="186">
        <f>'GS &gt; 50 OLS Model'!$B$10*J115</f>
        <v>1244451.2383117899</v>
      </c>
      <c r="X115" s="186">
        <f>'GS &gt; 50 OLS Model'!$B$11*K115</f>
        <v>0</v>
      </c>
      <c r="Y115" s="186">
        <f>'GS &gt; 50 OLS Model'!$B$12*L115</f>
        <v>0</v>
      </c>
      <c r="Z115" s="186">
        <v>0</v>
      </c>
      <c r="AA115" s="186">
        <f>'GS &gt; 50 OLS Model'!$B$13*N115</f>
        <v>33551198.840181898</v>
      </c>
      <c r="AB115" s="186">
        <f>'GS &gt; 50 OLS Model'!$B$14*O115</f>
        <v>13737248.956340911</v>
      </c>
      <c r="AC115" s="186">
        <f t="shared" si="15"/>
        <v>83733539.359825715</v>
      </c>
      <c r="AD115" s="24">
        <f t="shared" ca="1" si="16"/>
        <v>5.4150487756799565E-3</v>
      </c>
      <c r="AI115" s="155"/>
      <c r="AJ115" s="155"/>
      <c r="AK115" s="155"/>
    </row>
    <row r="116" spans="1:37" s="186" customFormat="1">
      <c r="A116" s="128">
        <f>'Monthly Data'!A116</f>
        <v>43282</v>
      </c>
      <c r="B116" s="154">
        <f t="shared" si="10"/>
        <v>7</v>
      </c>
      <c r="C116" s="186">
        <f t="shared" si="14"/>
        <v>2018</v>
      </c>
      <c r="D116" s="186">
        <f ca="1">'Monthly Data'!O116</f>
        <v>88386784.550160423</v>
      </c>
      <c r="E116" s="186">
        <f>'Monthly Data'!BH116</f>
        <v>0</v>
      </c>
      <c r="F116" s="186">
        <f>'Monthly Data'!BI116</f>
        <v>204.00000000000006</v>
      </c>
      <c r="G116" s="186">
        <f>'Monthly Data'!BL116</f>
        <v>665994.78021817585</v>
      </c>
      <c r="H116" s="186">
        <f>'Monthly Data'!BM116</f>
        <v>115</v>
      </c>
      <c r="I116" s="186">
        <f>'Monthly Data'!BQ116</f>
        <v>0</v>
      </c>
      <c r="J116" s="186">
        <f>'Monthly Data'!BS116</f>
        <v>0</v>
      </c>
      <c r="K116" s="186">
        <f>'Monthly Data'!BU116</f>
        <v>0</v>
      </c>
      <c r="L116" s="186">
        <f>'Monthly Data'!BV116</f>
        <v>0</v>
      </c>
      <c r="M116" s="186">
        <f>'Monthly Data'!BW116</f>
        <v>0</v>
      </c>
      <c r="N116" s="186">
        <f>'Monthly Data'!CC116</f>
        <v>31</v>
      </c>
      <c r="O116" s="186">
        <f>'Monthly Data'!CD116</f>
        <v>21</v>
      </c>
      <c r="Q116" s="186">
        <f>'GS &gt; 50 OLS Model'!$B$5</f>
        <v>-8508488.8174217809</v>
      </c>
      <c r="R116" s="186">
        <f>'GS &gt; 50 OLS Model'!$B$6*E116</f>
        <v>0</v>
      </c>
      <c r="S116" s="186">
        <f>'GS &gt; 50 OLS Model'!$B$7*F116</f>
        <v>14563071.833994748</v>
      </c>
      <c r="T116" s="186">
        <f>'GS &gt; 50 OLS Model'!$B$8*G116</f>
        <v>34874302.707240492</v>
      </c>
      <c r="V116" s="186">
        <f>'GS &gt; 50 OLS Model'!$B$9*I116</f>
        <v>0</v>
      </c>
      <c r="W116" s="186">
        <f>'GS &gt; 50 OLS Model'!$B$10*J116</f>
        <v>0</v>
      </c>
      <c r="X116" s="186">
        <f>'GS &gt; 50 OLS Model'!$B$11*K116</f>
        <v>0</v>
      </c>
      <c r="Y116" s="186">
        <f>'GS &gt; 50 OLS Model'!$B$12*L116</f>
        <v>0</v>
      </c>
      <c r="Z116" s="186">
        <v>0</v>
      </c>
      <c r="AA116" s="186">
        <f>'GS &gt; 50 OLS Model'!$B$13*N116</f>
        <v>34669572.13485463</v>
      </c>
      <c r="AB116" s="186">
        <f>'GS &gt; 50 OLS Model'!$B$14*O116</f>
        <v>13737248.956340911</v>
      </c>
      <c r="AC116" s="186">
        <f t="shared" si="15"/>
        <v>89335706.815008998</v>
      </c>
      <c r="AD116" s="24">
        <f t="shared" ca="1" si="16"/>
        <v>1.0736019753157234E-2</v>
      </c>
      <c r="AI116" s="155"/>
      <c r="AJ116" s="155"/>
      <c r="AK116" s="155"/>
    </row>
    <row r="117" spans="1:37" s="186" customFormat="1">
      <c r="A117" s="128">
        <f>'Monthly Data'!A117</f>
        <v>43313</v>
      </c>
      <c r="B117" s="154">
        <f t="shared" si="10"/>
        <v>8</v>
      </c>
      <c r="C117" s="186">
        <f t="shared" si="14"/>
        <v>2018</v>
      </c>
      <c r="D117" s="186">
        <f ca="1">'Monthly Data'!O117</f>
        <v>89941585.72763437</v>
      </c>
      <c r="E117" s="186">
        <f>'Monthly Data'!BH117</f>
        <v>0</v>
      </c>
      <c r="F117" s="186">
        <f>'Monthly Data'!BI117</f>
        <v>204.40000000000003</v>
      </c>
      <c r="G117" s="186">
        <f>'Monthly Data'!BL117</f>
        <v>665994.78021817585</v>
      </c>
      <c r="H117" s="186">
        <f>'Monthly Data'!BM117</f>
        <v>116</v>
      </c>
      <c r="I117" s="186">
        <f>'Monthly Data'!BQ117</f>
        <v>0</v>
      </c>
      <c r="J117" s="186">
        <f>'Monthly Data'!BS117</f>
        <v>0</v>
      </c>
      <c r="K117" s="186">
        <f>'Monthly Data'!BU117</f>
        <v>1</v>
      </c>
      <c r="L117" s="186">
        <f>'Monthly Data'!BV117</f>
        <v>0</v>
      </c>
      <c r="M117" s="186">
        <f>'Monthly Data'!BW117</f>
        <v>0</v>
      </c>
      <c r="N117" s="186">
        <f>'Monthly Data'!CC117</f>
        <v>31</v>
      </c>
      <c r="O117" s="186">
        <f>'Monthly Data'!CD117</f>
        <v>22</v>
      </c>
      <c r="Q117" s="186">
        <f>'GS &gt; 50 OLS Model'!$B$5</f>
        <v>-8508488.8174217809</v>
      </c>
      <c r="R117" s="186">
        <f>'GS &gt; 50 OLS Model'!$B$6*E117</f>
        <v>0</v>
      </c>
      <c r="S117" s="186">
        <f>'GS &gt; 50 OLS Model'!$B$7*F117</f>
        <v>14591626.876806499</v>
      </c>
      <c r="T117" s="186">
        <f>'GS &gt; 50 OLS Model'!$B$8*G117</f>
        <v>34874302.707240492</v>
      </c>
      <c r="V117" s="186">
        <f>'GS &gt; 50 OLS Model'!$B$9*I117</f>
        <v>0</v>
      </c>
      <c r="W117" s="186">
        <f>'GS &gt; 50 OLS Model'!$B$10*J117</f>
        <v>0</v>
      </c>
      <c r="X117" s="186">
        <f>'GS &gt; 50 OLS Model'!$B$11*K117</f>
        <v>2505717.0713192602</v>
      </c>
      <c r="Y117" s="186">
        <f>'GS &gt; 50 OLS Model'!$B$12*L117</f>
        <v>0</v>
      </c>
      <c r="Z117" s="186">
        <v>0</v>
      </c>
      <c r="AA117" s="186">
        <f>'GS &gt; 50 OLS Model'!$B$13*N117</f>
        <v>34669572.13485463</v>
      </c>
      <c r="AB117" s="186">
        <f>'GS &gt; 50 OLS Model'!$B$14*O117</f>
        <v>14391403.668547621</v>
      </c>
      <c r="AC117" s="186">
        <f t="shared" si="15"/>
        <v>92524133.641346708</v>
      </c>
      <c r="AD117" s="24">
        <f t="shared" ca="1" si="16"/>
        <v>2.871361331712495E-2</v>
      </c>
      <c r="AI117" s="155"/>
      <c r="AJ117" s="155"/>
      <c r="AK117" s="155"/>
    </row>
    <row r="118" spans="1:37" s="186" customFormat="1">
      <c r="A118" s="128">
        <f>'Monthly Data'!A118</f>
        <v>43344</v>
      </c>
      <c r="B118" s="154">
        <f t="shared" si="10"/>
        <v>9</v>
      </c>
      <c r="C118" s="186">
        <f t="shared" si="14"/>
        <v>2018</v>
      </c>
      <c r="D118" s="186">
        <f ca="1">'Monthly Data'!O118</f>
        <v>81054253.659961343</v>
      </c>
      <c r="E118" s="186">
        <f>'Monthly Data'!BH118</f>
        <v>29.7</v>
      </c>
      <c r="F118" s="186">
        <f>'Monthly Data'!BI118</f>
        <v>109.19999999999999</v>
      </c>
      <c r="G118" s="186">
        <f>'Monthly Data'!BL118</f>
        <v>665994.78021817585</v>
      </c>
      <c r="H118" s="186">
        <f>'Monthly Data'!BM118</f>
        <v>117</v>
      </c>
      <c r="I118" s="186">
        <f>'Monthly Data'!BQ118</f>
        <v>0</v>
      </c>
      <c r="J118" s="186">
        <f>'Monthly Data'!BS118</f>
        <v>0</v>
      </c>
      <c r="K118" s="186">
        <f>'Monthly Data'!BU118</f>
        <v>0</v>
      </c>
      <c r="L118" s="186">
        <f>'Monthly Data'!BV118</f>
        <v>1</v>
      </c>
      <c r="M118" s="186">
        <f>'Monthly Data'!BW118</f>
        <v>0</v>
      </c>
      <c r="N118" s="186">
        <f>'Monthly Data'!CC118</f>
        <v>30</v>
      </c>
      <c r="O118" s="186">
        <f>'Monthly Data'!CD118</f>
        <v>19</v>
      </c>
      <c r="Q118" s="186">
        <f>'GS &gt; 50 OLS Model'!$B$5</f>
        <v>-8508488.8174217809</v>
      </c>
      <c r="R118" s="186">
        <f>'GS &gt; 50 OLS Model'!$B$6*E118</f>
        <v>720101.26070855081</v>
      </c>
      <c r="S118" s="186">
        <f>'GS &gt; 50 OLS Model'!$B$7*F118</f>
        <v>7795526.6876089498</v>
      </c>
      <c r="T118" s="186">
        <f>'GS &gt; 50 OLS Model'!$B$8*G118</f>
        <v>34874302.707240492</v>
      </c>
      <c r="V118" s="186">
        <f>'GS &gt; 50 OLS Model'!$B$9*I118</f>
        <v>0</v>
      </c>
      <c r="W118" s="186">
        <f>'GS &gt; 50 OLS Model'!$B$10*J118</f>
        <v>0</v>
      </c>
      <c r="X118" s="186">
        <f>'GS &gt; 50 OLS Model'!$B$11*K118</f>
        <v>0</v>
      </c>
      <c r="Y118" s="186">
        <f>'GS &gt; 50 OLS Model'!$B$12*L118</f>
        <v>2345350.8919449002</v>
      </c>
      <c r="Z118" s="186">
        <v>0</v>
      </c>
      <c r="AA118" s="186">
        <f>'GS &gt; 50 OLS Model'!$B$13*N118</f>
        <v>33551198.840181898</v>
      </c>
      <c r="AB118" s="186">
        <f>'GS &gt; 50 OLS Model'!$B$14*O118</f>
        <v>12428939.531927491</v>
      </c>
      <c r="AC118" s="186">
        <f t="shared" si="15"/>
        <v>83206931.102190509</v>
      </c>
      <c r="AD118" s="24">
        <f t="shared" ca="1" si="16"/>
        <v>2.6558475897638576E-2</v>
      </c>
      <c r="AI118" s="155"/>
      <c r="AJ118" s="155"/>
      <c r="AK118" s="155"/>
    </row>
    <row r="119" spans="1:37" s="186" customFormat="1">
      <c r="A119" s="128">
        <f>'Monthly Data'!A119</f>
        <v>43374</v>
      </c>
      <c r="B119" s="154">
        <f t="shared" si="10"/>
        <v>10</v>
      </c>
      <c r="C119" s="186">
        <f t="shared" si="14"/>
        <v>2018</v>
      </c>
      <c r="D119" s="186">
        <f ca="1">'Monthly Data'!O119</f>
        <v>79879338.784629419</v>
      </c>
      <c r="E119" s="186">
        <f>'Monthly Data'!BH119</f>
        <v>207.89999999999995</v>
      </c>
      <c r="F119" s="186">
        <f>'Monthly Data'!BI119</f>
        <v>24.1</v>
      </c>
      <c r="G119" s="186">
        <f>'Monthly Data'!BL119</f>
        <v>665994.78021817585</v>
      </c>
      <c r="H119" s="186">
        <f>'Monthly Data'!BM119</f>
        <v>118</v>
      </c>
      <c r="I119" s="186">
        <f>'Monthly Data'!BQ119</f>
        <v>0</v>
      </c>
      <c r="J119" s="186">
        <f>'Monthly Data'!BS119</f>
        <v>0</v>
      </c>
      <c r="K119" s="186">
        <f>'Monthly Data'!BU119</f>
        <v>0</v>
      </c>
      <c r="L119" s="186">
        <f>'Monthly Data'!BV119</f>
        <v>0</v>
      </c>
      <c r="M119" s="186">
        <f>'Monthly Data'!BW119</f>
        <v>1</v>
      </c>
      <c r="N119" s="186">
        <f>'Monthly Data'!CC119</f>
        <v>31</v>
      </c>
      <c r="O119" s="186">
        <f>'Monthly Data'!CD119</f>
        <v>22</v>
      </c>
      <c r="Q119" s="186">
        <f>'GS &gt; 50 OLS Model'!$B$5</f>
        <v>-8508488.8174217809</v>
      </c>
      <c r="R119" s="186">
        <f>'GS &gt; 50 OLS Model'!$B$6*E119</f>
        <v>5040708.8249598546</v>
      </c>
      <c r="S119" s="186">
        <f>'GS &gt; 50 OLS Model'!$B$7*F119</f>
        <v>1720441.3294082026</v>
      </c>
      <c r="T119" s="186">
        <f>'GS &gt; 50 OLS Model'!$B$8*G119</f>
        <v>34874302.707240492</v>
      </c>
      <c r="V119" s="186">
        <f>'GS &gt; 50 OLS Model'!$B$9*I119</f>
        <v>0</v>
      </c>
      <c r="W119" s="186">
        <f>'GS &gt; 50 OLS Model'!$B$10*J119</f>
        <v>0</v>
      </c>
      <c r="X119" s="186">
        <f>'GS &gt; 50 OLS Model'!$B$11*K119</f>
        <v>0</v>
      </c>
      <c r="Y119" s="186">
        <f>'GS &gt; 50 OLS Model'!$B$12*L119</f>
        <v>0</v>
      </c>
      <c r="Z119" s="186">
        <v>0</v>
      </c>
      <c r="AA119" s="186">
        <f>'GS &gt; 50 OLS Model'!$B$13*N119</f>
        <v>34669572.13485463</v>
      </c>
      <c r="AB119" s="186">
        <f>'GS &gt; 50 OLS Model'!$B$14*O119</f>
        <v>14391403.668547621</v>
      </c>
      <c r="AC119" s="186">
        <f t="shared" si="15"/>
        <v>82187939.847589016</v>
      </c>
      <c r="AD119" s="24">
        <f t="shared" ca="1" si="16"/>
        <v>2.8901103815894672E-2</v>
      </c>
      <c r="AI119" s="155"/>
      <c r="AJ119" s="155"/>
      <c r="AK119" s="155"/>
    </row>
    <row r="120" spans="1:37" s="186" customFormat="1">
      <c r="A120" s="128">
        <f>'Monthly Data'!A120</f>
        <v>43405</v>
      </c>
      <c r="B120" s="154">
        <f t="shared" si="10"/>
        <v>11</v>
      </c>
      <c r="C120" s="186">
        <f t="shared" si="14"/>
        <v>2018</v>
      </c>
      <c r="D120" s="186">
        <f ca="1">'Monthly Data'!O120</f>
        <v>81359765.42074655</v>
      </c>
      <c r="E120" s="186">
        <f>'Monthly Data'!BH120</f>
        <v>454.9</v>
      </c>
      <c r="F120" s="186">
        <f>'Monthly Data'!BI120</f>
        <v>0</v>
      </c>
      <c r="G120" s="186">
        <f>'Monthly Data'!BL120</f>
        <v>665994.78021817585</v>
      </c>
      <c r="H120" s="186">
        <f>'Monthly Data'!BM120</f>
        <v>119</v>
      </c>
      <c r="I120" s="186">
        <f>'Monthly Data'!BQ120</f>
        <v>0</v>
      </c>
      <c r="J120" s="186">
        <f>'Monthly Data'!BS120</f>
        <v>0</v>
      </c>
      <c r="K120" s="186">
        <f>'Monthly Data'!BU120</f>
        <v>0</v>
      </c>
      <c r="L120" s="186">
        <f>'Monthly Data'!BV120</f>
        <v>0</v>
      </c>
      <c r="M120" s="186">
        <f>'Monthly Data'!BW120</f>
        <v>0</v>
      </c>
      <c r="N120" s="186">
        <f>'Monthly Data'!CC120</f>
        <v>30</v>
      </c>
      <c r="O120" s="186">
        <f>'Monthly Data'!CD120</f>
        <v>22</v>
      </c>
      <c r="Q120" s="186">
        <f>'GS &gt; 50 OLS Model'!$B$5</f>
        <v>-8508488.8174217809</v>
      </c>
      <c r="R120" s="186">
        <f>'GS &gt; 50 OLS Model'!$B$6*E120</f>
        <v>11029429.747350832</v>
      </c>
      <c r="S120" s="186">
        <f>'GS &gt; 50 OLS Model'!$B$7*F120</f>
        <v>0</v>
      </c>
      <c r="T120" s="186">
        <f>'GS &gt; 50 OLS Model'!$B$8*G120</f>
        <v>34874302.707240492</v>
      </c>
      <c r="V120" s="186">
        <f>'GS &gt; 50 OLS Model'!$B$9*I120</f>
        <v>0</v>
      </c>
      <c r="W120" s="186">
        <f>'GS &gt; 50 OLS Model'!$B$10*J120</f>
        <v>0</v>
      </c>
      <c r="X120" s="186">
        <f>'GS &gt; 50 OLS Model'!$B$11*K120</f>
        <v>0</v>
      </c>
      <c r="Y120" s="186">
        <f>'GS &gt; 50 OLS Model'!$B$12*L120</f>
        <v>0</v>
      </c>
      <c r="Z120" s="186">
        <v>0</v>
      </c>
      <c r="AA120" s="186">
        <f>'GS &gt; 50 OLS Model'!$B$13*N120</f>
        <v>33551198.840181898</v>
      </c>
      <c r="AB120" s="186">
        <f>'GS &gt; 50 OLS Model'!$B$14*O120</f>
        <v>14391403.668547621</v>
      </c>
      <c r="AC120" s="186">
        <f t="shared" si="15"/>
        <v>85337846.145899057</v>
      </c>
      <c r="AD120" s="24">
        <f t="shared" ca="1" si="16"/>
        <v>4.8894938481940438E-2</v>
      </c>
      <c r="AI120" s="155"/>
      <c r="AJ120" s="155"/>
      <c r="AK120" s="155"/>
    </row>
    <row r="121" spans="1:37" s="186" customFormat="1">
      <c r="A121" s="128">
        <f>'Monthly Data'!A121</f>
        <v>43435</v>
      </c>
      <c r="B121" s="154">
        <f t="shared" si="10"/>
        <v>12</v>
      </c>
      <c r="C121" s="186">
        <f t="shared" si="14"/>
        <v>2018</v>
      </c>
      <c r="D121" s="186">
        <f ca="1">'Monthly Data'!O121</f>
        <v>81470558.798187256</v>
      </c>
      <c r="E121" s="186">
        <f>'Monthly Data'!BH121</f>
        <v>500.59999999999991</v>
      </c>
      <c r="F121" s="186">
        <f>'Monthly Data'!BI121</f>
        <v>0</v>
      </c>
      <c r="G121" s="186">
        <f>'Monthly Data'!BL121</f>
        <v>665994.78021817585</v>
      </c>
      <c r="H121" s="186">
        <f>'Monthly Data'!BM121</f>
        <v>120</v>
      </c>
      <c r="I121" s="186">
        <f>'Monthly Data'!BQ121</f>
        <v>0</v>
      </c>
      <c r="J121" s="186">
        <f>'Monthly Data'!BS121</f>
        <v>0</v>
      </c>
      <c r="K121" s="186">
        <f>'Monthly Data'!BU121</f>
        <v>0</v>
      </c>
      <c r="L121" s="186">
        <f>'Monthly Data'!BV121</f>
        <v>0</v>
      </c>
      <c r="M121" s="186">
        <f>'Monthly Data'!BW121</f>
        <v>0</v>
      </c>
      <c r="N121" s="186">
        <f>'Monthly Data'!CC121</f>
        <v>31</v>
      </c>
      <c r="O121" s="186">
        <f>'Monthly Data'!CD121</f>
        <v>19</v>
      </c>
      <c r="Q121" s="186">
        <f>'GS &gt; 50 OLS Model'!$B$5</f>
        <v>-8508488.8174217809</v>
      </c>
      <c r="R121" s="186">
        <f>'GS &gt; 50 OLS Model'!$B$6*E121</f>
        <v>12137464.347161632</v>
      </c>
      <c r="S121" s="186">
        <f>'GS &gt; 50 OLS Model'!$B$7*F121</f>
        <v>0</v>
      </c>
      <c r="T121" s="186">
        <f>'GS &gt; 50 OLS Model'!$B$8*G121</f>
        <v>34874302.707240492</v>
      </c>
      <c r="V121" s="186">
        <f>'GS &gt; 50 OLS Model'!$B$9*I121</f>
        <v>0</v>
      </c>
      <c r="W121" s="186">
        <f>'GS &gt; 50 OLS Model'!$B$10*J121</f>
        <v>0</v>
      </c>
      <c r="X121" s="186">
        <f>'GS &gt; 50 OLS Model'!$B$11*K121</f>
        <v>0</v>
      </c>
      <c r="Y121" s="186">
        <f>'GS &gt; 50 OLS Model'!$B$12*L121</f>
        <v>0</v>
      </c>
      <c r="Z121" s="186">
        <v>0</v>
      </c>
      <c r="AA121" s="186">
        <f>'GS &gt; 50 OLS Model'!$B$13*N121</f>
        <v>34669572.13485463</v>
      </c>
      <c r="AB121" s="186">
        <f>'GS &gt; 50 OLS Model'!$B$14*O121</f>
        <v>12428939.531927491</v>
      </c>
      <c r="AC121" s="186">
        <f t="shared" si="15"/>
        <v>85601789.90376246</v>
      </c>
      <c r="AD121" s="24">
        <f t="shared" ca="1" si="16"/>
        <v>5.0708270159393151E-2</v>
      </c>
      <c r="AI121" s="155"/>
      <c r="AJ121" s="155"/>
      <c r="AK121" s="155"/>
    </row>
    <row r="122" spans="1:37">
      <c r="AD122" s="22">
        <f ca="1">AVERAGE(AD2:AD121)</f>
        <v>1.3719499970153934E-2</v>
      </c>
      <c r="AI122" s="155"/>
      <c r="AJ122" s="155"/>
      <c r="AK122" s="155"/>
    </row>
    <row r="123" spans="1:37">
      <c r="F123" s="127"/>
      <c r="AI123" s="155"/>
      <c r="AJ123" s="155"/>
      <c r="AK123" s="155"/>
    </row>
    <row r="124" spans="1:37">
      <c r="AI124" s="155"/>
      <c r="AJ124" s="155"/>
      <c r="AK124" s="155"/>
    </row>
    <row r="125" spans="1:37">
      <c r="AD125" s="22"/>
      <c r="AI125" s="155"/>
      <c r="AJ125" s="155"/>
      <c r="AK125" s="15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155E8-BB99-45C7-8B7C-E4993FB712E2}">
  <dimension ref="A1:E22"/>
  <sheetViews>
    <sheetView workbookViewId="0">
      <selection activeCell="G12" sqref="G12"/>
    </sheetView>
  </sheetViews>
  <sheetFormatPr defaultRowHeight="12.75"/>
  <cols>
    <col min="1" max="4" width="9.33203125" style="186"/>
    <col min="5" max="5" width="15.6640625" style="186" customWidth="1"/>
    <col min="6" max="16384" width="9.33203125" style="186"/>
  </cols>
  <sheetData>
    <row r="1" spans="1:5">
      <c r="A1" s="186" t="s">
        <v>256</v>
      </c>
    </row>
    <row r="2" spans="1:5">
      <c r="A2" s="186" t="s">
        <v>292</v>
      </c>
    </row>
    <row r="4" spans="1:5">
      <c r="B4" s="186" t="s">
        <v>87</v>
      </c>
      <c r="C4" s="186" t="s">
        <v>88</v>
      </c>
      <c r="D4" s="186" t="s">
        <v>89</v>
      </c>
      <c r="E4" s="186" t="s">
        <v>90</v>
      </c>
    </row>
    <row r="5" spans="1:5">
      <c r="A5" s="186" t="s">
        <v>91</v>
      </c>
      <c r="B5" s="186">
        <v>-8436546.8467997499</v>
      </c>
      <c r="C5" s="186">
        <v>6361810.2153961305</v>
      </c>
      <c r="D5" s="186">
        <v>-1.32612362852048</v>
      </c>
      <c r="E5" s="18">
        <v>0.187545761928128</v>
      </c>
    </row>
    <row r="6" spans="1:5">
      <c r="A6" s="186" t="s">
        <v>43</v>
      </c>
      <c r="B6" s="186">
        <v>24217.009178815999</v>
      </c>
      <c r="C6" s="186">
        <v>1002.55741143282</v>
      </c>
      <c r="D6" s="186">
        <v>24.155234306438299</v>
      </c>
      <c r="E6" s="18">
        <v>8.6481701663006698E-46</v>
      </c>
    </row>
    <row r="7" spans="1:5">
      <c r="A7" s="186" t="s">
        <v>44</v>
      </c>
      <c r="B7" s="186">
        <v>71372.882356456699</v>
      </c>
      <c r="C7" s="186">
        <v>3536.4767649361602</v>
      </c>
      <c r="D7" s="186">
        <v>20.1819175129644</v>
      </c>
      <c r="E7" s="18">
        <v>8.9420612402013195E-39</v>
      </c>
    </row>
    <row r="8" spans="1:5">
      <c r="A8" s="186" t="s">
        <v>108</v>
      </c>
      <c r="B8" s="186">
        <v>51.879526425776</v>
      </c>
      <c r="C8" s="186">
        <v>3.5653068181927798</v>
      </c>
      <c r="D8" s="186">
        <v>14.5512094950844</v>
      </c>
      <c r="E8" s="18">
        <v>2.1533118654653899E-27</v>
      </c>
    </row>
    <row r="9" spans="1:5">
      <c r="A9" s="186" t="s">
        <v>48</v>
      </c>
      <c r="B9" s="186">
        <v>-1670517.9110053701</v>
      </c>
      <c r="C9" s="186">
        <v>567211.57707978203</v>
      </c>
      <c r="D9" s="186">
        <v>-2.94514071734188</v>
      </c>
      <c r="E9" s="18">
        <v>3.9400747844876901E-3</v>
      </c>
    </row>
    <row r="10" spans="1:5">
      <c r="A10" s="186" t="s">
        <v>78</v>
      </c>
      <c r="B10" s="186">
        <v>1260255.0136768401</v>
      </c>
      <c r="C10" s="186">
        <v>623241.13184311299</v>
      </c>
      <c r="D10" s="186">
        <v>2.0220985895938699</v>
      </c>
      <c r="E10" s="186">
        <v>4.55930086132489E-2</v>
      </c>
    </row>
    <row r="11" spans="1:5">
      <c r="A11" s="186" t="s">
        <v>80</v>
      </c>
      <c r="B11" s="186">
        <v>2501012.7689915099</v>
      </c>
      <c r="C11" s="186">
        <v>619995.10696347198</v>
      </c>
      <c r="D11" s="186">
        <v>4.0339233985904004</v>
      </c>
      <c r="E11" s="18">
        <v>1.0154222746123799E-4</v>
      </c>
    </row>
    <row r="12" spans="1:5">
      <c r="A12" s="186" t="s">
        <v>53</v>
      </c>
      <c r="B12" s="186">
        <v>2346294.5864150901</v>
      </c>
      <c r="C12" s="186">
        <v>599969.36368826195</v>
      </c>
      <c r="D12" s="186">
        <v>3.9106906592553998</v>
      </c>
      <c r="E12" s="18">
        <v>1.59600985145064E-4</v>
      </c>
    </row>
    <row r="13" spans="1:5">
      <c r="A13" s="186" t="s">
        <v>92</v>
      </c>
      <c r="B13" s="186">
        <v>1122772.36971474</v>
      </c>
      <c r="C13" s="186">
        <v>209596.79913753399</v>
      </c>
      <c r="D13" s="186">
        <v>5.3568202106845701</v>
      </c>
      <c r="E13" s="18">
        <v>4.69633794457063E-7</v>
      </c>
    </row>
    <row r="14" spans="1:5">
      <c r="A14" s="186" t="s">
        <v>120</v>
      </c>
      <c r="B14" s="186">
        <v>647687.15915840399</v>
      </c>
      <c r="C14" s="186">
        <v>152328.63941673201</v>
      </c>
      <c r="D14" s="186">
        <v>4.2519066778145298</v>
      </c>
      <c r="E14" s="18">
        <v>4.4639403948315299E-5</v>
      </c>
    </row>
    <row r="15" spans="1:5">
      <c r="E15" s="18"/>
    </row>
    <row r="16" spans="1:5">
      <c r="A16" s="186" t="s">
        <v>93</v>
      </c>
      <c r="B16" s="186">
        <v>80672452.885208696</v>
      </c>
      <c r="C16" s="186" t="s">
        <v>94</v>
      </c>
      <c r="D16" s="186">
        <v>5106857.7930823602</v>
      </c>
      <c r="E16" s="18"/>
    </row>
    <row r="17" spans="1:4">
      <c r="A17" s="186" t="s">
        <v>95</v>
      </c>
      <c r="B17" s="186">
        <v>260577298500704</v>
      </c>
      <c r="C17" s="186" t="s">
        <v>96</v>
      </c>
      <c r="D17" s="186">
        <v>1539118.10197417</v>
      </c>
    </row>
    <row r="18" spans="1:4">
      <c r="A18" s="186" t="s">
        <v>97</v>
      </c>
      <c r="B18" s="186">
        <v>0.91603813306076498</v>
      </c>
      <c r="C18" s="186" t="s">
        <v>98</v>
      </c>
      <c r="D18" s="186">
        <v>0.90916852576573703</v>
      </c>
    </row>
    <row r="19" spans="1:4">
      <c r="A19" s="186" t="s">
        <v>259</v>
      </c>
      <c r="B19" s="186">
        <v>133.34650638963399</v>
      </c>
      <c r="C19" s="186" t="s">
        <v>100</v>
      </c>
      <c r="D19" s="18">
        <v>6.0263659824295603E-55</v>
      </c>
    </row>
    <row r="20" spans="1:4">
      <c r="A20" s="186" t="s">
        <v>101</v>
      </c>
      <c r="B20" s="186">
        <v>-1874.6583592813199</v>
      </c>
      <c r="C20" s="186" t="s">
        <v>102</v>
      </c>
      <c r="D20" s="186">
        <v>3769.3167185626298</v>
      </c>
    </row>
    <row r="21" spans="1:4">
      <c r="A21" s="186" t="s">
        <v>103</v>
      </c>
      <c r="B21" s="186">
        <v>3797.1916359904499</v>
      </c>
      <c r="C21" s="186" t="s">
        <v>104</v>
      </c>
      <c r="D21" s="18">
        <v>3780.6368511578298</v>
      </c>
    </row>
    <row r="22" spans="1:4">
      <c r="A22" s="186" t="s">
        <v>105</v>
      </c>
      <c r="B22" s="186">
        <v>0.40869803904988899</v>
      </c>
      <c r="C22" s="186" t="s">
        <v>106</v>
      </c>
      <c r="D22" s="186">
        <v>1.1634089148254001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C5E60-43EA-4F23-BD35-3264832EF033}">
  <dimension ref="A1:AC125"/>
  <sheetViews>
    <sheetView topLeftCell="N1" zoomScaleNormal="100" workbookViewId="0">
      <selection activeCell="AC122" sqref="AC122"/>
    </sheetView>
  </sheetViews>
  <sheetFormatPr defaultRowHeight="12.75"/>
  <cols>
    <col min="1" max="1" width="10.33203125" style="186" bestFit="1" customWidth="1"/>
    <col min="2" max="2" width="5" style="186" bestFit="1" customWidth="1"/>
    <col min="3" max="3" width="18.6640625" style="186" bestFit="1" customWidth="1"/>
    <col min="4" max="5" width="6" style="186" bestFit="1" customWidth="1"/>
    <col min="6" max="6" width="9" style="186" customWidth="1"/>
    <col min="7" max="7" width="3.83203125" style="186" bestFit="1" customWidth="1"/>
    <col min="8" max="8" width="10.1640625" style="186" bestFit="1" customWidth="1"/>
    <col min="9" max="9" width="4.33203125" style="186" bestFit="1" customWidth="1"/>
    <col min="10" max="10" width="5.33203125" style="186" bestFit="1" customWidth="1"/>
    <col min="11" max="15" width="9.33203125" style="186"/>
    <col min="16" max="16" width="12.6640625" style="186" bestFit="1" customWidth="1"/>
    <col min="17" max="18" width="12" style="186" bestFit="1" customWidth="1"/>
    <col min="19" max="20" width="12.6640625" style="186" bestFit="1" customWidth="1"/>
    <col min="21" max="22" width="12" style="186" bestFit="1" customWidth="1"/>
    <col min="23" max="23" width="12.6640625" style="186" bestFit="1" customWidth="1"/>
    <col min="24" max="27" width="12.6640625" style="186" customWidth="1"/>
    <col min="28" max="28" width="12" style="186" bestFit="1" customWidth="1"/>
    <col min="29" max="29" width="10.5" style="186" bestFit="1" customWidth="1"/>
    <col min="30" max="30" width="9.33203125" style="186" customWidth="1"/>
    <col min="31" max="16384" width="9.33203125" style="186"/>
  </cols>
  <sheetData>
    <row r="1" spans="1:29">
      <c r="A1" s="186" t="s">
        <v>123</v>
      </c>
      <c r="B1" s="186" t="s">
        <v>124</v>
      </c>
      <c r="C1" s="124" t="str">
        <f>'Monthly Data'!T1</f>
        <v>GSgt_LC_kWh_NoCDM</v>
      </c>
      <c r="D1" s="186" t="str">
        <f>'Monthly Data'!BH1</f>
        <v>HDD</v>
      </c>
      <c r="E1" s="186" t="str">
        <f>'Monthly Data'!BI1</f>
        <v>CDD</v>
      </c>
      <c r="F1" s="186" t="str">
        <f>'Monthly Data'!BL1</f>
        <v>Ont_GDP</v>
      </c>
      <c r="G1" s="186" t="str">
        <f>'Monthly Data'!BM1</f>
        <v>Trend</v>
      </c>
      <c r="H1" s="186" t="str">
        <f>'Monthly Data'!BQ1</f>
        <v>Apr</v>
      </c>
      <c r="I1" s="186" t="str">
        <f>'Monthly Data'!BS1</f>
        <v>Jun</v>
      </c>
      <c r="J1" s="186" t="str">
        <f>'Monthly Data'!BU1</f>
        <v>Aug</v>
      </c>
      <c r="K1" s="186" t="str">
        <f>'Monthly Data'!BV1</f>
        <v>Sept</v>
      </c>
      <c r="L1" s="186" t="str">
        <f>'Monthly Data'!BW1</f>
        <v>Oct</v>
      </c>
      <c r="M1" s="186" t="str">
        <f>'Monthly Data'!CC1</f>
        <v>Month Days</v>
      </c>
      <c r="N1" s="186" t="str">
        <f>'Monthly Data'!CD1</f>
        <v>Peak Days</v>
      </c>
      <c r="P1" s="186" t="s">
        <v>91</v>
      </c>
      <c r="Q1" s="186" t="str">
        <f>D1</f>
        <v>HDD</v>
      </c>
      <c r="R1" s="186" t="str">
        <f>E1</f>
        <v>CDD</v>
      </c>
      <c r="S1" s="186" t="str">
        <f>F1</f>
        <v>Ont_GDP</v>
      </c>
      <c r="T1" s="186" t="str">
        <f>G1</f>
        <v>Trend</v>
      </c>
      <c r="U1" s="186" t="str">
        <f>H1</f>
        <v>Apr</v>
      </c>
      <c r="V1" s="186" t="str">
        <f t="shared" ref="V1" si="0">I1</f>
        <v>Jun</v>
      </c>
      <c r="W1" s="186" t="str">
        <f>J1</f>
        <v>Aug</v>
      </c>
      <c r="X1" s="186" t="str">
        <f>K1</f>
        <v>Sept</v>
      </c>
      <c r="Y1" s="186" t="str">
        <f>L1</f>
        <v>Oct</v>
      </c>
      <c r="Z1" s="186" t="str">
        <f>M1</f>
        <v>Month Days</v>
      </c>
      <c r="AA1" s="186" t="str">
        <f>N1</f>
        <v>Peak Days</v>
      </c>
      <c r="AB1" s="186" t="s">
        <v>125</v>
      </c>
      <c r="AC1" s="186" t="s">
        <v>126</v>
      </c>
    </row>
    <row r="2" spans="1:29">
      <c r="A2" s="128">
        <f>'Monthly Data'!A2</f>
        <v>39814</v>
      </c>
      <c r="B2" s="186">
        <f t="shared" ref="B2:B65" si="1">YEAR(A2)</f>
        <v>2009</v>
      </c>
      <c r="C2" s="124">
        <f ca="1">'Monthly Data'!T2</f>
        <v>85159952.300793856</v>
      </c>
      <c r="D2" s="186">
        <f>'Monthly Data'!BH2</f>
        <v>768.79999999999973</v>
      </c>
      <c r="E2" s="186">
        <f>'Monthly Data'!BI2</f>
        <v>0</v>
      </c>
      <c r="F2" s="186">
        <f>'Monthly Data'!BL2</f>
        <v>539388</v>
      </c>
      <c r="G2" s="186">
        <f>'Monthly Data'!BM2</f>
        <v>1</v>
      </c>
      <c r="H2" s="186">
        <f>'Monthly Data'!BQ2</f>
        <v>0</v>
      </c>
      <c r="I2" s="186">
        <f>'Monthly Data'!BS2</f>
        <v>0</v>
      </c>
      <c r="J2" s="186">
        <f>'Monthly Data'!BU2</f>
        <v>0</v>
      </c>
      <c r="K2" s="186">
        <f>'Monthly Data'!BV2</f>
        <v>0</v>
      </c>
      <c r="L2" s="186">
        <f>'Monthly Data'!BW2</f>
        <v>0</v>
      </c>
      <c r="M2" s="186">
        <f>'Monthly Data'!CC2</f>
        <v>31</v>
      </c>
      <c r="N2" s="186">
        <f>'Monthly Data'!CD2</f>
        <v>21</v>
      </c>
      <c r="P2" s="186">
        <f>'GS &gt; 50 OLS Model (LC)'!$B$5</f>
        <v>-8436546.8467997499</v>
      </c>
      <c r="Q2" s="186">
        <f>'GS &gt; 50 OLS Model (LC)'!$B$6*D2</f>
        <v>18618036.656673733</v>
      </c>
      <c r="R2" s="186">
        <f>'GS &gt; 50 OLS Model (LC)'!$B$7*E2</f>
        <v>0</v>
      </c>
      <c r="S2" s="186">
        <f>'GS &gt; 50 OLS Model (LC)'!$B$8*F2</f>
        <v>27983193.999746464</v>
      </c>
      <c r="U2" s="186">
        <f>'GS &gt; 50 OLS Model (LC)'!$B$9*H2</f>
        <v>0</v>
      </c>
      <c r="V2" s="186">
        <f>'GS &gt; 50 OLS Model (LC)'!$B$10*I2</f>
        <v>0</v>
      </c>
      <c r="W2" s="186">
        <f>'GS &gt; 50 OLS Model (LC)'!$B$11*J2</f>
        <v>0</v>
      </c>
      <c r="X2" s="186">
        <f>'GS &gt; 50 OLS Model (LC)'!$B$12*K2</f>
        <v>0</v>
      </c>
      <c r="Y2" s="186">
        <v>0</v>
      </c>
      <c r="Z2" s="186">
        <f>'GS &gt; 50 OLS Model (LC)'!$B$13*M2</f>
        <v>34805943.461156942</v>
      </c>
      <c r="AA2" s="186">
        <f>'GS &gt; 50 OLS Model (LC)'!$B$14*N2</f>
        <v>13601430.342326485</v>
      </c>
      <c r="AB2" s="186">
        <f t="shared" ref="AB2:AB65" si="2">SUM(P2:AA2)</f>
        <v>86572057.613103867</v>
      </c>
      <c r="AC2" s="24">
        <f t="shared" ref="AC2:AC65" ca="1" si="3">ABS(AB2-C2)/C2</f>
        <v>1.6581800179059594E-2</v>
      </c>
    </row>
    <row r="3" spans="1:29">
      <c r="A3" s="128">
        <f>'Monthly Data'!A3</f>
        <v>39845</v>
      </c>
      <c r="B3" s="186">
        <f t="shared" si="1"/>
        <v>2009</v>
      </c>
      <c r="C3" s="124">
        <f ca="1">'Monthly Data'!T3</f>
        <v>77150159.110703424</v>
      </c>
      <c r="D3" s="186">
        <f>'Monthly Data'!BH3</f>
        <v>540</v>
      </c>
      <c r="E3" s="186">
        <f>'Monthly Data'!BI3</f>
        <v>0</v>
      </c>
      <c r="F3" s="186">
        <f>'Monthly Data'!BL3</f>
        <v>539388</v>
      </c>
      <c r="G3" s="186">
        <f>'Monthly Data'!BM3</f>
        <v>2</v>
      </c>
      <c r="H3" s="186">
        <f>'Monthly Data'!BQ3</f>
        <v>0</v>
      </c>
      <c r="I3" s="186">
        <f>'Monthly Data'!BS3</f>
        <v>0</v>
      </c>
      <c r="J3" s="186">
        <f>'Monthly Data'!BU3</f>
        <v>0</v>
      </c>
      <c r="K3" s="186">
        <f>'Monthly Data'!BV3</f>
        <v>0</v>
      </c>
      <c r="L3" s="186">
        <f>'Monthly Data'!BW3</f>
        <v>0</v>
      </c>
      <c r="M3" s="186">
        <f>'Monthly Data'!CC3</f>
        <v>28</v>
      </c>
      <c r="N3" s="186">
        <f>'Monthly Data'!CD3</f>
        <v>19</v>
      </c>
      <c r="P3" s="186">
        <f>'GS &gt; 50 OLS Model (LC)'!$B$5</f>
        <v>-8436546.8467997499</v>
      </c>
      <c r="Q3" s="186">
        <f>'GS &gt; 50 OLS Model (LC)'!$B$6*D3</f>
        <v>13077184.95656064</v>
      </c>
      <c r="R3" s="186">
        <f>'GS &gt; 50 OLS Model (LC)'!$B$7*E3</f>
        <v>0</v>
      </c>
      <c r="S3" s="186">
        <f>'GS &gt; 50 OLS Model (LC)'!$B$8*F3</f>
        <v>27983193.999746464</v>
      </c>
      <c r="U3" s="186">
        <f>'GS &gt; 50 OLS Model (LC)'!$B$9*H3</f>
        <v>0</v>
      </c>
      <c r="V3" s="186">
        <f>'GS &gt; 50 OLS Model (LC)'!$B$10*I3</f>
        <v>0</v>
      </c>
      <c r="W3" s="186">
        <f>'GS &gt; 50 OLS Model (LC)'!$B$11*J3</f>
        <v>0</v>
      </c>
      <c r="X3" s="186">
        <f>'GS &gt; 50 OLS Model (LC)'!$B$12*K3</f>
        <v>0</v>
      </c>
      <c r="Y3" s="186">
        <v>0</v>
      </c>
      <c r="Z3" s="186">
        <f>'GS &gt; 50 OLS Model (LC)'!$B$13*M3</f>
        <v>31437626.35201272</v>
      </c>
      <c r="AA3" s="186">
        <f>'GS &gt; 50 OLS Model (LC)'!$B$14*N3</f>
        <v>12306056.024009675</v>
      </c>
      <c r="AB3" s="186">
        <f t="shared" si="2"/>
        <v>76367514.485529751</v>
      </c>
      <c r="AC3" s="24">
        <f t="shared" ca="1" si="3"/>
        <v>1.0144433066568917E-2</v>
      </c>
    </row>
    <row r="4" spans="1:29">
      <c r="A4" s="128">
        <f>'Monthly Data'!A4</f>
        <v>39873</v>
      </c>
      <c r="B4" s="186">
        <f t="shared" si="1"/>
        <v>2009</v>
      </c>
      <c r="C4" s="124">
        <f ca="1">'Monthly Data'!T4</f>
        <v>79013110.838498071</v>
      </c>
      <c r="D4" s="186">
        <f>'Monthly Data'!BH4</f>
        <v>456.7999999999999</v>
      </c>
      <c r="E4" s="186">
        <f>'Monthly Data'!BI4</f>
        <v>0</v>
      </c>
      <c r="F4" s="186">
        <f>'Monthly Data'!BL4</f>
        <v>539388</v>
      </c>
      <c r="G4" s="186">
        <f>'Monthly Data'!BM4</f>
        <v>3</v>
      </c>
      <c r="H4" s="186">
        <f>'Monthly Data'!BQ4</f>
        <v>0</v>
      </c>
      <c r="I4" s="186">
        <f>'Monthly Data'!BS4</f>
        <v>0</v>
      </c>
      <c r="J4" s="186">
        <f>'Monthly Data'!BU4</f>
        <v>0</v>
      </c>
      <c r="K4" s="186">
        <f>'Monthly Data'!BV4</f>
        <v>0</v>
      </c>
      <c r="L4" s="186">
        <f>'Monthly Data'!BW4</f>
        <v>0</v>
      </c>
      <c r="M4" s="186">
        <f>'Monthly Data'!CC4</f>
        <v>31</v>
      </c>
      <c r="N4" s="186">
        <f>'Monthly Data'!CD4</f>
        <v>22</v>
      </c>
      <c r="P4" s="186">
        <f>'GS &gt; 50 OLS Model (LC)'!$B$5</f>
        <v>-8436546.8467997499</v>
      </c>
      <c r="Q4" s="186">
        <f>'GS &gt; 50 OLS Model (LC)'!$B$6*D4</f>
        <v>11062329.792883147</v>
      </c>
      <c r="R4" s="186">
        <f>'GS &gt; 50 OLS Model (LC)'!$B$7*E4</f>
        <v>0</v>
      </c>
      <c r="S4" s="186">
        <f>'GS &gt; 50 OLS Model (LC)'!$B$8*F4</f>
        <v>27983193.999746464</v>
      </c>
      <c r="U4" s="186">
        <f>'GS &gt; 50 OLS Model (LC)'!$B$9*H4</f>
        <v>0</v>
      </c>
      <c r="V4" s="186">
        <f>'GS &gt; 50 OLS Model (LC)'!$B$10*I4</f>
        <v>0</v>
      </c>
      <c r="W4" s="186">
        <f>'GS &gt; 50 OLS Model (LC)'!$B$11*J4</f>
        <v>0</v>
      </c>
      <c r="X4" s="186">
        <f>'GS &gt; 50 OLS Model (LC)'!$B$12*K4</f>
        <v>0</v>
      </c>
      <c r="Y4" s="186">
        <v>0</v>
      </c>
      <c r="Z4" s="186">
        <f>'GS &gt; 50 OLS Model (LC)'!$B$13*M4</f>
        <v>34805943.461156942</v>
      </c>
      <c r="AA4" s="186">
        <f>'GS &gt; 50 OLS Model (LC)'!$B$14*N4</f>
        <v>14249117.501484888</v>
      </c>
      <c r="AB4" s="186">
        <f t="shared" si="2"/>
        <v>79664037.908471689</v>
      </c>
      <c r="AC4" s="24">
        <f t="shared" ca="1" si="3"/>
        <v>8.2382159500605616E-3</v>
      </c>
    </row>
    <row r="5" spans="1:29">
      <c r="A5" s="128">
        <f>'Monthly Data'!A5</f>
        <v>39904</v>
      </c>
      <c r="B5" s="186">
        <f t="shared" si="1"/>
        <v>2009</v>
      </c>
      <c r="C5" s="124">
        <f ca="1">'Monthly Data'!T5</f>
        <v>70823487.399611965</v>
      </c>
      <c r="D5" s="186">
        <f>'Monthly Data'!BH5</f>
        <v>263.29999999999995</v>
      </c>
      <c r="E5" s="186">
        <f>'Monthly Data'!BI5</f>
        <v>10.399999999999999</v>
      </c>
      <c r="F5" s="186">
        <f>'Monthly Data'!BL5</f>
        <v>539388</v>
      </c>
      <c r="G5" s="186">
        <f>'Monthly Data'!BM5</f>
        <v>4</v>
      </c>
      <c r="H5" s="186">
        <f>'Monthly Data'!BQ5</f>
        <v>1</v>
      </c>
      <c r="I5" s="186">
        <f>'Monthly Data'!BS5</f>
        <v>0</v>
      </c>
      <c r="J5" s="186">
        <f>'Monthly Data'!BU5</f>
        <v>0</v>
      </c>
      <c r="K5" s="186">
        <f>'Monthly Data'!BV5</f>
        <v>0</v>
      </c>
      <c r="L5" s="186">
        <f>'Monthly Data'!BW5</f>
        <v>0</v>
      </c>
      <c r="M5" s="186">
        <f>'Monthly Data'!CC5</f>
        <v>30</v>
      </c>
      <c r="N5" s="186">
        <f>'Monthly Data'!CD5</f>
        <v>20</v>
      </c>
      <c r="P5" s="186">
        <f>'GS &gt; 50 OLS Model (LC)'!$B$5</f>
        <v>-8436546.8467997499</v>
      </c>
      <c r="Q5" s="186">
        <f>'GS &gt; 50 OLS Model (LC)'!$B$6*D5</f>
        <v>6376338.5167822512</v>
      </c>
      <c r="R5" s="186">
        <f>'GS &gt; 50 OLS Model (LC)'!$B$7*E5</f>
        <v>742277.97650714952</v>
      </c>
      <c r="S5" s="186">
        <f>'GS &gt; 50 OLS Model (LC)'!$B$8*F5</f>
        <v>27983193.999746464</v>
      </c>
      <c r="U5" s="186">
        <f>'GS &gt; 50 OLS Model (LC)'!$B$9*H5</f>
        <v>-1670517.9110053701</v>
      </c>
      <c r="V5" s="186">
        <f>'GS &gt; 50 OLS Model (LC)'!$B$10*I5</f>
        <v>0</v>
      </c>
      <c r="W5" s="186">
        <f>'GS &gt; 50 OLS Model (LC)'!$B$11*J5</f>
        <v>0</v>
      </c>
      <c r="X5" s="186">
        <f>'GS &gt; 50 OLS Model (LC)'!$B$12*K5</f>
        <v>0</v>
      </c>
      <c r="Y5" s="186">
        <v>0</v>
      </c>
      <c r="Z5" s="186">
        <f>'GS &gt; 50 OLS Model (LC)'!$B$13*M5</f>
        <v>33683171.091442198</v>
      </c>
      <c r="AA5" s="186">
        <f>'GS &gt; 50 OLS Model (LC)'!$B$14*N5</f>
        <v>12953743.18316808</v>
      </c>
      <c r="AB5" s="186">
        <f t="shared" si="2"/>
        <v>71631660.009841025</v>
      </c>
      <c r="AC5" s="24">
        <f t="shared" ca="1" si="3"/>
        <v>1.141108183036872E-2</v>
      </c>
    </row>
    <row r="6" spans="1:29">
      <c r="A6" s="128">
        <f>'Monthly Data'!A6</f>
        <v>39934</v>
      </c>
      <c r="B6" s="186">
        <f t="shared" si="1"/>
        <v>2009</v>
      </c>
      <c r="C6" s="124">
        <f ca="1">'Monthly Data'!T6</f>
        <v>68038651.825646743</v>
      </c>
      <c r="D6" s="186">
        <f>'Monthly Data'!BH6</f>
        <v>83.40000000000002</v>
      </c>
      <c r="E6" s="186">
        <f>'Monthly Data'!BI6</f>
        <v>12.899999999999999</v>
      </c>
      <c r="F6" s="186">
        <f>'Monthly Data'!BL6</f>
        <v>539388</v>
      </c>
      <c r="G6" s="186">
        <f>'Monthly Data'!BM6</f>
        <v>5</v>
      </c>
      <c r="H6" s="186">
        <f>'Monthly Data'!BQ6</f>
        <v>0</v>
      </c>
      <c r="I6" s="186">
        <f>'Monthly Data'!BS6</f>
        <v>0</v>
      </c>
      <c r="J6" s="186">
        <f>'Monthly Data'!BU6</f>
        <v>0</v>
      </c>
      <c r="K6" s="186">
        <f>'Monthly Data'!BV6</f>
        <v>0</v>
      </c>
      <c r="L6" s="186">
        <f>'Monthly Data'!BW6</f>
        <v>0</v>
      </c>
      <c r="M6" s="186">
        <f>'Monthly Data'!CC6</f>
        <v>31</v>
      </c>
      <c r="N6" s="186">
        <f>'Monthly Data'!CD6</f>
        <v>20</v>
      </c>
      <c r="P6" s="186">
        <f>'GS &gt; 50 OLS Model (LC)'!$B$5</f>
        <v>-8436546.8467997499</v>
      </c>
      <c r="Q6" s="186">
        <f>'GS &gt; 50 OLS Model (LC)'!$B$6*D6</f>
        <v>2019698.5655132548</v>
      </c>
      <c r="R6" s="186">
        <f>'GS &gt; 50 OLS Model (LC)'!$B$7*E6</f>
        <v>920710.1823982913</v>
      </c>
      <c r="S6" s="186">
        <f>'GS &gt; 50 OLS Model (LC)'!$B$8*F6</f>
        <v>27983193.999746464</v>
      </c>
      <c r="U6" s="186">
        <f>'GS &gt; 50 OLS Model (LC)'!$B$9*H6</f>
        <v>0</v>
      </c>
      <c r="V6" s="186">
        <f>'GS &gt; 50 OLS Model (LC)'!$B$10*I6</f>
        <v>0</v>
      </c>
      <c r="W6" s="186">
        <f>'GS &gt; 50 OLS Model (LC)'!$B$11*J6</f>
        <v>0</v>
      </c>
      <c r="X6" s="186">
        <f>'GS &gt; 50 OLS Model (LC)'!$B$12*K6</f>
        <v>0</v>
      </c>
      <c r="Y6" s="186">
        <v>0</v>
      </c>
      <c r="Z6" s="186">
        <f>'GS &gt; 50 OLS Model (LC)'!$B$13*M6</f>
        <v>34805943.461156942</v>
      </c>
      <c r="AA6" s="186">
        <f>'GS &gt; 50 OLS Model (LC)'!$B$14*N6</f>
        <v>12953743.18316808</v>
      </c>
      <c r="AB6" s="186">
        <f t="shared" si="2"/>
        <v>70246742.545183286</v>
      </c>
      <c r="AC6" s="24">
        <f t="shared" ca="1" si="3"/>
        <v>3.2453475492061658E-2</v>
      </c>
    </row>
    <row r="7" spans="1:29">
      <c r="A7" s="128">
        <f>'Monthly Data'!A7</f>
        <v>39965</v>
      </c>
      <c r="B7" s="186">
        <f t="shared" si="1"/>
        <v>2009</v>
      </c>
      <c r="C7" s="124">
        <f ca="1">'Monthly Data'!T7</f>
        <v>70398886.351568192</v>
      </c>
      <c r="D7" s="186">
        <f>'Monthly Data'!BH7</f>
        <v>25.299999999999997</v>
      </c>
      <c r="E7" s="186">
        <f>'Monthly Data'!BI7</f>
        <v>79.399999999999991</v>
      </c>
      <c r="F7" s="186">
        <f>'Monthly Data'!BL7</f>
        <v>539388</v>
      </c>
      <c r="G7" s="186">
        <f>'Monthly Data'!BM7</f>
        <v>6</v>
      </c>
      <c r="H7" s="186">
        <f>'Monthly Data'!BQ7</f>
        <v>0</v>
      </c>
      <c r="I7" s="186">
        <f>'Monthly Data'!BS7</f>
        <v>1</v>
      </c>
      <c r="J7" s="186">
        <f>'Monthly Data'!BU7</f>
        <v>0</v>
      </c>
      <c r="K7" s="186">
        <f>'Monthly Data'!BV7</f>
        <v>0</v>
      </c>
      <c r="L7" s="186">
        <f>'Monthly Data'!BW7</f>
        <v>0</v>
      </c>
      <c r="M7" s="186">
        <f>'Monthly Data'!CC7</f>
        <v>30</v>
      </c>
      <c r="N7" s="186">
        <f>'Monthly Data'!CD7</f>
        <v>22</v>
      </c>
      <c r="P7" s="186">
        <f>'GS &gt; 50 OLS Model (LC)'!$B$5</f>
        <v>-8436546.8467997499</v>
      </c>
      <c r="Q7" s="186">
        <f>'GS &gt; 50 OLS Model (LC)'!$B$6*D7</f>
        <v>612690.33222404472</v>
      </c>
      <c r="R7" s="186">
        <f>'GS &gt; 50 OLS Model (LC)'!$B$7*E7</f>
        <v>5667006.8591026617</v>
      </c>
      <c r="S7" s="186">
        <f>'GS &gt; 50 OLS Model (LC)'!$B$8*F7</f>
        <v>27983193.999746464</v>
      </c>
      <c r="U7" s="186">
        <f>'GS &gt; 50 OLS Model (LC)'!$B$9*H7</f>
        <v>0</v>
      </c>
      <c r="V7" s="186">
        <f>'GS &gt; 50 OLS Model (LC)'!$B$10*I7</f>
        <v>1260255.0136768401</v>
      </c>
      <c r="W7" s="186">
        <f>'GS &gt; 50 OLS Model (LC)'!$B$11*J7</f>
        <v>0</v>
      </c>
      <c r="X7" s="186">
        <f>'GS &gt; 50 OLS Model (LC)'!$B$12*K7</f>
        <v>0</v>
      </c>
      <c r="Y7" s="186">
        <v>0</v>
      </c>
      <c r="Z7" s="186">
        <f>'GS &gt; 50 OLS Model (LC)'!$B$13*M7</f>
        <v>33683171.091442198</v>
      </c>
      <c r="AA7" s="186">
        <f>'GS &gt; 50 OLS Model (LC)'!$B$14*N7</f>
        <v>14249117.501484888</v>
      </c>
      <c r="AB7" s="186">
        <f t="shared" si="2"/>
        <v>75018887.950877354</v>
      </c>
      <c r="AC7" s="24">
        <f t="shared" ca="1" si="3"/>
        <v>6.5626060847569737E-2</v>
      </c>
    </row>
    <row r="8" spans="1:29">
      <c r="A8" s="128">
        <f>'Monthly Data'!A8</f>
        <v>39995</v>
      </c>
      <c r="B8" s="186">
        <f t="shared" si="1"/>
        <v>2009</v>
      </c>
      <c r="C8" s="124">
        <f ca="1">'Monthly Data'!T8</f>
        <v>74398674.841547519</v>
      </c>
      <c r="D8" s="186">
        <f>'Monthly Data'!BH8</f>
        <v>0.5</v>
      </c>
      <c r="E8" s="186">
        <f>'Monthly Data'!BI8</f>
        <v>100.19999999999999</v>
      </c>
      <c r="F8" s="186">
        <f>'Monthly Data'!BL8</f>
        <v>539388</v>
      </c>
      <c r="G8" s="186">
        <f>'Monthly Data'!BM8</f>
        <v>7</v>
      </c>
      <c r="H8" s="186">
        <f>'Monthly Data'!BQ8</f>
        <v>0</v>
      </c>
      <c r="I8" s="186">
        <f>'Monthly Data'!BS8</f>
        <v>0</v>
      </c>
      <c r="J8" s="186">
        <f>'Monthly Data'!BU8</f>
        <v>0</v>
      </c>
      <c r="K8" s="186">
        <f>'Monthly Data'!BV8</f>
        <v>0</v>
      </c>
      <c r="L8" s="186">
        <f>'Monthly Data'!BW8</f>
        <v>0</v>
      </c>
      <c r="M8" s="186">
        <f>'Monthly Data'!CC8</f>
        <v>31</v>
      </c>
      <c r="N8" s="186">
        <f>'Monthly Data'!CD8</f>
        <v>22</v>
      </c>
      <c r="P8" s="186">
        <f>'GS &gt; 50 OLS Model (LC)'!$B$5</f>
        <v>-8436546.8467997499</v>
      </c>
      <c r="Q8" s="186">
        <f>'GS &gt; 50 OLS Model (LC)'!$B$6*D8</f>
        <v>12108.504589407999</v>
      </c>
      <c r="R8" s="186">
        <f>'GS &gt; 50 OLS Model (LC)'!$B$7*E8</f>
        <v>7151562.8121169601</v>
      </c>
      <c r="S8" s="186">
        <f>'GS &gt; 50 OLS Model (LC)'!$B$8*F8</f>
        <v>27983193.999746464</v>
      </c>
      <c r="U8" s="186">
        <f>'GS &gt; 50 OLS Model (LC)'!$B$9*H8</f>
        <v>0</v>
      </c>
      <c r="V8" s="186">
        <f>'GS &gt; 50 OLS Model (LC)'!$B$10*I8</f>
        <v>0</v>
      </c>
      <c r="W8" s="186">
        <f>'GS &gt; 50 OLS Model (LC)'!$B$11*J8</f>
        <v>0</v>
      </c>
      <c r="X8" s="186">
        <f>'GS &gt; 50 OLS Model (LC)'!$B$12*K8</f>
        <v>0</v>
      </c>
      <c r="Y8" s="186">
        <v>0</v>
      </c>
      <c r="Z8" s="186">
        <f>'GS &gt; 50 OLS Model (LC)'!$B$13*M8</f>
        <v>34805943.461156942</v>
      </c>
      <c r="AA8" s="186">
        <f>'GS &gt; 50 OLS Model (LC)'!$B$14*N8</f>
        <v>14249117.501484888</v>
      </c>
      <c r="AB8" s="186">
        <f t="shared" si="2"/>
        <v>75765379.43229492</v>
      </c>
      <c r="AC8" s="24">
        <f t="shared" ca="1" si="3"/>
        <v>1.837001255275279E-2</v>
      </c>
    </row>
    <row r="9" spans="1:29">
      <c r="A9" s="128">
        <f>'Monthly Data'!A9</f>
        <v>40026</v>
      </c>
      <c r="B9" s="186">
        <f t="shared" si="1"/>
        <v>2009</v>
      </c>
      <c r="C9" s="124">
        <f ca="1">'Monthly Data'!T9</f>
        <v>79119319.646282628</v>
      </c>
      <c r="D9" s="186">
        <f>'Monthly Data'!BH9</f>
        <v>5.9</v>
      </c>
      <c r="E9" s="186">
        <f>'Monthly Data'!BI9</f>
        <v>133.4</v>
      </c>
      <c r="F9" s="186">
        <f>'Monthly Data'!BL9</f>
        <v>539388</v>
      </c>
      <c r="G9" s="186">
        <f>'Monthly Data'!BM9</f>
        <v>8</v>
      </c>
      <c r="H9" s="186">
        <f>'Monthly Data'!BQ9</f>
        <v>0</v>
      </c>
      <c r="I9" s="186">
        <f>'Monthly Data'!BS9</f>
        <v>0</v>
      </c>
      <c r="J9" s="186">
        <f>'Monthly Data'!BU9</f>
        <v>1</v>
      </c>
      <c r="K9" s="186">
        <f>'Monthly Data'!BV9</f>
        <v>0</v>
      </c>
      <c r="L9" s="186">
        <f>'Monthly Data'!BW9</f>
        <v>0</v>
      </c>
      <c r="M9" s="186">
        <f>'Monthly Data'!CC9</f>
        <v>31</v>
      </c>
      <c r="N9" s="186">
        <f>'Monthly Data'!CD9</f>
        <v>20</v>
      </c>
      <c r="P9" s="186">
        <f>'GS &gt; 50 OLS Model (LC)'!$B$5</f>
        <v>-8436546.8467997499</v>
      </c>
      <c r="Q9" s="186">
        <f>'GS &gt; 50 OLS Model (LC)'!$B$6*D9</f>
        <v>142880.35415501441</v>
      </c>
      <c r="R9" s="186">
        <f>'GS &gt; 50 OLS Model (LC)'!$B$7*E9</f>
        <v>9521142.5063513238</v>
      </c>
      <c r="S9" s="186">
        <f>'GS &gt; 50 OLS Model (LC)'!$B$8*F9</f>
        <v>27983193.999746464</v>
      </c>
      <c r="U9" s="186">
        <f>'GS &gt; 50 OLS Model (LC)'!$B$9*H9</f>
        <v>0</v>
      </c>
      <c r="V9" s="186">
        <f>'GS &gt; 50 OLS Model (LC)'!$B$10*I9</f>
        <v>0</v>
      </c>
      <c r="W9" s="186">
        <f>'GS &gt; 50 OLS Model (LC)'!$B$11*J9</f>
        <v>2501012.7689915099</v>
      </c>
      <c r="X9" s="186">
        <f>'GS &gt; 50 OLS Model (LC)'!$B$12*K9</f>
        <v>0</v>
      </c>
      <c r="Y9" s="186">
        <v>0</v>
      </c>
      <c r="Z9" s="186">
        <f>'GS &gt; 50 OLS Model (LC)'!$B$13*M9</f>
        <v>34805943.461156942</v>
      </c>
      <c r="AA9" s="186">
        <f>'GS &gt; 50 OLS Model (LC)'!$B$14*N9</f>
        <v>12953743.18316808</v>
      </c>
      <c r="AB9" s="186">
        <f t="shared" si="2"/>
        <v>79471369.426769584</v>
      </c>
      <c r="AC9" s="24">
        <f t="shared" ca="1" si="3"/>
        <v>4.4496057607782665E-3</v>
      </c>
    </row>
    <row r="10" spans="1:29">
      <c r="A10" s="128">
        <f>'Monthly Data'!A10</f>
        <v>40057</v>
      </c>
      <c r="B10" s="186">
        <f t="shared" si="1"/>
        <v>2009</v>
      </c>
      <c r="C10" s="124">
        <f ca="1">'Monthly Data'!T10</f>
        <v>74924986.598501608</v>
      </c>
      <c r="D10" s="186">
        <f>'Monthly Data'!BH10</f>
        <v>26.2</v>
      </c>
      <c r="E10" s="186">
        <f>'Monthly Data'!BI10</f>
        <v>54.699999999999989</v>
      </c>
      <c r="F10" s="186">
        <f>'Monthly Data'!BL10</f>
        <v>539388</v>
      </c>
      <c r="G10" s="186">
        <f>'Monthly Data'!BM10</f>
        <v>9</v>
      </c>
      <c r="H10" s="186">
        <f>'Monthly Data'!BQ10</f>
        <v>0</v>
      </c>
      <c r="I10" s="186">
        <f>'Monthly Data'!BS10</f>
        <v>0</v>
      </c>
      <c r="J10" s="186">
        <f>'Monthly Data'!BU10</f>
        <v>0</v>
      </c>
      <c r="K10" s="186">
        <f>'Monthly Data'!BV10</f>
        <v>1</v>
      </c>
      <c r="L10" s="186">
        <f>'Monthly Data'!BW10</f>
        <v>0</v>
      </c>
      <c r="M10" s="186">
        <f>'Monthly Data'!CC10</f>
        <v>30</v>
      </c>
      <c r="N10" s="186">
        <f>'Monthly Data'!CD10</f>
        <v>21</v>
      </c>
      <c r="P10" s="186">
        <f>'GS &gt; 50 OLS Model (LC)'!$B$5</f>
        <v>-8436546.8467997499</v>
      </c>
      <c r="Q10" s="186">
        <f>'GS &gt; 50 OLS Model (LC)'!$B$6*D10</f>
        <v>634485.64048497914</v>
      </c>
      <c r="R10" s="186">
        <f>'GS &gt; 50 OLS Model (LC)'!$B$7*E10</f>
        <v>3904096.6648981804</v>
      </c>
      <c r="S10" s="186">
        <f>'GS &gt; 50 OLS Model (LC)'!$B$8*F10</f>
        <v>27983193.999746464</v>
      </c>
      <c r="U10" s="186">
        <f>'GS &gt; 50 OLS Model (LC)'!$B$9*H10</f>
        <v>0</v>
      </c>
      <c r="V10" s="186">
        <f>'GS &gt; 50 OLS Model (LC)'!$B$10*I10</f>
        <v>0</v>
      </c>
      <c r="W10" s="186">
        <f>'GS &gt; 50 OLS Model (LC)'!$B$11*J10</f>
        <v>0</v>
      </c>
      <c r="X10" s="186">
        <f>'GS &gt; 50 OLS Model (LC)'!$B$12*K10</f>
        <v>2346294.5864150901</v>
      </c>
      <c r="Y10" s="186">
        <v>0</v>
      </c>
      <c r="Z10" s="186">
        <f>'GS &gt; 50 OLS Model (LC)'!$B$13*M10</f>
        <v>33683171.091442198</v>
      </c>
      <c r="AA10" s="186">
        <f>'GS &gt; 50 OLS Model (LC)'!$B$14*N10</f>
        <v>13601430.342326485</v>
      </c>
      <c r="AB10" s="186">
        <f t="shared" si="2"/>
        <v>73716125.478513658</v>
      </c>
      <c r="AC10" s="24">
        <f t="shared" ca="1" si="3"/>
        <v>1.6134285434922256E-2</v>
      </c>
    </row>
    <row r="11" spans="1:29">
      <c r="A11" s="128">
        <f>'Monthly Data'!A11</f>
        <v>40087</v>
      </c>
      <c r="B11" s="186">
        <f t="shared" si="1"/>
        <v>2009</v>
      </c>
      <c r="C11" s="124">
        <f ca="1">'Monthly Data'!T11</f>
        <v>74286504.53798908</v>
      </c>
      <c r="D11" s="186">
        <f>'Monthly Data'!BH11</f>
        <v>230.79999999999995</v>
      </c>
      <c r="E11" s="186">
        <f>'Monthly Data'!BI11</f>
        <v>0</v>
      </c>
      <c r="F11" s="186">
        <f>'Monthly Data'!BL11</f>
        <v>539388</v>
      </c>
      <c r="G11" s="186">
        <f>'Monthly Data'!BM11</f>
        <v>10</v>
      </c>
      <c r="H11" s="186">
        <f>'Monthly Data'!BQ11</f>
        <v>0</v>
      </c>
      <c r="I11" s="186">
        <f>'Monthly Data'!BS11</f>
        <v>0</v>
      </c>
      <c r="J11" s="186">
        <f>'Monthly Data'!BU11</f>
        <v>0</v>
      </c>
      <c r="K11" s="186">
        <f>'Monthly Data'!BV11</f>
        <v>0</v>
      </c>
      <c r="L11" s="186">
        <f>'Monthly Data'!BW11</f>
        <v>1</v>
      </c>
      <c r="M11" s="186">
        <f>'Monthly Data'!CC11</f>
        <v>31</v>
      </c>
      <c r="N11" s="186">
        <f>'Monthly Data'!CD11</f>
        <v>21</v>
      </c>
      <c r="P11" s="186">
        <f>'GS &gt; 50 OLS Model (LC)'!$B$5</f>
        <v>-8436546.8467997499</v>
      </c>
      <c r="Q11" s="186">
        <f>'GS &gt; 50 OLS Model (LC)'!$B$6*D11</f>
        <v>5589285.7184707318</v>
      </c>
      <c r="R11" s="186">
        <f>'GS &gt; 50 OLS Model (LC)'!$B$7*E11</f>
        <v>0</v>
      </c>
      <c r="S11" s="186">
        <f>'GS &gt; 50 OLS Model (LC)'!$B$8*F11</f>
        <v>27983193.999746464</v>
      </c>
      <c r="U11" s="186">
        <f>'GS &gt; 50 OLS Model (LC)'!$B$9*H11</f>
        <v>0</v>
      </c>
      <c r="V11" s="186">
        <f>'GS &gt; 50 OLS Model (LC)'!$B$10*I11</f>
        <v>0</v>
      </c>
      <c r="W11" s="186">
        <f>'GS &gt; 50 OLS Model (LC)'!$B$11*J11</f>
        <v>0</v>
      </c>
      <c r="X11" s="186">
        <f>'GS &gt; 50 OLS Model (LC)'!$B$12*K11</f>
        <v>0</v>
      </c>
      <c r="Y11" s="186">
        <v>0</v>
      </c>
      <c r="Z11" s="186">
        <f>'GS &gt; 50 OLS Model (LC)'!$B$13*M11</f>
        <v>34805943.461156942</v>
      </c>
      <c r="AA11" s="186">
        <f>'GS &gt; 50 OLS Model (LC)'!$B$14*N11</f>
        <v>13601430.342326485</v>
      </c>
      <c r="AB11" s="186">
        <f t="shared" si="2"/>
        <v>73543306.674900874</v>
      </c>
      <c r="AC11" s="24">
        <f t="shared" ca="1" si="3"/>
        <v>1.000448019072084E-2</v>
      </c>
    </row>
    <row r="12" spans="1:29">
      <c r="A12" s="128">
        <f>'Monthly Data'!A12</f>
        <v>40118</v>
      </c>
      <c r="B12" s="186">
        <f t="shared" si="1"/>
        <v>2009</v>
      </c>
      <c r="C12" s="124">
        <f ca="1">'Monthly Data'!T12</f>
        <v>73914526.594761461</v>
      </c>
      <c r="D12" s="186">
        <f>'Monthly Data'!BH12</f>
        <v>305.49999999999989</v>
      </c>
      <c r="E12" s="186">
        <f>'Monthly Data'!BI12</f>
        <v>0</v>
      </c>
      <c r="F12" s="186">
        <f>'Monthly Data'!BL12</f>
        <v>539388</v>
      </c>
      <c r="G12" s="186">
        <f>'Monthly Data'!BM12</f>
        <v>11</v>
      </c>
      <c r="H12" s="186">
        <f>'Monthly Data'!BQ12</f>
        <v>0</v>
      </c>
      <c r="I12" s="186">
        <f>'Monthly Data'!BS12</f>
        <v>0</v>
      </c>
      <c r="J12" s="186">
        <f>'Monthly Data'!BU12</f>
        <v>0</v>
      </c>
      <c r="K12" s="186">
        <f>'Monthly Data'!BV12</f>
        <v>0</v>
      </c>
      <c r="L12" s="186">
        <f>'Monthly Data'!BW12</f>
        <v>0</v>
      </c>
      <c r="M12" s="186">
        <f>'Monthly Data'!CC12</f>
        <v>30</v>
      </c>
      <c r="N12" s="186">
        <f>'Monthly Data'!CD12</f>
        <v>21</v>
      </c>
      <c r="P12" s="186">
        <f>'GS &gt; 50 OLS Model (LC)'!$B$5</f>
        <v>-8436546.8467997499</v>
      </c>
      <c r="Q12" s="186">
        <f>'GS &gt; 50 OLS Model (LC)'!$B$6*D12</f>
        <v>7398296.3041282846</v>
      </c>
      <c r="R12" s="186">
        <f>'GS &gt; 50 OLS Model (LC)'!$B$7*E12</f>
        <v>0</v>
      </c>
      <c r="S12" s="186">
        <f>'GS &gt; 50 OLS Model (LC)'!$B$8*F12</f>
        <v>27983193.999746464</v>
      </c>
      <c r="U12" s="186">
        <f>'GS &gt; 50 OLS Model (LC)'!$B$9*H12</f>
        <v>0</v>
      </c>
      <c r="V12" s="186">
        <f>'GS &gt; 50 OLS Model (LC)'!$B$10*I12</f>
        <v>0</v>
      </c>
      <c r="W12" s="186">
        <f>'GS &gt; 50 OLS Model (LC)'!$B$11*J12</f>
        <v>0</v>
      </c>
      <c r="X12" s="186">
        <f>'GS &gt; 50 OLS Model (LC)'!$B$12*K12</f>
        <v>0</v>
      </c>
      <c r="Y12" s="186">
        <v>0</v>
      </c>
      <c r="Z12" s="186">
        <f>'GS &gt; 50 OLS Model (LC)'!$B$13*M12</f>
        <v>33683171.091442198</v>
      </c>
      <c r="AA12" s="186">
        <f>'GS &gt; 50 OLS Model (LC)'!$B$14*N12</f>
        <v>13601430.342326485</v>
      </c>
      <c r="AB12" s="186">
        <f t="shared" si="2"/>
        <v>74229544.890843689</v>
      </c>
      <c r="AC12" s="24">
        <f t="shared" ca="1" si="3"/>
        <v>4.2619267225957541E-3</v>
      </c>
    </row>
    <row r="13" spans="1:29">
      <c r="A13" s="128">
        <f>'Monthly Data'!A13</f>
        <v>40148</v>
      </c>
      <c r="B13" s="186">
        <f t="shared" si="1"/>
        <v>2009</v>
      </c>
      <c r="C13" s="124">
        <f ca="1">'Monthly Data'!T13</f>
        <v>80547003.604175091</v>
      </c>
      <c r="D13" s="186">
        <f>'Monthly Data'!BH13</f>
        <v>582</v>
      </c>
      <c r="E13" s="186">
        <f>'Monthly Data'!BI13</f>
        <v>0</v>
      </c>
      <c r="F13" s="186">
        <f>'Monthly Data'!BL13</f>
        <v>539388</v>
      </c>
      <c r="G13" s="186">
        <f>'Monthly Data'!BM13</f>
        <v>12</v>
      </c>
      <c r="H13" s="186">
        <f>'Monthly Data'!BQ13</f>
        <v>0</v>
      </c>
      <c r="I13" s="186">
        <f>'Monthly Data'!BS13</f>
        <v>0</v>
      </c>
      <c r="J13" s="186">
        <f>'Monthly Data'!BU13</f>
        <v>0</v>
      </c>
      <c r="K13" s="186">
        <f>'Monthly Data'!BV13</f>
        <v>0</v>
      </c>
      <c r="L13" s="186">
        <f>'Monthly Data'!BW13</f>
        <v>0</v>
      </c>
      <c r="M13" s="186">
        <f>'Monthly Data'!CC13</f>
        <v>31</v>
      </c>
      <c r="N13" s="186">
        <f>'Monthly Data'!CD13</f>
        <v>21</v>
      </c>
      <c r="P13" s="186">
        <f>'GS &gt; 50 OLS Model (LC)'!$B$5</f>
        <v>-8436546.8467997499</v>
      </c>
      <c r="Q13" s="186">
        <f>'GS &gt; 50 OLS Model (LC)'!$B$6*D13</f>
        <v>14094299.342070911</v>
      </c>
      <c r="R13" s="186">
        <f>'GS &gt; 50 OLS Model (LC)'!$B$7*E13</f>
        <v>0</v>
      </c>
      <c r="S13" s="186">
        <f>'GS &gt; 50 OLS Model (LC)'!$B$8*F13</f>
        <v>27983193.999746464</v>
      </c>
      <c r="U13" s="186">
        <f>'GS &gt; 50 OLS Model (LC)'!$B$9*H13</f>
        <v>0</v>
      </c>
      <c r="V13" s="186">
        <f>'GS &gt; 50 OLS Model (LC)'!$B$10*I13</f>
        <v>0</v>
      </c>
      <c r="W13" s="186">
        <f>'GS &gt; 50 OLS Model (LC)'!$B$11*J13</f>
        <v>0</v>
      </c>
      <c r="X13" s="186">
        <f>'GS &gt; 50 OLS Model (LC)'!$B$12*K13</f>
        <v>0</v>
      </c>
      <c r="Y13" s="186">
        <v>0</v>
      </c>
      <c r="Z13" s="186">
        <f>'GS &gt; 50 OLS Model (LC)'!$B$13*M13</f>
        <v>34805943.461156942</v>
      </c>
      <c r="AA13" s="186">
        <f>'GS &gt; 50 OLS Model (LC)'!$B$14*N13</f>
        <v>13601430.342326485</v>
      </c>
      <c r="AB13" s="186">
        <f t="shared" si="2"/>
        <v>82048320.298501045</v>
      </c>
      <c r="AC13" s="24">
        <f t="shared" ca="1" si="3"/>
        <v>1.8639013583965702E-2</v>
      </c>
    </row>
    <row r="14" spans="1:29">
      <c r="A14" s="128">
        <f>'Monthly Data'!A14</f>
        <v>40179</v>
      </c>
      <c r="B14" s="186">
        <f t="shared" si="1"/>
        <v>2010</v>
      </c>
      <c r="C14" s="124">
        <f ca="1">'Monthly Data'!T14</f>
        <v>85230308.495070994</v>
      </c>
      <c r="D14" s="186">
        <f>'Monthly Data'!BH14</f>
        <v>663.29999999999984</v>
      </c>
      <c r="E14" s="186">
        <f>'Monthly Data'!BI14</f>
        <v>0</v>
      </c>
      <c r="F14" s="186">
        <f>'Monthly Data'!BL14</f>
        <v>555907.5</v>
      </c>
      <c r="G14" s="186">
        <f>'Monthly Data'!BM14</f>
        <v>13</v>
      </c>
      <c r="H14" s="186">
        <f>'Monthly Data'!BQ14</f>
        <v>0</v>
      </c>
      <c r="I14" s="186">
        <f>'Monthly Data'!BS14</f>
        <v>0</v>
      </c>
      <c r="J14" s="186">
        <f>'Monthly Data'!BU14</f>
        <v>0</v>
      </c>
      <c r="K14" s="186">
        <f>'Monthly Data'!BV14</f>
        <v>0</v>
      </c>
      <c r="L14" s="186">
        <f>'Monthly Data'!BW14</f>
        <v>0</v>
      </c>
      <c r="M14" s="186">
        <f>'Monthly Data'!CC14</f>
        <v>31</v>
      </c>
      <c r="N14" s="186">
        <f>'Monthly Data'!CD14</f>
        <v>20</v>
      </c>
      <c r="P14" s="186">
        <f>'GS &gt; 50 OLS Model (LC)'!$B$5</f>
        <v>-8436546.8467997499</v>
      </c>
      <c r="Q14" s="186">
        <f>'GS &gt; 50 OLS Model (LC)'!$B$6*D14</f>
        <v>16063142.188308649</v>
      </c>
      <c r="R14" s="186">
        <f>'GS &gt; 50 OLS Model (LC)'!$B$7*E14</f>
        <v>0</v>
      </c>
      <c r="S14" s="186">
        <f>'GS &gt; 50 OLS Model (LC)'!$B$8*F14</f>
        <v>28840217.836537071</v>
      </c>
      <c r="U14" s="186">
        <f>'GS &gt; 50 OLS Model (LC)'!$B$9*H14</f>
        <v>0</v>
      </c>
      <c r="V14" s="186">
        <f>'GS &gt; 50 OLS Model (LC)'!$B$10*I14</f>
        <v>0</v>
      </c>
      <c r="W14" s="186">
        <f>'GS &gt; 50 OLS Model (LC)'!$B$11*J14</f>
        <v>0</v>
      </c>
      <c r="X14" s="186">
        <f>'GS &gt; 50 OLS Model (LC)'!$B$12*K14</f>
        <v>0</v>
      </c>
      <c r="Y14" s="186">
        <v>0</v>
      </c>
      <c r="Z14" s="186">
        <f>'GS &gt; 50 OLS Model (LC)'!$B$13*M14</f>
        <v>34805943.461156942</v>
      </c>
      <c r="AA14" s="186">
        <f>'GS &gt; 50 OLS Model (LC)'!$B$14*N14</f>
        <v>12953743.18316808</v>
      </c>
      <c r="AB14" s="186">
        <f t="shared" si="2"/>
        <v>84226499.822371006</v>
      </c>
      <c r="AC14" s="24">
        <f t="shared" ca="1" si="3"/>
        <v>1.1777602245309715E-2</v>
      </c>
    </row>
    <row r="15" spans="1:29">
      <c r="A15" s="128">
        <f>'Monthly Data'!A15</f>
        <v>40210</v>
      </c>
      <c r="B15" s="186">
        <f t="shared" si="1"/>
        <v>2010</v>
      </c>
      <c r="C15" s="124">
        <f ca="1">'Monthly Data'!T15</f>
        <v>77285135.745971113</v>
      </c>
      <c r="D15" s="186">
        <f>'Monthly Data'!BH15</f>
        <v>557.29999999999995</v>
      </c>
      <c r="E15" s="186">
        <f>'Monthly Data'!BI15</f>
        <v>0</v>
      </c>
      <c r="F15" s="186">
        <f>'Monthly Data'!BL15</f>
        <v>555907.5</v>
      </c>
      <c r="G15" s="186">
        <f>'Monthly Data'!BM15</f>
        <v>14</v>
      </c>
      <c r="H15" s="186">
        <f>'Monthly Data'!BQ15</f>
        <v>0</v>
      </c>
      <c r="I15" s="186">
        <f>'Monthly Data'!BS15</f>
        <v>0</v>
      </c>
      <c r="J15" s="186">
        <f>'Monthly Data'!BU15</f>
        <v>0</v>
      </c>
      <c r="K15" s="186">
        <f>'Monthly Data'!BV15</f>
        <v>0</v>
      </c>
      <c r="L15" s="186">
        <f>'Monthly Data'!BW15</f>
        <v>0</v>
      </c>
      <c r="M15" s="186">
        <f>'Monthly Data'!CC15</f>
        <v>28</v>
      </c>
      <c r="N15" s="186">
        <f>'Monthly Data'!CD15</f>
        <v>19</v>
      </c>
      <c r="P15" s="186">
        <f>'GS &gt; 50 OLS Model (LC)'!$B$5</f>
        <v>-8436546.8467997499</v>
      </c>
      <c r="Q15" s="186">
        <f>'GS &gt; 50 OLS Model (LC)'!$B$6*D15</f>
        <v>13496139.215354156</v>
      </c>
      <c r="R15" s="186">
        <f>'GS &gt; 50 OLS Model (LC)'!$B$7*E15</f>
        <v>0</v>
      </c>
      <c r="S15" s="186">
        <f>'GS &gt; 50 OLS Model (LC)'!$B$8*F15</f>
        <v>28840217.836537071</v>
      </c>
      <c r="U15" s="186">
        <f>'GS &gt; 50 OLS Model (LC)'!$B$9*H15</f>
        <v>0</v>
      </c>
      <c r="V15" s="186">
        <f>'GS &gt; 50 OLS Model (LC)'!$B$10*I15</f>
        <v>0</v>
      </c>
      <c r="W15" s="186">
        <f>'GS &gt; 50 OLS Model (LC)'!$B$11*J15</f>
        <v>0</v>
      </c>
      <c r="X15" s="186">
        <f>'GS &gt; 50 OLS Model (LC)'!$B$12*K15</f>
        <v>0</v>
      </c>
      <c r="Y15" s="186">
        <v>0</v>
      </c>
      <c r="Z15" s="186">
        <f>'GS &gt; 50 OLS Model (LC)'!$B$13*M15</f>
        <v>31437626.35201272</v>
      </c>
      <c r="AA15" s="186">
        <f>'GS &gt; 50 OLS Model (LC)'!$B$14*N15</f>
        <v>12306056.024009675</v>
      </c>
      <c r="AB15" s="186">
        <f t="shared" si="2"/>
        <v>77643492.581113875</v>
      </c>
      <c r="AC15" s="24">
        <f t="shared" ca="1" si="3"/>
        <v>4.6368144622356139E-3</v>
      </c>
    </row>
    <row r="16" spans="1:29">
      <c r="A16" s="128">
        <f>'Monthly Data'!A16</f>
        <v>40238</v>
      </c>
      <c r="B16" s="186">
        <f t="shared" si="1"/>
        <v>2010</v>
      </c>
      <c r="C16" s="124">
        <f ca="1">'Monthly Data'!T16</f>
        <v>79275413.945330843</v>
      </c>
      <c r="D16" s="186">
        <f>'Monthly Data'!BH16</f>
        <v>393.39999999999986</v>
      </c>
      <c r="E16" s="186">
        <f>'Monthly Data'!BI16</f>
        <v>0</v>
      </c>
      <c r="F16" s="186">
        <f>'Monthly Data'!BL16</f>
        <v>555907.5</v>
      </c>
      <c r="G16" s="186">
        <f>'Monthly Data'!BM16</f>
        <v>15</v>
      </c>
      <c r="H16" s="186">
        <f>'Monthly Data'!BQ16</f>
        <v>0</v>
      </c>
      <c r="I16" s="186">
        <f>'Monthly Data'!BS16</f>
        <v>0</v>
      </c>
      <c r="J16" s="186">
        <f>'Monthly Data'!BU16</f>
        <v>0</v>
      </c>
      <c r="K16" s="186">
        <f>'Monthly Data'!BV16</f>
        <v>0</v>
      </c>
      <c r="L16" s="186">
        <f>'Monthly Data'!BW16</f>
        <v>0</v>
      </c>
      <c r="M16" s="186">
        <f>'Monthly Data'!CC16</f>
        <v>31</v>
      </c>
      <c r="N16" s="186">
        <f>'Monthly Data'!CD16</f>
        <v>23</v>
      </c>
      <c r="P16" s="186">
        <f>'GS &gt; 50 OLS Model (LC)'!$B$5</f>
        <v>-8436546.8467997499</v>
      </c>
      <c r="Q16" s="186">
        <f>'GS &gt; 50 OLS Model (LC)'!$B$6*D16</f>
        <v>9526971.4109462108</v>
      </c>
      <c r="R16" s="186">
        <f>'GS &gt; 50 OLS Model (LC)'!$B$7*E16</f>
        <v>0</v>
      </c>
      <c r="S16" s="186">
        <f>'GS &gt; 50 OLS Model (LC)'!$B$8*F16</f>
        <v>28840217.836537071</v>
      </c>
      <c r="U16" s="186">
        <f>'GS &gt; 50 OLS Model (LC)'!$B$9*H16</f>
        <v>0</v>
      </c>
      <c r="V16" s="186">
        <f>'GS &gt; 50 OLS Model (LC)'!$B$10*I16</f>
        <v>0</v>
      </c>
      <c r="W16" s="186">
        <f>'GS &gt; 50 OLS Model (LC)'!$B$11*J16</f>
        <v>0</v>
      </c>
      <c r="X16" s="186">
        <f>'GS &gt; 50 OLS Model (LC)'!$B$12*K16</f>
        <v>0</v>
      </c>
      <c r="Y16" s="186">
        <v>0</v>
      </c>
      <c r="Z16" s="186">
        <f>'GS &gt; 50 OLS Model (LC)'!$B$13*M16</f>
        <v>34805943.461156942</v>
      </c>
      <c r="AA16" s="186">
        <f>'GS &gt; 50 OLS Model (LC)'!$B$14*N16</f>
        <v>14896804.660643291</v>
      </c>
      <c r="AB16" s="186">
        <f t="shared" si="2"/>
        <v>79633390.522483766</v>
      </c>
      <c r="AC16" s="24">
        <f t="shared" ca="1" si="3"/>
        <v>4.5156065334428543E-3</v>
      </c>
    </row>
    <row r="17" spans="1:29">
      <c r="A17" s="128">
        <f>'Monthly Data'!A17</f>
        <v>40269</v>
      </c>
      <c r="B17" s="186">
        <f t="shared" si="1"/>
        <v>2010</v>
      </c>
      <c r="C17" s="124">
        <f ca="1">'Monthly Data'!T17</f>
        <v>70858250.304670826</v>
      </c>
      <c r="D17" s="186">
        <f>'Monthly Data'!BH17</f>
        <v>174.9</v>
      </c>
      <c r="E17" s="186">
        <f>'Monthly Data'!BI17</f>
        <v>5</v>
      </c>
      <c r="F17" s="186">
        <f>'Monthly Data'!BL17</f>
        <v>555907.5</v>
      </c>
      <c r="G17" s="186">
        <f>'Monthly Data'!BM17</f>
        <v>16</v>
      </c>
      <c r="H17" s="186">
        <f>'Monthly Data'!BQ17</f>
        <v>1</v>
      </c>
      <c r="I17" s="186">
        <f>'Monthly Data'!BS17</f>
        <v>0</v>
      </c>
      <c r="J17" s="186">
        <f>'Monthly Data'!BU17</f>
        <v>0</v>
      </c>
      <c r="K17" s="186">
        <f>'Monthly Data'!BV17</f>
        <v>0</v>
      </c>
      <c r="L17" s="186">
        <f>'Monthly Data'!BW17</f>
        <v>0</v>
      </c>
      <c r="M17" s="186">
        <f>'Monthly Data'!CC17</f>
        <v>30</v>
      </c>
      <c r="N17" s="186">
        <f>'Monthly Data'!CD17</f>
        <v>20</v>
      </c>
      <c r="P17" s="186">
        <f>'GS &gt; 50 OLS Model (LC)'!$B$5</f>
        <v>-8436546.8467997499</v>
      </c>
      <c r="Q17" s="186">
        <f>'GS &gt; 50 OLS Model (LC)'!$B$6*D17</f>
        <v>4235554.9053749181</v>
      </c>
      <c r="R17" s="186">
        <f>'GS &gt; 50 OLS Model (LC)'!$B$7*E17</f>
        <v>356864.41178228351</v>
      </c>
      <c r="S17" s="186">
        <f>'GS &gt; 50 OLS Model (LC)'!$B$8*F17</f>
        <v>28840217.836537071</v>
      </c>
      <c r="U17" s="186">
        <f>'GS &gt; 50 OLS Model (LC)'!$B$9*H17</f>
        <v>-1670517.9110053701</v>
      </c>
      <c r="V17" s="186">
        <f>'GS &gt; 50 OLS Model (LC)'!$B$10*I17</f>
        <v>0</v>
      </c>
      <c r="W17" s="186">
        <f>'GS &gt; 50 OLS Model (LC)'!$B$11*J17</f>
        <v>0</v>
      </c>
      <c r="X17" s="186">
        <f>'GS &gt; 50 OLS Model (LC)'!$B$12*K17</f>
        <v>0</v>
      </c>
      <c r="Y17" s="186">
        <v>0</v>
      </c>
      <c r="Z17" s="186">
        <f>'GS &gt; 50 OLS Model (LC)'!$B$13*M17</f>
        <v>33683171.091442198</v>
      </c>
      <c r="AA17" s="186">
        <f>'GS &gt; 50 OLS Model (LC)'!$B$14*N17</f>
        <v>12953743.18316808</v>
      </c>
      <c r="AB17" s="186">
        <f t="shared" si="2"/>
        <v>69962486.670499429</v>
      </c>
      <c r="AC17" s="24">
        <f t="shared" ca="1" si="3"/>
        <v>1.2641627902465292E-2</v>
      </c>
    </row>
    <row r="18" spans="1:29">
      <c r="A18" s="128">
        <f>'Monthly Data'!A18</f>
        <v>40299</v>
      </c>
      <c r="B18" s="186">
        <f t="shared" si="1"/>
        <v>2010</v>
      </c>
      <c r="C18" s="124">
        <f ca="1">'Monthly Data'!T18</f>
        <v>75323997.158593893</v>
      </c>
      <c r="D18" s="186">
        <f>'Monthly Data'!BH18</f>
        <v>84.300000000000011</v>
      </c>
      <c r="E18" s="186">
        <f>'Monthly Data'!BI18</f>
        <v>59.699999999999989</v>
      </c>
      <c r="F18" s="186">
        <f>'Monthly Data'!BL18</f>
        <v>555907.5</v>
      </c>
      <c r="G18" s="186">
        <f>'Monthly Data'!BM18</f>
        <v>17</v>
      </c>
      <c r="H18" s="186">
        <f>'Monthly Data'!BQ18</f>
        <v>0</v>
      </c>
      <c r="I18" s="186">
        <f>'Monthly Data'!BS18</f>
        <v>0</v>
      </c>
      <c r="J18" s="186">
        <f>'Monthly Data'!BU18</f>
        <v>0</v>
      </c>
      <c r="K18" s="186">
        <f>'Monthly Data'!BV18</f>
        <v>0</v>
      </c>
      <c r="L18" s="186">
        <f>'Monthly Data'!BW18</f>
        <v>0</v>
      </c>
      <c r="M18" s="186">
        <f>'Monthly Data'!CC18</f>
        <v>31</v>
      </c>
      <c r="N18" s="186">
        <f>'Monthly Data'!CD18</f>
        <v>20</v>
      </c>
      <c r="P18" s="186">
        <f>'GS &gt; 50 OLS Model (LC)'!$B$5</f>
        <v>-8436546.8467997499</v>
      </c>
      <c r="Q18" s="186">
        <f>'GS &gt; 50 OLS Model (LC)'!$B$6*D18</f>
        <v>2041493.873774189</v>
      </c>
      <c r="R18" s="186">
        <f>'GS &gt; 50 OLS Model (LC)'!$B$7*E18</f>
        <v>4260961.0766804637</v>
      </c>
      <c r="S18" s="186">
        <f>'GS &gt; 50 OLS Model (LC)'!$B$8*F18</f>
        <v>28840217.836537071</v>
      </c>
      <c r="U18" s="186">
        <f>'GS &gt; 50 OLS Model (LC)'!$B$9*H18</f>
        <v>0</v>
      </c>
      <c r="V18" s="186">
        <f>'GS &gt; 50 OLS Model (LC)'!$B$10*I18</f>
        <v>0</v>
      </c>
      <c r="W18" s="186">
        <f>'GS &gt; 50 OLS Model (LC)'!$B$11*J18</f>
        <v>0</v>
      </c>
      <c r="X18" s="186">
        <f>'GS &gt; 50 OLS Model (LC)'!$B$12*K18</f>
        <v>0</v>
      </c>
      <c r="Y18" s="186">
        <v>0</v>
      </c>
      <c r="Z18" s="186">
        <f>'GS &gt; 50 OLS Model (LC)'!$B$13*M18</f>
        <v>34805943.461156942</v>
      </c>
      <c r="AA18" s="186">
        <f>'GS &gt; 50 OLS Model (LC)'!$B$14*N18</f>
        <v>12953743.18316808</v>
      </c>
      <c r="AB18" s="186">
        <f t="shared" si="2"/>
        <v>74465812.584517002</v>
      </c>
      <c r="AC18" s="24">
        <f t="shared" ca="1" si="3"/>
        <v>1.1393242611249006E-2</v>
      </c>
    </row>
    <row r="19" spans="1:29">
      <c r="A19" s="128">
        <f>'Monthly Data'!A19</f>
        <v>40330</v>
      </c>
      <c r="B19" s="186">
        <f t="shared" si="1"/>
        <v>2010</v>
      </c>
      <c r="C19" s="124">
        <f ca="1">'Monthly Data'!T19</f>
        <v>80844184.049799278</v>
      </c>
      <c r="D19" s="186">
        <f>'Monthly Data'!BH19</f>
        <v>3.9000000000000004</v>
      </c>
      <c r="E19" s="186">
        <f>'Monthly Data'!BI19</f>
        <v>135.89999999999998</v>
      </c>
      <c r="F19" s="186">
        <f>'Monthly Data'!BL19</f>
        <v>555907.5</v>
      </c>
      <c r="G19" s="186">
        <f>'Monthly Data'!BM19</f>
        <v>18</v>
      </c>
      <c r="H19" s="186">
        <f>'Monthly Data'!BQ19</f>
        <v>0</v>
      </c>
      <c r="I19" s="186">
        <f>'Monthly Data'!BS19</f>
        <v>1</v>
      </c>
      <c r="J19" s="186">
        <f>'Monthly Data'!BU19</f>
        <v>0</v>
      </c>
      <c r="K19" s="186">
        <f>'Monthly Data'!BV19</f>
        <v>0</v>
      </c>
      <c r="L19" s="186">
        <f>'Monthly Data'!BW19</f>
        <v>0</v>
      </c>
      <c r="M19" s="186">
        <f>'Monthly Data'!CC19</f>
        <v>30</v>
      </c>
      <c r="N19" s="186">
        <f>'Monthly Data'!CD19</f>
        <v>22</v>
      </c>
      <c r="P19" s="186">
        <f>'GS &gt; 50 OLS Model (LC)'!$B$5</f>
        <v>-8436546.8467997499</v>
      </c>
      <c r="Q19" s="186">
        <f>'GS &gt; 50 OLS Model (LC)'!$B$6*D19</f>
        <v>94446.335797382402</v>
      </c>
      <c r="R19" s="186">
        <f>'GS &gt; 50 OLS Model (LC)'!$B$7*E19</f>
        <v>9699574.7122424636</v>
      </c>
      <c r="S19" s="186">
        <f>'GS &gt; 50 OLS Model (LC)'!$B$8*F19</f>
        <v>28840217.836537071</v>
      </c>
      <c r="U19" s="186">
        <f>'GS &gt; 50 OLS Model (LC)'!$B$9*H19</f>
        <v>0</v>
      </c>
      <c r="V19" s="186">
        <f>'GS &gt; 50 OLS Model (LC)'!$B$10*I19</f>
        <v>1260255.0136768401</v>
      </c>
      <c r="W19" s="186">
        <f>'GS &gt; 50 OLS Model (LC)'!$B$11*J19</f>
        <v>0</v>
      </c>
      <c r="X19" s="186">
        <f>'GS &gt; 50 OLS Model (LC)'!$B$12*K19</f>
        <v>0</v>
      </c>
      <c r="Y19" s="186">
        <v>0</v>
      </c>
      <c r="Z19" s="186">
        <f>'GS &gt; 50 OLS Model (LC)'!$B$13*M19</f>
        <v>33683171.091442198</v>
      </c>
      <c r="AA19" s="186">
        <f>'GS &gt; 50 OLS Model (LC)'!$B$14*N19</f>
        <v>14249117.501484888</v>
      </c>
      <c r="AB19" s="186">
        <f t="shared" si="2"/>
        <v>79390235.644381091</v>
      </c>
      <c r="AC19" s="24">
        <f t="shared" ca="1" si="3"/>
        <v>1.7984576410871665E-2</v>
      </c>
    </row>
    <row r="20" spans="1:29">
      <c r="A20" s="128">
        <f>'Monthly Data'!A20</f>
        <v>40360</v>
      </c>
      <c r="B20" s="186">
        <f t="shared" si="1"/>
        <v>2010</v>
      </c>
      <c r="C20" s="124">
        <f ca="1">'Monthly Data'!T20</f>
        <v>85724188.764418766</v>
      </c>
      <c r="D20" s="186">
        <f>'Monthly Data'!BH20</f>
        <v>0</v>
      </c>
      <c r="E20" s="186">
        <f>'Monthly Data'!BI20</f>
        <v>227.00000000000006</v>
      </c>
      <c r="F20" s="186">
        <f>'Monthly Data'!BL20</f>
        <v>555907.5</v>
      </c>
      <c r="G20" s="186">
        <f>'Monthly Data'!BM20</f>
        <v>19</v>
      </c>
      <c r="H20" s="186">
        <f>'Monthly Data'!BQ20</f>
        <v>0</v>
      </c>
      <c r="I20" s="186">
        <f>'Monthly Data'!BS20</f>
        <v>0</v>
      </c>
      <c r="J20" s="186">
        <f>'Monthly Data'!BU20</f>
        <v>0</v>
      </c>
      <c r="K20" s="186">
        <f>'Monthly Data'!BV20</f>
        <v>0</v>
      </c>
      <c r="L20" s="186">
        <f>'Monthly Data'!BW20</f>
        <v>0</v>
      </c>
      <c r="M20" s="186">
        <f>'Monthly Data'!CC20</f>
        <v>31</v>
      </c>
      <c r="N20" s="186">
        <f>'Monthly Data'!CD20</f>
        <v>21</v>
      </c>
      <c r="P20" s="186">
        <f>'GS &gt; 50 OLS Model (LC)'!$B$5</f>
        <v>-8436546.8467997499</v>
      </c>
      <c r="Q20" s="186">
        <f>'GS &gt; 50 OLS Model (LC)'!$B$6*D20</f>
        <v>0</v>
      </c>
      <c r="R20" s="186">
        <f>'GS &gt; 50 OLS Model (LC)'!$B$7*E20</f>
        <v>16201644.294915674</v>
      </c>
      <c r="S20" s="186">
        <f>'GS &gt; 50 OLS Model (LC)'!$B$8*F20</f>
        <v>28840217.836537071</v>
      </c>
      <c r="U20" s="186">
        <f>'GS &gt; 50 OLS Model (LC)'!$B$9*H20</f>
        <v>0</v>
      </c>
      <c r="V20" s="186">
        <f>'GS &gt; 50 OLS Model (LC)'!$B$10*I20</f>
        <v>0</v>
      </c>
      <c r="W20" s="186">
        <f>'GS &gt; 50 OLS Model (LC)'!$B$11*J20</f>
        <v>0</v>
      </c>
      <c r="X20" s="186">
        <f>'GS &gt; 50 OLS Model (LC)'!$B$12*K20</f>
        <v>0</v>
      </c>
      <c r="Y20" s="186">
        <v>0</v>
      </c>
      <c r="Z20" s="186">
        <f>'GS &gt; 50 OLS Model (LC)'!$B$13*M20</f>
        <v>34805943.461156942</v>
      </c>
      <c r="AA20" s="186">
        <f>'GS &gt; 50 OLS Model (LC)'!$B$14*N20</f>
        <v>13601430.342326485</v>
      </c>
      <c r="AB20" s="186">
        <f t="shared" si="2"/>
        <v>85012689.088136435</v>
      </c>
      <c r="AC20" s="24">
        <f t="shared" ca="1" si="3"/>
        <v>8.299870626219924E-3</v>
      </c>
    </row>
    <row r="21" spans="1:29">
      <c r="A21" s="128">
        <f>'Monthly Data'!A21</f>
        <v>40391</v>
      </c>
      <c r="B21" s="186">
        <f t="shared" si="1"/>
        <v>2010</v>
      </c>
      <c r="C21" s="124">
        <f ca="1">'Monthly Data'!T21</f>
        <v>85962780.097131476</v>
      </c>
      <c r="D21" s="186">
        <f>'Monthly Data'!BH21</f>
        <v>0</v>
      </c>
      <c r="E21" s="186">
        <f>'Monthly Data'!BI21</f>
        <v>211.80000000000004</v>
      </c>
      <c r="F21" s="186">
        <f>'Monthly Data'!BL21</f>
        <v>555907.5</v>
      </c>
      <c r="G21" s="186">
        <f>'Monthly Data'!BM21</f>
        <v>20</v>
      </c>
      <c r="H21" s="186">
        <f>'Monthly Data'!BQ21</f>
        <v>0</v>
      </c>
      <c r="I21" s="186">
        <f>'Monthly Data'!BS21</f>
        <v>0</v>
      </c>
      <c r="J21" s="186">
        <f>'Monthly Data'!BU21</f>
        <v>1</v>
      </c>
      <c r="K21" s="186">
        <f>'Monthly Data'!BV21</f>
        <v>0</v>
      </c>
      <c r="L21" s="186">
        <f>'Monthly Data'!BW21</f>
        <v>0</v>
      </c>
      <c r="M21" s="186">
        <f>'Monthly Data'!CC21</f>
        <v>31</v>
      </c>
      <c r="N21" s="186">
        <f>'Monthly Data'!CD21</f>
        <v>21</v>
      </c>
      <c r="P21" s="186">
        <f>'GS &gt; 50 OLS Model (LC)'!$B$5</f>
        <v>-8436546.8467997499</v>
      </c>
      <c r="Q21" s="186">
        <f>'GS &gt; 50 OLS Model (LC)'!$B$6*D21</f>
        <v>0</v>
      </c>
      <c r="R21" s="186">
        <f>'GS &gt; 50 OLS Model (LC)'!$B$7*E21</f>
        <v>15116776.483097531</v>
      </c>
      <c r="S21" s="186">
        <f>'GS &gt; 50 OLS Model (LC)'!$B$8*F21</f>
        <v>28840217.836537071</v>
      </c>
      <c r="U21" s="186">
        <f>'GS &gt; 50 OLS Model (LC)'!$B$9*H21</f>
        <v>0</v>
      </c>
      <c r="V21" s="186">
        <f>'GS &gt; 50 OLS Model (LC)'!$B$10*I21</f>
        <v>0</v>
      </c>
      <c r="W21" s="186">
        <f>'GS &gt; 50 OLS Model (LC)'!$B$11*J21</f>
        <v>2501012.7689915099</v>
      </c>
      <c r="X21" s="186">
        <f>'GS &gt; 50 OLS Model (LC)'!$B$12*K21</f>
        <v>0</v>
      </c>
      <c r="Y21" s="186">
        <v>0</v>
      </c>
      <c r="Z21" s="186">
        <f>'GS &gt; 50 OLS Model (LC)'!$B$13*M21</f>
        <v>34805943.461156942</v>
      </c>
      <c r="AA21" s="186">
        <f>'GS &gt; 50 OLS Model (LC)'!$B$14*N21</f>
        <v>13601430.342326485</v>
      </c>
      <c r="AB21" s="186">
        <f t="shared" si="2"/>
        <v>86428834.045309782</v>
      </c>
      <c r="AC21" s="24">
        <f t="shared" ca="1" si="3"/>
        <v>5.4215783581184826E-3</v>
      </c>
    </row>
    <row r="22" spans="1:29">
      <c r="A22" s="128">
        <f>'Monthly Data'!A22</f>
        <v>40422</v>
      </c>
      <c r="B22" s="186">
        <f t="shared" si="1"/>
        <v>2010</v>
      </c>
      <c r="C22" s="124">
        <f ca="1">'Monthly Data'!T22</f>
        <v>74966407.254957601</v>
      </c>
      <c r="D22" s="186">
        <f>'Monthly Data'!BH22</f>
        <v>38</v>
      </c>
      <c r="E22" s="186">
        <f>'Monthly Data'!BI22</f>
        <v>59.699999999999989</v>
      </c>
      <c r="F22" s="186">
        <f>'Monthly Data'!BL22</f>
        <v>555907.5</v>
      </c>
      <c r="G22" s="186">
        <f>'Monthly Data'!BM22</f>
        <v>21</v>
      </c>
      <c r="H22" s="186">
        <f>'Monthly Data'!BQ22</f>
        <v>0</v>
      </c>
      <c r="I22" s="186">
        <f>'Monthly Data'!BS22</f>
        <v>0</v>
      </c>
      <c r="J22" s="186">
        <f>'Monthly Data'!BU22</f>
        <v>0</v>
      </c>
      <c r="K22" s="186">
        <f>'Monthly Data'!BV22</f>
        <v>1</v>
      </c>
      <c r="L22" s="186">
        <f>'Monthly Data'!BW22</f>
        <v>0</v>
      </c>
      <c r="M22" s="186">
        <f>'Monthly Data'!CC22</f>
        <v>30</v>
      </c>
      <c r="N22" s="186">
        <f>'Monthly Data'!CD22</f>
        <v>21</v>
      </c>
      <c r="P22" s="186">
        <f>'GS &gt; 50 OLS Model (LC)'!$B$5</f>
        <v>-8436546.8467997499</v>
      </c>
      <c r="Q22" s="186">
        <f>'GS &gt; 50 OLS Model (LC)'!$B$6*D22</f>
        <v>920246.34879500791</v>
      </c>
      <c r="R22" s="186">
        <f>'GS &gt; 50 OLS Model (LC)'!$B$7*E22</f>
        <v>4260961.0766804637</v>
      </c>
      <c r="S22" s="186">
        <f>'GS &gt; 50 OLS Model (LC)'!$B$8*F22</f>
        <v>28840217.836537071</v>
      </c>
      <c r="U22" s="186">
        <f>'GS &gt; 50 OLS Model (LC)'!$B$9*H22</f>
        <v>0</v>
      </c>
      <c r="V22" s="186">
        <f>'GS &gt; 50 OLS Model (LC)'!$B$10*I22</f>
        <v>0</v>
      </c>
      <c r="W22" s="186">
        <f>'GS &gt; 50 OLS Model (LC)'!$B$11*J22</f>
        <v>0</v>
      </c>
      <c r="X22" s="186">
        <f>'GS &gt; 50 OLS Model (LC)'!$B$12*K22</f>
        <v>2346294.5864150901</v>
      </c>
      <c r="Y22" s="186">
        <v>0</v>
      </c>
      <c r="Z22" s="186">
        <f>'GS &gt; 50 OLS Model (LC)'!$B$13*M22</f>
        <v>33683171.091442198</v>
      </c>
      <c r="AA22" s="186">
        <f>'GS &gt; 50 OLS Model (LC)'!$B$14*N22</f>
        <v>13601430.342326485</v>
      </c>
      <c r="AB22" s="186">
        <f t="shared" si="2"/>
        <v>75215774.435396552</v>
      </c>
      <c r="AC22" s="24">
        <f t="shared" ca="1" si="3"/>
        <v>3.3263856381814238E-3</v>
      </c>
    </row>
    <row r="23" spans="1:29">
      <c r="A23" s="128">
        <f>'Monthly Data'!A23</f>
        <v>40452</v>
      </c>
      <c r="B23" s="186">
        <f t="shared" si="1"/>
        <v>2010</v>
      </c>
      <c r="C23" s="124">
        <f ca="1">'Monthly Data'!T23</f>
        <v>73516726.053443059</v>
      </c>
      <c r="D23" s="186">
        <f>'Monthly Data'!BH23</f>
        <v>157.6</v>
      </c>
      <c r="E23" s="186">
        <f>'Monthly Data'!BI23</f>
        <v>1.4000000000000001</v>
      </c>
      <c r="F23" s="186">
        <f>'Monthly Data'!BL23</f>
        <v>555907.5</v>
      </c>
      <c r="G23" s="186">
        <f>'Monthly Data'!BM23</f>
        <v>22</v>
      </c>
      <c r="H23" s="186">
        <f>'Monthly Data'!BQ23</f>
        <v>0</v>
      </c>
      <c r="I23" s="186">
        <f>'Monthly Data'!BS23</f>
        <v>0</v>
      </c>
      <c r="J23" s="186">
        <f>'Monthly Data'!BU23</f>
        <v>0</v>
      </c>
      <c r="K23" s="186">
        <f>'Monthly Data'!BV23</f>
        <v>0</v>
      </c>
      <c r="L23" s="186">
        <f>'Monthly Data'!BW23</f>
        <v>1</v>
      </c>
      <c r="M23" s="186">
        <f>'Monthly Data'!CC23</f>
        <v>31</v>
      </c>
      <c r="N23" s="186">
        <f>'Monthly Data'!CD23</f>
        <v>20</v>
      </c>
      <c r="P23" s="186">
        <f>'GS &gt; 50 OLS Model (LC)'!$B$5</f>
        <v>-8436546.8467997499</v>
      </c>
      <c r="Q23" s="186">
        <f>'GS &gt; 50 OLS Model (LC)'!$B$6*D23</f>
        <v>3816600.6465814011</v>
      </c>
      <c r="R23" s="186">
        <f>'GS &gt; 50 OLS Model (LC)'!$B$7*E23</f>
        <v>99922.035299039388</v>
      </c>
      <c r="S23" s="186">
        <f>'GS &gt; 50 OLS Model (LC)'!$B$8*F23</f>
        <v>28840217.836537071</v>
      </c>
      <c r="U23" s="186">
        <f>'GS &gt; 50 OLS Model (LC)'!$B$9*H23</f>
        <v>0</v>
      </c>
      <c r="V23" s="186">
        <f>'GS &gt; 50 OLS Model (LC)'!$B$10*I23</f>
        <v>0</v>
      </c>
      <c r="W23" s="186">
        <f>'GS &gt; 50 OLS Model (LC)'!$B$11*J23</f>
        <v>0</v>
      </c>
      <c r="X23" s="186">
        <f>'GS &gt; 50 OLS Model (LC)'!$B$12*K23</f>
        <v>0</v>
      </c>
      <c r="Y23" s="186">
        <v>0</v>
      </c>
      <c r="Z23" s="186">
        <f>'GS &gt; 50 OLS Model (LC)'!$B$13*M23</f>
        <v>34805943.461156942</v>
      </c>
      <c r="AA23" s="186">
        <f>'GS &gt; 50 OLS Model (LC)'!$B$14*N23</f>
        <v>12953743.18316808</v>
      </c>
      <c r="AB23" s="186">
        <f t="shared" si="2"/>
        <v>72079880.315942779</v>
      </c>
      <c r="AC23" s="24">
        <f t="shared" ca="1" si="3"/>
        <v>1.9544473953529481E-2</v>
      </c>
    </row>
    <row r="24" spans="1:29">
      <c r="A24" s="128">
        <f>'Monthly Data'!A24</f>
        <v>40483</v>
      </c>
      <c r="B24" s="186">
        <f t="shared" si="1"/>
        <v>2010</v>
      </c>
      <c r="C24" s="124">
        <f ca="1">'Monthly Data'!T24</f>
        <v>76037403.300678432</v>
      </c>
      <c r="D24" s="186">
        <f>'Monthly Data'!BH24</f>
        <v>376.59999999999991</v>
      </c>
      <c r="E24" s="186">
        <f>'Monthly Data'!BI24</f>
        <v>0</v>
      </c>
      <c r="F24" s="186">
        <f>'Monthly Data'!BL24</f>
        <v>555907.5</v>
      </c>
      <c r="G24" s="186">
        <f>'Monthly Data'!BM24</f>
        <v>23</v>
      </c>
      <c r="H24" s="186">
        <f>'Monthly Data'!BQ24</f>
        <v>0</v>
      </c>
      <c r="I24" s="186">
        <f>'Monthly Data'!BS24</f>
        <v>0</v>
      </c>
      <c r="J24" s="186">
        <f>'Monthly Data'!BU24</f>
        <v>0</v>
      </c>
      <c r="K24" s="186">
        <f>'Monthly Data'!BV24</f>
        <v>0</v>
      </c>
      <c r="L24" s="186">
        <f>'Monthly Data'!BW24</f>
        <v>0</v>
      </c>
      <c r="M24" s="186">
        <f>'Monthly Data'!CC24</f>
        <v>30</v>
      </c>
      <c r="N24" s="186">
        <f>'Monthly Data'!CD24</f>
        <v>22</v>
      </c>
      <c r="P24" s="186">
        <f>'GS &gt; 50 OLS Model (LC)'!$B$5</f>
        <v>-8436546.8467997499</v>
      </c>
      <c r="Q24" s="186">
        <f>'GS &gt; 50 OLS Model (LC)'!$B$6*D24</f>
        <v>9120125.6567421034</v>
      </c>
      <c r="R24" s="186">
        <f>'GS &gt; 50 OLS Model (LC)'!$B$7*E24</f>
        <v>0</v>
      </c>
      <c r="S24" s="186">
        <f>'GS &gt; 50 OLS Model (LC)'!$B$8*F24</f>
        <v>28840217.836537071</v>
      </c>
      <c r="U24" s="186">
        <f>'GS &gt; 50 OLS Model (LC)'!$B$9*H24</f>
        <v>0</v>
      </c>
      <c r="V24" s="186">
        <f>'GS &gt; 50 OLS Model (LC)'!$B$10*I24</f>
        <v>0</v>
      </c>
      <c r="W24" s="186">
        <f>'GS &gt; 50 OLS Model (LC)'!$B$11*J24</f>
        <v>0</v>
      </c>
      <c r="X24" s="186">
        <f>'GS &gt; 50 OLS Model (LC)'!$B$12*K24</f>
        <v>0</v>
      </c>
      <c r="Y24" s="186">
        <v>0</v>
      </c>
      <c r="Z24" s="186">
        <f>'GS &gt; 50 OLS Model (LC)'!$B$13*M24</f>
        <v>33683171.091442198</v>
      </c>
      <c r="AA24" s="186">
        <f>'GS &gt; 50 OLS Model (LC)'!$B$14*N24</f>
        <v>14249117.501484888</v>
      </c>
      <c r="AB24" s="186">
        <f t="shared" si="2"/>
        <v>77456085.239406511</v>
      </c>
      <c r="AC24" s="24">
        <f t="shared" ca="1" si="3"/>
        <v>1.8657685259425755E-2</v>
      </c>
    </row>
    <row r="25" spans="1:29">
      <c r="A25" s="128">
        <f>'Monthly Data'!A25</f>
        <v>40513</v>
      </c>
      <c r="B25" s="186">
        <f t="shared" si="1"/>
        <v>2010</v>
      </c>
      <c r="C25" s="124">
        <f ca="1">'Monthly Data'!T25</f>
        <v>82527064.311934069</v>
      </c>
      <c r="D25" s="186">
        <f>'Monthly Data'!BH25</f>
        <v>645.59999999999991</v>
      </c>
      <c r="E25" s="186">
        <f>'Monthly Data'!BI25</f>
        <v>0</v>
      </c>
      <c r="F25" s="186">
        <f>'Monthly Data'!BL25</f>
        <v>555907.5</v>
      </c>
      <c r="G25" s="186">
        <f>'Monthly Data'!BM25</f>
        <v>24</v>
      </c>
      <c r="H25" s="186">
        <f>'Monthly Data'!BQ25</f>
        <v>0</v>
      </c>
      <c r="I25" s="186">
        <f>'Monthly Data'!BS25</f>
        <v>0</v>
      </c>
      <c r="J25" s="186">
        <f>'Monthly Data'!BU25</f>
        <v>0</v>
      </c>
      <c r="K25" s="186">
        <f>'Monthly Data'!BV25</f>
        <v>0</v>
      </c>
      <c r="L25" s="186">
        <f>'Monthly Data'!BW25</f>
        <v>0</v>
      </c>
      <c r="M25" s="186">
        <f>'Monthly Data'!CC25</f>
        <v>31</v>
      </c>
      <c r="N25" s="186">
        <f>'Monthly Data'!CD25</f>
        <v>21</v>
      </c>
      <c r="P25" s="186">
        <f>'GS &gt; 50 OLS Model (LC)'!$B$5</f>
        <v>-8436546.8467997499</v>
      </c>
      <c r="Q25" s="186">
        <f>'GS &gt; 50 OLS Model (LC)'!$B$6*D25</f>
        <v>15634501.125843607</v>
      </c>
      <c r="R25" s="186">
        <f>'GS &gt; 50 OLS Model (LC)'!$B$7*E25</f>
        <v>0</v>
      </c>
      <c r="S25" s="186">
        <f>'GS &gt; 50 OLS Model (LC)'!$B$8*F25</f>
        <v>28840217.836537071</v>
      </c>
      <c r="U25" s="186">
        <f>'GS &gt; 50 OLS Model (LC)'!$B$9*H25</f>
        <v>0</v>
      </c>
      <c r="V25" s="186">
        <f>'GS &gt; 50 OLS Model (LC)'!$B$10*I25</f>
        <v>0</v>
      </c>
      <c r="W25" s="186">
        <f>'GS &gt; 50 OLS Model (LC)'!$B$11*J25</f>
        <v>0</v>
      </c>
      <c r="X25" s="186">
        <f>'GS &gt; 50 OLS Model (LC)'!$B$12*K25</f>
        <v>0</v>
      </c>
      <c r="Y25" s="186">
        <v>0</v>
      </c>
      <c r="Z25" s="186">
        <f>'GS &gt; 50 OLS Model (LC)'!$B$13*M25</f>
        <v>34805943.461156942</v>
      </c>
      <c r="AA25" s="186">
        <f>'GS &gt; 50 OLS Model (LC)'!$B$14*N25</f>
        <v>13601430.342326485</v>
      </c>
      <c r="AB25" s="186">
        <f t="shared" si="2"/>
        <v>84445545.919064373</v>
      </c>
      <c r="AC25" s="24">
        <f t="shared" ca="1" si="3"/>
        <v>2.3246696379249206E-2</v>
      </c>
    </row>
    <row r="26" spans="1:29">
      <c r="A26" s="128">
        <f>'Monthly Data'!A26</f>
        <v>40544</v>
      </c>
      <c r="B26" s="186">
        <f t="shared" si="1"/>
        <v>2011</v>
      </c>
      <c r="C26" s="124">
        <f ca="1">'Monthly Data'!T26</f>
        <v>87683932.225609511</v>
      </c>
      <c r="D26" s="186">
        <f>'Monthly Data'!BH26</f>
        <v>703.59999999999991</v>
      </c>
      <c r="E26" s="186">
        <f>'Monthly Data'!BI26</f>
        <v>0</v>
      </c>
      <c r="F26" s="186">
        <f>'Monthly Data'!BL26</f>
        <v>570633.30000000005</v>
      </c>
      <c r="G26" s="186">
        <f>'Monthly Data'!BM26</f>
        <v>25</v>
      </c>
      <c r="H26" s="186">
        <f>'Monthly Data'!BQ26</f>
        <v>0</v>
      </c>
      <c r="I26" s="186">
        <f>'Monthly Data'!BS26</f>
        <v>0</v>
      </c>
      <c r="J26" s="186">
        <f>'Monthly Data'!BU26</f>
        <v>0</v>
      </c>
      <c r="K26" s="186">
        <f>'Monthly Data'!BV26</f>
        <v>0</v>
      </c>
      <c r="L26" s="186">
        <f>'Monthly Data'!BW26</f>
        <v>0</v>
      </c>
      <c r="M26" s="186">
        <f>'Monthly Data'!CC26</f>
        <v>31</v>
      </c>
      <c r="N26" s="186">
        <f>'Monthly Data'!CD26</f>
        <v>20</v>
      </c>
      <c r="P26" s="186">
        <f>'GS &gt; 50 OLS Model (LC)'!$B$5</f>
        <v>-8436546.8467997499</v>
      </c>
      <c r="Q26" s="186">
        <f>'GS &gt; 50 OLS Model (LC)'!$B$6*D26</f>
        <v>17039087.658214934</v>
      </c>
      <c r="R26" s="186">
        <f>'GS &gt; 50 OLS Model (LC)'!$B$7*E26</f>
        <v>0</v>
      </c>
      <c r="S26" s="186">
        <f>'GS &gt; 50 OLS Model (LC)'!$B$8*F26</f>
        <v>29604185.366777766</v>
      </c>
      <c r="U26" s="186">
        <f>'GS &gt; 50 OLS Model (LC)'!$B$9*H26</f>
        <v>0</v>
      </c>
      <c r="V26" s="186">
        <f>'GS &gt; 50 OLS Model (LC)'!$B$10*I26</f>
        <v>0</v>
      </c>
      <c r="W26" s="186">
        <f>'GS &gt; 50 OLS Model (LC)'!$B$11*J26</f>
        <v>0</v>
      </c>
      <c r="X26" s="186">
        <f>'GS &gt; 50 OLS Model (LC)'!$B$12*K26</f>
        <v>0</v>
      </c>
      <c r="Y26" s="186">
        <v>0</v>
      </c>
      <c r="Z26" s="186">
        <f>'GS &gt; 50 OLS Model (LC)'!$B$13*M26</f>
        <v>34805943.461156942</v>
      </c>
      <c r="AA26" s="186">
        <f>'GS &gt; 50 OLS Model (LC)'!$B$14*N26</f>
        <v>12953743.18316808</v>
      </c>
      <c r="AB26" s="186">
        <f t="shared" si="2"/>
        <v>85966412.822517976</v>
      </c>
      <c r="AC26" s="24">
        <f t="shared" ca="1" si="3"/>
        <v>1.9587618386825788E-2</v>
      </c>
    </row>
    <row r="27" spans="1:29">
      <c r="A27" s="128">
        <f>'Monthly Data'!A27</f>
        <v>40575</v>
      </c>
      <c r="B27" s="186">
        <f t="shared" si="1"/>
        <v>2011</v>
      </c>
      <c r="C27" s="124">
        <f ca="1">'Monthly Data'!T27</f>
        <v>79180941.496457949</v>
      </c>
      <c r="D27" s="186">
        <f>'Monthly Data'!BH27</f>
        <v>583.20000000000005</v>
      </c>
      <c r="E27" s="186">
        <f>'Monthly Data'!BI27</f>
        <v>0</v>
      </c>
      <c r="F27" s="186">
        <f>'Monthly Data'!BL27</f>
        <v>570633.30000000005</v>
      </c>
      <c r="G27" s="186">
        <f>'Monthly Data'!BM27</f>
        <v>26</v>
      </c>
      <c r="H27" s="186">
        <f>'Monthly Data'!BQ27</f>
        <v>0</v>
      </c>
      <c r="I27" s="186">
        <f>'Monthly Data'!BS27</f>
        <v>0</v>
      </c>
      <c r="J27" s="186">
        <f>'Monthly Data'!BU27</f>
        <v>0</v>
      </c>
      <c r="K27" s="186">
        <f>'Monthly Data'!BV27</f>
        <v>0</v>
      </c>
      <c r="L27" s="186">
        <f>'Monthly Data'!BW27</f>
        <v>0</v>
      </c>
      <c r="M27" s="186">
        <f>'Monthly Data'!CC27</f>
        <v>28</v>
      </c>
      <c r="N27" s="186">
        <f>'Monthly Data'!CD27</f>
        <v>19</v>
      </c>
      <c r="P27" s="186">
        <f>'GS &gt; 50 OLS Model (LC)'!$B$5</f>
        <v>-8436546.8467997499</v>
      </c>
      <c r="Q27" s="186">
        <f>'GS &gt; 50 OLS Model (LC)'!$B$6*D27</f>
        <v>14123359.753085492</v>
      </c>
      <c r="R27" s="186">
        <f>'GS &gt; 50 OLS Model (LC)'!$B$7*E27</f>
        <v>0</v>
      </c>
      <c r="S27" s="186">
        <f>'GS &gt; 50 OLS Model (LC)'!$B$8*F27</f>
        <v>29604185.366777766</v>
      </c>
      <c r="U27" s="186">
        <f>'GS &gt; 50 OLS Model (LC)'!$B$9*H27</f>
        <v>0</v>
      </c>
      <c r="V27" s="186">
        <f>'GS &gt; 50 OLS Model (LC)'!$B$10*I27</f>
        <v>0</v>
      </c>
      <c r="W27" s="186">
        <f>'GS &gt; 50 OLS Model (LC)'!$B$11*J27</f>
        <v>0</v>
      </c>
      <c r="X27" s="186">
        <f>'GS &gt; 50 OLS Model (LC)'!$B$12*K27</f>
        <v>0</v>
      </c>
      <c r="Y27" s="186">
        <v>0</v>
      </c>
      <c r="Z27" s="186">
        <f>'GS &gt; 50 OLS Model (LC)'!$B$13*M27</f>
        <v>31437626.35201272</v>
      </c>
      <c r="AA27" s="186">
        <f>'GS &gt; 50 OLS Model (LC)'!$B$14*N27</f>
        <v>12306056.024009675</v>
      </c>
      <c r="AB27" s="186">
        <f t="shared" si="2"/>
        <v>79034680.649085909</v>
      </c>
      <c r="AC27" s="24">
        <f t="shared" ca="1" si="3"/>
        <v>1.8471723701161463E-3</v>
      </c>
    </row>
    <row r="28" spans="1:29">
      <c r="A28" s="128">
        <f>'Monthly Data'!A28</f>
        <v>40603</v>
      </c>
      <c r="B28" s="186">
        <f t="shared" si="1"/>
        <v>2011</v>
      </c>
      <c r="C28" s="124">
        <f ca="1">'Monthly Data'!T28</f>
        <v>83137506.790608495</v>
      </c>
      <c r="D28" s="186">
        <f>'Monthly Data'!BH28</f>
        <v>514.30000000000007</v>
      </c>
      <c r="E28" s="186">
        <f>'Monthly Data'!BI28</f>
        <v>0</v>
      </c>
      <c r="F28" s="186">
        <f>'Monthly Data'!BL28</f>
        <v>570633.30000000005</v>
      </c>
      <c r="G28" s="186">
        <f>'Monthly Data'!BM28</f>
        <v>27</v>
      </c>
      <c r="H28" s="186">
        <f>'Monthly Data'!BQ28</f>
        <v>0</v>
      </c>
      <c r="I28" s="186">
        <f>'Monthly Data'!BS28</f>
        <v>0</v>
      </c>
      <c r="J28" s="186">
        <f>'Monthly Data'!BU28</f>
        <v>0</v>
      </c>
      <c r="K28" s="186">
        <f>'Monthly Data'!BV28</f>
        <v>0</v>
      </c>
      <c r="L28" s="186">
        <f>'Monthly Data'!BW28</f>
        <v>0</v>
      </c>
      <c r="M28" s="186">
        <f>'Monthly Data'!CC28</f>
        <v>31</v>
      </c>
      <c r="N28" s="186">
        <f>'Monthly Data'!CD28</f>
        <v>23</v>
      </c>
      <c r="P28" s="186">
        <f>'GS &gt; 50 OLS Model (LC)'!$B$5</f>
        <v>-8436546.8467997499</v>
      </c>
      <c r="Q28" s="186">
        <f>'GS &gt; 50 OLS Model (LC)'!$B$6*D28</f>
        <v>12454807.820665071</v>
      </c>
      <c r="R28" s="186">
        <f>'GS &gt; 50 OLS Model (LC)'!$B$7*E28</f>
        <v>0</v>
      </c>
      <c r="S28" s="186">
        <f>'GS &gt; 50 OLS Model (LC)'!$B$8*F28</f>
        <v>29604185.366777766</v>
      </c>
      <c r="U28" s="186">
        <f>'GS &gt; 50 OLS Model (LC)'!$B$9*H28</f>
        <v>0</v>
      </c>
      <c r="V28" s="186">
        <f>'GS &gt; 50 OLS Model (LC)'!$B$10*I28</f>
        <v>0</v>
      </c>
      <c r="W28" s="186">
        <f>'GS &gt; 50 OLS Model (LC)'!$B$11*J28</f>
        <v>0</v>
      </c>
      <c r="X28" s="186">
        <f>'GS &gt; 50 OLS Model (LC)'!$B$12*K28</f>
        <v>0</v>
      </c>
      <c r="Y28" s="186">
        <v>0</v>
      </c>
      <c r="Z28" s="186">
        <f>'GS &gt; 50 OLS Model (LC)'!$B$13*M28</f>
        <v>34805943.461156942</v>
      </c>
      <c r="AA28" s="186">
        <f>'GS &gt; 50 OLS Model (LC)'!$B$14*N28</f>
        <v>14896804.660643291</v>
      </c>
      <c r="AB28" s="186">
        <f t="shared" si="2"/>
        <v>83325194.462443322</v>
      </c>
      <c r="AC28" s="24">
        <f t="shared" ca="1" si="3"/>
        <v>2.2575571373283994E-3</v>
      </c>
    </row>
    <row r="29" spans="1:29">
      <c r="A29" s="128">
        <f>'Monthly Data'!A29</f>
        <v>40634</v>
      </c>
      <c r="B29" s="186">
        <f t="shared" si="1"/>
        <v>2011</v>
      </c>
      <c r="C29" s="124">
        <f ca="1">'Monthly Data'!T29</f>
        <v>72823673.283491805</v>
      </c>
      <c r="D29" s="186">
        <f>'Monthly Data'!BH29</f>
        <v>278.59999999999985</v>
      </c>
      <c r="E29" s="186">
        <f>'Monthly Data'!BI29</f>
        <v>0.5</v>
      </c>
      <c r="F29" s="186">
        <f>'Monthly Data'!BL29</f>
        <v>570633.30000000005</v>
      </c>
      <c r="G29" s="186">
        <f>'Monthly Data'!BM29</f>
        <v>28</v>
      </c>
      <c r="H29" s="186">
        <f>'Monthly Data'!BQ29</f>
        <v>1</v>
      </c>
      <c r="I29" s="186">
        <f>'Monthly Data'!BS29</f>
        <v>0</v>
      </c>
      <c r="J29" s="186">
        <f>'Monthly Data'!BU29</f>
        <v>0</v>
      </c>
      <c r="K29" s="186">
        <f>'Monthly Data'!BV29</f>
        <v>0</v>
      </c>
      <c r="L29" s="186">
        <f>'Monthly Data'!BW29</f>
        <v>0</v>
      </c>
      <c r="M29" s="186">
        <f>'Monthly Data'!CC29</f>
        <v>30</v>
      </c>
      <c r="N29" s="186">
        <f>'Monthly Data'!CD29</f>
        <v>19</v>
      </c>
      <c r="P29" s="186">
        <f>'GS &gt; 50 OLS Model (LC)'!$B$5</f>
        <v>-8436546.8467997499</v>
      </c>
      <c r="Q29" s="186">
        <f>'GS &gt; 50 OLS Model (LC)'!$B$6*D29</f>
        <v>6746858.7572181337</v>
      </c>
      <c r="R29" s="186">
        <f>'GS &gt; 50 OLS Model (LC)'!$B$7*E29</f>
        <v>35686.44117822835</v>
      </c>
      <c r="S29" s="186">
        <f>'GS &gt; 50 OLS Model (LC)'!$B$8*F29</f>
        <v>29604185.366777766</v>
      </c>
      <c r="U29" s="186">
        <f>'GS &gt; 50 OLS Model (LC)'!$B$9*H29</f>
        <v>-1670517.9110053701</v>
      </c>
      <c r="V29" s="186">
        <f>'GS &gt; 50 OLS Model (LC)'!$B$10*I29</f>
        <v>0</v>
      </c>
      <c r="W29" s="186">
        <f>'GS &gt; 50 OLS Model (LC)'!$B$11*J29</f>
        <v>0</v>
      </c>
      <c r="X29" s="186">
        <f>'GS &gt; 50 OLS Model (LC)'!$B$12*K29</f>
        <v>0</v>
      </c>
      <c r="Y29" s="186">
        <v>0</v>
      </c>
      <c r="Z29" s="186">
        <f>'GS &gt; 50 OLS Model (LC)'!$B$13*M29</f>
        <v>33683171.091442198</v>
      </c>
      <c r="AA29" s="186">
        <f>'GS &gt; 50 OLS Model (LC)'!$B$14*N29</f>
        <v>12306056.024009675</v>
      </c>
      <c r="AB29" s="186">
        <f t="shared" si="2"/>
        <v>72268892.922820881</v>
      </c>
      <c r="AC29" s="24">
        <f t="shared" ca="1" si="3"/>
        <v>7.6181320669069545E-3</v>
      </c>
    </row>
    <row r="30" spans="1:29">
      <c r="A30" s="128">
        <f>'Monthly Data'!A30</f>
        <v>40664</v>
      </c>
      <c r="B30" s="186">
        <f t="shared" si="1"/>
        <v>2011</v>
      </c>
      <c r="C30" s="124">
        <f ca="1">'Monthly Data'!T30</f>
        <v>73981180.889955714</v>
      </c>
      <c r="D30" s="186">
        <f>'Monthly Data'!BH30</f>
        <v>105.20000000000003</v>
      </c>
      <c r="E30" s="186">
        <f>'Monthly Data'!BI30</f>
        <v>37.200000000000003</v>
      </c>
      <c r="F30" s="186">
        <f>'Monthly Data'!BL30</f>
        <v>570633.30000000005</v>
      </c>
      <c r="G30" s="186">
        <f>'Monthly Data'!BM30</f>
        <v>29</v>
      </c>
      <c r="H30" s="186">
        <f>'Monthly Data'!BQ30</f>
        <v>0</v>
      </c>
      <c r="I30" s="186">
        <f>'Monthly Data'!BS30</f>
        <v>0</v>
      </c>
      <c r="J30" s="186">
        <f>'Monthly Data'!BU30</f>
        <v>0</v>
      </c>
      <c r="K30" s="186">
        <f>'Monthly Data'!BV30</f>
        <v>0</v>
      </c>
      <c r="L30" s="186">
        <f>'Monthly Data'!BW30</f>
        <v>0</v>
      </c>
      <c r="M30" s="186">
        <f>'Monthly Data'!CC30</f>
        <v>31</v>
      </c>
      <c r="N30" s="186">
        <f>'Monthly Data'!CD30</f>
        <v>21</v>
      </c>
      <c r="P30" s="186">
        <f>'GS &gt; 50 OLS Model (LC)'!$B$5</f>
        <v>-8436546.8467997499</v>
      </c>
      <c r="Q30" s="186">
        <f>'GS &gt; 50 OLS Model (LC)'!$B$6*D30</f>
        <v>2547629.3656114438</v>
      </c>
      <c r="R30" s="186">
        <f>'GS &gt; 50 OLS Model (LC)'!$B$7*E30</f>
        <v>2655071.2236601892</v>
      </c>
      <c r="S30" s="186">
        <f>'GS &gt; 50 OLS Model (LC)'!$B$8*F30</f>
        <v>29604185.366777766</v>
      </c>
      <c r="U30" s="186">
        <f>'GS &gt; 50 OLS Model (LC)'!$B$9*H30</f>
        <v>0</v>
      </c>
      <c r="V30" s="186">
        <f>'GS &gt; 50 OLS Model (LC)'!$B$10*I30</f>
        <v>0</v>
      </c>
      <c r="W30" s="186">
        <f>'GS &gt; 50 OLS Model (LC)'!$B$11*J30</f>
        <v>0</v>
      </c>
      <c r="X30" s="186">
        <f>'GS &gt; 50 OLS Model (LC)'!$B$12*K30</f>
        <v>0</v>
      </c>
      <c r="Y30" s="186">
        <v>0</v>
      </c>
      <c r="Z30" s="186">
        <f>'GS &gt; 50 OLS Model (LC)'!$B$13*M30</f>
        <v>34805943.461156942</v>
      </c>
      <c r="AA30" s="186">
        <f>'GS &gt; 50 OLS Model (LC)'!$B$14*N30</f>
        <v>13601430.342326485</v>
      </c>
      <c r="AB30" s="186">
        <f t="shared" si="2"/>
        <v>74777712.912733078</v>
      </c>
      <c r="AC30" s="24">
        <f t="shared" ca="1" si="3"/>
        <v>1.0766684353986939E-2</v>
      </c>
    </row>
    <row r="31" spans="1:29">
      <c r="A31" s="128">
        <f>'Monthly Data'!A31</f>
        <v>40695</v>
      </c>
      <c r="B31" s="186">
        <f t="shared" si="1"/>
        <v>2011</v>
      </c>
      <c r="C31" s="124">
        <f ca="1">'Monthly Data'!T31</f>
        <v>79181645.291618466</v>
      </c>
      <c r="D31" s="186">
        <f>'Monthly Data'!BH31</f>
        <v>7.6000000000000005</v>
      </c>
      <c r="E31" s="186">
        <f>'Monthly Data'!BI31</f>
        <v>115.89999999999998</v>
      </c>
      <c r="F31" s="186">
        <f>'Monthly Data'!BL31</f>
        <v>570633.30000000005</v>
      </c>
      <c r="G31" s="186">
        <f>'Monthly Data'!BM31</f>
        <v>30</v>
      </c>
      <c r="H31" s="186">
        <f>'Monthly Data'!BQ31</f>
        <v>0</v>
      </c>
      <c r="I31" s="186">
        <f>'Monthly Data'!BS31</f>
        <v>1</v>
      </c>
      <c r="J31" s="186">
        <f>'Monthly Data'!BU31</f>
        <v>0</v>
      </c>
      <c r="K31" s="186">
        <f>'Monthly Data'!BV31</f>
        <v>0</v>
      </c>
      <c r="L31" s="186">
        <f>'Monthly Data'!BW31</f>
        <v>0</v>
      </c>
      <c r="M31" s="186">
        <f>'Monthly Data'!CC31</f>
        <v>30</v>
      </c>
      <c r="N31" s="186">
        <f>'Monthly Data'!CD31</f>
        <v>22</v>
      </c>
      <c r="P31" s="186">
        <f>'GS &gt; 50 OLS Model (LC)'!$B$5</f>
        <v>-8436546.8467997499</v>
      </c>
      <c r="Q31" s="186">
        <f>'GS &gt; 50 OLS Model (LC)'!$B$6*D31</f>
        <v>184049.26975900162</v>
      </c>
      <c r="R31" s="186">
        <f>'GS &gt; 50 OLS Model (LC)'!$B$7*E31</f>
        <v>8272117.0651133303</v>
      </c>
      <c r="S31" s="186">
        <f>'GS &gt; 50 OLS Model (LC)'!$B$8*F31</f>
        <v>29604185.366777766</v>
      </c>
      <c r="U31" s="186">
        <f>'GS &gt; 50 OLS Model (LC)'!$B$9*H31</f>
        <v>0</v>
      </c>
      <c r="V31" s="186">
        <f>'GS &gt; 50 OLS Model (LC)'!$B$10*I31</f>
        <v>1260255.0136768401</v>
      </c>
      <c r="W31" s="186">
        <f>'GS &gt; 50 OLS Model (LC)'!$B$11*J31</f>
        <v>0</v>
      </c>
      <c r="X31" s="186">
        <f>'GS &gt; 50 OLS Model (LC)'!$B$12*K31</f>
        <v>0</v>
      </c>
      <c r="Y31" s="186">
        <v>0</v>
      </c>
      <c r="Z31" s="186">
        <f>'GS &gt; 50 OLS Model (LC)'!$B$13*M31</f>
        <v>33683171.091442198</v>
      </c>
      <c r="AA31" s="186">
        <f>'GS &gt; 50 OLS Model (LC)'!$B$14*N31</f>
        <v>14249117.501484888</v>
      </c>
      <c r="AB31" s="186">
        <f t="shared" si="2"/>
        <v>78816348.461454272</v>
      </c>
      <c r="AC31" s="24">
        <f t="shared" ca="1" si="3"/>
        <v>4.6134028766242558E-3</v>
      </c>
    </row>
    <row r="32" spans="1:29">
      <c r="A32" s="128">
        <f>'Monthly Data'!A32</f>
        <v>40725</v>
      </c>
      <c r="B32" s="186">
        <f t="shared" si="1"/>
        <v>2011</v>
      </c>
      <c r="C32" s="124">
        <f ca="1">'Monthly Data'!T32</f>
        <v>85355428.522644609</v>
      </c>
      <c r="D32" s="186">
        <f>'Monthly Data'!BH32</f>
        <v>0</v>
      </c>
      <c r="E32" s="186">
        <f>'Monthly Data'!BI32</f>
        <v>255.50000000000006</v>
      </c>
      <c r="F32" s="186">
        <f>'Monthly Data'!BL32</f>
        <v>570633.30000000005</v>
      </c>
      <c r="G32" s="186">
        <f>'Monthly Data'!BM32</f>
        <v>31</v>
      </c>
      <c r="H32" s="186">
        <f>'Monthly Data'!BQ32</f>
        <v>0</v>
      </c>
      <c r="I32" s="186">
        <f>'Monthly Data'!BS32</f>
        <v>0</v>
      </c>
      <c r="J32" s="186">
        <f>'Monthly Data'!BU32</f>
        <v>0</v>
      </c>
      <c r="K32" s="186">
        <f>'Monthly Data'!BV32</f>
        <v>0</v>
      </c>
      <c r="L32" s="186">
        <f>'Monthly Data'!BW32</f>
        <v>0</v>
      </c>
      <c r="M32" s="186">
        <f>'Monthly Data'!CC32</f>
        <v>31</v>
      </c>
      <c r="N32" s="186">
        <f>'Monthly Data'!CD32</f>
        <v>20</v>
      </c>
      <c r="P32" s="186">
        <f>'GS &gt; 50 OLS Model (LC)'!$B$5</f>
        <v>-8436546.8467997499</v>
      </c>
      <c r="Q32" s="186">
        <f>'GS &gt; 50 OLS Model (LC)'!$B$6*D32</f>
        <v>0</v>
      </c>
      <c r="R32" s="186">
        <f>'GS &gt; 50 OLS Model (LC)'!$B$7*E32</f>
        <v>18235771.44207469</v>
      </c>
      <c r="S32" s="186">
        <f>'GS &gt; 50 OLS Model (LC)'!$B$8*F32</f>
        <v>29604185.366777766</v>
      </c>
      <c r="U32" s="186">
        <f>'GS &gt; 50 OLS Model (LC)'!$B$9*H32</f>
        <v>0</v>
      </c>
      <c r="V32" s="186">
        <f>'GS &gt; 50 OLS Model (LC)'!$B$10*I32</f>
        <v>0</v>
      </c>
      <c r="W32" s="186">
        <f>'GS &gt; 50 OLS Model (LC)'!$B$11*J32</f>
        <v>0</v>
      </c>
      <c r="X32" s="186">
        <f>'GS &gt; 50 OLS Model (LC)'!$B$12*K32</f>
        <v>0</v>
      </c>
      <c r="Y32" s="186">
        <v>0</v>
      </c>
      <c r="Z32" s="186">
        <f>'GS &gt; 50 OLS Model (LC)'!$B$13*M32</f>
        <v>34805943.461156942</v>
      </c>
      <c r="AA32" s="186">
        <f>'GS &gt; 50 OLS Model (LC)'!$B$14*N32</f>
        <v>12953743.18316808</v>
      </c>
      <c r="AB32" s="186">
        <f t="shared" si="2"/>
        <v>87163096.606377721</v>
      </c>
      <c r="AC32" s="24">
        <f t="shared" ca="1" si="3"/>
        <v>2.1178126746250723E-2</v>
      </c>
    </row>
    <row r="33" spans="1:29">
      <c r="A33" s="128">
        <f>'Monthly Data'!A33</f>
        <v>40756</v>
      </c>
      <c r="B33" s="186">
        <f t="shared" si="1"/>
        <v>2011</v>
      </c>
      <c r="C33" s="124">
        <f ca="1">'Monthly Data'!T33</f>
        <v>85134730.124835938</v>
      </c>
      <c r="D33" s="186">
        <f>'Monthly Data'!BH33</f>
        <v>0</v>
      </c>
      <c r="E33" s="186">
        <f>'Monthly Data'!BI33</f>
        <v>159.50000000000003</v>
      </c>
      <c r="F33" s="186">
        <f>'Monthly Data'!BL33</f>
        <v>570633.30000000005</v>
      </c>
      <c r="G33" s="186">
        <f>'Monthly Data'!BM33</f>
        <v>32</v>
      </c>
      <c r="H33" s="186">
        <f>'Monthly Data'!BQ33</f>
        <v>0</v>
      </c>
      <c r="I33" s="186">
        <f>'Monthly Data'!BS33</f>
        <v>0</v>
      </c>
      <c r="J33" s="186">
        <f>'Monthly Data'!BU33</f>
        <v>1</v>
      </c>
      <c r="K33" s="186">
        <f>'Monthly Data'!BV33</f>
        <v>0</v>
      </c>
      <c r="L33" s="186">
        <f>'Monthly Data'!BW33</f>
        <v>0</v>
      </c>
      <c r="M33" s="186">
        <f>'Monthly Data'!CC33</f>
        <v>31</v>
      </c>
      <c r="N33" s="186">
        <f>'Monthly Data'!CD33</f>
        <v>22</v>
      </c>
      <c r="P33" s="186">
        <f>'GS &gt; 50 OLS Model (LC)'!$B$5</f>
        <v>-8436546.8467997499</v>
      </c>
      <c r="Q33" s="186">
        <f>'GS &gt; 50 OLS Model (LC)'!$B$6*D33</f>
        <v>0</v>
      </c>
      <c r="R33" s="186">
        <f>'GS &gt; 50 OLS Model (LC)'!$B$7*E33</f>
        <v>11383974.735854845</v>
      </c>
      <c r="S33" s="186">
        <f>'GS &gt; 50 OLS Model (LC)'!$B$8*F33</f>
        <v>29604185.366777766</v>
      </c>
      <c r="U33" s="186">
        <f>'GS &gt; 50 OLS Model (LC)'!$B$9*H33</f>
        <v>0</v>
      </c>
      <c r="V33" s="186">
        <f>'GS &gt; 50 OLS Model (LC)'!$B$10*I33</f>
        <v>0</v>
      </c>
      <c r="W33" s="186">
        <f>'GS &gt; 50 OLS Model (LC)'!$B$11*J33</f>
        <v>2501012.7689915099</v>
      </c>
      <c r="X33" s="186">
        <f>'GS &gt; 50 OLS Model (LC)'!$B$12*K33</f>
        <v>0</v>
      </c>
      <c r="Y33" s="186">
        <v>0</v>
      </c>
      <c r="Z33" s="186">
        <f>'GS &gt; 50 OLS Model (LC)'!$B$13*M33</f>
        <v>34805943.461156942</v>
      </c>
      <c r="AA33" s="186">
        <f>'GS &gt; 50 OLS Model (LC)'!$B$14*N33</f>
        <v>14249117.501484888</v>
      </c>
      <c r="AB33" s="186">
        <f t="shared" si="2"/>
        <v>84107686.987466201</v>
      </c>
      <c r="AC33" s="24">
        <f t="shared" ca="1" si="3"/>
        <v>1.2063738686476705E-2</v>
      </c>
    </row>
    <row r="34" spans="1:29">
      <c r="A34" s="128">
        <f>'Monthly Data'!A34</f>
        <v>40787</v>
      </c>
      <c r="B34" s="186">
        <f t="shared" si="1"/>
        <v>2011</v>
      </c>
      <c r="C34" s="124">
        <f ca="1">'Monthly Data'!T34</f>
        <v>75323276.540084928</v>
      </c>
      <c r="D34" s="186">
        <f>'Monthly Data'!BH34</f>
        <v>51.4</v>
      </c>
      <c r="E34" s="186">
        <f>'Monthly Data'!BI34</f>
        <v>60.199999999999989</v>
      </c>
      <c r="F34" s="186">
        <f>'Monthly Data'!BL34</f>
        <v>570633.30000000005</v>
      </c>
      <c r="G34" s="186">
        <f>'Monthly Data'!BM34</f>
        <v>33</v>
      </c>
      <c r="H34" s="186">
        <f>'Monthly Data'!BQ34</f>
        <v>0</v>
      </c>
      <c r="I34" s="186">
        <f>'Monthly Data'!BS34</f>
        <v>0</v>
      </c>
      <c r="J34" s="186">
        <f>'Monthly Data'!BU34</f>
        <v>0</v>
      </c>
      <c r="K34" s="186">
        <f>'Monthly Data'!BV34</f>
        <v>1</v>
      </c>
      <c r="L34" s="186">
        <f>'Monthly Data'!BW34</f>
        <v>0</v>
      </c>
      <c r="M34" s="186">
        <f>'Monthly Data'!CC34</f>
        <v>30</v>
      </c>
      <c r="N34" s="186">
        <f>'Monthly Data'!CD34</f>
        <v>21</v>
      </c>
      <c r="P34" s="186">
        <f>'GS &gt; 50 OLS Model (LC)'!$B$5</f>
        <v>-8436546.8467997499</v>
      </c>
      <c r="Q34" s="186">
        <f>'GS &gt; 50 OLS Model (LC)'!$B$6*D34</f>
        <v>1244754.2717911424</v>
      </c>
      <c r="R34" s="186">
        <f>'GS &gt; 50 OLS Model (LC)'!$B$7*E34</f>
        <v>4296647.5178586924</v>
      </c>
      <c r="S34" s="186">
        <f>'GS &gt; 50 OLS Model (LC)'!$B$8*F34</f>
        <v>29604185.366777766</v>
      </c>
      <c r="U34" s="186">
        <f>'GS &gt; 50 OLS Model (LC)'!$B$9*H34</f>
        <v>0</v>
      </c>
      <c r="V34" s="186">
        <f>'GS &gt; 50 OLS Model (LC)'!$B$10*I34</f>
        <v>0</v>
      </c>
      <c r="W34" s="186">
        <f>'GS &gt; 50 OLS Model (LC)'!$B$11*J34</f>
        <v>0</v>
      </c>
      <c r="X34" s="186">
        <f>'GS &gt; 50 OLS Model (LC)'!$B$12*K34</f>
        <v>2346294.5864150901</v>
      </c>
      <c r="Y34" s="186">
        <v>0</v>
      </c>
      <c r="Z34" s="186">
        <f>'GS &gt; 50 OLS Model (LC)'!$B$13*M34</f>
        <v>33683171.091442198</v>
      </c>
      <c r="AA34" s="186">
        <f>'GS &gt; 50 OLS Model (LC)'!$B$14*N34</f>
        <v>13601430.342326485</v>
      </c>
      <c r="AB34" s="186">
        <f t="shared" si="2"/>
        <v>76339936.329811633</v>
      </c>
      <c r="AC34" s="24">
        <f t="shared" ca="1" si="3"/>
        <v>1.3497285785034412E-2</v>
      </c>
    </row>
    <row r="35" spans="1:29">
      <c r="A35" s="128">
        <f>'Monthly Data'!A35</f>
        <v>40817</v>
      </c>
      <c r="B35" s="186">
        <f t="shared" si="1"/>
        <v>2011</v>
      </c>
      <c r="C35" s="124">
        <f ca="1">'Monthly Data'!T35</f>
        <v>74615749.934455335</v>
      </c>
      <c r="D35" s="186">
        <f>'Monthly Data'!BH35</f>
        <v>185.29999999999998</v>
      </c>
      <c r="E35" s="186">
        <f>'Monthly Data'!BI35</f>
        <v>2.6999999999999997</v>
      </c>
      <c r="F35" s="186">
        <f>'Monthly Data'!BL35</f>
        <v>570633.30000000005</v>
      </c>
      <c r="G35" s="186">
        <f>'Monthly Data'!BM35</f>
        <v>34</v>
      </c>
      <c r="H35" s="186">
        <f>'Monthly Data'!BQ35</f>
        <v>0</v>
      </c>
      <c r="I35" s="186">
        <f>'Monthly Data'!BS35</f>
        <v>0</v>
      </c>
      <c r="J35" s="186">
        <f>'Monthly Data'!BU35</f>
        <v>0</v>
      </c>
      <c r="K35" s="186">
        <f>'Monthly Data'!BV35</f>
        <v>0</v>
      </c>
      <c r="L35" s="186">
        <f>'Monthly Data'!BW35</f>
        <v>1</v>
      </c>
      <c r="M35" s="186">
        <f>'Monthly Data'!CC35</f>
        <v>31</v>
      </c>
      <c r="N35" s="186">
        <f>'Monthly Data'!CD35</f>
        <v>20</v>
      </c>
      <c r="P35" s="186">
        <f>'GS &gt; 50 OLS Model (LC)'!$B$5</f>
        <v>-8436546.8467997499</v>
      </c>
      <c r="Q35" s="186">
        <f>'GS &gt; 50 OLS Model (LC)'!$B$6*D35</f>
        <v>4487411.8008346045</v>
      </c>
      <c r="R35" s="186">
        <f>'GS &gt; 50 OLS Model (LC)'!$B$7*E35</f>
        <v>192706.78236243306</v>
      </c>
      <c r="S35" s="186">
        <f>'GS &gt; 50 OLS Model (LC)'!$B$8*F35</f>
        <v>29604185.366777766</v>
      </c>
      <c r="U35" s="186">
        <f>'GS &gt; 50 OLS Model (LC)'!$B$9*H35</f>
        <v>0</v>
      </c>
      <c r="V35" s="186">
        <f>'GS &gt; 50 OLS Model (LC)'!$B$10*I35</f>
        <v>0</v>
      </c>
      <c r="W35" s="186">
        <f>'GS &gt; 50 OLS Model (LC)'!$B$11*J35</f>
        <v>0</v>
      </c>
      <c r="X35" s="186">
        <f>'GS &gt; 50 OLS Model (LC)'!$B$12*K35</f>
        <v>0</v>
      </c>
      <c r="Y35" s="186">
        <v>0</v>
      </c>
      <c r="Z35" s="186">
        <f>'GS &gt; 50 OLS Model (LC)'!$B$13*M35</f>
        <v>34805943.461156942</v>
      </c>
      <c r="AA35" s="186">
        <f>'GS &gt; 50 OLS Model (LC)'!$B$14*N35</f>
        <v>12953743.18316808</v>
      </c>
      <c r="AB35" s="186">
        <f t="shared" si="2"/>
        <v>73607443.747500077</v>
      </c>
      <c r="AC35" s="24">
        <f t="shared" ca="1" si="3"/>
        <v>1.3513315725446491E-2</v>
      </c>
    </row>
    <row r="36" spans="1:29">
      <c r="A36" s="128">
        <f>'Monthly Data'!A36</f>
        <v>40848</v>
      </c>
      <c r="B36" s="186">
        <f t="shared" si="1"/>
        <v>2011</v>
      </c>
      <c r="C36" s="124">
        <f ca="1">'Monthly Data'!T36</f>
        <v>75520032.988204405</v>
      </c>
      <c r="D36" s="186">
        <f>'Monthly Data'!BH36</f>
        <v>297.2999999999999</v>
      </c>
      <c r="E36" s="186">
        <f>'Monthly Data'!BI36</f>
        <v>0</v>
      </c>
      <c r="F36" s="186">
        <f>'Monthly Data'!BL36</f>
        <v>570633.30000000005</v>
      </c>
      <c r="G36" s="186">
        <f>'Monthly Data'!BM36</f>
        <v>35</v>
      </c>
      <c r="H36" s="186">
        <f>'Monthly Data'!BQ36</f>
        <v>0</v>
      </c>
      <c r="I36" s="186">
        <f>'Monthly Data'!BS36</f>
        <v>0</v>
      </c>
      <c r="J36" s="186">
        <f>'Monthly Data'!BU36</f>
        <v>0</v>
      </c>
      <c r="K36" s="186">
        <f>'Monthly Data'!BV36</f>
        <v>0</v>
      </c>
      <c r="L36" s="186">
        <f>'Monthly Data'!BW36</f>
        <v>0</v>
      </c>
      <c r="M36" s="186">
        <f>'Monthly Data'!CC36</f>
        <v>30</v>
      </c>
      <c r="N36" s="186">
        <f>'Monthly Data'!CD36</f>
        <v>22</v>
      </c>
      <c r="P36" s="186">
        <f>'GS &gt; 50 OLS Model (LC)'!$B$5</f>
        <v>-8436546.8467997499</v>
      </c>
      <c r="Q36" s="186">
        <f>'GS &gt; 50 OLS Model (LC)'!$B$6*D36</f>
        <v>7199716.8288619937</v>
      </c>
      <c r="R36" s="186">
        <f>'GS &gt; 50 OLS Model (LC)'!$B$7*E36</f>
        <v>0</v>
      </c>
      <c r="S36" s="186">
        <f>'GS &gt; 50 OLS Model (LC)'!$B$8*F36</f>
        <v>29604185.366777766</v>
      </c>
      <c r="U36" s="186">
        <f>'GS &gt; 50 OLS Model (LC)'!$B$9*H36</f>
        <v>0</v>
      </c>
      <c r="V36" s="186">
        <f>'GS &gt; 50 OLS Model (LC)'!$B$10*I36</f>
        <v>0</v>
      </c>
      <c r="W36" s="186">
        <f>'GS &gt; 50 OLS Model (LC)'!$B$11*J36</f>
        <v>0</v>
      </c>
      <c r="X36" s="186">
        <f>'GS &gt; 50 OLS Model (LC)'!$B$12*K36</f>
        <v>0</v>
      </c>
      <c r="Y36" s="186">
        <v>0</v>
      </c>
      <c r="Z36" s="186">
        <f>'GS &gt; 50 OLS Model (LC)'!$B$13*M36</f>
        <v>33683171.091442198</v>
      </c>
      <c r="AA36" s="186">
        <f>'GS &gt; 50 OLS Model (LC)'!$B$14*N36</f>
        <v>14249117.501484888</v>
      </c>
      <c r="AB36" s="186">
        <f t="shared" si="2"/>
        <v>76299643.941767097</v>
      </c>
      <c r="AC36" s="24">
        <f t="shared" ca="1" si="3"/>
        <v>1.0323233752883298E-2</v>
      </c>
    </row>
    <row r="37" spans="1:29">
      <c r="A37" s="128">
        <f>'Monthly Data'!A37</f>
        <v>40878</v>
      </c>
      <c r="B37" s="186">
        <f t="shared" si="1"/>
        <v>2011</v>
      </c>
      <c r="C37" s="124">
        <f ca="1">'Monthly Data'!T37</f>
        <v>78915481.638556749</v>
      </c>
      <c r="D37" s="186">
        <f>'Monthly Data'!BH37</f>
        <v>485.4</v>
      </c>
      <c r="E37" s="186">
        <f>'Monthly Data'!BI37</f>
        <v>0</v>
      </c>
      <c r="F37" s="186">
        <f>'Monthly Data'!BL37</f>
        <v>570633.30000000005</v>
      </c>
      <c r="G37" s="186">
        <f>'Monthly Data'!BM37</f>
        <v>36</v>
      </c>
      <c r="H37" s="186">
        <f>'Monthly Data'!BQ37</f>
        <v>0</v>
      </c>
      <c r="I37" s="186">
        <f>'Monthly Data'!BS37</f>
        <v>0</v>
      </c>
      <c r="J37" s="186">
        <f>'Monthly Data'!BU37</f>
        <v>0</v>
      </c>
      <c r="K37" s="186">
        <f>'Monthly Data'!BV37</f>
        <v>0</v>
      </c>
      <c r="L37" s="186">
        <f>'Monthly Data'!BW37</f>
        <v>0</v>
      </c>
      <c r="M37" s="186">
        <f>'Monthly Data'!CC37</f>
        <v>31</v>
      </c>
      <c r="N37" s="186">
        <f>'Monthly Data'!CD37</f>
        <v>20</v>
      </c>
      <c r="P37" s="186">
        <f>'GS &gt; 50 OLS Model (LC)'!$B$5</f>
        <v>-8436546.8467997499</v>
      </c>
      <c r="Q37" s="186">
        <f>'GS &gt; 50 OLS Model (LC)'!$B$6*D37</f>
        <v>11754936.255397284</v>
      </c>
      <c r="R37" s="186">
        <f>'GS &gt; 50 OLS Model (LC)'!$B$7*E37</f>
        <v>0</v>
      </c>
      <c r="S37" s="186">
        <f>'GS &gt; 50 OLS Model (LC)'!$B$8*F37</f>
        <v>29604185.366777766</v>
      </c>
      <c r="U37" s="186">
        <f>'GS &gt; 50 OLS Model (LC)'!$B$9*H37</f>
        <v>0</v>
      </c>
      <c r="V37" s="186">
        <f>'GS &gt; 50 OLS Model (LC)'!$B$10*I37</f>
        <v>0</v>
      </c>
      <c r="W37" s="186">
        <f>'GS &gt; 50 OLS Model (LC)'!$B$11*J37</f>
        <v>0</v>
      </c>
      <c r="X37" s="186">
        <f>'GS &gt; 50 OLS Model (LC)'!$B$12*K37</f>
        <v>0</v>
      </c>
      <c r="Y37" s="186">
        <v>0</v>
      </c>
      <c r="Z37" s="186">
        <f>'GS &gt; 50 OLS Model (LC)'!$B$13*M37</f>
        <v>34805943.461156942</v>
      </c>
      <c r="AA37" s="186">
        <f>'GS &gt; 50 OLS Model (LC)'!$B$14*N37</f>
        <v>12953743.18316808</v>
      </c>
      <c r="AB37" s="186">
        <f t="shared" si="2"/>
        <v>80682261.419700325</v>
      </c>
      <c r="AC37" s="24">
        <f t="shared" ca="1" si="3"/>
        <v>2.2388253159698866E-2</v>
      </c>
    </row>
    <row r="38" spans="1:29">
      <c r="A38" s="128">
        <f>'Monthly Data'!A38</f>
        <v>40909</v>
      </c>
      <c r="B38" s="186">
        <f t="shared" si="1"/>
        <v>2012</v>
      </c>
      <c r="C38" s="124">
        <f ca="1">'Monthly Data'!T38</f>
        <v>83288190.285758287</v>
      </c>
      <c r="D38" s="186">
        <f>'Monthly Data'!BH38</f>
        <v>559.59999999999991</v>
      </c>
      <c r="E38" s="186">
        <f>'Monthly Data'!BI38</f>
        <v>0</v>
      </c>
      <c r="F38" s="186">
        <f>'Monthly Data'!BL38</f>
        <v>578793.9</v>
      </c>
      <c r="G38" s="186">
        <f>'Monthly Data'!BM38</f>
        <v>37</v>
      </c>
      <c r="H38" s="186">
        <f>'Monthly Data'!BQ38</f>
        <v>0</v>
      </c>
      <c r="I38" s="186">
        <f>'Monthly Data'!BS38</f>
        <v>0</v>
      </c>
      <c r="J38" s="186">
        <f>'Monthly Data'!BU38</f>
        <v>0</v>
      </c>
      <c r="K38" s="186">
        <f>'Monthly Data'!BV38</f>
        <v>0</v>
      </c>
      <c r="L38" s="186">
        <f>'Monthly Data'!BW38</f>
        <v>0</v>
      </c>
      <c r="M38" s="186">
        <f>'Monthly Data'!CC38</f>
        <v>31</v>
      </c>
      <c r="N38" s="186">
        <f>'Monthly Data'!CD38</f>
        <v>21</v>
      </c>
      <c r="P38" s="186">
        <f>'GS &gt; 50 OLS Model (LC)'!$B$5</f>
        <v>-8436546.8467997499</v>
      </c>
      <c r="Q38" s="186">
        <f>'GS &gt; 50 OLS Model (LC)'!$B$6*D38</f>
        <v>13551838.336465431</v>
      </c>
      <c r="R38" s="186">
        <f>'GS &gt; 50 OLS Model (LC)'!$B$7*E38</f>
        <v>0</v>
      </c>
      <c r="S38" s="186">
        <f>'GS &gt; 50 OLS Model (LC)'!$B$8*F38</f>
        <v>30027553.430127952</v>
      </c>
      <c r="U38" s="186">
        <f>'GS &gt; 50 OLS Model (LC)'!$B$9*H38</f>
        <v>0</v>
      </c>
      <c r="V38" s="186">
        <f>'GS &gt; 50 OLS Model (LC)'!$B$10*I38</f>
        <v>0</v>
      </c>
      <c r="W38" s="186">
        <f>'GS &gt; 50 OLS Model (LC)'!$B$11*J38</f>
        <v>0</v>
      </c>
      <c r="X38" s="186">
        <f>'GS &gt; 50 OLS Model (LC)'!$B$12*K38</f>
        <v>0</v>
      </c>
      <c r="Y38" s="186">
        <v>0</v>
      </c>
      <c r="Z38" s="186">
        <f>'GS &gt; 50 OLS Model (LC)'!$B$13*M38</f>
        <v>34805943.461156942</v>
      </c>
      <c r="AA38" s="186">
        <f>'GS &gt; 50 OLS Model (LC)'!$B$14*N38</f>
        <v>13601430.342326485</v>
      </c>
      <c r="AB38" s="186">
        <f t="shared" si="2"/>
        <v>83550218.723277062</v>
      </c>
      <c r="AC38" s="24">
        <f t="shared" ca="1" si="3"/>
        <v>3.1460455152137043E-3</v>
      </c>
    </row>
    <row r="39" spans="1:29">
      <c r="A39" s="128">
        <f>'Monthly Data'!A39</f>
        <v>40940</v>
      </c>
      <c r="B39" s="186">
        <f t="shared" si="1"/>
        <v>2012</v>
      </c>
      <c r="C39" s="124">
        <f ca="1">'Monthly Data'!T39</f>
        <v>78654916.51969178</v>
      </c>
      <c r="D39" s="186">
        <f>'Monthly Data'!BH39</f>
        <v>492.40000000000003</v>
      </c>
      <c r="E39" s="186">
        <f>'Monthly Data'!BI39</f>
        <v>0</v>
      </c>
      <c r="F39" s="186">
        <f>'Monthly Data'!BL39</f>
        <v>578793.9</v>
      </c>
      <c r="G39" s="186">
        <f>'Monthly Data'!BM39</f>
        <v>38</v>
      </c>
      <c r="H39" s="186">
        <f>'Monthly Data'!BQ39</f>
        <v>0</v>
      </c>
      <c r="I39" s="186">
        <f>'Monthly Data'!BS39</f>
        <v>0</v>
      </c>
      <c r="J39" s="186">
        <f>'Monthly Data'!BU39</f>
        <v>0</v>
      </c>
      <c r="K39" s="186">
        <f>'Monthly Data'!BV39</f>
        <v>0</v>
      </c>
      <c r="L39" s="186">
        <f>'Monthly Data'!BW39</f>
        <v>0</v>
      </c>
      <c r="M39" s="186">
        <f>'Monthly Data'!CC39</f>
        <v>29</v>
      </c>
      <c r="N39" s="186">
        <f>'Monthly Data'!CD39</f>
        <v>20</v>
      </c>
      <c r="P39" s="186">
        <f>'GS &gt; 50 OLS Model (LC)'!$B$5</f>
        <v>-8436546.8467997499</v>
      </c>
      <c r="Q39" s="186">
        <f>'GS &gt; 50 OLS Model (LC)'!$B$6*D39</f>
        <v>11924455.319648998</v>
      </c>
      <c r="R39" s="186">
        <f>'GS &gt; 50 OLS Model (LC)'!$B$7*E39</f>
        <v>0</v>
      </c>
      <c r="S39" s="186">
        <f>'GS &gt; 50 OLS Model (LC)'!$B$8*F39</f>
        <v>30027553.430127952</v>
      </c>
      <c r="U39" s="186">
        <f>'GS &gt; 50 OLS Model (LC)'!$B$9*H39</f>
        <v>0</v>
      </c>
      <c r="V39" s="186">
        <f>'GS &gt; 50 OLS Model (LC)'!$B$10*I39</f>
        <v>0</v>
      </c>
      <c r="W39" s="186">
        <f>'GS &gt; 50 OLS Model (LC)'!$B$11*J39</f>
        <v>0</v>
      </c>
      <c r="X39" s="186">
        <f>'GS &gt; 50 OLS Model (LC)'!$B$12*K39</f>
        <v>0</v>
      </c>
      <c r="Y39" s="186">
        <v>0</v>
      </c>
      <c r="Z39" s="186">
        <f>'GS &gt; 50 OLS Model (LC)'!$B$13*M39</f>
        <v>32560398.721727461</v>
      </c>
      <c r="AA39" s="186">
        <f>'GS &gt; 50 OLS Model (LC)'!$B$14*N39</f>
        <v>12953743.18316808</v>
      </c>
      <c r="AB39" s="186">
        <f t="shared" si="2"/>
        <v>79029603.807872742</v>
      </c>
      <c r="AC39" s="24">
        <f t="shared" ca="1" si="3"/>
        <v>4.7636855362646882E-3</v>
      </c>
    </row>
    <row r="40" spans="1:29">
      <c r="A40" s="128">
        <f>'Monthly Data'!A40</f>
        <v>40969</v>
      </c>
      <c r="B40" s="186">
        <f t="shared" si="1"/>
        <v>2012</v>
      </c>
      <c r="C40" s="124">
        <f ca="1">'Monthly Data'!T40</f>
        <v>78745075.172397777</v>
      </c>
      <c r="D40" s="186">
        <f>'Monthly Data'!BH40</f>
        <v>250.79999999999995</v>
      </c>
      <c r="E40" s="186">
        <f>'Monthly Data'!BI40</f>
        <v>4.8</v>
      </c>
      <c r="F40" s="186">
        <f>'Monthly Data'!BL40</f>
        <v>578793.9</v>
      </c>
      <c r="G40" s="186">
        <f>'Monthly Data'!BM40</f>
        <v>39</v>
      </c>
      <c r="H40" s="186">
        <f>'Monthly Data'!BQ40</f>
        <v>0</v>
      </c>
      <c r="I40" s="186">
        <f>'Monthly Data'!BS40</f>
        <v>0</v>
      </c>
      <c r="J40" s="186">
        <f>'Monthly Data'!BU40</f>
        <v>0</v>
      </c>
      <c r="K40" s="186">
        <f>'Monthly Data'!BV40</f>
        <v>0</v>
      </c>
      <c r="L40" s="186">
        <f>'Monthly Data'!BW40</f>
        <v>0</v>
      </c>
      <c r="M40" s="186">
        <f>'Monthly Data'!CC40</f>
        <v>31</v>
      </c>
      <c r="N40" s="186">
        <f>'Monthly Data'!CD40</f>
        <v>22</v>
      </c>
      <c r="P40" s="186">
        <f>'GS &gt; 50 OLS Model (LC)'!$B$5</f>
        <v>-8436546.8467997499</v>
      </c>
      <c r="Q40" s="186">
        <f>'GS &gt; 50 OLS Model (LC)'!$B$6*D40</f>
        <v>6073625.9020470511</v>
      </c>
      <c r="R40" s="186">
        <f>'GS &gt; 50 OLS Model (LC)'!$B$7*E40</f>
        <v>342589.83531099214</v>
      </c>
      <c r="S40" s="186">
        <f>'GS &gt; 50 OLS Model (LC)'!$B$8*F40</f>
        <v>30027553.430127952</v>
      </c>
      <c r="U40" s="186">
        <f>'GS &gt; 50 OLS Model (LC)'!$B$9*H40</f>
        <v>0</v>
      </c>
      <c r="V40" s="186">
        <f>'GS &gt; 50 OLS Model (LC)'!$B$10*I40</f>
        <v>0</v>
      </c>
      <c r="W40" s="186">
        <f>'GS &gt; 50 OLS Model (LC)'!$B$11*J40</f>
        <v>0</v>
      </c>
      <c r="X40" s="186">
        <f>'GS &gt; 50 OLS Model (LC)'!$B$12*K40</f>
        <v>0</v>
      </c>
      <c r="Y40" s="186">
        <v>0</v>
      </c>
      <c r="Z40" s="186">
        <f>'GS &gt; 50 OLS Model (LC)'!$B$13*M40</f>
        <v>34805943.461156942</v>
      </c>
      <c r="AA40" s="186">
        <f>'GS &gt; 50 OLS Model (LC)'!$B$14*N40</f>
        <v>14249117.501484888</v>
      </c>
      <c r="AB40" s="186">
        <f t="shared" si="2"/>
        <v>77062283.283328071</v>
      </c>
      <c r="AC40" s="24">
        <f t="shared" ca="1" si="3"/>
        <v>2.13701223268318E-2</v>
      </c>
    </row>
    <row r="41" spans="1:29">
      <c r="A41" s="128">
        <f>'Monthly Data'!A41</f>
        <v>41000</v>
      </c>
      <c r="B41" s="186">
        <f t="shared" si="1"/>
        <v>2012</v>
      </c>
      <c r="C41" s="124">
        <f ca="1">'Monthly Data'!T41</f>
        <v>70171446.615070298</v>
      </c>
      <c r="D41" s="186">
        <f>'Monthly Data'!BH41</f>
        <v>252.49999999999991</v>
      </c>
      <c r="E41" s="186">
        <f>'Monthly Data'!BI41</f>
        <v>4.3</v>
      </c>
      <c r="F41" s="186">
        <f>'Monthly Data'!BL41</f>
        <v>578793.9</v>
      </c>
      <c r="G41" s="186">
        <f>'Monthly Data'!BM41</f>
        <v>40</v>
      </c>
      <c r="H41" s="186">
        <f>'Monthly Data'!BQ41</f>
        <v>1</v>
      </c>
      <c r="I41" s="186">
        <f>'Monthly Data'!BS41</f>
        <v>0</v>
      </c>
      <c r="J41" s="186">
        <f>'Monthly Data'!BU41</f>
        <v>0</v>
      </c>
      <c r="K41" s="186">
        <f>'Monthly Data'!BV41</f>
        <v>0</v>
      </c>
      <c r="L41" s="186">
        <f>'Monthly Data'!BW41</f>
        <v>0</v>
      </c>
      <c r="M41" s="186">
        <f>'Monthly Data'!CC41</f>
        <v>30</v>
      </c>
      <c r="N41" s="186">
        <f>'Monthly Data'!CD41</f>
        <v>19</v>
      </c>
      <c r="P41" s="186">
        <f>'GS &gt; 50 OLS Model (LC)'!$B$5</f>
        <v>-8436546.8467997499</v>
      </c>
      <c r="Q41" s="186">
        <f>'GS &gt; 50 OLS Model (LC)'!$B$6*D41</f>
        <v>6114794.8176510381</v>
      </c>
      <c r="R41" s="186">
        <f>'GS &gt; 50 OLS Model (LC)'!$B$7*E41</f>
        <v>306903.39413276379</v>
      </c>
      <c r="S41" s="186">
        <f>'GS &gt; 50 OLS Model (LC)'!$B$8*F41</f>
        <v>30027553.430127952</v>
      </c>
      <c r="U41" s="186">
        <f>'GS &gt; 50 OLS Model (LC)'!$B$9*H41</f>
        <v>-1670517.9110053701</v>
      </c>
      <c r="V41" s="186">
        <f>'GS &gt; 50 OLS Model (LC)'!$B$10*I41</f>
        <v>0</v>
      </c>
      <c r="W41" s="186">
        <f>'GS &gt; 50 OLS Model (LC)'!$B$11*J41</f>
        <v>0</v>
      </c>
      <c r="X41" s="186">
        <f>'GS &gt; 50 OLS Model (LC)'!$B$12*K41</f>
        <v>0</v>
      </c>
      <c r="Y41" s="186">
        <v>0</v>
      </c>
      <c r="Z41" s="186">
        <f>'GS &gt; 50 OLS Model (LC)'!$B$13*M41</f>
        <v>33683171.091442198</v>
      </c>
      <c r="AA41" s="186">
        <f>'GS &gt; 50 OLS Model (LC)'!$B$14*N41</f>
        <v>12306056.024009675</v>
      </c>
      <c r="AB41" s="186">
        <f t="shared" si="2"/>
        <v>72331413.999558508</v>
      </c>
      <c r="AC41" s="24">
        <f t="shared" ca="1" si="3"/>
        <v>3.0781286245056931E-2</v>
      </c>
    </row>
    <row r="42" spans="1:29">
      <c r="A42" s="128">
        <f>'Monthly Data'!A42</f>
        <v>41030</v>
      </c>
      <c r="B42" s="186">
        <f t="shared" si="1"/>
        <v>2012</v>
      </c>
      <c r="C42" s="124">
        <f ca="1">'Monthly Data'!T42</f>
        <v>76476013.338874042</v>
      </c>
      <c r="D42" s="186">
        <f>'Monthly Data'!BH42</f>
        <v>48.2</v>
      </c>
      <c r="E42" s="186">
        <f>'Monthly Data'!BI42</f>
        <v>59.3</v>
      </c>
      <c r="F42" s="186">
        <f>'Monthly Data'!BL42</f>
        <v>578793.9</v>
      </c>
      <c r="G42" s="186">
        <f>'Monthly Data'!BM42</f>
        <v>41</v>
      </c>
      <c r="H42" s="186">
        <f>'Monthly Data'!BQ42</f>
        <v>0</v>
      </c>
      <c r="I42" s="186">
        <f>'Monthly Data'!BS42</f>
        <v>0</v>
      </c>
      <c r="J42" s="186">
        <f>'Monthly Data'!BU42</f>
        <v>0</v>
      </c>
      <c r="K42" s="186">
        <f>'Monthly Data'!BV42</f>
        <v>0</v>
      </c>
      <c r="L42" s="186">
        <f>'Monthly Data'!BW42</f>
        <v>0</v>
      </c>
      <c r="M42" s="186">
        <f>'Monthly Data'!CC42</f>
        <v>31</v>
      </c>
      <c r="N42" s="186">
        <f>'Monthly Data'!CD42</f>
        <v>22</v>
      </c>
      <c r="P42" s="186">
        <f>'GS &gt; 50 OLS Model (LC)'!$B$5</f>
        <v>-8436546.8467997499</v>
      </c>
      <c r="Q42" s="186">
        <f>'GS &gt; 50 OLS Model (LC)'!$B$6*D42</f>
        <v>1167259.8424189312</v>
      </c>
      <c r="R42" s="186">
        <f>'GS &gt; 50 OLS Model (LC)'!$B$7*E42</f>
        <v>4232411.9237378817</v>
      </c>
      <c r="S42" s="186">
        <f>'GS &gt; 50 OLS Model (LC)'!$B$8*F42</f>
        <v>30027553.430127952</v>
      </c>
      <c r="U42" s="186">
        <f>'GS &gt; 50 OLS Model (LC)'!$B$9*H42</f>
        <v>0</v>
      </c>
      <c r="V42" s="186">
        <f>'GS &gt; 50 OLS Model (LC)'!$B$10*I42</f>
        <v>0</v>
      </c>
      <c r="W42" s="186">
        <f>'GS &gt; 50 OLS Model (LC)'!$B$11*J42</f>
        <v>0</v>
      </c>
      <c r="X42" s="186">
        <f>'GS &gt; 50 OLS Model (LC)'!$B$12*K42</f>
        <v>0</v>
      </c>
      <c r="Y42" s="186">
        <v>0</v>
      </c>
      <c r="Z42" s="186">
        <f>'GS &gt; 50 OLS Model (LC)'!$B$13*M42</f>
        <v>34805943.461156942</v>
      </c>
      <c r="AA42" s="186">
        <f>'GS &gt; 50 OLS Model (LC)'!$B$14*N42</f>
        <v>14249117.501484888</v>
      </c>
      <c r="AB42" s="186">
        <f t="shared" si="2"/>
        <v>76045739.312126845</v>
      </c>
      <c r="AC42" s="24">
        <f t="shared" ca="1" si="3"/>
        <v>5.6262612021968647E-3</v>
      </c>
    </row>
    <row r="43" spans="1:29">
      <c r="A43" s="128">
        <f>'Monthly Data'!A43</f>
        <v>41061</v>
      </c>
      <c r="B43" s="186">
        <f t="shared" si="1"/>
        <v>2012</v>
      </c>
      <c r="C43" s="124">
        <f ca="1">'Monthly Data'!T43</f>
        <v>80853337.839558035</v>
      </c>
      <c r="D43" s="186">
        <f>'Monthly Data'!BH43</f>
        <v>10.3</v>
      </c>
      <c r="E43" s="186">
        <f>'Monthly Data'!BI43</f>
        <v>147.09999999999997</v>
      </c>
      <c r="F43" s="186">
        <f>'Monthly Data'!BL43</f>
        <v>578793.9</v>
      </c>
      <c r="G43" s="186">
        <f>'Monthly Data'!BM43</f>
        <v>42</v>
      </c>
      <c r="H43" s="186">
        <f>'Monthly Data'!BQ43</f>
        <v>0</v>
      </c>
      <c r="I43" s="186">
        <f>'Monthly Data'!BS43</f>
        <v>1</v>
      </c>
      <c r="J43" s="186">
        <f>'Monthly Data'!BU43</f>
        <v>0</v>
      </c>
      <c r="K43" s="186">
        <f>'Monthly Data'!BV43</f>
        <v>0</v>
      </c>
      <c r="L43" s="186">
        <f>'Monthly Data'!BW43</f>
        <v>0</v>
      </c>
      <c r="M43" s="186">
        <f>'Monthly Data'!CC43</f>
        <v>30</v>
      </c>
      <c r="N43" s="186">
        <f>'Monthly Data'!CD43</f>
        <v>21</v>
      </c>
      <c r="P43" s="186">
        <f>'GS &gt; 50 OLS Model (LC)'!$B$5</f>
        <v>-8436546.8467997499</v>
      </c>
      <c r="Q43" s="186">
        <f>'GS &gt; 50 OLS Model (LC)'!$B$6*D43</f>
        <v>249435.19454180481</v>
      </c>
      <c r="R43" s="186">
        <f>'GS &gt; 50 OLS Model (LC)'!$B$7*E43</f>
        <v>10498950.994634777</v>
      </c>
      <c r="S43" s="186">
        <f>'GS &gt; 50 OLS Model (LC)'!$B$8*F43</f>
        <v>30027553.430127952</v>
      </c>
      <c r="U43" s="186">
        <f>'GS &gt; 50 OLS Model (LC)'!$B$9*H43</f>
        <v>0</v>
      </c>
      <c r="V43" s="186">
        <f>'GS &gt; 50 OLS Model (LC)'!$B$10*I43</f>
        <v>1260255.0136768401</v>
      </c>
      <c r="W43" s="186">
        <f>'GS &gt; 50 OLS Model (LC)'!$B$11*J43</f>
        <v>0</v>
      </c>
      <c r="X43" s="186">
        <f>'GS &gt; 50 OLS Model (LC)'!$B$12*K43</f>
        <v>0</v>
      </c>
      <c r="Y43" s="186">
        <v>0</v>
      </c>
      <c r="Z43" s="186">
        <f>'GS &gt; 50 OLS Model (LC)'!$B$13*M43</f>
        <v>33683171.091442198</v>
      </c>
      <c r="AA43" s="186">
        <f>'GS &gt; 50 OLS Model (LC)'!$B$14*N43</f>
        <v>13601430.342326485</v>
      </c>
      <c r="AB43" s="186">
        <f t="shared" si="2"/>
        <v>80884249.219950318</v>
      </c>
      <c r="AC43" s="24">
        <f t="shared" ca="1" si="3"/>
        <v>3.8231421507449014E-4</v>
      </c>
    </row>
    <row r="44" spans="1:29">
      <c r="A44" s="128">
        <f>'Monthly Data'!A44</f>
        <v>41091</v>
      </c>
      <c r="B44" s="186">
        <f t="shared" si="1"/>
        <v>2012</v>
      </c>
      <c r="C44" s="124">
        <f ca="1">'Monthly Data'!T44</f>
        <v>86305793.146108955</v>
      </c>
      <c r="D44" s="186">
        <f>'Monthly Data'!BH44</f>
        <v>0</v>
      </c>
      <c r="E44" s="186">
        <f>'Monthly Data'!BI44</f>
        <v>235.50000000000009</v>
      </c>
      <c r="F44" s="186">
        <f>'Monthly Data'!BL44</f>
        <v>578793.9</v>
      </c>
      <c r="G44" s="186">
        <f>'Monthly Data'!BM44</f>
        <v>43</v>
      </c>
      <c r="H44" s="186">
        <f>'Monthly Data'!BQ44</f>
        <v>0</v>
      </c>
      <c r="I44" s="186">
        <f>'Monthly Data'!BS44</f>
        <v>0</v>
      </c>
      <c r="J44" s="186">
        <f>'Monthly Data'!BU44</f>
        <v>0</v>
      </c>
      <c r="K44" s="186">
        <f>'Monthly Data'!BV44</f>
        <v>0</v>
      </c>
      <c r="L44" s="186">
        <f>'Monthly Data'!BW44</f>
        <v>0</v>
      </c>
      <c r="M44" s="186">
        <f>'Monthly Data'!CC44</f>
        <v>31</v>
      </c>
      <c r="N44" s="186">
        <f>'Monthly Data'!CD44</f>
        <v>21</v>
      </c>
      <c r="P44" s="186">
        <f>'GS &gt; 50 OLS Model (LC)'!$B$5</f>
        <v>-8436546.8467997499</v>
      </c>
      <c r="Q44" s="186">
        <f>'GS &gt; 50 OLS Model (LC)'!$B$6*D44</f>
        <v>0</v>
      </c>
      <c r="R44" s="186">
        <f>'GS &gt; 50 OLS Model (LC)'!$B$7*E44</f>
        <v>16808313.79494556</v>
      </c>
      <c r="S44" s="186">
        <f>'GS &gt; 50 OLS Model (LC)'!$B$8*F44</f>
        <v>30027553.430127952</v>
      </c>
      <c r="U44" s="186">
        <f>'GS &gt; 50 OLS Model (LC)'!$B$9*H44</f>
        <v>0</v>
      </c>
      <c r="V44" s="186">
        <f>'GS &gt; 50 OLS Model (LC)'!$B$10*I44</f>
        <v>0</v>
      </c>
      <c r="W44" s="186">
        <f>'GS &gt; 50 OLS Model (LC)'!$B$11*J44</f>
        <v>0</v>
      </c>
      <c r="X44" s="186">
        <f>'GS &gt; 50 OLS Model (LC)'!$B$12*K44</f>
        <v>0</v>
      </c>
      <c r="Y44" s="186">
        <v>0</v>
      </c>
      <c r="Z44" s="186">
        <f>'GS &gt; 50 OLS Model (LC)'!$B$13*M44</f>
        <v>34805943.461156942</v>
      </c>
      <c r="AA44" s="186">
        <f>'GS &gt; 50 OLS Model (LC)'!$B$14*N44</f>
        <v>13601430.342326485</v>
      </c>
      <c r="AB44" s="186">
        <f t="shared" si="2"/>
        <v>86806694.181757182</v>
      </c>
      <c r="AC44" s="24">
        <f t="shared" ca="1" si="3"/>
        <v>5.8037938982872274E-3</v>
      </c>
    </row>
    <row r="45" spans="1:29">
      <c r="A45" s="128">
        <f>'Monthly Data'!A45</f>
        <v>41122</v>
      </c>
      <c r="B45" s="186">
        <f t="shared" si="1"/>
        <v>2012</v>
      </c>
      <c r="C45" s="124">
        <f ca="1">'Monthly Data'!T45</f>
        <v>84730807.802490592</v>
      </c>
      <c r="D45" s="186">
        <f>'Monthly Data'!BH45</f>
        <v>0.7</v>
      </c>
      <c r="E45" s="186">
        <f>'Monthly Data'!BI45</f>
        <v>143.69999999999999</v>
      </c>
      <c r="F45" s="186">
        <f>'Monthly Data'!BL45</f>
        <v>578793.9</v>
      </c>
      <c r="G45" s="186">
        <f>'Monthly Data'!BM45</f>
        <v>44</v>
      </c>
      <c r="H45" s="186">
        <f>'Monthly Data'!BQ45</f>
        <v>0</v>
      </c>
      <c r="I45" s="186">
        <f>'Monthly Data'!BS45</f>
        <v>0</v>
      </c>
      <c r="J45" s="186">
        <f>'Monthly Data'!BU45</f>
        <v>1</v>
      </c>
      <c r="K45" s="186">
        <f>'Monthly Data'!BV45</f>
        <v>0</v>
      </c>
      <c r="L45" s="186">
        <f>'Monthly Data'!BW45</f>
        <v>0</v>
      </c>
      <c r="M45" s="186">
        <f>'Monthly Data'!CC45</f>
        <v>31</v>
      </c>
      <c r="N45" s="186">
        <f>'Monthly Data'!CD45</f>
        <v>22</v>
      </c>
      <c r="P45" s="186">
        <f>'GS &gt; 50 OLS Model (LC)'!$B$5</f>
        <v>-8436546.8467997499</v>
      </c>
      <c r="Q45" s="186">
        <f>'GS &gt; 50 OLS Model (LC)'!$B$6*D45</f>
        <v>16951.906425171197</v>
      </c>
      <c r="R45" s="186">
        <f>'GS &gt; 50 OLS Model (LC)'!$B$7*E45</f>
        <v>10256283.194622828</v>
      </c>
      <c r="S45" s="186">
        <f>'GS &gt; 50 OLS Model (LC)'!$B$8*F45</f>
        <v>30027553.430127952</v>
      </c>
      <c r="U45" s="186">
        <f>'GS &gt; 50 OLS Model (LC)'!$B$9*H45</f>
        <v>0</v>
      </c>
      <c r="V45" s="186">
        <f>'GS &gt; 50 OLS Model (LC)'!$B$10*I45</f>
        <v>0</v>
      </c>
      <c r="W45" s="186">
        <f>'GS &gt; 50 OLS Model (LC)'!$B$11*J45</f>
        <v>2501012.7689915099</v>
      </c>
      <c r="X45" s="186">
        <f>'GS &gt; 50 OLS Model (LC)'!$B$12*K45</f>
        <v>0</v>
      </c>
      <c r="Y45" s="186">
        <v>0</v>
      </c>
      <c r="Z45" s="186">
        <f>'GS &gt; 50 OLS Model (LC)'!$B$13*M45</f>
        <v>34805943.461156942</v>
      </c>
      <c r="AA45" s="186">
        <f>'GS &gt; 50 OLS Model (LC)'!$B$14*N45</f>
        <v>14249117.501484888</v>
      </c>
      <c r="AB45" s="186">
        <f t="shared" si="2"/>
        <v>83420315.41600953</v>
      </c>
      <c r="AC45" s="24">
        <f t="shared" ca="1" si="3"/>
        <v>1.5466539508697339E-2</v>
      </c>
    </row>
    <row r="46" spans="1:29">
      <c r="A46" s="128">
        <f>'Monthly Data'!A46</f>
        <v>41153</v>
      </c>
      <c r="B46" s="186">
        <f t="shared" si="1"/>
        <v>2012</v>
      </c>
      <c r="C46" s="124">
        <f ca="1">'Monthly Data'!T46</f>
        <v>75430602.576494262</v>
      </c>
      <c r="D46" s="186">
        <f>'Monthly Data'!BH46</f>
        <v>53.2</v>
      </c>
      <c r="E46" s="186">
        <f>'Monthly Data'!BI46</f>
        <v>50.29999999999999</v>
      </c>
      <c r="F46" s="186">
        <f>'Monthly Data'!BL46</f>
        <v>578793.9</v>
      </c>
      <c r="G46" s="186">
        <f>'Monthly Data'!BM46</f>
        <v>45</v>
      </c>
      <c r="H46" s="186">
        <f>'Monthly Data'!BQ46</f>
        <v>0</v>
      </c>
      <c r="I46" s="186">
        <f>'Monthly Data'!BS46</f>
        <v>0</v>
      </c>
      <c r="J46" s="186">
        <f>'Monthly Data'!BU46</f>
        <v>0</v>
      </c>
      <c r="K46" s="186">
        <f>'Monthly Data'!BV46</f>
        <v>1</v>
      </c>
      <c r="L46" s="186">
        <f>'Monthly Data'!BW46</f>
        <v>0</v>
      </c>
      <c r="M46" s="186">
        <f>'Monthly Data'!CC46</f>
        <v>30</v>
      </c>
      <c r="N46" s="186">
        <f>'Monthly Data'!CD46</f>
        <v>19</v>
      </c>
      <c r="P46" s="186">
        <f>'GS &gt; 50 OLS Model (LC)'!$B$5</f>
        <v>-8436546.8467997499</v>
      </c>
      <c r="Q46" s="186">
        <f>'GS &gt; 50 OLS Model (LC)'!$B$6*D46</f>
        <v>1288344.8883130113</v>
      </c>
      <c r="R46" s="186">
        <f>'GS &gt; 50 OLS Model (LC)'!$B$7*E46</f>
        <v>3590055.982529771</v>
      </c>
      <c r="S46" s="186">
        <f>'GS &gt; 50 OLS Model (LC)'!$B$8*F46</f>
        <v>30027553.430127952</v>
      </c>
      <c r="U46" s="186">
        <f>'GS &gt; 50 OLS Model (LC)'!$B$9*H46</f>
        <v>0</v>
      </c>
      <c r="V46" s="186">
        <f>'GS &gt; 50 OLS Model (LC)'!$B$10*I46</f>
        <v>0</v>
      </c>
      <c r="W46" s="186">
        <f>'GS &gt; 50 OLS Model (LC)'!$B$11*J46</f>
        <v>0</v>
      </c>
      <c r="X46" s="186">
        <f>'GS &gt; 50 OLS Model (LC)'!$B$12*K46</f>
        <v>2346294.5864150901</v>
      </c>
      <c r="Y46" s="186">
        <v>0</v>
      </c>
      <c r="Z46" s="186">
        <f>'GS &gt; 50 OLS Model (LC)'!$B$13*M46</f>
        <v>33683171.091442198</v>
      </c>
      <c r="AA46" s="186">
        <f>'GS &gt; 50 OLS Model (LC)'!$B$14*N46</f>
        <v>12306056.024009675</v>
      </c>
      <c r="AB46" s="186">
        <f t="shared" si="2"/>
        <v>74804929.156037942</v>
      </c>
      <c r="AC46" s="24">
        <f t="shared" ca="1" si="3"/>
        <v>8.2946894109963386E-3</v>
      </c>
    </row>
    <row r="47" spans="1:29">
      <c r="A47" s="128">
        <f>'Monthly Data'!A47</f>
        <v>41183</v>
      </c>
      <c r="B47" s="186">
        <f t="shared" si="1"/>
        <v>2012</v>
      </c>
      <c r="C47" s="124">
        <f ca="1">'Monthly Data'!T47</f>
        <v>75643415.791813552</v>
      </c>
      <c r="D47" s="186">
        <f>'Monthly Data'!BH47</f>
        <v>207.19999999999996</v>
      </c>
      <c r="E47" s="186">
        <f>'Monthly Data'!BI47</f>
        <v>5.6</v>
      </c>
      <c r="F47" s="186">
        <f>'Monthly Data'!BL47</f>
        <v>578793.9</v>
      </c>
      <c r="G47" s="186">
        <f>'Monthly Data'!BM47</f>
        <v>46</v>
      </c>
      <c r="H47" s="186">
        <f>'Monthly Data'!BQ47</f>
        <v>0</v>
      </c>
      <c r="I47" s="186">
        <f>'Monthly Data'!BS47</f>
        <v>0</v>
      </c>
      <c r="J47" s="186">
        <f>'Monthly Data'!BU47</f>
        <v>0</v>
      </c>
      <c r="K47" s="186">
        <f>'Monthly Data'!BV47</f>
        <v>0</v>
      </c>
      <c r="L47" s="186">
        <f>'Monthly Data'!BW47</f>
        <v>1</v>
      </c>
      <c r="M47" s="186">
        <f>'Monthly Data'!CC47</f>
        <v>31</v>
      </c>
      <c r="N47" s="186">
        <f>'Monthly Data'!CD47</f>
        <v>22</v>
      </c>
      <c r="P47" s="186">
        <f>'GS &gt; 50 OLS Model (LC)'!$B$5</f>
        <v>-8436546.8467997499</v>
      </c>
      <c r="Q47" s="186">
        <f>'GS &gt; 50 OLS Model (LC)'!$B$6*D47</f>
        <v>5017764.3018506737</v>
      </c>
      <c r="R47" s="186">
        <f>'GS &gt; 50 OLS Model (LC)'!$B$7*E47</f>
        <v>399688.14119615749</v>
      </c>
      <c r="S47" s="186">
        <f>'GS &gt; 50 OLS Model (LC)'!$B$8*F47</f>
        <v>30027553.430127952</v>
      </c>
      <c r="U47" s="186">
        <f>'GS &gt; 50 OLS Model (LC)'!$B$9*H47</f>
        <v>0</v>
      </c>
      <c r="V47" s="186">
        <f>'GS &gt; 50 OLS Model (LC)'!$B$10*I47</f>
        <v>0</v>
      </c>
      <c r="W47" s="186">
        <f>'GS &gt; 50 OLS Model (LC)'!$B$11*J47</f>
        <v>0</v>
      </c>
      <c r="X47" s="186">
        <f>'GS &gt; 50 OLS Model (LC)'!$B$12*K47</f>
        <v>0</v>
      </c>
      <c r="Y47" s="186">
        <v>0</v>
      </c>
      <c r="Z47" s="186">
        <f>'GS &gt; 50 OLS Model (LC)'!$B$13*M47</f>
        <v>34805943.461156942</v>
      </c>
      <c r="AA47" s="186">
        <f>'GS &gt; 50 OLS Model (LC)'!$B$14*N47</f>
        <v>14249117.501484888</v>
      </c>
      <c r="AB47" s="186">
        <f t="shared" si="2"/>
        <v>76063519.989016861</v>
      </c>
      <c r="AC47" s="24">
        <f t="shared" ca="1" si="3"/>
        <v>5.553744404662035E-3</v>
      </c>
    </row>
    <row r="48" spans="1:29">
      <c r="A48" s="128">
        <f>'Monthly Data'!A48</f>
        <v>41214</v>
      </c>
      <c r="B48" s="186">
        <f t="shared" si="1"/>
        <v>2012</v>
      </c>
      <c r="C48" s="124">
        <f ca="1">'Monthly Data'!T48</f>
        <v>76619857.861313909</v>
      </c>
      <c r="D48" s="186">
        <f>'Monthly Data'!BH48</f>
        <v>405.49999999999994</v>
      </c>
      <c r="E48" s="186">
        <f>'Monthly Data'!BI48</f>
        <v>0</v>
      </c>
      <c r="F48" s="186">
        <f>'Monthly Data'!BL48</f>
        <v>578793.9</v>
      </c>
      <c r="G48" s="186">
        <f>'Monthly Data'!BM48</f>
        <v>47</v>
      </c>
      <c r="H48" s="186">
        <f>'Monthly Data'!BQ48</f>
        <v>0</v>
      </c>
      <c r="I48" s="186">
        <f>'Monthly Data'!BS48</f>
        <v>0</v>
      </c>
      <c r="J48" s="186">
        <f>'Monthly Data'!BU48</f>
        <v>0</v>
      </c>
      <c r="K48" s="186">
        <f>'Monthly Data'!BV48</f>
        <v>0</v>
      </c>
      <c r="L48" s="186">
        <f>'Monthly Data'!BW48</f>
        <v>0</v>
      </c>
      <c r="M48" s="186">
        <f>'Monthly Data'!CC48</f>
        <v>30</v>
      </c>
      <c r="N48" s="186">
        <f>'Monthly Data'!CD48</f>
        <v>22</v>
      </c>
      <c r="P48" s="186">
        <f>'GS &gt; 50 OLS Model (LC)'!$B$5</f>
        <v>-8436546.8467997499</v>
      </c>
      <c r="Q48" s="186">
        <f>'GS &gt; 50 OLS Model (LC)'!$B$6*D48</f>
        <v>9819997.2220098861</v>
      </c>
      <c r="R48" s="186">
        <f>'GS &gt; 50 OLS Model (LC)'!$B$7*E48</f>
        <v>0</v>
      </c>
      <c r="S48" s="186">
        <f>'GS &gt; 50 OLS Model (LC)'!$B$8*F48</f>
        <v>30027553.430127952</v>
      </c>
      <c r="U48" s="186">
        <f>'GS &gt; 50 OLS Model (LC)'!$B$9*H48</f>
        <v>0</v>
      </c>
      <c r="V48" s="186">
        <f>'GS &gt; 50 OLS Model (LC)'!$B$10*I48</f>
        <v>0</v>
      </c>
      <c r="W48" s="186">
        <f>'GS &gt; 50 OLS Model (LC)'!$B$11*J48</f>
        <v>0</v>
      </c>
      <c r="X48" s="186">
        <f>'GS &gt; 50 OLS Model (LC)'!$B$12*K48</f>
        <v>0</v>
      </c>
      <c r="Y48" s="186">
        <v>0</v>
      </c>
      <c r="Z48" s="186">
        <f>'GS &gt; 50 OLS Model (LC)'!$B$13*M48</f>
        <v>33683171.091442198</v>
      </c>
      <c r="AA48" s="186">
        <f>'GS &gt; 50 OLS Model (LC)'!$B$14*N48</f>
        <v>14249117.501484888</v>
      </c>
      <c r="AB48" s="186">
        <f t="shared" si="2"/>
        <v>79343292.398265168</v>
      </c>
      <c r="AC48" s="24">
        <f t="shared" ca="1" si="3"/>
        <v>3.5544761018492396E-2</v>
      </c>
    </row>
    <row r="49" spans="1:29">
      <c r="A49" s="128">
        <f>'Monthly Data'!A49</f>
        <v>41244</v>
      </c>
      <c r="B49" s="186">
        <f t="shared" si="1"/>
        <v>2012</v>
      </c>
      <c r="C49" s="124">
        <f ca="1">'Monthly Data'!T49</f>
        <v>77899563.092276812</v>
      </c>
      <c r="D49" s="186">
        <f>'Monthly Data'!BH49</f>
        <v>484.20000000000005</v>
      </c>
      <c r="E49" s="186">
        <f>'Monthly Data'!BI49</f>
        <v>0</v>
      </c>
      <c r="F49" s="186">
        <f>'Monthly Data'!BL49</f>
        <v>578793.9</v>
      </c>
      <c r="G49" s="186">
        <f>'Monthly Data'!BM49</f>
        <v>48</v>
      </c>
      <c r="H49" s="186">
        <f>'Monthly Data'!BQ49</f>
        <v>0</v>
      </c>
      <c r="I49" s="186">
        <f>'Monthly Data'!BS49</f>
        <v>0</v>
      </c>
      <c r="J49" s="186">
        <f>'Monthly Data'!BU49</f>
        <v>0</v>
      </c>
      <c r="K49" s="186">
        <f>'Monthly Data'!BV49</f>
        <v>0</v>
      </c>
      <c r="L49" s="186">
        <f>'Monthly Data'!BW49</f>
        <v>0</v>
      </c>
      <c r="M49" s="186">
        <f>'Monthly Data'!CC49</f>
        <v>31</v>
      </c>
      <c r="N49" s="186">
        <f>'Monthly Data'!CD49</f>
        <v>19</v>
      </c>
      <c r="P49" s="186">
        <f>'GS &gt; 50 OLS Model (LC)'!$B$5</f>
        <v>-8436546.8467997499</v>
      </c>
      <c r="Q49" s="186">
        <f>'GS &gt; 50 OLS Model (LC)'!$B$6*D49</f>
        <v>11725875.844382707</v>
      </c>
      <c r="R49" s="186">
        <f>'GS &gt; 50 OLS Model (LC)'!$B$7*E49</f>
        <v>0</v>
      </c>
      <c r="S49" s="186">
        <f>'GS &gt; 50 OLS Model (LC)'!$B$8*F49</f>
        <v>30027553.430127952</v>
      </c>
      <c r="U49" s="186">
        <f>'GS &gt; 50 OLS Model (LC)'!$B$9*H49</f>
        <v>0</v>
      </c>
      <c r="V49" s="186">
        <f>'GS &gt; 50 OLS Model (LC)'!$B$10*I49</f>
        <v>0</v>
      </c>
      <c r="W49" s="186">
        <f>'GS &gt; 50 OLS Model (LC)'!$B$11*J49</f>
        <v>0</v>
      </c>
      <c r="X49" s="186">
        <f>'GS &gt; 50 OLS Model (LC)'!$B$12*K49</f>
        <v>0</v>
      </c>
      <c r="Y49" s="186">
        <v>0</v>
      </c>
      <c r="Z49" s="186">
        <f>'GS &gt; 50 OLS Model (LC)'!$B$13*M49</f>
        <v>34805943.461156942</v>
      </c>
      <c r="AA49" s="186">
        <f>'GS &gt; 50 OLS Model (LC)'!$B$14*N49</f>
        <v>12306056.024009675</v>
      </c>
      <c r="AB49" s="186">
        <f t="shared" si="2"/>
        <v>80428881.91287753</v>
      </c>
      <c r="AC49" s="24">
        <f t="shared" ca="1" si="3"/>
        <v>3.2468973126390771E-2</v>
      </c>
    </row>
    <row r="50" spans="1:29">
      <c r="A50" s="128">
        <f>'Monthly Data'!A50</f>
        <v>41275</v>
      </c>
      <c r="B50" s="186">
        <f t="shared" si="1"/>
        <v>2013</v>
      </c>
      <c r="C50" s="124">
        <f ca="1">'Monthly Data'!T50</f>
        <v>85968723.082716107</v>
      </c>
      <c r="D50" s="186">
        <f>'Monthly Data'!BH50</f>
        <v>598.19999999999993</v>
      </c>
      <c r="E50" s="186">
        <f>'Monthly Data'!BI50</f>
        <v>0</v>
      </c>
      <c r="F50" s="186">
        <f>'Monthly Data'!BL50</f>
        <v>586913</v>
      </c>
      <c r="G50" s="186">
        <f>'Monthly Data'!BM50</f>
        <v>49</v>
      </c>
      <c r="H50" s="186">
        <f>'Monthly Data'!BQ50</f>
        <v>0</v>
      </c>
      <c r="I50" s="186">
        <f>'Monthly Data'!BS50</f>
        <v>0</v>
      </c>
      <c r="J50" s="186">
        <f>'Monthly Data'!BU50</f>
        <v>0</v>
      </c>
      <c r="K50" s="186">
        <f>'Monthly Data'!BV50</f>
        <v>0</v>
      </c>
      <c r="L50" s="186">
        <f>'Monthly Data'!BW50</f>
        <v>0</v>
      </c>
      <c r="M50" s="186">
        <f>'Monthly Data'!CC50</f>
        <v>31</v>
      </c>
      <c r="N50" s="186">
        <f>'Monthly Data'!CD50</f>
        <v>22</v>
      </c>
      <c r="P50" s="186">
        <f>'GS &gt; 50 OLS Model (LC)'!$B$5</f>
        <v>-8436546.8467997499</v>
      </c>
      <c r="Q50" s="186">
        <f>'GS &gt; 50 OLS Model (LC)'!$B$6*D50</f>
        <v>14486614.890767729</v>
      </c>
      <c r="R50" s="186">
        <f>'GS &gt; 50 OLS Model (LC)'!$B$7*E50</f>
        <v>0</v>
      </c>
      <c r="S50" s="186">
        <f>'GS &gt; 50 OLS Model (LC)'!$B$8*F50</f>
        <v>30448768.49313147</v>
      </c>
      <c r="U50" s="186">
        <f>'GS &gt; 50 OLS Model (LC)'!$B$9*H50</f>
        <v>0</v>
      </c>
      <c r="V50" s="186">
        <f>'GS &gt; 50 OLS Model (LC)'!$B$10*I50</f>
        <v>0</v>
      </c>
      <c r="W50" s="186">
        <f>'GS &gt; 50 OLS Model (LC)'!$B$11*J50</f>
        <v>0</v>
      </c>
      <c r="X50" s="186">
        <f>'GS &gt; 50 OLS Model (LC)'!$B$12*K50</f>
        <v>0</v>
      </c>
      <c r="Y50" s="186">
        <v>0</v>
      </c>
      <c r="Z50" s="186">
        <f>'GS &gt; 50 OLS Model (LC)'!$B$13*M50</f>
        <v>34805943.461156942</v>
      </c>
      <c r="AA50" s="186">
        <f>'GS &gt; 50 OLS Model (LC)'!$B$14*N50</f>
        <v>14249117.501484888</v>
      </c>
      <c r="AB50" s="186">
        <f t="shared" si="2"/>
        <v>85553897.499741271</v>
      </c>
      <c r="AC50" s="24">
        <f t="shared" ca="1" si="3"/>
        <v>4.8253081830203007E-3</v>
      </c>
    </row>
    <row r="51" spans="1:29">
      <c r="A51" s="128">
        <f>'Monthly Data'!A51</f>
        <v>41306</v>
      </c>
      <c r="B51" s="186">
        <f t="shared" si="1"/>
        <v>2013</v>
      </c>
      <c r="C51" s="124">
        <f ca="1">'Monthly Data'!T51</f>
        <v>79915847.629030645</v>
      </c>
      <c r="D51" s="186">
        <f>'Monthly Data'!BH51</f>
        <v>574.80000000000007</v>
      </c>
      <c r="E51" s="186">
        <f>'Monthly Data'!BI51</f>
        <v>0</v>
      </c>
      <c r="F51" s="186">
        <f>'Monthly Data'!BL51</f>
        <v>586913</v>
      </c>
      <c r="G51" s="186">
        <f>'Monthly Data'!BM51</f>
        <v>50</v>
      </c>
      <c r="H51" s="186">
        <f>'Monthly Data'!BQ51</f>
        <v>0</v>
      </c>
      <c r="I51" s="186">
        <f>'Monthly Data'!BS51</f>
        <v>0</v>
      </c>
      <c r="J51" s="186">
        <f>'Monthly Data'!BU51</f>
        <v>0</v>
      </c>
      <c r="K51" s="186">
        <f>'Monthly Data'!BV51</f>
        <v>0</v>
      </c>
      <c r="L51" s="186">
        <f>'Monthly Data'!BW51</f>
        <v>0</v>
      </c>
      <c r="M51" s="186">
        <f>'Monthly Data'!CC51</f>
        <v>28</v>
      </c>
      <c r="N51" s="186">
        <f>'Monthly Data'!CD51</f>
        <v>19</v>
      </c>
      <c r="P51" s="186">
        <f>'GS &gt; 50 OLS Model (LC)'!$B$5</f>
        <v>-8436546.8467997499</v>
      </c>
      <c r="Q51" s="186">
        <f>'GS &gt; 50 OLS Model (LC)'!$B$6*D51</f>
        <v>13919936.875983438</v>
      </c>
      <c r="R51" s="186">
        <f>'GS &gt; 50 OLS Model (LC)'!$B$7*E51</f>
        <v>0</v>
      </c>
      <c r="S51" s="186">
        <f>'GS &gt; 50 OLS Model (LC)'!$B$8*F51</f>
        <v>30448768.49313147</v>
      </c>
      <c r="U51" s="186">
        <f>'GS &gt; 50 OLS Model (LC)'!$B$9*H51</f>
        <v>0</v>
      </c>
      <c r="V51" s="186">
        <f>'GS &gt; 50 OLS Model (LC)'!$B$10*I51</f>
        <v>0</v>
      </c>
      <c r="W51" s="186">
        <f>'GS &gt; 50 OLS Model (LC)'!$B$11*J51</f>
        <v>0</v>
      </c>
      <c r="X51" s="186">
        <f>'GS &gt; 50 OLS Model (LC)'!$B$12*K51</f>
        <v>0</v>
      </c>
      <c r="Y51" s="186">
        <v>0</v>
      </c>
      <c r="Z51" s="186">
        <f>'GS &gt; 50 OLS Model (LC)'!$B$13*M51</f>
        <v>31437626.35201272</v>
      </c>
      <c r="AA51" s="186">
        <f>'GS &gt; 50 OLS Model (LC)'!$B$14*N51</f>
        <v>12306056.024009675</v>
      </c>
      <c r="AB51" s="186">
        <f t="shared" si="2"/>
        <v>79675840.898337558</v>
      </c>
      <c r="AC51" s="24">
        <f t="shared" ca="1" si="3"/>
        <v>3.0032432591743027E-3</v>
      </c>
    </row>
    <row r="52" spans="1:29">
      <c r="A52" s="128">
        <f>'Monthly Data'!A52</f>
        <v>41334</v>
      </c>
      <c r="B52" s="186">
        <f t="shared" si="1"/>
        <v>2013</v>
      </c>
      <c r="C52" s="124">
        <f ca="1">'Monthly Data'!T52</f>
        <v>83098114.173459113</v>
      </c>
      <c r="D52" s="186">
        <f>'Monthly Data'!BH52</f>
        <v>505.20000000000005</v>
      </c>
      <c r="E52" s="186">
        <f>'Monthly Data'!BI52</f>
        <v>0</v>
      </c>
      <c r="F52" s="186">
        <f>'Monthly Data'!BL52</f>
        <v>586913</v>
      </c>
      <c r="G52" s="186">
        <f>'Monthly Data'!BM52</f>
        <v>51</v>
      </c>
      <c r="H52" s="186">
        <f>'Monthly Data'!BQ52</f>
        <v>0</v>
      </c>
      <c r="I52" s="186">
        <f>'Monthly Data'!BS52</f>
        <v>0</v>
      </c>
      <c r="J52" s="186">
        <f>'Monthly Data'!BU52</f>
        <v>0</v>
      </c>
      <c r="K52" s="186">
        <f>'Monthly Data'!BV52</f>
        <v>0</v>
      </c>
      <c r="L52" s="186">
        <f>'Monthly Data'!BW52</f>
        <v>0</v>
      </c>
      <c r="M52" s="186">
        <f>'Monthly Data'!CC52</f>
        <v>31</v>
      </c>
      <c r="N52" s="186">
        <f>'Monthly Data'!CD52</f>
        <v>19</v>
      </c>
      <c r="P52" s="186">
        <f>'GS &gt; 50 OLS Model (LC)'!$B$5</f>
        <v>-8436546.8467997499</v>
      </c>
      <c r="Q52" s="186">
        <f>'GS &gt; 50 OLS Model (LC)'!$B$6*D52</f>
        <v>12234433.037137844</v>
      </c>
      <c r="R52" s="186">
        <f>'GS &gt; 50 OLS Model (LC)'!$B$7*E52</f>
        <v>0</v>
      </c>
      <c r="S52" s="186">
        <f>'GS &gt; 50 OLS Model (LC)'!$B$8*F52</f>
        <v>30448768.49313147</v>
      </c>
      <c r="U52" s="186">
        <f>'GS &gt; 50 OLS Model (LC)'!$B$9*H52</f>
        <v>0</v>
      </c>
      <c r="V52" s="186">
        <f>'GS &gt; 50 OLS Model (LC)'!$B$10*I52</f>
        <v>0</v>
      </c>
      <c r="W52" s="186">
        <f>'GS &gt; 50 OLS Model (LC)'!$B$11*J52</f>
        <v>0</v>
      </c>
      <c r="X52" s="186">
        <f>'GS &gt; 50 OLS Model (LC)'!$B$12*K52</f>
        <v>0</v>
      </c>
      <c r="Y52" s="186">
        <v>0</v>
      </c>
      <c r="Z52" s="186">
        <f>'GS &gt; 50 OLS Model (LC)'!$B$13*M52</f>
        <v>34805943.461156942</v>
      </c>
      <c r="AA52" s="186">
        <f>'GS &gt; 50 OLS Model (LC)'!$B$14*N52</f>
        <v>12306056.024009675</v>
      </c>
      <c r="AB52" s="186">
        <f t="shared" si="2"/>
        <v>81358654.168636173</v>
      </c>
      <c r="AC52" s="24">
        <f t="shared" ca="1" si="3"/>
        <v>2.0932605055175964E-2</v>
      </c>
    </row>
    <row r="53" spans="1:29">
      <c r="A53" s="128">
        <f>'Monthly Data'!A53</f>
        <v>41365</v>
      </c>
      <c r="B53" s="186">
        <f t="shared" si="1"/>
        <v>2013</v>
      </c>
      <c r="C53" s="124">
        <f ca="1">'Monthly Data'!T53</f>
        <v>75176128.76717177</v>
      </c>
      <c r="D53" s="186">
        <f>'Monthly Data'!BH53</f>
        <v>300.19999999999993</v>
      </c>
      <c r="E53" s="186">
        <f>'Monthly Data'!BI53</f>
        <v>0</v>
      </c>
      <c r="F53" s="186">
        <f>'Monthly Data'!BL53</f>
        <v>586913</v>
      </c>
      <c r="G53" s="186">
        <f>'Monthly Data'!BM53</f>
        <v>52</v>
      </c>
      <c r="H53" s="186">
        <f>'Monthly Data'!BQ53</f>
        <v>1</v>
      </c>
      <c r="I53" s="186">
        <f>'Monthly Data'!BS53</f>
        <v>0</v>
      </c>
      <c r="J53" s="186">
        <f>'Monthly Data'!BU53</f>
        <v>0</v>
      </c>
      <c r="K53" s="186">
        <f>'Monthly Data'!BV53</f>
        <v>0</v>
      </c>
      <c r="L53" s="186">
        <f>'Monthly Data'!BW53</f>
        <v>0</v>
      </c>
      <c r="M53" s="186">
        <f>'Monthly Data'!CC53</f>
        <v>30</v>
      </c>
      <c r="N53" s="186">
        <f>'Monthly Data'!CD53</f>
        <v>22</v>
      </c>
      <c r="P53" s="186">
        <f>'GS &gt; 50 OLS Model (LC)'!$B$5</f>
        <v>-8436546.8467997499</v>
      </c>
      <c r="Q53" s="186">
        <f>'GS &gt; 50 OLS Model (LC)'!$B$6*D53</f>
        <v>7269946.1554805608</v>
      </c>
      <c r="R53" s="186">
        <f>'GS &gt; 50 OLS Model (LC)'!$B$7*E53</f>
        <v>0</v>
      </c>
      <c r="S53" s="186">
        <f>'GS &gt; 50 OLS Model (LC)'!$B$8*F53</f>
        <v>30448768.49313147</v>
      </c>
      <c r="U53" s="186">
        <f>'GS &gt; 50 OLS Model (LC)'!$B$9*H53</f>
        <v>-1670517.9110053701</v>
      </c>
      <c r="V53" s="186">
        <f>'GS &gt; 50 OLS Model (LC)'!$B$10*I53</f>
        <v>0</v>
      </c>
      <c r="W53" s="186">
        <f>'GS &gt; 50 OLS Model (LC)'!$B$11*J53</f>
        <v>0</v>
      </c>
      <c r="X53" s="186">
        <f>'GS &gt; 50 OLS Model (LC)'!$B$12*K53</f>
        <v>0</v>
      </c>
      <c r="Y53" s="186">
        <v>0</v>
      </c>
      <c r="Z53" s="186">
        <f>'GS &gt; 50 OLS Model (LC)'!$B$13*M53</f>
        <v>33683171.091442198</v>
      </c>
      <c r="AA53" s="186">
        <f>'GS &gt; 50 OLS Model (LC)'!$B$14*N53</f>
        <v>14249117.501484888</v>
      </c>
      <c r="AB53" s="186">
        <f t="shared" si="2"/>
        <v>75543938.483733997</v>
      </c>
      <c r="AC53" s="24">
        <f t="shared" ca="1" si="3"/>
        <v>4.8926397593758927E-3</v>
      </c>
    </row>
    <row r="54" spans="1:29">
      <c r="A54" s="128">
        <f>'Monthly Data'!A54</f>
        <v>41395</v>
      </c>
      <c r="B54" s="186">
        <f t="shared" si="1"/>
        <v>2013</v>
      </c>
      <c r="C54" s="124">
        <f ca="1">'Monthly Data'!T54</f>
        <v>76467660.683634475</v>
      </c>
      <c r="D54" s="186">
        <f>'Monthly Data'!BH54</f>
        <v>73.300000000000011</v>
      </c>
      <c r="E54" s="186">
        <f>'Monthly Data'!BI54</f>
        <v>59.899999999999991</v>
      </c>
      <c r="F54" s="186">
        <f>'Monthly Data'!BL54</f>
        <v>586913</v>
      </c>
      <c r="G54" s="186">
        <f>'Monthly Data'!BM54</f>
        <v>53</v>
      </c>
      <c r="H54" s="186">
        <f>'Monthly Data'!BQ54</f>
        <v>0</v>
      </c>
      <c r="I54" s="186">
        <f>'Monthly Data'!BS54</f>
        <v>0</v>
      </c>
      <c r="J54" s="186">
        <f>'Monthly Data'!BU54</f>
        <v>0</v>
      </c>
      <c r="K54" s="186">
        <f>'Monthly Data'!BV54</f>
        <v>0</v>
      </c>
      <c r="L54" s="186">
        <f>'Monthly Data'!BW54</f>
        <v>0</v>
      </c>
      <c r="M54" s="186">
        <f>'Monthly Data'!CC54</f>
        <v>31</v>
      </c>
      <c r="N54" s="186">
        <f>'Monthly Data'!CD54</f>
        <v>22</v>
      </c>
      <c r="P54" s="186">
        <f>'GS &gt; 50 OLS Model (LC)'!$B$5</f>
        <v>-8436546.8467997499</v>
      </c>
      <c r="Q54" s="186">
        <f>'GS &gt; 50 OLS Model (LC)'!$B$6*D54</f>
        <v>1775106.772807213</v>
      </c>
      <c r="R54" s="186">
        <f>'GS &gt; 50 OLS Model (LC)'!$B$7*E54</f>
        <v>4275235.6531517552</v>
      </c>
      <c r="S54" s="186">
        <f>'GS &gt; 50 OLS Model (LC)'!$B$8*F54</f>
        <v>30448768.49313147</v>
      </c>
      <c r="U54" s="186">
        <f>'GS &gt; 50 OLS Model (LC)'!$B$9*H54</f>
        <v>0</v>
      </c>
      <c r="V54" s="186">
        <f>'GS &gt; 50 OLS Model (LC)'!$B$10*I54</f>
        <v>0</v>
      </c>
      <c r="W54" s="186">
        <f>'GS &gt; 50 OLS Model (LC)'!$B$11*J54</f>
        <v>0</v>
      </c>
      <c r="X54" s="186">
        <f>'GS &gt; 50 OLS Model (LC)'!$B$12*K54</f>
        <v>0</v>
      </c>
      <c r="Y54" s="186">
        <v>0</v>
      </c>
      <c r="Z54" s="186">
        <f>'GS &gt; 50 OLS Model (LC)'!$B$13*M54</f>
        <v>34805943.461156942</v>
      </c>
      <c r="AA54" s="186">
        <f>'GS &gt; 50 OLS Model (LC)'!$B$14*N54</f>
        <v>14249117.501484888</v>
      </c>
      <c r="AB54" s="186">
        <f t="shared" si="2"/>
        <v>77117625.034932524</v>
      </c>
      <c r="AC54" s="24">
        <f t="shared" ca="1" si="3"/>
        <v>8.4998592279043484E-3</v>
      </c>
    </row>
    <row r="55" spans="1:29">
      <c r="A55" s="128">
        <f>'Monthly Data'!A55</f>
        <v>41426</v>
      </c>
      <c r="B55" s="186">
        <f t="shared" si="1"/>
        <v>2013</v>
      </c>
      <c r="C55" s="124">
        <f ca="1">'Monthly Data'!T55</f>
        <v>77849227.68931511</v>
      </c>
      <c r="D55" s="186">
        <f>'Monthly Data'!BH55</f>
        <v>14.700000000000001</v>
      </c>
      <c r="E55" s="186">
        <f>'Monthly Data'!BI55</f>
        <v>103.49999999999999</v>
      </c>
      <c r="F55" s="186">
        <f>'Monthly Data'!BL55</f>
        <v>586913</v>
      </c>
      <c r="G55" s="186">
        <f>'Monthly Data'!BM55</f>
        <v>54</v>
      </c>
      <c r="H55" s="186">
        <f>'Monthly Data'!BQ55</f>
        <v>0</v>
      </c>
      <c r="I55" s="186">
        <f>'Monthly Data'!BS55</f>
        <v>1</v>
      </c>
      <c r="J55" s="186">
        <f>'Monthly Data'!BU55</f>
        <v>0</v>
      </c>
      <c r="K55" s="186">
        <f>'Monthly Data'!BV55</f>
        <v>0</v>
      </c>
      <c r="L55" s="186">
        <f>'Monthly Data'!BW55</f>
        <v>0</v>
      </c>
      <c r="M55" s="186">
        <f>'Monthly Data'!CC55</f>
        <v>30</v>
      </c>
      <c r="N55" s="186">
        <f>'Monthly Data'!CD55</f>
        <v>20</v>
      </c>
      <c r="P55" s="186">
        <f>'GS &gt; 50 OLS Model (LC)'!$B$5</f>
        <v>-8436546.8467997499</v>
      </c>
      <c r="Q55" s="186">
        <f>'GS &gt; 50 OLS Model (LC)'!$B$6*D55</f>
        <v>355990.03492859518</v>
      </c>
      <c r="R55" s="186">
        <f>'GS &gt; 50 OLS Model (LC)'!$B$7*E55</f>
        <v>7387093.3238932677</v>
      </c>
      <c r="S55" s="186">
        <f>'GS &gt; 50 OLS Model (LC)'!$B$8*F55</f>
        <v>30448768.49313147</v>
      </c>
      <c r="U55" s="186">
        <f>'GS &gt; 50 OLS Model (LC)'!$B$9*H55</f>
        <v>0</v>
      </c>
      <c r="V55" s="186">
        <f>'GS &gt; 50 OLS Model (LC)'!$B$10*I55</f>
        <v>1260255.0136768401</v>
      </c>
      <c r="W55" s="186">
        <f>'GS &gt; 50 OLS Model (LC)'!$B$11*J55</f>
        <v>0</v>
      </c>
      <c r="X55" s="186">
        <f>'GS &gt; 50 OLS Model (LC)'!$B$12*K55</f>
        <v>0</v>
      </c>
      <c r="Y55" s="186">
        <v>0</v>
      </c>
      <c r="Z55" s="186">
        <f>'GS &gt; 50 OLS Model (LC)'!$B$13*M55</f>
        <v>33683171.091442198</v>
      </c>
      <c r="AA55" s="186">
        <f>'GS &gt; 50 OLS Model (LC)'!$B$14*N55</f>
        <v>12953743.18316808</v>
      </c>
      <c r="AB55" s="186">
        <f t="shared" si="2"/>
        <v>77652474.2934407</v>
      </c>
      <c r="AC55" s="24">
        <f t="shared" ca="1" si="3"/>
        <v>2.5273647756612937E-3</v>
      </c>
    </row>
    <row r="56" spans="1:29">
      <c r="A56" s="128">
        <f>'Monthly Data'!A56</f>
        <v>41456</v>
      </c>
      <c r="B56" s="186">
        <f t="shared" si="1"/>
        <v>2013</v>
      </c>
      <c r="C56" s="124">
        <f ca="1">'Monthly Data'!T56</f>
        <v>82540445.770245254</v>
      </c>
      <c r="D56" s="186">
        <f>'Monthly Data'!BH56</f>
        <v>1.5</v>
      </c>
      <c r="E56" s="186">
        <f>'Monthly Data'!BI56</f>
        <v>174.80000000000004</v>
      </c>
      <c r="F56" s="186">
        <f>'Monthly Data'!BL56</f>
        <v>586913</v>
      </c>
      <c r="G56" s="186">
        <f>'Monthly Data'!BM56</f>
        <v>55</v>
      </c>
      <c r="H56" s="186">
        <f>'Monthly Data'!BQ56</f>
        <v>0</v>
      </c>
      <c r="I56" s="186">
        <f>'Monthly Data'!BS56</f>
        <v>0</v>
      </c>
      <c r="J56" s="186">
        <f>'Monthly Data'!BU56</f>
        <v>0</v>
      </c>
      <c r="K56" s="186">
        <f>'Monthly Data'!BV56</f>
        <v>0</v>
      </c>
      <c r="L56" s="186">
        <f>'Monthly Data'!BW56</f>
        <v>0</v>
      </c>
      <c r="M56" s="186">
        <f>'Monthly Data'!CC56</f>
        <v>31</v>
      </c>
      <c r="N56" s="186">
        <f>'Monthly Data'!CD56</f>
        <v>22</v>
      </c>
      <c r="P56" s="186">
        <f>'GS &gt; 50 OLS Model (LC)'!$B$5</f>
        <v>-8436546.8467997499</v>
      </c>
      <c r="Q56" s="186">
        <f>'GS &gt; 50 OLS Model (LC)'!$B$6*D56</f>
        <v>36325.513768224002</v>
      </c>
      <c r="R56" s="186">
        <f>'GS &gt; 50 OLS Model (LC)'!$B$7*E56</f>
        <v>12475979.835908635</v>
      </c>
      <c r="S56" s="186">
        <f>'GS &gt; 50 OLS Model (LC)'!$B$8*F56</f>
        <v>30448768.49313147</v>
      </c>
      <c r="U56" s="186">
        <f>'GS &gt; 50 OLS Model (LC)'!$B$9*H56</f>
        <v>0</v>
      </c>
      <c r="V56" s="186">
        <f>'GS &gt; 50 OLS Model (LC)'!$B$10*I56</f>
        <v>0</v>
      </c>
      <c r="W56" s="186">
        <f>'GS &gt; 50 OLS Model (LC)'!$B$11*J56</f>
        <v>0</v>
      </c>
      <c r="X56" s="186">
        <f>'GS &gt; 50 OLS Model (LC)'!$B$12*K56</f>
        <v>0</v>
      </c>
      <c r="Y56" s="186">
        <v>0</v>
      </c>
      <c r="Z56" s="186">
        <f>'GS &gt; 50 OLS Model (LC)'!$B$13*M56</f>
        <v>34805943.461156942</v>
      </c>
      <c r="AA56" s="186">
        <f>'GS &gt; 50 OLS Model (LC)'!$B$14*N56</f>
        <v>14249117.501484888</v>
      </c>
      <c r="AB56" s="186">
        <f t="shared" si="2"/>
        <v>83579587.958650395</v>
      </c>
      <c r="AC56" s="24">
        <f t="shared" ca="1" si="3"/>
        <v>1.258949086969601E-2</v>
      </c>
    </row>
    <row r="57" spans="1:29">
      <c r="A57" s="128">
        <f>'Monthly Data'!A57</f>
        <v>41487</v>
      </c>
      <c r="B57" s="186">
        <f t="shared" si="1"/>
        <v>2013</v>
      </c>
      <c r="C57" s="124">
        <f ca="1">'Monthly Data'!T57</f>
        <v>81226483.659076646</v>
      </c>
      <c r="D57" s="186">
        <f>'Monthly Data'!BH57</f>
        <v>1.2</v>
      </c>
      <c r="E57" s="186">
        <f>'Monthly Data'!BI57</f>
        <v>134.29999999999998</v>
      </c>
      <c r="F57" s="186">
        <f>'Monthly Data'!BL57</f>
        <v>586913</v>
      </c>
      <c r="G57" s="186">
        <f>'Monthly Data'!BM57</f>
        <v>56</v>
      </c>
      <c r="H57" s="186">
        <f>'Monthly Data'!BQ57</f>
        <v>0</v>
      </c>
      <c r="I57" s="186">
        <f>'Monthly Data'!BS57</f>
        <v>0</v>
      </c>
      <c r="J57" s="186">
        <f>'Monthly Data'!BU57</f>
        <v>1</v>
      </c>
      <c r="K57" s="186">
        <f>'Monthly Data'!BV57</f>
        <v>0</v>
      </c>
      <c r="L57" s="186">
        <f>'Monthly Data'!BW57</f>
        <v>0</v>
      </c>
      <c r="M57" s="186">
        <f>'Monthly Data'!CC57</f>
        <v>31</v>
      </c>
      <c r="N57" s="186">
        <f>'Monthly Data'!CD57</f>
        <v>21</v>
      </c>
      <c r="P57" s="186">
        <f>'GS &gt; 50 OLS Model (LC)'!$B$5</f>
        <v>-8436546.8467997499</v>
      </c>
      <c r="Q57" s="186">
        <f>'GS &gt; 50 OLS Model (LC)'!$B$6*D57</f>
        <v>29060.411014579196</v>
      </c>
      <c r="R57" s="186">
        <f>'GS &gt; 50 OLS Model (LC)'!$B$7*E57</f>
        <v>9585378.1004721336</v>
      </c>
      <c r="S57" s="186">
        <f>'GS &gt; 50 OLS Model (LC)'!$B$8*F57</f>
        <v>30448768.49313147</v>
      </c>
      <c r="U57" s="186">
        <f>'GS &gt; 50 OLS Model (LC)'!$B$9*H57</f>
        <v>0</v>
      </c>
      <c r="V57" s="186">
        <f>'GS &gt; 50 OLS Model (LC)'!$B$10*I57</f>
        <v>0</v>
      </c>
      <c r="W57" s="186">
        <f>'GS &gt; 50 OLS Model (LC)'!$B$11*J57</f>
        <v>2501012.7689915099</v>
      </c>
      <c r="X57" s="186">
        <f>'GS &gt; 50 OLS Model (LC)'!$B$12*K57</f>
        <v>0</v>
      </c>
      <c r="Y57" s="186">
        <v>0</v>
      </c>
      <c r="Z57" s="186">
        <f>'GS &gt; 50 OLS Model (LC)'!$B$13*M57</f>
        <v>34805943.461156942</v>
      </c>
      <c r="AA57" s="186">
        <f>'GS &gt; 50 OLS Model (LC)'!$B$14*N57</f>
        <v>13601430.342326485</v>
      </c>
      <c r="AB57" s="186">
        <f t="shared" si="2"/>
        <v>82535046.730293363</v>
      </c>
      <c r="AC57" s="24">
        <f t="shared" ca="1" si="3"/>
        <v>1.6110054409212284E-2</v>
      </c>
    </row>
    <row r="58" spans="1:29">
      <c r="A58" s="128">
        <f>'Monthly Data'!A58</f>
        <v>41518</v>
      </c>
      <c r="B58" s="186">
        <f t="shared" si="1"/>
        <v>2013</v>
      </c>
      <c r="C58" s="124">
        <f ca="1">'Monthly Data'!T58</f>
        <v>75974010.308642328</v>
      </c>
      <c r="D58" s="186">
        <f>'Monthly Data'!BH58</f>
        <v>41.2</v>
      </c>
      <c r="E58" s="186">
        <f>'Monthly Data'!BI58</f>
        <v>65.3</v>
      </c>
      <c r="F58" s="186">
        <f>'Monthly Data'!BL58</f>
        <v>586913</v>
      </c>
      <c r="G58" s="186">
        <f>'Monthly Data'!BM58</f>
        <v>57</v>
      </c>
      <c r="H58" s="186">
        <f>'Monthly Data'!BQ58</f>
        <v>0</v>
      </c>
      <c r="I58" s="186">
        <f>'Monthly Data'!BS58</f>
        <v>0</v>
      </c>
      <c r="J58" s="186">
        <f>'Monthly Data'!BU58</f>
        <v>0</v>
      </c>
      <c r="K58" s="186">
        <f>'Monthly Data'!BV58</f>
        <v>1</v>
      </c>
      <c r="L58" s="186">
        <f>'Monthly Data'!BW58</f>
        <v>0</v>
      </c>
      <c r="M58" s="186">
        <f>'Monthly Data'!CC58</f>
        <v>30</v>
      </c>
      <c r="N58" s="186">
        <f>'Monthly Data'!CD58</f>
        <v>20</v>
      </c>
      <c r="P58" s="186">
        <f>'GS &gt; 50 OLS Model (LC)'!$B$5</f>
        <v>-8436546.8467997499</v>
      </c>
      <c r="Q58" s="186">
        <f>'GS &gt; 50 OLS Model (LC)'!$B$6*D58</f>
        <v>997740.77816721925</v>
      </c>
      <c r="R58" s="186">
        <f>'GS &gt; 50 OLS Model (LC)'!$B$7*E58</f>
        <v>4660649.2178766225</v>
      </c>
      <c r="S58" s="186">
        <f>'GS &gt; 50 OLS Model (LC)'!$B$8*F58</f>
        <v>30448768.49313147</v>
      </c>
      <c r="U58" s="186">
        <f>'GS &gt; 50 OLS Model (LC)'!$B$9*H58</f>
        <v>0</v>
      </c>
      <c r="V58" s="186">
        <f>'GS &gt; 50 OLS Model (LC)'!$B$10*I58</f>
        <v>0</v>
      </c>
      <c r="W58" s="186">
        <f>'GS &gt; 50 OLS Model (LC)'!$B$11*J58</f>
        <v>0</v>
      </c>
      <c r="X58" s="186">
        <f>'GS &gt; 50 OLS Model (LC)'!$B$12*K58</f>
        <v>2346294.5864150901</v>
      </c>
      <c r="Y58" s="186">
        <v>0</v>
      </c>
      <c r="Z58" s="186">
        <f>'GS &gt; 50 OLS Model (LC)'!$B$13*M58</f>
        <v>33683171.091442198</v>
      </c>
      <c r="AA58" s="186">
        <f>'GS &gt; 50 OLS Model (LC)'!$B$14*N58</f>
        <v>12953743.18316808</v>
      </c>
      <c r="AB58" s="186">
        <f t="shared" si="2"/>
        <v>76653820.503400937</v>
      </c>
      <c r="AC58" s="24">
        <f t="shared" ca="1" si="3"/>
        <v>8.9479309042249933E-3</v>
      </c>
    </row>
    <row r="59" spans="1:29">
      <c r="A59" s="128">
        <f>'Monthly Data'!A59</f>
        <v>41548</v>
      </c>
      <c r="B59" s="186">
        <f t="shared" si="1"/>
        <v>2013</v>
      </c>
      <c r="C59" s="124">
        <f ca="1">'Monthly Data'!T59</f>
        <v>77227978.159034535</v>
      </c>
      <c r="D59" s="186">
        <f>'Monthly Data'!BH59</f>
        <v>170.49999999999997</v>
      </c>
      <c r="E59" s="186">
        <f>'Monthly Data'!BI59</f>
        <v>19.899999999999999</v>
      </c>
      <c r="F59" s="186">
        <f>'Monthly Data'!BL59</f>
        <v>586913</v>
      </c>
      <c r="G59" s="186">
        <f>'Monthly Data'!BM59</f>
        <v>58</v>
      </c>
      <c r="H59" s="186">
        <f>'Monthly Data'!BQ59</f>
        <v>0</v>
      </c>
      <c r="I59" s="186">
        <f>'Monthly Data'!BS59</f>
        <v>0</v>
      </c>
      <c r="J59" s="186">
        <f>'Monthly Data'!BU59</f>
        <v>0</v>
      </c>
      <c r="K59" s="186">
        <f>'Monthly Data'!BV59</f>
        <v>0</v>
      </c>
      <c r="L59" s="186">
        <f>'Monthly Data'!BW59</f>
        <v>1</v>
      </c>
      <c r="M59" s="186">
        <f>'Monthly Data'!CC59</f>
        <v>31</v>
      </c>
      <c r="N59" s="186">
        <f>'Monthly Data'!CD59</f>
        <v>22</v>
      </c>
      <c r="P59" s="186">
        <f>'GS &gt; 50 OLS Model (LC)'!$B$5</f>
        <v>-8436546.8467997499</v>
      </c>
      <c r="Q59" s="186">
        <f>'GS &gt; 50 OLS Model (LC)'!$B$6*D59</f>
        <v>4129000.064988127</v>
      </c>
      <c r="R59" s="186">
        <f>'GS &gt; 50 OLS Model (LC)'!$B$7*E59</f>
        <v>1420320.3588934883</v>
      </c>
      <c r="S59" s="186">
        <f>'GS &gt; 50 OLS Model (LC)'!$B$8*F59</f>
        <v>30448768.49313147</v>
      </c>
      <c r="U59" s="186">
        <f>'GS &gt; 50 OLS Model (LC)'!$B$9*H59</f>
        <v>0</v>
      </c>
      <c r="V59" s="186">
        <f>'GS &gt; 50 OLS Model (LC)'!$B$10*I59</f>
        <v>0</v>
      </c>
      <c r="W59" s="186">
        <f>'GS &gt; 50 OLS Model (LC)'!$B$11*J59</f>
        <v>0</v>
      </c>
      <c r="X59" s="186">
        <f>'GS &gt; 50 OLS Model (LC)'!$B$12*K59</f>
        <v>0</v>
      </c>
      <c r="Y59" s="186">
        <v>0</v>
      </c>
      <c r="Z59" s="186">
        <f>'GS &gt; 50 OLS Model (LC)'!$B$13*M59</f>
        <v>34805943.461156942</v>
      </c>
      <c r="AA59" s="186">
        <f>'GS &gt; 50 OLS Model (LC)'!$B$14*N59</f>
        <v>14249117.501484888</v>
      </c>
      <c r="AB59" s="186">
        <f t="shared" si="2"/>
        <v>76616603.032855168</v>
      </c>
      <c r="AC59" s="24">
        <f t="shared" ca="1" si="3"/>
        <v>7.9164978904454897E-3</v>
      </c>
    </row>
    <row r="60" spans="1:29">
      <c r="A60" s="128">
        <f>'Monthly Data'!A60</f>
        <v>41579</v>
      </c>
      <c r="B60" s="186">
        <f t="shared" si="1"/>
        <v>2013</v>
      </c>
      <c r="C60" s="124">
        <f ca="1">'Monthly Data'!T60</f>
        <v>79798645.323323712</v>
      </c>
      <c r="D60" s="186">
        <f>'Monthly Data'!BH60</f>
        <v>424.9</v>
      </c>
      <c r="E60" s="186">
        <f>'Monthly Data'!BI60</f>
        <v>0</v>
      </c>
      <c r="F60" s="186">
        <f>'Monthly Data'!BL60</f>
        <v>586913</v>
      </c>
      <c r="G60" s="186">
        <f>'Monthly Data'!BM60</f>
        <v>59</v>
      </c>
      <c r="H60" s="186">
        <f>'Monthly Data'!BQ60</f>
        <v>0</v>
      </c>
      <c r="I60" s="186">
        <f>'Monthly Data'!BS60</f>
        <v>0</v>
      </c>
      <c r="J60" s="186">
        <f>'Monthly Data'!BU60</f>
        <v>0</v>
      </c>
      <c r="K60" s="186">
        <f>'Monthly Data'!BV60</f>
        <v>0</v>
      </c>
      <c r="L60" s="186">
        <f>'Monthly Data'!BW60</f>
        <v>0</v>
      </c>
      <c r="M60" s="186">
        <f>'Monthly Data'!CC60</f>
        <v>30</v>
      </c>
      <c r="N60" s="186">
        <f>'Monthly Data'!CD60</f>
        <v>21</v>
      </c>
      <c r="P60" s="186">
        <f>'GS &gt; 50 OLS Model (LC)'!$B$5</f>
        <v>-8436546.8467997499</v>
      </c>
      <c r="Q60" s="186">
        <f>'GS &gt; 50 OLS Model (LC)'!$B$6*D60</f>
        <v>10289807.200078918</v>
      </c>
      <c r="R60" s="186">
        <f>'GS &gt; 50 OLS Model (LC)'!$B$7*E60</f>
        <v>0</v>
      </c>
      <c r="S60" s="186">
        <f>'GS &gt; 50 OLS Model (LC)'!$B$8*F60</f>
        <v>30448768.49313147</v>
      </c>
      <c r="U60" s="186">
        <f>'GS &gt; 50 OLS Model (LC)'!$B$9*H60</f>
        <v>0</v>
      </c>
      <c r="V60" s="186">
        <f>'GS &gt; 50 OLS Model (LC)'!$B$10*I60</f>
        <v>0</v>
      </c>
      <c r="W60" s="186">
        <f>'GS &gt; 50 OLS Model (LC)'!$B$11*J60</f>
        <v>0</v>
      </c>
      <c r="X60" s="186">
        <f>'GS &gt; 50 OLS Model (LC)'!$B$12*K60</f>
        <v>0</v>
      </c>
      <c r="Y60" s="186">
        <v>0</v>
      </c>
      <c r="Z60" s="186">
        <f>'GS &gt; 50 OLS Model (LC)'!$B$13*M60</f>
        <v>33683171.091442198</v>
      </c>
      <c r="AA60" s="186">
        <f>'GS &gt; 50 OLS Model (LC)'!$B$14*N60</f>
        <v>13601430.342326485</v>
      </c>
      <c r="AB60" s="186">
        <f t="shared" si="2"/>
        <v>79586630.280179322</v>
      </c>
      <c r="AC60" s="24">
        <f t="shared" ca="1" si="3"/>
        <v>2.656875217434572E-3</v>
      </c>
    </row>
    <row r="61" spans="1:29">
      <c r="A61" s="128">
        <f>'Monthly Data'!A61</f>
        <v>41609</v>
      </c>
      <c r="B61" s="186">
        <f t="shared" si="1"/>
        <v>2013</v>
      </c>
      <c r="C61" s="124">
        <f ca="1">'Monthly Data'!T61</f>
        <v>83545537.046774283</v>
      </c>
      <c r="D61" s="186">
        <f>'Monthly Data'!BH61</f>
        <v>614.30000000000007</v>
      </c>
      <c r="E61" s="186">
        <f>'Monthly Data'!BI61</f>
        <v>0</v>
      </c>
      <c r="F61" s="186">
        <f>'Monthly Data'!BL61</f>
        <v>586913</v>
      </c>
      <c r="G61" s="186">
        <f>'Monthly Data'!BM61</f>
        <v>60</v>
      </c>
      <c r="H61" s="186">
        <f>'Monthly Data'!BQ61</f>
        <v>0</v>
      </c>
      <c r="I61" s="186">
        <f>'Monthly Data'!BS61</f>
        <v>0</v>
      </c>
      <c r="J61" s="186">
        <f>'Monthly Data'!BU61</f>
        <v>0</v>
      </c>
      <c r="K61" s="186">
        <f>'Monthly Data'!BV61</f>
        <v>0</v>
      </c>
      <c r="L61" s="186">
        <f>'Monthly Data'!BW61</f>
        <v>0</v>
      </c>
      <c r="M61" s="186">
        <f>'Monthly Data'!CC61</f>
        <v>31</v>
      </c>
      <c r="N61" s="186">
        <f>'Monthly Data'!CD61</f>
        <v>20</v>
      </c>
      <c r="P61" s="186">
        <f>'GS &gt; 50 OLS Model (LC)'!$B$5</f>
        <v>-8436546.8467997499</v>
      </c>
      <c r="Q61" s="186">
        <f>'GS &gt; 50 OLS Model (LC)'!$B$6*D61</f>
        <v>14876508.738546669</v>
      </c>
      <c r="R61" s="186">
        <f>'GS &gt; 50 OLS Model (LC)'!$B$7*E61</f>
        <v>0</v>
      </c>
      <c r="S61" s="186">
        <f>'GS &gt; 50 OLS Model (LC)'!$B$8*F61</f>
        <v>30448768.49313147</v>
      </c>
      <c r="U61" s="186">
        <f>'GS &gt; 50 OLS Model (LC)'!$B$9*H61</f>
        <v>0</v>
      </c>
      <c r="V61" s="186">
        <f>'GS &gt; 50 OLS Model (LC)'!$B$10*I61</f>
        <v>0</v>
      </c>
      <c r="W61" s="186">
        <f>'GS &gt; 50 OLS Model (LC)'!$B$11*J61</f>
        <v>0</v>
      </c>
      <c r="X61" s="186">
        <f>'GS &gt; 50 OLS Model (LC)'!$B$12*K61</f>
        <v>0</v>
      </c>
      <c r="Y61" s="186">
        <v>0</v>
      </c>
      <c r="Z61" s="186">
        <f>'GS &gt; 50 OLS Model (LC)'!$B$13*M61</f>
        <v>34805943.461156942</v>
      </c>
      <c r="AA61" s="186">
        <f>'GS &gt; 50 OLS Model (LC)'!$B$14*N61</f>
        <v>12953743.18316808</v>
      </c>
      <c r="AB61" s="186">
        <f t="shared" si="2"/>
        <v>84648417.029203415</v>
      </c>
      <c r="AC61" s="24">
        <f t="shared" ca="1" si="3"/>
        <v>1.3200944316291452E-2</v>
      </c>
    </row>
    <row r="62" spans="1:29">
      <c r="A62" s="128">
        <f>'Monthly Data'!A62</f>
        <v>41640</v>
      </c>
      <c r="B62" s="186">
        <f t="shared" si="1"/>
        <v>2014</v>
      </c>
      <c r="C62" s="124">
        <f ca="1">'Monthly Data'!T62</f>
        <v>96326688.900008604</v>
      </c>
      <c r="D62" s="186">
        <f>'Monthly Data'!BH62</f>
        <v>784.99999999999977</v>
      </c>
      <c r="E62" s="186">
        <f>'Monthly Data'!BI62</f>
        <v>0</v>
      </c>
      <c r="F62" s="186">
        <f>'Monthly Data'!BL62</f>
        <v>601343.5</v>
      </c>
      <c r="G62" s="186">
        <f>'Monthly Data'!BM62</f>
        <v>61</v>
      </c>
      <c r="H62" s="186">
        <f>'Monthly Data'!BQ62</f>
        <v>0</v>
      </c>
      <c r="I62" s="186">
        <f>'Monthly Data'!BS62</f>
        <v>0</v>
      </c>
      <c r="J62" s="186">
        <f>'Monthly Data'!BU62</f>
        <v>0</v>
      </c>
      <c r="K62" s="186">
        <f>'Monthly Data'!BV62</f>
        <v>0</v>
      </c>
      <c r="L62" s="186">
        <f>'Monthly Data'!BW62</f>
        <v>0</v>
      </c>
      <c r="M62" s="186">
        <f>'Monthly Data'!CC62</f>
        <v>31</v>
      </c>
      <c r="N62" s="186">
        <f>'Monthly Data'!CD62</f>
        <v>22</v>
      </c>
      <c r="P62" s="186">
        <f>'GS &gt; 50 OLS Model (LC)'!$B$5</f>
        <v>-8436546.8467997499</v>
      </c>
      <c r="Q62" s="186">
        <f>'GS &gt; 50 OLS Model (LC)'!$B$6*D62</f>
        <v>19010352.205370553</v>
      </c>
      <c r="R62" s="186">
        <f>'GS &gt; 50 OLS Model (LC)'!$B$7*E62</f>
        <v>0</v>
      </c>
      <c r="S62" s="186">
        <f>'GS &gt; 50 OLS Model (LC)'!$B$8*F62</f>
        <v>31197415.999218632</v>
      </c>
      <c r="U62" s="186">
        <f>'GS &gt; 50 OLS Model (LC)'!$B$9*H62</f>
        <v>0</v>
      </c>
      <c r="V62" s="186">
        <f>'GS &gt; 50 OLS Model (LC)'!$B$10*I62</f>
        <v>0</v>
      </c>
      <c r="W62" s="186">
        <f>'GS &gt; 50 OLS Model (LC)'!$B$11*J62</f>
        <v>0</v>
      </c>
      <c r="X62" s="186">
        <f>'GS &gt; 50 OLS Model (LC)'!$B$12*K62</f>
        <v>0</v>
      </c>
      <c r="Y62" s="186">
        <v>0</v>
      </c>
      <c r="Z62" s="186">
        <f>'GS &gt; 50 OLS Model (LC)'!$B$13*M62</f>
        <v>34805943.461156942</v>
      </c>
      <c r="AA62" s="186">
        <f>'GS &gt; 50 OLS Model (LC)'!$B$14*N62</f>
        <v>14249117.501484888</v>
      </c>
      <c r="AB62" s="186">
        <f t="shared" si="2"/>
        <v>90826282.320431262</v>
      </c>
      <c r="AC62" s="24">
        <f t="shared" ca="1" si="3"/>
        <v>5.710158464272564E-2</v>
      </c>
    </row>
    <row r="63" spans="1:29">
      <c r="A63" s="128">
        <f>'Monthly Data'!A63</f>
        <v>41671</v>
      </c>
      <c r="B63" s="186">
        <f t="shared" si="1"/>
        <v>2014</v>
      </c>
      <c r="C63" s="124">
        <f ca="1">'Monthly Data'!T63</f>
        <v>85795493.413305894</v>
      </c>
      <c r="D63" s="186">
        <f>'Monthly Data'!BH63</f>
        <v>674.19999999999982</v>
      </c>
      <c r="E63" s="186">
        <f>'Monthly Data'!BI63</f>
        <v>0</v>
      </c>
      <c r="F63" s="186">
        <f>'Monthly Data'!BL63</f>
        <v>601343.5</v>
      </c>
      <c r="G63" s="186">
        <f>'Monthly Data'!BM63</f>
        <v>62</v>
      </c>
      <c r="H63" s="186">
        <f>'Monthly Data'!BQ63</f>
        <v>0</v>
      </c>
      <c r="I63" s="186">
        <f>'Monthly Data'!BS63</f>
        <v>0</v>
      </c>
      <c r="J63" s="186">
        <f>'Monthly Data'!BU63</f>
        <v>0</v>
      </c>
      <c r="K63" s="186">
        <f>'Monthly Data'!BV63</f>
        <v>0</v>
      </c>
      <c r="L63" s="186">
        <f>'Monthly Data'!BW63</f>
        <v>0</v>
      </c>
      <c r="M63" s="186">
        <f>'Monthly Data'!CC63</f>
        <v>28</v>
      </c>
      <c r="N63" s="186">
        <f>'Monthly Data'!CD63</f>
        <v>19</v>
      </c>
      <c r="P63" s="186">
        <f>'GS &gt; 50 OLS Model (LC)'!$B$5</f>
        <v>-8436546.8467997499</v>
      </c>
      <c r="Q63" s="186">
        <f>'GS &gt; 50 OLS Model (LC)'!$B$6*D63</f>
        <v>16327107.588357743</v>
      </c>
      <c r="R63" s="186">
        <f>'GS &gt; 50 OLS Model (LC)'!$B$7*E63</f>
        <v>0</v>
      </c>
      <c r="S63" s="186">
        <f>'GS &gt; 50 OLS Model (LC)'!$B$8*F63</f>
        <v>31197415.999218632</v>
      </c>
      <c r="U63" s="186">
        <f>'GS &gt; 50 OLS Model (LC)'!$B$9*H63</f>
        <v>0</v>
      </c>
      <c r="V63" s="186">
        <f>'GS &gt; 50 OLS Model (LC)'!$B$10*I63</f>
        <v>0</v>
      </c>
      <c r="W63" s="186">
        <f>'GS &gt; 50 OLS Model (LC)'!$B$11*J63</f>
        <v>0</v>
      </c>
      <c r="X63" s="186">
        <f>'GS &gt; 50 OLS Model (LC)'!$B$12*K63</f>
        <v>0</v>
      </c>
      <c r="Y63" s="186">
        <v>0</v>
      </c>
      <c r="Z63" s="186">
        <f>'GS &gt; 50 OLS Model (LC)'!$B$13*M63</f>
        <v>31437626.35201272</v>
      </c>
      <c r="AA63" s="186">
        <f>'GS &gt; 50 OLS Model (LC)'!$B$14*N63</f>
        <v>12306056.024009675</v>
      </c>
      <c r="AB63" s="186">
        <f t="shared" si="2"/>
        <v>82831659.116799027</v>
      </c>
      <c r="AC63" s="24">
        <f t="shared" ca="1" si="3"/>
        <v>3.4545337739700095E-2</v>
      </c>
    </row>
    <row r="64" spans="1:29">
      <c r="A64" s="128">
        <f>'Monthly Data'!A64</f>
        <v>41699</v>
      </c>
      <c r="B64" s="186">
        <f t="shared" si="1"/>
        <v>2014</v>
      </c>
      <c r="C64" s="124">
        <f ca="1">'Monthly Data'!T64</f>
        <v>88242965.31564568</v>
      </c>
      <c r="D64" s="186">
        <f>'Monthly Data'!BH64</f>
        <v>591.90000000000009</v>
      </c>
      <c r="E64" s="186">
        <f>'Monthly Data'!BI64</f>
        <v>0</v>
      </c>
      <c r="F64" s="186">
        <f>'Monthly Data'!BL64</f>
        <v>601343.5</v>
      </c>
      <c r="G64" s="186">
        <f>'Monthly Data'!BM64</f>
        <v>63</v>
      </c>
      <c r="H64" s="186">
        <f>'Monthly Data'!BQ64</f>
        <v>0</v>
      </c>
      <c r="I64" s="186">
        <f>'Monthly Data'!BS64</f>
        <v>0</v>
      </c>
      <c r="J64" s="186">
        <f>'Monthly Data'!BU64</f>
        <v>0</v>
      </c>
      <c r="K64" s="186">
        <f>'Monthly Data'!BV64</f>
        <v>0</v>
      </c>
      <c r="L64" s="186">
        <f>'Monthly Data'!BW64</f>
        <v>0</v>
      </c>
      <c r="M64" s="186">
        <f>'Monthly Data'!CC64</f>
        <v>31</v>
      </c>
      <c r="N64" s="186">
        <f>'Monthly Data'!CD64</f>
        <v>21</v>
      </c>
      <c r="P64" s="186">
        <f>'GS &gt; 50 OLS Model (LC)'!$B$5</f>
        <v>-8436546.8467997499</v>
      </c>
      <c r="Q64" s="186">
        <f>'GS &gt; 50 OLS Model (LC)'!$B$6*D64</f>
        <v>14334047.732941192</v>
      </c>
      <c r="R64" s="186">
        <f>'GS &gt; 50 OLS Model (LC)'!$B$7*E64</f>
        <v>0</v>
      </c>
      <c r="S64" s="186">
        <f>'GS &gt; 50 OLS Model (LC)'!$B$8*F64</f>
        <v>31197415.999218632</v>
      </c>
      <c r="U64" s="186">
        <f>'GS &gt; 50 OLS Model (LC)'!$B$9*H64</f>
        <v>0</v>
      </c>
      <c r="V64" s="186">
        <f>'GS &gt; 50 OLS Model (LC)'!$B$10*I64</f>
        <v>0</v>
      </c>
      <c r="W64" s="186">
        <f>'GS &gt; 50 OLS Model (LC)'!$B$11*J64</f>
        <v>0</v>
      </c>
      <c r="X64" s="186">
        <f>'GS &gt; 50 OLS Model (LC)'!$B$12*K64</f>
        <v>0</v>
      </c>
      <c r="Y64" s="186">
        <v>0</v>
      </c>
      <c r="Z64" s="186">
        <f>'GS &gt; 50 OLS Model (LC)'!$B$13*M64</f>
        <v>34805943.461156942</v>
      </c>
      <c r="AA64" s="186">
        <f>'GS &gt; 50 OLS Model (LC)'!$B$14*N64</f>
        <v>13601430.342326485</v>
      </c>
      <c r="AB64" s="186">
        <f t="shared" si="2"/>
        <v>85502290.688843518</v>
      </c>
      <c r="AC64" s="24">
        <f t="shared" ca="1" si="3"/>
        <v>3.1058278889413447E-2</v>
      </c>
    </row>
    <row r="65" spans="1:29">
      <c r="A65" s="128">
        <f>'Monthly Data'!A65</f>
        <v>41730</v>
      </c>
      <c r="B65" s="186">
        <f t="shared" si="1"/>
        <v>2014</v>
      </c>
      <c r="C65" s="124">
        <f ca="1">'Monthly Data'!T65</f>
        <v>76032615.997099578</v>
      </c>
      <c r="D65" s="186">
        <f>'Monthly Data'!BH65</f>
        <v>253.7</v>
      </c>
      <c r="E65" s="186">
        <f>'Monthly Data'!BI65</f>
        <v>0</v>
      </c>
      <c r="F65" s="186">
        <f>'Monthly Data'!BL65</f>
        <v>601343.5</v>
      </c>
      <c r="G65" s="186">
        <f>'Monthly Data'!BM65</f>
        <v>64</v>
      </c>
      <c r="H65" s="186">
        <f>'Monthly Data'!BQ65</f>
        <v>1</v>
      </c>
      <c r="I65" s="186">
        <f>'Monthly Data'!BS65</f>
        <v>0</v>
      </c>
      <c r="J65" s="186">
        <f>'Monthly Data'!BU65</f>
        <v>0</v>
      </c>
      <c r="K65" s="186">
        <f>'Monthly Data'!BV65</f>
        <v>0</v>
      </c>
      <c r="L65" s="186">
        <f>'Monthly Data'!BW65</f>
        <v>0</v>
      </c>
      <c r="M65" s="186">
        <f>'Monthly Data'!CC65</f>
        <v>30</v>
      </c>
      <c r="N65" s="186">
        <f>'Monthly Data'!CD65</f>
        <v>20</v>
      </c>
      <c r="P65" s="186">
        <f>'GS &gt; 50 OLS Model (LC)'!$B$5</f>
        <v>-8436546.8467997499</v>
      </c>
      <c r="Q65" s="186">
        <f>'GS &gt; 50 OLS Model (LC)'!$B$6*D65</f>
        <v>6143855.2286656182</v>
      </c>
      <c r="R65" s="186">
        <f>'GS &gt; 50 OLS Model (LC)'!$B$7*E65</f>
        <v>0</v>
      </c>
      <c r="S65" s="186">
        <f>'GS &gt; 50 OLS Model (LC)'!$B$8*F65</f>
        <v>31197415.999218632</v>
      </c>
      <c r="U65" s="186">
        <f>'GS &gt; 50 OLS Model (LC)'!$B$9*H65</f>
        <v>-1670517.9110053701</v>
      </c>
      <c r="V65" s="186">
        <f>'GS &gt; 50 OLS Model (LC)'!$B$10*I65</f>
        <v>0</v>
      </c>
      <c r="W65" s="186">
        <f>'GS &gt; 50 OLS Model (LC)'!$B$11*J65</f>
        <v>0</v>
      </c>
      <c r="X65" s="186">
        <f>'GS &gt; 50 OLS Model (LC)'!$B$12*K65</f>
        <v>0</v>
      </c>
      <c r="Y65" s="186">
        <v>0</v>
      </c>
      <c r="Z65" s="186">
        <f>'GS &gt; 50 OLS Model (LC)'!$B$13*M65</f>
        <v>33683171.091442198</v>
      </c>
      <c r="AA65" s="186">
        <f>'GS &gt; 50 OLS Model (LC)'!$B$14*N65</f>
        <v>12953743.18316808</v>
      </c>
      <c r="AB65" s="186">
        <f t="shared" si="2"/>
        <v>73871120.744689405</v>
      </c>
      <c r="AC65" s="24">
        <f t="shared" ca="1" si="3"/>
        <v>2.8428526679821566E-2</v>
      </c>
    </row>
    <row r="66" spans="1:29">
      <c r="A66" s="128">
        <f>'Monthly Data'!A66</f>
        <v>41760</v>
      </c>
      <c r="B66" s="186">
        <f t="shared" ref="B66:B121" si="4">YEAR(A66)</f>
        <v>2014</v>
      </c>
      <c r="C66" s="124">
        <f ca="1">'Monthly Data'!T66</f>
        <v>78518698.920610771</v>
      </c>
      <c r="D66" s="186">
        <f>'Monthly Data'!BH66</f>
        <v>90.600000000000009</v>
      </c>
      <c r="E66" s="186">
        <f>'Monthly Data'!BI66</f>
        <v>36.4</v>
      </c>
      <c r="F66" s="186">
        <f>'Monthly Data'!BL66</f>
        <v>601343.5</v>
      </c>
      <c r="G66" s="186">
        <f>'Monthly Data'!BM66</f>
        <v>65</v>
      </c>
      <c r="H66" s="186">
        <f>'Monthly Data'!BQ66</f>
        <v>0</v>
      </c>
      <c r="I66" s="186">
        <f>'Monthly Data'!BS66</f>
        <v>0</v>
      </c>
      <c r="J66" s="186">
        <f>'Monthly Data'!BU66</f>
        <v>0</v>
      </c>
      <c r="K66" s="186">
        <f>'Monthly Data'!BV66</f>
        <v>0</v>
      </c>
      <c r="L66" s="186">
        <f>'Monthly Data'!BW66</f>
        <v>0</v>
      </c>
      <c r="M66" s="186">
        <f>'Monthly Data'!CC66</f>
        <v>31</v>
      </c>
      <c r="N66" s="186">
        <f>'Monthly Data'!CD66</f>
        <v>22</v>
      </c>
      <c r="P66" s="186">
        <f>'GS &gt; 50 OLS Model (LC)'!$B$5</f>
        <v>-8436546.8467997499</v>
      </c>
      <c r="Q66" s="186">
        <f>'GS &gt; 50 OLS Model (LC)'!$B$6*D66</f>
        <v>2194061.0316007296</v>
      </c>
      <c r="R66" s="186">
        <f>'GS &gt; 50 OLS Model (LC)'!$B$7*E66</f>
        <v>2597972.9177750237</v>
      </c>
      <c r="S66" s="186">
        <f>'GS &gt; 50 OLS Model (LC)'!$B$8*F66</f>
        <v>31197415.999218632</v>
      </c>
      <c r="U66" s="186">
        <f>'GS &gt; 50 OLS Model (LC)'!$B$9*H66</f>
        <v>0</v>
      </c>
      <c r="V66" s="186">
        <f>'GS &gt; 50 OLS Model (LC)'!$B$10*I66</f>
        <v>0</v>
      </c>
      <c r="W66" s="186">
        <f>'GS &gt; 50 OLS Model (LC)'!$B$11*J66</f>
        <v>0</v>
      </c>
      <c r="X66" s="186">
        <f>'GS &gt; 50 OLS Model (LC)'!$B$12*K66</f>
        <v>0</v>
      </c>
      <c r="Y66" s="186">
        <v>0</v>
      </c>
      <c r="Z66" s="186">
        <f>'GS &gt; 50 OLS Model (LC)'!$B$13*M66</f>
        <v>34805943.461156942</v>
      </c>
      <c r="AA66" s="186">
        <f>'GS &gt; 50 OLS Model (LC)'!$B$14*N66</f>
        <v>14249117.501484888</v>
      </c>
      <c r="AB66" s="186">
        <f t="shared" ref="AB66:AB121" si="5">SUM(P66:AA66)</f>
        <v>76607964.064436466</v>
      </c>
      <c r="AC66" s="24">
        <f t="shared" ref="AC66:AC121" ca="1" si="6">ABS(AB66-C66)/C66</f>
        <v>2.4334774804486051E-2</v>
      </c>
    </row>
    <row r="67" spans="1:29">
      <c r="A67" s="128">
        <f>'Monthly Data'!A67</f>
        <v>41791</v>
      </c>
      <c r="B67" s="186">
        <f t="shared" si="4"/>
        <v>2014</v>
      </c>
      <c r="C67" s="124">
        <f ca="1">'Monthly Data'!T67</f>
        <v>81857571.227659523</v>
      </c>
      <c r="D67" s="186">
        <f>'Monthly Data'!BH67</f>
        <v>2.4000000000000004</v>
      </c>
      <c r="E67" s="186">
        <f>'Monthly Data'!BI67</f>
        <v>123.29999999999997</v>
      </c>
      <c r="F67" s="186">
        <f>'Monthly Data'!BL67</f>
        <v>601343.5</v>
      </c>
      <c r="G67" s="186">
        <f>'Monthly Data'!BM67</f>
        <v>66</v>
      </c>
      <c r="H67" s="186">
        <f>'Monthly Data'!BQ67</f>
        <v>0</v>
      </c>
      <c r="I67" s="186">
        <f>'Monthly Data'!BS67</f>
        <v>1</v>
      </c>
      <c r="J67" s="186">
        <f>'Monthly Data'!BU67</f>
        <v>0</v>
      </c>
      <c r="K67" s="186">
        <f>'Monthly Data'!BV67</f>
        <v>0</v>
      </c>
      <c r="L67" s="186">
        <f>'Monthly Data'!BW67</f>
        <v>0</v>
      </c>
      <c r="M67" s="186">
        <f>'Monthly Data'!CC67</f>
        <v>30</v>
      </c>
      <c r="N67" s="186">
        <f>'Monthly Data'!CD67</f>
        <v>21</v>
      </c>
      <c r="P67" s="186">
        <f>'GS &gt; 50 OLS Model (LC)'!$B$5</f>
        <v>-8436546.8467997499</v>
      </c>
      <c r="Q67" s="186">
        <f>'GS &gt; 50 OLS Model (LC)'!$B$6*D67</f>
        <v>58120.822029158408</v>
      </c>
      <c r="R67" s="186">
        <f>'GS &gt; 50 OLS Model (LC)'!$B$7*E67</f>
        <v>8800276.3945511095</v>
      </c>
      <c r="S67" s="186">
        <f>'GS &gt; 50 OLS Model (LC)'!$B$8*F67</f>
        <v>31197415.999218632</v>
      </c>
      <c r="U67" s="186">
        <f>'GS &gt; 50 OLS Model (LC)'!$B$9*H67</f>
        <v>0</v>
      </c>
      <c r="V67" s="186">
        <f>'GS &gt; 50 OLS Model (LC)'!$B$10*I67</f>
        <v>1260255.0136768401</v>
      </c>
      <c r="W67" s="186">
        <f>'GS &gt; 50 OLS Model (LC)'!$B$11*J67</f>
        <v>0</v>
      </c>
      <c r="X67" s="186">
        <f>'GS &gt; 50 OLS Model (LC)'!$B$12*K67</f>
        <v>0</v>
      </c>
      <c r="Y67" s="186">
        <v>0</v>
      </c>
      <c r="Z67" s="186">
        <f>'GS &gt; 50 OLS Model (LC)'!$B$13*M67</f>
        <v>33683171.091442198</v>
      </c>
      <c r="AA67" s="186">
        <f>'GS &gt; 50 OLS Model (LC)'!$B$14*N67</f>
        <v>13601430.342326485</v>
      </c>
      <c r="AB67" s="186">
        <f t="shared" si="5"/>
        <v>80164122.816444665</v>
      </c>
      <c r="AC67" s="24">
        <f t="shared" ca="1" si="6"/>
        <v>2.0687743183890668E-2</v>
      </c>
    </row>
    <row r="68" spans="1:29">
      <c r="A68" s="128">
        <f>'Monthly Data'!A68</f>
        <v>41821</v>
      </c>
      <c r="B68" s="186">
        <f t="shared" si="4"/>
        <v>2014</v>
      </c>
      <c r="C68" s="124">
        <f ca="1">'Monthly Data'!T68</f>
        <v>83348919.115916789</v>
      </c>
      <c r="D68" s="186">
        <f>'Monthly Data'!BH68</f>
        <v>0.7</v>
      </c>
      <c r="E68" s="186">
        <f>'Monthly Data'!BI68</f>
        <v>113.59999999999997</v>
      </c>
      <c r="F68" s="186">
        <f>'Monthly Data'!BL68</f>
        <v>601343.5</v>
      </c>
      <c r="G68" s="186">
        <f>'Monthly Data'!BM68</f>
        <v>67</v>
      </c>
      <c r="H68" s="186">
        <f>'Monthly Data'!BQ68</f>
        <v>0</v>
      </c>
      <c r="I68" s="186">
        <f>'Monthly Data'!BS68</f>
        <v>0</v>
      </c>
      <c r="J68" s="186">
        <f>'Monthly Data'!BU68</f>
        <v>0</v>
      </c>
      <c r="K68" s="186">
        <f>'Monthly Data'!BV68</f>
        <v>0</v>
      </c>
      <c r="L68" s="186">
        <f>'Monthly Data'!BW68</f>
        <v>0</v>
      </c>
      <c r="M68" s="186">
        <f>'Monthly Data'!CC68</f>
        <v>31</v>
      </c>
      <c r="N68" s="186">
        <f>'Monthly Data'!CD68</f>
        <v>22</v>
      </c>
      <c r="P68" s="186">
        <f>'GS &gt; 50 OLS Model (LC)'!$B$5</f>
        <v>-8436546.8467997499</v>
      </c>
      <c r="Q68" s="186">
        <f>'GS &gt; 50 OLS Model (LC)'!$B$6*D68</f>
        <v>16951.906425171197</v>
      </c>
      <c r="R68" s="186">
        <f>'GS &gt; 50 OLS Model (LC)'!$B$7*E68</f>
        <v>8107959.4356934782</v>
      </c>
      <c r="S68" s="186">
        <f>'GS &gt; 50 OLS Model (LC)'!$B$8*F68</f>
        <v>31197415.999218632</v>
      </c>
      <c r="U68" s="186">
        <f>'GS &gt; 50 OLS Model (LC)'!$B$9*H68</f>
        <v>0</v>
      </c>
      <c r="V68" s="186">
        <f>'GS &gt; 50 OLS Model (LC)'!$B$10*I68</f>
        <v>0</v>
      </c>
      <c r="W68" s="186">
        <f>'GS &gt; 50 OLS Model (LC)'!$B$11*J68</f>
        <v>0</v>
      </c>
      <c r="X68" s="186">
        <f>'GS &gt; 50 OLS Model (LC)'!$B$12*K68</f>
        <v>0</v>
      </c>
      <c r="Y68" s="186">
        <v>0</v>
      </c>
      <c r="Z68" s="186">
        <f>'GS &gt; 50 OLS Model (LC)'!$B$13*M68</f>
        <v>34805943.461156942</v>
      </c>
      <c r="AA68" s="186">
        <f>'GS &gt; 50 OLS Model (LC)'!$B$14*N68</f>
        <v>14249117.501484888</v>
      </c>
      <c r="AB68" s="186">
        <f t="shared" si="5"/>
        <v>79940841.457179368</v>
      </c>
      <c r="AC68" s="24">
        <f t="shared" ca="1" si="6"/>
        <v>4.0889284406887945E-2</v>
      </c>
    </row>
    <row r="69" spans="1:29">
      <c r="A69" s="128">
        <f>'Monthly Data'!A69</f>
        <v>41852</v>
      </c>
      <c r="B69" s="186">
        <f t="shared" si="4"/>
        <v>2014</v>
      </c>
      <c r="C69" s="124">
        <f ca="1">'Monthly Data'!T69</f>
        <v>82700521.432717174</v>
      </c>
      <c r="D69" s="186">
        <f>'Monthly Data'!BH69</f>
        <v>0.7</v>
      </c>
      <c r="E69" s="186">
        <f>'Monthly Data'!BI69</f>
        <v>130.19999999999996</v>
      </c>
      <c r="F69" s="186">
        <f>'Monthly Data'!BL69</f>
        <v>601343.5</v>
      </c>
      <c r="G69" s="186">
        <f>'Monthly Data'!BM69</f>
        <v>68</v>
      </c>
      <c r="H69" s="186">
        <f>'Monthly Data'!BQ69</f>
        <v>0</v>
      </c>
      <c r="I69" s="186">
        <f>'Monthly Data'!BS69</f>
        <v>0</v>
      </c>
      <c r="J69" s="186">
        <f>'Monthly Data'!BU69</f>
        <v>1</v>
      </c>
      <c r="K69" s="186">
        <f>'Monthly Data'!BV69</f>
        <v>0</v>
      </c>
      <c r="L69" s="186">
        <f>'Monthly Data'!BW69</f>
        <v>0</v>
      </c>
      <c r="M69" s="186">
        <f>'Monthly Data'!CC69</f>
        <v>31</v>
      </c>
      <c r="N69" s="186">
        <f>'Monthly Data'!CD69</f>
        <v>20</v>
      </c>
      <c r="P69" s="186">
        <f>'GS &gt; 50 OLS Model (LC)'!$B$5</f>
        <v>-8436546.8467997499</v>
      </c>
      <c r="Q69" s="186">
        <f>'GS &gt; 50 OLS Model (LC)'!$B$6*D69</f>
        <v>16951.906425171197</v>
      </c>
      <c r="R69" s="186">
        <f>'GS &gt; 50 OLS Model (LC)'!$B$7*E69</f>
        <v>9292749.2828106601</v>
      </c>
      <c r="S69" s="186">
        <f>'GS &gt; 50 OLS Model (LC)'!$B$8*F69</f>
        <v>31197415.999218632</v>
      </c>
      <c r="U69" s="186">
        <f>'GS &gt; 50 OLS Model (LC)'!$B$9*H69</f>
        <v>0</v>
      </c>
      <c r="V69" s="186">
        <f>'GS &gt; 50 OLS Model (LC)'!$B$10*I69</f>
        <v>0</v>
      </c>
      <c r="W69" s="186">
        <f>'GS &gt; 50 OLS Model (LC)'!$B$11*J69</f>
        <v>2501012.7689915099</v>
      </c>
      <c r="X69" s="186">
        <f>'GS &gt; 50 OLS Model (LC)'!$B$12*K69</f>
        <v>0</v>
      </c>
      <c r="Y69" s="186">
        <v>0</v>
      </c>
      <c r="Z69" s="186">
        <f>'GS &gt; 50 OLS Model (LC)'!$B$13*M69</f>
        <v>34805943.461156942</v>
      </c>
      <c r="AA69" s="186">
        <f>'GS &gt; 50 OLS Model (LC)'!$B$14*N69</f>
        <v>12953743.18316808</v>
      </c>
      <c r="AB69" s="186">
        <f t="shared" si="5"/>
        <v>82331269.754971236</v>
      </c>
      <c r="AC69" s="24">
        <f t="shared" ca="1" si="6"/>
        <v>4.4649256298383939E-3</v>
      </c>
    </row>
    <row r="70" spans="1:29">
      <c r="A70" s="128">
        <f>'Monthly Data'!A70</f>
        <v>41883</v>
      </c>
      <c r="B70" s="186">
        <f t="shared" si="4"/>
        <v>2014</v>
      </c>
      <c r="C70" s="124">
        <f ca="1">'Monthly Data'!T70</f>
        <v>77960422.026261076</v>
      </c>
      <c r="D70" s="186">
        <f>'Monthly Data'!BH70</f>
        <v>57.20000000000001</v>
      </c>
      <c r="E70" s="186">
        <f>'Monthly Data'!BI70</f>
        <v>50.499999999999979</v>
      </c>
      <c r="F70" s="186">
        <f>'Monthly Data'!BL70</f>
        <v>601343.5</v>
      </c>
      <c r="G70" s="186">
        <f>'Monthly Data'!BM70</f>
        <v>69</v>
      </c>
      <c r="H70" s="186">
        <f>'Monthly Data'!BQ70</f>
        <v>0</v>
      </c>
      <c r="I70" s="186">
        <f>'Monthly Data'!BS70</f>
        <v>0</v>
      </c>
      <c r="J70" s="186">
        <f>'Monthly Data'!BU70</f>
        <v>0</v>
      </c>
      <c r="K70" s="186">
        <f>'Monthly Data'!BV70</f>
        <v>1</v>
      </c>
      <c r="L70" s="186">
        <f>'Monthly Data'!BW70</f>
        <v>0</v>
      </c>
      <c r="M70" s="186">
        <f>'Monthly Data'!CC70</f>
        <v>30</v>
      </c>
      <c r="N70" s="186">
        <f>'Monthly Data'!CD70</f>
        <v>21</v>
      </c>
      <c r="P70" s="186">
        <f>'GS &gt; 50 OLS Model (LC)'!$B$5</f>
        <v>-8436546.8467997499</v>
      </c>
      <c r="Q70" s="186">
        <f>'GS &gt; 50 OLS Model (LC)'!$B$6*D70</f>
        <v>1385212.9250282755</v>
      </c>
      <c r="R70" s="186">
        <f>'GS &gt; 50 OLS Model (LC)'!$B$7*E70</f>
        <v>3604330.5590010616</v>
      </c>
      <c r="S70" s="186">
        <f>'GS &gt; 50 OLS Model (LC)'!$B$8*F70</f>
        <v>31197415.999218632</v>
      </c>
      <c r="U70" s="186">
        <f>'GS &gt; 50 OLS Model (LC)'!$B$9*H70</f>
        <v>0</v>
      </c>
      <c r="V70" s="186">
        <f>'GS &gt; 50 OLS Model (LC)'!$B$10*I70</f>
        <v>0</v>
      </c>
      <c r="W70" s="186">
        <f>'GS &gt; 50 OLS Model (LC)'!$B$11*J70</f>
        <v>0</v>
      </c>
      <c r="X70" s="186">
        <f>'GS &gt; 50 OLS Model (LC)'!$B$12*K70</f>
        <v>2346294.5864150901</v>
      </c>
      <c r="Y70" s="186">
        <v>0</v>
      </c>
      <c r="Z70" s="186">
        <f>'GS &gt; 50 OLS Model (LC)'!$B$13*M70</f>
        <v>33683171.091442198</v>
      </c>
      <c r="AA70" s="186">
        <f>'GS &gt; 50 OLS Model (LC)'!$B$14*N70</f>
        <v>13601430.342326485</v>
      </c>
      <c r="AB70" s="186">
        <f t="shared" si="5"/>
        <v>77381308.656631991</v>
      </c>
      <c r="AC70" s="24">
        <f t="shared" ca="1" si="6"/>
        <v>7.428299572750003E-3</v>
      </c>
    </row>
    <row r="71" spans="1:29">
      <c r="A71" s="128">
        <f>'Monthly Data'!A71</f>
        <v>41913</v>
      </c>
      <c r="B71" s="186">
        <f t="shared" si="4"/>
        <v>2014</v>
      </c>
      <c r="C71" s="124">
        <f ca="1">'Monthly Data'!T71</f>
        <v>77895587.782433912</v>
      </c>
      <c r="D71" s="186">
        <f>'Monthly Data'!BH71</f>
        <v>179.7</v>
      </c>
      <c r="E71" s="186">
        <f>'Monthly Data'!BI71</f>
        <v>3.9</v>
      </c>
      <c r="F71" s="186">
        <f>'Monthly Data'!BL71</f>
        <v>601343.5</v>
      </c>
      <c r="G71" s="186">
        <f>'Monthly Data'!BM71</f>
        <v>70</v>
      </c>
      <c r="H71" s="186">
        <f>'Monthly Data'!BQ71</f>
        <v>0</v>
      </c>
      <c r="I71" s="186">
        <f>'Monthly Data'!BS71</f>
        <v>0</v>
      </c>
      <c r="J71" s="186">
        <f>'Monthly Data'!BU71</f>
        <v>0</v>
      </c>
      <c r="K71" s="186">
        <f>'Monthly Data'!BV71</f>
        <v>0</v>
      </c>
      <c r="L71" s="186">
        <f>'Monthly Data'!BW71</f>
        <v>1</v>
      </c>
      <c r="M71" s="186">
        <f>'Monthly Data'!CC71</f>
        <v>31</v>
      </c>
      <c r="N71" s="186">
        <f>'Monthly Data'!CD71</f>
        <v>22</v>
      </c>
      <c r="P71" s="186">
        <f>'GS &gt; 50 OLS Model (LC)'!$B$5</f>
        <v>-8436546.8467997499</v>
      </c>
      <c r="Q71" s="186">
        <f>'GS &gt; 50 OLS Model (LC)'!$B$6*D71</f>
        <v>4351796.5494332351</v>
      </c>
      <c r="R71" s="186">
        <f>'GS &gt; 50 OLS Model (LC)'!$B$7*E71</f>
        <v>278354.24119018111</v>
      </c>
      <c r="S71" s="186">
        <f>'GS &gt; 50 OLS Model (LC)'!$B$8*F71</f>
        <v>31197415.999218632</v>
      </c>
      <c r="U71" s="186">
        <f>'GS &gt; 50 OLS Model (LC)'!$B$9*H71</f>
        <v>0</v>
      </c>
      <c r="V71" s="186">
        <f>'GS &gt; 50 OLS Model (LC)'!$B$10*I71</f>
        <v>0</v>
      </c>
      <c r="W71" s="186">
        <f>'GS &gt; 50 OLS Model (LC)'!$B$11*J71</f>
        <v>0</v>
      </c>
      <c r="X71" s="186">
        <f>'GS &gt; 50 OLS Model (LC)'!$B$12*K71</f>
        <v>0</v>
      </c>
      <c r="Y71" s="186">
        <v>0</v>
      </c>
      <c r="Z71" s="186">
        <f>'GS &gt; 50 OLS Model (LC)'!$B$13*M71</f>
        <v>34805943.461156942</v>
      </c>
      <c r="AA71" s="186">
        <f>'GS &gt; 50 OLS Model (LC)'!$B$14*N71</f>
        <v>14249117.501484888</v>
      </c>
      <c r="AB71" s="186">
        <f t="shared" si="5"/>
        <v>76446080.905684128</v>
      </c>
      <c r="AC71" s="24">
        <f t="shared" ca="1" si="6"/>
        <v>1.8608330946783859E-2</v>
      </c>
    </row>
    <row r="72" spans="1:29">
      <c r="A72" s="128">
        <f>'Monthly Data'!A72</f>
        <v>41944</v>
      </c>
      <c r="B72" s="186">
        <f t="shared" si="4"/>
        <v>2014</v>
      </c>
      <c r="C72" s="124">
        <f ca="1">'Monthly Data'!T72</f>
        <v>81173246.366913959</v>
      </c>
      <c r="D72" s="186">
        <f>'Monthly Data'!BH72</f>
        <v>442</v>
      </c>
      <c r="E72" s="186">
        <f>'Monthly Data'!BI72</f>
        <v>0</v>
      </c>
      <c r="F72" s="186">
        <f>'Monthly Data'!BL72</f>
        <v>601343.5</v>
      </c>
      <c r="G72" s="186">
        <f>'Monthly Data'!BM72</f>
        <v>71</v>
      </c>
      <c r="H72" s="186">
        <f>'Monthly Data'!BQ72</f>
        <v>0</v>
      </c>
      <c r="I72" s="186">
        <f>'Monthly Data'!BS72</f>
        <v>0</v>
      </c>
      <c r="J72" s="186">
        <f>'Monthly Data'!BU72</f>
        <v>0</v>
      </c>
      <c r="K72" s="186">
        <f>'Monthly Data'!BV72</f>
        <v>0</v>
      </c>
      <c r="L72" s="186">
        <f>'Monthly Data'!BW72</f>
        <v>0</v>
      </c>
      <c r="M72" s="186">
        <f>'Monthly Data'!CC72</f>
        <v>30</v>
      </c>
      <c r="N72" s="186">
        <f>'Monthly Data'!CD72</f>
        <v>20</v>
      </c>
      <c r="P72" s="186">
        <f>'GS &gt; 50 OLS Model (LC)'!$B$5</f>
        <v>-8436546.8467997499</v>
      </c>
      <c r="Q72" s="186">
        <f>'GS &gt; 50 OLS Model (LC)'!$B$6*D72</f>
        <v>10703918.057036672</v>
      </c>
      <c r="R72" s="186">
        <f>'GS &gt; 50 OLS Model (LC)'!$B$7*E72</f>
        <v>0</v>
      </c>
      <c r="S72" s="186">
        <f>'GS &gt; 50 OLS Model (LC)'!$B$8*F72</f>
        <v>31197415.999218632</v>
      </c>
      <c r="U72" s="186">
        <f>'GS &gt; 50 OLS Model (LC)'!$B$9*H72</f>
        <v>0</v>
      </c>
      <c r="V72" s="186">
        <f>'GS &gt; 50 OLS Model (LC)'!$B$10*I72</f>
        <v>0</v>
      </c>
      <c r="W72" s="186">
        <f>'GS &gt; 50 OLS Model (LC)'!$B$11*J72</f>
        <v>0</v>
      </c>
      <c r="X72" s="186">
        <f>'GS &gt; 50 OLS Model (LC)'!$B$12*K72</f>
        <v>0</v>
      </c>
      <c r="Y72" s="186">
        <v>0</v>
      </c>
      <c r="Z72" s="186">
        <f>'GS &gt; 50 OLS Model (LC)'!$B$13*M72</f>
        <v>33683171.091442198</v>
      </c>
      <c r="AA72" s="186">
        <f>'GS &gt; 50 OLS Model (LC)'!$B$14*N72</f>
        <v>12953743.18316808</v>
      </c>
      <c r="AB72" s="186">
        <f t="shared" si="5"/>
        <v>80101701.484065831</v>
      </c>
      <c r="AC72" s="24">
        <f t="shared" ca="1" si="6"/>
        <v>1.3200714900628739E-2</v>
      </c>
    </row>
    <row r="73" spans="1:29">
      <c r="A73" s="128">
        <f>'Monthly Data'!A73</f>
        <v>41974</v>
      </c>
      <c r="B73" s="186">
        <f t="shared" si="4"/>
        <v>2014</v>
      </c>
      <c r="C73" s="124">
        <f ca="1">'Monthly Data'!T73</f>
        <v>84448717.230596632</v>
      </c>
      <c r="D73" s="186">
        <f>'Monthly Data'!BH73</f>
        <v>513.9</v>
      </c>
      <c r="E73" s="186">
        <f>'Monthly Data'!BI73</f>
        <v>0</v>
      </c>
      <c r="F73" s="186">
        <f>'Monthly Data'!BL73</f>
        <v>601343.5</v>
      </c>
      <c r="G73" s="186">
        <f>'Monthly Data'!BM73</f>
        <v>72</v>
      </c>
      <c r="H73" s="186">
        <f>'Monthly Data'!BQ73</f>
        <v>0</v>
      </c>
      <c r="I73" s="186">
        <f>'Monthly Data'!BS73</f>
        <v>0</v>
      </c>
      <c r="J73" s="186">
        <f>'Monthly Data'!BU73</f>
        <v>0</v>
      </c>
      <c r="K73" s="186">
        <f>'Monthly Data'!BV73</f>
        <v>0</v>
      </c>
      <c r="L73" s="186">
        <f>'Monthly Data'!BW73</f>
        <v>0</v>
      </c>
      <c r="M73" s="186">
        <f>'Monthly Data'!CC73</f>
        <v>31</v>
      </c>
      <c r="N73" s="186">
        <f>'Monthly Data'!CD73</f>
        <v>21</v>
      </c>
      <c r="P73" s="186">
        <f>'GS &gt; 50 OLS Model (LC)'!$B$5</f>
        <v>-8436546.8467997499</v>
      </c>
      <c r="Q73" s="186">
        <f>'GS &gt; 50 OLS Model (LC)'!$B$6*D73</f>
        <v>12445121.016993541</v>
      </c>
      <c r="R73" s="186">
        <f>'GS &gt; 50 OLS Model (LC)'!$B$7*E73</f>
        <v>0</v>
      </c>
      <c r="S73" s="186">
        <f>'GS &gt; 50 OLS Model (LC)'!$B$8*F73</f>
        <v>31197415.999218632</v>
      </c>
      <c r="U73" s="186">
        <f>'GS &gt; 50 OLS Model (LC)'!$B$9*H73</f>
        <v>0</v>
      </c>
      <c r="V73" s="186">
        <f>'GS &gt; 50 OLS Model (LC)'!$B$10*I73</f>
        <v>0</v>
      </c>
      <c r="W73" s="186">
        <f>'GS &gt; 50 OLS Model (LC)'!$B$11*J73</f>
        <v>0</v>
      </c>
      <c r="X73" s="186">
        <f>'GS &gt; 50 OLS Model (LC)'!$B$12*K73</f>
        <v>0</v>
      </c>
      <c r="Y73" s="186">
        <v>0</v>
      </c>
      <c r="Z73" s="186">
        <f>'GS &gt; 50 OLS Model (LC)'!$B$13*M73</f>
        <v>34805943.461156942</v>
      </c>
      <c r="AA73" s="186">
        <f>'GS &gt; 50 OLS Model (LC)'!$B$14*N73</f>
        <v>13601430.342326485</v>
      </c>
      <c r="AB73" s="186">
        <f t="shared" si="5"/>
        <v>83613363.972895861</v>
      </c>
      <c r="AC73" s="24">
        <f t="shared" ca="1" si="6"/>
        <v>9.8918406945098514E-3</v>
      </c>
    </row>
    <row r="74" spans="1:29">
      <c r="A74" s="128">
        <f>'Monthly Data'!A74</f>
        <v>42005</v>
      </c>
      <c r="B74" s="186">
        <f t="shared" si="4"/>
        <v>2015</v>
      </c>
      <c r="C74" s="124">
        <f ca="1">'Monthly Data'!T74</f>
        <v>90862720.009125739</v>
      </c>
      <c r="D74" s="186">
        <f>'Monthly Data'!BH74</f>
        <v>724.69999999999982</v>
      </c>
      <c r="E74" s="186">
        <f>'Monthly Data'!BI74</f>
        <v>0</v>
      </c>
      <c r="F74" s="186">
        <f>'Monthly Data'!BL74</f>
        <v>618051.4</v>
      </c>
      <c r="G74" s="186">
        <f>'Monthly Data'!BM74</f>
        <v>73</v>
      </c>
      <c r="H74" s="186">
        <f>'Monthly Data'!BQ74</f>
        <v>0</v>
      </c>
      <c r="I74" s="186">
        <f>'Monthly Data'!BS74</f>
        <v>0</v>
      </c>
      <c r="J74" s="186">
        <f>'Monthly Data'!BU74</f>
        <v>0</v>
      </c>
      <c r="K74" s="186">
        <f>'Monthly Data'!BV74</f>
        <v>0</v>
      </c>
      <c r="L74" s="186">
        <f>'Monthly Data'!BW74</f>
        <v>0</v>
      </c>
      <c r="M74" s="186">
        <f>'Monthly Data'!CC74</f>
        <v>31</v>
      </c>
      <c r="N74" s="186">
        <f>'Monthly Data'!CD74</f>
        <v>21</v>
      </c>
      <c r="P74" s="186">
        <f>'GS &gt; 50 OLS Model (LC)'!$B$5</f>
        <v>-8436546.8467997499</v>
      </c>
      <c r="Q74" s="186">
        <f>'GS &gt; 50 OLS Model (LC)'!$B$6*D74</f>
        <v>17550066.551887952</v>
      </c>
      <c r="R74" s="186">
        <f>'GS &gt; 50 OLS Model (LC)'!$B$7*E74</f>
        <v>0</v>
      </c>
      <c r="S74" s="186">
        <f>'GS &gt; 50 OLS Model (LC)'!$B$8*F74</f>
        <v>32064213.938787855</v>
      </c>
      <c r="U74" s="186">
        <f>'GS &gt; 50 OLS Model (LC)'!$B$9*H74</f>
        <v>0</v>
      </c>
      <c r="V74" s="186">
        <f>'GS &gt; 50 OLS Model (LC)'!$B$10*I74</f>
        <v>0</v>
      </c>
      <c r="W74" s="186">
        <f>'GS &gt; 50 OLS Model (LC)'!$B$11*J74</f>
        <v>0</v>
      </c>
      <c r="X74" s="186">
        <f>'GS &gt; 50 OLS Model (LC)'!$B$12*K74</f>
        <v>0</v>
      </c>
      <c r="Y74" s="186">
        <v>0</v>
      </c>
      <c r="Z74" s="186">
        <f>'GS &gt; 50 OLS Model (LC)'!$B$13*M74</f>
        <v>34805943.461156942</v>
      </c>
      <c r="AA74" s="186">
        <f>'GS &gt; 50 OLS Model (LC)'!$B$14*N74</f>
        <v>13601430.342326485</v>
      </c>
      <c r="AB74" s="186">
        <f t="shared" si="5"/>
        <v>89585107.447359502</v>
      </c>
      <c r="AC74" s="24">
        <f t="shared" ca="1" si="6"/>
        <v>1.4060910367177219E-2</v>
      </c>
    </row>
    <row r="75" spans="1:29">
      <c r="A75" s="128">
        <f>'Monthly Data'!A75</f>
        <v>42036</v>
      </c>
      <c r="B75" s="186">
        <f t="shared" si="4"/>
        <v>2015</v>
      </c>
      <c r="C75" s="124">
        <f ca="1">'Monthly Data'!T75</f>
        <v>84772321.173713028</v>
      </c>
      <c r="D75" s="186">
        <f>'Monthly Data'!BH75</f>
        <v>757.39999999999986</v>
      </c>
      <c r="E75" s="186">
        <f>'Monthly Data'!BI75</f>
        <v>0</v>
      </c>
      <c r="F75" s="186">
        <f>'Monthly Data'!BL75</f>
        <v>618051.4</v>
      </c>
      <c r="G75" s="186">
        <f>'Monthly Data'!BM75</f>
        <v>74</v>
      </c>
      <c r="H75" s="186">
        <f>'Monthly Data'!BQ75</f>
        <v>0</v>
      </c>
      <c r="I75" s="186">
        <f>'Monthly Data'!BS75</f>
        <v>0</v>
      </c>
      <c r="J75" s="186">
        <f>'Monthly Data'!BU75</f>
        <v>0</v>
      </c>
      <c r="K75" s="186">
        <f>'Monthly Data'!BV75</f>
        <v>0</v>
      </c>
      <c r="L75" s="186">
        <f>'Monthly Data'!BW75</f>
        <v>0</v>
      </c>
      <c r="M75" s="186">
        <f>'Monthly Data'!CC75</f>
        <v>28</v>
      </c>
      <c r="N75" s="186">
        <f>'Monthly Data'!CD75</f>
        <v>19</v>
      </c>
      <c r="P75" s="186">
        <f>'GS &gt; 50 OLS Model (LC)'!$B$5</f>
        <v>-8436546.8467997499</v>
      </c>
      <c r="Q75" s="186">
        <f>'GS &gt; 50 OLS Model (LC)'!$B$6*D75</f>
        <v>18341962.752035234</v>
      </c>
      <c r="R75" s="186">
        <f>'GS &gt; 50 OLS Model (LC)'!$B$7*E75</f>
        <v>0</v>
      </c>
      <c r="S75" s="186">
        <f>'GS &gt; 50 OLS Model (LC)'!$B$8*F75</f>
        <v>32064213.938787855</v>
      </c>
      <c r="U75" s="186">
        <f>'GS &gt; 50 OLS Model (LC)'!$B$9*H75</f>
        <v>0</v>
      </c>
      <c r="V75" s="186">
        <f>'GS &gt; 50 OLS Model (LC)'!$B$10*I75</f>
        <v>0</v>
      </c>
      <c r="W75" s="186">
        <f>'GS &gt; 50 OLS Model (LC)'!$B$11*J75</f>
        <v>0</v>
      </c>
      <c r="X75" s="186">
        <f>'GS &gt; 50 OLS Model (LC)'!$B$12*K75</f>
        <v>0</v>
      </c>
      <c r="Y75" s="186">
        <v>0</v>
      </c>
      <c r="Z75" s="186">
        <f>'GS &gt; 50 OLS Model (LC)'!$B$13*M75</f>
        <v>31437626.35201272</v>
      </c>
      <c r="AA75" s="186">
        <f>'GS &gt; 50 OLS Model (LC)'!$B$14*N75</f>
        <v>12306056.024009675</v>
      </c>
      <c r="AB75" s="186">
        <f t="shared" si="5"/>
        <v>85713312.22004573</v>
      </c>
      <c r="AC75" s="24">
        <f t="shared" ca="1" si="6"/>
        <v>1.1100215651809863E-2</v>
      </c>
    </row>
    <row r="76" spans="1:29">
      <c r="A76" s="128">
        <f>'Monthly Data'!A76</f>
        <v>42064</v>
      </c>
      <c r="B76" s="186">
        <f t="shared" si="4"/>
        <v>2015</v>
      </c>
      <c r="C76" s="124">
        <f ca="1">'Monthly Data'!T76</f>
        <v>84997101.121091247</v>
      </c>
      <c r="D76" s="186">
        <f>'Monthly Data'!BH76</f>
        <v>508.7</v>
      </c>
      <c r="E76" s="186">
        <f>'Monthly Data'!BI76</f>
        <v>0</v>
      </c>
      <c r="F76" s="186">
        <f>'Monthly Data'!BL76</f>
        <v>618051.4</v>
      </c>
      <c r="G76" s="186">
        <f>'Monthly Data'!BM76</f>
        <v>75</v>
      </c>
      <c r="H76" s="186">
        <f>'Monthly Data'!BQ76</f>
        <v>0</v>
      </c>
      <c r="I76" s="186">
        <f>'Monthly Data'!BS76</f>
        <v>0</v>
      </c>
      <c r="J76" s="186">
        <f>'Monthly Data'!BU76</f>
        <v>0</v>
      </c>
      <c r="K76" s="186">
        <f>'Monthly Data'!BV76</f>
        <v>0</v>
      </c>
      <c r="L76" s="186">
        <f>'Monthly Data'!BW76</f>
        <v>0</v>
      </c>
      <c r="M76" s="186">
        <f>'Monthly Data'!CC76</f>
        <v>31</v>
      </c>
      <c r="N76" s="186">
        <f>'Monthly Data'!CD76</f>
        <v>22</v>
      </c>
      <c r="P76" s="186">
        <f>'GS &gt; 50 OLS Model (LC)'!$B$5</f>
        <v>-8436546.8467997499</v>
      </c>
      <c r="Q76" s="186">
        <f>'GS &gt; 50 OLS Model (LC)'!$B$6*D76</f>
        <v>12319192.569263699</v>
      </c>
      <c r="R76" s="186">
        <f>'GS &gt; 50 OLS Model (LC)'!$B$7*E76</f>
        <v>0</v>
      </c>
      <c r="S76" s="186">
        <f>'GS &gt; 50 OLS Model (LC)'!$B$8*F76</f>
        <v>32064213.938787855</v>
      </c>
      <c r="U76" s="186">
        <f>'GS &gt; 50 OLS Model (LC)'!$B$9*H76</f>
        <v>0</v>
      </c>
      <c r="V76" s="186">
        <f>'GS &gt; 50 OLS Model (LC)'!$B$10*I76</f>
        <v>0</v>
      </c>
      <c r="W76" s="186">
        <f>'GS &gt; 50 OLS Model (LC)'!$B$11*J76</f>
        <v>0</v>
      </c>
      <c r="X76" s="186">
        <f>'GS &gt; 50 OLS Model (LC)'!$B$12*K76</f>
        <v>0</v>
      </c>
      <c r="Y76" s="186">
        <v>0</v>
      </c>
      <c r="Z76" s="186">
        <f>'GS &gt; 50 OLS Model (LC)'!$B$13*M76</f>
        <v>34805943.461156942</v>
      </c>
      <c r="AA76" s="186">
        <f>'GS &gt; 50 OLS Model (LC)'!$B$14*N76</f>
        <v>14249117.501484888</v>
      </c>
      <c r="AB76" s="186">
        <f t="shared" si="5"/>
        <v>85001920.623893633</v>
      </c>
      <c r="AC76" s="24">
        <f t="shared" ca="1" si="6"/>
        <v>5.6701966759087089E-5</v>
      </c>
    </row>
    <row r="77" spans="1:29">
      <c r="A77" s="128">
        <f>'Monthly Data'!A77</f>
        <v>42095</v>
      </c>
      <c r="B77" s="186">
        <f t="shared" si="4"/>
        <v>2015</v>
      </c>
      <c r="C77" s="124">
        <f ca="1">'Monthly Data'!T77</f>
        <v>74517514.750061482</v>
      </c>
      <c r="D77" s="186">
        <f>'Monthly Data'!BH77</f>
        <v>257.39999999999992</v>
      </c>
      <c r="E77" s="186">
        <f>'Monthly Data'!BI77</f>
        <v>0</v>
      </c>
      <c r="F77" s="186">
        <f>'Monthly Data'!BL77</f>
        <v>618051.4</v>
      </c>
      <c r="G77" s="186">
        <f>'Monthly Data'!BM77</f>
        <v>76</v>
      </c>
      <c r="H77" s="186">
        <f>'Monthly Data'!BQ77</f>
        <v>1</v>
      </c>
      <c r="I77" s="186">
        <f>'Monthly Data'!BS77</f>
        <v>0</v>
      </c>
      <c r="J77" s="186">
        <f>'Monthly Data'!BU77</f>
        <v>0</v>
      </c>
      <c r="K77" s="186">
        <f>'Monthly Data'!BV77</f>
        <v>0</v>
      </c>
      <c r="L77" s="186">
        <f>'Monthly Data'!BW77</f>
        <v>0</v>
      </c>
      <c r="M77" s="186">
        <f>'Monthly Data'!CC77</f>
        <v>30</v>
      </c>
      <c r="N77" s="186">
        <f>'Monthly Data'!CD77</f>
        <v>20</v>
      </c>
      <c r="P77" s="186">
        <f>'GS &gt; 50 OLS Model (LC)'!$B$5</f>
        <v>-8436546.8467997499</v>
      </c>
      <c r="Q77" s="186">
        <f>'GS &gt; 50 OLS Model (LC)'!$B$6*D77</f>
        <v>6233458.162627236</v>
      </c>
      <c r="R77" s="186">
        <f>'GS &gt; 50 OLS Model (LC)'!$B$7*E77</f>
        <v>0</v>
      </c>
      <c r="S77" s="186">
        <f>'GS &gt; 50 OLS Model (LC)'!$B$8*F77</f>
        <v>32064213.938787855</v>
      </c>
      <c r="U77" s="186">
        <f>'GS &gt; 50 OLS Model (LC)'!$B$9*H77</f>
        <v>-1670517.9110053701</v>
      </c>
      <c r="V77" s="186">
        <f>'GS &gt; 50 OLS Model (LC)'!$B$10*I77</f>
        <v>0</v>
      </c>
      <c r="W77" s="186">
        <f>'GS &gt; 50 OLS Model (LC)'!$B$11*J77</f>
        <v>0</v>
      </c>
      <c r="X77" s="186">
        <f>'GS &gt; 50 OLS Model (LC)'!$B$12*K77</f>
        <v>0</v>
      </c>
      <c r="Y77" s="186">
        <v>0</v>
      </c>
      <c r="Z77" s="186">
        <f>'GS &gt; 50 OLS Model (LC)'!$B$13*M77</f>
        <v>33683171.091442198</v>
      </c>
      <c r="AA77" s="186">
        <f>'GS &gt; 50 OLS Model (LC)'!$B$14*N77</f>
        <v>12953743.18316808</v>
      </c>
      <c r="AB77" s="186">
        <f t="shared" si="5"/>
        <v>74827521.618220255</v>
      </c>
      <c r="AC77" s="24">
        <f t="shared" ca="1" si="6"/>
        <v>4.1601879665279203E-3</v>
      </c>
    </row>
    <row r="78" spans="1:29">
      <c r="A78" s="128">
        <f>'Monthly Data'!A78</f>
        <v>42125</v>
      </c>
      <c r="B78" s="186">
        <f t="shared" si="4"/>
        <v>2015</v>
      </c>
      <c r="C78" s="124">
        <f ca="1">'Monthly Data'!T78</f>
        <v>77248422.661444232</v>
      </c>
      <c r="D78" s="186">
        <f>'Monthly Data'!BH78</f>
        <v>68.7</v>
      </c>
      <c r="E78" s="186">
        <f>'Monthly Data'!BI78</f>
        <v>64.099999999999994</v>
      </c>
      <c r="F78" s="186">
        <f>'Monthly Data'!BL78</f>
        <v>618051.4</v>
      </c>
      <c r="G78" s="186">
        <f>'Monthly Data'!BM78</f>
        <v>77</v>
      </c>
      <c r="H78" s="186">
        <f>'Monthly Data'!BQ78</f>
        <v>0</v>
      </c>
      <c r="I78" s="186">
        <f>'Monthly Data'!BS78</f>
        <v>0</v>
      </c>
      <c r="J78" s="186">
        <f>'Monthly Data'!BU78</f>
        <v>0</v>
      </c>
      <c r="K78" s="186">
        <f>'Monthly Data'!BV78</f>
        <v>0</v>
      </c>
      <c r="L78" s="186">
        <f>'Monthly Data'!BW78</f>
        <v>0</v>
      </c>
      <c r="M78" s="186">
        <f>'Monthly Data'!CC78</f>
        <v>31</v>
      </c>
      <c r="N78" s="186">
        <f>'Monthly Data'!CD78</f>
        <v>20</v>
      </c>
      <c r="P78" s="186">
        <f>'GS &gt; 50 OLS Model (LC)'!$B$5</f>
        <v>-8436546.8467997499</v>
      </c>
      <c r="Q78" s="186">
        <f>'GS &gt; 50 OLS Model (LC)'!$B$6*D78</f>
        <v>1663708.5305846592</v>
      </c>
      <c r="R78" s="186">
        <f>'GS &gt; 50 OLS Model (LC)'!$B$7*E78</f>
        <v>4575001.7590488736</v>
      </c>
      <c r="S78" s="186">
        <f>'GS &gt; 50 OLS Model (LC)'!$B$8*F78</f>
        <v>32064213.938787855</v>
      </c>
      <c r="U78" s="186">
        <f>'GS &gt; 50 OLS Model (LC)'!$B$9*H78</f>
        <v>0</v>
      </c>
      <c r="V78" s="186">
        <f>'GS &gt; 50 OLS Model (LC)'!$B$10*I78</f>
        <v>0</v>
      </c>
      <c r="W78" s="186">
        <f>'GS &gt; 50 OLS Model (LC)'!$B$11*J78</f>
        <v>0</v>
      </c>
      <c r="X78" s="186">
        <f>'GS &gt; 50 OLS Model (LC)'!$B$12*K78</f>
        <v>0</v>
      </c>
      <c r="Y78" s="186">
        <v>0</v>
      </c>
      <c r="Z78" s="186">
        <f>'GS &gt; 50 OLS Model (LC)'!$B$13*M78</f>
        <v>34805943.461156942</v>
      </c>
      <c r="AA78" s="186">
        <f>'GS &gt; 50 OLS Model (LC)'!$B$14*N78</f>
        <v>12953743.18316808</v>
      </c>
      <c r="AB78" s="186">
        <f t="shared" si="5"/>
        <v>77626064.025946662</v>
      </c>
      <c r="AC78" s="24">
        <f t="shared" ca="1" si="6"/>
        <v>4.8886611725072289E-3</v>
      </c>
    </row>
    <row r="79" spans="1:29">
      <c r="A79" s="128">
        <f>'Monthly Data'!A79</f>
        <v>42156</v>
      </c>
      <c r="B79" s="186">
        <f t="shared" si="4"/>
        <v>2015</v>
      </c>
      <c r="C79" s="124">
        <f ca="1">'Monthly Data'!T79</f>
        <v>80126569.719912887</v>
      </c>
      <c r="D79" s="186">
        <f>'Monthly Data'!BH79</f>
        <v>13.1</v>
      </c>
      <c r="E79" s="186">
        <f>'Monthly Data'!BI79</f>
        <v>89.59999999999998</v>
      </c>
      <c r="F79" s="186">
        <f>'Monthly Data'!BL79</f>
        <v>618051.4</v>
      </c>
      <c r="G79" s="186">
        <f>'Monthly Data'!BM79</f>
        <v>78</v>
      </c>
      <c r="H79" s="186">
        <f>'Monthly Data'!BQ79</f>
        <v>0</v>
      </c>
      <c r="I79" s="186">
        <f>'Monthly Data'!BS79</f>
        <v>1</v>
      </c>
      <c r="J79" s="186">
        <f>'Monthly Data'!BU79</f>
        <v>0</v>
      </c>
      <c r="K79" s="186">
        <f>'Monthly Data'!BV79</f>
        <v>0</v>
      </c>
      <c r="L79" s="186">
        <f>'Monthly Data'!BW79</f>
        <v>0</v>
      </c>
      <c r="M79" s="186">
        <f>'Monthly Data'!CC79</f>
        <v>30</v>
      </c>
      <c r="N79" s="186">
        <f>'Monthly Data'!CD79</f>
        <v>22</v>
      </c>
      <c r="P79" s="186">
        <f>'GS &gt; 50 OLS Model (LC)'!$B$5</f>
        <v>-8436546.8467997499</v>
      </c>
      <c r="Q79" s="186">
        <f>'GS &gt; 50 OLS Model (LC)'!$B$6*D79</f>
        <v>317242.82024248957</v>
      </c>
      <c r="R79" s="186">
        <f>'GS &gt; 50 OLS Model (LC)'!$B$7*E79</f>
        <v>6395010.2591385189</v>
      </c>
      <c r="S79" s="186">
        <f>'GS &gt; 50 OLS Model (LC)'!$B$8*F79</f>
        <v>32064213.938787855</v>
      </c>
      <c r="U79" s="186">
        <f>'GS &gt; 50 OLS Model (LC)'!$B$9*H79</f>
        <v>0</v>
      </c>
      <c r="V79" s="186">
        <f>'GS &gt; 50 OLS Model (LC)'!$B$10*I79</f>
        <v>1260255.0136768401</v>
      </c>
      <c r="W79" s="186">
        <f>'GS &gt; 50 OLS Model (LC)'!$B$11*J79</f>
        <v>0</v>
      </c>
      <c r="X79" s="186">
        <f>'GS &gt; 50 OLS Model (LC)'!$B$12*K79</f>
        <v>0</v>
      </c>
      <c r="Y79" s="186">
        <v>0</v>
      </c>
      <c r="Z79" s="186">
        <f>'GS &gt; 50 OLS Model (LC)'!$B$13*M79</f>
        <v>33683171.091442198</v>
      </c>
      <c r="AA79" s="186">
        <f>'GS &gt; 50 OLS Model (LC)'!$B$14*N79</f>
        <v>14249117.501484888</v>
      </c>
      <c r="AB79" s="186">
        <f t="shared" si="5"/>
        <v>79532463.777973041</v>
      </c>
      <c r="AC79" s="24">
        <f t="shared" ca="1" si="6"/>
        <v>7.4145934864874134E-3</v>
      </c>
    </row>
    <row r="80" spans="1:29">
      <c r="A80" s="128">
        <f>'Monthly Data'!A80</f>
        <v>42186</v>
      </c>
      <c r="B80" s="186">
        <f t="shared" si="4"/>
        <v>2015</v>
      </c>
      <c r="C80" s="124">
        <f ca="1">'Monthly Data'!T80</f>
        <v>84547068.372462004</v>
      </c>
      <c r="D80" s="186">
        <f>'Monthly Data'!BH80</f>
        <v>1.9</v>
      </c>
      <c r="E80" s="186">
        <f>'Monthly Data'!BI80</f>
        <v>152.89999999999998</v>
      </c>
      <c r="F80" s="186">
        <f>'Monthly Data'!BL80</f>
        <v>618051.4</v>
      </c>
      <c r="G80" s="186">
        <f>'Monthly Data'!BM80</f>
        <v>79</v>
      </c>
      <c r="H80" s="186">
        <f>'Monthly Data'!BQ80</f>
        <v>0</v>
      </c>
      <c r="I80" s="186">
        <f>'Monthly Data'!BS80</f>
        <v>0</v>
      </c>
      <c r="J80" s="186">
        <f>'Monthly Data'!BU80</f>
        <v>0</v>
      </c>
      <c r="K80" s="186">
        <f>'Monthly Data'!BV80</f>
        <v>0</v>
      </c>
      <c r="L80" s="186">
        <f>'Monthly Data'!BW80</f>
        <v>0</v>
      </c>
      <c r="M80" s="186">
        <f>'Monthly Data'!CC80</f>
        <v>31</v>
      </c>
      <c r="N80" s="186">
        <f>'Monthly Data'!CD80</f>
        <v>22</v>
      </c>
      <c r="P80" s="186">
        <f>'GS &gt; 50 OLS Model (LC)'!$B$5</f>
        <v>-8436546.8467997499</v>
      </c>
      <c r="Q80" s="186">
        <f>'GS &gt; 50 OLS Model (LC)'!$B$6*D80</f>
        <v>46012.317439750397</v>
      </c>
      <c r="R80" s="186">
        <f>'GS &gt; 50 OLS Model (LC)'!$B$7*E80</f>
        <v>10912913.712302228</v>
      </c>
      <c r="S80" s="186">
        <f>'GS &gt; 50 OLS Model (LC)'!$B$8*F80</f>
        <v>32064213.938787855</v>
      </c>
      <c r="U80" s="186">
        <f>'GS &gt; 50 OLS Model (LC)'!$B$9*H80</f>
        <v>0</v>
      </c>
      <c r="V80" s="186">
        <f>'GS &gt; 50 OLS Model (LC)'!$B$10*I80</f>
        <v>0</v>
      </c>
      <c r="W80" s="186">
        <f>'GS &gt; 50 OLS Model (LC)'!$B$11*J80</f>
        <v>0</v>
      </c>
      <c r="X80" s="186">
        <f>'GS &gt; 50 OLS Model (LC)'!$B$12*K80</f>
        <v>0</v>
      </c>
      <c r="Y80" s="186">
        <v>0</v>
      </c>
      <c r="Z80" s="186">
        <f>'GS &gt; 50 OLS Model (LC)'!$B$13*M80</f>
        <v>34805943.461156942</v>
      </c>
      <c r="AA80" s="186">
        <f>'GS &gt; 50 OLS Model (LC)'!$B$14*N80</f>
        <v>14249117.501484888</v>
      </c>
      <c r="AB80" s="186">
        <f t="shared" si="5"/>
        <v>83641654.084371909</v>
      </c>
      <c r="AC80" s="24">
        <f t="shared" ca="1" si="6"/>
        <v>1.070899684068761E-2</v>
      </c>
    </row>
    <row r="81" spans="1:29">
      <c r="A81" s="128">
        <f>'Monthly Data'!A81</f>
        <v>42217</v>
      </c>
      <c r="B81" s="186">
        <f t="shared" si="4"/>
        <v>2015</v>
      </c>
      <c r="C81" s="124">
        <f ca="1">'Monthly Data'!T81</f>
        <v>85635461.672809049</v>
      </c>
      <c r="D81" s="186">
        <f>'Monthly Data'!BH81</f>
        <v>3.2</v>
      </c>
      <c r="E81" s="186">
        <f>'Monthly Data'!BI81</f>
        <v>138.69999999999999</v>
      </c>
      <c r="F81" s="186">
        <f>'Monthly Data'!BL81</f>
        <v>618051.4</v>
      </c>
      <c r="G81" s="186">
        <f>'Monthly Data'!BM81</f>
        <v>80</v>
      </c>
      <c r="H81" s="186">
        <f>'Monthly Data'!BQ81</f>
        <v>0</v>
      </c>
      <c r="I81" s="186">
        <f>'Monthly Data'!BS81</f>
        <v>0</v>
      </c>
      <c r="J81" s="186">
        <f>'Monthly Data'!BU81</f>
        <v>1</v>
      </c>
      <c r="K81" s="186">
        <f>'Monthly Data'!BV81</f>
        <v>0</v>
      </c>
      <c r="L81" s="186">
        <f>'Monthly Data'!BW81</f>
        <v>0</v>
      </c>
      <c r="M81" s="186">
        <f>'Monthly Data'!CC81</f>
        <v>31</v>
      </c>
      <c r="N81" s="186">
        <f>'Monthly Data'!CD81</f>
        <v>20</v>
      </c>
      <c r="P81" s="186">
        <f>'GS &gt; 50 OLS Model (LC)'!$B$5</f>
        <v>-8436546.8467997499</v>
      </c>
      <c r="Q81" s="186">
        <f>'GS &gt; 50 OLS Model (LC)'!$B$6*D81</f>
        <v>77494.429372211205</v>
      </c>
      <c r="R81" s="186">
        <f>'GS &gt; 50 OLS Model (LC)'!$B$7*E81</f>
        <v>9899418.7828405425</v>
      </c>
      <c r="S81" s="186">
        <f>'GS &gt; 50 OLS Model (LC)'!$B$8*F81</f>
        <v>32064213.938787855</v>
      </c>
      <c r="U81" s="186">
        <f>'GS &gt; 50 OLS Model (LC)'!$B$9*H81</f>
        <v>0</v>
      </c>
      <c r="V81" s="186">
        <f>'GS &gt; 50 OLS Model (LC)'!$B$10*I81</f>
        <v>0</v>
      </c>
      <c r="W81" s="186">
        <f>'GS &gt; 50 OLS Model (LC)'!$B$11*J81</f>
        <v>2501012.7689915099</v>
      </c>
      <c r="X81" s="186">
        <f>'GS &gt; 50 OLS Model (LC)'!$B$12*K81</f>
        <v>0</v>
      </c>
      <c r="Y81" s="186">
        <v>0</v>
      </c>
      <c r="Z81" s="186">
        <f>'GS &gt; 50 OLS Model (LC)'!$B$13*M81</f>
        <v>34805943.461156942</v>
      </c>
      <c r="AA81" s="186">
        <f>'GS &gt; 50 OLS Model (LC)'!$B$14*N81</f>
        <v>12953743.18316808</v>
      </c>
      <c r="AB81" s="186">
        <f t="shared" si="5"/>
        <v>83865279.717517391</v>
      </c>
      <c r="AC81" s="24">
        <f t="shared" ca="1" si="6"/>
        <v>2.0671132270589795E-2</v>
      </c>
    </row>
    <row r="82" spans="1:29">
      <c r="A82" s="128">
        <f>'Monthly Data'!A82</f>
        <v>42248</v>
      </c>
      <c r="B82" s="186">
        <f t="shared" si="4"/>
        <v>2015</v>
      </c>
      <c r="C82" s="124">
        <f ca="1">'Monthly Data'!T82</f>
        <v>81535891.399642572</v>
      </c>
      <c r="D82" s="186">
        <f>'Monthly Data'!BH82</f>
        <v>10.8</v>
      </c>
      <c r="E82" s="186">
        <f>'Monthly Data'!BI82</f>
        <v>109.19999999999997</v>
      </c>
      <c r="F82" s="186">
        <f>'Monthly Data'!BL82</f>
        <v>618051.4</v>
      </c>
      <c r="G82" s="186">
        <f>'Monthly Data'!BM82</f>
        <v>81</v>
      </c>
      <c r="H82" s="186">
        <f>'Monthly Data'!BQ82</f>
        <v>0</v>
      </c>
      <c r="I82" s="186">
        <f>'Monthly Data'!BS82</f>
        <v>0</v>
      </c>
      <c r="J82" s="186">
        <f>'Monthly Data'!BU82</f>
        <v>0</v>
      </c>
      <c r="K82" s="186">
        <f>'Monthly Data'!BV82</f>
        <v>1</v>
      </c>
      <c r="L82" s="186">
        <f>'Monthly Data'!BW82</f>
        <v>0</v>
      </c>
      <c r="M82" s="186">
        <f>'Monthly Data'!CC82</f>
        <v>30</v>
      </c>
      <c r="N82" s="186">
        <f>'Monthly Data'!CD82</f>
        <v>21</v>
      </c>
      <c r="P82" s="186">
        <f>'GS &gt; 50 OLS Model (LC)'!$B$5</f>
        <v>-8436546.8467997499</v>
      </c>
      <c r="Q82" s="186">
        <f>'GS &gt; 50 OLS Model (LC)'!$B$6*D82</f>
        <v>261543.69913121281</v>
      </c>
      <c r="R82" s="186">
        <f>'GS &gt; 50 OLS Model (LC)'!$B$7*E82</f>
        <v>7793918.7533250693</v>
      </c>
      <c r="S82" s="186">
        <f>'GS &gt; 50 OLS Model (LC)'!$B$8*F82</f>
        <v>32064213.938787855</v>
      </c>
      <c r="U82" s="186">
        <f>'GS &gt; 50 OLS Model (LC)'!$B$9*H82</f>
        <v>0</v>
      </c>
      <c r="V82" s="186">
        <f>'GS &gt; 50 OLS Model (LC)'!$B$10*I82</f>
        <v>0</v>
      </c>
      <c r="W82" s="186">
        <f>'GS &gt; 50 OLS Model (LC)'!$B$11*J82</f>
        <v>0</v>
      </c>
      <c r="X82" s="186">
        <f>'GS &gt; 50 OLS Model (LC)'!$B$12*K82</f>
        <v>2346294.5864150901</v>
      </c>
      <c r="Y82" s="186">
        <v>0</v>
      </c>
      <c r="Z82" s="186">
        <f>'GS &gt; 50 OLS Model (LC)'!$B$13*M82</f>
        <v>33683171.091442198</v>
      </c>
      <c r="AA82" s="186">
        <f>'GS &gt; 50 OLS Model (LC)'!$B$14*N82</f>
        <v>13601430.342326485</v>
      </c>
      <c r="AB82" s="186">
        <f t="shared" si="5"/>
        <v>81314025.564628154</v>
      </c>
      <c r="AC82" s="24">
        <f t="shared" ca="1" si="6"/>
        <v>2.7210818598518488E-3</v>
      </c>
    </row>
    <row r="83" spans="1:29">
      <c r="A83" s="128">
        <f>'Monthly Data'!A83</f>
        <v>42278</v>
      </c>
      <c r="B83" s="186">
        <f t="shared" si="4"/>
        <v>2015</v>
      </c>
      <c r="C83" s="124">
        <f ca="1">'Monthly Data'!T83</f>
        <v>77401672.199904114</v>
      </c>
      <c r="D83" s="186">
        <f>'Monthly Data'!BH83</f>
        <v>157.80000000000001</v>
      </c>
      <c r="E83" s="186">
        <f>'Monthly Data'!BI83</f>
        <v>2.6</v>
      </c>
      <c r="F83" s="186">
        <f>'Monthly Data'!BL83</f>
        <v>618051.4</v>
      </c>
      <c r="G83" s="186">
        <f>'Monthly Data'!BM83</f>
        <v>82</v>
      </c>
      <c r="H83" s="186">
        <f>'Monthly Data'!BQ83</f>
        <v>0</v>
      </c>
      <c r="I83" s="186">
        <f>'Monthly Data'!BS83</f>
        <v>0</v>
      </c>
      <c r="J83" s="186">
        <f>'Monthly Data'!BU83</f>
        <v>0</v>
      </c>
      <c r="K83" s="186">
        <f>'Monthly Data'!BV83</f>
        <v>0</v>
      </c>
      <c r="L83" s="186">
        <f>'Monthly Data'!BW83</f>
        <v>1</v>
      </c>
      <c r="M83" s="186">
        <f>'Monthly Data'!CC83</f>
        <v>31</v>
      </c>
      <c r="N83" s="186">
        <f>'Monthly Data'!CD83</f>
        <v>21</v>
      </c>
      <c r="P83" s="186">
        <f>'GS &gt; 50 OLS Model (LC)'!$B$5</f>
        <v>-8436546.8467997499</v>
      </c>
      <c r="Q83" s="186">
        <f>'GS &gt; 50 OLS Model (LC)'!$B$6*D83</f>
        <v>3821444.0484171649</v>
      </c>
      <c r="R83" s="186">
        <f>'GS &gt; 50 OLS Model (LC)'!$B$7*E83</f>
        <v>185569.49412678744</v>
      </c>
      <c r="S83" s="186">
        <f>'GS &gt; 50 OLS Model (LC)'!$B$8*F83</f>
        <v>32064213.938787855</v>
      </c>
      <c r="U83" s="186">
        <f>'GS &gt; 50 OLS Model (LC)'!$B$9*H83</f>
        <v>0</v>
      </c>
      <c r="V83" s="186">
        <f>'GS &gt; 50 OLS Model (LC)'!$B$10*I83</f>
        <v>0</v>
      </c>
      <c r="W83" s="186">
        <f>'GS &gt; 50 OLS Model (LC)'!$B$11*J83</f>
        <v>0</v>
      </c>
      <c r="X83" s="186">
        <f>'GS &gt; 50 OLS Model (LC)'!$B$12*K83</f>
        <v>0</v>
      </c>
      <c r="Y83" s="186">
        <v>0</v>
      </c>
      <c r="Z83" s="186">
        <f>'GS &gt; 50 OLS Model (LC)'!$B$13*M83</f>
        <v>34805943.461156942</v>
      </c>
      <c r="AA83" s="186">
        <f>'GS &gt; 50 OLS Model (LC)'!$B$14*N83</f>
        <v>13601430.342326485</v>
      </c>
      <c r="AB83" s="186">
        <f t="shared" si="5"/>
        <v>76042054.438015491</v>
      </c>
      <c r="AC83" s="24">
        <f t="shared" ca="1" si="6"/>
        <v>1.756574145293863E-2</v>
      </c>
    </row>
    <row r="84" spans="1:29">
      <c r="A84" s="128">
        <f>'Monthly Data'!A84</f>
        <v>42309</v>
      </c>
      <c r="B84" s="186">
        <f t="shared" si="4"/>
        <v>2015</v>
      </c>
      <c r="C84" s="124">
        <f ca="1">'Monthly Data'!T84</f>
        <v>77630447.981231928</v>
      </c>
      <c r="D84" s="186">
        <f>'Monthly Data'!BH84</f>
        <v>286.60000000000002</v>
      </c>
      <c r="E84" s="186">
        <f>'Monthly Data'!BI84</f>
        <v>0.5</v>
      </c>
      <c r="F84" s="186">
        <f>'Monthly Data'!BL84</f>
        <v>618051.4</v>
      </c>
      <c r="G84" s="186">
        <f>'Monthly Data'!BM84</f>
        <v>83</v>
      </c>
      <c r="H84" s="186">
        <f>'Monthly Data'!BQ84</f>
        <v>0</v>
      </c>
      <c r="I84" s="186">
        <f>'Monthly Data'!BS84</f>
        <v>0</v>
      </c>
      <c r="J84" s="186">
        <f>'Monthly Data'!BU84</f>
        <v>0</v>
      </c>
      <c r="K84" s="186">
        <f>'Monthly Data'!BV84</f>
        <v>0</v>
      </c>
      <c r="L84" s="186">
        <f>'Monthly Data'!BW84</f>
        <v>0</v>
      </c>
      <c r="M84" s="186">
        <f>'Monthly Data'!CC84</f>
        <v>30</v>
      </c>
      <c r="N84" s="186">
        <f>'Monthly Data'!CD84</f>
        <v>21</v>
      </c>
      <c r="P84" s="186">
        <f>'GS &gt; 50 OLS Model (LC)'!$B$5</f>
        <v>-8436546.8467997499</v>
      </c>
      <c r="Q84" s="186">
        <f>'GS &gt; 50 OLS Model (LC)'!$B$6*D84</f>
        <v>6940594.8306486662</v>
      </c>
      <c r="R84" s="186">
        <f>'GS &gt; 50 OLS Model (LC)'!$B$7*E84</f>
        <v>35686.44117822835</v>
      </c>
      <c r="S84" s="186">
        <f>'GS &gt; 50 OLS Model (LC)'!$B$8*F84</f>
        <v>32064213.938787855</v>
      </c>
      <c r="U84" s="186">
        <f>'GS &gt; 50 OLS Model (LC)'!$B$9*H84</f>
        <v>0</v>
      </c>
      <c r="V84" s="186">
        <f>'GS &gt; 50 OLS Model (LC)'!$B$10*I84</f>
        <v>0</v>
      </c>
      <c r="W84" s="186">
        <f>'GS &gt; 50 OLS Model (LC)'!$B$11*J84</f>
        <v>0</v>
      </c>
      <c r="X84" s="186">
        <f>'GS &gt; 50 OLS Model (LC)'!$B$12*K84</f>
        <v>0</v>
      </c>
      <c r="Y84" s="186">
        <v>0</v>
      </c>
      <c r="Z84" s="186">
        <f>'GS &gt; 50 OLS Model (LC)'!$B$13*M84</f>
        <v>33683171.091442198</v>
      </c>
      <c r="AA84" s="186">
        <f>'GS &gt; 50 OLS Model (LC)'!$B$14*N84</f>
        <v>13601430.342326485</v>
      </c>
      <c r="AB84" s="186">
        <f t="shared" si="5"/>
        <v>77888549.797583669</v>
      </c>
      <c r="AC84" s="24">
        <f t="shared" ca="1" si="6"/>
        <v>3.3247497993846523E-3</v>
      </c>
    </row>
    <row r="85" spans="1:29">
      <c r="A85" s="128">
        <f>'Monthly Data'!A85</f>
        <v>42339</v>
      </c>
      <c r="B85" s="186">
        <f t="shared" si="4"/>
        <v>2015</v>
      </c>
      <c r="C85" s="124">
        <f ca="1">'Monthly Data'!T85</f>
        <v>79549095.483397886</v>
      </c>
      <c r="D85" s="186">
        <f>'Monthly Data'!BH85</f>
        <v>392.2</v>
      </c>
      <c r="E85" s="186">
        <f>'Monthly Data'!BI85</f>
        <v>0</v>
      </c>
      <c r="F85" s="186">
        <f>'Monthly Data'!BL85</f>
        <v>618051.4</v>
      </c>
      <c r="G85" s="186">
        <f>'Monthly Data'!BM85</f>
        <v>84</v>
      </c>
      <c r="H85" s="186">
        <f>'Monthly Data'!BQ85</f>
        <v>0</v>
      </c>
      <c r="I85" s="186">
        <f>'Monthly Data'!BS85</f>
        <v>0</v>
      </c>
      <c r="J85" s="186">
        <f>'Monthly Data'!BU85</f>
        <v>0</v>
      </c>
      <c r="K85" s="186">
        <f>'Monthly Data'!BV85</f>
        <v>0</v>
      </c>
      <c r="L85" s="186">
        <f>'Monthly Data'!BW85</f>
        <v>0</v>
      </c>
      <c r="M85" s="186">
        <f>'Monthly Data'!CC85</f>
        <v>31</v>
      </c>
      <c r="N85" s="186">
        <f>'Monthly Data'!CD85</f>
        <v>21</v>
      </c>
      <c r="P85" s="186">
        <f>'GS &gt; 50 OLS Model (LC)'!$B$5</f>
        <v>-8436546.8467997499</v>
      </c>
      <c r="Q85" s="186">
        <f>'GS &gt; 50 OLS Model (LC)'!$B$6*D85</f>
        <v>9497910.9999316353</v>
      </c>
      <c r="R85" s="186">
        <f>'GS &gt; 50 OLS Model (LC)'!$B$7*E85</f>
        <v>0</v>
      </c>
      <c r="S85" s="186">
        <f>'GS &gt; 50 OLS Model (LC)'!$B$8*F85</f>
        <v>32064213.938787855</v>
      </c>
      <c r="U85" s="186">
        <f>'GS &gt; 50 OLS Model (LC)'!$B$9*H85</f>
        <v>0</v>
      </c>
      <c r="V85" s="186">
        <f>'GS &gt; 50 OLS Model (LC)'!$B$10*I85</f>
        <v>0</v>
      </c>
      <c r="W85" s="186">
        <f>'GS &gt; 50 OLS Model (LC)'!$B$11*J85</f>
        <v>0</v>
      </c>
      <c r="X85" s="186">
        <f>'GS &gt; 50 OLS Model (LC)'!$B$12*K85</f>
        <v>0</v>
      </c>
      <c r="Y85" s="186">
        <v>0</v>
      </c>
      <c r="Z85" s="186">
        <f>'GS &gt; 50 OLS Model (LC)'!$B$13*M85</f>
        <v>34805943.461156942</v>
      </c>
      <c r="AA85" s="186">
        <f>'GS &gt; 50 OLS Model (LC)'!$B$14*N85</f>
        <v>13601430.342326485</v>
      </c>
      <c r="AB85" s="186">
        <f t="shared" si="5"/>
        <v>81532951.895403177</v>
      </c>
      <c r="AC85" s="24">
        <f t="shared" ca="1" si="6"/>
        <v>2.4938767687425516E-2</v>
      </c>
    </row>
    <row r="86" spans="1:29">
      <c r="A86" s="128">
        <f>'Monthly Data'!A86</f>
        <v>42370</v>
      </c>
      <c r="B86" s="186">
        <f t="shared" si="4"/>
        <v>2016</v>
      </c>
      <c r="C86" s="124">
        <f ca="1">'Monthly Data'!T86</f>
        <v>87169946.03208454</v>
      </c>
      <c r="D86" s="186">
        <f>'Monthly Data'!BH86</f>
        <v>618.5</v>
      </c>
      <c r="E86" s="186">
        <f>'Monthly Data'!BI86</f>
        <v>0</v>
      </c>
      <c r="F86" s="186">
        <f>'Monthly Data'!BL86</f>
        <v>634257.80000000005</v>
      </c>
      <c r="G86" s="186">
        <f>'Monthly Data'!BM86</f>
        <v>85</v>
      </c>
      <c r="H86" s="186">
        <f>'Monthly Data'!BQ86</f>
        <v>0</v>
      </c>
      <c r="I86" s="186">
        <f>'Monthly Data'!BS86</f>
        <v>0</v>
      </c>
      <c r="J86" s="186">
        <f>'Monthly Data'!BU86</f>
        <v>0</v>
      </c>
      <c r="K86" s="186">
        <f>'Monthly Data'!BV86</f>
        <v>0</v>
      </c>
      <c r="L86" s="186">
        <f>'Monthly Data'!BW86</f>
        <v>0</v>
      </c>
      <c r="M86" s="186">
        <f>'Monthly Data'!CC86</f>
        <v>31</v>
      </c>
      <c r="N86" s="186">
        <f>'Monthly Data'!CD86</f>
        <v>20</v>
      </c>
      <c r="P86" s="186">
        <f>'GS &gt; 50 OLS Model (LC)'!$B$5</f>
        <v>-8436546.8467997499</v>
      </c>
      <c r="Q86" s="186">
        <f>'GS &gt; 50 OLS Model (LC)'!$B$6*D86</f>
        <v>14978220.177097695</v>
      </c>
      <c r="R86" s="186">
        <f>'GS &gt; 50 OLS Model (LC)'!$B$7*E86</f>
        <v>0</v>
      </c>
      <c r="S86" s="186">
        <f>'GS &gt; 50 OLS Model (LC)'!$B$8*F86</f>
        <v>32904994.29585455</v>
      </c>
      <c r="U86" s="186">
        <f>'GS &gt; 50 OLS Model (LC)'!$B$9*H86</f>
        <v>0</v>
      </c>
      <c r="V86" s="186">
        <f>'GS &gt; 50 OLS Model (LC)'!$B$10*I86</f>
        <v>0</v>
      </c>
      <c r="W86" s="186">
        <f>'GS &gt; 50 OLS Model (LC)'!$B$11*J86</f>
        <v>0</v>
      </c>
      <c r="X86" s="186">
        <f>'GS &gt; 50 OLS Model (LC)'!$B$12*K86</f>
        <v>0</v>
      </c>
      <c r="Y86" s="186">
        <v>0</v>
      </c>
      <c r="Z86" s="186">
        <f>'GS &gt; 50 OLS Model (LC)'!$B$13*M86</f>
        <v>34805943.461156942</v>
      </c>
      <c r="AA86" s="186">
        <f>'GS &gt; 50 OLS Model (LC)'!$B$14*N86</f>
        <v>12953743.18316808</v>
      </c>
      <c r="AB86" s="186">
        <f t="shared" si="5"/>
        <v>87206354.270477518</v>
      </c>
      <c r="AC86" s="24">
        <f t="shared" ca="1" si="6"/>
        <v>4.1766962181642476E-4</v>
      </c>
    </row>
    <row r="87" spans="1:29">
      <c r="A87" s="128">
        <f>'Monthly Data'!A87</f>
        <v>42401</v>
      </c>
      <c r="B87" s="186">
        <f t="shared" si="4"/>
        <v>2016</v>
      </c>
      <c r="C87" s="124">
        <f ca="1">'Monthly Data'!T87</f>
        <v>82995259.984632462</v>
      </c>
      <c r="D87" s="186">
        <f>'Monthly Data'!BH87</f>
        <v>510.5</v>
      </c>
      <c r="E87" s="186">
        <f>'Monthly Data'!BI87</f>
        <v>0</v>
      </c>
      <c r="F87" s="186">
        <f>'Monthly Data'!BL87</f>
        <v>634257.80000000005</v>
      </c>
      <c r="G87" s="186">
        <f>'Monthly Data'!BM87</f>
        <v>86</v>
      </c>
      <c r="H87" s="186">
        <f>'Monthly Data'!BQ87</f>
        <v>0</v>
      </c>
      <c r="I87" s="186">
        <f>'Monthly Data'!BS87</f>
        <v>0</v>
      </c>
      <c r="J87" s="186">
        <f>'Monthly Data'!BU87</f>
        <v>0</v>
      </c>
      <c r="K87" s="186">
        <f>'Monthly Data'!BV87</f>
        <v>0</v>
      </c>
      <c r="L87" s="186">
        <f>'Monthly Data'!BW87</f>
        <v>0</v>
      </c>
      <c r="M87" s="186">
        <f>'Monthly Data'!CC87</f>
        <v>29</v>
      </c>
      <c r="N87" s="186">
        <f>'Monthly Data'!CD87</f>
        <v>20</v>
      </c>
      <c r="P87" s="186">
        <f>'GS &gt; 50 OLS Model (LC)'!$B$5</f>
        <v>-8436546.8467997499</v>
      </c>
      <c r="Q87" s="186">
        <f>'GS &gt; 50 OLS Model (LC)'!$B$6*D87</f>
        <v>12362783.185785567</v>
      </c>
      <c r="R87" s="186">
        <f>'GS &gt; 50 OLS Model (LC)'!$B$7*E87</f>
        <v>0</v>
      </c>
      <c r="S87" s="186">
        <f>'GS &gt; 50 OLS Model (LC)'!$B$8*F87</f>
        <v>32904994.29585455</v>
      </c>
      <c r="U87" s="186">
        <f>'GS &gt; 50 OLS Model (LC)'!$B$9*H87</f>
        <v>0</v>
      </c>
      <c r="V87" s="186">
        <f>'GS &gt; 50 OLS Model (LC)'!$B$10*I87</f>
        <v>0</v>
      </c>
      <c r="W87" s="186">
        <f>'GS &gt; 50 OLS Model (LC)'!$B$11*J87</f>
        <v>0</v>
      </c>
      <c r="X87" s="186">
        <f>'GS &gt; 50 OLS Model (LC)'!$B$12*K87</f>
        <v>0</v>
      </c>
      <c r="Y87" s="186">
        <v>0</v>
      </c>
      <c r="Z87" s="186">
        <f>'GS &gt; 50 OLS Model (LC)'!$B$13*M87</f>
        <v>32560398.721727461</v>
      </c>
      <c r="AA87" s="186">
        <f>'GS &gt; 50 OLS Model (LC)'!$B$14*N87</f>
        <v>12953743.18316808</v>
      </c>
      <c r="AB87" s="186">
        <f t="shared" si="5"/>
        <v>82345372.539735913</v>
      </c>
      <c r="AC87" s="24">
        <f t="shared" ca="1" si="6"/>
        <v>7.8304163998869723E-3</v>
      </c>
    </row>
    <row r="88" spans="1:29">
      <c r="A88" s="128">
        <f>'Monthly Data'!A88</f>
        <v>42430</v>
      </c>
      <c r="B88" s="186">
        <f t="shared" si="4"/>
        <v>2016</v>
      </c>
      <c r="C88" s="124">
        <f ca="1">'Monthly Data'!T88</f>
        <v>82448056.619322732</v>
      </c>
      <c r="D88" s="186">
        <f>'Monthly Data'!BH88</f>
        <v>350.9</v>
      </c>
      <c r="E88" s="186">
        <f>'Monthly Data'!BI88</f>
        <v>0</v>
      </c>
      <c r="F88" s="186">
        <f>'Monthly Data'!BL88</f>
        <v>634257.80000000005</v>
      </c>
      <c r="G88" s="186">
        <f>'Monthly Data'!BM88</f>
        <v>87</v>
      </c>
      <c r="H88" s="186">
        <f>'Monthly Data'!BQ88</f>
        <v>0</v>
      </c>
      <c r="I88" s="186">
        <f>'Monthly Data'!BS88</f>
        <v>0</v>
      </c>
      <c r="J88" s="186">
        <f>'Monthly Data'!BU88</f>
        <v>0</v>
      </c>
      <c r="K88" s="186">
        <f>'Monthly Data'!BV88</f>
        <v>0</v>
      </c>
      <c r="L88" s="186">
        <f>'Monthly Data'!BW88</f>
        <v>0</v>
      </c>
      <c r="M88" s="186">
        <f>'Monthly Data'!CC88</f>
        <v>31</v>
      </c>
      <c r="N88" s="186">
        <f>'Monthly Data'!CD88</f>
        <v>21</v>
      </c>
      <c r="P88" s="186">
        <f>'GS &gt; 50 OLS Model (LC)'!$B$5</f>
        <v>-8436546.8467997499</v>
      </c>
      <c r="Q88" s="186">
        <f>'GS &gt; 50 OLS Model (LC)'!$B$6*D88</f>
        <v>8497748.5208465327</v>
      </c>
      <c r="R88" s="186">
        <f>'GS &gt; 50 OLS Model (LC)'!$B$7*E88</f>
        <v>0</v>
      </c>
      <c r="S88" s="186">
        <f>'GS &gt; 50 OLS Model (LC)'!$B$8*F88</f>
        <v>32904994.29585455</v>
      </c>
      <c r="U88" s="186">
        <f>'GS &gt; 50 OLS Model (LC)'!$B$9*H88</f>
        <v>0</v>
      </c>
      <c r="V88" s="186">
        <f>'GS &gt; 50 OLS Model (LC)'!$B$10*I88</f>
        <v>0</v>
      </c>
      <c r="W88" s="186">
        <f>'GS &gt; 50 OLS Model (LC)'!$B$11*J88</f>
        <v>0</v>
      </c>
      <c r="X88" s="186">
        <f>'GS &gt; 50 OLS Model (LC)'!$B$12*K88</f>
        <v>0</v>
      </c>
      <c r="Y88" s="186">
        <v>0</v>
      </c>
      <c r="Z88" s="186">
        <f>'GS &gt; 50 OLS Model (LC)'!$B$13*M88</f>
        <v>34805943.461156942</v>
      </c>
      <c r="AA88" s="186">
        <f>'GS &gt; 50 OLS Model (LC)'!$B$14*N88</f>
        <v>13601430.342326485</v>
      </c>
      <c r="AB88" s="186">
        <f t="shared" si="5"/>
        <v>81373569.77338475</v>
      </c>
      <c r="AC88" s="24">
        <f t="shared" ca="1" si="6"/>
        <v>1.3032288327899324E-2</v>
      </c>
    </row>
    <row r="89" spans="1:29">
      <c r="A89" s="128">
        <f>'Monthly Data'!A89</f>
        <v>42461</v>
      </c>
      <c r="B89" s="186">
        <f t="shared" si="4"/>
        <v>2016</v>
      </c>
      <c r="C89" s="124">
        <f ca="1">'Monthly Data'!T89</f>
        <v>76779556.596543834</v>
      </c>
      <c r="D89" s="186">
        <f>'Monthly Data'!BH89</f>
        <v>315.20000000000005</v>
      </c>
      <c r="E89" s="186">
        <f>'Monthly Data'!BI89</f>
        <v>0</v>
      </c>
      <c r="F89" s="186">
        <f>'Monthly Data'!BL89</f>
        <v>634257.80000000005</v>
      </c>
      <c r="G89" s="186">
        <f>'Monthly Data'!BM89</f>
        <v>88</v>
      </c>
      <c r="H89" s="186">
        <f>'Monthly Data'!BQ89</f>
        <v>1</v>
      </c>
      <c r="I89" s="186">
        <f>'Monthly Data'!BS89</f>
        <v>0</v>
      </c>
      <c r="J89" s="186">
        <f>'Monthly Data'!BU89</f>
        <v>0</v>
      </c>
      <c r="K89" s="186">
        <f>'Monthly Data'!BV89</f>
        <v>0</v>
      </c>
      <c r="L89" s="186">
        <f>'Monthly Data'!BW89</f>
        <v>0</v>
      </c>
      <c r="M89" s="186">
        <f>'Monthly Data'!CC89</f>
        <v>30</v>
      </c>
      <c r="N89" s="186">
        <f>'Monthly Data'!CD89</f>
        <v>21</v>
      </c>
      <c r="P89" s="186">
        <f>'GS &gt; 50 OLS Model (LC)'!$B$5</f>
        <v>-8436546.8467997499</v>
      </c>
      <c r="Q89" s="186">
        <f>'GS &gt; 50 OLS Model (LC)'!$B$6*D89</f>
        <v>7633201.2931628041</v>
      </c>
      <c r="R89" s="186">
        <f>'GS &gt; 50 OLS Model (LC)'!$B$7*E89</f>
        <v>0</v>
      </c>
      <c r="S89" s="186">
        <f>'GS &gt; 50 OLS Model (LC)'!$B$8*F89</f>
        <v>32904994.29585455</v>
      </c>
      <c r="U89" s="186">
        <f>'GS &gt; 50 OLS Model (LC)'!$B$9*H89</f>
        <v>-1670517.9110053701</v>
      </c>
      <c r="V89" s="186">
        <f>'GS &gt; 50 OLS Model (LC)'!$B$10*I89</f>
        <v>0</v>
      </c>
      <c r="W89" s="186">
        <f>'GS &gt; 50 OLS Model (LC)'!$B$11*J89</f>
        <v>0</v>
      </c>
      <c r="X89" s="186">
        <f>'GS &gt; 50 OLS Model (LC)'!$B$12*K89</f>
        <v>0</v>
      </c>
      <c r="Y89" s="186">
        <v>0</v>
      </c>
      <c r="Z89" s="186">
        <f>'GS &gt; 50 OLS Model (LC)'!$B$13*M89</f>
        <v>33683171.091442198</v>
      </c>
      <c r="AA89" s="186">
        <f>'GS &gt; 50 OLS Model (LC)'!$B$14*N89</f>
        <v>13601430.342326485</v>
      </c>
      <c r="AB89" s="186">
        <f t="shared" si="5"/>
        <v>77715732.264980912</v>
      </c>
      <c r="AC89" s="24">
        <f t="shared" ca="1" si="6"/>
        <v>1.2193033014718135E-2</v>
      </c>
    </row>
    <row r="90" spans="1:29">
      <c r="A90" s="128">
        <f>'Monthly Data'!A90</f>
        <v>42491</v>
      </c>
      <c r="B90" s="186">
        <f t="shared" si="4"/>
        <v>2016</v>
      </c>
      <c r="C90" s="124">
        <f ca="1">'Monthly Data'!T90</f>
        <v>79686689.360070512</v>
      </c>
      <c r="D90" s="186">
        <f>'Monthly Data'!BH90</f>
        <v>110.9</v>
      </c>
      <c r="E90" s="186">
        <f>'Monthly Data'!BI90</f>
        <v>47</v>
      </c>
      <c r="F90" s="186">
        <f>'Monthly Data'!BL90</f>
        <v>634257.80000000005</v>
      </c>
      <c r="G90" s="186">
        <f>'Monthly Data'!BM90</f>
        <v>89</v>
      </c>
      <c r="H90" s="186">
        <f>'Monthly Data'!BQ90</f>
        <v>0</v>
      </c>
      <c r="I90" s="186">
        <f>'Monthly Data'!BS90</f>
        <v>0</v>
      </c>
      <c r="J90" s="186">
        <f>'Monthly Data'!BU90</f>
        <v>0</v>
      </c>
      <c r="K90" s="186">
        <f>'Monthly Data'!BV90</f>
        <v>0</v>
      </c>
      <c r="L90" s="186">
        <f>'Monthly Data'!BW90</f>
        <v>0</v>
      </c>
      <c r="M90" s="186">
        <f>'Monthly Data'!CC90</f>
        <v>31</v>
      </c>
      <c r="N90" s="186">
        <f>'Monthly Data'!CD90</f>
        <v>21</v>
      </c>
      <c r="P90" s="186">
        <f>'GS &gt; 50 OLS Model (LC)'!$B$5</f>
        <v>-8436546.8467997499</v>
      </c>
      <c r="Q90" s="186">
        <f>'GS &gt; 50 OLS Model (LC)'!$B$6*D90</f>
        <v>2685666.3179306942</v>
      </c>
      <c r="R90" s="186">
        <f>'GS &gt; 50 OLS Model (LC)'!$B$7*E90</f>
        <v>3354525.4707534648</v>
      </c>
      <c r="S90" s="186">
        <f>'GS &gt; 50 OLS Model (LC)'!$B$8*F90</f>
        <v>32904994.29585455</v>
      </c>
      <c r="U90" s="186">
        <f>'GS &gt; 50 OLS Model (LC)'!$B$9*H90</f>
        <v>0</v>
      </c>
      <c r="V90" s="186">
        <f>'GS &gt; 50 OLS Model (LC)'!$B$10*I90</f>
        <v>0</v>
      </c>
      <c r="W90" s="186">
        <f>'GS &gt; 50 OLS Model (LC)'!$B$11*J90</f>
        <v>0</v>
      </c>
      <c r="X90" s="186">
        <f>'GS &gt; 50 OLS Model (LC)'!$B$12*K90</f>
        <v>0</v>
      </c>
      <c r="Y90" s="186">
        <v>0</v>
      </c>
      <c r="Z90" s="186">
        <f>'GS &gt; 50 OLS Model (LC)'!$B$13*M90</f>
        <v>34805943.461156942</v>
      </c>
      <c r="AA90" s="186">
        <f>'GS &gt; 50 OLS Model (LC)'!$B$14*N90</f>
        <v>13601430.342326485</v>
      </c>
      <c r="AB90" s="186">
        <f t="shared" si="5"/>
        <v>78916013.041222394</v>
      </c>
      <c r="AC90" s="24">
        <f t="shared" ca="1" si="6"/>
        <v>9.6713306204221534E-3</v>
      </c>
    </row>
    <row r="91" spans="1:29">
      <c r="A91" s="128">
        <f>'Monthly Data'!A91</f>
        <v>42522</v>
      </c>
      <c r="B91" s="186">
        <f t="shared" si="4"/>
        <v>2016</v>
      </c>
      <c r="C91" s="124">
        <f ca="1">'Monthly Data'!T91</f>
        <v>83872675.506474167</v>
      </c>
      <c r="D91" s="186">
        <f>'Monthly Data'!BH91</f>
        <v>5.6</v>
      </c>
      <c r="E91" s="186">
        <f>'Monthly Data'!BI91</f>
        <v>127.2</v>
      </c>
      <c r="F91" s="186">
        <f>'Monthly Data'!BL91</f>
        <v>634257.80000000005</v>
      </c>
      <c r="G91" s="186">
        <f>'Monthly Data'!BM91</f>
        <v>90</v>
      </c>
      <c r="H91" s="186">
        <f>'Monthly Data'!BQ91</f>
        <v>0</v>
      </c>
      <c r="I91" s="186">
        <f>'Monthly Data'!BS91</f>
        <v>1</v>
      </c>
      <c r="J91" s="186">
        <f>'Monthly Data'!BU91</f>
        <v>0</v>
      </c>
      <c r="K91" s="186">
        <f>'Monthly Data'!BV91</f>
        <v>0</v>
      </c>
      <c r="L91" s="186">
        <f>'Monthly Data'!BW91</f>
        <v>0</v>
      </c>
      <c r="M91" s="186">
        <f>'Monthly Data'!CC91</f>
        <v>30</v>
      </c>
      <c r="N91" s="186">
        <f>'Monthly Data'!CD91</f>
        <v>22</v>
      </c>
      <c r="P91" s="186">
        <f>'GS &gt; 50 OLS Model (LC)'!$B$5</f>
        <v>-8436546.8467997499</v>
      </c>
      <c r="Q91" s="186">
        <f>'GS &gt; 50 OLS Model (LC)'!$B$6*D91</f>
        <v>135615.25140136958</v>
      </c>
      <c r="R91" s="186">
        <f>'GS &gt; 50 OLS Model (LC)'!$B$7*E91</f>
        <v>9078630.6357412916</v>
      </c>
      <c r="S91" s="186">
        <f>'GS &gt; 50 OLS Model (LC)'!$B$8*F91</f>
        <v>32904994.29585455</v>
      </c>
      <c r="U91" s="186">
        <f>'GS &gt; 50 OLS Model (LC)'!$B$9*H91</f>
        <v>0</v>
      </c>
      <c r="V91" s="186">
        <f>'GS &gt; 50 OLS Model (LC)'!$B$10*I91</f>
        <v>1260255.0136768401</v>
      </c>
      <c r="W91" s="186">
        <f>'GS &gt; 50 OLS Model (LC)'!$B$11*J91</f>
        <v>0</v>
      </c>
      <c r="X91" s="186">
        <f>'GS &gt; 50 OLS Model (LC)'!$B$12*K91</f>
        <v>0</v>
      </c>
      <c r="Y91" s="186">
        <v>0</v>
      </c>
      <c r="Z91" s="186">
        <f>'GS &gt; 50 OLS Model (LC)'!$B$13*M91</f>
        <v>33683171.091442198</v>
      </c>
      <c r="AA91" s="186">
        <f>'GS &gt; 50 OLS Model (LC)'!$B$14*N91</f>
        <v>14249117.501484888</v>
      </c>
      <c r="AB91" s="186">
        <f t="shared" si="5"/>
        <v>82875236.942801371</v>
      </c>
      <c r="AC91" s="24">
        <f t="shared" ca="1" si="6"/>
        <v>1.1892294572095809E-2</v>
      </c>
    </row>
    <row r="92" spans="1:29">
      <c r="A92" s="128">
        <f>'Monthly Data'!A92</f>
        <v>42552</v>
      </c>
      <c r="B92" s="186">
        <f t="shared" si="4"/>
        <v>2016</v>
      </c>
      <c r="C92" s="124">
        <f ca="1">'Monthly Data'!T92</f>
        <v>88955763.55474104</v>
      </c>
      <c r="D92" s="186">
        <f>'Monthly Data'!BH92</f>
        <v>0</v>
      </c>
      <c r="E92" s="186">
        <f>'Monthly Data'!BI92</f>
        <v>213.1</v>
      </c>
      <c r="F92" s="186">
        <f>'Monthly Data'!BL92</f>
        <v>634257.80000000005</v>
      </c>
      <c r="G92" s="186">
        <f>'Monthly Data'!BM92</f>
        <v>91</v>
      </c>
      <c r="H92" s="186">
        <f>'Monthly Data'!BQ92</f>
        <v>0</v>
      </c>
      <c r="I92" s="186">
        <f>'Monthly Data'!BS92</f>
        <v>0</v>
      </c>
      <c r="J92" s="186">
        <f>'Monthly Data'!BU92</f>
        <v>0</v>
      </c>
      <c r="K92" s="186">
        <f>'Monthly Data'!BV92</f>
        <v>0</v>
      </c>
      <c r="L92" s="186">
        <f>'Monthly Data'!BW92</f>
        <v>0</v>
      </c>
      <c r="M92" s="186">
        <f>'Monthly Data'!CC92</f>
        <v>31</v>
      </c>
      <c r="N92" s="186">
        <f>'Monthly Data'!CD92</f>
        <v>20</v>
      </c>
      <c r="P92" s="186">
        <f>'GS &gt; 50 OLS Model (LC)'!$B$5</f>
        <v>-8436546.8467997499</v>
      </c>
      <c r="Q92" s="186">
        <f>'GS &gt; 50 OLS Model (LC)'!$B$6*D92</f>
        <v>0</v>
      </c>
      <c r="R92" s="186">
        <f>'GS &gt; 50 OLS Model (LC)'!$B$7*E92</f>
        <v>15209561.230160922</v>
      </c>
      <c r="S92" s="186">
        <f>'GS &gt; 50 OLS Model (LC)'!$B$8*F92</f>
        <v>32904994.29585455</v>
      </c>
      <c r="U92" s="186">
        <f>'GS &gt; 50 OLS Model (LC)'!$B$9*H92</f>
        <v>0</v>
      </c>
      <c r="V92" s="186">
        <f>'GS &gt; 50 OLS Model (LC)'!$B$10*I92</f>
        <v>0</v>
      </c>
      <c r="W92" s="186">
        <f>'GS &gt; 50 OLS Model (LC)'!$B$11*J92</f>
        <v>0</v>
      </c>
      <c r="X92" s="186">
        <f>'GS &gt; 50 OLS Model (LC)'!$B$12*K92</f>
        <v>0</v>
      </c>
      <c r="Y92" s="186">
        <v>0</v>
      </c>
      <c r="Z92" s="186">
        <f>'GS &gt; 50 OLS Model (LC)'!$B$13*M92</f>
        <v>34805943.461156942</v>
      </c>
      <c r="AA92" s="186">
        <f>'GS &gt; 50 OLS Model (LC)'!$B$14*N92</f>
        <v>12953743.18316808</v>
      </c>
      <c r="AB92" s="186">
        <f t="shared" si="5"/>
        <v>87437695.323540747</v>
      </c>
      <c r="AC92" s="24">
        <f t="shared" ca="1" si="6"/>
        <v>1.7065428596609297E-2</v>
      </c>
    </row>
    <row r="93" spans="1:29">
      <c r="A93" s="128">
        <f>'Monthly Data'!A93</f>
        <v>42583</v>
      </c>
      <c r="B93" s="186">
        <f t="shared" si="4"/>
        <v>2016</v>
      </c>
      <c r="C93" s="124">
        <f ca="1">'Monthly Data'!T93</f>
        <v>91795187.170724034</v>
      </c>
      <c r="D93" s="186">
        <f>'Monthly Data'!BH93</f>
        <v>0</v>
      </c>
      <c r="E93" s="186">
        <f>'Monthly Data'!BI93</f>
        <v>219</v>
      </c>
      <c r="F93" s="186">
        <f>'Monthly Data'!BL93</f>
        <v>634257.80000000005</v>
      </c>
      <c r="G93" s="186">
        <f>'Monthly Data'!BM93</f>
        <v>92</v>
      </c>
      <c r="H93" s="186">
        <f>'Monthly Data'!BQ93</f>
        <v>0</v>
      </c>
      <c r="I93" s="186">
        <f>'Monthly Data'!BS93</f>
        <v>0</v>
      </c>
      <c r="J93" s="186">
        <f>'Monthly Data'!BU93</f>
        <v>1</v>
      </c>
      <c r="K93" s="186">
        <f>'Monthly Data'!BV93</f>
        <v>0</v>
      </c>
      <c r="L93" s="186">
        <f>'Monthly Data'!BW93</f>
        <v>0</v>
      </c>
      <c r="M93" s="186">
        <f>'Monthly Data'!CC93</f>
        <v>31</v>
      </c>
      <c r="N93" s="186">
        <f>'Monthly Data'!CD93</f>
        <v>22</v>
      </c>
      <c r="P93" s="186">
        <f>'GS &gt; 50 OLS Model (LC)'!$B$5</f>
        <v>-8436546.8467997499</v>
      </c>
      <c r="Q93" s="186">
        <f>'GS &gt; 50 OLS Model (LC)'!$B$6*D93</f>
        <v>0</v>
      </c>
      <c r="R93" s="186">
        <f>'GS &gt; 50 OLS Model (LC)'!$B$7*E93</f>
        <v>15630661.236064017</v>
      </c>
      <c r="S93" s="186">
        <f>'GS &gt; 50 OLS Model (LC)'!$B$8*F93</f>
        <v>32904994.29585455</v>
      </c>
      <c r="U93" s="186">
        <f>'GS &gt; 50 OLS Model (LC)'!$B$9*H93</f>
        <v>0</v>
      </c>
      <c r="V93" s="186">
        <f>'GS &gt; 50 OLS Model (LC)'!$B$10*I93</f>
        <v>0</v>
      </c>
      <c r="W93" s="186">
        <f>'GS &gt; 50 OLS Model (LC)'!$B$11*J93</f>
        <v>2501012.7689915099</v>
      </c>
      <c r="X93" s="186">
        <f>'GS &gt; 50 OLS Model (LC)'!$B$12*K93</f>
        <v>0</v>
      </c>
      <c r="Y93" s="186">
        <v>0</v>
      </c>
      <c r="Z93" s="186">
        <f>'GS &gt; 50 OLS Model (LC)'!$B$13*M93</f>
        <v>34805943.461156942</v>
      </c>
      <c r="AA93" s="186">
        <f>'GS &gt; 50 OLS Model (LC)'!$B$14*N93</f>
        <v>14249117.501484888</v>
      </c>
      <c r="AB93" s="186">
        <f t="shared" si="5"/>
        <v>91655182.416752145</v>
      </c>
      <c r="AC93" s="24">
        <f t="shared" ca="1" si="6"/>
        <v>1.5251862138643899E-3</v>
      </c>
    </row>
    <row r="94" spans="1:29">
      <c r="A94" s="128">
        <f>'Monthly Data'!A94</f>
        <v>42614</v>
      </c>
      <c r="B94" s="186">
        <f t="shared" si="4"/>
        <v>2016</v>
      </c>
      <c r="C94" s="124">
        <f ca="1">'Monthly Data'!T94</f>
        <v>82362063.434793159</v>
      </c>
      <c r="D94" s="186">
        <f>'Monthly Data'!BH94</f>
        <v>8</v>
      </c>
      <c r="E94" s="186">
        <f>'Monthly Data'!BI94</f>
        <v>90.1</v>
      </c>
      <c r="F94" s="186">
        <f>'Monthly Data'!BL94</f>
        <v>634257.80000000005</v>
      </c>
      <c r="G94" s="186">
        <f>'Monthly Data'!BM94</f>
        <v>93</v>
      </c>
      <c r="H94" s="186">
        <f>'Monthly Data'!BQ94</f>
        <v>0</v>
      </c>
      <c r="I94" s="186">
        <f>'Monthly Data'!BS94</f>
        <v>0</v>
      </c>
      <c r="J94" s="186">
        <f>'Monthly Data'!BU94</f>
        <v>0</v>
      </c>
      <c r="K94" s="186">
        <f>'Monthly Data'!BV94</f>
        <v>1</v>
      </c>
      <c r="L94" s="186">
        <f>'Monthly Data'!BW94</f>
        <v>0</v>
      </c>
      <c r="M94" s="186">
        <f>'Monthly Data'!CC94</f>
        <v>30</v>
      </c>
      <c r="N94" s="186">
        <f>'Monthly Data'!CD94</f>
        <v>21</v>
      </c>
      <c r="P94" s="186">
        <f>'GS &gt; 50 OLS Model (LC)'!$B$5</f>
        <v>-8436546.8467997499</v>
      </c>
      <c r="Q94" s="186">
        <f>'GS &gt; 50 OLS Model (LC)'!$B$6*D94</f>
        <v>193736.07343052799</v>
      </c>
      <c r="R94" s="186">
        <f>'GS &gt; 50 OLS Model (LC)'!$B$7*E94</f>
        <v>6430696.7003167486</v>
      </c>
      <c r="S94" s="186">
        <f>'GS &gt; 50 OLS Model (LC)'!$B$8*F94</f>
        <v>32904994.29585455</v>
      </c>
      <c r="U94" s="186">
        <f>'GS &gt; 50 OLS Model (LC)'!$B$9*H94</f>
        <v>0</v>
      </c>
      <c r="V94" s="186">
        <f>'GS &gt; 50 OLS Model (LC)'!$B$10*I94</f>
        <v>0</v>
      </c>
      <c r="W94" s="186">
        <f>'GS &gt; 50 OLS Model (LC)'!$B$11*J94</f>
        <v>0</v>
      </c>
      <c r="X94" s="186">
        <f>'GS &gt; 50 OLS Model (LC)'!$B$12*K94</f>
        <v>2346294.5864150901</v>
      </c>
      <c r="Y94" s="186">
        <v>0</v>
      </c>
      <c r="Z94" s="186">
        <f>'GS &gt; 50 OLS Model (LC)'!$B$13*M94</f>
        <v>33683171.091442198</v>
      </c>
      <c r="AA94" s="186">
        <f>'GS &gt; 50 OLS Model (LC)'!$B$14*N94</f>
        <v>13601430.342326485</v>
      </c>
      <c r="AB94" s="186">
        <f t="shared" si="5"/>
        <v>80723776.242985845</v>
      </c>
      <c r="AC94" s="24">
        <f t="shared" ca="1" si="6"/>
        <v>1.9891283966001684E-2</v>
      </c>
    </row>
    <row r="95" spans="1:29">
      <c r="A95" s="128">
        <f>'Monthly Data'!A95</f>
        <v>42644</v>
      </c>
      <c r="B95" s="186">
        <f t="shared" si="4"/>
        <v>2016</v>
      </c>
      <c r="C95" s="124">
        <f ca="1">'Monthly Data'!T95</f>
        <v>79489363.40802446</v>
      </c>
      <c r="D95" s="186">
        <f>'Monthly Data'!BH95</f>
        <v>146</v>
      </c>
      <c r="E95" s="186">
        <f>'Monthly Data'!BI95</f>
        <v>22.7</v>
      </c>
      <c r="F95" s="186">
        <f>'Monthly Data'!BL95</f>
        <v>634257.80000000005</v>
      </c>
      <c r="G95" s="186">
        <f>'Monthly Data'!BM95</f>
        <v>94</v>
      </c>
      <c r="H95" s="186">
        <f>'Monthly Data'!BQ95</f>
        <v>0</v>
      </c>
      <c r="I95" s="186">
        <f>'Monthly Data'!BS95</f>
        <v>0</v>
      </c>
      <c r="J95" s="186">
        <f>'Monthly Data'!BU95</f>
        <v>0</v>
      </c>
      <c r="K95" s="186">
        <f>'Monthly Data'!BV95</f>
        <v>0</v>
      </c>
      <c r="L95" s="186">
        <f>'Monthly Data'!BW95</f>
        <v>1</v>
      </c>
      <c r="M95" s="186">
        <f>'Monthly Data'!CC95</f>
        <v>31</v>
      </c>
      <c r="N95" s="186">
        <f>'Monthly Data'!CD95</f>
        <v>20</v>
      </c>
      <c r="P95" s="186">
        <f>'GS &gt; 50 OLS Model (LC)'!$B$5</f>
        <v>-8436546.8467997499</v>
      </c>
      <c r="Q95" s="186">
        <f>'GS &gt; 50 OLS Model (LC)'!$B$6*D95</f>
        <v>3535683.3401071359</v>
      </c>
      <c r="R95" s="186">
        <f>'GS &gt; 50 OLS Model (LC)'!$B$7*E95</f>
        <v>1620164.429491567</v>
      </c>
      <c r="S95" s="186">
        <f>'GS &gt; 50 OLS Model (LC)'!$B$8*F95</f>
        <v>32904994.29585455</v>
      </c>
      <c r="U95" s="186">
        <f>'GS &gt; 50 OLS Model (LC)'!$B$9*H95</f>
        <v>0</v>
      </c>
      <c r="V95" s="186">
        <f>'GS &gt; 50 OLS Model (LC)'!$B$10*I95</f>
        <v>0</v>
      </c>
      <c r="W95" s="186">
        <f>'GS &gt; 50 OLS Model (LC)'!$B$11*J95</f>
        <v>0</v>
      </c>
      <c r="X95" s="186">
        <f>'GS &gt; 50 OLS Model (LC)'!$B$12*K95</f>
        <v>0</v>
      </c>
      <c r="Y95" s="186">
        <v>0</v>
      </c>
      <c r="Z95" s="186">
        <f>'GS &gt; 50 OLS Model (LC)'!$B$13*M95</f>
        <v>34805943.461156942</v>
      </c>
      <c r="AA95" s="186">
        <f>'GS &gt; 50 OLS Model (LC)'!$B$14*N95</f>
        <v>12953743.18316808</v>
      </c>
      <c r="AB95" s="186">
        <f t="shared" si="5"/>
        <v>77383981.862978533</v>
      </c>
      <c r="AC95" s="24">
        <f t="shared" ca="1" si="6"/>
        <v>2.6486330431895102E-2</v>
      </c>
    </row>
    <row r="96" spans="1:29">
      <c r="A96" s="128">
        <f>'Monthly Data'!A96</f>
        <v>42675</v>
      </c>
      <c r="B96" s="186">
        <f t="shared" si="4"/>
        <v>2016</v>
      </c>
      <c r="C96" s="124">
        <f ca="1">'Monthly Data'!T96</f>
        <v>79335132.283126563</v>
      </c>
      <c r="D96" s="186">
        <f>'Monthly Data'!BH96</f>
        <v>290.7</v>
      </c>
      <c r="E96" s="186">
        <f>'Monthly Data'!BI96</f>
        <v>0</v>
      </c>
      <c r="F96" s="186">
        <f>'Monthly Data'!BL96</f>
        <v>634257.80000000005</v>
      </c>
      <c r="G96" s="186">
        <f>'Monthly Data'!BM96</f>
        <v>95</v>
      </c>
      <c r="H96" s="186">
        <f>'Monthly Data'!BQ96</f>
        <v>0</v>
      </c>
      <c r="I96" s="186">
        <f>'Monthly Data'!BS96</f>
        <v>0</v>
      </c>
      <c r="J96" s="186">
        <f>'Monthly Data'!BU96</f>
        <v>0</v>
      </c>
      <c r="K96" s="186">
        <f>'Monthly Data'!BV96</f>
        <v>0</v>
      </c>
      <c r="L96" s="186">
        <f>'Monthly Data'!BW96</f>
        <v>0</v>
      </c>
      <c r="M96" s="186">
        <f>'Monthly Data'!CC96</f>
        <v>30</v>
      </c>
      <c r="N96" s="186">
        <f>'Monthly Data'!CD96</f>
        <v>22</v>
      </c>
      <c r="P96" s="186">
        <f>'GS &gt; 50 OLS Model (LC)'!$B$5</f>
        <v>-8436546.8467997499</v>
      </c>
      <c r="Q96" s="186">
        <f>'GS &gt; 50 OLS Model (LC)'!$B$6*D96</f>
        <v>7039884.5682818107</v>
      </c>
      <c r="R96" s="186">
        <f>'GS &gt; 50 OLS Model (LC)'!$B$7*E96</f>
        <v>0</v>
      </c>
      <c r="S96" s="186">
        <f>'GS &gt; 50 OLS Model (LC)'!$B$8*F96</f>
        <v>32904994.29585455</v>
      </c>
      <c r="U96" s="186">
        <f>'GS &gt; 50 OLS Model (LC)'!$B$9*H96</f>
        <v>0</v>
      </c>
      <c r="V96" s="186">
        <f>'GS &gt; 50 OLS Model (LC)'!$B$10*I96</f>
        <v>0</v>
      </c>
      <c r="W96" s="186">
        <f>'GS &gt; 50 OLS Model (LC)'!$B$11*J96</f>
        <v>0</v>
      </c>
      <c r="X96" s="186">
        <f>'GS &gt; 50 OLS Model (LC)'!$B$12*K96</f>
        <v>0</v>
      </c>
      <c r="Y96" s="186">
        <v>0</v>
      </c>
      <c r="Z96" s="186">
        <f>'GS &gt; 50 OLS Model (LC)'!$B$13*M96</f>
        <v>33683171.091442198</v>
      </c>
      <c r="AA96" s="186">
        <f>'GS &gt; 50 OLS Model (LC)'!$B$14*N96</f>
        <v>14249117.501484888</v>
      </c>
      <c r="AB96" s="186">
        <f t="shared" si="5"/>
        <v>79440620.61026369</v>
      </c>
      <c r="AC96" s="24">
        <f t="shared" ca="1" si="6"/>
        <v>1.3296546448131827E-3</v>
      </c>
    </row>
    <row r="97" spans="1:29">
      <c r="A97" s="128">
        <f>'Monthly Data'!A97</f>
        <v>42705</v>
      </c>
      <c r="B97" s="186">
        <f t="shared" si="4"/>
        <v>2016</v>
      </c>
      <c r="C97" s="124">
        <f ca="1">'Monthly Data'!T97</f>
        <v>85381711.661736995</v>
      </c>
      <c r="D97" s="186">
        <f>'Monthly Data'!BH97</f>
        <v>581.1</v>
      </c>
      <c r="E97" s="186">
        <f>'Monthly Data'!BI97</f>
        <v>0</v>
      </c>
      <c r="F97" s="186">
        <f>'Monthly Data'!BL97</f>
        <v>634257.80000000005</v>
      </c>
      <c r="G97" s="186">
        <f>'Monthly Data'!BM97</f>
        <v>96</v>
      </c>
      <c r="H97" s="186">
        <f>'Monthly Data'!BQ97</f>
        <v>0</v>
      </c>
      <c r="I97" s="186">
        <f>'Monthly Data'!BS97</f>
        <v>0</v>
      </c>
      <c r="J97" s="186">
        <f>'Monthly Data'!BU97</f>
        <v>0</v>
      </c>
      <c r="K97" s="186">
        <f>'Monthly Data'!BV97</f>
        <v>0</v>
      </c>
      <c r="L97" s="186">
        <f>'Monthly Data'!BW97</f>
        <v>0</v>
      </c>
      <c r="M97" s="186">
        <f>'Monthly Data'!CC97</f>
        <v>31</v>
      </c>
      <c r="N97" s="186">
        <f>'Monthly Data'!CD97</f>
        <v>20</v>
      </c>
      <c r="P97" s="186">
        <f>'GS &gt; 50 OLS Model (LC)'!$B$5</f>
        <v>-8436546.8467997499</v>
      </c>
      <c r="Q97" s="186">
        <f>'GS &gt; 50 OLS Model (LC)'!$B$6*D97</f>
        <v>14072504.033809977</v>
      </c>
      <c r="R97" s="186">
        <f>'GS &gt; 50 OLS Model (LC)'!$B$7*E97</f>
        <v>0</v>
      </c>
      <c r="S97" s="186">
        <f>'GS &gt; 50 OLS Model (LC)'!$B$8*F97</f>
        <v>32904994.29585455</v>
      </c>
      <c r="U97" s="186">
        <f>'GS &gt; 50 OLS Model (LC)'!$B$9*H97</f>
        <v>0</v>
      </c>
      <c r="V97" s="186">
        <f>'GS &gt; 50 OLS Model (LC)'!$B$10*I97</f>
        <v>0</v>
      </c>
      <c r="W97" s="186">
        <f>'GS &gt; 50 OLS Model (LC)'!$B$11*J97</f>
        <v>0</v>
      </c>
      <c r="X97" s="186">
        <f>'GS &gt; 50 OLS Model (LC)'!$B$12*K97</f>
        <v>0</v>
      </c>
      <c r="Y97" s="186">
        <v>0</v>
      </c>
      <c r="Z97" s="186">
        <f>'GS &gt; 50 OLS Model (LC)'!$B$13*M97</f>
        <v>34805943.461156942</v>
      </c>
      <c r="AA97" s="186">
        <f>'GS &gt; 50 OLS Model (LC)'!$B$14*N97</f>
        <v>12953743.18316808</v>
      </c>
      <c r="AB97" s="186">
        <f t="shared" si="5"/>
        <v>86300638.1271898</v>
      </c>
      <c r="AC97" s="24">
        <f t="shared" ca="1" si="6"/>
        <v>1.0762567856374017E-2</v>
      </c>
    </row>
    <row r="98" spans="1:29">
      <c r="A98" s="128">
        <f>'Monthly Data'!A98</f>
        <v>42736</v>
      </c>
      <c r="B98" s="186">
        <f t="shared" si="4"/>
        <v>2017</v>
      </c>
      <c r="C98" s="124">
        <f ca="1">'Monthly Data'!T98</f>
        <v>89104940.431942269</v>
      </c>
      <c r="D98" s="186">
        <f>'Monthly Data'!BH98</f>
        <v>570.4</v>
      </c>
      <c r="E98" s="186">
        <f>'Monthly Data'!BI98</f>
        <v>0</v>
      </c>
      <c r="F98" s="186">
        <f>'Monthly Data'!BL98</f>
        <v>651932.30000000005</v>
      </c>
      <c r="G98" s="186">
        <f>'Monthly Data'!BM98</f>
        <v>97</v>
      </c>
      <c r="H98" s="186">
        <f>'Monthly Data'!BQ98</f>
        <v>0</v>
      </c>
      <c r="I98" s="186">
        <f>'Monthly Data'!BS98</f>
        <v>0</v>
      </c>
      <c r="J98" s="186">
        <f>'Monthly Data'!BU98</f>
        <v>0</v>
      </c>
      <c r="K98" s="186">
        <f>'Monthly Data'!BV98</f>
        <v>0</v>
      </c>
      <c r="L98" s="186">
        <f>'Monthly Data'!BW98</f>
        <v>0</v>
      </c>
      <c r="M98" s="186">
        <f>'Monthly Data'!CC98</f>
        <v>31</v>
      </c>
      <c r="N98" s="186">
        <f>'Monthly Data'!CD98</f>
        <v>22</v>
      </c>
      <c r="P98" s="186">
        <f>'GS &gt; 50 OLS Model (LC)'!$B$5</f>
        <v>-8436546.8467997499</v>
      </c>
      <c r="Q98" s="186">
        <f>'GS &gt; 50 OLS Model (LC)'!$B$6*D98</f>
        <v>13813382.035596645</v>
      </c>
      <c r="R98" s="186">
        <f>'GS &gt; 50 OLS Model (LC)'!$B$7*E98</f>
        <v>0</v>
      </c>
      <c r="S98" s="186">
        <f>'GS &gt; 50 OLS Model (LC)'!$B$8*F98</f>
        <v>33821938.985666931</v>
      </c>
      <c r="U98" s="186">
        <f>'GS &gt; 50 OLS Model (LC)'!$B$9*H98</f>
        <v>0</v>
      </c>
      <c r="V98" s="186">
        <f>'GS &gt; 50 OLS Model (LC)'!$B$10*I98</f>
        <v>0</v>
      </c>
      <c r="W98" s="186">
        <f>'GS &gt; 50 OLS Model (LC)'!$B$11*J98</f>
        <v>0</v>
      </c>
      <c r="X98" s="186">
        <f>'GS &gt; 50 OLS Model (LC)'!$B$12*K98</f>
        <v>0</v>
      </c>
      <c r="Y98" s="186">
        <v>0</v>
      </c>
      <c r="Z98" s="186">
        <f>'GS &gt; 50 OLS Model (LC)'!$B$13*M98</f>
        <v>34805943.461156942</v>
      </c>
      <c r="AA98" s="186">
        <f>'GS &gt; 50 OLS Model (LC)'!$B$14*N98</f>
        <v>14249117.501484888</v>
      </c>
      <c r="AB98" s="186">
        <f t="shared" si="5"/>
        <v>88253835.137105659</v>
      </c>
      <c r="AC98" s="24">
        <f t="shared" ca="1" si="6"/>
        <v>9.5517183526617009E-3</v>
      </c>
    </row>
    <row r="99" spans="1:29">
      <c r="A99" s="128">
        <f>'Monthly Data'!A99</f>
        <v>42767</v>
      </c>
      <c r="B99" s="186">
        <f t="shared" si="4"/>
        <v>2017</v>
      </c>
      <c r="C99" s="124">
        <f ca="1">'Monthly Data'!T99</f>
        <v>79064176.789072469</v>
      </c>
      <c r="D99" s="186">
        <f>'Monthly Data'!BH99</f>
        <v>411.8</v>
      </c>
      <c r="E99" s="186">
        <f>'Monthly Data'!BI99</f>
        <v>0</v>
      </c>
      <c r="F99" s="186">
        <f>'Monthly Data'!BL99</f>
        <v>651932.30000000005</v>
      </c>
      <c r="G99" s="186">
        <f>'Monthly Data'!BM99</f>
        <v>98</v>
      </c>
      <c r="H99" s="186">
        <f>'Monthly Data'!BQ99</f>
        <v>0</v>
      </c>
      <c r="I99" s="186">
        <f>'Monthly Data'!BS99</f>
        <v>0</v>
      </c>
      <c r="J99" s="186">
        <f>'Monthly Data'!BU99</f>
        <v>0</v>
      </c>
      <c r="K99" s="186">
        <f>'Monthly Data'!BV99</f>
        <v>0</v>
      </c>
      <c r="L99" s="186">
        <f>'Monthly Data'!BW99</f>
        <v>0</v>
      </c>
      <c r="M99" s="186">
        <f>'Monthly Data'!CC99</f>
        <v>28</v>
      </c>
      <c r="N99" s="186">
        <f>'Monthly Data'!CD99</f>
        <v>19</v>
      </c>
      <c r="P99" s="186">
        <f>'GS &gt; 50 OLS Model (LC)'!$B$5</f>
        <v>-8436546.8467997499</v>
      </c>
      <c r="Q99" s="186">
        <f>'GS &gt; 50 OLS Model (LC)'!$B$6*D99</f>
        <v>9972564.3798364289</v>
      </c>
      <c r="R99" s="186">
        <f>'GS &gt; 50 OLS Model (LC)'!$B$7*E99</f>
        <v>0</v>
      </c>
      <c r="S99" s="186">
        <f>'GS &gt; 50 OLS Model (LC)'!$B$8*F99</f>
        <v>33821938.985666931</v>
      </c>
      <c r="U99" s="186">
        <f>'GS &gt; 50 OLS Model (LC)'!$B$9*H99</f>
        <v>0</v>
      </c>
      <c r="V99" s="186">
        <f>'GS &gt; 50 OLS Model (LC)'!$B$10*I99</f>
        <v>0</v>
      </c>
      <c r="W99" s="186">
        <f>'GS &gt; 50 OLS Model (LC)'!$B$11*J99</f>
        <v>0</v>
      </c>
      <c r="X99" s="186">
        <f>'GS &gt; 50 OLS Model (LC)'!$B$12*K99</f>
        <v>0</v>
      </c>
      <c r="Y99" s="186">
        <v>0</v>
      </c>
      <c r="Z99" s="186">
        <f>'GS &gt; 50 OLS Model (LC)'!$B$13*M99</f>
        <v>31437626.35201272</v>
      </c>
      <c r="AA99" s="186">
        <f>'GS &gt; 50 OLS Model (LC)'!$B$14*N99</f>
        <v>12306056.024009675</v>
      </c>
      <c r="AB99" s="186">
        <f t="shared" si="5"/>
        <v>79101638.894726008</v>
      </c>
      <c r="AC99" s="24">
        <f t="shared" ca="1" si="6"/>
        <v>4.7381895537192223E-4</v>
      </c>
    </row>
    <row r="100" spans="1:29">
      <c r="A100" s="128">
        <f>'Monthly Data'!A100</f>
        <v>42795</v>
      </c>
      <c r="B100" s="186">
        <f t="shared" si="4"/>
        <v>2017</v>
      </c>
      <c r="C100" s="124">
        <f ca="1">'Monthly Data'!T100</f>
        <v>84805567.54640986</v>
      </c>
      <c r="D100" s="186">
        <f>'Monthly Data'!BH100</f>
        <v>469.7</v>
      </c>
      <c r="E100" s="186">
        <f>'Monthly Data'!BI100</f>
        <v>0</v>
      </c>
      <c r="F100" s="186">
        <f>'Monthly Data'!BL100</f>
        <v>651932.30000000005</v>
      </c>
      <c r="G100" s="186">
        <f>'Monthly Data'!BM100</f>
        <v>99</v>
      </c>
      <c r="H100" s="186">
        <f>'Monthly Data'!BQ100</f>
        <v>0</v>
      </c>
      <c r="I100" s="186">
        <f>'Monthly Data'!BS100</f>
        <v>0</v>
      </c>
      <c r="J100" s="186">
        <f>'Monthly Data'!BU100</f>
        <v>0</v>
      </c>
      <c r="K100" s="186">
        <f>'Monthly Data'!BV100</f>
        <v>0</v>
      </c>
      <c r="L100" s="186">
        <f>'Monthly Data'!BW100</f>
        <v>0</v>
      </c>
      <c r="M100" s="186">
        <f>'Monthly Data'!CC100</f>
        <v>31</v>
      </c>
      <c r="N100" s="186">
        <f>'Monthly Data'!CD100</f>
        <v>23</v>
      </c>
      <c r="P100" s="186">
        <f>'GS &gt; 50 OLS Model (LC)'!$B$5</f>
        <v>-8436546.8467997499</v>
      </c>
      <c r="Q100" s="186">
        <f>'GS &gt; 50 OLS Model (LC)'!$B$6*D100</f>
        <v>11374729.211289875</v>
      </c>
      <c r="R100" s="186">
        <f>'GS &gt; 50 OLS Model (LC)'!$B$7*E100</f>
        <v>0</v>
      </c>
      <c r="S100" s="186">
        <f>'GS &gt; 50 OLS Model (LC)'!$B$8*F100</f>
        <v>33821938.985666931</v>
      </c>
      <c r="U100" s="186">
        <f>'GS &gt; 50 OLS Model (LC)'!$B$9*H100</f>
        <v>0</v>
      </c>
      <c r="V100" s="186">
        <f>'GS &gt; 50 OLS Model (LC)'!$B$10*I100</f>
        <v>0</v>
      </c>
      <c r="W100" s="186">
        <f>'GS &gt; 50 OLS Model (LC)'!$B$11*J100</f>
        <v>0</v>
      </c>
      <c r="X100" s="186">
        <f>'GS &gt; 50 OLS Model (LC)'!$B$12*K100</f>
        <v>0</v>
      </c>
      <c r="Y100" s="186">
        <v>0</v>
      </c>
      <c r="Z100" s="186">
        <f>'GS &gt; 50 OLS Model (LC)'!$B$13*M100</f>
        <v>34805943.461156942</v>
      </c>
      <c r="AA100" s="186">
        <f>'GS &gt; 50 OLS Model (LC)'!$B$14*N100</f>
        <v>14896804.660643291</v>
      </c>
      <c r="AB100" s="186">
        <f t="shared" si="5"/>
        <v>86462869.471957281</v>
      </c>
      <c r="AC100" s="24">
        <f t="shared" ca="1" si="6"/>
        <v>1.9542371727427711E-2</v>
      </c>
    </row>
    <row r="101" spans="1:29">
      <c r="A101" s="128">
        <f>'Monthly Data'!A101</f>
        <v>42826</v>
      </c>
      <c r="B101" s="186">
        <f t="shared" si="4"/>
        <v>2017</v>
      </c>
      <c r="C101" s="124">
        <f ca="1">'Monthly Data'!T101</f>
        <v>74954400.188771799</v>
      </c>
      <c r="D101" s="186">
        <f>'Monthly Data'!BH101</f>
        <v>177.1</v>
      </c>
      <c r="E101" s="186">
        <f>'Monthly Data'!BI101</f>
        <v>6.1</v>
      </c>
      <c r="F101" s="186">
        <f>'Monthly Data'!BL101</f>
        <v>651932.30000000005</v>
      </c>
      <c r="G101" s="186">
        <f>'Monthly Data'!BM101</f>
        <v>100</v>
      </c>
      <c r="H101" s="186">
        <f>'Monthly Data'!BQ101</f>
        <v>1</v>
      </c>
      <c r="I101" s="186">
        <f>'Monthly Data'!BS101</f>
        <v>0</v>
      </c>
      <c r="J101" s="186">
        <f>'Monthly Data'!BU101</f>
        <v>0</v>
      </c>
      <c r="K101" s="186">
        <f>'Monthly Data'!BV101</f>
        <v>0</v>
      </c>
      <c r="L101" s="186">
        <f>'Monthly Data'!BW101</f>
        <v>0</v>
      </c>
      <c r="M101" s="186">
        <f>'Monthly Data'!CC101</f>
        <v>30</v>
      </c>
      <c r="N101" s="186">
        <f>'Monthly Data'!CD101</f>
        <v>19</v>
      </c>
      <c r="P101" s="186">
        <f>'GS &gt; 50 OLS Model (LC)'!$B$5</f>
        <v>-8436546.8467997499</v>
      </c>
      <c r="Q101" s="186">
        <f>'GS &gt; 50 OLS Model (LC)'!$B$6*D101</f>
        <v>4288832.3255683137</v>
      </c>
      <c r="R101" s="186">
        <f>'GS &gt; 50 OLS Model (LC)'!$B$7*E101</f>
        <v>435374.58237438585</v>
      </c>
      <c r="S101" s="186">
        <f>'GS &gt; 50 OLS Model (LC)'!$B$8*F101</f>
        <v>33821938.985666931</v>
      </c>
      <c r="U101" s="186">
        <f>'GS &gt; 50 OLS Model (LC)'!$B$9*H101</f>
        <v>-1670517.9110053701</v>
      </c>
      <c r="V101" s="186">
        <f>'GS &gt; 50 OLS Model (LC)'!$B$10*I101</f>
        <v>0</v>
      </c>
      <c r="W101" s="186">
        <f>'GS &gt; 50 OLS Model (LC)'!$B$11*J101</f>
        <v>0</v>
      </c>
      <c r="X101" s="186">
        <f>'GS &gt; 50 OLS Model (LC)'!$B$12*K101</f>
        <v>0</v>
      </c>
      <c r="Y101" s="186">
        <v>0</v>
      </c>
      <c r="Z101" s="186">
        <f>'GS &gt; 50 OLS Model (LC)'!$B$13*M101</f>
        <v>33683171.091442198</v>
      </c>
      <c r="AA101" s="186">
        <f>'GS &gt; 50 OLS Model (LC)'!$B$14*N101</f>
        <v>12306056.024009675</v>
      </c>
      <c r="AB101" s="186">
        <f t="shared" si="5"/>
        <v>74428308.251256377</v>
      </c>
      <c r="AC101" s="24">
        <f t="shared" ca="1" si="6"/>
        <v>7.0188265957764479E-3</v>
      </c>
    </row>
    <row r="102" spans="1:29">
      <c r="A102" s="128">
        <f>'Monthly Data'!A102</f>
        <v>42856</v>
      </c>
      <c r="B102" s="186">
        <f t="shared" si="4"/>
        <v>2017</v>
      </c>
      <c r="C102" s="124">
        <f ca="1">'Monthly Data'!T102</f>
        <v>78674140.138522223</v>
      </c>
      <c r="D102" s="186">
        <f>'Monthly Data'!BH102</f>
        <v>124.4</v>
      </c>
      <c r="E102" s="186">
        <f>'Monthly Data'!BI102</f>
        <v>28.5</v>
      </c>
      <c r="F102" s="186">
        <f>'Monthly Data'!BL102</f>
        <v>651932.30000000005</v>
      </c>
      <c r="G102" s="186">
        <f>'Monthly Data'!BM102</f>
        <v>101</v>
      </c>
      <c r="H102" s="186">
        <f>'Monthly Data'!BQ102</f>
        <v>0</v>
      </c>
      <c r="I102" s="186">
        <f>'Monthly Data'!BS102</f>
        <v>0</v>
      </c>
      <c r="J102" s="186">
        <f>'Monthly Data'!BU102</f>
        <v>0</v>
      </c>
      <c r="K102" s="186">
        <f>'Monthly Data'!BV102</f>
        <v>0</v>
      </c>
      <c r="L102" s="186">
        <f>'Monthly Data'!BW102</f>
        <v>0</v>
      </c>
      <c r="M102" s="186">
        <f>'Monthly Data'!CC102</f>
        <v>31</v>
      </c>
      <c r="N102" s="186">
        <f>'Monthly Data'!CD102</f>
        <v>22</v>
      </c>
      <c r="P102" s="186">
        <f>'GS &gt; 50 OLS Model (LC)'!$B$5</f>
        <v>-8436546.8467997499</v>
      </c>
      <c r="Q102" s="186">
        <f>'GS &gt; 50 OLS Model (LC)'!$B$6*D102</f>
        <v>3012595.9418447106</v>
      </c>
      <c r="R102" s="186">
        <f>'GS &gt; 50 OLS Model (LC)'!$B$7*E102</f>
        <v>2034127.147159016</v>
      </c>
      <c r="S102" s="186">
        <f>'GS &gt; 50 OLS Model (LC)'!$B$8*F102</f>
        <v>33821938.985666931</v>
      </c>
      <c r="U102" s="186">
        <f>'GS &gt; 50 OLS Model (LC)'!$B$9*H102</f>
        <v>0</v>
      </c>
      <c r="V102" s="186">
        <f>'GS &gt; 50 OLS Model (LC)'!$B$10*I102</f>
        <v>0</v>
      </c>
      <c r="W102" s="186">
        <f>'GS &gt; 50 OLS Model (LC)'!$B$11*J102</f>
        <v>0</v>
      </c>
      <c r="X102" s="186">
        <f>'GS &gt; 50 OLS Model (LC)'!$B$12*K102</f>
        <v>0</v>
      </c>
      <c r="Y102" s="186">
        <v>0</v>
      </c>
      <c r="Z102" s="186">
        <f>'GS &gt; 50 OLS Model (LC)'!$B$13*M102</f>
        <v>34805943.461156942</v>
      </c>
      <c r="AA102" s="186">
        <f>'GS &gt; 50 OLS Model (LC)'!$B$14*N102</f>
        <v>14249117.501484888</v>
      </c>
      <c r="AB102" s="186">
        <f t="shared" si="5"/>
        <v>79487176.190512732</v>
      </c>
      <c r="AC102" s="24">
        <f t="shared" ca="1" si="6"/>
        <v>1.0334222281412795E-2</v>
      </c>
    </row>
    <row r="103" spans="1:29">
      <c r="A103" s="128">
        <f>'Monthly Data'!A103</f>
        <v>42887</v>
      </c>
      <c r="B103" s="186">
        <f t="shared" si="4"/>
        <v>2017</v>
      </c>
      <c r="C103" s="124">
        <f ca="1">'Monthly Data'!T103</f>
        <v>82671566.563594013</v>
      </c>
      <c r="D103" s="186">
        <f>'Monthly Data'!BH103</f>
        <v>2.9</v>
      </c>
      <c r="E103" s="186">
        <f>'Monthly Data'!BI103</f>
        <v>128.1</v>
      </c>
      <c r="F103" s="186">
        <f>'Monthly Data'!BL103</f>
        <v>651932.30000000005</v>
      </c>
      <c r="G103" s="186">
        <f>'Monthly Data'!BM103</f>
        <v>102</v>
      </c>
      <c r="H103" s="186">
        <f>'Monthly Data'!BQ103</f>
        <v>0</v>
      </c>
      <c r="I103" s="186">
        <f>'Monthly Data'!BS103</f>
        <v>1</v>
      </c>
      <c r="J103" s="186">
        <f>'Monthly Data'!BU103</f>
        <v>0</v>
      </c>
      <c r="K103" s="186">
        <f>'Monthly Data'!BV103</f>
        <v>0</v>
      </c>
      <c r="L103" s="186">
        <f>'Monthly Data'!BW103</f>
        <v>0</v>
      </c>
      <c r="M103" s="186">
        <f>'Monthly Data'!CC103</f>
        <v>30</v>
      </c>
      <c r="N103" s="186">
        <f>'Monthly Data'!CD103</f>
        <v>22</v>
      </c>
      <c r="P103" s="186">
        <f>'GS &gt; 50 OLS Model (LC)'!$B$5</f>
        <v>-8436546.8467997499</v>
      </c>
      <c r="Q103" s="186">
        <f>'GS &gt; 50 OLS Model (LC)'!$B$6*D103</f>
        <v>70229.326618566396</v>
      </c>
      <c r="R103" s="186">
        <f>'GS &gt; 50 OLS Model (LC)'!$B$7*E103</f>
        <v>9142866.2298621032</v>
      </c>
      <c r="S103" s="186">
        <f>'GS &gt; 50 OLS Model (LC)'!$B$8*F103</f>
        <v>33821938.985666931</v>
      </c>
      <c r="U103" s="186">
        <f>'GS &gt; 50 OLS Model (LC)'!$B$9*H103</f>
        <v>0</v>
      </c>
      <c r="V103" s="186">
        <f>'GS &gt; 50 OLS Model (LC)'!$B$10*I103</f>
        <v>1260255.0136768401</v>
      </c>
      <c r="W103" s="186">
        <f>'GS &gt; 50 OLS Model (LC)'!$B$11*J103</f>
        <v>0</v>
      </c>
      <c r="X103" s="186">
        <f>'GS &gt; 50 OLS Model (LC)'!$B$12*K103</f>
        <v>0</v>
      </c>
      <c r="Y103" s="186">
        <v>0</v>
      </c>
      <c r="Z103" s="186">
        <f>'GS &gt; 50 OLS Model (LC)'!$B$13*M103</f>
        <v>33683171.091442198</v>
      </c>
      <c r="AA103" s="186">
        <f>'GS &gt; 50 OLS Model (LC)'!$B$14*N103</f>
        <v>14249117.501484888</v>
      </c>
      <c r="AB103" s="186">
        <f t="shared" si="5"/>
        <v>83791031.301951781</v>
      </c>
      <c r="AC103" s="24">
        <f t="shared" ca="1" si="6"/>
        <v>1.3541109536089823E-2</v>
      </c>
    </row>
    <row r="104" spans="1:29">
      <c r="A104" s="128">
        <f>'Monthly Data'!A104</f>
        <v>42917</v>
      </c>
      <c r="B104" s="186">
        <f t="shared" si="4"/>
        <v>2017</v>
      </c>
      <c r="C104" s="124">
        <f ca="1">'Monthly Data'!T104</f>
        <v>86176054.430500627</v>
      </c>
      <c r="D104" s="186">
        <f>'Monthly Data'!BH104</f>
        <v>0</v>
      </c>
      <c r="E104" s="186">
        <f>'Monthly Data'!BI104</f>
        <v>179.5</v>
      </c>
      <c r="F104" s="186">
        <f>'Monthly Data'!BL104</f>
        <v>651932.30000000005</v>
      </c>
      <c r="G104" s="186">
        <f>'Monthly Data'!BM104</f>
        <v>103</v>
      </c>
      <c r="H104" s="186">
        <f>'Monthly Data'!BQ104</f>
        <v>0</v>
      </c>
      <c r="I104" s="186">
        <f>'Monthly Data'!BS104</f>
        <v>0</v>
      </c>
      <c r="J104" s="186">
        <f>'Monthly Data'!BU104</f>
        <v>0</v>
      </c>
      <c r="K104" s="186">
        <f>'Monthly Data'!BV104</f>
        <v>0</v>
      </c>
      <c r="L104" s="186">
        <f>'Monthly Data'!BW104</f>
        <v>0</v>
      </c>
      <c r="M104" s="186">
        <f>'Monthly Data'!CC104</f>
        <v>31</v>
      </c>
      <c r="N104" s="186">
        <f>'Monthly Data'!CD104</f>
        <v>20</v>
      </c>
      <c r="P104" s="186">
        <f>'GS &gt; 50 OLS Model (LC)'!$B$5</f>
        <v>-8436546.8467997499</v>
      </c>
      <c r="Q104" s="186">
        <f>'GS &gt; 50 OLS Model (LC)'!$B$6*D104</f>
        <v>0</v>
      </c>
      <c r="R104" s="186">
        <f>'GS &gt; 50 OLS Model (LC)'!$B$7*E104</f>
        <v>12811432.382983977</v>
      </c>
      <c r="S104" s="186">
        <f>'GS &gt; 50 OLS Model (LC)'!$B$8*F104</f>
        <v>33821938.985666931</v>
      </c>
      <c r="U104" s="186">
        <f>'GS &gt; 50 OLS Model (LC)'!$B$9*H104</f>
        <v>0</v>
      </c>
      <c r="V104" s="186">
        <f>'GS &gt; 50 OLS Model (LC)'!$B$10*I104</f>
        <v>0</v>
      </c>
      <c r="W104" s="186">
        <f>'GS &gt; 50 OLS Model (LC)'!$B$11*J104</f>
        <v>0</v>
      </c>
      <c r="X104" s="186">
        <f>'GS &gt; 50 OLS Model (LC)'!$B$12*K104</f>
        <v>0</v>
      </c>
      <c r="Y104" s="186">
        <v>0</v>
      </c>
      <c r="Z104" s="186">
        <f>'GS &gt; 50 OLS Model (LC)'!$B$13*M104</f>
        <v>34805943.461156942</v>
      </c>
      <c r="AA104" s="186">
        <f>'GS &gt; 50 OLS Model (LC)'!$B$14*N104</f>
        <v>12953743.18316808</v>
      </c>
      <c r="AB104" s="186">
        <f t="shared" si="5"/>
        <v>85956511.166176185</v>
      </c>
      <c r="AC104" s="24">
        <f t="shared" ca="1" si="6"/>
        <v>2.5476133222309344E-3</v>
      </c>
    </row>
    <row r="105" spans="1:29">
      <c r="A105" s="128">
        <f>'Monthly Data'!A105</f>
        <v>42948</v>
      </c>
      <c r="B105" s="186">
        <f t="shared" si="4"/>
        <v>2017</v>
      </c>
      <c r="C105" s="124">
        <f ca="1">'Monthly Data'!T105</f>
        <v>85719841.727218375</v>
      </c>
      <c r="D105" s="186">
        <f>'Monthly Data'!BH105</f>
        <v>1.9</v>
      </c>
      <c r="E105" s="186">
        <f>'Monthly Data'!BI105</f>
        <v>121.4</v>
      </c>
      <c r="F105" s="186">
        <f>'Monthly Data'!BL105</f>
        <v>651932.30000000005</v>
      </c>
      <c r="G105" s="186">
        <f>'Monthly Data'!BM105</f>
        <v>104</v>
      </c>
      <c r="H105" s="186">
        <f>'Monthly Data'!BQ105</f>
        <v>0</v>
      </c>
      <c r="I105" s="186">
        <f>'Monthly Data'!BS105</f>
        <v>0</v>
      </c>
      <c r="J105" s="186">
        <f>'Monthly Data'!BU105</f>
        <v>1</v>
      </c>
      <c r="K105" s="186">
        <f>'Monthly Data'!BV105</f>
        <v>0</v>
      </c>
      <c r="L105" s="186">
        <f>'Monthly Data'!BW105</f>
        <v>0</v>
      </c>
      <c r="M105" s="186">
        <f>'Monthly Data'!CC105</f>
        <v>31</v>
      </c>
      <c r="N105" s="186">
        <f>'Monthly Data'!CD105</f>
        <v>22</v>
      </c>
      <c r="P105" s="186">
        <f>'GS &gt; 50 OLS Model (LC)'!$B$5</f>
        <v>-8436546.8467997499</v>
      </c>
      <c r="Q105" s="186">
        <f>'GS &gt; 50 OLS Model (LC)'!$B$6*D105</f>
        <v>46012.317439750397</v>
      </c>
      <c r="R105" s="186">
        <f>'GS &gt; 50 OLS Model (LC)'!$B$7*E105</f>
        <v>8664667.9180738442</v>
      </c>
      <c r="S105" s="186">
        <f>'GS &gt; 50 OLS Model (LC)'!$B$8*F105</f>
        <v>33821938.985666931</v>
      </c>
      <c r="U105" s="186">
        <f>'GS &gt; 50 OLS Model (LC)'!$B$9*H105</f>
        <v>0</v>
      </c>
      <c r="V105" s="186">
        <f>'GS &gt; 50 OLS Model (LC)'!$B$10*I105</f>
        <v>0</v>
      </c>
      <c r="W105" s="186">
        <f>'GS &gt; 50 OLS Model (LC)'!$B$11*J105</f>
        <v>2501012.7689915099</v>
      </c>
      <c r="X105" s="186">
        <f>'GS &gt; 50 OLS Model (LC)'!$B$12*K105</f>
        <v>0</v>
      </c>
      <c r="Y105" s="186">
        <v>0</v>
      </c>
      <c r="Z105" s="186">
        <f>'GS &gt; 50 OLS Model (LC)'!$B$13*M105</f>
        <v>34805943.461156942</v>
      </c>
      <c r="AA105" s="186">
        <f>'GS &gt; 50 OLS Model (LC)'!$B$14*N105</f>
        <v>14249117.501484888</v>
      </c>
      <c r="AB105" s="186">
        <f t="shared" si="5"/>
        <v>85652146.106014118</v>
      </c>
      <c r="AC105" s="24">
        <f t="shared" ca="1" si="6"/>
        <v>7.8973105689673494E-4</v>
      </c>
    </row>
    <row r="106" spans="1:29">
      <c r="A106" s="128">
        <f>'Monthly Data'!A106</f>
        <v>42979</v>
      </c>
      <c r="B106" s="186">
        <f t="shared" si="4"/>
        <v>2017</v>
      </c>
      <c r="C106" s="124">
        <f ca="1">'Monthly Data'!T106</f>
        <v>80616907.03949745</v>
      </c>
      <c r="D106" s="186">
        <f>'Monthly Data'!BH106</f>
        <v>27.4</v>
      </c>
      <c r="E106" s="186">
        <f>'Monthly Data'!BI106</f>
        <v>80.7</v>
      </c>
      <c r="F106" s="186">
        <f>'Monthly Data'!BL106</f>
        <v>651932.30000000005</v>
      </c>
      <c r="G106" s="186">
        <f>'Monthly Data'!BM106</f>
        <v>105</v>
      </c>
      <c r="H106" s="186">
        <f>'Monthly Data'!BQ106</f>
        <v>0</v>
      </c>
      <c r="I106" s="186">
        <f>'Monthly Data'!BS106</f>
        <v>0</v>
      </c>
      <c r="J106" s="186">
        <f>'Monthly Data'!BU106</f>
        <v>0</v>
      </c>
      <c r="K106" s="186">
        <f>'Monthly Data'!BV106</f>
        <v>1</v>
      </c>
      <c r="L106" s="186">
        <f>'Monthly Data'!BW106</f>
        <v>0</v>
      </c>
      <c r="M106" s="186">
        <f>'Monthly Data'!CC106</f>
        <v>30</v>
      </c>
      <c r="N106" s="186">
        <f>'Monthly Data'!CD106</f>
        <v>20</v>
      </c>
      <c r="P106" s="186">
        <f>'GS &gt; 50 OLS Model (LC)'!$B$5</f>
        <v>-8436546.8467997499</v>
      </c>
      <c r="Q106" s="186">
        <f>'GS &gt; 50 OLS Model (LC)'!$B$6*D106</f>
        <v>663546.05149955838</v>
      </c>
      <c r="R106" s="186">
        <f>'GS &gt; 50 OLS Model (LC)'!$B$7*E106</f>
        <v>5759791.6061660554</v>
      </c>
      <c r="S106" s="186">
        <f>'GS &gt; 50 OLS Model (LC)'!$B$8*F106</f>
        <v>33821938.985666931</v>
      </c>
      <c r="U106" s="186">
        <f>'GS &gt; 50 OLS Model (LC)'!$B$9*H106</f>
        <v>0</v>
      </c>
      <c r="V106" s="186">
        <f>'GS &gt; 50 OLS Model (LC)'!$B$10*I106</f>
        <v>0</v>
      </c>
      <c r="W106" s="186">
        <f>'GS &gt; 50 OLS Model (LC)'!$B$11*J106</f>
        <v>0</v>
      </c>
      <c r="X106" s="186">
        <f>'GS &gt; 50 OLS Model (LC)'!$B$12*K106</f>
        <v>2346294.5864150901</v>
      </c>
      <c r="Y106" s="186">
        <v>0</v>
      </c>
      <c r="Z106" s="186">
        <f>'GS &gt; 50 OLS Model (LC)'!$B$13*M106</f>
        <v>33683171.091442198</v>
      </c>
      <c r="AA106" s="186">
        <f>'GS &gt; 50 OLS Model (LC)'!$B$14*N106</f>
        <v>12953743.18316808</v>
      </c>
      <c r="AB106" s="186">
        <f t="shared" si="5"/>
        <v>80791938.657558173</v>
      </c>
      <c r="AC106" s="24">
        <f t="shared" ca="1" si="6"/>
        <v>2.1711527331973669E-3</v>
      </c>
    </row>
    <row r="107" spans="1:29">
      <c r="A107" s="128">
        <f>'Monthly Data'!A107</f>
        <v>43009</v>
      </c>
      <c r="B107" s="186">
        <f t="shared" si="4"/>
        <v>2017</v>
      </c>
      <c r="C107" s="124">
        <f ca="1">'Monthly Data'!T107</f>
        <v>79586762.162742123</v>
      </c>
      <c r="D107" s="186">
        <f>'Monthly Data'!BH107</f>
        <v>124.6</v>
      </c>
      <c r="E107" s="186">
        <f>'Monthly Data'!BI107</f>
        <v>24.9</v>
      </c>
      <c r="F107" s="186">
        <f>'Monthly Data'!BL107</f>
        <v>651932.30000000005</v>
      </c>
      <c r="G107" s="186">
        <f>'Monthly Data'!BM107</f>
        <v>106</v>
      </c>
      <c r="H107" s="186">
        <f>'Monthly Data'!BQ107</f>
        <v>0</v>
      </c>
      <c r="I107" s="186">
        <f>'Monthly Data'!BS107</f>
        <v>0</v>
      </c>
      <c r="J107" s="186">
        <f>'Monthly Data'!BU107</f>
        <v>0</v>
      </c>
      <c r="K107" s="186">
        <f>'Monthly Data'!BV107</f>
        <v>0</v>
      </c>
      <c r="L107" s="186">
        <f>'Monthly Data'!BW107</f>
        <v>1</v>
      </c>
      <c r="M107" s="186">
        <f>'Monthly Data'!CC107</f>
        <v>31</v>
      </c>
      <c r="N107" s="186">
        <f>'Monthly Data'!CD107</f>
        <v>21</v>
      </c>
      <c r="P107" s="186">
        <f>'GS &gt; 50 OLS Model (LC)'!$B$5</f>
        <v>-8436546.8467997499</v>
      </c>
      <c r="Q107" s="186">
        <f>'GS &gt; 50 OLS Model (LC)'!$B$6*D107</f>
        <v>3017439.3436804735</v>
      </c>
      <c r="R107" s="186">
        <f>'GS &gt; 50 OLS Model (LC)'!$B$7*E107</f>
        <v>1777184.7706757716</v>
      </c>
      <c r="S107" s="186">
        <f>'GS &gt; 50 OLS Model (LC)'!$B$8*F107</f>
        <v>33821938.985666931</v>
      </c>
      <c r="U107" s="186">
        <f>'GS &gt; 50 OLS Model (LC)'!$B$9*H107</f>
        <v>0</v>
      </c>
      <c r="V107" s="186">
        <f>'GS &gt; 50 OLS Model (LC)'!$B$10*I107</f>
        <v>0</v>
      </c>
      <c r="W107" s="186">
        <f>'GS &gt; 50 OLS Model (LC)'!$B$11*J107</f>
        <v>0</v>
      </c>
      <c r="X107" s="186">
        <f>'GS &gt; 50 OLS Model (LC)'!$B$12*K107</f>
        <v>0</v>
      </c>
      <c r="Y107" s="186">
        <v>0</v>
      </c>
      <c r="Z107" s="186">
        <f>'GS &gt; 50 OLS Model (LC)'!$B$13*M107</f>
        <v>34805943.461156942</v>
      </c>
      <c r="AA107" s="186">
        <f>'GS &gt; 50 OLS Model (LC)'!$B$14*N107</f>
        <v>13601430.342326485</v>
      </c>
      <c r="AB107" s="186">
        <f t="shared" si="5"/>
        <v>78587390.056706846</v>
      </c>
      <c r="AC107" s="24">
        <f t="shared" ca="1" si="6"/>
        <v>1.2557014243043611E-2</v>
      </c>
    </row>
    <row r="108" spans="1:29">
      <c r="A108" s="128">
        <f>'Monthly Data'!A108</f>
        <v>43040</v>
      </c>
      <c r="B108" s="186">
        <f t="shared" si="4"/>
        <v>2017</v>
      </c>
      <c r="C108" s="124">
        <f ca="1">'Monthly Data'!T108</f>
        <v>81281637.015617713</v>
      </c>
      <c r="D108" s="186">
        <f>'Monthly Data'!BH108</f>
        <v>379.5</v>
      </c>
      <c r="E108" s="186">
        <f>'Monthly Data'!BI108</f>
        <v>0</v>
      </c>
      <c r="F108" s="186">
        <f>'Monthly Data'!BL108</f>
        <v>651932.30000000005</v>
      </c>
      <c r="G108" s="186">
        <f>'Monthly Data'!BM108</f>
        <v>107</v>
      </c>
      <c r="H108" s="186">
        <f>'Monthly Data'!BQ108</f>
        <v>0</v>
      </c>
      <c r="I108" s="186">
        <f>'Monthly Data'!BS108</f>
        <v>0</v>
      </c>
      <c r="J108" s="186">
        <f>'Monthly Data'!BU108</f>
        <v>0</v>
      </c>
      <c r="K108" s="186">
        <f>'Monthly Data'!BV108</f>
        <v>0</v>
      </c>
      <c r="L108" s="186">
        <f>'Monthly Data'!BW108</f>
        <v>0</v>
      </c>
      <c r="M108" s="186">
        <f>'Monthly Data'!CC108</f>
        <v>30</v>
      </c>
      <c r="N108" s="186">
        <f>'Monthly Data'!CD108</f>
        <v>22</v>
      </c>
      <c r="P108" s="186">
        <f>'GS &gt; 50 OLS Model (LC)'!$B$5</f>
        <v>-8436546.8467997499</v>
      </c>
      <c r="Q108" s="186">
        <f>'GS &gt; 50 OLS Model (LC)'!$B$6*D108</f>
        <v>9190354.9833606724</v>
      </c>
      <c r="R108" s="186">
        <f>'GS &gt; 50 OLS Model (LC)'!$B$7*E108</f>
        <v>0</v>
      </c>
      <c r="S108" s="186">
        <f>'GS &gt; 50 OLS Model (LC)'!$B$8*F108</f>
        <v>33821938.985666931</v>
      </c>
      <c r="U108" s="186">
        <f>'GS &gt; 50 OLS Model (LC)'!$B$9*H108</f>
        <v>0</v>
      </c>
      <c r="V108" s="186">
        <f>'GS &gt; 50 OLS Model (LC)'!$B$10*I108</f>
        <v>0</v>
      </c>
      <c r="W108" s="186">
        <f>'GS &gt; 50 OLS Model (LC)'!$B$11*J108</f>
        <v>0</v>
      </c>
      <c r="X108" s="186">
        <f>'GS &gt; 50 OLS Model (LC)'!$B$12*K108</f>
        <v>0</v>
      </c>
      <c r="Y108" s="186">
        <v>0</v>
      </c>
      <c r="Z108" s="186">
        <f>'GS &gt; 50 OLS Model (LC)'!$B$13*M108</f>
        <v>33683171.091442198</v>
      </c>
      <c r="AA108" s="186">
        <f>'GS &gt; 50 OLS Model (LC)'!$B$14*N108</f>
        <v>14249117.501484888</v>
      </c>
      <c r="AB108" s="186">
        <f t="shared" si="5"/>
        <v>82508035.715154931</v>
      </c>
      <c r="AC108" s="24">
        <f t="shared" ca="1" si="6"/>
        <v>1.5088262793004199E-2</v>
      </c>
    </row>
    <row r="109" spans="1:29">
      <c r="A109" s="128">
        <f>'Monthly Data'!A109</f>
        <v>43070</v>
      </c>
      <c r="B109" s="186">
        <f t="shared" si="4"/>
        <v>2017</v>
      </c>
      <c r="C109" s="124">
        <f ca="1">'Monthly Data'!T109</f>
        <v>86442800.41125229</v>
      </c>
      <c r="D109" s="186">
        <f>'Monthly Data'!BH109</f>
        <v>634.4</v>
      </c>
      <c r="E109" s="186">
        <f>'Monthly Data'!BI109</f>
        <v>0</v>
      </c>
      <c r="F109" s="186">
        <f>'Monthly Data'!BL109</f>
        <v>651932.30000000005</v>
      </c>
      <c r="G109" s="186">
        <f>'Monthly Data'!BM109</f>
        <v>108</v>
      </c>
      <c r="H109" s="186">
        <f>'Monthly Data'!BQ109</f>
        <v>0</v>
      </c>
      <c r="I109" s="186">
        <f>'Monthly Data'!BS109</f>
        <v>0</v>
      </c>
      <c r="J109" s="186">
        <f>'Monthly Data'!BU109</f>
        <v>0</v>
      </c>
      <c r="K109" s="186">
        <f>'Monthly Data'!BV109</f>
        <v>0</v>
      </c>
      <c r="L109" s="186">
        <f>'Monthly Data'!BW109</f>
        <v>0</v>
      </c>
      <c r="M109" s="186">
        <f>'Monthly Data'!CC109</f>
        <v>31</v>
      </c>
      <c r="N109" s="186">
        <f>'Monthly Data'!CD109</f>
        <v>19</v>
      </c>
      <c r="P109" s="186">
        <f>'GS &gt; 50 OLS Model (LC)'!$B$5</f>
        <v>-8436546.8467997499</v>
      </c>
      <c r="Q109" s="186">
        <f>'GS &gt; 50 OLS Model (LC)'!$B$6*D109</f>
        <v>15363270.62304087</v>
      </c>
      <c r="R109" s="186">
        <f>'GS &gt; 50 OLS Model (LC)'!$B$7*E109</f>
        <v>0</v>
      </c>
      <c r="S109" s="186">
        <f>'GS &gt; 50 OLS Model (LC)'!$B$8*F109</f>
        <v>33821938.985666931</v>
      </c>
      <c r="U109" s="186">
        <f>'GS &gt; 50 OLS Model (LC)'!$B$9*H109</f>
        <v>0</v>
      </c>
      <c r="V109" s="186">
        <f>'GS &gt; 50 OLS Model (LC)'!$B$10*I109</f>
        <v>0</v>
      </c>
      <c r="W109" s="186">
        <f>'GS &gt; 50 OLS Model (LC)'!$B$11*J109</f>
        <v>0</v>
      </c>
      <c r="X109" s="186">
        <f>'GS &gt; 50 OLS Model (LC)'!$B$12*K109</f>
        <v>0</v>
      </c>
      <c r="Y109" s="186">
        <v>0</v>
      </c>
      <c r="Z109" s="186">
        <f>'GS &gt; 50 OLS Model (LC)'!$B$13*M109</f>
        <v>34805943.461156942</v>
      </c>
      <c r="AA109" s="186">
        <f>'GS &gt; 50 OLS Model (LC)'!$B$14*N109</f>
        <v>12306056.024009675</v>
      </c>
      <c r="AB109" s="186">
        <f t="shared" si="5"/>
        <v>87860662.247074664</v>
      </c>
      <c r="AC109" s="24">
        <f t="shared" ca="1" si="6"/>
        <v>1.6402312616862074E-2</v>
      </c>
    </row>
    <row r="110" spans="1:29">
      <c r="A110" s="128">
        <f>'Monthly Data'!A110</f>
        <v>43101</v>
      </c>
      <c r="B110" s="186">
        <f t="shared" si="4"/>
        <v>2018</v>
      </c>
      <c r="C110" s="124">
        <f ca="1">'Monthly Data'!T110</f>
        <v>93065533.775852472</v>
      </c>
      <c r="D110" s="186">
        <f>'Monthly Data'!BH110</f>
        <v>671.40000000000009</v>
      </c>
      <c r="E110" s="186">
        <f>'Monthly Data'!BI110</f>
        <v>0</v>
      </c>
      <c r="F110" s="186">
        <f>'Monthly Data'!BL110</f>
        <v>665994.78021817585</v>
      </c>
      <c r="G110" s="186">
        <f>'Monthly Data'!BM110</f>
        <v>109</v>
      </c>
      <c r="H110" s="186">
        <f>'Monthly Data'!BQ110</f>
        <v>0</v>
      </c>
      <c r="I110" s="186">
        <f>'Monthly Data'!BS110</f>
        <v>0</v>
      </c>
      <c r="J110" s="186">
        <f>'Monthly Data'!BU110</f>
        <v>0</v>
      </c>
      <c r="K110" s="186">
        <f>'Monthly Data'!BV110</f>
        <v>0</v>
      </c>
      <c r="L110" s="186">
        <f>'Monthly Data'!BW110</f>
        <v>0</v>
      </c>
      <c r="M110" s="186">
        <f>'Monthly Data'!CC110</f>
        <v>31</v>
      </c>
      <c r="N110" s="186">
        <f>'Monthly Data'!CD110</f>
        <v>22</v>
      </c>
      <c r="P110" s="186">
        <f>'GS &gt; 50 OLS Model (LC)'!$B$5</f>
        <v>-8436546.8467997499</v>
      </c>
      <c r="Q110" s="186">
        <f>'GS &gt; 50 OLS Model (LC)'!$B$6*D110</f>
        <v>16259299.962657064</v>
      </c>
      <c r="R110" s="186">
        <f>'GS &gt; 50 OLS Model (LC)'!$B$7*E110</f>
        <v>0</v>
      </c>
      <c r="S110" s="186">
        <f>'GS &gt; 50 OLS Model (LC)'!$B$8*F110</f>
        <v>34551493.799757734</v>
      </c>
      <c r="U110" s="186">
        <f>'GS &gt; 50 OLS Model (LC)'!$B$9*H110</f>
        <v>0</v>
      </c>
      <c r="V110" s="186">
        <f>'GS &gt; 50 OLS Model (LC)'!$B$10*I110</f>
        <v>0</v>
      </c>
      <c r="W110" s="186">
        <f>'GS &gt; 50 OLS Model (LC)'!$B$11*J110</f>
        <v>0</v>
      </c>
      <c r="X110" s="186">
        <f>'GS &gt; 50 OLS Model (LC)'!$B$12*K110</f>
        <v>0</v>
      </c>
      <c r="Y110" s="186">
        <v>0</v>
      </c>
      <c r="Z110" s="186">
        <f>'GS &gt; 50 OLS Model (LC)'!$B$13*M110</f>
        <v>34805943.461156942</v>
      </c>
      <c r="AA110" s="186">
        <f>'GS &gt; 50 OLS Model (LC)'!$B$14*N110</f>
        <v>14249117.501484888</v>
      </c>
      <c r="AB110" s="186">
        <f t="shared" si="5"/>
        <v>91429307.878256872</v>
      </c>
      <c r="AC110" s="24">
        <f t="shared" ca="1" si="6"/>
        <v>1.7581437845039766E-2</v>
      </c>
    </row>
    <row r="111" spans="1:29">
      <c r="A111" s="128">
        <f>'Monthly Data'!A111</f>
        <v>43132</v>
      </c>
      <c r="B111" s="186">
        <f t="shared" si="4"/>
        <v>2018</v>
      </c>
      <c r="C111" s="124">
        <f ca="1">'Monthly Data'!T111</f>
        <v>82075594.518568248</v>
      </c>
      <c r="D111" s="186">
        <f>'Monthly Data'!BH111</f>
        <v>497.29999999999995</v>
      </c>
      <c r="E111" s="186">
        <f>'Monthly Data'!BI111</f>
        <v>0</v>
      </c>
      <c r="F111" s="186">
        <f>'Monthly Data'!BL111</f>
        <v>665994.78021817585</v>
      </c>
      <c r="G111" s="186">
        <f>'Monthly Data'!BM111</f>
        <v>110</v>
      </c>
      <c r="H111" s="186">
        <f>'Monthly Data'!BQ111</f>
        <v>0</v>
      </c>
      <c r="I111" s="186">
        <f>'Monthly Data'!BS111</f>
        <v>0</v>
      </c>
      <c r="J111" s="186">
        <f>'Monthly Data'!BU111</f>
        <v>0</v>
      </c>
      <c r="K111" s="186">
        <f>'Monthly Data'!BV111</f>
        <v>0</v>
      </c>
      <c r="L111" s="186">
        <f>'Monthly Data'!BW111</f>
        <v>0</v>
      </c>
      <c r="M111" s="186">
        <f>'Monthly Data'!CC111</f>
        <v>28</v>
      </c>
      <c r="N111" s="186">
        <f>'Monthly Data'!CD111</f>
        <v>19</v>
      </c>
      <c r="P111" s="186">
        <f>'GS &gt; 50 OLS Model (LC)'!$B$5</f>
        <v>-8436546.8467997499</v>
      </c>
      <c r="Q111" s="186">
        <f>'GS &gt; 50 OLS Model (LC)'!$B$6*D111</f>
        <v>12043118.664625196</v>
      </c>
      <c r="R111" s="186">
        <f>'GS &gt; 50 OLS Model (LC)'!$B$7*E111</f>
        <v>0</v>
      </c>
      <c r="S111" s="186">
        <f>'GS &gt; 50 OLS Model (LC)'!$B$8*F111</f>
        <v>34551493.799757734</v>
      </c>
      <c r="U111" s="186">
        <f>'GS &gt; 50 OLS Model (LC)'!$B$9*H111</f>
        <v>0</v>
      </c>
      <c r="V111" s="186">
        <f>'GS &gt; 50 OLS Model (LC)'!$B$10*I111</f>
        <v>0</v>
      </c>
      <c r="W111" s="186">
        <f>'GS &gt; 50 OLS Model (LC)'!$B$11*J111</f>
        <v>0</v>
      </c>
      <c r="X111" s="186">
        <f>'GS &gt; 50 OLS Model (LC)'!$B$12*K111</f>
        <v>0</v>
      </c>
      <c r="Y111" s="186">
        <v>0</v>
      </c>
      <c r="Z111" s="186">
        <f>'GS &gt; 50 OLS Model (LC)'!$B$13*M111</f>
        <v>31437626.35201272</v>
      </c>
      <c r="AA111" s="186">
        <f>'GS &gt; 50 OLS Model (LC)'!$B$14*N111</f>
        <v>12306056.024009675</v>
      </c>
      <c r="AB111" s="186">
        <f t="shared" si="5"/>
        <v>81901747.993605569</v>
      </c>
      <c r="AC111" s="24">
        <f t="shared" ca="1" si="6"/>
        <v>2.1181269046226482E-3</v>
      </c>
    </row>
    <row r="112" spans="1:29">
      <c r="A112" s="128">
        <f>'Monthly Data'!A112</f>
        <v>43160</v>
      </c>
      <c r="B112" s="186">
        <f t="shared" si="4"/>
        <v>2018</v>
      </c>
      <c r="C112" s="124">
        <f ca="1">'Monthly Data'!T112</f>
        <v>87168792.866108581</v>
      </c>
      <c r="D112" s="186">
        <f>'Monthly Data'!BH112</f>
        <v>510.59999999999997</v>
      </c>
      <c r="E112" s="186">
        <f>'Monthly Data'!BI112</f>
        <v>0</v>
      </c>
      <c r="F112" s="186">
        <f>'Monthly Data'!BL112</f>
        <v>665994.78021817585</v>
      </c>
      <c r="G112" s="186">
        <f>'Monthly Data'!BM112</f>
        <v>111</v>
      </c>
      <c r="H112" s="186">
        <f>'Monthly Data'!BQ112</f>
        <v>0</v>
      </c>
      <c r="I112" s="186">
        <f>'Monthly Data'!BS112</f>
        <v>0</v>
      </c>
      <c r="J112" s="186">
        <f>'Monthly Data'!BU112</f>
        <v>0</v>
      </c>
      <c r="K112" s="186">
        <f>'Monthly Data'!BV112</f>
        <v>0</v>
      </c>
      <c r="L112" s="186">
        <f>'Monthly Data'!BW112</f>
        <v>0</v>
      </c>
      <c r="M112" s="186">
        <f>'Monthly Data'!CC112</f>
        <v>31</v>
      </c>
      <c r="N112" s="186">
        <f>'Monthly Data'!CD112</f>
        <v>21</v>
      </c>
      <c r="P112" s="186">
        <f>'GS &gt; 50 OLS Model (LC)'!$B$5</f>
        <v>-8436546.8467997499</v>
      </c>
      <c r="Q112" s="186">
        <f>'GS &gt; 50 OLS Model (LC)'!$B$6*D112</f>
        <v>12365204.886703448</v>
      </c>
      <c r="R112" s="186">
        <f>'GS &gt; 50 OLS Model (LC)'!$B$7*E112</f>
        <v>0</v>
      </c>
      <c r="S112" s="186">
        <f>'GS &gt; 50 OLS Model (LC)'!$B$8*F112</f>
        <v>34551493.799757734</v>
      </c>
      <c r="U112" s="186">
        <f>'GS &gt; 50 OLS Model (LC)'!$B$9*H112</f>
        <v>0</v>
      </c>
      <c r="V112" s="186">
        <f>'GS &gt; 50 OLS Model (LC)'!$B$10*I112</f>
        <v>0</v>
      </c>
      <c r="W112" s="186">
        <f>'GS &gt; 50 OLS Model (LC)'!$B$11*J112</f>
        <v>0</v>
      </c>
      <c r="X112" s="186">
        <f>'GS &gt; 50 OLS Model (LC)'!$B$12*K112</f>
        <v>0</v>
      </c>
      <c r="Y112" s="186">
        <v>0</v>
      </c>
      <c r="Z112" s="186">
        <f>'GS &gt; 50 OLS Model (LC)'!$B$13*M112</f>
        <v>34805943.461156942</v>
      </c>
      <c r="AA112" s="186">
        <f>'GS &gt; 50 OLS Model (LC)'!$B$14*N112</f>
        <v>13601430.342326485</v>
      </c>
      <c r="AB112" s="186">
        <f t="shared" si="5"/>
        <v>86887525.643144876</v>
      </c>
      <c r="AC112" s="24">
        <f t="shared" ca="1" si="6"/>
        <v>3.2266963177490894E-3</v>
      </c>
    </row>
    <row r="113" spans="1:29">
      <c r="A113" s="128">
        <f>'Monthly Data'!A113</f>
        <v>43191</v>
      </c>
      <c r="B113" s="186">
        <f t="shared" si="4"/>
        <v>2018</v>
      </c>
      <c r="C113" s="124">
        <f ca="1">'Monthly Data'!T113</f>
        <v>80266356.00638777</v>
      </c>
      <c r="D113" s="186">
        <f>'Monthly Data'!BH113</f>
        <v>334.19999999999993</v>
      </c>
      <c r="E113" s="186">
        <f>'Monthly Data'!BI113</f>
        <v>0</v>
      </c>
      <c r="F113" s="186">
        <f>'Monthly Data'!BL113</f>
        <v>665994.78021817585</v>
      </c>
      <c r="G113" s="186">
        <f>'Monthly Data'!BM113</f>
        <v>112</v>
      </c>
      <c r="H113" s="186">
        <f>'Monthly Data'!BQ113</f>
        <v>1</v>
      </c>
      <c r="I113" s="186">
        <f>'Monthly Data'!BS113</f>
        <v>0</v>
      </c>
      <c r="J113" s="186">
        <f>'Monthly Data'!BU113</f>
        <v>0</v>
      </c>
      <c r="K113" s="186">
        <f>'Monthly Data'!BV113</f>
        <v>0</v>
      </c>
      <c r="L113" s="186">
        <f>'Monthly Data'!BW113</f>
        <v>0</v>
      </c>
      <c r="M113" s="186">
        <f>'Monthly Data'!CC113</f>
        <v>30</v>
      </c>
      <c r="N113" s="186">
        <f>'Monthly Data'!CD113</f>
        <v>21</v>
      </c>
      <c r="P113" s="186">
        <f>'GS &gt; 50 OLS Model (LC)'!$B$5</f>
        <v>-8436546.8467997499</v>
      </c>
      <c r="Q113" s="186">
        <f>'GS &gt; 50 OLS Model (LC)'!$B$6*D113</f>
        <v>8093324.4675603053</v>
      </c>
      <c r="R113" s="186">
        <f>'GS &gt; 50 OLS Model (LC)'!$B$7*E113</f>
        <v>0</v>
      </c>
      <c r="S113" s="186">
        <f>'GS &gt; 50 OLS Model (LC)'!$B$8*F113</f>
        <v>34551493.799757734</v>
      </c>
      <c r="U113" s="186">
        <f>'GS &gt; 50 OLS Model (LC)'!$B$9*H113</f>
        <v>-1670517.9110053701</v>
      </c>
      <c r="V113" s="186">
        <f>'GS &gt; 50 OLS Model (LC)'!$B$10*I113</f>
        <v>0</v>
      </c>
      <c r="W113" s="186">
        <f>'GS &gt; 50 OLS Model (LC)'!$B$11*J113</f>
        <v>0</v>
      </c>
      <c r="X113" s="186">
        <f>'GS &gt; 50 OLS Model (LC)'!$B$12*K113</f>
        <v>0</v>
      </c>
      <c r="Y113" s="186">
        <v>0</v>
      </c>
      <c r="Z113" s="186">
        <f>'GS &gt; 50 OLS Model (LC)'!$B$13*M113</f>
        <v>33683171.091442198</v>
      </c>
      <c r="AA113" s="186">
        <f>'GS &gt; 50 OLS Model (LC)'!$B$14*N113</f>
        <v>13601430.342326485</v>
      </c>
      <c r="AB113" s="186">
        <f t="shared" si="5"/>
        <v>79822354.943281591</v>
      </c>
      <c r="AC113" s="24">
        <f t="shared" ca="1" si="6"/>
        <v>5.531596115698147E-3</v>
      </c>
    </row>
    <row r="114" spans="1:29">
      <c r="A114" s="128">
        <f>'Monthly Data'!A114</f>
        <v>43221</v>
      </c>
      <c r="B114" s="186">
        <f t="shared" si="4"/>
        <v>2018</v>
      </c>
      <c r="C114" s="124">
        <f ca="1">'Monthly Data'!T114</f>
        <v>81142404.969656065</v>
      </c>
      <c r="D114" s="186">
        <f>'Monthly Data'!BH114</f>
        <v>44.6</v>
      </c>
      <c r="E114" s="186">
        <f>'Monthly Data'!BI114</f>
        <v>68.7</v>
      </c>
      <c r="F114" s="186">
        <f>'Monthly Data'!BL114</f>
        <v>665994.78021817585</v>
      </c>
      <c r="G114" s="186">
        <f>'Monthly Data'!BM114</f>
        <v>113</v>
      </c>
      <c r="H114" s="186">
        <f>'Monthly Data'!BQ114</f>
        <v>0</v>
      </c>
      <c r="I114" s="186">
        <f>'Monthly Data'!BS114</f>
        <v>0</v>
      </c>
      <c r="J114" s="186">
        <f>'Monthly Data'!BU114</f>
        <v>0</v>
      </c>
      <c r="K114" s="186">
        <f>'Monthly Data'!BV114</f>
        <v>0</v>
      </c>
      <c r="L114" s="186">
        <f>'Monthly Data'!BW114</f>
        <v>0</v>
      </c>
      <c r="M114" s="186">
        <f>'Monthly Data'!CC114</f>
        <v>31</v>
      </c>
      <c r="N114" s="186">
        <f>'Monthly Data'!CD114</f>
        <v>22</v>
      </c>
      <c r="P114" s="186">
        <f>'GS &gt; 50 OLS Model (LC)'!$B$5</f>
        <v>-8436546.8467997499</v>
      </c>
      <c r="Q114" s="186">
        <f>'GS &gt; 50 OLS Model (LC)'!$B$6*D114</f>
        <v>1080078.6093751935</v>
      </c>
      <c r="R114" s="186">
        <f>'GS &gt; 50 OLS Model (LC)'!$B$7*E114</f>
        <v>4903317.0178885758</v>
      </c>
      <c r="S114" s="186">
        <f>'GS &gt; 50 OLS Model (LC)'!$B$8*F114</f>
        <v>34551493.799757734</v>
      </c>
      <c r="U114" s="186">
        <f>'GS &gt; 50 OLS Model (LC)'!$B$9*H114</f>
        <v>0</v>
      </c>
      <c r="V114" s="186">
        <f>'GS &gt; 50 OLS Model (LC)'!$B$10*I114</f>
        <v>0</v>
      </c>
      <c r="W114" s="186">
        <f>'GS &gt; 50 OLS Model (LC)'!$B$11*J114</f>
        <v>0</v>
      </c>
      <c r="X114" s="186">
        <f>'GS &gt; 50 OLS Model (LC)'!$B$12*K114</f>
        <v>0</v>
      </c>
      <c r="Y114" s="186">
        <v>0</v>
      </c>
      <c r="Z114" s="186">
        <f>'GS &gt; 50 OLS Model (LC)'!$B$13*M114</f>
        <v>34805943.461156942</v>
      </c>
      <c r="AA114" s="186">
        <f>'GS &gt; 50 OLS Model (LC)'!$B$14*N114</f>
        <v>14249117.501484888</v>
      </c>
      <c r="AB114" s="186">
        <f t="shared" si="5"/>
        <v>81153403.542863578</v>
      </c>
      <c r="AC114" s="24">
        <f t="shared" ca="1" si="6"/>
        <v>1.3554655191235106E-4</v>
      </c>
    </row>
    <row r="115" spans="1:29">
      <c r="A115" s="128">
        <f>'Monthly Data'!A115</f>
        <v>43252</v>
      </c>
      <c r="B115" s="186">
        <f t="shared" si="4"/>
        <v>2018</v>
      </c>
      <c r="C115" s="124">
        <f ca="1">'Monthly Data'!T115</f>
        <v>83962098.407322794</v>
      </c>
      <c r="D115" s="186">
        <f>'Monthly Data'!BH115</f>
        <v>4</v>
      </c>
      <c r="E115" s="186">
        <f>'Monthly Data'!BI115</f>
        <v>122.39999999999998</v>
      </c>
      <c r="F115" s="186">
        <f>'Monthly Data'!BL115</f>
        <v>665994.78021817585</v>
      </c>
      <c r="G115" s="186">
        <f>'Monthly Data'!BM115</f>
        <v>114</v>
      </c>
      <c r="H115" s="186">
        <f>'Monthly Data'!BQ115</f>
        <v>0</v>
      </c>
      <c r="I115" s="186">
        <f>'Monthly Data'!BS115</f>
        <v>1</v>
      </c>
      <c r="J115" s="186">
        <f>'Monthly Data'!BU115</f>
        <v>0</v>
      </c>
      <c r="K115" s="186">
        <f>'Monthly Data'!BV115</f>
        <v>0</v>
      </c>
      <c r="L115" s="186">
        <f>'Monthly Data'!BW115</f>
        <v>0</v>
      </c>
      <c r="M115" s="186">
        <f>'Monthly Data'!CC115</f>
        <v>30</v>
      </c>
      <c r="N115" s="186">
        <f>'Monthly Data'!CD115</f>
        <v>21</v>
      </c>
      <c r="P115" s="186">
        <f>'GS &gt; 50 OLS Model (LC)'!$B$5</f>
        <v>-8436546.8467997499</v>
      </c>
      <c r="Q115" s="186">
        <f>'GS &gt; 50 OLS Model (LC)'!$B$6*D115</f>
        <v>96868.036715263996</v>
      </c>
      <c r="R115" s="186">
        <f>'GS &gt; 50 OLS Model (LC)'!$B$7*E115</f>
        <v>8736040.8004302979</v>
      </c>
      <c r="S115" s="186">
        <f>'GS &gt; 50 OLS Model (LC)'!$B$8*F115</f>
        <v>34551493.799757734</v>
      </c>
      <c r="U115" s="186">
        <f>'GS &gt; 50 OLS Model (LC)'!$B$9*H115</f>
        <v>0</v>
      </c>
      <c r="V115" s="186">
        <f>'GS &gt; 50 OLS Model (LC)'!$B$10*I115</f>
        <v>1260255.0136768401</v>
      </c>
      <c r="W115" s="186">
        <f>'GS &gt; 50 OLS Model (LC)'!$B$11*J115</f>
        <v>0</v>
      </c>
      <c r="X115" s="186">
        <f>'GS &gt; 50 OLS Model (LC)'!$B$12*K115</f>
        <v>0</v>
      </c>
      <c r="Y115" s="186">
        <v>0</v>
      </c>
      <c r="Z115" s="186">
        <f>'GS &gt; 50 OLS Model (LC)'!$B$13*M115</f>
        <v>33683171.091442198</v>
      </c>
      <c r="AA115" s="186">
        <f>'GS &gt; 50 OLS Model (LC)'!$B$14*N115</f>
        <v>13601430.342326485</v>
      </c>
      <c r="AB115" s="186">
        <f t="shared" si="5"/>
        <v>83492712.237549067</v>
      </c>
      <c r="AC115" s="24">
        <f t="shared" ca="1" si="6"/>
        <v>5.5904530577190756E-3</v>
      </c>
    </row>
    <row r="116" spans="1:29">
      <c r="A116" s="128">
        <f>'Monthly Data'!A116</f>
        <v>43282</v>
      </c>
      <c r="B116" s="186">
        <f t="shared" si="4"/>
        <v>2018</v>
      </c>
      <c r="C116" s="124">
        <f ca="1">'Monthly Data'!T116</f>
        <v>88154358.02033484</v>
      </c>
      <c r="D116" s="186">
        <f>'Monthly Data'!BH116</f>
        <v>0</v>
      </c>
      <c r="E116" s="186">
        <f>'Monthly Data'!BI116</f>
        <v>204.00000000000006</v>
      </c>
      <c r="F116" s="186">
        <f>'Monthly Data'!BL116</f>
        <v>665994.78021817585</v>
      </c>
      <c r="G116" s="186">
        <f>'Monthly Data'!BM116</f>
        <v>115</v>
      </c>
      <c r="H116" s="186">
        <f>'Monthly Data'!BQ116</f>
        <v>0</v>
      </c>
      <c r="I116" s="186">
        <f>'Monthly Data'!BS116</f>
        <v>0</v>
      </c>
      <c r="J116" s="186">
        <f>'Monthly Data'!BU116</f>
        <v>0</v>
      </c>
      <c r="K116" s="186">
        <f>'Monthly Data'!BV116</f>
        <v>0</v>
      </c>
      <c r="L116" s="186">
        <f>'Monthly Data'!BW116</f>
        <v>0</v>
      </c>
      <c r="M116" s="186">
        <f>'Monthly Data'!CC116</f>
        <v>31</v>
      </c>
      <c r="N116" s="186">
        <f>'Monthly Data'!CD116</f>
        <v>21</v>
      </c>
      <c r="P116" s="186">
        <f>'GS &gt; 50 OLS Model (LC)'!$B$5</f>
        <v>-8436546.8467997499</v>
      </c>
      <c r="Q116" s="186">
        <f>'GS &gt; 50 OLS Model (LC)'!$B$6*D116</f>
        <v>0</v>
      </c>
      <c r="R116" s="186">
        <f>'GS &gt; 50 OLS Model (LC)'!$B$7*E116</f>
        <v>14560068.000717171</v>
      </c>
      <c r="S116" s="186">
        <f>'GS &gt; 50 OLS Model (LC)'!$B$8*F116</f>
        <v>34551493.799757734</v>
      </c>
      <c r="U116" s="186">
        <f>'GS &gt; 50 OLS Model (LC)'!$B$9*H116</f>
        <v>0</v>
      </c>
      <c r="V116" s="186">
        <f>'GS &gt; 50 OLS Model (LC)'!$B$10*I116</f>
        <v>0</v>
      </c>
      <c r="W116" s="186">
        <f>'GS &gt; 50 OLS Model (LC)'!$B$11*J116</f>
        <v>0</v>
      </c>
      <c r="X116" s="186">
        <f>'GS &gt; 50 OLS Model (LC)'!$B$12*K116</f>
        <v>0</v>
      </c>
      <c r="Y116" s="186">
        <v>0</v>
      </c>
      <c r="Z116" s="186">
        <f>'GS &gt; 50 OLS Model (LC)'!$B$13*M116</f>
        <v>34805943.461156942</v>
      </c>
      <c r="AA116" s="186">
        <f>'GS &gt; 50 OLS Model (LC)'!$B$14*N116</f>
        <v>13601430.342326485</v>
      </c>
      <c r="AB116" s="186">
        <f t="shared" si="5"/>
        <v>89082388.757158577</v>
      </c>
      <c r="AC116" s="24">
        <f t="shared" ca="1" si="6"/>
        <v>1.052733815621079E-2</v>
      </c>
    </row>
    <row r="117" spans="1:29">
      <c r="A117" s="128">
        <f>'Monthly Data'!A117</f>
        <v>43313</v>
      </c>
      <c r="B117" s="186">
        <f t="shared" si="4"/>
        <v>2018</v>
      </c>
      <c r="C117" s="124">
        <f ca="1">'Monthly Data'!T117</f>
        <v>89701635.106067449</v>
      </c>
      <c r="D117" s="186">
        <f>'Monthly Data'!BH117</f>
        <v>0</v>
      </c>
      <c r="E117" s="186">
        <f>'Monthly Data'!BI117</f>
        <v>204.40000000000003</v>
      </c>
      <c r="F117" s="186">
        <f>'Monthly Data'!BL117</f>
        <v>665994.78021817585</v>
      </c>
      <c r="G117" s="186">
        <f>'Monthly Data'!BM117</f>
        <v>116</v>
      </c>
      <c r="H117" s="186">
        <f>'Monthly Data'!BQ117</f>
        <v>0</v>
      </c>
      <c r="I117" s="186">
        <f>'Monthly Data'!BS117</f>
        <v>0</v>
      </c>
      <c r="J117" s="186">
        <f>'Monthly Data'!BU117</f>
        <v>1</v>
      </c>
      <c r="K117" s="186">
        <f>'Monthly Data'!BV117</f>
        <v>0</v>
      </c>
      <c r="L117" s="186">
        <f>'Monthly Data'!BW117</f>
        <v>0</v>
      </c>
      <c r="M117" s="186">
        <f>'Monthly Data'!CC117</f>
        <v>31</v>
      </c>
      <c r="N117" s="186">
        <f>'Monthly Data'!CD117</f>
        <v>22</v>
      </c>
      <c r="P117" s="186">
        <f>'GS &gt; 50 OLS Model (LC)'!$B$5</f>
        <v>-8436546.8467997499</v>
      </c>
      <c r="Q117" s="186">
        <f>'GS &gt; 50 OLS Model (LC)'!$B$6*D117</f>
        <v>0</v>
      </c>
      <c r="R117" s="186">
        <f>'GS &gt; 50 OLS Model (LC)'!$B$7*E117</f>
        <v>14588617.153659752</v>
      </c>
      <c r="S117" s="186">
        <f>'GS &gt; 50 OLS Model (LC)'!$B$8*F117</f>
        <v>34551493.799757734</v>
      </c>
      <c r="U117" s="186">
        <f>'GS &gt; 50 OLS Model (LC)'!$B$9*H117</f>
        <v>0</v>
      </c>
      <c r="V117" s="186">
        <f>'GS &gt; 50 OLS Model (LC)'!$B$10*I117</f>
        <v>0</v>
      </c>
      <c r="W117" s="186">
        <f>'GS &gt; 50 OLS Model (LC)'!$B$11*J117</f>
        <v>2501012.7689915099</v>
      </c>
      <c r="X117" s="186">
        <f>'GS &gt; 50 OLS Model (LC)'!$B$12*K117</f>
        <v>0</v>
      </c>
      <c r="Y117" s="186">
        <v>0</v>
      </c>
      <c r="Z117" s="186">
        <f>'GS &gt; 50 OLS Model (LC)'!$B$13*M117</f>
        <v>34805943.461156942</v>
      </c>
      <c r="AA117" s="186">
        <f>'GS &gt; 50 OLS Model (LC)'!$B$14*N117</f>
        <v>14249117.501484888</v>
      </c>
      <c r="AB117" s="186">
        <f t="shared" si="5"/>
        <v>92259637.838251069</v>
      </c>
      <c r="AC117" s="24">
        <f t="shared" ca="1" si="6"/>
        <v>2.851679045938145E-2</v>
      </c>
    </row>
    <row r="118" spans="1:29">
      <c r="A118" s="128">
        <f>'Monthly Data'!A118</f>
        <v>43344</v>
      </c>
      <c r="B118" s="186">
        <f t="shared" si="4"/>
        <v>2018</v>
      </c>
      <c r="C118" s="124">
        <f ca="1">'Monthly Data'!T118</f>
        <v>80810700.426849648</v>
      </c>
      <c r="D118" s="186">
        <f>'Monthly Data'!BH118</f>
        <v>29.7</v>
      </c>
      <c r="E118" s="186">
        <f>'Monthly Data'!BI118</f>
        <v>109.19999999999999</v>
      </c>
      <c r="F118" s="186">
        <f>'Monthly Data'!BL118</f>
        <v>665994.78021817585</v>
      </c>
      <c r="G118" s="186">
        <f>'Monthly Data'!BM118</f>
        <v>117</v>
      </c>
      <c r="H118" s="186">
        <f>'Monthly Data'!BQ118</f>
        <v>0</v>
      </c>
      <c r="I118" s="186">
        <f>'Monthly Data'!BS118</f>
        <v>0</v>
      </c>
      <c r="J118" s="186">
        <f>'Monthly Data'!BU118</f>
        <v>0</v>
      </c>
      <c r="K118" s="186">
        <f>'Monthly Data'!BV118</f>
        <v>1</v>
      </c>
      <c r="L118" s="186">
        <f>'Monthly Data'!BW118</f>
        <v>0</v>
      </c>
      <c r="M118" s="186">
        <f>'Monthly Data'!CC118</f>
        <v>30</v>
      </c>
      <c r="N118" s="186">
        <f>'Monthly Data'!CD118</f>
        <v>19</v>
      </c>
      <c r="P118" s="186">
        <f>'GS &gt; 50 OLS Model (LC)'!$B$5</f>
        <v>-8436546.8467997499</v>
      </c>
      <c r="Q118" s="186">
        <f>'GS &gt; 50 OLS Model (LC)'!$B$6*D118</f>
        <v>719245.17261083517</v>
      </c>
      <c r="R118" s="186">
        <f>'GS &gt; 50 OLS Model (LC)'!$B$7*E118</f>
        <v>7793918.7533250712</v>
      </c>
      <c r="S118" s="186">
        <f>'GS &gt; 50 OLS Model (LC)'!$B$8*F118</f>
        <v>34551493.799757734</v>
      </c>
      <c r="U118" s="186">
        <f>'GS &gt; 50 OLS Model (LC)'!$B$9*H118</f>
        <v>0</v>
      </c>
      <c r="V118" s="186">
        <f>'GS &gt; 50 OLS Model (LC)'!$B$10*I118</f>
        <v>0</v>
      </c>
      <c r="W118" s="186">
        <f>'GS &gt; 50 OLS Model (LC)'!$B$11*J118</f>
        <v>0</v>
      </c>
      <c r="X118" s="186">
        <f>'GS &gt; 50 OLS Model (LC)'!$B$12*K118</f>
        <v>2346294.5864150901</v>
      </c>
      <c r="Y118" s="186">
        <v>0</v>
      </c>
      <c r="Z118" s="186">
        <f>'GS &gt; 50 OLS Model (LC)'!$B$13*M118</f>
        <v>33683171.091442198</v>
      </c>
      <c r="AA118" s="186">
        <f>'GS &gt; 50 OLS Model (LC)'!$B$14*N118</f>
        <v>12306056.024009675</v>
      </c>
      <c r="AB118" s="186">
        <f t="shared" si="5"/>
        <v>82963632.580760852</v>
      </c>
      <c r="AC118" s="24">
        <f t="shared" ca="1" si="6"/>
        <v>2.6641671740737487E-2</v>
      </c>
    </row>
    <row r="119" spans="1:29">
      <c r="A119" s="128">
        <f>'Monthly Data'!A119</f>
        <v>43374</v>
      </c>
      <c r="B119" s="186">
        <f t="shared" si="4"/>
        <v>2018</v>
      </c>
      <c r="C119" s="124">
        <f ca="1">'Monthly Data'!T119</f>
        <v>79623950.011380896</v>
      </c>
      <c r="D119" s="186">
        <f>'Monthly Data'!BH119</f>
        <v>207.89999999999995</v>
      </c>
      <c r="E119" s="186">
        <f>'Monthly Data'!BI119</f>
        <v>24.1</v>
      </c>
      <c r="F119" s="186">
        <f>'Monthly Data'!BL119</f>
        <v>665994.78021817585</v>
      </c>
      <c r="G119" s="186">
        <f>'Monthly Data'!BM119</f>
        <v>118</v>
      </c>
      <c r="H119" s="186">
        <f>'Monthly Data'!BQ119</f>
        <v>0</v>
      </c>
      <c r="I119" s="186">
        <f>'Monthly Data'!BS119</f>
        <v>0</v>
      </c>
      <c r="J119" s="186">
        <f>'Monthly Data'!BU119</f>
        <v>0</v>
      </c>
      <c r="K119" s="186">
        <f>'Monthly Data'!BV119</f>
        <v>0</v>
      </c>
      <c r="L119" s="186">
        <f>'Monthly Data'!BW119</f>
        <v>1</v>
      </c>
      <c r="M119" s="186">
        <f>'Monthly Data'!CC119</f>
        <v>31</v>
      </c>
      <c r="N119" s="186">
        <f>'Monthly Data'!CD119</f>
        <v>22</v>
      </c>
      <c r="P119" s="186">
        <f>'GS &gt; 50 OLS Model (LC)'!$B$5</f>
        <v>-8436546.8467997499</v>
      </c>
      <c r="Q119" s="186">
        <f>'GS &gt; 50 OLS Model (LC)'!$B$6*D119</f>
        <v>5034716.2082758453</v>
      </c>
      <c r="R119" s="186">
        <f>'GS &gt; 50 OLS Model (LC)'!$B$7*E119</f>
        <v>1720086.4647906066</v>
      </c>
      <c r="S119" s="186">
        <f>'GS &gt; 50 OLS Model (LC)'!$B$8*F119</f>
        <v>34551493.799757734</v>
      </c>
      <c r="U119" s="186">
        <f>'GS &gt; 50 OLS Model (LC)'!$B$9*H119</f>
        <v>0</v>
      </c>
      <c r="V119" s="186">
        <f>'GS &gt; 50 OLS Model (LC)'!$B$10*I119</f>
        <v>0</v>
      </c>
      <c r="W119" s="186">
        <f>'GS &gt; 50 OLS Model (LC)'!$B$11*J119</f>
        <v>0</v>
      </c>
      <c r="X119" s="186">
        <f>'GS &gt; 50 OLS Model (LC)'!$B$12*K119</f>
        <v>0</v>
      </c>
      <c r="Y119" s="186">
        <v>0</v>
      </c>
      <c r="Z119" s="186">
        <f>'GS &gt; 50 OLS Model (LC)'!$B$13*M119</f>
        <v>34805943.461156942</v>
      </c>
      <c r="AA119" s="186">
        <f>'GS &gt; 50 OLS Model (LC)'!$B$14*N119</f>
        <v>14249117.501484888</v>
      </c>
      <c r="AB119" s="186">
        <f t="shared" si="5"/>
        <v>81924810.58866626</v>
      </c>
      <c r="AC119" s="24">
        <f t="shared" ca="1" si="6"/>
        <v>2.889658924176074E-2</v>
      </c>
    </row>
    <row r="120" spans="1:29">
      <c r="A120" s="128">
        <f>'Monthly Data'!A120</f>
        <v>43405</v>
      </c>
      <c r="B120" s="186">
        <f t="shared" si="4"/>
        <v>2018</v>
      </c>
      <c r="C120" s="124">
        <f ca="1">'Monthly Data'!T120</f>
        <v>81146978.237552956</v>
      </c>
      <c r="D120" s="186">
        <f>'Monthly Data'!BH120</f>
        <v>454.9</v>
      </c>
      <c r="E120" s="186">
        <f>'Monthly Data'!BI120</f>
        <v>0</v>
      </c>
      <c r="F120" s="186">
        <f>'Monthly Data'!BL120</f>
        <v>665994.78021817585</v>
      </c>
      <c r="G120" s="186">
        <f>'Monthly Data'!BM120</f>
        <v>119</v>
      </c>
      <c r="H120" s="186">
        <f>'Monthly Data'!BQ120</f>
        <v>0</v>
      </c>
      <c r="I120" s="186">
        <f>'Monthly Data'!BS120</f>
        <v>0</v>
      </c>
      <c r="J120" s="186">
        <f>'Monthly Data'!BU120</f>
        <v>0</v>
      </c>
      <c r="K120" s="186">
        <f>'Monthly Data'!BV120</f>
        <v>0</v>
      </c>
      <c r="L120" s="186">
        <f>'Monthly Data'!BW120</f>
        <v>0</v>
      </c>
      <c r="M120" s="186">
        <f>'Monthly Data'!CC120</f>
        <v>30</v>
      </c>
      <c r="N120" s="186">
        <f>'Monthly Data'!CD120</f>
        <v>22</v>
      </c>
      <c r="P120" s="186">
        <f>'GS &gt; 50 OLS Model (LC)'!$B$5</f>
        <v>-8436546.8467997499</v>
      </c>
      <c r="Q120" s="186">
        <f>'GS &gt; 50 OLS Model (LC)'!$B$6*D120</f>
        <v>11016317.475443397</v>
      </c>
      <c r="R120" s="186">
        <f>'GS &gt; 50 OLS Model (LC)'!$B$7*E120</f>
        <v>0</v>
      </c>
      <c r="S120" s="186">
        <f>'GS &gt; 50 OLS Model (LC)'!$B$8*F120</f>
        <v>34551493.799757734</v>
      </c>
      <c r="U120" s="186">
        <f>'GS &gt; 50 OLS Model (LC)'!$B$9*H120</f>
        <v>0</v>
      </c>
      <c r="V120" s="186">
        <f>'GS &gt; 50 OLS Model (LC)'!$B$10*I120</f>
        <v>0</v>
      </c>
      <c r="W120" s="186">
        <f>'GS &gt; 50 OLS Model (LC)'!$B$11*J120</f>
        <v>0</v>
      </c>
      <c r="X120" s="186">
        <f>'GS &gt; 50 OLS Model (LC)'!$B$12*K120</f>
        <v>0</v>
      </c>
      <c r="Y120" s="186">
        <v>0</v>
      </c>
      <c r="Z120" s="186">
        <f>'GS &gt; 50 OLS Model (LC)'!$B$13*M120</f>
        <v>33683171.091442198</v>
      </c>
      <c r="AA120" s="186">
        <f>'GS &gt; 50 OLS Model (LC)'!$B$14*N120</f>
        <v>14249117.501484888</v>
      </c>
      <c r="AB120" s="186">
        <f t="shared" si="5"/>
        <v>85063553.021328464</v>
      </c>
      <c r="AC120" s="24">
        <f t="shared" ca="1" si="6"/>
        <v>4.8265195683688533E-2</v>
      </c>
    </row>
    <row r="121" spans="1:29">
      <c r="A121" s="128">
        <f>'Monthly Data'!A121</f>
        <v>43435</v>
      </c>
      <c r="B121" s="186">
        <f t="shared" si="4"/>
        <v>2018</v>
      </c>
      <c r="C121" s="124">
        <f ca="1">'Monthly Data'!T121</f>
        <v>81291484.354706481</v>
      </c>
      <c r="D121" s="186">
        <f>'Monthly Data'!BH121</f>
        <v>500.59999999999991</v>
      </c>
      <c r="E121" s="186">
        <f>'Monthly Data'!BI121</f>
        <v>0</v>
      </c>
      <c r="F121" s="186">
        <f>'Monthly Data'!BL121</f>
        <v>665994.78021817585</v>
      </c>
      <c r="G121" s="186">
        <f>'Monthly Data'!BM121</f>
        <v>120</v>
      </c>
      <c r="H121" s="186">
        <f>'Monthly Data'!BQ121</f>
        <v>0</v>
      </c>
      <c r="I121" s="186">
        <f>'Monthly Data'!BS121</f>
        <v>0</v>
      </c>
      <c r="J121" s="186">
        <f>'Monthly Data'!BU121</f>
        <v>0</v>
      </c>
      <c r="K121" s="186">
        <f>'Monthly Data'!BV121</f>
        <v>0</v>
      </c>
      <c r="L121" s="186">
        <f>'Monthly Data'!BW121</f>
        <v>0</v>
      </c>
      <c r="M121" s="186">
        <f>'Monthly Data'!CC121</f>
        <v>31</v>
      </c>
      <c r="N121" s="186">
        <f>'Monthly Data'!CD121</f>
        <v>19</v>
      </c>
      <c r="P121" s="186">
        <f>'GS &gt; 50 OLS Model (LC)'!$B$5</f>
        <v>-8436546.8467997499</v>
      </c>
      <c r="Q121" s="186">
        <f>'GS &gt; 50 OLS Model (LC)'!$B$6*D121</f>
        <v>12123034.794915287</v>
      </c>
      <c r="R121" s="186">
        <f>'GS &gt; 50 OLS Model (LC)'!$B$7*E121</f>
        <v>0</v>
      </c>
      <c r="S121" s="186">
        <f>'GS &gt; 50 OLS Model (LC)'!$B$8*F121</f>
        <v>34551493.799757734</v>
      </c>
      <c r="U121" s="186">
        <f>'GS &gt; 50 OLS Model (LC)'!$B$9*H121</f>
        <v>0</v>
      </c>
      <c r="V121" s="186">
        <f>'GS &gt; 50 OLS Model (LC)'!$B$10*I121</f>
        <v>0</v>
      </c>
      <c r="W121" s="186">
        <f>'GS &gt; 50 OLS Model (LC)'!$B$11*J121</f>
        <v>0</v>
      </c>
      <c r="X121" s="186">
        <f>'GS &gt; 50 OLS Model (LC)'!$B$12*K121</f>
        <v>0</v>
      </c>
      <c r="Y121" s="186">
        <v>0</v>
      </c>
      <c r="Z121" s="186">
        <f>'GS &gt; 50 OLS Model (LC)'!$B$13*M121</f>
        <v>34805943.461156942</v>
      </c>
      <c r="AA121" s="186">
        <f>'GS &gt; 50 OLS Model (LC)'!$B$14*N121</f>
        <v>12306056.024009675</v>
      </c>
      <c r="AB121" s="186">
        <f t="shared" si="5"/>
        <v>85349981.233039886</v>
      </c>
      <c r="AC121" s="24">
        <f t="shared" ca="1" si="6"/>
        <v>4.9925240147228683E-2</v>
      </c>
    </row>
    <row r="122" spans="1:29">
      <c r="AC122" s="22">
        <f ca="1">AVERAGE(AC2:AC121)</f>
        <v>1.3783698388589892E-2</v>
      </c>
    </row>
    <row r="125" spans="1:29">
      <c r="AC125" s="2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E18"/>
  <sheetViews>
    <sheetView workbookViewId="0">
      <selection activeCell="J37" sqref="J37"/>
    </sheetView>
  </sheetViews>
  <sheetFormatPr defaultRowHeight="12.75"/>
  <sheetData>
    <row r="1" spans="1:5">
      <c r="A1" t="s">
        <v>258</v>
      </c>
    </row>
    <row r="2" spans="1:5">
      <c r="A2" t="s">
        <v>121</v>
      </c>
    </row>
    <row r="4" spans="1:5">
      <c r="B4" t="s">
        <v>87</v>
      </c>
      <c r="C4" t="s">
        <v>88</v>
      </c>
      <c r="D4" t="s">
        <v>89</v>
      </c>
      <c r="E4" t="s">
        <v>90</v>
      </c>
    </row>
    <row r="5" spans="1:5">
      <c r="A5" t="s">
        <v>91</v>
      </c>
      <c r="B5">
        <v>-415228.02881662402</v>
      </c>
      <c r="C5">
        <v>1003047.89309328</v>
      </c>
      <c r="D5">
        <v>-0.41396630377848798</v>
      </c>
      <c r="E5" s="18">
        <v>0.67967658500707095</v>
      </c>
    </row>
    <row r="6" spans="1:5">
      <c r="A6" t="s">
        <v>77</v>
      </c>
      <c r="B6">
        <v>-5756.5183163388401</v>
      </c>
      <c r="C6">
        <v>758.08590691135305</v>
      </c>
      <c r="D6">
        <v>-7.5934907427476803</v>
      </c>
      <c r="E6" s="18">
        <v>9.32379503235626E-12</v>
      </c>
    </row>
    <row r="7" spans="1:5">
      <c r="A7" t="s">
        <v>78</v>
      </c>
      <c r="B7">
        <v>346553.62108035001</v>
      </c>
      <c r="C7">
        <v>98186.302727973307</v>
      </c>
      <c r="D7">
        <v>3.5295515917376199</v>
      </c>
      <c r="E7" s="18">
        <v>6.0140874827641197E-4</v>
      </c>
    </row>
    <row r="8" spans="1:5">
      <c r="A8" t="s">
        <v>79</v>
      </c>
      <c r="B8">
        <v>428565.96548408002</v>
      </c>
      <c r="C8">
        <v>98654.646289184893</v>
      </c>
      <c r="D8">
        <v>4.3441032085587796</v>
      </c>
      <c r="E8" s="18">
        <v>3.0485501870030499E-5</v>
      </c>
    </row>
    <row r="9" spans="1:5">
      <c r="A9" t="s">
        <v>82</v>
      </c>
      <c r="B9">
        <v>219659.05071226999</v>
      </c>
      <c r="C9">
        <v>62880.1920862271</v>
      </c>
      <c r="D9">
        <v>3.4932948425324901</v>
      </c>
      <c r="E9" s="18">
        <v>6.8011136348774604E-4</v>
      </c>
    </row>
    <row r="10" spans="1:5">
      <c r="A10" t="s">
        <v>92</v>
      </c>
      <c r="B10">
        <v>148292.520913808</v>
      </c>
      <c r="C10">
        <v>32928.217495634199</v>
      </c>
      <c r="D10">
        <v>4.5035089109657704</v>
      </c>
      <c r="E10" s="18">
        <v>1.6242140483395599E-5</v>
      </c>
    </row>
    <row r="11" spans="1:5">
      <c r="E11" s="18"/>
    </row>
    <row r="12" spans="1:5">
      <c r="A12" t="s">
        <v>93</v>
      </c>
      <c r="B12">
        <v>3869046.3944135299</v>
      </c>
      <c r="C12" t="s">
        <v>94</v>
      </c>
      <c r="D12">
        <v>392848.68346784997</v>
      </c>
    </row>
    <row r="13" spans="1:5">
      <c r="A13" t="s">
        <v>95</v>
      </c>
      <c r="B13">
        <v>9389121459242.2109</v>
      </c>
      <c r="C13" t="s">
        <v>96</v>
      </c>
      <c r="D13">
        <v>286985.56506339501</v>
      </c>
    </row>
    <row r="14" spans="1:5">
      <c r="A14" t="s">
        <v>97</v>
      </c>
      <c r="B14">
        <v>0.48875697992604</v>
      </c>
      <c r="C14" t="s">
        <v>98</v>
      </c>
      <c r="D14">
        <v>0.46633404044911198</v>
      </c>
    </row>
    <row r="15" spans="1:5">
      <c r="A15" t="s">
        <v>262</v>
      </c>
      <c r="B15">
        <v>21.7971858876463</v>
      </c>
      <c r="C15" t="s">
        <v>100</v>
      </c>
      <c r="D15" s="18">
        <v>2.8932862034517299E-15</v>
      </c>
    </row>
    <row r="16" spans="1:5">
      <c r="A16" t="s">
        <v>101</v>
      </c>
      <c r="B16">
        <v>-1675.2574900249699</v>
      </c>
      <c r="C16" t="s">
        <v>102</v>
      </c>
      <c r="D16" s="18">
        <v>3362.5149800499398</v>
      </c>
    </row>
    <row r="17" spans="1:4">
      <c r="A17" t="s">
        <v>103</v>
      </c>
      <c r="B17">
        <v>3379.2399305066301</v>
      </c>
      <c r="C17" t="s">
        <v>104</v>
      </c>
      <c r="D17">
        <v>3369.3070596070602</v>
      </c>
    </row>
    <row r="18" spans="1:4">
      <c r="A18" t="s">
        <v>105</v>
      </c>
      <c r="B18">
        <v>0.28742541772275298</v>
      </c>
      <c r="C18" t="s">
        <v>106</v>
      </c>
      <c r="D18">
        <v>1.4098722645155399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S136"/>
  <sheetViews>
    <sheetView topLeftCell="E1" workbookViewId="0">
      <selection activeCell="W29" sqref="W29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3.6640625" customWidth="1"/>
    <col min="6" max="8" width="10.1640625" style="127" bestFit="1" customWidth="1"/>
    <col min="11" max="11" width="12.6640625" bestFit="1" customWidth="1"/>
    <col min="12" max="13" width="12" bestFit="1" customWidth="1"/>
    <col min="14" max="14" width="12" style="127" customWidth="1"/>
    <col min="15" max="15" width="12.6640625" bestFit="1" customWidth="1"/>
    <col min="16" max="16" width="12.6640625" style="127" bestFit="1" customWidth="1"/>
    <col min="17" max="17" width="12.6640625" customWidth="1"/>
    <col min="18" max="18" width="12" bestFit="1" customWidth="1"/>
    <col min="19" max="19" width="16.5" customWidth="1"/>
  </cols>
  <sheetData>
    <row r="1" spans="1:19">
      <c r="A1" t="s">
        <v>123</v>
      </c>
      <c r="B1" t="s">
        <v>124</v>
      </c>
      <c r="C1" t="str">
        <f>'Monthly Data'!Z1</f>
        <v>Intermediate_NO_CDM</v>
      </c>
      <c r="D1" t="str">
        <f>'Monthly Data'!BM1</f>
        <v>Trend</v>
      </c>
      <c r="E1" t="str">
        <f>'Monthly Data'!BJ1</f>
        <v>Ont_Empl</v>
      </c>
      <c r="F1" s="127" t="str">
        <f>'Monthly Data'!BS1</f>
        <v>Jun</v>
      </c>
      <c r="G1" s="127" t="str">
        <f>'Monthly Data'!BT1</f>
        <v>Jul</v>
      </c>
      <c r="H1" s="127" t="str">
        <f>'Monthly Data'!CA1</f>
        <v>Fall</v>
      </c>
      <c r="I1" t="str">
        <f>'Monthly Data'!CC1</f>
        <v>Month Days</v>
      </c>
      <c r="K1" t="s">
        <v>91</v>
      </c>
      <c r="L1" t="str">
        <f t="shared" ref="L1:Q1" si="0">D1</f>
        <v>Trend</v>
      </c>
      <c r="M1" t="str">
        <f t="shared" si="0"/>
        <v>Ont_Empl</v>
      </c>
      <c r="N1" s="127" t="str">
        <f t="shared" si="0"/>
        <v>Jun</v>
      </c>
      <c r="O1" t="str">
        <f t="shared" si="0"/>
        <v>Jul</v>
      </c>
      <c r="P1" s="127" t="str">
        <f t="shared" si="0"/>
        <v>Fall</v>
      </c>
      <c r="Q1" t="str">
        <f t="shared" si="0"/>
        <v>Month Days</v>
      </c>
      <c r="R1" t="s">
        <v>125</v>
      </c>
      <c r="S1" t="s">
        <v>126</v>
      </c>
    </row>
    <row r="2" spans="1:19">
      <c r="A2" s="26">
        <f>'Monthly Data'!A2</f>
        <v>39814</v>
      </c>
      <c r="B2">
        <f t="shared" ref="B2:B42" si="1">YEAR(A2)</f>
        <v>2009</v>
      </c>
      <c r="C2">
        <f ca="1">'Monthly Data'!Z2</f>
        <v>4415320.5250500003</v>
      </c>
      <c r="D2">
        <f>'Monthly Data'!BM2</f>
        <v>1</v>
      </c>
      <c r="E2">
        <f>'Monthly Data'!BJ2</f>
        <v>6541.6</v>
      </c>
      <c r="F2" s="127">
        <f>'Monthly Data'!BS2</f>
        <v>0</v>
      </c>
      <c r="G2" s="127">
        <f>'Monthly Data'!BT2</f>
        <v>0</v>
      </c>
      <c r="H2" s="127">
        <f>'Monthly Data'!CA2</f>
        <v>0</v>
      </c>
      <c r="I2">
        <f>'Monthly Data'!CC2</f>
        <v>31</v>
      </c>
      <c r="K2">
        <f>'Intermediate OLS Model'!$B$5</f>
        <v>-415228.02881662402</v>
      </c>
      <c r="L2" s="127">
        <f>'Intermediate OLS Model'!$B$6*D2</f>
        <v>-5756.5183163388401</v>
      </c>
      <c r="M2" s="127">
        <v>0</v>
      </c>
      <c r="N2" s="127">
        <f>F2*'Intermediate OLS Model'!$B$7</f>
        <v>0</v>
      </c>
      <c r="O2" s="127">
        <f>G2*'Intermediate OLS Model'!$B$8</f>
        <v>0</v>
      </c>
      <c r="P2" s="127">
        <f>H2*'Intermediate OLS Model'!$B$9</f>
        <v>0</v>
      </c>
      <c r="Q2" s="127">
        <f>'Intermediate OLS Model'!$B$10*I2</f>
        <v>4597068.1483280482</v>
      </c>
      <c r="R2">
        <f t="shared" ref="R2:R21" si="2">SUM(K2:Q2)</f>
        <v>4176083.6011950853</v>
      </c>
      <c r="S2" s="24">
        <f t="shared" ref="S2:S21" ca="1" si="3">ABS(R2-C2)/C2</f>
        <v>5.4183365057558483E-2</v>
      </c>
    </row>
    <row r="3" spans="1:19">
      <c r="A3" s="26">
        <f>'Monthly Data'!A3</f>
        <v>39845</v>
      </c>
      <c r="B3">
        <f t="shared" si="1"/>
        <v>2009</v>
      </c>
      <c r="C3">
        <f ca="1">'Monthly Data'!Z3</f>
        <v>4063549.3825500002</v>
      </c>
      <c r="D3">
        <f>'Monthly Data'!BM3</f>
        <v>2</v>
      </c>
      <c r="E3">
        <f>'Monthly Data'!BJ3</f>
        <v>6506</v>
      </c>
      <c r="F3" s="127">
        <f>'Monthly Data'!BS3</f>
        <v>0</v>
      </c>
      <c r="G3" s="127">
        <f>'Monthly Data'!BT3</f>
        <v>0</v>
      </c>
      <c r="H3" s="127">
        <f>'Monthly Data'!CA3</f>
        <v>0</v>
      </c>
      <c r="I3">
        <f>'Monthly Data'!CC3</f>
        <v>28</v>
      </c>
      <c r="K3">
        <f>'Intermediate OLS Model'!$B$5</f>
        <v>-415228.02881662402</v>
      </c>
      <c r="L3" s="186">
        <f>'Intermediate OLS Model'!$B$6*D3</f>
        <v>-11513.03663267768</v>
      </c>
      <c r="M3" s="186">
        <v>0</v>
      </c>
      <c r="N3" s="186">
        <f>F3*'Intermediate OLS Model'!$B$7</f>
        <v>0</v>
      </c>
      <c r="O3" s="186">
        <f>G3*'Intermediate OLS Model'!$B$8</f>
        <v>0</v>
      </c>
      <c r="P3" s="186">
        <f>H3*'Intermediate OLS Model'!$B$9</f>
        <v>0</v>
      </c>
      <c r="Q3" s="186">
        <f>'Intermediate OLS Model'!$B$10*I3</f>
        <v>4152190.5855866238</v>
      </c>
      <c r="R3">
        <f t="shared" si="2"/>
        <v>3725449.5201373221</v>
      </c>
      <c r="S3" s="24">
        <f t="shared" ca="1" si="3"/>
        <v>8.3203089364330601E-2</v>
      </c>
    </row>
    <row r="4" spans="1:19">
      <c r="A4" s="26">
        <f>'Monthly Data'!A4</f>
        <v>39873</v>
      </c>
      <c r="B4">
        <f t="shared" si="1"/>
        <v>2009</v>
      </c>
      <c r="C4">
        <f ca="1">'Monthly Data'!Z4</f>
        <v>4547876.9075999996</v>
      </c>
      <c r="D4">
        <f>'Monthly Data'!BM4</f>
        <v>3</v>
      </c>
      <c r="E4">
        <f>'Monthly Data'!BJ4</f>
        <v>6466.8</v>
      </c>
      <c r="F4" s="127">
        <f>'Monthly Data'!BS4</f>
        <v>0</v>
      </c>
      <c r="G4" s="127">
        <f>'Monthly Data'!BT4</f>
        <v>0</v>
      </c>
      <c r="H4" s="127">
        <f>'Monthly Data'!CA4</f>
        <v>0</v>
      </c>
      <c r="I4">
        <f>'Monthly Data'!CC4</f>
        <v>31</v>
      </c>
      <c r="K4">
        <f>'Intermediate OLS Model'!$B$5</f>
        <v>-415228.02881662402</v>
      </c>
      <c r="L4" s="186">
        <f>'Intermediate OLS Model'!$B$6*D4</f>
        <v>-17269.554949016521</v>
      </c>
      <c r="M4" s="186">
        <v>0</v>
      </c>
      <c r="N4" s="186">
        <f>F4*'Intermediate OLS Model'!$B$7</f>
        <v>0</v>
      </c>
      <c r="O4" s="186">
        <f>G4*'Intermediate OLS Model'!$B$8</f>
        <v>0</v>
      </c>
      <c r="P4" s="186">
        <f>H4*'Intermediate OLS Model'!$B$9</f>
        <v>0</v>
      </c>
      <c r="Q4" s="186">
        <f>'Intermediate OLS Model'!$B$10*I4</f>
        <v>4597068.1483280482</v>
      </c>
      <c r="R4">
        <f t="shared" si="2"/>
        <v>4164570.5645624078</v>
      </c>
      <c r="S4" s="24">
        <f t="shared" ca="1" si="3"/>
        <v>8.4282479676845462E-2</v>
      </c>
    </row>
    <row r="5" spans="1:19">
      <c r="A5" s="26">
        <f>'Monthly Data'!A5</f>
        <v>39904</v>
      </c>
      <c r="B5">
        <f t="shared" si="1"/>
        <v>2009</v>
      </c>
      <c r="C5">
        <f ca="1">'Monthly Data'!Z5</f>
        <v>4092154.0065000001</v>
      </c>
      <c r="D5">
        <f>'Monthly Data'!BM5</f>
        <v>4</v>
      </c>
      <c r="E5">
        <f>'Monthly Data'!BJ5</f>
        <v>6445.5</v>
      </c>
      <c r="F5" s="127">
        <f>'Monthly Data'!BS5</f>
        <v>0</v>
      </c>
      <c r="G5" s="127">
        <f>'Monthly Data'!BT5</f>
        <v>0</v>
      </c>
      <c r="H5" s="127">
        <f>'Monthly Data'!CA5</f>
        <v>0</v>
      </c>
      <c r="I5">
        <f>'Monthly Data'!CC5</f>
        <v>30</v>
      </c>
      <c r="K5">
        <f>'Intermediate OLS Model'!$B$5</f>
        <v>-415228.02881662402</v>
      </c>
      <c r="L5" s="186">
        <f>'Intermediate OLS Model'!$B$6*D5</f>
        <v>-23026.07326535536</v>
      </c>
      <c r="M5" s="186">
        <v>0</v>
      </c>
      <c r="N5" s="186">
        <f>F5*'Intermediate OLS Model'!$B$7</f>
        <v>0</v>
      </c>
      <c r="O5" s="186">
        <f>G5*'Intermediate OLS Model'!$B$8</f>
        <v>0</v>
      </c>
      <c r="P5" s="186">
        <f>H5*'Intermediate OLS Model'!$B$9</f>
        <v>0</v>
      </c>
      <c r="Q5" s="186">
        <f>'Intermediate OLS Model'!$B$10*I5</f>
        <v>4448775.6274142396</v>
      </c>
      <c r="R5">
        <f t="shared" si="2"/>
        <v>4010521.5253322599</v>
      </c>
      <c r="S5" s="24">
        <f t="shared" ca="1" si="3"/>
        <v>1.994853591484453E-2</v>
      </c>
    </row>
    <row r="6" spans="1:19">
      <c r="A6" s="26">
        <f>'Monthly Data'!A6</f>
        <v>39934</v>
      </c>
      <c r="B6">
        <f t="shared" si="1"/>
        <v>2009</v>
      </c>
      <c r="C6">
        <f ca="1">'Monthly Data'!Z6</f>
        <v>4275362.9309440004</v>
      </c>
      <c r="D6">
        <f>'Monthly Data'!BM6</f>
        <v>5</v>
      </c>
      <c r="E6">
        <f>'Monthly Data'!BJ6</f>
        <v>6420.3</v>
      </c>
      <c r="F6" s="127">
        <f>'Monthly Data'!BS6</f>
        <v>0</v>
      </c>
      <c r="G6" s="127">
        <f>'Monthly Data'!BT6</f>
        <v>0</v>
      </c>
      <c r="H6" s="127">
        <f>'Monthly Data'!CA6</f>
        <v>0</v>
      </c>
      <c r="I6">
        <f>'Monthly Data'!CC6</f>
        <v>31</v>
      </c>
      <c r="K6">
        <f>'Intermediate OLS Model'!$B$5</f>
        <v>-415228.02881662402</v>
      </c>
      <c r="L6" s="186">
        <f>'Intermediate OLS Model'!$B$6*D6</f>
        <v>-28782.5915816942</v>
      </c>
      <c r="M6" s="186">
        <v>0</v>
      </c>
      <c r="N6" s="186">
        <f>F6*'Intermediate OLS Model'!$B$7</f>
        <v>0</v>
      </c>
      <c r="O6" s="186">
        <f>G6*'Intermediate OLS Model'!$B$8</f>
        <v>0</v>
      </c>
      <c r="P6" s="186">
        <f>H6*'Intermediate OLS Model'!$B$9</f>
        <v>0</v>
      </c>
      <c r="Q6" s="186">
        <f>'Intermediate OLS Model'!$B$10*I6</f>
        <v>4597068.1483280482</v>
      </c>
      <c r="R6">
        <f t="shared" si="2"/>
        <v>4153057.5279297298</v>
      </c>
      <c r="S6" s="24">
        <f t="shared" ca="1" si="3"/>
        <v>2.8607022372078607E-2</v>
      </c>
    </row>
    <row r="7" spans="1:19">
      <c r="A7" s="26">
        <f>'Monthly Data'!A7</f>
        <v>39965</v>
      </c>
      <c r="B7">
        <f t="shared" si="1"/>
        <v>2009</v>
      </c>
      <c r="C7">
        <f ca="1">'Monthly Data'!Z7</f>
        <v>4339364.1067150002</v>
      </c>
      <c r="D7">
        <f>'Monthly Data'!BM7</f>
        <v>6</v>
      </c>
      <c r="E7">
        <f>'Monthly Data'!BJ7</f>
        <v>6393.2</v>
      </c>
      <c r="F7" s="127">
        <f>'Monthly Data'!BS7</f>
        <v>1</v>
      </c>
      <c r="G7" s="127">
        <f>'Monthly Data'!BT7</f>
        <v>0</v>
      </c>
      <c r="H7" s="127">
        <f>'Monthly Data'!CA7</f>
        <v>0</v>
      </c>
      <c r="I7">
        <f>'Monthly Data'!CC7</f>
        <v>30</v>
      </c>
      <c r="K7">
        <f>'Intermediate OLS Model'!$B$5</f>
        <v>-415228.02881662402</v>
      </c>
      <c r="L7" s="186">
        <f>'Intermediate OLS Model'!$B$6*D7</f>
        <v>-34539.109898033043</v>
      </c>
      <c r="M7" s="186">
        <v>0</v>
      </c>
      <c r="N7" s="186">
        <f>F7*'Intermediate OLS Model'!$B$7</f>
        <v>346553.62108035001</v>
      </c>
      <c r="O7" s="186">
        <f>G7*'Intermediate OLS Model'!$B$8</f>
        <v>0</v>
      </c>
      <c r="P7" s="186">
        <f>H7*'Intermediate OLS Model'!$B$9</f>
        <v>0</v>
      </c>
      <c r="Q7" s="186">
        <f>'Intermediate OLS Model'!$B$10*I7</f>
        <v>4448775.6274142396</v>
      </c>
      <c r="R7">
        <f t="shared" si="2"/>
        <v>4345562.1097799325</v>
      </c>
      <c r="S7" s="24">
        <f t="shared" ca="1" si="3"/>
        <v>1.428320581658757E-3</v>
      </c>
    </row>
    <row r="8" spans="1:19">
      <c r="A8" s="26">
        <f>'Monthly Data'!A8</f>
        <v>39995</v>
      </c>
      <c r="B8">
        <f t="shared" si="1"/>
        <v>2009</v>
      </c>
      <c r="C8">
        <f ca="1">'Monthly Data'!Z8</f>
        <v>4830360.0326429997</v>
      </c>
      <c r="D8">
        <f>'Monthly Data'!BM8</f>
        <v>7</v>
      </c>
      <c r="E8">
        <f>'Monthly Data'!BJ8</f>
        <v>6390.2</v>
      </c>
      <c r="F8" s="127">
        <f>'Monthly Data'!BS8</f>
        <v>0</v>
      </c>
      <c r="G8" s="127">
        <f>'Monthly Data'!BT8</f>
        <v>1</v>
      </c>
      <c r="H8" s="127">
        <f>'Monthly Data'!CA8</f>
        <v>0</v>
      </c>
      <c r="I8">
        <f>'Monthly Data'!CC8</f>
        <v>31</v>
      </c>
      <c r="K8">
        <f>'Intermediate OLS Model'!$B$5</f>
        <v>-415228.02881662402</v>
      </c>
      <c r="L8" s="186">
        <f>'Intermediate OLS Model'!$B$6*D8</f>
        <v>-40295.628214371878</v>
      </c>
      <c r="M8" s="186">
        <v>0</v>
      </c>
      <c r="N8" s="186">
        <f>F8*'Intermediate OLS Model'!$B$7</f>
        <v>0</v>
      </c>
      <c r="O8" s="186">
        <f>G8*'Intermediate OLS Model'!$B$8</f>
        <v>428565.96548408002</v>
      </c>
      <c r="P8" s="186">
        <f>H8*'Intermediate OLS Model'!$B$9</f>
        <v>0</v>
      </c>
      <c r="Q8" s="186">
        <f>'Intermediate OLS Model'!$B$10*I8</f>
        <v>4597068.1483280482</v>
      </c>
      <c r="R8">
        <f t="shared" si="2"/>
        <v>4570110.4567811321</v>
      </c>
      <c r="S8" s="24">
        <f t="shared" ca="1" si="3"/>
        <v>5.3877883657353028E-2</v>
      </c>
    </row>
    <row r="9" spans="1:19">
      <c r="A9" s="26">
        <f>'Monthly Data'!A9</f>
        <v>40026</v>
      </c>
      <c r="B9">
        <f t="shared" si="1"/>
        <v>2009</v>
      </c>
      <c r="C9">
        <f ca="1">'Monthly Data'!Z9</f>
        <v>4185937.0571420002</v>
      </c>
      <c r="D9">
        <f>'Monthly Data'!BM9</f>
        <v>8</v>
      </c>
      <c r="E9">
        <f>'Monthly Data'!BJ9</f>
        <v>6401</v>
      </c>
      <c r="F9" s="127">
        <f>'Monthly Data'!BS9</f>
        <v>0</v>
      </c>
      <c r="G9" s="127">
        <f>'Monthly Data'!BT9</f>
        <v>0</v>
      </c>
      <c r="H9" s="127">
        <f>'Monthly Data'!CA9</f>
        <v>0</v>
      </c>
      <c r="I9">
        <f>'Monthly Data'!CC9</f>
        <v>31</v>
      </c>
      <c r="K9">
        <f>'Intermediate OLS Model'!$B$5</f>
        <v>-415228.02881662402</v>
      </c>
      <c r="L9" s="186">
        <f>'Intermediate OLS Model'!$B$6*D9</f>
        <v>-46052.146530710721</v>
      </c>
      <c r="M9" s="186">
        <v>0</v>
      </c>
      <c r="N9" s="186">
        <f>F9*'Intermediate OLS Model'!$B$7</f>
        <v>0</v>
      </c>
      <c r="O9" s="186">
        <f>G9*'Intermediate OLS Model'!$B$8</f>
        <v>0</v>
      </c>
      <c r="P9" s="186">
        <f>H9*'Intermediate OLS Model'!$B$9</f>
        <v>0</v>
      </c>
      <c r="Q9" s="186">
        <f>'Intermediate OLS Model'!$B$10*I9</f>
        <v>4597068.1483280482</v>
      </c>
      <c r="R9">
        <f t="shared" si="2"/>
        <v>4135787.9729807135</v>
      </c>
      <c r="S9" s="24">
        <f t="shared" ca="1" si="3"/>
        <v>1.1980372250395617E-2</v>
      </c>
    </row>
    <row r="10" spans="1:19">
      <c r="A10" s="26">
        <f>'Monthly Data'!A10</f>
        <v>40057</v>
      </c>
      <c r="B10">
        <f t="shared" si="1"/>
        <v>2009</v>
      </c>
      <c r="C10">
        <f ca="1">'Monthly Data'!Z10</f>
        <v>4066294.1067980002</v>
      </c>
      <c r="D10">
        <f>'Monthly Data'!BM10</f>
        <v>9</v>
      </c>
      <c r="E10">
        <f>'Monthly Data'!BJ10</f>
        <v>6421.2</v>
      </c>
      <c r="F10" s="127">
        <f>'Monthly Data'!BS10</f>
        <v>0</v>
      </c>
      <c r="G10" s="127">
        <f>'Monthly Data'!BT10</f>
        <v>0</v>
      </c>
      <c r="H10" s="127">
        <f>'Monthly Data'!CA10</f>
        <v>1</v>
      </c>
      <c r="I10">
        <f>'Monthly Data'!CC10</f>
        <v>30</v>
      </c>
      <c r="K10">
        <f>'Intermediate OLS Model'!$B$5</f>
        <v>-415228.02881662402</v>
      </c>
      <c r="L10" s="186">
        <f>'Intermediate OLS Model'!$B$6*D10</f>
        <v>-51808.664847049564</v>
      </c>
      <c r="M10" s="186">
        <v>0</v>
      </c>
      <c r="N10" s="186">
        <f>F10*'Intermediate OLS Model'!$B$7</f>
        <v>0</v>
      </c>
      <c r="O10" s="186">
        <f>G10*'Intermediate OLS Model'!$B$8</f>
        <v>0</v>
      </c>
      <c r="P10" s="186">
        <f>H10*'Intermediate OLS Model'!$B$9</f>
        <v>219659.05071226999</v>
      </c>
      <c r="Q10" s="186">
        <f>'Intermediate OLS Model'!$B$10*I10</f>
        <v>4448775.6274142396</v>
      </c>
      <c r="R10">
        <f t="shared" si="2"/>
        <v>4201397.9844628358</v>
      </c>
      <c r="S10" s="24">
        <f t="shared" ca="1" si="3"/>
        <v>3.3225308872511211E-2</v>
      </c>
    </row>
    <row r="11" spans="1:19">
      <c r="A11" s="26">
        <f>'Monthly Data'!A11</f>
        <v>40087</v>
      </c>
      <c r="B11">
        <f t="shared" si="1"/>
        <v>2009</v>
      </c>
      <c r="C11">
        <f ca="1">'Monthly Data'!Z11</f>
        <v>4216044.9663699996</v>
      </c>
      <c r="D11">
        <f>'Monthly Data'!BM11</f>
        <v>10</v>
      </c>
      <c r="E11">
        <f>'Monthly Data'!BJ11</f>
        <v>6438.2</v>
      </c>
      <c r="F11" s="127">
        <f>'Monthly Data'!BS11</f>
        <v>0</v>
      </c>
      <c r="G11" s="127">
        <f>'Monthly Data'!BT11</f>
        <v>0</v>
      </c>
      <c r="H11" s="127">
        <f>'Monthly Data'!CA11</f>
        <v>1</v>
      </c>
      <c r="I11">
        <f>'Monthly Data'!CC11</f>
        <v>31</v>
      </c>
      <c r="K11">
        <f>'Intermediate OLS Model'!$B$5</f>
        <v>-415228.02881662402</v>
      </c>
      <c r="L11" s="186">
        <f>'Intermediate OLS Model'!$B$6*D11</f>
        <v>-57565.183163388399</v>
      </c>
      <c r="M11" s="186">
        <v>0</v>
      </c>
      <c r="N11" s="186">
        <f>F11*'Intermediate OLS Model'!$B$7</f>
        <v>0</v>
      </c>
      <c r="O11" s="186">
        <f>G11*'Intermediate OLS Model'!$B$8</f>
        <v>0</v>
      </c>
      <c r="P11" s="186">
        <f>H11*'Intermediate OLS Model'!$B$9</f>
        <v>219659.05071226999</v>
      </c>
      <c r="Q11" s="186">
        <f>'Intermediate OLS Model'!$B$10*I11</f>
        <v>4597068.1483280482</v>
      </c>
      <c r="R11">
        <f t="shared" si="2"/>
        <v>4343933.9870603057</v>
      </c>
      <c r="S11" s="24">
        <f t="shared" ca="1" si="3"/>
        <v>3.0333884413101531E-2</v>
      </c>
    </row>
    <row r="12" spans="1:19">
      <c r="A12" s="26">
        <f>'Monthly Data'!A12</f>
        <v>40118</v>
      </c>
      <c r="B12">
        <f t="shared" si="1"/>
        <v>2009</v>
      </c>
      <c r="C12">
        <f ca="1">'Monthly Data'!Z12</f>
        <v>4135261.855149</v>
      </c>
      <c r="D12">
        <f>'Monthly Data'!BM12</f>
        <v>11</v>
      </c>
      <c r="E12">
        <f>'Monthly Data'!BJ12</f>
        <v>6454</v>
      </c>
      <c r="F12" s="127">
        <f>'Monthly Data'!BS12</f>
        <v>0</v>
      </c>
      <c r="G12" s="127">
        <f>'Monthly Data'!BT12</f>
        <v>0</v>
      </c>
      <c r="H12" s="127">
        <f>'Monthly Data'!CA12</f>
        <v>1</v>
      </c>
      <c r="I12">
        <f>'Monthly Data'!CC12</f>
        <v>30</v>
      </c>
      <c r="K12">
        <f>'Intermediate OLS Model'!$B$5</f>
        <v>-415228.02881662402</v>
      </c>
      <c r="L12" s="186">
        <f>'Intermediate OLS Model'!$B$6*D12</f>
        <v>-63321.701479727242</v>
      </c>
      <c r="M12" s="186">
        <v>0</v>
      </c>
      <c r="N12" s="186">
        <f>F12*'Intermediate OLS Model'!$B$7</f>
        <v>0</v>
      </c>
      <c r="O12" s="186">
        <f>G12*'Intermediate OLS Model'!$B$8</f>
        <v>0</v>
      </c>
      <c r="P12" s="186">
        <f>H12*'Intermediate OLS Model'!$B$9</f>
        <v>219659.05071226999</v>
      </c>
      <c r="Q12" s="186">
        <f>'Intermediate OLS Model'!$B$10*I12</f>
        <v>4448775.6274142396</v>
      </c>
      <c r="R12">
        <f t="shared" si="2"/>
        <v>4189884.9478301583</v>
      </c>
      <c r="S12" s="24">
        <f t="shared" ca="1" si="3"/>
        <v>1.3209101284153184E-2</v>
      </c>
    </row>
    <row r="13" spans="1:19">
      <c r="A13" s="26">
        <f>'Monthly Data'!A13</f>
        <v>40148</v>
      </c>
      <c r="B13">
        <f t="shared" si="1"/>
        <v>2009</v>
      </c>
      <c r="C13">
        <f ca="1">'Monthly Data'!Z13</f>
        <v>4139276.0675209998</v>
      </c>
      <c r="D13">
        <f>'Monthly Data'!BM13</f>
        <v>12</v>
      </c>
      <c r="E13">
        <f>'Monthly Data'!BJ13</f>
        <v>6458.5</v>
      </c>
      <c r="F13" s="127">
        <f>'Monthly Data'!BS13</f>
        <v>0</v>
      </c>
      <c r="G13" s="127">
        <f>'Monthly Data'!BT13</f>
        <v>0</v>
      </c>
      <c r="H13" s="127">
        <f>'Monthly Data'!CA13</f>
        <v>0</v>
      </c>
      <c r="I13">
        <f>'Monthly Data'!CC13</f>
        <v>31</v>
      </c>
      <c r="K13">
        <f>'Intermediate OLS Model'!$B$5</f>
        <v>-415228.02881662402</v>
      </c>
      <c r="L13" s="186">
        <f>'Intermediate OLS Model'!$B$6*D13</f>
        <v>-69078.219796066085</v>
      </c>
      <c r="M13" s="186">
        <v>0</v>
      </c>
      <c r="N13" s="186">
        <f>F13*'Intermediate OLS Model'!$B$7</f>
        <v>0</v>
      </c>
      <c r="O13" s="186">
        <f>G13*'Intermediate OLS Model'!$B$8</f>
        <v>0</v>
      </c>
      <c r="P13" s="186">
        <f>H13*'Intermediate OLS Model'!$B$9</f>
        <v>0</v>
      </c>
      <c r="Q13" s="186">
        <f>'Intermediate OLS Model'!$B$10*I13</f>
        <v>4597068.1483280482</v>
      </c>
      <c r="R13">
        <f t="shared" si="2"/>
        <v>4112761.8997153579</v>
      </c>
      <c r="S13" s="24">
        <f t="shared" ca="1" si="3"/>
        <v>6.4055084447462683E-3</v>
      </c>
    </row>
    <row r="14" spans="1:19">
      <c r="A14" s="26">
        <f>'Monthly Data'!A14</f>
        <v>40179</v>
      </c>
      <c r="B14">
        <f t="shared" si="1"/>
        <v>2010</v>
      </c>
      <c r="C14">
        <f ca="1">'Monthly Data'!Z14</f>
        <v>3680290.2110469998</v>
      </c>
      <c r="D14">
        <f>'Monthly Data'!BM14</f>
        <v>13</v>
      </c>
      <c r="E14">
        <f>'Monthly Data'!BJ14</f>
        <v>6466.9</v>
      </c>
      <c r="F14" s="127">
        <f>'Monthly Data'!BS14</f>
        <v>0</v>
      </c>
      <c r="G14" s="127">
        <f>'Monthly Data'!BT14</f>
        <v>0</v>
      </c>
      <c r="H14" s="127">
        <f>'Monthly Data'!CA14</f>
        <v>0</v>
      </c>
      <c r="I14">
        <f>'Monthly Data'!CC14</f>
        <v>31</v>
      </c>
      <c r="K14">
        <f>'Intermediate OLS Model'!$B$5</f>
        <v>-415228.02881662402</v>
      </c>
      <c r="L14" s="186">
        <f>'Intermediate OLS Model'!$B$6*D14</f>
        <v>-74834.738112404928</v>
      </c>
      <c r="M14" s="186">
        <v>0</v>
      </c>
      <c r="N14" s="186">
        <f>F14*'Intermediate OLS Model'!$B$7</f>
        <v>0</v>
      </c>
      <c r="O14" s="186">
        <f>G14*'Intermediate OLS Model'!$B$8</f>
        <v>0</v>
      </c>
      <c r="P14" s="186">
        <f>H14*'Intermediate OLS Model'!$B$9</f>
        <v>0</v>
      </c>
      <c r="Q14" s="186">
        <f>'Intermediate OLS Model'!$B$10*I14</f>
        <v>4597068.1483280482</v>
      </c>
      <c r="R14">
        <f t="shared" si="2"/>
        <v>4107005.3813990192</v>
      </c>
      <c r="S14" s="24">
        <f t="shared" ca="1" si="3"/>
        <v>0.11594606563122745</v>
      </c>
    </row>
    <row r="15" spans="1:19">
      <c r="A15" s="26">
        <f>'Monthly Data'!A15</f>
        <v>40210</v>
      </c>
      <c r="B15">
        <f t="shared" si="1"/>
        <v>2010</v>
      </c>
      <c r="C15">
        <f ca="1">'Monthly Data'!Z15</f>
        <v>3458917.2119789999</v>
      </c>
      <c r="D15">
        <f>'Monthly Data'!BM15</f>
        <v>14</v>
      </c>
      <c r="E15">
        <f>'Monthly Data'!BJ15</f>
        <v>6471</v>
      </c>
      <c r="F15" s="127">
        <f>'Monthly Data'!BS15</f>
        <v>0</v>
      </c>
      <c r="G15" s="127">
        <f>'Monthly Data'!BT15</f>
        <v>0</v>
      </c>
      <c r="H15" s="127">
        <f>'Monthly Data'!CA15</f>
        <v>0</v>
      </c>
      <c r="I15">
        <f>'Monthly Data'!CC15</f>
        <v>28</v>
      </c>
      <c r="K15">
        <f>'Intermediate OLS Model'!$B$5</f>
        <v>-415228.02881662402</v>
      </c>
      <c r="L15" s="186">
        <f>'Intermediate OLS Model'!$B$6*D15</f>
        <v>-80591.256428743756</v>
      </c>
      <c r="M15" s="186">
        <v>0</v>
      </c>
      <c r="N15" s="186">
        <f>F15*'Intermediate OLS Model'!$B$7</f>
        <v>0</v>
      </c>
      <c r="O15" s="186">
        <f>G15*'Intermediate OLS Model'!$B$8</f>
        <v>0</v>
      </c>
      <c r="P15" s="186">
        <f>H15*'Intermediate OLS Model'!$B$9</f>
        <v>0</v>
      </c>
      <c r="Q15" s="186">
        <f>'Intermediate OLS Model'!$B$10*I15</f>
        <v>4152190.5855866238</v>
      </c>
      <c r="R15">
        <f t="shared" si="2"/>
        <v>3656371.300341256</v>
      </c>
      <c r="S15" s="24">
        <f t="shared" ca="1" si="3"/>
        <v>5.7085520196444313E-2</v>
      </c>
    </row>
    <row r="16" spans="1:19">
      <c r="A16" s="26">
        <f>'Monthly Data'!A16</f>
        <v>40238</v>
      </c>
      <c r="B16">
        <f t="shared" si="1"/>
        <v>2010</v>
      </c>
      <c r="C16">
        <f ca="1">'Monthly Data'!Z16</f>
        <v>3961328.3825309998</v>
      </c>
      <c r="D16">
        <f>'Monthly Data'!BM16</f>
        <v>15</v>
      </c>
      <c r="E16">
        <f>'Monthly Data'!BJ16</f>
        <v>6477.5</v>
      </c>
      <c r="F16" s="127">
        <f>'Monthly Data'!BS16</f>
        <v>0</v>
      </c>
      <c r="G16" s="127">
        <f>'Monthly Data'!BT16</f>
        <v>0</v>
      </c>
      <c r="H16" s="127">
        <f>'Monthly Data'!CA16</f>
        <v>0</v>
      </c>
      <c r="I16">
        <f>'Monthly Data'!CC16</f>
        <v>31</v>
      </c>
      <c r="K16">
        <f>'Intermediate OLS Model'!$B$5</f>
        <v>-415228.02881662402</v>
      </c>
      <c r="L16" s="186">
        <f>'Intermediate OLS Model'!$B$6*D16</f>
        <v>-86347.774745082599</v>
      </c>
      <c r="M16" s="186">
        <v>0</v>
      </c>
      <c r="N16" s="186">
        <f>F16*'Intermediate OLS Model'!$B$7</f>
        <v>0</v>
      </c>
      <c r="O16" s="186">
        <f>G16*'Intermediate OLS Model'!$B$8</f>
        <v>0</v>
      </c>
      <c r="P16" s="186">
        <f>H16*'Intermediate OLS Model'!$B$9</f>
        <v>0</v>
      </c>
      <c r="Q16" s="186">
        <f>'Intermediate OLS Model'!$B$10*I16</f>
        <v>4597068.1483280482</v>
      </c>
      <c r="R16">
        <f t="shared" si="2"/>
        <v>4095492.3447663416</v>
      </c>
      <c r="S16" s="24">
        <f t="shared" ca="1" si="3"/>
        <v>3.3868427274797351E-2</v>
      </c>
    </row>
    <row r="17" spans="1:19">
      <c r="A17" s="26">
        <f>'Monthly Data'!A17</f>
        <v>40269</v>
      </c>
      <c r="B17">
        <f t="shared" si="1"/>
        <v>2010</v>
      </c>
      <c r="C17">
        <f ca="1">'Monthly Data'!Z17</f>
        <v>3819290.2417009999</v>
      </c>
      <c r="D17">
        <f>'Monthly Data'!BM17</f>
        <v>16</v>
      </c>
      <c r="E17">
        <f>'Monthly Data'!BJ17</f>
        <v>6485</v>
      </c>
      <c r="F17" s="127">
        <f>'Monthly Data'!BS17</f>
        <v>0</v>
      </c>
      <c r="G17" s="127">
        <f>'Monthly Data'!BT17</f>
        <v>0</v>
      </c>
      <c r="H17" s="127">
        <f>'Monthly Data'!CA17</f>
        <v>0</v>
      </c>
      <c r="I17">
        <f>'Monthly Data'!CC17</f>
        <v>30</v>
      </c>
      <c r="K17">
        <f>'Intermediate OLS Model'!$B$5</f>
        <v>-415228.02881662402</v>
      </c>
      <c r="L17" s="186">
        <f>'Intermediate OLS Model'!$B$6*D17</f>
        <v>-92104.293061421442</v>
      </c>
      <c r="M17" s="186">
        <v>0</v>
      </c>
      <c r="N17" s="186">
        <f>F17*'Intermediate OLS Model'!$B$7</f>
        <v>0</v>
      </c>
      <c r="O17" s="186">
        <f>G17*'Intermediate OLS Model'!$B$8</f>
        <v>0</v>
      </c>
      <c r="P17" s="186">
        <f>H17*'Intermediate OLS Model'!$B$9</f>
        <v>0</v>
      </c>
      <c r="Q17" s="186">
        <f>'Intermediate OLS Model'!$B$10*I17</f>
        <v>4448775.6274142396</v>
      </c>
      <c r="R17">
        <f t="shared" si="2"/>
        <v>3941443.3055361942</v>
      </c>
      <c r="S17" s="24">
        <f t="shared" ca="1" si="3"/>
        <v>3.1983184336572164E-2</v>
      </c>
    </row>
    <row r="18" spans="1:19">
      <c r="A18" s="26">
        <f>'Monthly Data'!A18</f>
        <v>40299</v>
      </c>
      <c r="B18">
        <f t="shared" si="1"/>
        <v>2010</v>
      </c>
      <c r="C18">
        <f ca="1">'Monthly Data'!Z18</f>
        <v>4025317.4492390002</v>
      </c>
      <c r="D18">
        <f>'Monthly Data'!BM18</f>
        <v>17</v>
      </c>
      <c r="E18">
        <f>'Monthly Data'!BJ18</f>
        <v>6506.8</v>
      </c>
      <c r="F18" s="127">
        <f>'Monthly Data'!BS18</f>
        <v>0</v>
      </c>
      <c r="G18" s="127">
        <f>'Monthly Data'!BT18</f>
        <v>0</v>
      </c>
      <c r="H18" s="127">
        <f>'Monthly Data'!CA18</f>
        <v>0</v>
      </c>
      <c r="I18">
        <f>'Monthly Data'!CC18</f>
        <v>31</v>
      </c>
      <c r="K18">
        <f>'Intermediate OLS Model'!$B$5</f>
        <v>-415228.02881662402</v>
      </c>
      <c r="L18" s="186">
        <f>'Intermediate OLS Model'!$B$6*D18</f>
        <v>-97860.811377760285</v>
      </c>
      <c r="M18" s="186">
        <v>0</v>
      </c>
      <c r="N18" s="186">
        <f>F18*'Intermediate OLS Model'!$B$7</f>
        <v>0</v>
      </c>
      <c r="O18" s="186">
        <f>G18*'Intermediate OLS Model'!$B$8</f>
        <v>0</v>
      </c>
      <c r="P18" s="186">
        <f>H18*'Intermediate OLS Model'!$B$9</f>
        <v>0</v>
      </c>
      <c r="Q18" s="186">
        <f>'Intermediate OLS Model'!$B$10*I18</f>
        <v>4597068.1483280482</v>
      </c>
      <c r="R18">
        <f t="shared" si="2"/>
        <v>4083979.3081336636</v>
      </c>
      <c r="S18" s="24">
        <f t="shared" ca="1" si="3"/>
        <v>1.4573225499458092E-2</v>
      </c>
    </row>
    <row r="19" spans="1:19">
      <c r="A19" s="26">
        <f>'Monthly Data'!A19</f>
        <v>40330</v>
      </c>
      <c r="B19">
        <f t="shared" si="1"/>
        <v>2010</v>
      </c>
      <c r="C19">
        <f ca="1">'Monthly Data'!Z19</f>
        <v>4225303.8981990004</v>
      </c>
      <c r="D19">
        <f>'Monthly Data'!BM19</f>
        <v>18</v>
      </c>
      <c r="E19">
        <f>'Monthly Data'!BJ19</f>
        <v>6540.8</v>
      </c>
      <c r="F19" s="127">
        <f>'Monthly Data'!BS19</f>
        <v>1</v>
      </c>
      <c r="G19" s="127">
        <f>'Monthly Data'!BT19</f>
        <v>0</v>
      </c>
      <c r="H19" s="127">
        <f>'Monthly Data'!CA19</f>
        <v>0</v>
      </c>
      <c r="I19">
        <f>'Monthly Data'!CC19</f>
        <v>30</v>
      </c>
      <c r="K19">
        <f>'Intermediate OLS Model'!$B$5</f>
        <v>-415228.02881662402</v>
      </c>
      <c r="L19" s="186">
        <f>'Intermediate OLS Model'!$B$6*D19</f>
        <v>-103617.32969409913</v>
      </c>
      <c r="M19" s="186">
        <v>0</v>
      </c>
      <c r="N19" s="186">
        <f>F19*'Intermediate OLS Model'!$B$7</f>
        <v>346553.62108035001</v>
      </c>
      <c r="O19" s="186">
        <f>G19*'Intermediate OLS Model'!$B$8</f>
        <v>0</v>
      </c>
      <c r="P19" s="186">
        <f>H19*'Intermediate OLS Model'!$B$9</f>
        <v>0</v>
      </c>
      <c r="Q19" s="186">
        <f>'Intermediate OLS Model'!$B$10*I19</f>
        <v>4448775.6274142396</v>
      </c>
      <c r="R19">
        <f t="shared" si="2"/>
        <v>4276483.8899838664</v>
      </c>
      <c r="S19" s="24">
        <f t="shared" ca="1" si="3"/>
        <v>1.2112736271272937E-2</v>
      </c>
    </row>
    <row r="20" spans="1:19">
      <c r="A20" s="26">
        <f>'Monthly Data'!A20</f>
        <v>40360</v>
      </c>
      <c r="B20">
        <f t="shared" si="1"/>
        <v>2010</v>
      </c>
      <c r="C20">
        <f ca="1">'Monthly Data'!Z20</f>
        <v>4362344.081638</v>
      </c>
      <c r="D20">
        <f>'Monthly Data'!BM20</f>
        <v>19</v>
      </c>
      <c r="E20">
        <f>'Monthly Data'!BJ20</f>
        <v>6561</v>
      </c>
      <c r="F20" s="127">
        <f>'Monthly Data'!BS20</f>
        <v>0</v>
      </c>
      <c r="G20" s="127">
        <f>'Monthly Data'!BT20</f>
        <v>1</v>
      </c>
      <c r="H20" s="127">
        <f>'Monthly Data'!CA20</f>
        <v>0</v>
      </c>
      <c r="I20">
        <f>'Monthly Data'!CC20</f>
        <v>31</v>
      </c>
      <c r="K20">
        <f>'Intermediate OLS Model'!$B$5</f>
        <v>-415228.02881662402</v>
      </c>
      <c r="L20" s="186">
        <f>'Intermediate OLS Model'!$B$6*D20</f>
        <v>-109373.84801043796</v>
      </c>
      <c r="M20" s="186">
        <v>0</v>
      </c>
      <c r="N20" s="186">
        <f>F20*'Intermediate OLS Model'!$B$7</f>
        <v>0</v>
      </c>
      <c r="O20" s="186">
        <f>G20*'Intermediate OLS Model'!$B$8</f>
        <v>428565.96548408002</v>
      </c>
      <c r="P20" s="186">
        <f>H20*'Intermediate OLS Model'!$B$9</f>
        <v>0</v>
      </c>
      <c r="Q20" s="186">
        <f>'Intermediate OLS Model'!$B$10*I20</f>
        <v>4597068.1483280482</v>
      </c>
      <c r="R20">
        <f t="shared" si="2"/>
        <v>4501032.236985066</v>
      </c>
      <c r="S20" s="24">
        <f t="shared" ca="1" si="3"/>
        <v>3.1792117437694306E-2</v>
      </c>
    </row>
    <row r="21" spans="1:19">
      <c r="A21" s="26">
        <f>'Monthly Data'!A21</f>
        <v>40391</v>
      </c>
      <c r="B21">
        <f t="shared" si="1"/>
        <v>2010</v>
      </c>
      <c r="C21">
        <f ca="1">'Monthly Data'!Z21</f>
        <v>4421103.6722379997</v>
      </c>
      <c r="D21">
        <f>'Monthly Data'!BM21</f>
        <v>20</v>
      </c>
      <c r="E21">
        <f>'Monthly Data'!BJ21</f>
        <v>6568.9</v>
      </c>
      <c r="F21" s="127">
        <f>'Monthly Data'!BS21</f>
        <v>0</v>
      </c>
      <c r="G21" s="127">
        <f>'Monthly Data'!BT21</f>
        <v>0</v>
      </c>
      <c r="H21" s="127">
        <f>'Monthly Data'!CA21</f>
        <v>0</v>
      </c>
      <c r="I21">
        <f>'Monthly Data'!CC21</f>
        <v>31</v>
      </c>
      <c r="K21">
        <f>'Intermediate OLS Model'!$B$5</f>
        <v>-415228.02881662402</v>
      </c>
      <c r="L21" s="186">
        <f>'Intermediate OLS Model'!$B$6*D21</f>
        <v>-115130.3663267768</v>
      </c>
      <c r="M21" s="186">
        <v>0</v>
      </c>
      <c r="N21" s="186">
        <f>F21*'Intermediate OLS Model'!$B$7</f>
        <v>0</v>
      </c>
      <c r="O21" s="186">
        <f>G21*'Intermediate OLS Model'!$B$8</f>
        <v>0</v>
      </c>
      <c r="P21" s="186">
        <f>H21*'Intermediate OLS Model'!$B$9</f>
        <v>0</v>
      </c>
      <c r="Q21" s="186">
        <f>'Intermediate OLS Model'!$B$10*I21</f>
        <v>4597068.1483280482</v>
      </c>
      <c r="R21">
        <f t="shared" si="2"/>
        <v>4066709.7531846473</v>
      </c>
      <c r="S21" s="24">
        <f t="shared" ca="1" si="3"/>
        <v>8.0159603874196253E-2</v>
      </c>
    </row>
    <row r="22" spans="1:19">
      <c r="A22" s="26">
        <f>'Monthly Data'!A22</f>
        <v>40422</v>
      </c>
      <c r="B22">
        <f t="shared" si="1"/>
        <v>2010</v>
      </c>
      <c r="C22">
        <f ca="1">'Monthly Data'!Z22</f>
        <v>4336552.6475419998</v>
      </c>
      <c r="D22">
        <f>'Monthly Data'!BM22</f>
        <v>21</v>
      </c>
      <c r="E22">
        <f>'Monthly Data'!BJ22</f>
        <v>6556</v>
      </c>
      <c r="F22" s="127">
        <f>'Monthly Data'!BS22</f>
        <v>0</v>
      </c>
      <c r="G22" s="127">
        <f>'Monthly Data'!BT22</f>
        <v>0</v>
      </c>
      <c r="H22" s="127">
        <f>'Monthly Data'!CA22</f>
        <v>1</v>
      </c>
      <c r="I22">
        <f>'Monthly Data'!CC22</f>
        <v>30</v>
      </c>
      <c r="K22">
        <f>'Intermediate OLS Model'!$B$5</f>
        <v>-415228.02881662402</v>
      </c>
      <c r="L22" s="186">
        <f>'Intermediate OLS Model'!$B$6*D22</f>
        <v>-120886.88464311564</v>
      </c>
      <c r="M22" s="186">
        <v>0</v>
      </c>
      <c r="N22" s="186">
        <f>F22*'Intermediate OLS Model'!$B$7</f>
        <v>0</v>
      </c>
      <c r="O22" s="186">
        <f>G22*'Intermediate OLS Model'!$B$8</f>
        <v>0</v>
      </c>
      <c r="P22" s="186">
        <f>H22*'Intermediate OLS Model'!$B$9</f>
        <v>219659.05071226999</v>
      </c>
      <c r="Q22" s="186">
        <f>'Intermediate OLS Model'!$B$10*I22</f>
        <v>4448775.6274142396</v>
      </c>
      <c r="R22">
        <f t="shared" ref="R22:R53" si="4">SUM(K22:Q22)</f>
        <v>4132319.7646667697</v>
      </c>
      <c r="S22" s="24">
        <f t="shared" ref="S22:S53" ca="1" si="5">ABS(R22-C22)/C22</f>
        <v>4.7095677021468045E-2</v>
      </c>
    </row>
    <row r="23" spans="1:19">
      <c r="A23" s="26">
        <f>'Monthly Data'!A23</f>
        <v>40452</v>
      </c>
      <c r="B23">
        <f t="shared" si="1"/>
        <v>2010</v>
      </c>
      <c r="C23">
        <f ca="1">'Monthly Data'!Z23</f>
        <v>4409060.9406300001</v>
      </c>
      <c r="D23">
        <f>'Monthly Data'!BM23</f>
        <v>22</v>
      </c>
      <c r="E23">
        <f>'Monthly Data'!BJ23</f>
        <v>6551.6</v>
      </c>
      <c r="F23" s="127">
        <f>'Monthly Data'!BS23</f>
        <v>0</v>
      </c>
      <c r="G23" s="127">
        <f>'Monthly Data'!BT23</f>
        <v>0</v>
      </c>
      <c r="H23" s="127">
        <f>'Monthly Data'!CA23</f>
        <v>1</v>
      </c>
      <c r="I23">
        <f>'Monthly Data'!CC23</f>
        <v>31</v>
      </c>
      <c r="K23">
        <f>'Intermediate OLS Model'!$B$5</f>
        <v>-415228.02881662402</v>
      </c>
      <c r="L23" s="186">
        <f>'Intermediate OLS Model'!$B$6*D23</f>
        <v>-126643.40295945448</v>
      </c>
      <c r="M23" s="186">
        <v>0</v>
      </c>
      <c r="N23" s="186">
        <f>F23*'Intermediate OLS Model'!$B$7</f>
        <v>0</v>
      </c>
      <c r="O23" s="186">
        <f>G23*'Intermediate OLS Model'!$B$8</f>
        <v>0</v>
      </c>
      <c r="P23" s="186">
        <f>H23*'Intermediate OLS Model'!$B$9</f>
        <v>219659.05071226999</v>
      </c>
      <c r="Q23" s="186">
        <f>'Intermediate OLS Model'!$B$10*I23</f>
        <v>4597068.1483280482</v>
      </c>
      <c r="R23">
        <f t="shared" si="4"/>
        <v>4274855.7672642395</v>
      </c>
      <c r="S23" s="24">
        <f t="shared" ca="1" si="5"/>
        <v>3.0438493632293579E-2</v>
      </c>
    </row>
    <row r="24" spans="1:19">
      <c r="A24" s="26">
        <f>'Monthly Data'!A24</f>
        <v>40483</v>
      </c>
      <c r="B24">
        <f t="shared" si="1"/>
        <v>2010</v>
      </c>
      <c r="C24">
        <f ca="1">'Monthly Data'!Z24</f>
        <v>4233860.37414</v>
      </c>
      <c r="D24">
        <f>'Monthly Data'!BM24</f>
        <v>23</v>
      </c>
      <c r="E24">
        <f>'Monthly Data'!BJ24</f>
        <v>6555.7</v>
      </c>
      <c r="F24" s="127">
        <f>'Monthly Data'!BS24</f>
        <v>0</v>
      </c>
      <c r="G24" s="127">
        <f>'Monthly Data'!BT24</f>
        <v>0</v>
      </c>
      <c r="H24" s="127">
        <f>'Monthly Data'!CA24</f>
        <v>1</v>
      </c>
      <c r="I24">
        <f>'Monthly Data'!CC24</f>
        <v>30</v>
      </c>
      <c r="K24">
        <f>'Intermediate OLS Model'!$B$5</f>
        <v>-415228.02881662402</v>
      </c>
      <c r="L24" s="186">
        <f>'Intermediate OLS Model'!$B$6*D24</f>
        <v>-132399.92127579331</v>
      </c>
      <c r="M24" s="186">
        <v>0</v>
      </c>
      <c r="N24" s="186">
        <f>F24*'Intermediate OLS Model'!$B$7</f>
        <v>0</v>
      </c>
      <c r="O24" s="186">
        <f>G24*'Intermediate OLS Model'!$B$8</f>
        <v>0</v>
      </c>
      <c r="P24" s="186">
        <f>H24*'Intermediate OLS Model'!$B$9</f>
        <v>219659.05071226999</v>
      </c>
      <c r="Q24" s="186">
        <f>'Intermediate OLS Model'!$B$10*I24</f>
        <v>4448775.6274142396</v>
      </c>
      <c r="R24">
        <f t="shared" si="4"/>
        <v>4120806.7280340921</v>
      </c>
      <c r="S24" s="24">
        <f t="shared" ca="1" si="5"/>
        <v>2.6702261320762567E-2</v>
      </c>
    </row>
    <row r="25" spans="1:19">
      <c r="A25" s="26">
        <f>'Monthly Data'!A25</f>
        <v>40513</v>
      </c>
      <c r="B25">
        <f t="shared" si="1"/>
        <v>2010</v>
      </c>
      <c r="C25">
        <f ca="1">'Monthly Data'!Z25</f>
        <v>4138518.7720019999</v>
      </c>
      <c r="D25">
        <f>'Monthly Data'!BM25</f>
        <v>24</v>
      </c>
      <c r="E25">
        <f>'Monthly Data'!BJ25</f>
        <v>6578.3</v>
      </c>
      <c r="F25" s="127">
        <f>'Monthly Data'!BS25</f>
        <v>0</v>
      </c>
      <c r="G25" s="127">
        <f>'Monthly Data'!BT25</f>
        <v>0</v>
      </c>
      <c r="H25" s="127">
        <f>'Monthly Data'!CA25</f>
        <v>0</v>
      </c>
      <c r="I25">
        <f>'Monthly Data'!CC25</f>
        <v>31</v>
      </c>
      <c r="K25">
        <f>'Intermediate OLS Model'!$B$5</f>
        <v>-415228.02881662402</v>
      </c>
      <c r="L25" s="186">
        <f>'Intermediate OLS Model'!$B$6*D25</f>
        <v>-138156.43959213217</v>
      </c>
      <c r="M25" s="186">
        <v>0</v>
      </c>
      <c r="N25" s="186">
        <f>F25*'Intermediate OLS Model'!$B$7</f>
        <v>0</v>
      </c>
      <c r="O25" s="186">
        <f>G25*'Intermediate OLS Model'!$B$8</f>
        <v>0</v>
      </c>
      <c r="P25" s="186">
        <f>H25*'Intermediate OLS Model'!$B$9</f>
        <v>0</v>
      </c>
      <c r="Q25" s="186">
        <f>'Intermediate OLS Model'!$B$10*I25</f>
        <v>4597068.1483280482</v>
      </c>
      <c r="R25">
        <f t="shared" si="4"/>
        <v>4043683.6799192922</v>
      </c>
      <c r="S25" s="24">
        <f t="shared" ca="1" si="5"/>
        <v>2.2915225786648154E-2</v>
      </c>
    </row>
    <row r="26" spans="1:19">
      <c r="A26" s="26">
        <f>'Monthly Data'!A26</f>
        <v>40544</v>
      </c>
      <c r="B26">
        <f t="shared" si="1"/>
        <v>2011</v>
      </c>
      <c r="C26">
        <f ca="1">'Monthly Data'!Z26</f>
        <v>4225575.7611889997</v>
      </c>
      <c r="D26">
        <f>'Monthly Data'!BM26</f>
        <v>25</v>
      </c>
      <c r="E26">
        <f>'Monthly Data'!BJ26</f>
        <v>6606.3</v>
      </c>
      <c r="F26" s="127">
        <f>'Monthly Data'!BS26</f>
        <v>0</v>
      </c>
      <c r="G26" s="127">
        <f>'Monthly Data'!BT26</f>
        <v>0</v>
      </c>
      <c r="H26" s="127">
        <f>'Monthly Data'!CA26</f>
        <v>0</v>
      </c>
      <c r="I26">
        <f>'Monthly Data'!CC26</f>
        <v>31</v>
      </c>
      <c r="K26">
        <f>'Intermediate OLS Model'!$B$5</f>
        <v>-415228.02881662402</v>
      </c>
      <c r="L26" s="186">
        <f>'Intermediate OLS Model'!$B$6*D26</f>
        <v>-143912.957908471</v>
      </c>
      <c r="M26" s="186">
        <v>0</v>
      </c>
      <c r="N26" s="186">
        <f>F26*'Intermediate OLS Model'!$B$7</f>
        <v>0</v>
      </c>
      <c r="O26" s="186">
        <f>G26*'Intermediate OLS Model'!$B$8</f>
        <v>0</v>
      </c>
      <c r="P26" s="186">
        <f>H26*'Intermediate OLS Model'!$B$9</f>
        <v>0</v>
      </c>
      <c r="Q26" s="186">
        <f>'Intermediate OLS Model'!$B$10*I26</f>
        <v>4597068.1483280482</v>
      </c>
      <c r="R26">
        <f t="shared" si="4"/>
        <v>4037927.1616029534</v>
      </c>
      <c r="S26" s="24">
        <f t="shared" ca="1" si="5"/>
        <v>4.4407818056312734E-2</v>
      </c>
    </row>
    <row r="27" spans="1:19">
      <c r="A27" s="26">
        <f>'Monthly Data'!A27</f>
        <v>40575</v>
      </c>
      <c r="B27">
        <f t="shared" si="1"/>
        <v>2011</v>
      </c>
      <c r="C27">
        <f ca="1">'Monthly Data'!Z27</f>
        <v>3677829.2420740002</v>
      </c>
      <c r="D27">
        <f>'Monthly Data'!BM27</f>
        <v>26</v>
      </c>
      <c r="E27">
        <f>'Monthly Data'!BJ27</f>
        <v>6619.5</v>
      </c>
      <c r="F27" s="127">
        <f>'Monthly Data'!BS27</f>
        <v>0</v>
      </c>
      <c r="G27" s="127">
        <f>'Monthly Data'!BT27</f>
        <v>0</v>
      </c>
      <c r="H27" s="127">
        <f>'Monthly Data'!CA27</f>
        <v>0</v>
      </c>
      <c r="I27">
        <f>'Monthly Data'!CC27</f>
        <v>28</v>
      </c>
      <c r="K27">
        <f>'Intermediate OLS Model'!$B$5</f>
        <v>-415228.02881662402</v>
      </c>
      <c r="L27" s="186">
        <f>'Intermediate OLS Model'!$B$6*D27</f>
        <v>-149669.47622480986</v>
      </c>
      <c r="M27" s="186">
        <v>0</v>
      </c>
      <c r="N27" s="186">
        <f>F27*'Intermediate OLS Model'!$B$7</f>
        <v>0</v>
      </c>
      <c r="O27" s="186">
        <f>G27*'Intermediate OLS Model'!$B$8</f>
        <v>0</v>
      </c>
      <c r="P27" s="186">
        <f>H27*'Intermediate OLS Model'!$B$9</f>
        <v>0</v>
      </c>
      <c r="Q27" s="186">
        <f>'Intermediate OLS Model'!$B$10*I27</f>
        <v>4152190.5855866238</v>
      </c>
      <c r="R27">
        <f t="shared" si="4"/>
        <v>3587293.0805451898</v>
      </c>
      <c r="S27" s="24">
        <f t="shared" ca="1" si="5"/>
        <v>2.4616738725410557E-2</v>
      </c>
    </row>
    <row r="28" spans="1:19">
      <c r="A28" s="26">
        <f>'Monthly Data'!A28</f>
        <v>40603</v>
      </c>
      <c r="B28">
        <f t="shared" si="1"/>
        <v>2011</v>
      </c>
      <c r="C28">
        <f ca="1">'Monthly Data'!Z28</f>
        <v>4008991.4056159998</v>
      </c>
      <c r="D28">
        <f>'Monthly Data'!BM28</f>
        <v>27</v>
      </c>
      <c r="E28">
        <f>'Monthly Data'!BJ28</f>
        <v>6628.6</v>
      </c>
      <c r="F28" s="127">
        <f>'Monthly Data'!BS28</f>
        <v>0</v>
      </c>
      <c r="G28" s="127">
        <f>'Monthly Data'!BT28</f>
        <v>0</v>
      </c>
      <c r="H28" s="127">
        <f>'Monthly Data'!CA28</f>
        <v>0</v>
      </c>
      <c r="I28">
        <f>'Monthly Data'!CC28</f>
        <v>31</v>
      </c>
      <c r="K28">
        <f>'Intermediate OLS Model'!$B$5</f>
        <v>-415228.02881662402</v>
      </c>
      <c r="L28" s="186">
        <f>'Intermediate OLS Model'!$B$6*D28</f>
        <v>-155425.99454114868</v>
      </c>
      <c r="M28" s="186">
        <v>0</v>
      </c>
      <c r="N28" s="186">
        <f>F28*'Intermediate OLS Model'!$B$7</f>
        <v>0</v>
      </c>
      <c r="O28" s="186">
        <f>G28*'Intermediate OLS Model'!$B$8</f>
        <v>0</v>
      </c>
      <c r="P28" s="186">
        <f>H28*'Intermediate OLS Model'!$B$9</f>
        <v>0</v>
      </c>
      <c r="Q28" s="186">
        <f>'Intermediate OLS Model'!$B$10*I28</f>
        <v>4597068.1483280482</v>
      </c>
      <c r="R28">
        <f t="shared" si="4"/>
        <v>4026414.1249702754</v>
      </c>
      <c r="S28" s="24">
        <f t="shared" ca="1" si="5"/>
        <v>4.3459108767030475E-3</v>
      </c>
    </row>
    <row r="29" spans="1:19">
      <c r="A29" s="26">
        <f>'Monthly Data'!A29</f>
        <v>40634</v>
      </c>
      <c r="B29">
        <f t="shared" si="1"/>
        <v>2011</v>
      </c>
      <c r="C29">
        <f ca="1">'Monthly Data'!Z29</f>
        <v>3911881.7842620001</v>
      </c>
      <c r="D29">
        <f>'Monthly Data'!BM29</f>
        <v>28</v>
      </c>
      <c r="E29">
        <f>'Monthly Data'!BJ29</f>
        <v>6635.5</v>
      </c>
      <c r="F29" s="127">
        <f>'Monthly Data'!BS29</f>
        <v>0</v>
      </c>
      <c r="G29" s="127">
        <f>'Monthly Data'!BT29</f>
        <v>0</v>
      </c>
      <c r="H29" s="127">
        <f>'Monthly Data'!CA29</f>
        <v>0</v>
      </c>
      <c r="I29">
        <f>'Monthly Data'!CC29</f>
        <v>30</v>
      </c>
      <c r="K29">
        <f>'Intermediate OLS Model'!$B$5</f>
        <v>-415228.02881662402</v>
      </c>
      <c r="L29" s="186">
        <f>'Intermediate OLS Model'!$B$6*D29</f>
        <v>-161182.51285748751</v>
      </c>
      <c r="M29" s="186">
        <v>0</v>
      </c>
      <c r="N29" s="186">
        <f>F29*'Intermediate OLS Model'!$B$7</f>
        <v>0</v>
      </c>
      <c r="O29" s="186">
        <f>G29*'Intermediate OLS Model'!$B$8</f>
        <v>0</v>
      </c>
      <c r="P29" s="186">
        <f>H29*'Intermediate OLS Model'!$B$9</f>
        <v>0</v>
      </c>
      <c r="Q29" s="186">
        <f>'Intermediate OLS Model'!$B$10*I29</f>
        <v>4448775.6274142396</v>
      </c>
      <c r="R29">
        <f t="shared" si="4"/>
        <v>3872365.0857401281</v>
      </c>
      <c r="S29" s="24">
        <f t="shared" ca="1" si="5"/>
        <v>1.0101710813668443E-2</v>
      </c>
    </row>
    <row r="30" spans="1:19">
      <c r="A30" s="26">
        <f>'Monthly Data'!A30</f>
        <v>40664</v>
      </c>
      <c r="B30">
        <f t="shared" si="1"/>
        <v>2011</v>
      </c>
      <c r="C30">
        <f ca="1">'Monthly Data'!Z30</f>
        <v>4672710.2646949999</v>
      </c>
      <c r="D30">
        <f>'Monthly Data'!BM30</f>
        <v>29</v>
      </c>
      <c r="E30">
        <f>'Monthly Data'!BJ30</f>
        <v>6645.8</v>
      </c>
      <c r="F30" s="127">
        <f>'Monthly Data'!BS30</f>
        <v>0</v>
      </c>
      <c r="G30" s="127">
        <f>'Monthly Data'!BT30</f>
        <v>0</v>
      </c>
      <c r="H30" s="127">
        <f>'Monthly Data'!CA30</f>
        <v>0</v>
      </c>
      <c r="I30">
        <f>'Monthly Data'!CC30</f>
        <v>31</v>
      </c>
      <c r="K30">
        <f>'Intermediate OLS Model'!$B$5</f>
        <v>-415228.02881662402</v>
      </c>
      <c r="L30" s="186">
        <f>'Intermediate OLS Model'!$B$6*D30</f>
        <v>-166939.03117382637</v>
      </c>
      <c r="M30" s="186">
        <v>0</v>
      </c>
      <c r="N30" s="186">
        <f>F30*'Intermediate OLS Model'!$B$7</f>
        <v>0</v>
      </c>
      <c r="O30" s="186">
        <f>G30*'Intermediate OLS Model'!$B$8</f>
        <v>0</v>
      </c>
      <c r="P30" s="186">
        <f>H30*'Intermediate OLS Model'!$B$9</f>
        <v>0</v>
      </c>
      <c r="Q30" s="186">
        <f>'Intermediate OLS Model'!$B$10*I30</f>
        <v>4597068.1483280482</v>
      </c>
      <c r="R30">
        <f t="shared" si="4"/>
        <v>4014901.0883375979</v>
      </c>
      <c r="S30" s="24">
        <f t="shared" ca="1" si="5"/>
        <v>0.14077679528463957</v>
      </c>
    </row>
    <row r="31" spans="1:19">
      <c r="A31" s="26">
        <f>'Monthly Data'!A31</f>
        <v>40695</v>
      </c>
      <c r="B31">
        <f t="shared" si="1"/>
        <v>2011</v>
      </c>
      <c r="C31">
        <f ca="1">'Monthly Data'!Z31</f>
        <v>4411205.0579040004</v>
      </c>
      <c r="D31">
        <f>'Monthly Data'!BM31</f>
        <v>30</v>
      </c>
      <c r="E31">
        <f>'Monthly Data'!BJ31</f>
        <v>6662</v>
      </c>
      <c r="F31" s="127">
        <f>'Monthly Data'!BS31</f>
        <v>1</v>
      </c>
      <c r="G31" s="127">
        <f>'Monthly Data'!BT31</f>
        <v>0</v>
      </c>
      <c r="H31" s="127">
        <f>'Monthly Data'!CA31</f>
        <v>0</v>
      </c>
      <c r="I31">
        <f>'Monthly Data'!CC31</f>
        <v>30</v>
      </c>
      <c r="K31">
        <f>'Intermediate OLS Model'!$B$5</f>
        <v>-415228.02881662402</v>
      </c>
      <c r="L31" s="186">
        <f>'Intermediate OLS Model'!$B$6*D31</f>
        <v>-172695.5494901652</v>
      </c>
      <c r="M31" s="186">
        <v>0</v>
      </c>
      <c r="N31" s="186">
        <f>F31*'Intermediate OLS Model'!$B$7</f>
        <v>346553.62108035001</v>
      </c>
      <c r="O31" s="186">
        <f>G31*'Intermediate OLS Model'!$B$8</f>
        <v>0</v>
      </c>
      <c r="P31" s="186">
        <f>H31*'Intermediate OLS Model'!$B$9</f>
        <v>0</v>
      </c>
      <c r="Q31" s="186">
        <f>'Intermediate OLS Model'!$B$10*I31</f>
        <v>4448775.6274142396</v>
      </c>
      <c r="R31">
        <f t="shared" si="4"/>
        <v>4207405.6701878002</v>
      </c>
      <c r="S31" s="24">
        <f t="shared" ca="1" si="5"/>
        <v>4.6200388565258897E-2</v>
      </c>
    </row>
    <row r="32" spans="1:19">
      <c r="A32" s="26">
        <f>'Monthly Data'!A32</f>
        <v>40725</v>
      </c>
      <c r="B32">
        <f t="shared" si="1"/>
        <v>2011</v>
      </c>
      <c r="C32">
        <f ca="1">'Monthly Data'!Z32</f>
        <v>4410294.6933960002</v>
      </c>
      <c r="D32">
        <f>'Monthly Data'!BM32</f>
        <v>31</v>
      </c>
      <c r="E32">
        <f>'Monthly Data'!BJ32</f>
        <v>6665.8</v>
      </c>
      <c r="F32" s="127">
        <f>'Monthly Data'!BS32</f>
        <v>0</v>
      </c>
      <c r="G32" s="127">
        <f>'Monthly Data'!BT32</f>
        <v>1</v>
      </c>
      <c r="H32" s="127">
        <f>'Monthly Data'!CA32</f>
        <v>0</v>
      </c>
      <c r="I32">
        <f>'Monthly Data'!CC32</f>
        <v>31</v>
      </c>
      <c r="K32">
        <f>'Intermediate OLS Model'!$B$5</f>
        <v>-415228.02881662402</v>
      </c>
      <c r="L32" s="186">
        <f>'Intermediate OLS Model'!$B$6*D32</f>
        <v>-178452.06780650406</v>
      </c>
      <c r="M32" s="186">
        <v>0</v>
      </c>
      <c r="N32" s="186">
        <f>F32*'Intermediate OLS Model'!$B$7</f>
        <v>0</v>
      </c>
      <c r="O32" s="186">
        <f>G32*'Intermediate OLS Model'!$B$8</f>
        <v>428565.96548408002</v>
      </c>
      <c r="P32" s="186">
        <f>H32*'Intermediate OLS Model'!$B$9</f>
        <v>0</v>
      </c>
      <c r="Q32" s="186">
        <f>'Intermediate OLS Model'!$B$10*I32</f>
        <v>4597068.1483280482</v>
      </c>
      <c r="R32">
        <f t="shared" si="4"/>
        <v>4431954.0171889998</v>
      </c>
      <c r="S32" s="24">
        <f t="shared" ca="1" si="5"/>
        <v>4.9110831132061087E-3</v>
      </c>
    </row>
    <row r="33" spans="1:19">
      <c r="A33" s="26">
        <f>'Monthly Data'!A33</f>
        <v>40756</v>
      </c>
      <c r="B33">
        <f t="shared" si="1"/>
        <v>2011</v>
      </c>
      <c r="C33">
        <f ca="1">'Monthly Data'!Z33</f>
        <v>3989309.9328839998</v>
      </c>
      <c r="D33">
        <f>'Monthly Data'!BM33</f>
        <v>32</v>
      </c>
      <c r="E33">
        <f>'Monthly Data'!BJ33</f>
        <v>6677.5</v>
      </c>
      <c r="F33" s="127">
        <f>'Monthly Data'!BS33</f>
        <v>0</v>
      </c>
      <c r="G33" s="127">
        <f>'Monthly Data'!BT33</f>
        <v>0</v>
      </c>
      <c r="H33" s="127">
        <f>'Monthly Data'!CA33</f>
        <v>0</v>
      </c>
      <c r="I33">
        <f>'Monthly Data'!CC33</f>
        <v>31</v>
      </c>
      <c r="K33">
        <f>'Intermediate OLS Model'!$B$5</f>
        <v>-415228.02881662402</v>
      </c>
      <c r="L33" s="186">
        <f>'Intermediate OLS Model'!$B$6*D33</f>
        <v>-184208.58612284288</v>
      </c>
      <c r="M33" s="186">
        <v>0</v>
      </c>
      <c r="N33" s="186">
        <f>F33*'Intermediate OLS Model'!$B$7</f>
        <v>0</v>
      </c>
      <c r="O33" s="186">
        <f>G33*'Intermediate OLS Model'!$B$8</f>
        <v>0</v>
      </c>
      <c r="P33" s="186">
        <f>H33*'Intermediate OLS Model'!$B$9</f>
        <v>0</v>
      </c>
      <c r="Q33" s="186">
        <f>'Intermediate OLS Model'!$B$10*I33</f>
        <v>4597068.1483280482</v>
      </c>
      <c r="R33">
        <f t="shared" si="4"/>
        <v>3997631.5333885811</v>
      </c>
      <c r="S33" s="24">
        <f t="shared" ca="1" si="5"/>
        <v>2.0859749291440486E-3</v>
      </c>
    </row>
    <row r="34" spans="1:19">
      <c r="A34" s="26">
        <f>'Monthly Data'!A34</f>
        <v>40787</v>
      </c>
      <c r="B34">
        <f t="shared" si="1"/>
        <v>2011</v>
      </c>
      <c r="C34">
        <f ca="1">'Monthly Data'!Z34</f>
        <v>3961994.71691</v>
      </c>
      <c r="D34">
        <f>'Monthly Data'!BM34</f>
        <v>33</v>
      </c>
      <c r="E34">
        <f>'Monthly Data'!BJ34</f>
        <v>6674.4</v>
      </c>
      <c r="F34" s="127">
        <f>'Monthly Data'!BS34</f>
        <v>0</v>
      </c>
      <c r="G34" s="127">
        <f>'Monthly Data'!BT34</f>
        <v>0</v>
      </c>
      <c r="H34" s="127">
        <f>'Monthly Data'!CA34</f>
        <v>1</v>
      </c>
      <c r="I34">
        <f>'Monthly Data'!CC34</f>
        <v>30</v>
      </c>
      <c r="K34">
        <f>'Intermediate OLS Model'!$B$5</f>
        <v>-415228.02881662402</v>
      </c>
      <c r="L34" s="186">
        <f>'Intermediate OLS Model'!$B$6*D34</f>
        <v>-189965.10443918171</v>
      </c>
      <c r="M34" s="186">
        <v>0</v>
      </c>
      <c r="N34" s="186">
        <f>F34*'Intermediate OLS Model'!$B$7</f>
        <v>0</v>
      </c>
      <c r="O34" s="186">
        <f>G34*'Intermediate OLS Model'!$B$8</f>
        <v>0</v>
      </c>
      <c r="P34" s="186">
        <f>H34*'Intermediate OLS Model'!$B$9</f>
        <v>219659.05071226999</v>
      </c>
      <c r="Q34" s="186">
        <f>'Intermediate OLS Model'!$B$10*I34</f>
        <v>4448775.6274142396</v>
      </c>
      <c r="R34">
        <f t="shared" si="4"/>
        <v>4063241.5448707039</v>
      </c>
      <c r="S34" s="24">
        <f t="shared" ca="1" si="5"/>
        <v>2.555450857331466E-2</v>
      </c>
    </row>
    <row r="35" spans="1:19">
      <c r="A35" s="26">
        <f>'Monthly Data'!A35</f>
        <v>40817</v>
      </c>
      <c r="B35">
        <f t="shared" si="1"/>
        <v>2011</v>
      </c>
      <c r="C35">
        <f ca="1">'Monthly Data'!Z35</f>
        <v>4046724.6678829999</v>
      </c>
      <c r="D35">
        <f>'Monthly Data'!BM35</f>
        <v>34</v>
      </c>
      <c r="E35">
        <f>'Monthly Data'!BJ35</f>
        <v>6668.1</v>
      </c>
      <c r="F35" s="127">
        <f>'Monthly Data'!BS35</f>
        <v>0</v>
      </c>
      <c r="G35" s="127">
        <f>'Monthly Data'!BT35</f>
        <v>0</v>
      </c>
      <c r="H35" s="127">
        <f>'Monthly Data'!CA35</f>
        <v>1</v>
      </c>
      <c r="I35">
        <f>'Monthly Data'!CC35</f>
        <v>31</v>
      </c>
      <c r="K35">
        <f>'Intermediate OLS Model'!$B$5</f>
        <v>-415228.02881662402</v>
      </c>
      <c r="L35" s="186">
        <f>'Intermediate OLS Model'!$B$6*D35</f>
        <v>-195721.62275552057</v>
      </c>
      <c r="M35" s="186">
        <v>0</v>
      </c>
      <c r="N35" s="186">
        <f>F35*'Intermediate OLS Model'!$B$7</f>
        <v>0</v>
      </c>
      <c r="O35" s="186">
        <f>G35*'Intermediate OLS Model'!$B$8</f>
        <v>0</v>
      </c>
      <c r="P35" s="186">
        <f>H35*'Intermediate OLS Model'!$B$9</f>
        <v>219659.05071226999</v>
      </c>
      <c r="Q35" s="186">
        <f>'Intermediate OLS Model'!$B$10*I35</f>
        <v>4597068.1483280482</v>
      </c>
      <c r="R35">
        <f t="shared" si="4"/>
        <v>4205777.5474681733</v>
      </c>
      <c r="S35" s="24">
        <f t="shared" ca="1" si="5"/>
        <v>3.9304102116831247E-2</v>
      </c>
    </row>
    <row r="36" spans="1:19">
      <c r="A36" s="26">
        <f>'Monthly Data'!A36</f>
        <v>40848</v>
      </c>
      <c r="B36">
        <f t="shared" si="1"/>
        <v>2011</v>
      </c>
      <c r="C36">
        <f ca="1">'Monthly Data'!Z36</f>
        <v>3772717.8805010002</v>
      </c>
      <c r="D36">
        <f>'Monthly Data'!BM36</f>
        <v>35</v>
      </c>
      <c r="E36">
        <f>'Monthly Data'!BJ36</f>
        <v>6662.8</v>
      </c>
      <c r="F36" s="127">
        <f>'Monthly Data'!BS36</f>
        <v>0</v>
      </c>
      <c r="G36" s="127">
        <f>'Monthly Data'!BT36</f>
        <v>0</v>
      </c>
      <c r="H36" s="127">
        <f>'Monthly Data'!CA36</f>
        <v>1</v>
      </c>
      <c r="I36">
        <f>'Monthly Data'!CC36</f>
        <v>30</v>
      </c>
      <c r="K36">
        <f>'Intermediate OLS Model'!$B$5</f>
        <v>-415228.02881662402</v>
      </c>
      <c r="L36" s="186">
        <f>'Intermediate OLS Model'!$B$6*D36</f>
        <v>-201478.1410718594</v>
      </c>
      <c r="M36" s="186">
        <v>0</v>
      </c>
      <c r="N36" s="186">
        <f>F36*'Intermediate OLS Model'!$B$7</f>
        <v>0</v>
      </c>
      <c r="O36" s="186">
        <f>G36*'Intermediate OLS Model'!$B$8</f>
        <v>0</v>
      </c>
      <c r="P36" s="186">
        <f>H36*'Intermediate OLS Model'!$B$9</f>
        <v>219659.05071226999</v>
      </c>
      <c r="Q36" s="186">
        <f>'Intermediate OLS Model'!$B$10*I36</f>
        <v>4448775.6274142396</v>
      </c>
      <c r="R36">
        <f t="shared" si="4"/>
        <v>4051728.5082380259</v>
      </c>
      <c r="S36" s="24">
        <f t="shared" ca="1" si="5"/>
        <v>7.395480833037385E-2</v>
      </c>
    </row>
    <row r="37" spans="1:19">
      <c r="A37" s="26">
        <f>'Monthly Data'!A37</f>
        <v>40878</v>
      </c>
      <c r="B37">
        <f t="shared" si="1"/>
        <v>2011</v>
      </c>
      <c r="C37">
        <f ca="1">'Monthly Data'!Z37</f>
        <v>3705335.743148</v>
      </c>
      <c r="D37">
        <f>'Monthly Data'!BM37</f>
        <v>36</v>
      </c>
      <c r="E37">
        <f>'Monthly Data'!BJ37</f>
        <v>6667.5</v>
      </c>
      <c r="F37" s="127">
        <f>'Monthly Data'!BS37</f>
        <v>0</v>
      </c>
      <c r="G37" s="127">
        <f>'Monthly Data'!BT37</f>
        <v>0</v>
      </c>
      <c r="H37" s="127">
        <f>'Monthly Data'!CA37</f>
        <v>0</v>
      </c>
      <c r="I37">
        <f>'Monthly Data'!CC37</f>
        <v>31</v>
      </c>
      <c r="K37">
        <f>'Intermediate OLS Model'!$B$5</f>
        <v>-415228.02881662402</v>
      </c>
      <c r="L37" s="186">
        <f>'Intermediate OLS Model'!$B$6*D37</f>
        <v>-207234.65938819826</v>
      </c>
      <c r="M37" s="186">
        <v>0</v>
      </c>
      <c r="N37" s="186">
        <f>F37*'Intermediate OLS Model'!$B$7</f>
        <v>0</v>
      </c>
      <c r="O37" s="186">
        <f>G37*'Intermediate OLS Model'!$B$8</f>
        <v>0</v>
      </c>
      <c r="P37" s="186">
        <f>H37*'Intermediate OLS Model'!$B$9</f>
        <v>0</v>
      </c>
      <c r="Q37" s="186">
        <f>'Intermediate OLS Model'!$B$10*I37</f>
        <v>4597068.1483280482</v>
      </c>
      <c r="R37">
        <f t="shared" si="4"/>
        <v>3974605.460123226</v>
      </c>
      <c r="S37" s="24">
        <f t="shared" ca="1" si="5"/>
        <v>7.2670801147552255E-2</v>
      </c>
    </row>
    <row r="38" spans="1:19">
      <c r="A38" s="26">
        <f>'Monthly Data'!A38</f>
        <v>40909</v>
      </c>
      <c r="B38">
        <f t="shared" si="1"/>
        <v>2012</v>
      </c>
      <c r="C38">
        <f ca="1">'Monthly Data'!Z38</f>
        <v>3676968.9810556835</v>
      </c>
      <c r="D38">
        <f>'Monthly Data'!BM38</f>
        <v>37</v>
      </c>
      <c r="E38">
        <f>'Monthly Data'!BJ38</f>
        <v>6673.6</v>
      </c>
      <c r="F38" s="127">
        <f>'Monthly Data'!BS38</f>
        <v>0</v>
      </c>
      <c r="G38" s="127">
        <f>'Monthly Data'!BT38</f>
        <v>0</v>
      </c>
      <c r="H38" s="127">
        <f>'Monthly Data'!CA38</f>
        <v>0</v>
      </c>
      <c r="I38">
        <f>'Monthly Data'!CC38</f>
        <v>31</v>
      </c>
      <c r="K38">
        <f>'Intermediate OLS Model'!$B$5</f>
        <v>-415228.02881662402</v>
      </c>
      <c r="L38" s="186">
        <f>'Intermediate OLS Model'!$B$6*D38</f>
        <v>-212991.17770453708</v>
      </c>
      <c r="M38" s="186">
        <v>0</v>
      </c>
      <c r="N38" s="186">
        <f>F38*'Intermediate OLS Model'!$B$7</f>
        <v>0</v>
      </c>
      <c r="O38" s="186">
        <f>G38*'Intermediate OLS Model'!$B$8</f>
        <v>0</v>
      </c>
      <c r="P38" s="186">
        <f>H38*'Intermediate OLS Model'!$B$9</f>
        <v>0</v>
      </c>
      <c r="Q38" s="186">
        <f>'Intermediate OLS Model'!$B$10*I38</f>
        <v>4597068.1483280482</v>
      </c>
      <c r="R38">
        <f t="shared" si="4"/>
        <v>3968848.9418068873</v>
      </c>
      <c r="S38" s="24">
        <f t="shared" ca="1" si="5"/>
        <v>7.9380588265774016E-2</v>
      </c>
    </row>
    <row r="39" spans="1:19">
      <c r="A39" s="26">
        <f>'Monthly Data'!A39</f>
        <v>40940</v>
      </c>
      <c r="B39">
        <f t="shared" si="1"/>
        <v>2012</v>
      </c>
      <c r="C39">
        <f ca="1">'Monthly Data'!Z39</f>
        <v>3497416.8930946835</v>
      </c>
      <c r="D39">
        <f>'Monthly Data'!BM39</f>
        <v>38</v>
      </c>
      <c r="E39">
        <f>'Monthly Data'!BJ39</f>
        <v>6670.7</v>
      </c>
      <c r="F39" s="127">
        <f>'Monthly Data'!BS39</f>
        <v>0</v>
      </c>
      <c r="G39" s="127">
        <f>'Monthly Data'!BT39</f>
        <v>0</v>
      </c>
      <c r="H39" s="127">
        <f>'Monthly Data'!CA39</f>
        <v>0</v>
      </c>
      <c r="I39">
        <f>'Monthly Data'!CC39</f>
        <v>29</v>
      </c>
      <c r="K39">
        <f>'Intermediate OLS Model'!$B$5</f>
        <v>-415228.02881662402</v>
      </c>
      <c r="L39" s="186">
        <f>'Intermediate OLS Model'!$B$6*D39</f>
        <v>-218747.69602087591</v>
      </c>
      <c r="M39" s="186">
        <v>0</v>
      </c>
      <c r="N39" s="186">
        <f>F39*'Intermediate OLS Model'!$B$7</f>
        <v>0</v>
      </c>
      <c r="O39" s="186">
        <f>G39*'Intermediate OLS Model'!$B$8</f>
        <v>0</v>
      </c>
      <c r="P39" s="186">
        <f>H39*'Intermediate OLS Model'!$B$9</f>
        <v>0</v>
      </c>
      <c r="Q39" s="186">
        <f>'Intermediate OLS Model'!$B$10*I39</f>
        <v>4300483.1065004319</v>
      </c>
      <c r="R39">
        <f t="shared" si="4"/>
        <v>3666507.3816629322</v>
      </c>
      <c r="S39" s="24">
        <f t="shared" ca="1" si="5"/>
        <v>4.8347249909526588E-2</v>
      </c>
    </row>
    <row r="40" spans="1:19">
      <c r="A40" s="26">
        <f>'Monthly Data'!A40</f>
        <v>40969</v>
      </c>
      <c r="B40">
        <f t="shared" si="1"/>
        <v>2012</v>
      </c>
      <c r="C40">
        <f ca="1">'Monthly Data'!Z40</f>
        <v>3797437.6184126833</v>
      </c>
      <c r="D40">
        <f>'Monthly Data'!BM40</f>
        <v>39</v>
      </c>
      <c r="E40">
        <f>'Monthly Data'!BJ40</f>
        <v>6674</v>
      </c>
      <c r="F40" s="127">
        <f>'Monthly Data'!BS40</f>
        <v>0</v>
      </c>
      <c r="G40" s="127">
        <f>'Monthly Data'!BT40</f>
        <v>0</v>
      </c>
      <c r="H40" s="127">
        <f>'Monthly Data'!CA40</f>
        <v>0</v>
      </c>
      <c r="I40">
        <f>'Monthly Data'!CC40</f>
        <v>31</v>
      </c>
      <c r="K40">
        <f>'Intermediate OLS Model'!$B$5</f>
        <v>-415228.02881662402</v>
      </c>
      <c r="L40" s="186">
        <f>'Intermediate OLS Model'!$B$6*D40</f>
        <v>-224504.21433721477</v>
      </c>
      <c r="M40" s="186">
        <v>0</v>
      </c>
      <c r="N40" s="186">
        <f>F40*'Intermediate OLS Model'!$B$7</f>
        <v>0</v>
      </c>
      <c r="O40" s="186">
        <f>G40*'Intermediate OLS Model'!$B$8</f>
        <v>0</v>
      </c>
      <c r="P40" s="186">
        <f>H40*'Intermediate OLS Model'!$B$9</f>
        <v>0</v>
      </c>
      <c r="Q40" s="186">
        <f>'Intermediate OLS Model'!$B$10*I40</f>
        <v>4597068.1483280482</v>
      </c>
      <c r="R40">
        <f t="shared" si="4"/>
        <v>3957335.9051742093</v>
      </c>
      <c r="S40" s="24">
        <f t="shared" ca="1" si="5"/>
        <v>4.210688965270297E-2</v>
      </c>
    </row>
    <row r="41" spans="1:19">
      <c r="A41" s="26">
        <f>'Monthly Data'!A41</f>
        <v>41000</v>
      </c>
      <c r="B41">
        <f t="shared" si="1"/>
        <v>2012</v>
      </c>
      <c r="C41">
        <f ca="1">'Monthly Data'!Z41</f>
        <v>3517504.1996336835</v>
      </c>
      <c r="D41">
        <f>'Monthly Data'!BM41</f>
        <v>40</v>
      </c>
      <c r="E41">
        <f>'Monthly Data'!BJ41</f>
        <v>6685.8</v>
      </c>
      <c r="F41" s="127">
        <f>'Monthly Data'!BS41</f>
        <v>0</v>
      </c>
      <c r="G41" s="127">
        <f>'Monthly Data'!BT41</f>
        <v>0</v>
      </c>
      <c r="H41" s="127">
        <f>'Monthly Data'!CA41</f>
        <v>0</v>
      </c>
      <c r="I41">
        <f>'Monthly Data'!CC41</f>
        <v>30</v>
      </c>
      <c r="K41">
        <f>'Intermediate OLS Model'!$B$5</f>
        <v>-415228.02881662402</v>
      </c>
      <c r="L41" s="186">
        <f>'Intermediate OLS Model'!$B$6*D41</f>
        <v>-230260.7326535536</v>
      </c>
      <c r="M41" s="186">
        <v>0</v>
      </c>
      <c r="N41" s="186">
        <f>F41*'Intermediate OLS Model'!$B$7</f>
        <v>0</v>
      </c>
      <c r="O41" s="186">
        <f>G41*'Intermediate OLS Model'!$B$8</f>
        <v>0</v>
      </c>
      <c r="P41" s="186">
        <f>H41*'Intermediate OLS Model'!$B$9</f>
        <v>0</v>
      </c>
      <c r="Q41" s="186">
        <f>'Intermediate OLS Model'!$B$10*I41</f>
        <v>4448775.6274142396</v>
      </c>
      <c r="R41">
        <f t="shared" si="4"/>
        <v>3803286.8659440619</v>
      </c>
      <c r="S41" s="24">
        <f t="shared" ca="1" si="5"/>
        <v>8.1245863570010818E-2</v>
      </c>
    </row>
    <row r="42" spans="1:19">
      <c r="A42" s="26">
        <f>'Monthly Data'!A42</f>
        <v>41030</v>
      </c>
      <c r="B42">
        <f t="shared" si="1"/>
        <v>2012</v>
      </c>
      <c r="C42">
        <f ca="1">'Monthly Data'!Z42</f>
        <v>4044937.4375086837</v>
      </c>
      <c r="D42">
        <f>'Monthly Data'!BM42</f>
        <v>41</v>
      </c>
      <c r="E42">
        <f>'Monthly Data'!BJ42</f>
        <v>6690.1</v>
      </c>
      <c r="F42" s="127">
        <f>'Monthly Data'!BS42</f>
        <v>0</v>
      </c>
      <c r="G42" s="127">
        <f>'Monthly Data'!BT42</f>
        <v>0</v>
      </c>
      <c r="H42" s="127">
        <f>'Monthly Data'!CA42</f>
        <v>0</v>
      </c>
      <c r="I42">
        <f>'Monthly Data'!CC42</f>
        <v>31</v>
      </c>
      <c r="K42">
        <f>'Intermediate OLS Model'!$B$5</f>
        <v>-415228.02881662402</v>
      </c>
      <c r="L42" s="186">
        <f>'Intermediate OLS Model'!$B$6*D42</f>
        <v>-236017.25096989246</v>
      </c>
      <c r="M42" s="186">
        <v>0</v>
      </c>
      <c r="N42" s="186">
        <f>F42*'Intermediate OLS Model'!$B$7</f>
        <v>0</v>
      </c>
      <c r="O42" s="186">
        <f>G42*'Intermediate OLS Model'!$B$8</f>
        <v>0</v>
      </c>
      <c r="P42" s="186">
        <f>H42*'Intermediate OLS Model'!$B$9</f>
        <v>0</v>
      </c>
      <c r="Q42" s="186">
        <f>'Intermediate OLS Model'!$B$10*I42</f>
        <v>4597068.1483280482</v>
      </c>
      <c r="R42">
        <f t="shared" si="4"/>
        <v>3945822.8685415317</v>
      </c>
      <c r="S42" s="24">
        <f t="shared" ca="1" si="5"/>
        <v>2.450336265971954E-2</v>
      </c>
    </row>
    <row r="43" spans="1:19">
      <c r="A43" s="26">
        <f>'Monthly Data'!A43</f>
        <v>41061</v>
      </c>
      <c r="B43">
        <f t="shared" ref="B43:B97" si="6">YEAR(A43)</f>
        <v>2012</v>
      </c>
      <c r="C43">
        <f ca="1">'Monthly Data'!Z43</f>
        <v>4101522.8000286836</v>
      </c>
      <c r="D43">
        <f>'Monthly Data'!BM43</f>
        <v>42</v>
      </c>
      <c r="E43">
        <f>'Monthly Data'!BJ43</f>
        <v>6693.3</v>
      </c>
      <c r="F43" s="127">
        <f>'Monthly Data'!BS43</f>
        <v>1</v>
      </c>
      <c r="G43" s="127">
        <f>'Monthly Data'!BT43</f>
        <v>0</v>
      </c>
      <c r="H43" s="127">
        <f>'Monthly Data'!CA43</f>
        <v>0</v>
      </c>
      <c r="I43">
        <f>'Monthly Data'!CC43</f>
        <v>30</v>
      </c>
      <c r="K43">
        <f>'Intermediate OLS Model'!$B$5</f>
        <v>-415228.02881662402</v>
      </c>
      <c r="L43" s="186">
        <f>'Intermediate OLS Model'!$B$6*D43</f>
        <v>-241773.76928623128</v>
      </c>
      <c r="M43" s="186">
        <v>0</v>
      </c>
      <c r="N43" s="186">
        <f>F43*'Intermediate OLS Model'!$B$7</f>
        <v>346553.62108035001</v>
      </c>
      <c r="O43" s="186">
        <f>G43*'Intermediate OLS Model'!$B$8</f>
        <v>0</v>
      </c>
      <c r="P43" s="186">
        <f>H43*'Intermediate OLS Model'!$B$9</f>
        <v>0</v>
      </c>
      <c r="Q43" s="186">
        <f>'Intermediate OLS Model'!$B$10*I43</f>
        <v>4448775.6274142396</v>
      </c>
      <c r="R43">
        <f t="shared" si="4"/>
        <v>4138327.450391734</v>
      </c>
      <c r="S43" s="24">
        <f t="shared" ca="1" si="5"/>
        <v>8.9734111347114804E-3</v>
      </c>
    </row>
    <row r="44" spans="1:19">
      <c r="A44" s="26">
        <f>'Monthly Data'!A44</f>
        <v>41091</v>
      </c>
      <c r="B44">
        <f t="shared" si="6"/>
        <v>2012</v>
      </c>
      <c r="C44">
        <f ca="1">'Monthly Data'!Z44</f>
        <v>4189025.0907676835</v>
      </c>
      <c r="D44">
        <f>'Monthly Data'!BM44</f>
        <v>43</v>
      </c>
      <c r="E44">
        <f>'Monthly Data'!BJ44</f>
        <v>6694.6</v>
      </c>
      <c r="F44" s="127">
        <f>'Monthly Data'!BS44</f>
        <v>0</v>
      </c>
      <c r="G44" s="127">
        <f>'Monthly Data'!BT44</f>
        <v>1</v>
      </c>
      <c r="H44" s="127">
        <f>'Monthly Data'!CA44</f>
        <v>0</v>
      </c>
      <c r="I44">
        <f>'Monthly Data'!CC44</f>
        <v>31</v>
      </c>
      <c r="K44">
        <f>'Intermediate OLS Model'!$B$5</f>
        <v>-415228.02881662402</v>
      </c>
      <c r="L44" s="186">
        <f>'Intermediate OLS Model'!$B$6*D44</f>
        <v>-247530.28760257011</v>
      </c>
      <c r="M44" s="186">
        <v>0</v>
      </c>
      <c r="N44" s="186">
        <f>F44*'Intermediate OLS Model'!$B$7</f>
        <v>0</v>
      </c>
      <c r="O44" s="186">
        <f>G44*'Intermediate OLS Model'!$B$8</f>
        <v>428565.96548408002</v>
      </c>
      <c r="P44" s="186">
        <f>H44*'Intermediate OLS Model'!$B$9</f>
        <v>0</v>
      </c>
      <c r="Q44" s="186">
        <f>'Intermediate OLS Model'!$B$10*I44</f>
        <v>4597068.1483280482</v>
      </c>
      <c r="R44">
        <f t="shared" si="4"/>
        <v>4362875.7973929346</v>
      </c>
      <c r="S44" s="24">
        <f t="shared" ca="1" si="5"/>
        <v>4.1501471788365704E-2</v>
      </c>
    </row>
    <row r="45" spans="1:19">
      <c r="A45" s="26">
        <f>'Monthly Data'!A45</f>
        <v>41122</v>
      </c>
      <c r="B45">
        <f t="shared" si="6"/>
        <v>2012</v>
      </c>
      <c r="C45">
        <f ca="1">'Monthly Data'!Z45</f>
        <v>4037293.3264716836</v>
      </c>
      <c r="D45">
        <f>'Monthly Data'!BM45</f>
        <v>44</v>
      </c>
      <c r="E45">
        <f>'Monthly Data'!BJ45</f>
        <v>6703.3</v>
      </c>
      <c r="F45" s="127">
        <f>'Monthly Data'!BS45</f>
        <v>0</v>
      </c>
      <c r="G45" s="127">
        <f>'Monthly Data'!BT45</f>
        <v>0</v>
      </c>
      <c r="H45" s="127">
        <f>'Monthly Data'!CA45</f>
        <v>0</v>
      </c>
      <c r="I45">
        <f>'Monthly Data'!CC45</f>
        <v>31</v>
      </c>
      <c r="K45">
        <f>'Intermediate OLS Model'!$B$5</f>
        <v>-415228.02881662402</v>
      </c>
      <c r="L45" s="186">
        <f>'Intermediate OLS Model'!$B$6*D45</f>
        <v>-253286.80591890897</v>
      </c>
      <c r="M45" s="186">
        <v>0</v>
      </c>
      <c r="N45" s="186">
        <f>F45*'Intermediate OLS Model'!$B$7</f>
        <v>0</v>
      </c>
      <c r="O45" s="186">
        <f>G45*'Intermediate OLS Model'!$B$8</f>
        <v>0</v>
      </c>
      <c r="P45" s="186">
        <f>H45*'Intermediate OLS Model'!$B$9</f>
        <v>0</v>
      </c>
      <c r="Q45" s="186">
        <f>'Intermediate OLS Model'!$B$10*I45</f>
        <v>4597068.1483280482</v>
      </c>
      <c r="R45">
        <f t="shared" si="4"/>
        <v>3928553.313592515</v>
      </c>
      <c r="S45" s="24">
        <f t="shared" ca="1" si="5"/>
        <v>2.6933889634964892E-2</v>
      </c>
    </row>
    <row r="46" spans="1:19">
      <c r="A46" s="26">
        <f>'Monthly Data'!A46</f>
        <v>41153</v>
      </c>
      <c r="B46">
        <f t="shared" si="6"/>
        <v>2012</v>
      </c>
      <c r="C46">
        <f ca="1">'Monthly Data'!Z46</f>
        <v>3505149.0576776834</v>
      </c>
      <c r="D46">
        <f>'Monthly Data'!BM46</f>
        <v>45</v>
      </c>
      <c r="E46">
        <f>'Monthly Data'!BJ46</f>
        <v>6707.4</v>
      </c>
      <c r="F46" s="127">
        <f>'Monthly Data'!BS46</f>
        <v>0</v>
      </c>
      <c r="G46" s="127">
        <f>'Monthly Data'!BT46</f>
        <v>0</v>
      </c>
      <c r="H46" s="127">
        <f>'Monthly Data'!CA46</f>
        <v>1</v>
      </c>
      <c r="I46">
        <f>'Monthly Data'!CC46</f>
        <v>30</v>
      </c>
      <c r="K46">
        <f>'Intermediate OLS Model'!$B$5</f>
        <v>-415228.02881662402</v>
      </c>
      <c r="L46" s="186">
        <f>'Intermediate OLS Model'!$B$6*D46</f>
        <v>-259043.3242352478</v>
      </c>
      <c r="M46" s="186">
        <v>0</v>
      </c>
      <c r="N46" s="186">
        <f>F46*'Intermediate OLS Model'!$B$7</f>
        <v>0</v>
      </c>
      <c r="O46" s="186">
        <f>G46*'Intermediate OLS Model'!$B$8</f>
        <v>0</v>
      </c>
      <c r="P46" s="186">
        <f>H46*'Intermediate OLS Model'!$B$9</f>
        <v>219659.05071226999</v>
      </c>
      <c r="Q46" s="186">
        <f>'Intermediate OLS Model'!$B$10*I46</f>
        <v>4448775.6274142396</v>
      </c>
      <c r="R46">
        <f t="shared" si="4"/>
        <v>3994163.3250746378</v>
      </c>
      <c r="S46" s="24">
        <f t="shared" ca="1" si="5"/>
        <v>0.13951311609011799</v>
      </c>
    </row>
    <row r="47" spans="1:19">
      <c r="A47" s="26">
        <f>'Monthly Data'!A47</f>
        <v>41183</v>
      </c>
      <c r="B47">
        <f t="shared" si="6"/>
        <v>2012</v>
      </c>
      <c r="C47">
        <f ca="1">'Monthly Data'!Z47</f>
        <v>3665713.2215106837</v>
      </c>
      <c r="D47">
        <f>'Monthly Data'!BM47</f>
        <v>46</v>
      </c>
      <c r="E47">
        <f>'Monthly Data'!BJ47</f>
        <v>6710</v>
      </c>
      <c r="F47" s="127">
        <f>'Monthly Data'!BS47</f>
        <v>0</v>
      </c>
      <c r="G47" s="127">
        <f>'Monthly Data'!BT47</f>
        <v>0</v>
      </c>
      <c r="H47" s="127">
        <f>'Monthly Data'!CA47</f>
        <v>1</v>
      </c>
      <c r="I47">
        <f>'Monthly Data'!CC47</f>
        <v>31</v>
      </c>
      <c r="K47">
        <f>'Intermediate OLS Model'!$B$5</f>
        <v>-415228.02881662402</v>
      </c>
      <c r="L47" s="186">
        <f>'Intermediate OLS Model'!$B$6*D47</f>
        <v>-264799.84255158663</v>
      </c>
      <c r="M47" s="186">
        <v>0</v>
      </c>
      <c r="N47" s="186">
        <f>F47*'Intermediate OLS Model'!$B$7</f>
        <v>0</v>
      </c>
      <c r="O47" s="186">
        <f>G47*'Intermediate OLS Model'!$B$8</f>
        <v>0</v>
      </c>
      <c r="P47" s="186">
        <f>H47*'Intermediate OLS Model'!$B$9</f>
        <v>219659.05071226999</v>
      </c>
      <c r="Q47" s="186">
        <f>'Intermediate OLS Model'!$B$10*I47</f>
        <v>4597068.1483280482</v>
      </c>
      <c r="R47">
        <f t="shared" si="4"/>
        <v>4136699.3276721076</v>
      </c>
      <c r="S47" s="24">
        <f t="shared" ca="1" si="5"/>
        <v>0.12848416602740273</v>
      </c>
    </row>
    <row r="48" spans="1:19">
      <c r="A48" s="26">
        <f>'Monthly Data'!A48</f>
        <v>41214</v>
      </c>
      <c r="B48">
        <f t="shared" si="6"/>
        <v>2012</v>
      </c>
      <c r="C48">
        <f ca="1">'Monthly Data'!Z48</f>
        <v>4332336.8526676828</v>
      </c>
      <c r="D48">
        <f>'Monthly Data'!BM48</f>
        <v>47</v>
      </c>
      <c r="E48">
        <f>'Monthly Data'!BJ48</f>
        <v>6722.4</v>
      </c>
      <c r="F48" s="127">
        <f>'Monthly Data'!BS48</f>
        <v>0</v>
      </c>
      <c r="G48" s="127">
        <f>'Monthly Data'!BT48</f>
        <v>0</v>
      </c>
      <c r="H48" s="127">
        <f>'Monthly Data'!CA48</f>
        <v>1</v>
      </c>
      <c r="I48">
        <f>'Monthly Data'!CC48</f>
        <v>30</v>
      </c>
      <c r="K48">
        <f>'Intermediate OLS Model'!$B$5</f>
        <v>-415228.02881662402</v>
      </c>
      <c r="L48" s="186">
        <f>'Intermediate OLS Model'!$B$6*D48</f>
        <v>-270556.36086792551</v>
      </c>
      <c r="M48" s="186">
        <v>0</v>
      </c>
      <c r="N48" s="186">
        <f>F48*'Intermediate OLS Model'!$B$7</f>
        <v>0</v>
      </c>
      <c r="O48" s="186">
        <f>G48*'Intermediate OLS Model'!$B$8</f>
        <v>0</v>
      </c>
      <c r="P48" s="186">
        <f>H48*'Intermediate OLS Model'!$B$9</f>
        <v>219659.05071226999</v>
      </c>
      <c r="Q48" s="186">
        <f>'Intermediate OLS Model'!$B$10*I48</f>
        <v>4448775.6274142396</v>
      </c>
      <c r="R48">
        <f t="shared" si="4"/>
        <v>3982650.2884419598</v>
      </c>
      <c r="S48" s="24">
        <f t="shared" ca="1" si="5"/>
        <v>8.0715460528051924E-2</v>
      </c>
    </row>
    <row r="49" spans="1:19">
      <c r="A49" s="26">
        <f>'Monthly Data'!A49</f>
        <v>41244</v>
      </c>
      <c r="B49">
        <f t="shared" si="6"/>
        <v>2012</v>
      </c>
      <c r="C49">
        <f ca="1">'Monthly Data'!Z49</f>
        <v>3431298.8417096836</v>
      </c>
      <c r="D49">
        <f>'Monthly Data'!BM49</f>
        <v>48</v>
      </c>
      <c r="E49">
        <f>'Monthly Data'!BJ49</f>
        <v>6740.6</v>
      </c>
      <c r="F49" s="127">
        <f>'Monthly Data'!BS49</f>
        <v>0</v>
      </c>
      <c r="G49" s="127">
        <f>'Monthly Data'!BT49</f>
        <v>0</v>
      </c>
      <c r="H49" s="127">
        <f>'Monthly Data'!CA49</f>
        <v>0</v>
      </c>
      <c r="I49">
        <f>'Monthly Data'!CC49</f>
        <v>31</v>
      </c>
      <c r="K49">
        <f>'Intermediate OLS Model'!$B$5</f>
        <v>-415228.02881662402</v>
      </c>
      <c r="L49" s="186">
        <f>'Intermediate OLS Model'!$B$6*D49</f>
        <v>-276312.87918426434</v>
      </c>
      <c r="M49" s="186">
        <v>0</v>
      </c>
      <c r="N49" s="186">
        <f>F49*'Intermediate OLS Model'!$B$7</f>
        <v>0</v>
      </c>
      <c r="O49" s="186">
        <f>G49*'Intermediate OLS Model'!$B$8</f>
        <v>0</v>
      </c>
      <c r="P49" s="186">
        <f>H49*'Intermediate OLS Model'!$B$9</f>
        <v>0</v>
      </c>
      <c r="Q49" s="186">
        <f>'Intermediate OLS Model'!$B$10*I49</f>
        <v>4597068.1483280482</v>
      </c>
      <c r="R49">
        <f t="shared" si="4"/>
        <v>3905527.2403271599</v>
      </c>
      <c r="S49" s="24">
        <f t="shared" ca="1" si="5"/>
        <v>0.13820667347679533</v>
      </c>
    </row>
    <row r="50" spans="1:19">
      <c r="A50" s="26">
        <f>'Monthly Data'!A50</f>
        <v>41275</v>
      </c>
      <c r="B50">
        <f t="shared" si="6"/>
        <v>2013</v>
      </c>
      <c r="C50">
        <f ca="1">'Monthly Data'!Z50</f>
        <v>3650792.2621592293</v>
      </c>
      <c r="D50">
        <f>'Monthly Data'!BM50</f>
        <v>49</v>
      </c>
      <c r="E50">
        <f>'Monthly Data'!BJ50</f>
        <v>6758.8</v>
      </c>
      <c r="F50" s="127">
        <f>'Monthly Data'!BS50</f>
        <v>0</v>
      </c>
      <c r="G50" s="127">
        <f>'Monthly Data'!BT50</f>
        <v>0</v>
      </c>
      <c r="H50" s="127">
        <f>'Monthly Data'!CA50</f>
        <v>0</v>
      </c>
      <c r="I50">
        <f>'Monthly Data'!CC50</f>
        <v>31</v>
      </c>
      <c r="K50">
        <f>'Intermediate OLS Model'!$B$5</f>
        <v>-415228.02881662402</v>
      </c>
      <c r="L50" s="186">
        <f>'Intermediate OLS Model'!$B$6*D50</f>
        <v>-282069.39750060317</v>
      </c>
      <c r="M50" s="186">
        <v>0</v>
      </c>
      <c r="N50" s="186">
        <f>F50*'Intermediate OLS Model'!$B$7</f>
        <v>0</v>
      </c>
      <c r="O50" s="186">
        <f>G50*'Intermediate OLS Model'!$B$8</f>
        <v>0</v>
      </c>
      <c r="P50" s="186">
        <f>H50*'Intermediate OLS Model'!$B$9</f>
        <v>0</v>
      </c>
      <c r="Q50" s="186">
        <f>'Intermediate OLS Model'!$B$10*I50</f>
        <v>4597068.1483280482</v>
      </c>
      <c r="R50">
        <f t="shared" si="4"/>
        <v>3899770.7220108211</v>
      </c>
      <c r="S50" s="24">
        <f t="shared" ca="1" si="5"/>
        <v>6.8198473638797441E-2</v>
      </c>
    </row>
    <row r="51" spans="1:19">
      <c r="A51" s="26">
        <f>'Monthly Data'!A51</f>
        <v>41306</v>
      </c>
      <c r="B51">
        <f t="shared" si="6"/>
        <v>2013</v>
      </c>
      <c r="C51">
        <f ca="1">'Monthly Data'!Z51</f>
        <v>3160249.3168802294</v>
      </c>
      <c r="D51">
        <f>'Monthly Data'!BM51</f>
        <v>50</v>
      </c>
      <c r="E51">
        <f>'Monthly Data'!BJ51</f>
        <v>6775.5</v>
      </c>
      <c r="F51" s="127">
        <f>'Monthly Data'!BS51</f>
        <v>0</v>
      </c>
      <c r="G51" s="127">
        <f>'Monthly Data'!BT51</f>
        <v>0</v>
      </c>
      <c r="H51" s="127">
        <f>'Monthly Data'!CA51</f>
        <v>0</v>
      </c>
      <c r="I51">
        <f>'Monthly Data'!CC51</f>
        <v>28</v>
      </c>
      <c r="K51">
        <f>'Intermediate OLS Model'!$B$5</f>
        <v>-415228.02881662402</v>
      </c>
      <c r="L51" s="186">
        <f>'Intermediate OLS Model'!$B$6*D51</f>
        <v>-287825.915816942</v>
      </c>
      <c r="M51" s="186">
        <v>0</v>
      </c>
      <c r="N51" s="186">
        <f>F51*'Intermediate OLS Model'!$B$7</f>
        <v>0</v>
      </c>
      <c r="O51" s="186">
        <f>G51*'Intermediate OLS Model'!$B$8</f>
        <v>0</v>
      </c>
      <c r="P51" s="186">
        <f>H51*'Intermediate OLS Model'!$B$9</f>
        <v>0</v>
      </c>
      <c r="Q51" s="186">
        <f>'Intermediate OLS Model'!$B$10*I51</f>
        <v>4152190.5855866238</v>
      </c>
      <c r="R51">
        <f t="shared" si="4"/>
        <v>3449136.6409530574</v>
      </c>
      <c r="S51" s="24">
        <f t="shared" ca="1" si="5"/>
        <v>9.1412826997464586E-2</v>
      </c>
    </row>
    <row r="52" spans="1:19">
      <c r="A52" s="26">
        <f>'Monthly Data'!A52</f>
        <v>41334</v>
      </c>
      <c r="B52">
        <f t="shared" si="6"/>
        <v>2013</v>
      </c>
      <c r="C52">
        <f ca="1">'Monthly Data'!Z52</f>
        <v>2795571.2968722293</v>
      </c>
      <c r="D52">
        <f>'Monthly Data'!BM52</f>
        <v>51</v>
      </c>
      <c r="E52">
        <f>'Monthly Data'!BJ52</f>
        <v>6781.1</v>
      </c>
      <c r="F52" s="127">
        <f>'Monthly Data'!BS52</f>
        <v>0</v>
      </c>
      <c r="G52" s="127">
        <f>'Monthly Data'!BT52</f>
        <v>0</v>
      </c>
      <c r="H52" s="127">
        <f>'Monthly Data'!CA52</f>
        <v>0</v>
      </c>
      <c r="I52">
        <f>'Monthly Data'!CC52</f>
        <v>31</v>
      </c>
      <c r="K52">
        <f>'Intermediate OLS Model'!$B$5</f>
        <v>-415228.02881662402</v>
      </c>
      <c r="L52" s="186">
        <f>'Intermediate OLS Model'!$B$6*D52</f>
        <v>-293582.43413328083</v>
      </c>
      <c r="M52" s="186">
        <v>0</v>
      </c>
      <c r="N52" s="186">
        <f>F52*'Intermediate OLS Model'!$B$7</f>
        <v>0</v>
      </c>
      <c r="O52" s="186">
        <f>G52*'Intermediate OLS Model'!$B$8</f>
        <v>0</v>
      </c>
      <c r="P52" s="186">
        <f>H52*'Intermediate OLS Model'!$B$9</f>
        <v>0</v>
      </c>
      <c r="Q52" s="186">
        <f>'Intermediate OLS Model'!$B$10*I52</f>
        <v>4597068.1483280482</v>
      </c>
      <c r="R52">
        <f t="shared" si="4"/>
        <v>3888257.6853781436</v>
      </c>
      <c r="S52" s="24">
        <f t="shared" ca="1" si="5"/>
        <v>0.39086335938863204</v>
      </c>
    </row>
    <row r="53" spans="1:19">
      <c r="A53" s="26">
        <f>'Monthly Data'!A53</f>
        <v>41365</v>
      </c>
      <c r="B53">
        <f t="shared" si="6"/>
        <v>2013</v>
      </c>
      <c r="C53">
        <f ca="1">'Monthly Data'!Z53</f>
        <v>3642488.5188232292</v>
      </c>
      <c r="D53">
        <f>'Monthly Data'!BM53</f>
        <v>52</v>
      </c>
      <c r="E53">
        <f>'Monthly Data'!BJ53</f>
        <v>6788.9</v>
      </c>
      <c r="F53" s="127">
        <f>'Monthly Data'!BS53</f>
        <v>0</v>
      </c>
      <c r="G53" s="127">
        <f>'Monthly Data'!BT53</f>
        <v>0</v>
      </c>
      <c r="H53" s="127">
        <f>'Monthly Data'!CA53</f>
        <v>0</v>
      </c>
      <c r="I53">
        <f>'Monthly Data'!CC53</f>
        <v>30</v>
      </c>
      <c r="K53">
        <f>'Intermediate OLS Model'!$B$5</f>
        <v>-415228.02881662402</v>
      </c>
      <c r="L53" s="186">
        <f>'Intermediate OLS Model'!$B$6*D53</f>
        <v>-299338.95244961971</v>
      </c>
      <c r="M53" s="186">
        <v>0</v>
      </c>
      <c r="N53" s="186">
        <f>F53*'Intermediate OLS Model'!$B$7</f>
        <v>0</v>
      </c>
      <c r="O53" s="186">
        <f>G53*'Intermediate OLS Model'!$B$8</f>
        <v>0</v>
      </c>
      <c r="P53" s="186">
        <f>H53*'Intermediate OLS Model'!$B$9</f>
        <v>0</v>
      </c>
      <c r="Q53" s="186">
        <f>'Intermediate OLS Model'!$B$10*I53</f>
        <v>4448775.6274142396</v>
      </c>
      <c r="R53">
        <f t="shared" si="4"/>
        <v>3734208.6461479957</v>
      </c>
      <c r="S53" s="24">
        <f t="shared" ca="1" si="5"/>
        <v>2.5180622217691521E-2</v>
      </c>
    </row>
    <row r="54" spans="1:19">
      <c r="A54" s="26">
        <f>'Monthly Data'!A54</f>
        <v>41395</v>
      </c>
      <c r="B54">
        <f t="shared" si="6"/>
        <v>2013</v>
      </c>
      <c r="C54">
        <f ca="1">'Monthly Data'!Z54</f>
        <v>4167859.4824122293</v>
      </c>
      <c r="D54">
        <f>'Monthly Data'!BM54</f>
        <v>53</v>
      </c>
      <c r="E54">
        <f>'Monthly Data'!BJ54</f>
        <v>6801.1</v>
      </c>
      <c r="F54" s="127">
        <f>'Monthly Data'!BS54</f>
        <v>0</v>
      </c>
      <c r="G54" s="127">
        <f>'Monthly Data'!BT54</f>
        <v>0</v>
      </c>
      <c r="H54" s="127">
        <f>'Monthly Data'!CA54</f>
        <v>0</v>
      </c>
      <c r="I54">
        <f>'Monthly Data'!CC54</f>
        <v>31</v>
      </c>
      <c r="K54">
        <f>'Intermediate OLS Model'!$B$5</f>
        <v>-415228.02881662402</v>
      </c>
      <c r="L54" s="186">
        <f>'Intermediate OLS Model'!$B$6*D54</f>
        <v>-305095.47076595854</v>
      </c>
      <c r="M54" s="186">
        <v>0</v>
      </c>
      <c r="N54" s="186">
        <f>F54*'Intermediate OLS Model'!$B$7</f>
        <v>0</v>
      </c>
      <c r="O54" s="186">
        <f>G54*'Intermediate OLS Model'!$B$8</f>
        <v>0</v>
      </c>
      <c r="P54" s="186">
        <f>H54*'Intermediate OLS Model'!$B$9</f>
        <v>0</v>
      </c>
      <c r="Q54" s="186">
        <f>'Intermediate OLS Model'!$B$10*I54</f>
        <v>4597068.1483280482</v>
      </c>
      <c r="R54">
        <f t="shared" ref="R54:R85" si="7">SUM(K54:Q54)</f>
        <v>3876744.6487454656</v>
      </c>
      <c r="S54" s="24">
        <f t="shared" ref="S54:S85" ca="1" si="8">ABS(R54-C54)/C54</f>
        <v>6.9847564414113925E-2</v>
      </c>
    </row>
    <row r="55" spans="1:19">
      <c r="A55" s="26">
        <f>'Monthly Data'!A55</f>
        <v>41426</v>
      </c>
      <c r="B55">
        <f t="shared" si="6"/>
        <v>2013</v>
      </c>
      <c r="C55">
        <f ca="1">'Monthly Data'!Z55</f>
        <v>4054002.5970822293</v>
      </c>
      <c r="D55">
        <f>'Monthly Data'!BM55</f>
        <v>54</v>
      </c>
      <c r="E55">
        <f>'Monthly Data'!BJ55</f>
        <v>6815.2</v>
      </c>
      <c r="F55" s="127">
        <f>'Monthly Data'!BS55</f>
        <v>1</v>
      </c>
      <c r="G55" s="127">
        <f>'Monthly Data'!BT55</f>
        <v>0</v>
      </c>
      <c r="H55" s="127">
        <f>'Monthly Data'!CA55</f>
        <v>0</v>
      </c>
      <c r="I55">
        <f>'Monthly Data'!CC55</f>
        <v>30</v>
      </c>
      <c r="K55">
        <f>'Intermediate OLS Model'!$B$5</f>
        <v>-415228.02881662402</v>
      </c>
      <c r="L55" s="186">
        <f>'Intermediate OLS Model'!$B$6*D55</f>
        <v>-310851.98908229737</v>
      </c>
      <c r="M55" s="186">
        <v>0</v>
      </c>
      <c r="N55" s="186">
        <f>F55*'Intermediate OLS Model'!$B$7</f>
        <v>346553.62108035001</v>
      </c>
      <c r="O55" s="186">
        <f>G55*'Intermediate OLS Model'!$B$8</f>
        <v>0</v>
      </c>
      <c r="P55" s="186">
        <f>H55*'Intermediate OLS Model'!$B$9</f>
        <v>0</v>
      </c>
      <c r="Q55" s="186">
        <f>'Intermediate OLS Model'!$B$10*I55</f>
        <v>4448775.6274142396</v>
      </c>
      <c r="R55">
        <f t="shared" si="7"/>
        <v>4069249.2305956683</v>
      </c>
      <c r="S55" s="24">
        <f t="shared" ca="1" si="8"/>
        <v>3.7608840024948129E-3</v>
      </c>
    </row>
    <row r="56" spans="1:19">
      <c r="A56" s="26">
        <f>'Monthly Data'!A56</f>
        <v>41456</v>
      </c>
      <c r="B56">
        <f t="shared" si="6"/>
        <v>2013</v>
      </c>
      <c r="C56">
        <f ca="1">'Monthly Data'!Z56</f>
        <v>4267179.141496229</v>
      </c>
      <c r="D56">
        <f>'Monthly Data'!BM56</f>
        <v>55</v>
      </c>
      <c r="E56">
        <f>'Monthly Data'!BJ56</f>
        <v>6826.2</v>
      </c>
      <c r="F56" s="127">
        <f>'Monthly Data'!BS56</f>
        <v>0</v>
      </c>
      <c r="G56" s="127">
        <f>'Monthly Data'!BT56</f>
        <v>1</v>
      </c>
      <c r="H56" s="127">
        <f>'Monthly Data'!CA56</f>
        <v>0</v>
      </c>
      <c r="I56">
        <f>'Monthly Data'!CC56</f>
        <v>31</v>
      </c>
      <c r="K56">
        <f>'Intermediate OLS Model'!$B$5</f>
        <v>-415228.02881662402</v>
      </c>
      <c r="L56" s="186">
        <f>'Intermediate OLS Model'!$B$6*D56</f>
        <v>-316608.5073986362</v>
      </c>
      <c r="M56" s="186">
        <v>0</v>
      </c>
      <c r="N56" s="186">
        <f>F56*'Intermediate OLS Model'!$B$7</f>
        <v>0</v>
      </c>
      <c r="O56" s="186">
        <f>G56*'Intermediate OLS Model'!$B$8</f>
        <v>428565.96548408002</v>
      </c>
      <c r="P56" s="186">
        <f>H56*'Intermediate OLS Model'!$B$9</f>
        <v>0</v>
      </c>
      <c r="Q56" s="186">
        <f>'Intermediate OLS Model'!$B$10*I56</f>
        <v>4597068.1483280482</v>
      </c>
      <c r="R56">
        <f t="shared" si="7"/>
        <v>4293797.5775968684</v>
      </c>
      <c r="S56" s="24">
        <f t="shared" ca="1" si="8"/>
        <v>6.2379467132720389E-3</v>
      </c>
    </row>
    <row r="57" spans="1:19">
      <c r="A57" s="26">
        <f>'Monthly Data'!A57</f>
        <v>41487</v>
      </c>
      <c r="B57">
        <f t="shared" si="6"/>
        <v>2013</v>
      </c>
      <c r="C57">
        <f ca="1">'Monthly Data'!Z57</f>
        <v>3913373.0792622296</v>
      </c>
      <c r="D57">
        <f>'Monthly Data'!BM57</f>
        <v>56</v>
      </c>
      <c r="E57">
        <f>'Monthly Data'!BJ57</f>
        <v>6833.9</v>
      </c>
      <c r="F57" s="127">
        <f>'Monthly Data'!BS57</f>
        <v>0</v>
      </c>
      <c r="G57" s="127">
        <f>'Monthly Data'!BT57</f>
        <v>0</v>
      </c>
      <c r="H57" s="127">
        <f>'Monthly Data'!CA57</f>
        <v>0</v>
      </c>
      <c r="I57">
        <f>'Monthly Data'!CC57</f>
        <v>31</v>
      </c>
      <c r="K57">
        <f>'Intermediate OLS Model'!$B$5</f>
        <v>-415228.02881662402</v>
      </c>
      <c r="L57" s="186">
        <f>'Intermediate OLS Model'!$B$6*D57</f>
        <v>-322365.02571497503</v>
      </c>
      <c r="M57" s="186">
        <v>0</v>
      </c>
      <c r="N57" s="186">
        <f>F57*'Intermediate OLS Model'!$B$7</f>
        <v>0</v>
      </c>
      <c r="O57" s="186">
        <f>G57*'Intermediate OLS Model'!$B$8</f>
        <v>0</v>
      </c>
      <c r="P57" s="186">
        <f>H57*'Intermediate OLS Model'!$B$9</f>
        <v>0</v>
      </c>
      <c r="Q57" s="186">
        <f>'Intermediate OLS Model'!$B$10*I57</f>
        <v>4597068.1483280482</v>
      </c>
      <c r="R57">
        <f t="shared" si="7"/>
        <v>3859475.0937964492</v>
      </c>
      <c r="S57" s="24">
        <f t="shared" ca="1" si="8"/>
        <v>1.3772769519828533E-2</v>
      </c>
    </row>
    <row r="58" spans="1:19">
      <c r="A58" s="26">
        <f>'Monthly Data'!A58</f>
        <v>41518</v>
      </c>
      <c r="B58">
        <f t="shared" si="6"/>
        <v>2013</v>
      </c>
      <c r="C58">
        <f ca="1">'Monthly Data'!Z58</f>
        <v>4476539.753896229</v>
      </c>
      <c r="D58">
        <f>'Monthly Data'!BM58</f>
        <v>57</v>
      </c>
      <c r="E58">
        <f>'Monthly Data'!BJ58</f>
        <v>6843.3</v>
      </c>
      <c r="F58" s="127">
        <f>'Monthly Data'!BS58</f>
        <v>0</v>
      </c>
      <c r="G58" s="127">
        <f>'Monthly Data'!BT58</f>
        <v>0</v>
      </c>
      <c r="H58" s="127">
        <f>'Monthly Data'!CA58</f>
        <v>1</v>
      </c>
      <c r="I58">
        <f>'Monthly Data'!CC58</f>
        <v>30</v>
      </c>
      <c r="K58">
        <f>'Intermediate OLS Model'!$B$5</f>
        <v>-415228.02881662402</v>
      </c>
      <c r="L58" s="186">
        <f>'Intermediate OLS Model'!$B$6*D58</f>
        <v>-328121.54403131391</v>
      </c>
      <c r="M58" s="186">
        <v>0</v>
      </c>
      <c r="N58" s="186">
        <f>F58*'Intermediate OLS Model'!$B$7</f>
        <v>0</v>
      </c>
      <c r="O58" s="186">
        <f>G58*'Intermediate OLS Model'!$B$8</f>
        <v>0</v>
      </c>
      <c r="P58" s="186">
        <f>H58*'Intermediate OLS Model'!$B$9</f>
        <v>219659.05071226999</v>
      </c>
      <c r="Q58" s="186">
        <f>'Intermediate OLS Model'!$B$10*I58</f>
        <v>4448775.6274142396</v>
      </c>
      <c r="R58">
        <f t="shared" si="7"/>
        <v>3925085.1052785716</v>
      </c>
      <c r="S58" s="24">
        <f t="shared" ca="1" si="8"/>
        <v>0.1231877027647727</v>
      </c>
    </row>
    <row r="59" spans="1:19">
      <c r="A59" s="26">
        <f>'Monthly Data'!A59</f>
        <v>41548</v>
      </c>
      <c r="B59">
        <f t="shared" si="6"/>
        <v>2013</v>
      </c>
      <c r="C59">
        <f ca="1">'Monthly Data'!Z59</f>
        <v>4212272.7133522294</v>
      </c>
      <c r="D59">
        <f>'Monthly Data'!BM59</f>
        <v>58</v>
      </c>
      <c r="E59">
        <f>'Monthly Data'!BJ59</f>
        <v>6850.3</v>
      </c>
      <c r="F59" s="127">
        <f>'Monthly Data'!BS59</f>
        <v>0</v>
      </c>
      <c r="G59" s="127">
        <f>'Monthly Data'!BT59</f>
        <v>0</v>
      </c>
      <c r="H59" s="127">
        <f>'Monthly Data'!CA59</f>
        <v>1</v>
      </c>
      <c r="I59">
        <f>'Monthly Data'!CC59</f>
        <v>31</v>
      </c>
      <c r="K59">
        <f>'Intermediate OLS Model'!$B$5</f>
        <v>-415228.02881662402</v>
      </c>
      <c r="L59" s="186">
        <f>'Intermediate OLS Model'!$B$6*D59</f>
        <v>-333878.06234765274</v>
      </c>
      <c r="M59" s="186">
        <v>0</v>
      </c>
      <c r="N59" s="186">
        <f>F59*'Intermediate OLS Model'!$B$7</f>
        <v>0</v>
      </c>
      <c r="O59" s="186">
        <f>G59*'Intermediate OLS Model'!$B$8</f>
        <v>0</v>
      </c>
      <c r="P59" s="186">
        <f>H59*'Intermediate OLS Model'!$B$9</f>
        <v>219659.05071226999</v>
      </c>
      <c r="Q59" s="186">
        <f>'Intermediate OLS Model'!$B$10*I59</f>
        <v>4597068.1483280482</v>
      </c>
      <c r="R59">
        <f t="shared" si="7"/>
        <v>4067621.1078760414</v>
      </c>
      <c r="S59" s="24">
        <f t="shared" ca="1" si="8"/>
        <v>3.4340512905934512E-2</v>
      </c>
    </row>
    <row r="60" spans="1:19">
      <c r="A60" s="26">
        <f>'Monthly Data'!A60</f>
        <v>41579</v>
      </c>
      <c r="B60">
        <f t="shared" si="6"/>
        <v>2013</v>
      </c>
      <c r="C60">
        <f ca="1">'Monthly Data'!Z60</f>
        <v>3811378.5648942296</v>
      </c>
      <c r="D60">
        <f>'Monthly Data'!BM60</f>
        <v>59</v>
      </c>
      <c r="E60">
        <f>'Monthly Data'!BJ60</f>
        <v>6854</v>
      </c>
      <c r="F60" s="127">
        <f>'Monthly Data'!BS60</f>
        <v>0</v>
      </c>
      <c r="G60" s="127">
        <f>'Monthly Data'!BT60</f>
        <v>0</v>
      </c>
      <c r="H60" s="127">
        <f>'Monthly Data'!CA60</f>
        <v>1</v>
      </c>
      <c r="I60">
        <f>'Monthly Data'!CC60</f>
        <v>30</v>
      </c>
      <c r="K60">
        <f>'Intermediate OLS Model'!$B$5</f>
        <v>-415228.02881662402</v>
      </c>
      <c r="L60" s="186">
        <f>'Intermediate OLS Model'!$B$6*D60</f>
        <v>-339634.58066399157</v>
      </c>
      <c r="M60" s="186">
        <v>0</v>
      </c>
      <c r="N60" s="186">
        <f>F60*'Intermediate OLS Model'!$B$7</f>
        <v>0</v>
      </c>
      <c r="O60" s="186">
        <f>G60*'Intermediate OLS Model'!$B$8</f>
        <v>0</v>
      </c>
      <c r="P60" s="186">
        <f>H60*'Intermediate OLS Model'!$B$9</f>
        <v>219659.05071226999</v>
      </c>
      <c r="Q60" s="186">
        <f>'Intermediate OLS Model'!$B$10*I60</f>
        <v>4448775.6274142396</v>
      </c>
      <c r="R60">
        <f t="shared" si="7"/>
        <v>3913572.0686458941</v>
      </c>
      <c r="S60" s="24">
        <f t="shared" ca="1" si="8"/>
        <v>2.6812740327855734E-2</v>
      </c>
    </row>
    <row r="61" spans="1:19">
      <c r="A61" s="26">
        <f>'Monthly Data'!A61</f>
        <v>41609</v>
      </c>
      <c r="B61">
        <f t="shared" si="6"/>
        <v>2013</v>
      </c>
      <c r="C61">
        <f ca="1">'Monthly Data'!Z61</f>
        <v>3578441.9494242296</v>
      </c>
      <c r="D61">
        <f>'Monthly Data'!BM61</f>
        <v>60</v>
      </c>
      <c r="E61">
        <f>'Monthly Data'!BJ61</f>
        <v>6850.4</v>
      </c>
      <c r="F61" s="127">
        <f>'Monthly Data'!BS61</f>
        <v>0</v>
      </c>
      <c r="G61" s="127">
        <f>'Monthly Data'!BT61</f>
        <v>0</v>
      </c>
      <c r="H61" s="127">
        <f>'Monthly Data'!CA61</f>
        <v>0</v>
      </c>
      <c r="I61">
        <f>'Monthly Data'!CC61</f>
        <v>31</v>
      </c>
      <c r="K61">
        <f>'Intermediate OLS Model'!$B$5</f>
        <v>-415228.02881662402</v>
      </c>
      <c r="L61" s="186">
        <f>'Intermediate OLS Model'!$B$6*D61</f>
        <v>-345391.0989803304</v>
      </c>
      <c r="M61" s="186">
        <v>0</v>
      </c>
      <c r="N61" s="186">
        <f>F61*'Intermediate OLS Model'!$B$7</f>
        <v>0</v>
      </c>
      <c r="O61" s="186">
        <f>G61*'Intermediate OLS Model'!$B$8</f>
        <v>0</v>
      </c>
      <c r="P61" s="186">
        <f>H61*'Intermediate OLS Model'!$B$9</f>
        <v>0</v>
      </c>
      <c r="Q61" s="186">
        <f>'Intermediate OLS Model'!$B$10*I61</f>
        <v>4597068.1483280482</v>
      </c>
      <c r="R61">
        <f t="shared" si="7"/>
        <v>3836449.0205310937</v>
      </c>
      <c r="S61" s="24">
        <f t="shared" ca="1" si="8"/>
        <v>7.2100393063069645E-2</v>
      </c>
    </row>
    <row r="62" spans="1:19">
      <c r="A62" s="26">
        <f>'Monthly Data'!A62</f>
        <v>41640</v>
      </c>
      <c r="B62">
        <f t="shared" si="6"/>
        <v>2014</v>
      </c>
      <c r="C62">
        <f ca="1">'Monthly Data'!Z62</f>
        <v>3977286.2197341081</v>
      </c>
      <c r="D62">
        <f>'Monthly Data'!BM62</f>
        <v>61</v>
      </c>
      <c r="E62">
        <f>'Monthly Data'!BJ62</f>
        <v>6848.3</v>
      </c>
      <c r="F62" s="127">
        <f>'Monthly Data'!BS62</f>
        <v>0</v>
      </c>
      <c r="G62" s="127">
        <f>'Monthly Data'!BT62</f>
        <v>0</v>
      </c>
      <c r="H62" s="127">
        <f>'Monthly Data'!CA62</f>
        <v>0</v>
      </c>
      <c r="I62">
        <f>'Monthly Data'!CC62</f>
        <v>31</v>
      </c>
      <c r="K62">
        <f>'Intermediate OLS Model'!$B$5</f>
        <v>-415228.02881662402</v>
      </c>
      <c r="L62" s="186">
        <f>'Intermediate OLS Model'!$B$6*D62</f>
        <v>-351147.61729666922</v>
      </c>
      <c r="M62" s="186">
        <v>0</v>
      </c>
      <c r="N62" s="186">
        <f>F62*'Intermediate OLS Model'!$B$7</f>
        <v>0</v>
      </c>
      <c r="O62" s="186">
        <f>G62*'Intermediate OLS Model'!$B$8</f>
        <v>0</v>
      </c>
      <c r="P62" s="186">
        <f>H62*'Intermediate OLS Model'!$B$9</f>
        <v>0</v>
      </c>
      <c r="Q62" s="186">
        <f>'Intermediate OLS Model'!$B$10*I62</f>
        <v>4597068.1483280482</v>
      </c>
      <c r="R62">
        <f t="shared" si="7"/>
        <v>3830692.5022147549</v>
      </c>
      <c r="S62" s="24">
        <f t="shared" ca="1" si="8"/>
        <v>3.6857723940509693E-2</v>
      </c>
    </row>
    <row r="63" spans="1:19">
      <c r="A63" s="26">
        <f>'Monthly Data'!A63</f>
        <v>41671</v>
      </c>
      <c r="B63">
        <f t="shared" si="6"/>
        <v>2014</v>
      </c>
      <c r="C63">
        <f ca="1">'Monthly Data'!Z63</f>
        <v>3319296.860103108</v>
      </c>
      <c r="D63">
        <f>'Monthly Data'!BM63</f>
        <v>62</v>
      </c>
      <c r="E63">
        <f>'Monthly Data'!BJ63</f>
        <v>6850</v>
      </c>
      <c r="F63" s="127">
        <f>'Monthly Data'!BS63</f>
        <v>0</v>
      </c>
      <c r="G63" s="127">
        <f>'Monthly Data'!BT63</f>
        <v>0</v>
      </c>
      <c r="H63" s="127">
        <f>'Monthly Data'!CA63</f>
        <v>0</v>
      </c>
      <c r="I63">
        <f>'Monthly Data'!CC63</f>
        <v>28</v>
      </c>
      <c r="K63">
        <f>'Intermediate OLS Model'!$B$5</f>
        <v>-415228.02881662402</v>
      </c>
      <c r="L63" s="186">
        <f>'Intermediate OLS Model'!$B$6*D63</f>
        <v>-356904.13561300811</v>
      </c>
      <c r="M63" s="186">
        <v>0</v>
      </c>
      <c r="N63" s="186">
        <f>F63*'Intermediate OLS Model'!$B$7</f>
        <v>0</v>
      </c>
      <c r="O63" s="186">
        <f>G63*'Intermediate OLS Model'!$B$8</f>
        <v>0</v>
      </c>
      <c r="P63" s="186">
        <f>H63*'Intermediate OLS Model'!$B$9</f>
        <v>0</v>
      </c>
      <c r="Q63" s="186">
        <f>'Intermediate OLS Model'!$B$10*I63</f>
        <v>4152190.5855866238</v>
      </c>
      <c r="R63">
        <f t="shared" si="7"/>
        <v>3380058.4211569917</v>
      </c>
      <c r="S63" s="24">
        <f t="shared" ca="1" si="8"/>
        <v>1.8305551933067023E-2</v>
      </c>
    </row>
    <row r="64" spans="1:19">
      <c r="A64" s="26">
        <f>'Monthly Data'!A64</f>
        <v>41699</v>
      </c>
      <c r="B64">
        <f t="shared" si="6"/>
        <v>2014</v>
      </c>
      <c r="C64">
        <f ca="1">'Monthly Data'!Z64</f>
        <v>3885375.2901031082</v>
      </c>
      <c r="D64">
        <f>'Monthly Data'!BM64</f>
        <v>63</v>
      </c>
      <c r="E64">
        <f>'Monthly Data'!BJ64</f>
        <v>6856.4</v>
      </c>
      <c r="F64" s="127">
        <f>'Monthly Data'!BS64</f>
        <v>0</v>
      </c>
      <c r="G64" s="127">
        <f>'Monthly Data'!BT64</f>
        <v>0</v>
      </c>
      <c r="H64" s="127">
        <f>'Monthly Data'!CA64</f>
        <v>0</v>
      </c>
      <c r="I64">
        <f>'Monthly Data'!CC64</f>
        <v>31</v>
      </c>
      <c r="K64">
        <f>'Intermediate OLS Model'!$B$5</f>
        <v>-415228.02881662402</v>
      </c>
      <c r="L64" s="186">
        <f>'Intermediate OLS Model'!$B$6*D64</f>
        <v>-362660.65392934694</v>
      </c>
      <c r="M64" s="186">
        <v>0</v>
      </c>
      <c r="N64" s="186">
        <f>F64*'Intermediate OLS Model'!$B$7</f>
        <v>0</v>
      </c>
      <c r="O64" s="186">
        <f>G64*'Intermediate OLS Model'!$B$8</f>
        <v>0</v>
      </c>
      <c r="P64" s="186">
        <f>H64*'Intermediate OLS Model'!$B$9</f>
        <v>0</v>
      </c>
      <c r="Q64" s="186">
        <f>'Intermediate OLS Model'!$B$10*I64</f>
        <v>4597068.1483280482</v>
      </c>
      <c r="R64">
        <f t="shared" si="7"/>
        <v>3819179.4655820774</v>
      </c>
      <c r="S64" s="24">
        <f t="shared" ca="1" si="8"/>
        <v>1.7037176483220517E-2</v>
      </c>
    </row>
    <row r="65" spans="1:19">
      <c r="A65" s="26">
        <f>'Monthly Data'!A65</f>
        <v>41730</v>
      </c>
      <c r="B65">
        <f t="shared" si="6"/>
        <v>2014</v>
      </c>
      <c r="C65">
        <f ca="1">'Monthly Data'!Z65</f>
        <v>3911958.4601031081</v>
      </c>
      <c r="D65">
        <f>'Monthly Data'!BM65</f>
        <v>64</v>
      </c>
      <c r="E65">
        <f>'Monthly Data'!BJ65</f>
        <v>6869.6</v>
      </c>
      <c r="F65" s="127">
        <f>'Monthly Data'!BS65</f>
        <v>0</v>
      </c>
      <c r="G65" s="127">
        <f>'Monthly Data'!BT65</f>
        <v>0</v>
      </c>
      <c r="H65" s="127">
        <f>'Monthly Data'!CA65</f>
        <v>0</v>
      </c>
      <c r="I65">
        <f>'Monthly Data'!CC65</f>
        <v>30</v>
      </c>
      <c r="K65">
        <f>'Intermediate OLS Model'!$B$5</f>
        <v>-415228.02881662402</v>
      </c>
      <c r="L65" s="186">
        <f>'Intermediate OLS Model'!$B$6*D65</f>
        <v>-368417.17224568577</v>
      </c>
      <c r="M65" s="186">
        <v>0</v>
      </c>
      <c r="N65" s="186">
        <f>F65*'Intermediate OLS Model'!$B$7</f>
        <v>0</v>
      </c>
      <c r="O65" s="186">
        <f>G65*'Intermediate OLS Model'!$B$8</f>
        <v>0</v>
      </c>
      <c r="P65" s="186">
        <f>H65*'Intermediate OLS Model'!$B$9</f>
        <v>0</v>
      </c>
      <c r="Q65" s="186">
        <f>'Intermediate OLS Model'!$B$10*I65</f>
        <v>4448775.6274142396</v>
      </c>
      <c r="R65">
        <f t="shared" si="7"/>
        <v>3665130.42635193</v>
      </c>
      <c r="S65" s="24">
        <f t="shared" ca="1" si="8"/>
        <v>6.3095770639822274E-2</v>
      </c>
    </row>
    <row r="66" spans="1:19">
      <c r="A66" s="26">
        <f>'Monthly Data'!A66</f>
        <v>41760</v>
      </c>
      <c r="B66">
        <f t="shared" si="6"/>
        <v>2014</v>
      </c>
      <c r="C66">
        <f ca="1">'Monthly Data'!Z66</f>
        <v>3824996.2101031081</v>
      </c>
      <c r="D66">
        <f>'Monthly Data'!BM66</f>
        <v>65</v>
      </c>
      <c r="E66">
        <f>'Monthly Data'!BJ66</f>
        <v>6870.6</v>
      </c>
      <c r="F66" s="127">
        <f>'Monthly Data'!BS66</f>
        <v>0</v>
      </c>
      <c r="G66" s="127">
        <f>'Monthly Data'!BT66</f>
        <v>0</v>
      </c>
      <c r="H66" s="127">
        <f>'Monthly Data'!CA66</f>
        <v>0</v>
      </c>
      <c r="I66">
        <f>'Monthly Data'!CC66</f>
        <v>31</v>
      </c>
      <c r="K66">
        <f>'Intermediate OLS Model'!$B$5</f>
        <v>-415228.02881662402</v>
      </c>
      <c r="L66" s="186">
        <f>'Intermediate OLS Model'!$B$6*D66</f>
        <v>-374173.6905620246</v>
      </c>
      <c r="M66" s="186">
        <v>0</v>
      </c>
      <c r="N66" s="186">
        <f>F66*'Intermediate OLS Model'!$B$7</f>
        <v>0</v>
      </c>
      <c r="O66" s="186">
        <f>G66*'Intermediate OLS Model'!$B$8</f>
        <v>0</v>
      </c>
      <c r="P66" s="186">
        <f>H66*'Intermediate OLS Model'!$B$9</f>
        <v>0</v>
      </c>
      <c r="Q66" s="186">
        <f>'Intermediate OLS Model'!$B$10*I66</f>
        <v>4597068.1483280482</v>
      </c>
      <c r="R66">
        <f t="shared" si="7"/>
        <v>3807666.4289493999</v>
      </c>
      <c r="S66" s="24">
        <f t="shared" ca="1" si="8"/>
        <v>4.530666228618585E-3</v>
      </c>
    </row>
    <row r="67" spans="1:19">
      <c r="A67" s="26">
        <f>'Monthly Data'!A67</f>
        <v>41791</v>
      </c>
      <c r="B67">
        <f t="shared" si="6"/>
        <v>2014</v>
      </c>
      <c r="C67">
        <f ca="1">'Monthly Data'!Z67</f>
        <v>4134163.2601031079</v>
      </c>
      <c r="D67">
        <f>'Monthly Data'!BM67</f>
        <v>66</v>
      </c>
      <c r="E67">
        <f>'Monthly Data'!BJ67</f>
        <v>6865.4</v>
      </c>
      <c r="F67" s="127">
        <f>'Monthly Data'!BS67</f>
        <v>1</v>
      </c>
      <c r="G67" s="127">
        <f>'Monthly Data'!BT67</f>
        <v>0</v>
      </c>
      <c r="H67" s="127">
        <f>'Monthly Data'!CA67</f>
        <v>0</v>
      </c>
      <c r="I67">
        <f>'Monthly Data'!CC67</f>
        <v>30</v>
      </c>
      <c r="K67">
        <f>'Intermediate OLS Model'!$B$5</f>
        <v>-415228.02881662402</v>
      </c>
      <c r="L67" s="186">
        <f>'Intermediate OLS Model'!$B$6*D67</f>
        <v>-379930.20887836342</v>
      </c>
      <c r="M67" s="186">
        <v>0</v>
      </c>
      <c r="N67" s="186">
        <f>F67*'Intermediate OLS Model'!$B$7</f>
        <v>346553.62108035001</v>
      </c>
      <c r="O67" s="186">
        <f>G67*'Intermediate OLS Model'!$B$8</f>
        <v>0</v>
      </c>
      <c r="P67" s="186">
        <f>H67*'Intermediate OLS Model'!$B$9</f>
        <v>0</v>
      </c>
      <c r="Q67" s="186">
        <f>'Intermediate OLS Model'!$B$10*I67</f>
        <v>4448775.6274142396</v>
      </c>
      <c r="R67">
        <f t="shared" si="7"/>
        <v>4000171.0107996021</v>
      </c>
      <c r="S67" s="24">
        <f t="shared" ca="1" si="8"/>
        <v>3.2410971912164861E-2</v>
      </c>
    </row>
    <row r="68" spans="1:19">
      <c r="A68" s="26">
        <f>'Monthly Data'!A68</f>
        <v>41821</v>
      </c>
      <c r="B68">
        <f t="shared" si="6"/>
        <v>2014</v>
      </c>
      <c r="C68">
        <f ca="1">'Monthly Data'!Z68</f>
        <v>4416922.860103108</v>
      </c>
      <c r="D68">
        <f>'Monthly Data'!BM68</f>
        <v>67</v>
      </c>
      <c r="E68">
        <f>'Monthly Data'!BJ68</f>
        <v>6864.4</v>
      </c>
      <c r="F68" s="127">
        <f>'Monthly Data'!BS68</f>
        <v>0</v>
      </c>
      <c r="G68" s="127">
        <f>'Monthly Data'!BT68</f>
        <v>1</v>
      </c>
      <c r="H68" s="127">
        <f>'Monthly Data'!CA68</f>
        <v>0</v>
      </c>
      <c r="I68">
        <f>'Monthly Data'!CC68</f>
        <v>31</v>
      </c>
      <c r="K68">
        <f>'Intermediate OLS Model'!$B$5</f>
        <v>-415228.02881662402</v>
      </c>
      <c r="L68" s="186">
        <f>'Intermediate OLS Model'!$B$6*D68</f>
        <v>-385686.72719470231</v>
      </c>
      <c r="M68" s="186">
        <v>0</v>
      </c>
      <c r="N68" s="186">
        <f>F68*'Intermediate OLS Model'!$B$7</f>
        <v>0</v>
      </c>
      <c r="O68" s="186">
        <f>G68*'Intermediate OLS Model'!$B$8</f>
        <v>428565.96548408002</v>
      </c>
      <c r="P68" s="186">
        <f>H68*'Intermediate OLS Model'!$B$9</f>
        <v>0</v>
      </c>
      <c r="Q68" s="186">
        <f>'Intermediate OLS Model'!$B$10*I68</f>
        <v>4597068.1483280482</v>
      </c>
      <c r="R68">
        <f t="shared" si="7"/>
        <v>4224719.3578008022</v>
      </c>
      <c r="S68" s="24">
        <f t="shared" ca="1" si="8"/>
        <v>4.3515249957935424E-2</v>
      </c>
    </row>
    <row r="69" spans="1:19">
      <c r="A69" s="26">
        <f>'Monthly Data'!A69</f>
        <v>41852</v>
      </c>
      <c r="B69">
        <f t="shared" si="6"/>
        <v>2014</v>
      </c>
      <c r="C69">
        <f ca="1">'Monthly Data'!Z69</f>
        <v>4004879.6001031082</v>
      </c>
      <c r="D69">
        <f>'Monthly Data'!BM69</f>
        <v>68</v>
      </c>
      <c r="E69">
        <f>'Monthly Data'!BJ69</f>
        <v>6869.9</v>
      </c>
      <c r="F69" s="127">
        <f>'Monthly Data'!BS69</f>
        <v>0</v>
      </c>
      <c r="G69" s="127">
        <f>'Monthly Data'!BT69</f>
        <v>0</v>
      </c>
      <c r="H69" s="127">
        <f>'Monthly Data'!CA69</f>
        <v>0</v>
      </c>
      <c r="I69">
        <f>'Monthly Data'!CC69</f>
        <v>31</v>
      </c>
      <c r="K69">
        <f>'Intermediate OLS Model'!$B$5</f>
        <v>-415228.02881662402</v>
      </c>
      <c r="L69" s="186">
        <f>'Intermediate OLS Model'!$B$6*D69</f>
        <v>-391443.24551104114</v>
      </c>
      <c r="M69" s="186">
        <v>0</v>
      </c>
      <c r="N69" s="186">
        <f>F69*'Intermediate OLS Model'!$B$7</f>
        <v>0</v>
      </c>
      <c r="O69" s="186">
        <f>G69*'Intermediate OLS Model'!$B$8</f>
        <v>0</v>
      </c>
      <c r="P69" s="186">
        <f>H69*'Intermediate OLS Model'!$B$9</f>
        <v>0</v>
      </c>
      <c r="Q69" s="186">
        <f>'Intermediate OLS Model'!$B$10*I69</f>
        <v>4597068.1483280482</v>
      </c>
      <c r="R69">
        <f t="shared" si="7"/>
        <v>3790396.8740003831</v>
      </c>
      <c r="S69" s="24">
        <f t="shared" ca="1" si="8"/>
        <v>5.3555349353624299E-2</v>
      </c>
    </row>
    <row r="70" spans="1:19">
      <c r="A70" s="26">
        <f>'Monthly Data'!A70</f>
        <v>41883</v>
      </c>
      <c r="B70">
        <f t="shared" si="6"/>
        <v>2014</v>
      </c>
      <c r="C70">
        <f ca="1">'Monthly Data'!Z70</f>
        <v>4146273.0001031081</v>
      </c>
      <c r="D70">
        <f>'Monthly Data'!BM70</f>
        <v>69</v>
      </c>
      <c r="E70">
        <f>'Monthly Data'!BJ70</f>
        <v>6884.5</v>
      </c>
      <c r="F70" s="127">
        <f>'Monthly Data'!BS70</f>
        <v>0</v>
      </c>
      <c r="G70" s="127">
        <f>'Monthly Data'!BT70</f>
        <v>0</v>
      </c>
      <c r="H70" s="127">
        <f>'Monthly Data'!CA70</f>
        <v>1</v>
      </c>
      <c r="I70">
        <f>'Monthly Data'!CC70</f>
        <v>30</v>
      </c>
      <c r="K70">
        <f>'Intermediate OLS Model'!$B$5</f>
        <v>-415228.02881662402</v>
      </c>
      <c r="L70" s="186">
        <f>'Intermediate OLS Model'!$B$6*D70</f>
        <v>-397199.76382737997</v>
      </c>
      <c r="M70" s="186">
        <v>0</v>
      </c>
      <c r="N70" s="186">
        <f>F70*'Intermediate OLS Model'!$B$7</f>
        <v>0</v>
      </c>
      <c r="O70" s="186">
        <f>G70*'Intermediate OLS Model'!$B$8</f>
        <v>0</v>
      </c>
      <c r="P70" s="186">
        <f>H70*'Intermediate OLS Model'!$B$9</f>
        <v>219659.05071226999</v>
      </c>
      <c r="Q70" s="186">
        <f>'Intermediate OLS Model'!$B$10*I70</f>
        <v>4448775.6274142396</v>
      </c>
      <c r="R70">
        <f t="shared" si="7"/>
        <v>3856006.8854825054</v>
      </c>
      <c r="S70" s="24">
        <f t="shared" ca="1" si="8"/>
        <v>7.000651298488654E-2</v>
      </c>
    </row>
    <row r="71" spans="1:19">
      <c r="A71" s="26">
        <f>'Monthly Data'!A71</f>
        <v>41913</v>
      </c>
      <c r="B71">
        <f t="shared" si="6"/>
        <v>2014</v>
      </c>
      <c r="C71">
        <f ca="1">'Monthly Data'!Z71</f>
        <v>4193404.650103108</v>
      </c>
      <c r="D71">
        <f>'Monthly Data'!BM71</f>
        <v>70</v>
      </c>
      <c r="E71">
        <f>'Monthly Data'!BJ71</f>
        <v>6901.5</v>
      </c>
      <c r="F71" s="127">
        <f>'Monthly Data'!BS71</f>
        <v>0</v>
      </c>
      <c r="G71" s="127">
        <f>'Monthly Data'!BT71</f>
        <v>0</v>
      </c>
      <c r="H71" s="127">
        <f>'Monthly Data'!CA71</f>
        <v>1</v>
      </c>
      <c r="I71">
        <f>'Monthly Data'!CC71</f>
        <v>31</v>
      </c>
      <c r="K71">
        <f>'Intermediate OLS Model'!$B$5</f>
        <v>-415228.02881662402</v>
      </c>
      <c r="L71" s="186">
        <f>'Intermediate OLS Model'!$B$6*D71</f>
        <v>-402956.2821437188</v>
      </c>
      <c r="M71" s="186">
        <v>0</v>
      </c>
      <c r="N71" s="186">
        <f>F71*'Intermediate OLS Model'!$B$7</f>
        <v>0</v>
      </c>
      <c r="O71" s="186">
        <f>G71*'Intermediate OLS Model'!$B$8</f>
        <v>0</v>
      </c>
      <c r="P71" s="186">
        <f>H71*'Intermediate OLS Model'!$B$9</f>
        <v>219659.05071226999</v>
      </c>
      <c r="Q71" s="186">
        <f>'Intermediate OLS Model'!$B$10*I71</f>
        <v>4597068.1483280482</v>
      </c>
      <c r="R71">
        <f t="shared" si="7"/>
        <v>3998542.8880799753</v>
      </c>
      <c r="S71" s="24">
        <f t="shared" ca="1" si="8"/>
        <v>4.6468628306200181E-2</v>
      </c>
    </row>
    <row r="72" spans="1:19">
      <c r="A72" s="26">
        <f>'Monthly Data'!A72</f>
        <v>41944</v>
      </c>
      <c r="B72">
        <f t="shared" si="6"/>
        <v>2014</v>
      </c>
      <c r="C72">
        <f ca="1">'Monthly Data'!Z72</f>
        <v>3890694.840103108</v>
      </c>
      <c r="D72">
        <f>'Monthly Data'!BM72</f>
        <v>71</v>
      </c>
      <c r="E72">
        <f>'Monthly Data'!BJ72</f>
        <v>6907.5</v>
      </c>
      <c r="F72" s="127">
        <f>'Monthly Data'!BS72</f>
        <v>0</v>
      </c>
      <c r="G72" s="127">
        <f>'Monthly Data'!BT72</f>
        <v>0</v>
      </c>
      <c r="H72" s="127">
        <f>'Monthly Data'!CA72</f>
        <v>1</v>
      </c>
      <c r="I72">
        <f>'Monthly Data'!CC72</f>
        <v>30</v>
      </c>
      <c r="K72">
        <f>'Intermediate OLS Model'!$B$5</f>
        <v>-415228.02881662402</v>
      </c>
      <c r="L72" s="186">
        <f>'Intermediate OLS Model'!$B$6*D72</f>
        <v>-408712.80046005762</v>
      </c>
      <c r="M72" s="186">
        <v>0</v>
      </c>
      <c r="N72" s="186">
        <f>F72*'Intermediate OLS Model'!$B$7</f>
        <v>0</v>
      </c>
      <c r="O72" s="186">
        <f>G72*'Intermediate OLS Model'!$B$8</f>
        <v>0</v>
      </c>
      <c r="P72" s="186">
        <f>H72*'Intermediate OLS Model'!$B$9</f>
        <v>219659.05071226999</v>
      </c>
      <c r="Q72" s="186">
        <f>'Intermediate OLS Model'!$B$10*I72</f>
        <v>4448775.6274142396</v>
      </c>
      <c r="R72">
        <f t="shared" si="7"/>
        <v>3844493.8488498279</v>
      </c>
      <c r="S72" s="24">
        <f t="shared" ca="1" si="8"/>
        <v>1.1874740413220303E-2</v>
      </c>
    </row>
    <row r="73" spans="1:19">
      <c r="A73" s="26">
        <f>'Monthly Data'!A73</f>
        <v>41974</v>
      </c>
      <c r="B73">
        <f t="shared" si="6"/>
        <v>2014</v>
      </c>
      <c r="C73">
        <f ca="1">'Monthly Data'!Z73</f>
        <v>3891709.5801031082</v>
      </c>
      <c r="D73">
        <f>'Monthly Data'!BM73</f>
        <v>72</v>
      </c>
      <c r="E73">
        <f>'Monthly Data'!BJ73</f>
        <v>6903.1</v>
      </c>
      <c r="F73" s="127">
        <f>'Monthly Data'!BS73</f>
        <v>0</v>
      </c>
      <c r="G73" s="127">
        <f>'Monthly Data'!BT73</f>
        <v>0</v>
      </c>
      <c r="H73" s="127">
        <f>'Monthly Data'!CA73</f>
        <v>0</v>
      </c>
      <c r="I73">
        <f>'Monthly Data'!CC73</f>
        <v>31</v>
      </c>
      <c r="K73">
        <f>'Intermediate OLS Model'!$B$5</f>
        <v>-415228.02881662402</v>
      </c>
      <c r="L73" s="186">
        <f>'Intermediate OLS Model'!$B$6*D73</f>
        <v>-414469.31877639651</v>
      </c>
      <c r="M73" s="186">
        <v>0</v>
      </c>
      <c r="N73" s="186">
        <f>F73*'Intermediate OLS Model'!$B$7</f>
        <v>0</v>
      </c>
      <c r="O73" s="186">
        <f>G73*'Intermediate OLS Model'!$B$8</f>
        <v>0</v>
      </c>
      <c r="P73" s="186">
        <f>H73*'Intermediate OLS Model'!$B$9</f>
        <v>0</v>
      </c>
      <c r="Q73" s="186">
        <f>'Intermediate OLS Model'!$B$10*I73</f>
        <v>4597068.1483280482</v>
      </c>
      <c r="R73">
        <f t="shared" si="7"/>
        <v>3767370.8007350275</v>
      </c>
      <c r="S73" s="24">
        <f t="shared" ca="1" si="8"/>
        <v>3.1949655237322822E-2</v>
      </c>
    </row>
    <row r="74" spans="1:19">
      <c r="A74" s="26">
        <f>'Monthly Data'!A74</f>
        <v>42005</v>
      </c>
      <c r="B74">
        <f t="shared" si="6"/>
        <v>2015</v>
      </c>
      <c r="C74">
        <f ca="1">'Monthly Data'!Z74</f>
        <v>4093961.0032661795</v>
      </c>
      <c r="D74">
        <f>'Monthly Data'!BM74</f>
        <v>73</v>
      </c>
      <c r="E74">
        <f>'Monthly Data'!BJ74</f>
        <v>6885.7</v>
      </c>
      <c r="F74" s="127">
        <f>'Monthly Data'!BS74</f>
        <v>0</v>
      </c>
      <c r="G74" s="127">
        <f>'Monthly Data'!BT74</f>
        <v>0</v>
      </c>
      <c r="H74" s="127">
        <f>'Monthly Data'!CA74</f>
        <v>0</v>
      </c>
      <c r="I74">
        <f>'Monthly Data'!CC74</f>
        <v>31</v>
      </c>
      <c r="K74">
        <f>'Intermediate OLS Model'!$B$5</f>
        <v>-415228.02881662402</v>
      </c>
      <c r="L74" s="186">
        <f>'Intermediate OLS Model'!$B$6*D74</f>
        <v>-420225.83709273534</v>
      </c>
      <c r="M74" s="186">
        <v>0</v>
      </c>
      <c r="N74" s="186">
        <f>F74*'Intermediate OLS Model'!$B$7</f>
        <v>0</v>
      </c>
      <c r="O74" s="186">
        <f>G74*'Intermediate OLS Model'!$B$8</f>
        <v>0</v>
      </c>
      <c r="P74" s="186">
        <f>H74*'Intermediate OLS Model'!$B$9</f>
        <v>0</v>
      </c>
      <c r="Q74" s="186">
        <f>'Intermediate OLS Model'!$B$10*I74</f>
        <v>4597068.1483280482</v>
      </c>
      <c r="R74">
        <f t="shared" si="7"/>
        <v>3761614.2824186888</v>
      </c>
      <c r="S74" s="24">
        <f t="shared" ca="1" si="8"/>
        <v>8.1179747579994799E-2</v>
      </c>
    </row>
    <row r="75" spans="1:19">
      <c r="A75" s="26">
        <f>'Monthly Data'!A75</f>
        <v>42036</v>
      </c>
      <c r="B75">
        <f t="shared" si="6"/>
        <v>2015</v>
      </c>
      <c r="C75">
        <f ca="1">'Monthly Data'!Z75</f>
        <v>3523842.6232661791</v>
      </c>
      <c r="D75">
        <f>'Monthly Data'!BM75</f>
        <v>74</v>
      </c>
      <c r="E75">
        <f>'Monthly Data'!BJ75</f>
        <v>6885.3</v>
      </c>
      <c r="F75" s="127">
        <f>'Monthly Data'!BS75</f>
        <v>0</v>
      </c>
      <c r="G75" s="127">
        <f>'Monthly Data'!BT75</f>
        <v>0</v>
      </c>
      <c r="H75" s="127">
        <f>'Monthly Data'!CA75</f>
        <v>0</v>
      </c>
      <c r="I75">
        <f>'Monthly Data'!CC75</f>
        <v>28</v>
      </c>
      <c r="K75">
        <f>'Intermediate OLS Model'!$B$5</f>
        <v>-415228.02881662402</v>
      </c>
      <c r="L75" s="186">
        <f>'Intermediate OLS Model'!$B$6*D75</f>
        <v>-425982.35540907417</v>
      </c>
      <c r="M75" s="186">
        <v>0</v>
      </c>
      <c r="N75" s="186">
        <f>F75*'Intermediate OLS Model'!$B$7</f>
        <v>0</v>
      </c>
      <c r="O75" s="186">
        <f>G75*'Intermediate OLS Model'!$B$8</f>
        <v>0</v>
      </c>
      <c r="P75" s="186">
        <f>H75*'Intermediate OLS Model'!$B$9</f>
        <v>0</v>
      </c>
      <c r="Q75" s="186">
        <f>'Intermediate OLS Model'!$B$10*I75</f>
        <v>4152190.5855866238</v>
      </c>
      <c r="R75">
        <f t="shared" si="7"/>
        <v>3310980.2013609256</v>
      </c>
      <c r="S75" s="24">
        <f t="shared" ca="1" si="8"/>
        <v>6.0406336111558705E-2</v>
      </c>
    </row>
    <row r="76" spans="1:19">
      <c r="A76" s="26">
        <f>'Monthly Data'!A76</f>
        <v>42064</v>
      </c>
      <c r="B76">
        <f t="shared" si="6"/>
        <v>2015</v>
      </c>
      <c r="C76">
        <f ca="1">'Monthly Data'!Z76</f>
        <v>3811662.5532661793</v>
      </c>
      <c r="D76">
        <f>'Monthly Data'!BM76</f>
        <v>75</v>
      </c>
      <c r="E76">
        <f>'Monthly Data'!BJ76</f>
        <v>6892.1</v>
      </c>
      <c r="F76" s="127">
        <f>'Monthly Data'!BS76</f>
        <v>0</v>
      </c>
      <c r="G76" s="127">
        <f>'Monthly Data'!BT76</f>
        <v>0</v>
      </c>
      <c r="H76" s="127">
        <f>'Monthly Data'!CA76</f>
        <v>0</v>
      </c>
      <c r="I76">
        <f>'Monthly Data'!CC76</f>
        <v>31</v>
      </c>
      <c r="K76">
        <f>'Intermediate OLS Model'!$B$5</f>
        <v>-415228.02881662402</v>
      </c>
      <c r="L76" s="186">
        <f>'Intermediate OLS Model'!$B$6*D76</f>
        <v>-431738.873725413</v>
      </c>
      <c r="M76" s="186">
        <v>0</v>
      </c>
      <c r="N76" s="186">
        <f>F76*'Intermediate OLS Model'!$B$7</f>
        <v>0</v>
      </c>
      <c r="O76" s="186">
        <f>G76*'Intermediate OLS Model'!$B$8</f>
        <v>0</v>
      </c>
      <c r="P76" s="186">
        <f>H76*'Intermediate OLS Model'!$B$9</f>
        <v>0</v>
      </c>
      <c r="Q76" s="186">
        <f>'Intermediate OLS Model'!$B$10*I76</f>
        <v>4597068.1483280482</v>
      </c>
      <c r="R76">
        <f t="shared" si="7"/>
        <v>3750101.2457860112</v>
      </c>
      <c r="S76" s="24">
        <f t="shared" ca="1" si="8"/>
        <v>1.6150775841218351E-2</v>
      </c>
    </row>
    <row r="77" spans="1:19">
      <c r="A77" s="26">
        <f>'Monthly Data'!A77</f>
        <v>42095</v>
      </c>
      <c r="B77">
        <f t="shared" si="6"/>
        <v>2015</v>
      </c>
      <c r="C77">
        <f ca="1">'Monthly Data'!Z77</f>
        <v>3577372.4732661792</v>
      </c>
      <c r="D77">
        <f>'Monthly Data'!BM77</f>
        <v>76</v>
      </c>
      <c r="E77">
        <f>'Monthly Data'!BJ77</f>
        <v>6897.3</v>
      </c>
      <c r="F77" s="127">
        <f>'Monthly Data'!BS77</f>
        <v>0</v>
      </c>
      <c r="G77" s="127">
        <f>'Monthly Data'!BT77</f>
        <v>0</v>
      </c>
      <c r="H77" s="127">
        <f>'Monthly Data'!CA77</f>
        <v>0</v>
      </c>
      <c r="I77">
        <f>'Monthly Data'!CC77</f>
        <v>30</v>
      </c>
      <c r="K77">
        <f>'Intermediate OLS Model'!$B$5</f>
        <v>-415228.02881662402</v>
      </c>
      <c r="L77" s="186">
        <f>'Intermediate OLS Model'!$B$6*D77</f>
        <v>-437495.39204175182</v>
      </c>
      <c r="M77" s="186">
        <v>0</v>
      </c>
      <c r="N77" s="186">
        <f>F77*'Intermediate OLS Model'!$B$7</f>
        <v>0</v>
      </c>
      <c r="O77" s="186">
        <f>G77*'Intermediate OLS Model'!$B$8</f>
        <v>0</v>
      </c>
      <c r="P77" s="186">
        <f>H77*'Intermediate OLS Model'!$B$9</f>
        <v>0</v>
      </c>
      <c r="Q77" s="186">
        <f>'Intermediate OLS Model'!$B$10*I77</f>
        <v>4448775.6274142396</v>
      </c>
      <c r="R77">
        <f t="shared" si="7"/>
        <v>3596052.2065558638</v>
      </c>
      <c r="S77" s="24">
        <f t="shared" ca="1" si="8"/>
        <v>5.221634993079107E-3</v>
      </c>
    </row>
    <row r="78" spans="1:19">
      <c r="A78" s="26">
        <f>'Monthly Data'!A78</f>
        <v>42125</v>
      </c>
      <c r="B78">
        <f t="shared" si="6"/>
        <v>2015</v>
      </c>
      <c r="C78">
        <f ca="1">'Monthly Data'!Z78</f>
        <v>3991285.1132661793</v>
      </c>
      <c r="D78">
        <f>'Monthly Data'!BM78</f>
        <v>77</v>
      </c>
      <c r="E78">
        <f>'Monthly Data'!BJ78</f>
        <v>6906.5</v>
      </c>
      <c r="F78" s="127">
        <f>'Monthly Data'!BS78</f>
        <v>0</v>
      </c>
      <c r="G78" s="127">
        <f>'Monthly Data'!BT78</f>
        <v>0</v>
      </c>
      <c r="H78" s="127">
        <f>'Monthly Data'!CA78</f>
        <v>0</v>
      </c>
      <c r="I78">
        <f>'Monthly Data'!CC78</f>
        <v>31</v>
      </c>
      <c r="K78">
        <f>'Intermediate OLS Model'!$B$5</f>
        <v>-415228.02881662402</v>
      </c>
      <c r="L78" s="186">
        <f>'Intermediate OLS Model'!$B$6*D78</f>
        <v>-443251.91035809071</v>
      </c>
      <c r="M78" s="186">
        <v>0</v>
      </c>
      <c r="N78" s="186">
        <f>F78*'Intermediate OLS Model'!$B$7</f>
        <v>0</v>
      </c>
      <c r="O78" s="186">
        <f>G78*'Intermediate OLS Model'!$B$8</f>
        <v>0</v>
      </c>
      <c r="P78" s="186">
        <f>H78*'Intermediate OLS Model'!$B$9</f>
        <v>0</v>
      </c>
      <c r="Q78" s="186">
        <f>'Intermediate OLS Model'!$B$10*I78</f>
        <v>4597068.1483280482</v>
      </c>
      <c r="R78">
        <f t="shared" si="7"/>
        <v>3738588.2091533337</v>
      </c>
      <c r="S78" s="24">
        <f t="shared" ca="1" si="8"/>
        <v>6.3312165616266083E-2</v>
      </c>
    </row>
    <row r="79" spans="1:19">
      <c r="A79" s="26">
        <f>'Monthly Data'!A79</f>
        <v>42156</v>
      </c>
      <c r="B79">
        <f t="shared" si="6"/>
        <v>2015</v>
      </c>
      <c r="C79">
        <f ca="1">'Monthly Data'!Z79</f>
        <v>3758112.9032661794</v>
      </c>
      <c r="D79">
        <f>'Monthly Data'!BM79</f>
        <v>78</v>
      </c>
      <c r="E79">
        <f>'Monthly Data'!BJ79</f>
        <v>6921.3</v>
      </c>
      <c r="F79" s="127">
        <f>'Monthly Data'!BS79</f>
        <v>1</v>
      </c>
      <c r="G79" s="127">
        <f>'Monthly Data'!BT79</f>
        <v>0</v>
      </c>
      <c r="H79" s="127">
        <f>'Monthly Data'!CA79</f>
        <v>0</v>
      </c>
      <c r="I79">
        <f>'Monthly Data'!CC79</f>
        <v>30</v>
      </c>
      <c r="K79">
        <f>'Intermediate OLS Model'!$B$5</f>
        <v>-415228.02881662402</v>
      </c>
      <c r="L79" s="186">
        <f>'Intermediate OLS Model'!$B$6*D79</f>
        <v>-449008.42867442954</v>
      </c>
      <c r="M79" s="186">
        <v>0</v>
      </c>
      <c r="N79" s="186">
        <f>F79*'Intermediate OLS Model'!$B$7</f>
        <v>346553.62108035001</v>
      </c>
      <c r="O79" s="186">
        <f>G79*'Intermediate OLS Model'!$B$8</f>
        <v>0</v>
      </c>
      <c r="P79" s="186">
        <f>H79*'Intermediate OLS Model'!$B$9</f>
        <v>0</v>
      </c>
      <c r="Q79" s="186">
        <f>'Intermediate OLS Model'!$B$10*I79</f>
        <v>4448775.6274142396</v>
      </c>
      <c r="R79">
        <f t="shared" si="7"/>
        <v>3931092.791003536</v>
      </c>
      <c r="S79" s="24">
        <f t="shared" ca="1" si="8"/>
        <v>4.6028390362359686E-2</v>
      </c>
    </row>
    <row r="80" spans="1:19">
      <c r="A80" s="26">
        <f>'Monthly Data'!A80</f>
        <v>42186</v>
      </c>
      <c r="B80">
        <f t="shared" si="6"/>
        <v>2015</v>
      </c>
      <c r="C80">
        <f ca="1">'Monthly Data'!Z80</f>
        <v>4199678.1332661798</v>
      </c>
      <c r="D80">
        <f>'Monthly Data'!BM80</f>
        <v>79</v>
      </c>
      <c r="E80">
        <f>'Monthly Data'!BJ80</f>
        <v>6941.2</v>
      </c>
      <c r="F80" s="127">
        <f>'Monthly Data'!BS80</f>
        <v>0</v>
      </c>
      <c r="G80" s="127">
        <f>'Monthly Data'!BT80</f>
        <v>1</v>
      </c>
      <c r="H80" s="127">
        <f>'Monthly Data'!CA80</f>
        <v>0</v>
      </c>
      <c r="I80">
        <f>'Monthly Data'!CC80</f>
        <v>31</v>
      </c>
      <c r="K80">
        <f>'Intermediate OLS Model'!$B$5</f>
        <v>-415228.02881662402</v>
      </c>
      <c r="L80" s="186">
        <f>'Intermediate OLS Model'!$B$6*D80</f>
        <v>-454764.94699076837</v>
      </c>
      <c r="M80" s="186">
        <v>0</v>
      </c>
      <c r="N80" s="186">
        <f>F80*'Intermediate OLS Model'!$B$7</f>
        <v>0</v>
      </c>
      <c r="O80" s="186">
        <f>G80*'Intermediate OLS Model'!$B$8</f>
        <v>428565.96548408002</v>
      </c>
      <c r="P80" s="186">
        <f>H80*'Intermediate OLS Model'!$B$9</f>
        <v>0</v>
      </c>
      <c r="Q80" s="186">
        <f>'Intermediate OLS Model'!$B$10*I80</f>
        <v>4597068.1483280482</v>
      </c>
      <c r="R80">
        <f t="shared" si="7"/>
        <v>4155641.138004736</v>
      </c>
      <c r="S80" s="24">
        <f t="shared" ca="1" si="8"/>
        <v>1.0485802450578579E-2</v>
      </c>
    </row>
    <row r="81" spans="1:19">
      <c r="A81" s="26">
        <f>'Monthly Data'!A81</f>
        <v>42217</v>
      </c>
      <c r="B81">
        <f t="shared" si="6"/>
        <v>2015</v>
      </c>
      <c r="C81">
        <f ca="1">'Monthly Data'!Z81</f>
        <v>3385911.6132661789</v>
      </c>
      <c r="D81">
        <f>'Monthly Data'!BM81</f>
        <v>80</v>
      </c>
      <c r="E81">
        <f>'Monthly Data'!BJ81</f>
        <v>6949.2</v>
      </c>
      <c r="F81" s="127">
        <f>'Monthly Data'!BS81</f>
        <v>0</v>
      </c>
      <c r="G81" s="127">
        <f>'Monthly Data'!BT81</f>
        <v>0</v>
      </c>
      <c r="H81" s="127">
        <f>'Monthly Data'!CA81</f>
        <v>0</v>
      </c>
      <c r="I81">
        <f>'Monthly Data'!CC81</f>
        <v>31</v>
      </c>
      <c r="K81">
        <f>'Intermediate OLS Model'!$B$5</f>
        <v>-415228.02881662402</v>
      </c>
      <c r="L81" s="186">
        <f>'Intermediate OLS Model'!$B$6*D81</f>
        <v>-460521.4653071072</v>
      </c>
      <c r="M81" s="186">
        <v>0</v>
      </c>
      <c r="N81" s="186">
        <f>F81*'Intermediate OLS Model'!$B$7</f>
        <v>0</v>
      </c>
      <c r="O81" s="186">
        <f>G81*'Intermediate OLS Model'!$B$8</f>
        <v>0</v>
      </c>
      <c r="P81" s="186">
        <f>H81*'Intermediate OLS Model'!$B$9</f>
        <v>0</v>
      </c>
      <c r="Q81" s="186">
        <f>'Intermediate OLS Model'!$B$10*I81</f>
        <v>4597068.1483280482</v>
      </c>
      <c r="R81">
        <f t="shared" si="7"/>
        <v>3721318.6542043169</v>
      </c>
      <c r="S81" s="24">
        <f t="shared" ca="1" si="8"/>
        <v>9.9059597310217934E-2</v>
      </c>
    </row>
    <row r="82" spans="1:19">
      <c r="A82" s="26">
        <f>'Monthly Data'!A82</f>
        <v>42248</v>
      </c>
      <c r="B82">
        <f t="shared" si="6"/>
        <v>2015</v>
      </c>
      <c r="C82">
        <f ca="1">'Monthly Data'!Z82</f>
        <v>3774070.6732661794</v>
      </c>
      <c r="D82">
        <f>'Monthly Data'!BM82</f>
        <v>81</v>
      </c>
      <c r="E82">
        <f>'Monthly Data'!BJ82</f>
        <v>6941.1</v>
      </c>
      <c r="F82" s="127">
        <f>'Monthly Data'!BS82</f>
        <v>0</v>
      </c>
      <c r="G82" s="127">
        <f>'Monthly Data'!BT82</f>
        <v>0</v>
      </c>
      <c r="H82" s="127">
        <f>'Monthly Data'!CA82</f>
        <v>1</v>
      </c>
      <c r="I82">
        <f>'Monthly Data'!CC82</f>
        <v>30</v>
      </c>
      <c r="K82">
        <f>'Intermediate OLS Model'!$B$5</f>
        <v>-415228.02881662402</v>
      </c>
      <c r="L82" s="186">
        <f>'Intermediate OLS Model'!$B$6*D82</f>
        <v>-466277.98362344602</v>
      </c>
      <c r="M82" s="186">
        <v>0</v>
      </c>
      <c r="N82" s="186">
        <f>F82*'Intermediate OLS Model'!$B$7</f>
        <v>0</v>
      </c>
      <c r="O82" s="186">
        <f>G82*'Intermediate OLS Model'!$B$8</f>
        <v>0</v>
      </c>
      <c r="P82" s="186">
        <f>H82*'Intermediate OLS Model'!$B$9</f>
        <v>219659.05071226999</v>
      </c>
      <c r="Q82" s="186">
        <f>'Intermediate OLS Model'!$B$10*I82</f>
        <v>4448775.6274142396</v>
      </c>
      <c r="R82">
        <f t="shared" si="7"/>
        <v>3786928.6656864397</v>
      </c>
      <c r="S82" s="24">
        <f t="shared" ca="1" si="8"/>
        <v>3.4069294227425492E-3</v>
      </c>
    </row>
    <row r="83" spans="1:19">
      <c r="A83" s="26">
        <f>'Monthly Data'!A83</f>
        <v>42278</v>
      </c>
      <c r="B83">
        <f t="shared" si="6"/>
        <v>2015</v>
      </c>
      <c r="C83">
        <f ca="1">'Monthly Data'!Z83</f>
        <v>3704194.3132661795</v>
      </c>
      <c r="D83">
        <f>'Monthly Data'!BM83</f>
        <v>82</v>
      </c>
      <c r="E83">
        <f>'Monthly Data'!BJ83</f>
        <v>6934.8</v>
      </c>
      <c r="F83" s="127">
        <f>'Monthly Data'!BS83</f>
        <v>0</v>
      </c>
      <c r="G83" s="127">
        <f>'Monthly Data'!BT83</f>
        <v>0</v>
      </c>
      <c r="H83" s="127">
        <f>'Monthly Data'!CA83</f>
        <v>1</v>
      </c>
      <c r="I83">
        <f>'Monthly Data'!CC83</f>
        <v>31</v>
      </c>
      <c r="K83">
        <f>'Intermediate OLS Model'!$B$5</f>
        <v>-415228.02881662402</v>
      </c>
      <c r="L83" s="186">
        <f>'Intermediate OLS Model'!$B$6*D83</f>
        <v>-472034.50193978491</v>
      </c>
      <c r="M83" s="186">
        <v>0</v>
      </c>
      <c r="N83" s="186">
        <f>F83*'Intermediate OLS Model'!$B$7</f>
        <v>0</v>
      </c>
      <c r="O83" s="186">
        <f>G83*'Intermediate OLS Model'!$B$8</f>
        <v>0</v>
      </c>
      <c r="P83" s="186">
        <f>H83*'Intermediate OLS Model'!$B$9</f>
        <v>219659.05071226999</v>
      </c>
      <c r="Q83" s="186">
        <f>'Intermediate OLS Model'!$B$10*I83</f>
        <v>4597068.1483280482</v>
      </c>
      <c r="R83">
        <f t="shared" si="7"/>
        <v>3929464.6682839091</v>
      </c>
      <c r="S83" s="24">
        <f t="shared" ca="1" si="8"/>
        <v>6.081494002918466E-2</v>
      </c>
    </row>
    <row r="84" spans="1:19">
      <c r="A84" s="26">
        <f>'Monthly Data'!A84</f>
        <v>42309</v>
      </c>
      <c r="B84">
        <f t="shared" si="6"/>
        <v>2015</v>
      </c>
      <c r="C84">
        <f ca="1">'Monthly Data'!Z84</f>
        <v>3527052.9232661789</v>
      </c>
      <c r="D84">
        <f>'Monthly Data'!BM84</f>
        <v>83</v>
      </c>
      <c r="E84">
        <f>'Monthly Data'!BJ84</f>
        <v>6928.3</v>
      </c>
      <c r="F84" s="127">
        <f>'Monthly Data'!BS84</f>
        <v>0</v>
      </c>
      <c r="G84" s="127">
        <f>'Monthly Data'!BT84</f>
        <v>0</v>
      </c>
      <c r="H84" s="127">
        <f>'Monthly Data'!CA84</f>
        <v>1</v>
      </c>
      <c r="I84">
        <f>'Monthly Data'!CC84</f>
        <v>30</v>
      </c>
      <c r="K84">
        <f>'Intermediate OLS Model'!$B$5</f>
        <v>-415228.02881662402</v>
      </c>
      <c r="L84" s="186">
        <f>'Intermediate OLS Model'!$B$6*D84</f>
        <v>-477791.02025612374</v>
      </c>
      <c r="M84" s="186">
        <v>0</v>
      </c>
      <c r="N84" s="186">
        <f>F84*'Intermediate OLS Model'!$B$7</f>
        <v>0</v>
      </c>
      <c r="O84" s="186">
        <f>G84*'Intermediate OLS Model'!$B$8</f>
        <v>0</v>
      </c>
      <c r="P84" s="186">
        <f>H84*'Intermediate OLS Model'!$B$9</f>
        <v>219659.05071226999</v>
      </c>
      <c r="Q84" s="186">
        <f>'Intermediate OLS Model'!$B$10*I84</f>
        <v>4448775.6274142396</v>
      </c>
      <c r="R84">
        <f t="shared" si="7"/>
        <v>3775415.6290537617</v>
      </c>
      <c r="S84" s="24">
        <f t="shared" ca="1" si="8"/>
        <v>7.0416495354878289E-2</v>
      </c>
    </row>
    <row r="85" spans="1:19">
      <c r="A85" s="26">
        <f>'Monthly Data'!A85</f>
        <v>42339</v>
      </c>
      <c r="B85">
        <f t="shared" si="6"/>
        <v>2015</v>
      </c>
      <c r="C85">
        <f ca="1">'Monthly Data'!Z85</f>
        <v>3267111.6732661794</v>
      </c>
      <c r="D85">
        <f>'Monthly Data'!BM85</f>
        <v>84</v>
      </c>
      <c r="E85">
        <f>'Monthly Data'!BJ85</f>
        <v>6942.8</v>
      </c>
      <c r="F85" s="127">
        <f>'Monthly Data'!BS85</f>
        <v>0</v>
      </c>
      <c r="G85" s="127">
        <f>'Monthly Data'!BT85</f>
        <v>0</v>
      </c>
      <c r="H85" s="127">
        <f>'Monthly Data'!CA85</f>
        <v>0</v>
      </c>
      <c r="I85">
        <f>'Monthly Data'!CC85</f>
        <v>31</v>
      </c>
      <c r="K85">
        <f>'Intermediate OLS Model'!$B$5</f>
        <v>-415228.02881662402</v>
      </c>
      <c r="L85" s="186">
        <f>'Intermediate OLS Model'!$B$6*D85</f>
        <v>-483547.53857246257</v>
      </c>
      <c r="M85" s="186">
        <v>0</v>
      </c>
      <c r="N85" s="186">
        <f>F85*'Intermediate OLS Model'!$B$7</f>
        <v>0</v>
      </c>
      <c r="O85" s="186">
        <f>G85*'Intermediate OLS Model'!$B$8</f>
        <v>0</v>
      </c>
      <c r="P85" s="186">
        <f>H85*'Intermediate OLS Model'!$B$9</f>
        <v>0</v>
      </c>
      <c r="Q85" s="186">
        <f>'Intermediate OLS Model'!$B$10*I85</f>
        <v>4597068.1483280482</v>
      </c>
      <c r="R85">
        <f t="shared" si="7"/>
        <v>3698292.5809389614</v>
      </c>
      <c r="S85" s="24">
        <f t="shared" ca="1" si="8"/>
        <v>0.13197617675606543</v>
      </c>
    </row>
    <row r="86" spans="1:19">
      <c r="A86" s="26">
        <f>'Monthly Data'!A86</f>
        <v>42370</v>
      </c>
      <c r="B86">
        <f t="shared" si="6"/>
        <v>2016</v>
      </c>
      <c r="C86">
        <f ca="1">'Monthly Data'!Z86</f>
        <v>3533933.7732470939</v>
      </c>
      <c r="D86">
        <f>'Monthly Data'!BM86</f>
        <v>85</v>
      </c>
      <c r="E86">
        <f>'Monthly Data'!BJ86</f>
        <v>6956.6</v>
      </c>
      <c r="F86" s="127">
        <f>'Monthly Data'!BS86</f>
        <v>0</v>
      </c>
      <c r="G86" s="127">
        <f>'Monthly Data'!BT86</f>
        <v>0</v>
      </c>
      <c r="H86" s="127">
        <f>'Monthly Data'!CA86</f>
        <v>0</v>
      </c>
      <c r="I86">
        <f>'Monthly Data'!CC86</f>
        <v>31</v>
      </c>
      <c r="K86">
        <f>'Intermediate OLS Model'!$B$5</f>
        <v>-415228.02881662402</v>
      </c>
      <c r="L86" s="186">
        <f>'Intermediate OLS Model'!$B$6*D86</f>
        <v>-489304.05688880139</v>
      </c>
      <c r="M86" s="186">
        <v>0</v>
      </c>
      <c r="N86" s="186">
        <f>F86*'Intermediate OLS Model'!$B$7</f>
        <v>0</v>
      </c>
      <c r="O86" s="186">
        <f>G86*'Intermediate OLS Model'!$B$8</f>
        <v>0</v>
      </c>
      <c r="P86" s="186">
        <f>H86*'Intermediate OLS Model'!$B$9</f>
        <v>0</v>
      </c>
      <c r="Q86" s="186">
        <f>'Intermediate OLS Model'!$B$10*I86</f>
        <v>4597068.1483280482</v>
      </c>
      <c r="R86">
        <f t="shared" ref="R86:R97" si="9">SUM(K86:Q86)</f>
        <v>3692536.0626226226</v>
      </c>
      <c r="S86" s="24">
        <f t="shared" ref="S86:S109" ca="1" si="10">ABS(R86-C86)/C86</f>
        <v>4.4879813701149164E-2</v>
      </c>
    </row>
    <row r="87" spans="1:19">
      <c r="A87" s="26">
        <f>'Monthly Data'!A87</f>
        <v>42401</v>
      </c>
      <c r="B87">
        <f t="shared" si="6"/>
        <v>2016</v>
      </c>
      <c r="C87">
        <f ca="1">'Monthly Data'!Z87</f>
        <v>3495480.8832470938</v>
      </c>
      <c r="D87">
        <f>'Monthly Data'!BM87</f>
        <v>86</v>
      </c>
      <c r="E87">
        <f>'Monthly Data'!BJ87</f>
        <v>6968.5</v>
      </c>
      <c r="F87" s="127">
        <f>'Monthly Data'!BS87</f>
        <v>0</v>
      </c>
      <c r="G87" s="127">
        <f>'Monthly Data'!BT87</f>
        <v>0</v>
      </c>
      <c r="H87" s="127">
        <f>'Monthly Data'!CA87</f>
        <v>0</v>
      </c>
      <c r="I87">
        <f>'Monthly Data'!CC87</f>
        <v>29</v>
      </c>
      <c r="K87">
        <f>'Intermediate OLS Model'!$B$5</f>
        <v>-415228.02881662402</v>
      </c>
      <c r="L87" s="186">
        <f>'Intermediate OLS Model'!$B$6*D87</f>
        <v>-495060.57520514022</v>
      </c>
      <c r="M87" s="186">
        <v>0</v>
      </c>
      <c r="N87" s="186">
        <f>F87*'Intermediate OLS Model'!$B$7</f>
        <v>0</v>
      </c>
      <c r="O87" s="186">
        <f>G87*'Intermediate OLS Model'!$B$8</f>
        <v>0</v>
      </c>
      <c r="P87" s="186">
        <f>H87*'Intermediate OLS Model'!$B$9</f>
        <v>0</v>
      </c>
      <c r="Q87" s="186">
        <f>'Intermediate OLS Model'!$B$10*I87</f>
        <v>4300483.1065004319</v>
      </c>
      <c r="R87">
        <f t="shared" si="9"/>
        <v>3390194.5024786675</v>
      </c>
      <c r="S87" s="24">
        <f t="shared" ca="1" si="10"/>
        <v>3.0120714226484754E-2</v>
      </c>
    </row>
    <row r="88" spans="1:19">
      <c r="A88" s="26">
        <f>'Monthly Data'!A88</f>
        <v>42430</v>
      </c>
      <c r="B88">
        <f t="shared" si="6"/>
        <v>2016</v>
      </c>
      <c r="C88">
        <f ca="1">'Monthly Data'!Z88</f>
        <v>3636082.5632470935</v>
      </c>
      <c r="D88">
        <f>'Monthly Data'!BM88</f>
        <v>87</v>
      </c>
      <c r="E88">
        <f>'Monthly Data'!BJ88</f>
        <v>6975.7</v>
      </c>
      <c r="F88" s="127">
        <f>'Monthly Data'!BS88</f>
        <v>0</v>
      </c>
      <c r="G88" s="127">
        <f>'Monthly Data'!BT88</f>
        <v>0</v>
      </c>
      <c r="H88" s="127">
        <f>'Monthly Data'!CA88</f>
        <v>0</v>
      </c>
      <c r="I88">
        <f>'Monthly Data'!CC88</f>
        <v>31</v>
      </c>
      <c r="K88">
        <f>'Intermediate OLS Model'!$B$5</f>
        <v>-415228.02881662402</v>
      </c>
      <c r="L88" s="186">
        <f>'Intermediate OLS Model'!$B$6*D88</f>
        <v>-500817.09352147911</v>
      </c>
      <c r="M88" s="186">
        <v>0</v>
      </c>
      <c r="N88" s="186">
        <f>F88*'Intermediate OLS Model'!$B$7</f>
        <v>0</v>
      </c>
      <c r="O88" s="186">
        <f>G88*'Intermediate OLS Model'!$B$8</f>
        <v>0</v>
      </c>
      <c r="P88" s="186">
        <f>H88*'Intermediate OLS Model'!$B$9</f>
        <v>0</v>
      </c>
      <c r="Q88" s="186">
        <f>'Intermediate OLS Model'!$B$10*I88</f>
        <v>4597068.1483280482</v>
      </c>
      <c r="R88">
        <f t="shared" si="9"/>
        <v>3681023.025989945</v>
      </c>
      <c r="S88" s="24">
        <f t="shared" ca="1" si="10"/>
        <v>1.2359582589543528E-2</v>
      </c>
    </row>
    <row r="89" spans="1:19">
      <c r="A89" s="26">
        <f>'Monthly Data'!A89</f>
        <v>42461</v>
      </c>
      <c r="B89">
        <f t="shared" si="6"/>
        <v>2016</v>
      </c>
      <c r="C89">
        <f ca="1">'Monthly Data'!Z89</f>
        <v>3430288.7432470941</v>
      </c>
      <c r="D89">
        <f>'Monthly Data'!BM89</f>
        <v>88</v>
      </c>
      <c r="E89">
        <f>'Monthly Data'!BJ89</f>
        <v>6979.7</v>
      </c>
      <c r="F89" s="127">
        <f>'Monthly Data'!BS89</f>
        <v>0</v>
      </c>
      <c r="G89" s="127">
        <f>'Monthly Data'!BT89</f>
        <v>0</v>
      </c>
      <c r="H89" s="127">
        <f>'Monthly Data'!CA89</f>
        <v>0</v>
      </c>
      <c r="I89">
        <f>'Monthly Data'!CC89</f>
        <v>30</v>
      </c>
      <c r="K89">
        <f>'Intermediate OLS Model'!$B$5</f>
        <v>-415228.02881662402</v>
      </c>
      <c r="L89" s="186">
        <f>'Intermediate OLS Model'!$B$6*D89</f>
        <v>-506573.61183781794</v>
      </c>
      <c r="M89" s="186">
        <v>0</v>
      </c>
      <c r="N89" s="186">
        <f>F89*'Intermediate OLS Model'!$B$7</f>
        <v>0</v>
      </c>
      <c r="O89" s="186">
        <f>G89*'Intermediate OLS Model'!$B$8</f>
        <v>0</v>
      </c>
      <c r="P89" s="186">
        <f>H89*'Intermediate OLS Model'!$B$9</f>
        <v>0</v>
      </c>
      <c r="Q89" s="186">
        <f>'Intermediate OLS Model'!$B$10*I89</f>
        <v>4448775.6274142396</v>
      </c>
      <c r="R89">
        <f t="shared" si="9"/>
        <v>3526973.9867597977</v>
      </c>
      <c r="S89" s="24">
        <f t="shared" ca="1" si="10"/>
        <v>2.8185744918132402E-2</v>
      </c>
    </row>
    <row r="90" spans="1:19">
      <c r="A90" s="26">
        <f>'Monthly Data'!A90</f>
        <v>42491</v>
      </c>
      <c r="B90">
        <f t="shared" si="6"/>
        <v>2016</v>
      </c>
      <c r="C90">
        <f ca="1">'Monthly Data'!Z90</f>
        <v>3783247.3232470937</v>
      </c>
      <c r="D90">
        <f>'Monthly Data'!BM90</f>
        <v>89</v>
      </c>
      <c r="E90">
        <f>'Monthly Data'!BJ90</f>
        <v>6990.5</v>
      </c>
      <c r="F90" s="127">
        <f>'Monthly Data'!BS90</f>
        <v>0</v>
      </c>
      <c r="G90" s="127">
        <f>'Monthly Data'!BT90</f>
        <v>0</v>
      </c>
      <c r="H90" s="127">
        <f>'Monthly Data'!CA90</f>
        <v>0</v>
      </c>
      <c r="I90">
        <f>'Monthly Data'!CC90</f>
        <v>31</v>
      </c>
      <c r="K90">
        <f>'Intermediate OLS Model'!$B$5</f>
        <v>-415228.02881662402</v>
      </c>
      <c r="L90" s="186">
        <f>'Intermediate OLS Model'!$B$6*D90</f>
        <v>-512330.13015415677</v>
      </c>
      <c r="M90" s="186">
        <v>0</v>
      </c>
      <c r="N90" s="186">
        <f>F90*'Intermediate OLS Model'!$B$7</f>
        <v>0</v>
      </c>
      <c r="O90" s="186">
        <f>G90*'Intermediate OLS Model'!$B$8</f>
        <v>0</v>
      </c>
      <c r="P90" s="186">
        <f>H90*'Intermediate OLS Model'!$B$9</f>
        <v>0</v>
      </c>
      <c r="Q90" s="186">
        <f>'Intermediate OLS Model'!$B$10*I90</f>
        <v>4597068.1483280482</v>
      </c>
      <c r="R90">
        <f t="shared" si="9"/>
        <v>3669509.9893572675</v>
      </c>
      <c r="S90" s="24">
        <f t="shared" ca="1" si="10"/>
        <v>3.0063414884599054E-2</v>
      </c>
    </row>
    <row r="91" spans="1:19">
      <c r="A91" s="26">
        <f>'Monthly Data'!A91</f>
        <v>42522</v>
      </c>
      <c r="B91">
        <f t="shared" si="6"/>
        <v>2016</v>
      </c>
      <c r="C91">
        <f ca="1">'Monthly Data'!Z91</f>
        <v>4068589.4732470941</v>
      </c>
      <c r="D91">
        <f>'Monthly Data'!BM91</f>
        <v>90</v>
      </c>
      <c r="E91">
        <f>'Monthly Data'!BJ91</f>
        <v>6998.8</v>
      </c>
      <c r="F91" s="127">
        <f>'Monthly Data'!BS91</f>
        <v>1</v>
      </c>
      <c r="G91" s="127">
        <f>'Monthly Data'!BT91</f>
        <v>0</v>
      </c>
      <c r="H91" s="127">
        <f>'Monthly Data'!CA91</f>
        <v>0</v>
      </c>
      <c r="I91">
        <f>'Monthly Data'!CC91</f>
        <v>30</v>
      </c>
      <c r="K91">
        <f>'Intermediate OLS Model'!$B$5</f>
        <v>-415228.02881662402</v>
      </c>
      <c r="L91" s="186">
        <f>'Intermediate OLS Model'!$B$6*D91</f>
        <v>-518086.64847049559</v>
      </c>
      <c r="M91" s="186">
        <v>0</v>
      </c>
      <c r="N91" s="186">
        <f>F91*'Intermediate OLS Model'!$B$7</f>
        <v>346553.62108035001</v>
      </c>
      <c r="O91" s="186">
        <f>G91*'Intermediate OLS Model'!$B$8</f>
        <v>0</v>
      </c>
      <c r="P91" s="186">
        <f>H91*'Intermediate OLS Model'!$B$9</f>
        <v>0</v>
      </c>
      <c r="Q91" s="186">
        <f>'Intermediate OLS Model'!$B$10*I91</f>
        <v>4448775.6274142396</v>
      </c>
      <c r="R91">
        <f t="shared" si="9"/>
        <v>3862014.5712074698</v>
      </c>
      <c r="S91" s="24">
        <f t="shared" ca="1" si="10"/>
        <v>5.077310045605541E-2</v>
      </c>
    </row>
    <row r="92" spans="1:19">
      <c r="A92" s="26">
        <f>'Monthly Data'!A92</f>
        <v>42552</v>
      </c>
      <c r="B92">
        <f t="shared" si="6"/>
        <v>2016</v>
      </c>
      <c r="C92">
        <f ca="1">'Monthly Data'!Z92</f>
        <v>3984566.7832470937</v>
      </c>
      <c r="D92">
        <f>'Monthly Data'!BM92</f>
        <v>91</v>
      </c>
      <c r="E92">
        <f>'Monthly Data'!BJ92</f>
        <v>6995</v>
      </c>
      <c r="F92" s="127">
        <f>'Monthly Data'!BS92</f>
        <v>0</v>
      </c>
      <c r="G92" s="127">
        <f>'Monthly Data'!BT92</f>
        <v>1</v>
      </c>
      <c r="H92" s="127">
        <f>'Monthly Data'!CA92</f>
        <v>0</v>
      </c>
      <c r="I92">
        <f>'Monthly Data'!CC92</f>
        <v>31</v>
      </c>
      <c r="K92">
        <f>'Intermediate OLS Model'!$B$5</f>
        <v>-415228.02881662402</v>
      </c>
      <c r="L92" s="186">
        <f>'Intermediate OLS Model'!$B$6*D92</f>
        <v>-523843.16678683442</v>
      </c>
      <c r="M92" s="186">
        <v>0</v>
      </c>
      <c r="N92" s="186">
        <f>F92*'Intermediate OLS Model'!$B$7</f>
        <v>0</v>
      </c>
      <c r="O92" s="186">
        <f>G92*'Intermediate OLS Model'!$B$8</f>
        <v>428565.96548408002</v>
      </c>
      <c r="P92" s="186">
        <f>H92*'Intermediate OLS Model'!$B$9</f>
        <v>0</v>
      </c>
      <c r="Q92" s="186">
        <f>'Intermediate OLS Model'!$B$10*I92</f>
        <v>4597068.1483280482</v>
      </c>
      <c r="R92">
        <f t="shared" si="9"/>
        <v>4086562.9182086699</v>
      </c>
      <c r="S92" s="24">
        <f t="shared" ca="1" si="10"/>
        <v>2.5597797830974676E-2</v>
      </c>
    </row>
    <row r="93" spans="1:19">
      <c r="A93" s="26">
        <f>'Monthly Data'!A93</f>
        <v>42583</v>
      </c>
      <c r="B93">
        <f t="shared" si="6"/>
        <v>2016</v>
      </c>
      <c r="C93">
        <f ca="1">'Monthly Data'!Z93</f>
        <v>3315041.8332470939</v>
      </c>
      <c r="D93">
        <f>'Monthly Data'!BM93</f>
        <v>92</v>
      </c>
      <c r="E93">
        <f>'Monthly Data'!BJ93</f>
        <v>6991</v>
      </c>
      <c r="F93" s="127">
        <f>'Monthly Data'!BS93</f>
        <v>0</v>
      </c>
      <c r="G93" s="127">
        <f>'Monthly Data'!BT93</f>
        <v>0</v>
      </c>
      <c r="H93" s="127">
        <f>'Monthly Data'!CA93</f>
        <v>0</v>
      </c>
      <c r="I93">
        <f>'Monthly Data'!CC93</f>
        <v>31</v>
      </c>
      <c r="K93">
        <f>'Intermediate OLS Model'!$B$5</f>
        <v>-415228.02881662402</v>
      </c>
      <c r="L93" s="186">
        <f>'Intermediate OLS Model'!$B$6*D93</f>
        <v>-529599.68510317325</v>
      </c>
      <c r="M93" s="186">
        <v>0</v>
      </c>
      <c r="N93" s="186">
        <f>F93*'Intermediate OLS Model'!$B$7</f>
        <v>0</v>
      </c>
      <c r="O93" s="186">
        <f>G93*'Intermediate OLS Model'!$B$8</f>
        <v>0</v>
      </c>
      <c r="P93" s="186">
        <f>H93*'Intermediate OLS Model'!$B$9</f>
        <v>0</v>
      </c>
      <c r="Q93" s="186">
        <f>'Intermediate OLS Model'!$B$10*I93</f>
        <v>4597068.1483280482</v>
      </c>
      <c r="R93">
        <f t="shared" si="9"/>
        <v>3652240.4344082512</v>
      </c>
      <c r="S93" s="24">
        <f t="shared" ca="1" si="10"/>
        <v>0.10171775142604163</v>
      </c>
    </row>
    <row r="94" spans="1:19">
      <c r="A94" s="26">
        <f>'Monthly Data'!A94</f>
        <v>42614</v>
      </c>
      <c r="B94">
        <f t="shared" si="6"/>
        <v>2016</v>
      </c>
      <c r="C94">
        <f ca="1">'Monthly Data'!Z94</f>
        <v>3610685.643247094</v>
      </c>
      <c r="D94">
        <f>'Monthly Data'!BM94</f>
        <v>93</v>
      </c>
      <c r="E94">
        <f>'Monthly Data'!BJ94</f>
        <v>6989.1</v>
      </c>
      <c r="F94" s="127">
        <f>'Monthly Data'!BS94</f>
        <v>0</v>
      </c>
      <c r="G94" s="127">
        <f>'Monthly Data'!BT94</f>
        <v>0</v>
      </c>
      <c r="H94" s="127">
        <f>'Monthly Data'!CA94</f>
        <v>1</v>
      </c>
      <c r="I94">
        <f>'Monthly Data'!CC94</f>
        <v>30</v>
      </c>
      <c r="K94">
        <f>'Intermediate OLS Model'!$B$5</f>
        <v>-415228.02881662402</v>
      </c>
      <c r="L94" s="186">
        <f>'Intermediate OLS Model'!$B$6*D94</f>
        <v>-535356.20341951214</v>
      </c>
      <c r="M94" s="186">
        <v>0</v>
      </c>
      <c r="N94" s="186">
        <f>F94*'Intermediate OLS Model'!$B$7</f>
        <v>0</v>
      </c>
      <c r="O94" s="186">
        <f>G94*'Intermediate OLS Model'!$B$8</f>
        <v>0</v>
      </c>
      <c r="P94" s="186">
        <f>H94*'Intermediate OLS Model'!$B$9</f>
        <v>219659.05071226999</v>
      </c>
      <c r="Q94" s="186">
        <f>'Intermediate OLS Model'!$B$10*I94</f>
        <v>4448775.6274142396</v>
      </c>
      <c r="R94">
        <f t="shared" si="9"/>
        <v>3717850.4458903736</v>
      </c>
      <c r="S94" s="24">
        <f t="shared" ca="1" si="10"/>
        <v>2.9679903827602702E-2</v>
      </c>
    </row>
    <row r="95" spans="1:19">
      <c r="A95" s="26">
        <f>'Monthly Data'!A95</f>
        <v>42644</v>
      </c>
      <c r="B95">
        <f t="shared" si="6"/>
        <v>2016</v>
      </c>
      <c r="C95">
        <f ca="1">'Monthly Data'!Z95</f>
        <v>3809029.3432470937</v>
      </c>
      <c r="D95">
        <f>'Monthly Data'!BM95</f>
        <v>94</v>
      </c>
      <c r="E95">
        <f>'Monthly Data'!BJ95</f>
        <v>7005.5</v>
      </c>
      <c r="F95" s="127">
        <f>'Monthly Data'!BS95</f>
        <v>0</v>
      </c>
      <c r="G95" s="127">
        <f>'Monthly Data'!BT95</f>
        <v>0</v>
      </c>
      <c r="H95" s="127">
        <f>'Monthly Data'!CA95</f>
        <v>1</v>
      </c>
      <c r="I95">
        <f>'Monthly Data'!CC95</f>
        <v>31</v>
      </c>
      <c r="K95">
        <f>'Intermediate OLS Model'!$B$5</f>
        <v>-415228.02881662402</v>
      </c>
      <c r="L95" s="186">
        <f>'Intermediate OLS Model'!$B$6*D95</f>
        <v>-541112.72173585102</v>
      </c>
      <c r="M95" s="186">
        <v>0</v>
      </c>
      <c r="N95" s="186">
        <f>F95*'Intermediate OLS Model'!$B$7</f>
        <v>0</v>
      </c>
      <c r="O95" s="186">
        <f>G95*'Intermediate OLS Model'!$B$8</f>
        <v>0</v>
      </c>
      <c r="P95" s="186">
        <f>H95*'Intermediate OLS Model'!$B$9</f>
        <v>219659.05071226999</v>
      </c>
      <c r="Q95" s="186">
        <f>'Intermediate OLS Model'!$B$10*I95</f>
        <v>4597068.1483280482</v>
      </c>
      <c r="R95">
        <f t="shared" si="9"/>
        <v>3860386.4484878434</v>
      </c>
      <c r="S95" s="24">
        <f t="shared" ca="1" si="10"/>
        <v>1.3482990182734883E-2</v>
      </c>
    </row>
    <row r="96" spans="1:19">
      <c r="A96" s="26">
        <f>'Monthly Data'!A96</f>
        <v>42675</v>
      </c>
      <c r="B96">
        <f t="shared" si="6"/>
        <v>2016</v>
      </c>
      <c r="C96">
        <f ca="1">'Monthly Data'!Z96</f>
        <v>3762256.7532470939</v>
      </c>
      <c r="D96">
        <f>'Monthly Data'!BM96</f>
        <v>95</v>
      </c>
      <c r="E96">
        <f>'Monthly Data'!BJ96</f>
        <v>7021.6</v>
      </c>
      <c r="F96" s="127">
        <f>'Monthly Data'!BS96</f>
        <v>0</v>
      </c>
      <c r="G96" s="127">
        <f>'Monthly Data'!BT96</f>
        <v>0</v>
      </c>
      <c r="H96" s="127">
        <f>'Monthly Data'!CA96</f>
        <v>1</v>
      </c>
      <c r="I96">
        <f>'Monthly Data'!CC96</f>
        <v>30</v>
      </c>
      <c r="K96">
        <f>'Intermediate OLS Model'!$B$5</f>
        <v>-415228.02881662402</v>
      </c>
      <c r="L96" s="186">
        <f>'Intermediate OLS Model'!$B$6*D96</f>
        <v>-546869.24005218979</v>
      </c>
      <c r="M96" s="186">
        <v>0</v>
      </c>
      <c r="N96" s="186">
        <f>F96*'Intermediate OLS Model'!$B$7</f>
        <v>0</v>
      </c>
      <c r="O96" s="186">
        <f>G96*'Intermediate OLS Model'!$B$8</f>
        <v>0</v>
      </c>
      <c r="P96" s="186">
        <f>H96*'Intermediate OLS Model'!$B$9</f>
        <v>219659.05071226999</v>
      </c>
      <c r="Q96" s="186">
        <f>'Intermediate OLS Model'!$B$10*I96</f>
        <v>4448775.6274142396</v>
      </c>
      <c r="R96">
        <f t="shared" si="9"/>
        <v>3706337.409257696</v>
      </c>
      <c r="S96" s="24">
        <f t="shared" ca="1" si="10"/>
        <v>1.4863245030030317E-2</v>
      </c>
    </row>
    <row r="97" spans="1:19">
      <c r="A97" s="26">
        <f>'Monthly Data'!A97</f>
        <v>42705</v>
      </c>
      <c r="B97">
        <f t="shared" si="6"/>
        <v>2016</v>
      </c>
      <c r="C97">
        <f ca="1">'Monthly Data'!Z97</f>
        <v>4040160.4732470936</v>
      </c>
      <c r="D97">
        <f>'Monthly Data'!BM97</f>
        <v>96</v>
      </c>
      <c r="E97">
        <f>'Monthly Data'!BJ97</f>
        <v>7035.1</v>
      </c>
      <c r="F97" s="127">
        <f>'Monthly Data'!BS97</f>
        <v>0</v>
      </c>
      <c r="G97" s="127">
        <f>'Monthly Data'!BT97</f>
        <v>0</v>
      </c>
      <c r="H97" s="127">
        <f>'Monthly Data'!CA97</f>
        <v>0</v>
      </c>
      <c r="I97">
        <f>'Monthly Data'!CC97</f>
        <v>31</v>
      </c>
      <c r="K97">
        <f>'Intermediate OLS Model'!$B$5</f>
        <v>-415228.02881662402</v>
      </c>
      <c r="L97" s="186">
        <f>'Intermediate OLS Model'!$B$6*D97</f>
        <v>-552625.75836852868</v>
      </c>
      <c r="M97" s="186">
        <v>0</v>
      </c>
      <c r="N97" s="186">
        <f>F97*'Intermediate OLS Model'!$B$7</f>
        <v>0</v>
      </c>
      <c r="O97" s="186">
        <f>G97*'Intermediate OLS Model'!$B$8</f>
        <v>0</v>
      </c>
      <c r="P97" s="186">
        <f>H97*'Intermediate OLS Model'!$B$9</f>
        <v>0</v>
      </c>
      <c r="Q97" s="186">
        <f>'Intermediate OLS Model'!$B$10*I97</f>
        <v>4597068.1483280482</v>
      </c>
      <c r="R97">
        <f t="shared" si="9"/>
        <v>3629214.3611428952</v>
      </c>
      <c r="S97" s="24">
        <f t="shared" ca="1" si="10"/>
        <v>0.10171529443579734</v>
      </c>
    </row>
    <row r="98" spans="1:19" s="127" customFormat="1">
      <c r="A98" s="128">
        <f>'Monthly Data'!A98</f>
        <v>42736</v>
      </c>
      <c r="B98" s="127">
        <f t="shared" ref="B98:B109" si="11">YEAR(A98)</f>
        <v>2017</v>
      </c>
      <c r="C98" s="127">
        <f ca="1">'Monthly Data'!Z98</f>
        <v>4673482.8519639345</v>
      </c>
      <c r="D98" s="127">
        <f>'Monthly Data'!BM98</f>
        <v>97</v>
      </c>
      <c r="E98" s="127">
        <f>'Monthly Data'!BJ98</f>
        <v>7049.2</v>
      </c>
      <c r="F98" s="127">
        <f>'Monthly Data'!BS98</f>
        <v>0</v>
      </c>
      <c r="G98" s="127">
        <f>'Monthly Data'!BT98</f>
        <v>0</v>
      </c>
      <c r="H98" s="127">
        <f>'Monthly Data'!CA98</f>
        <v>0</v>
      </c>
      <c r="I98" s="127">
        <f>'Monthly Data'!CC98</f>
        <v>31</v>
      </c>
      <c r="K98" s="127">
        <f>'Intermediate OLS Model'!$B$5</f>
        <v>-415228.02881662402</v>
      </c>
      <c r="L98" s="186">
        <f>'Intermediate OLS Model'!$B$6*D98</f>
        <v>-558382.27668486745</v>
      </c>
      <c r="M98" s="186">
        <v>0</v>
      </c>
      <c r="N98" s="186">
        <f>F98*'Intermediate OLS Model'!$B$7</f>
        <v>0</v>
      </c>
      <c r="O98" s="186">
        <f>G98*'Intermediate OLS Model'!$B$8</f>
        <v>0</v>
      </c>
      <c r="P98" s="186">
        <f>H98*'Intermediate OLS Model'!$B$9</f>
        <v>0</v>
      </c>
      <c r="Q98" s="186">
        <f>'Intermediate OLS Model'!$B$10*I98</f>
        <v>4597068.1483280482</v>
      </c>
      <c r="R98" s="127">
        <f t="shared" ref="R98:R109" si="12">SUM(K98:Q98)</f>
        <v>3623457.8428265564</v>
      </c>
      <c r="S98" s="24">
        <f t="shared" ca="1" si="10"/>
        <v>0.22467719309082879</v>
      </c>
    </row>
    <row r="99" spans="1:19" s="127" customFormat="1">
      <c r="A99" s="128">
        <f>'Monthly Data'!A99</f>
        <v>42767</v>
      </c>
      <c r="B99" s="127">
        <f t="shared" si="11"/>
        <v>2017</v>
      </c>
      <c r="C99" s="127">
        <f ca="1">'Monthly Data'!Z99</f>
        <v>3160702.7119639348</v>
      </c>
      <c r="D99" s="127">
        <f>'Monthly Data'!BM99</f>
        <v>98</v>
      </c>
      <c r="E99" s="127">
        <f>'Monthly Data'!BJ99</f>
        <v>7062.5</v>
      </c>
      <c r="F99" s="127">
        <f>'Monthly Data'!BS99</f>
        <v>0</v>
      </c>
      <c r="G99" s="127">
        <f>'Monthly Data'!BT99</f>
        <v>0</v>
      </c>
      <c r="H99" s="127">
        <f>'Monthly Data'!CA99</f>
        <v>0</v>
      </c>
      <c r="I99" s="127">
        <f>'Monthly Data'!CC99</f>
        <v>28</v>
      </c>
      <c r="K99" s="127">
        <f>'Intermediate OLS Model'!$B$5</f>
        <v>-415228.02881662402</v>
      </c>
      <c r="L99" s="186">
        <f>'Intermediate OLS Model'!$B$6*D99</f>
        <v>-564138.79500120634</v>
      </c>
      <c r="M99" s="186">
        <v>0</v>
      </c>
      <c r="N99" s="186">
        <f>F99*'Intermediate OLS Model'!$B$7</f>
        <v>0</v>
      </c>
      <c r="O99" s="186">
        <f>G99*'Intermediate OLS Model'!$B$8</f>
        <v>0</v>
      </c>
      <c r="P99" s="186">
        <f>H99*'Intermediate OLS Model'!$B$9</f>
        <v>0</v>
      </c>
      <c r="Q99" s="186">
        <f>'Intermediate OLS Model'!$B$10*I99</f>
        <v>4152190.5855866238</v>
      </c>
      <c r="R99" s="127">
        <f t="shared" si="12"/>
        <v>3172823.7617687937</v>
      </c>
      <c r="S99" s="24">
        <f t="shared" ca="1" si="10"/>
        <v>3.8349224553698457E-3</v>
      </c>
    </row>
    <row r="100" spans="1:19" s="127" customFormat="1">
      <c r="A100" s="128">
        <f>'Monthly Data'!A100</f>
        <v>42795</v>
      </c>
      <c r="B100" s="127">
        <f t="shared" si="11"/>
        <v>2017</v>
      </c>
      <c r="C100" s="127">
        <f ca="1">'Monthly Data'!Z100</f>
        <v>3516291.0219639349</v>
      </c>
      <c r="D100" s="127">
        <f>'Monthly Data'!BM100</f>
        <v>99</v>
      </c>
      <c r="E100" s="127">
        <f>'Monthly Data'!BJ100</f>
        <v>7071</v>
      </c>
      <c r="F100" s="127">
        <f>'Monthly Data'!BS100</f>
        <v>0</v>
      </c>
      <c r="G100" s="127">
        <f>'Monthly Data'!BT100</f>
        <v>0</v>
      </c>
      <c r="H100" s="127">
        <f>'Monthly Data'!CA100</f>
        <v>0</v>
      </c>
      <c r="I100" s="127">
        <f>'Monthly Data'!CC100</f>
        <v>31</v>
      </c>
      <c r="K100" s="127">
        <f>'Intermediate OLS Model'!$B$5</f>
        <v>-415228.02881662402</v>
      </c>
      <c r="L100" s="186">
        <f>'Intermediate OLS Model'!$B$6*D100</f>
        <v>-569895.31331754522</v>
      </c>
      <c r="M100" s="186">
        <v>0</v>
      </c>
      <c r="N100" s="186">
        <f>F100*'Intermediate OLS Model'!$B$7</f>
        <v>0</v>
      </c>
      <c r="O100" s="186">
        <f>G100*'Intermediate OLS Model'!$B$8</f>
        <v>0</v>
      </c>
      <c r="P100" s="186">
        <f>H100*'Intermediate OLS Model'!$B$9</f>
        <v>0</v>
      </c>
      <c r="Q100" s="186">
        <f>'Intermediate OLS Model'!$B$10*I100</f>
        <v>4597068.1483280482</v>
      </c>
      <c r="R100" s="127">
        <f t="shared" si="12"/>
        <v>3611944.8061938789</v>
      </c>
      <c r="S100" s="24">
        <f t="shared" ca="1" si="10"/>
        <v>2.7203034001582443E-2</v>
      </c>
    </row>
    <row r="101" spans="1:19" s="127" customFormat="1">
      <c r="A101" s="128">
        <f>'Monthly Data'!A101</f>
        <v>42826</v>
      </c>
      <c r="B101" s="127">
        <f t="shared" si="11"/>
        <v>2017</v>
      </c>
      <c r="C101" s="127">
        <f ca="1">'Monthly Data'!Z101</f>
        <v>3257803.3419639347</v>
      </c>
      <c r="D101" s="127">
        <f>'Monthly Data'!BM101</f>
        <v>100</v>
      </c>
      <c r="E101" s="127">
        <f>'Monthly Data'!BJ101</f>
        <v>7073.2</v>
      </c>
      <c r="F101" s="127">
        <f>'Monthly Data'!BS101</f>
        <v>0</v>
      </c>
      <c r="G101" s="127">
        <f>'Monthly Data'!BT101</f>
        <v>0</v>
      </c>
      <c r="H101" s="127">
        <f>'Monthly Data'!CA101</f>
        <v>0</v>
      </c>
      <c r="I101" s="127">
        <f>'Monthly Data'!CC101</f>
        <v>30</v>
      </c>
      <c r="K101" s="127">
        <f>'Intermediate OLS Model'!$B$5</f>
        <v>-415228.02881662402</v>
      </c>
      <c r="L101" s="186">
        <f>'Intermediate OLS Model'!$B$6*D101</f>
        <v>-575651.83163388399</v>
      </c>
      <c r="M101" s="186">
        <v>0</v>
      </c>
      <c r="N101" s="186">
        <f>F101*'Intermediate OLS Model'!$B$7</f>
        <v>0</v>
      </c>
      <c r="O101" s="186">
        <f>G101*'Intermediate OLS Model'!$B$8</f>
        <v>0</v>
      </c>
      <c r="P101" s="186">
        <f>H101*'Intermediate OLS Model'!$B$9</f>
        <v>0</v>
      </c>
      <c r="Q101" s="186">
        <f>'Intermediate OLS Model'!$B$10*I101</f>
        <v>4448775.6274142396</v>
      </c>
      <c r="R101" s="127">
        <f t="shared" si="12"/>
        <v>3457895.7669637315</v>
      </c>
      <c r="S101" s="24">
        <f t="shared" ca="1" si="10"/>
        <v>6.1419430210042397E-2</v>
      </c>
    </row>
    <row r="102" spans="1:19" s="127" customFormat="1">
      <c r="A102" s="128">
        <f>'Monthly Data'!A102</f>
        <v>42856</v>
      </c>
      <c r="B102" s="127">
        <f t="shared" si="11"/>
        <v>2017</v>
      </c>
      <c r="C102" s="127">
        <f ca="1">'Monthly Data'!Z102</f>
        <v>3505256.1119639347</v>
      </c>
      <c r="D102" s="127">
        <f>'Monthly Data'!BM102</f>
        <v>101</v>
      </c>
      <c r="E102" s="127">
        <f>'Monthly Data'!BJ102</f>
        <v>7076.2</v>
      </c>
      <c r="F102" s="127">
        <f>'Monthly Data'!BS102</f>
        <v>0</v>
      </c>
      <c r="G102" s="127">
        <f>'Monthly Data'!BT102</f>
        <v>0</v>
      </c>
      <c r="H102" s="127">
        <f>'Monthly Data'!CA102</f>
        <v>0</v>
      </c>
      <c r="I102" s="127">
        <f>'Monthly Data'!CC102</f>
        <v>31</v>
      </c>
      <c r="K102" s="127">
        <f>'Intermediate OLS Model'!$B$5</f>
        <v>-415228.02881662402</v>
      </c>
      <c r="L102" s="186">
        <f>'Intermediate OLS Model'!$B$6*D102</f>
        <v>-581408.34995022288</v>
      </c>
      <c r="M102" s="186">
        <v>0</v>
      </c>
      <c r="N102" s="186">
        <f>F102*'Intermediate OLS Model'!$B$7</f>
        <v>0</v>
      </c>
      <c r="O102" s="186">
        <f>G102*'Intermediate OLS Model'!$B$8</f>
        <v>0</v>
      </c>
      <c r="P102" s="186">
        <f>H102*'Intermediate OLS Model'!$B$9</f>
        <v>0</v>
      </c>
      <c r="Q102" s="186">
        <f>'Intermediate OLS Model'!$B$10*I102</f>
        <v>4597068.1483280482</v>
      </c>
      <c r="R102" s="127">
        <f t="shared" si="12"/>
        <v>3600431.7695612013</v>
      </c>
      <c r="S102" s="24">
        <f t="shared" ca="1" si="10"/>
        <v>2.7152269208637458E-2</v>
      </c>
    </row>
    <row r="103" spans="1:19" s="127" customFormat="1">
      <c r="A103" s="128">
        <f>'Monthly Data'!A103</f>
        <v>42887</v>
      </c>
      <c r="B103" s="127">
        <f t="shared" si="11"/>
        <v>2017</v>
      </c>
      <c r="C103" s="127">
        <f ca="1">'Monthly Data'!Z103</f>
        <v>3900962.201963935</v>
      </c>
      <c r="D103" s="127">
        <f>'Monthly Data'!BM103</f>
        <v>102</v>
      </c>
      <c r="E103" s="127">
        <f>'Monthly Data'!BJ103</f>
        <v>7082.2</v>
      </c>
      <c r="F103" s="127">
        <f>'Monthly Data'!BS103</f>
        <v>1</v>
      </c>
      <c r="G103" s="127">
        <f>'Monthly Data'!BT103</f>
        <v>0</v>
      </c>
      <c r="H103" s="127">
        <f>'Monthly Data'!CA103</f>
        <v>0</v>
      </c>
      <c r="I103" s="127">
        <f>'Monthly Data'!CC103</f>
        <v>30</v>
      </c>
      <c r="K103" s="127">
        <f>'Intermediate OLS Model'!$B$5</f>
        <v>-415228.02881662402</v>
      </c>
      <c r="L103" s="186">
        <f>'Intermediate OLS Model'!$B$6*D103</f>
        <v>-587164.86826656165</v>
      </c>
      <c r="M103" s="186">
        <v>0</v>
      </c>
      <c r="N103" s="186">
        <f>F103*'Intermediate OLS Model'!$B$7</f>
        <v>346553.62108035001</v>
      </c>
      <c r="O103" s="186">
        <f>G103*'Intermediate OLS Model'!$B$8</f>
        <v>0</v>
      </c>
      <c r="P103" s="186">
        <f>H103*'Intermediate OLS Model'!$B$9</f>
        <v>0</v>
      </c>
      <c r="Q103" s="186">
        <f>'Intermediate OLS Model'!$B$10*I103</f>
        <v>4448775.6274142396</v>
      </c>
      <c r="R103" s="127">
        <f t="shared" si="12"/>
        <v>3792936.3514114041</v>
      </c>
      <c r="S103" s="24">
        <f t="shared" ca="1" si="10"/>
        <v>2.7692103886099041E-2</v>
      </c>
    </row>
    <row r="104" spans="1:19" s="127" customFormat="1">
      <c r="A104" s="128">
        <f>'Monthly Data'!A104</f>
        <v>42917</v>
      </c>
      <c r="B104" s="127">
        <f t="shared" si="11"/>
        <v>2017</v>
      </c>
      <c r="C104" s="127">
        <f ca="1">'Monthly Data'!Z104</f>
        <v>3948803.201963935</v>
      </c>
      <c r="D104" s="127">
        <f>'Monthly Data'!BM104</f>
        <v>103</v>
      </c>
      <c r="E104" s="127">
        <f>'Monthly Data'!BJ104</f>
        <v>7098</v>
      </c>
      <c r="F104" s="127">
        <f>'Monthly Data'!BS104</f>
        <v>0</v>
      </c>
      <c r="G104" s="127">
        <f>'Monthly Data'!BT104</f>
        <v>1</v>
      </c>
      <c r="H104" s="127">
        <f>'Monthly Data'!CA104</f>
        <v>0</v>
      </c>
      <c r="I104" s="127">
        <f>'Monthly Data'!CC104</f>
        <v>31</v>
      </c>
      <c r="K104" s="127">
        <f>'Intermediate OLS Model'!$B$5</f>
        <v>-415228.02881662402</v>
      </c>
      <c r="L104" s="186">
        <f>'Intermediate OLS Model'!$B$6*D104</f>
        <v>-592921.38658290054</v>
      </c>
      <c r="M104" s="186">
        <v>0</v>
      </c>
      <c r="N104" s="186">
        <f>F104*'Intermediate OLS Model'!$B$7</f>
        <v>0</v>
      </c>
      <c r="O104" s="186">
        <f>G104*'Intermediate OLS Model'!$B$8</f>
        <v>428565.96548408002</v>
      </c>
      <c r="P104" s="186">
        <f>H104*'Intermediate OLS Model'!$B$9</f>
        <v>0</v>
      </c>
      <c r="Q104" s="186">
        <f>'Intermediate OLS Model'!$B$10*I104</f>
        <v>4597068.1483280482</v>
      </c>
      <c r="R104" s="127">
        <f t="shared" si="12"/>
        <v>4017484.6984126037</v>
      </c>
      <c r="S104" s="24">
        <f t="shared" ca="1" si="10"/>
        <v>1.7392990467215472E-2</v>
      </c>
    </row>
    <row r="105" spans="1:19" s="127" customFormat="1">
      <c r="A105" s="128">
        <f>'Monthly Data'!A105</f>
        <v>42948</v>
      </c>
      <c r="B105" s="127">
        <f t="shared" si="11"/>
        <v>2017</v>
      </c>
      <c r="C105" s="127">
        <f ca="1">'Monthly Data'!Z105</f>
        <v>2923548.0019639349</v>
      </c>
      <c r="D105" s="127">
        <f>'Monthly Data'!BM105</f>
        <v>104</v>
      </c>
      <c r="E105" s="127">
        <f>'Monthly Data'!BJ105</f>
        <v>7118.8</v>
      </c>
      <c r="F105" s="127">
        <f>'Monthly Data'!BS105</f>
        <v>0</v>
      </c>
      <c r="G105" s="127">
        <f>'Monthly Data'!BT105</f>
        <v>0</v>
      </c>
      <c r="H105" s="127">
        <f>'Monthly Data'!CA105</f>
        <v>0</v>
      </c>
      <c r="I105" s="127">
        <f>'Monthly Data'!CC105</f>
        <v>31</v>
      </c>
      <c r="K105" s="127">
        <f>'Intermediate OLS Model'!$B$5</f>
        <v>-415228.02881662402</v>
      </c>
      <c r="L105" s="186">
        <f>'Intermediate OLS Model'!$B$6*D105</f>
        <v>-598677.90489923942</v>
      </c>
      <c r="M105" s="186">
        <v>0</v>
      </c>
      <c r="N105" s="186">
        <f>F105*'Intermediate OLS Model'!$B$7</f>
        <v>0</v>
      </c>
      <c r="O105" s="186">
        <f>G105*'Intermediate OLS Model'!$B$8</f>
        <v>0</v>
      </c>
      <c r="P105" s="186">
        <f>H105*'Intermediate OLS Model'!$B$9</f>
        <v>0</v>
      </c>
      <c r="Q105" s="186">
        <f>'Intermediate OLS Model'!$B$10*I105</f>
        <v>4597068.1483280482</v>
      </c>
      <c r="R105" s="127">
        <f t="shared" si="12"/>
        <v>3583162.214612185</v>
      </c>
      <c r="S105" s="24">
        <f t="shared" ca="1" si="10"/>
        <v>0.22562113302232251</v>
      </c>
    </row>
    <row r="106" spans="1:19" s="127" customFormat="1">
      <c r="A106" s="128">
        <f>'Monthly Data'!A106</f>
        <v>42979</v>
      </c>
      <c r="B106" s="127">
        <f t="shared" si="11"/>
        <v>2017</v>
      </c>
      <c r="C106" s="127">
        <f ca="1">'Monthly Data'!Z106</f>
        <v>3551345.6319639347</v>
      </c>
      <c r="D106" s="127">
        <f>'Monthly Data'!BM106</f>
        <v>105</v>
      </c>
      <c r="E106" s="127">
        <f>'Monthly Data'!BJ106</f>
        <v>7148.9</v>
      </c>
      <c r="F106" s="127">
        <f>'Monthly Data'!BS106</f>
        <v>0</v>
      </c>
      <c r="G106" s="127">
        <f>'Monthly Data'!BT106</f>
        <v>0</v>
      </c>
      <c r="H106" s="127">
        <f>'Monthly Data'!CA106</f>
        <v>1</v>
      </c>
      <c r="I106" s="127">
        <f>'Monthly Data'!CC106</f>
        <v>30</v>
      </c>
      <c r="K106" s="127">
        <f>'Intermediate OLS Model'!$B$5</f>
        <v>-415228.02881662402</v>
      </c>
      <c r="L106" s="186">
        <f>'Intermediate OLS Model'!$B$6*D106</f>
        <v>-604434.42321557819</v>
      </c>
      <c r="M106" s="186">
        <v>0</v>
      </c>
      <c r="N106" s="186">
        <f>F106*'Intermediate OLS Model'!$B$7</f>
        <v>0</v>
      </c>
      <c r="O106" s="186">
        <f>G106*'Intermediate OLS Model'!$B$8</f>
        <v>0</v>
      </c>
      <c r="P106" s="186">
        <f>H106*'Intermediate OLS Model'!$B$9</f>
        <v>219659.05071226999</v>
      </c>
      <c r="Q106" s="186">
        <f>'Intermediate OLS Model'!$B$10*I106</f>
        <v>4448775.6274142396</v>
      </c>
      <c r="R106" s="127">
        <f t="shared" si="12"/>
        <v>3648772.2260943074</v>
      </c>
      <c r="S106" s="24">
        <f t="shared" ca="1" si="10"/>
        <v>2.7433712239519365E-2</v>
      </c>
    </row>
    <row r="107" spans="1:19" s="127" customFormat="1">
      <c r="A107" s="128">
        <f>'Monthly Data'!A107</f>
        <v>43009</v>
      </c>
      <c r="B107" s="127">
        <f t="shared" si="11"/>
        <v>2017</v>
      </c>
      <c r="C107" s="127">
        <f ca="1">'Monthly Data'!Z107</f>
        <v>4675960.2019639341</v>
      </c>
      <c r="D107" s="127">
        <f>'Monthly Data'!BM107</f>
        <v>106</v>
      </c>
      <c r="E107" s="127">
        <f>'Monthly Data'!BJ107</f>
        <v>7168.4</v>
      </c>
      <c r="F107" s="127">
        <f>'Monthly Data'!BS107</f>
        <v>0</v>
      </c>
      <c r="G107" s="127">
        <f>'Monthly Data'!BT107</f>
        <v>0</v>
      </c>
      <c r="H107" s="127">
        <f>'Monthly Data'!CA107</f>
        <v>1</v>
      </c>
      <c r="I107" s="127">
        <f>'Monthly Data'!CC107</f>
        <v>31</v>
      </c>
      <c r="K107" s="127">
        <f>'Intermediate OLS Model'!$B$5</f>
        <v>-415228.02881662402</v>
      </c>
      <c r="L107" s="186">
        <f>'Intermediate OLS Model'!$B$6*D107</f>
        <v>-610190.94153191708</v>
      </c>
      <c r="M107" s="186">
        <v>0</v>
      </c>
      <c r="N107" s="186">
        <f>F107*'Intermediate OLS Model'!$B$7</f>
        <v>0</v>
      </c>
      <c r="O107" s="186">
        <f>G107*'Intermediate OLS Model'!$B$8</f>
        <v>0</v>
      </c>
      <c r="P107" s="186">
        <f>H107*'Intermediate OLS Model'!$B$9</f>
        <v>219659.05071226999</v>
      </c>
      <c r="Q107" s="186">
        <f>'Intermediate OLS Model'!$B$10*I107</f>
        <v>4597068.1483280482</v>
      </c>
      <c r="R107" s="127">
        <f t="shared" si="12"/>
        <v>3791308.2286917772</v>
      </c>
      <c r="S107" s="24">
        <f t="shared" ca="1" si="10"/>
        <v>0.18919151041974164</v>
      </c>
    </row>
    <row r="108" spans="1:19" s="127" customFormat="1">
      <c r="A108" s="128">
        <f>'Monthly Data'!A108</f>
        <v>43040</v>
      </c>
      <c r="B108" s="127">
        <f t="shared" si="11"/>
        <v>2017</v>
      </c>
      <c r="C108" s="127">
        <f ca="1">'Monthly Data'!Z108</f>
        <v>3582167.1319639347</v>
      </c>
      <c r="D108" s="127">
        <f>'Monthly Data'!BM108</f>
        <v>107</v>
      </c>
      <c r="E108" s="127">
        <f>'Monthly Data'!BJ108</f>
        <v>7192.2</v>
      </c>
      <c r="F108" s="127">
        <f>'Monthly Data'!BS108</f>
        <v>0</v>
      </c>
      <c r="G108" s="127">
        <f>'Monthly Data'!BT108</f>
        <v>0</v>
      </c>
      <c r="H108" s="127">
        <f>'Monthly Data'!CA108</f>
        <v>1</v>
      </c>
      <c r="I108" s="127">
        <f>'Monthly Data'!CC108</f>
        <v>30</v>
      </c>
      <c r="K108" s="127">
        <f>'Intermediate OLS Model'!$B$5</f>
        <v>-415228.02881662402</v>
      </c>
      <c r="L108" s="186">
        <f>'Intermediate OLS Model'!$B$6*D108</f>
        <v>-615947.45984825585</v>
      </c>
      <c r="M108" s="186">
        <v>0</v>
      </c>
      <c r="N108" s="186">
        <f>F108*'Intermediate OLS Model'!$B$7</f>
        <v>0</v>
      </c>
      <c r="O108" s="186">
        <f>G108*'Intermediate OLS Model'!$B$8</f>
        <v>0</v>
      </c>
      <c r="P108" s="186">
        <f>H108*'Intermediate OLS Model'!$B$9</f>
        <v>219659.05071226999</v>
      </c>
      <c r="Q108" s="186">
        <f>'Intermediate OLS Model'!$B$10*I108</f>
        <v>4448775.6274142396</v>
      </c>
      <c r="R108" s="127">
        <f t="shared" si="12"/>
        <v>3637259.1894616298</v>
      </c>
      <c r="S108" s="24">
        <f t="shared" ca="1" si="10"/>
        <v>1.5379532966539919E-2</v>
      </c>
    </row>
    <row r="109" spans="1:19" s="127" customFormat="1">
      <c r="A109" s="128">
        <f>'Monthly Data'!A109</f>
        <v>43070</v>
      </c>
      <c r="B109" s="127">
        <f t="shared" si="11"/>
        <v>2017</v>
      </c>
      <c r="C109" s="127">
        <f ca="1">'Monthly Data'!Z109</f>
        <v>4051590.7719639349</v>
      </c>
      <c r="D109" s="127">
        <f>'Monthly Data'!BM109</f>
        <v>108</v>
      </c>
      <c r="E109" s="127">
        <f>'Monthly Data'!BJ109</f>
        <v>7207.4</v>
      </c>
      <c r="F109" s="127">
        <f>'Monthly Data'!BS109</f>
        <v>0</v>
      </c>
      <c r="G109" s="127">
        <f>'Monthly Data'!BT109</f>
        <v>0</v>
      </c>
      <c r="H109" s="127">
        <f>'Monthly Data'!CA109</f>
        <v>0</v>
      </c>
      <c r="I109" s="127">
        <f>'Monthly Data'!CC109</f>
        <v>31</v>
      </c>
      <c r="K109" s="127">
        <f>'Intermediate OLS Model'!$B$5</f>
        <v>-415228.02881662402</v>
      </c>
      <c r="L109" s="186">
        <f>'Intermediate OLS Model'!$B$6*D109</f>
        <v>-621703.97816459474</v>
      </c>
      <c r="M109" s="186">
        <v>0</v>
      </c>
      <c r="N109" s="186">
        <f>F109*'Intermediate OLS Model'!$B$7</f>
        <v>0</v>
      </c>
      <c r="O109" s="186">
        <f>G109*'Intermediate OLS Model'!$B$8</f>
        <v>0</v>
      </c>
      <c r="P109" s="186">
        <f>H109*'Intermediate OLS Model'!$B$9</f>
        <v>0</v>
      </c>
      <c r="Q109" s="186">
        <f>'Intermediate OLS Model'!$B$10*I109</f>
        <v>4597068.1483280482</v>
      </c>
      <c r="R109" s="127">
        <f t="shared" si="12"/>
        <v>3560136.1413468295</v>
      </c>
      <c r="S109" s="24">
        <f t="shared" ca="1" si="10"/>
        <v>0.1212991780951465</v>
      </c>
    </row>
    <row r="110" spans="1:19" s="186" customFormat="1">
      <c r="A110" s="128">
        <f>'Monthly Data'!A110</f>
        <v>43101</v>
      </c>
      <c r="B110" s="186">
        <f t="shared" ref="B110:B121" si="13">YEAR(A110)</f>
        <v>2018</v>
      </c>
      <c r="C110" s="186">
        <f ca="1">'Monthly Data'!Z110</f>
        <v>3830105.218467033</v>
      </c>
      <c r="D110" s="186">
        <f>'Monthly Data'!BM110</f>
        <v>109</v>
      </c>
      <c r="E110" s="186">
        <f>'Monthly Data'!BJ110</f>
        <v>7166.6339368397712</v>
      </c>
      <c r="F110" s="186">
        <f>'Monthly Data'!BS110</f>
        <v>0</v>
      </c>
      <c r="G110" s="186">
        <f>'Monthly Data'!BT110</f>
        <v>0</v>
      </c>
      <c r="H110" s="186">
        <f>'Monthly Data'!CA110</f>
        <v>0</v>
      </c>
      <c r="I110" s="186">
        <f>'Monthly Data'!CC110</f>
        <v>31</v>
      </c>
      <c r="K110" s="186">
        <f>'Intermediate OLS Model'!$B$5</f>
        <v>-415228.02881662402</v>
      </c>
      <c r="L110" s="186">
        <f>'Intermediate OLS Model'!$B$6*D110</f>
        <v>-627460.49648093362</v>
      </c>
      <c r="M110" s="186">
        <v>0</v>
      </c>
      <c r="N110" s="186">
        <f>F110*'Intermediate OLS Model'!$B$7</f>
        <v>0</v>
      </c>
      <c r="O110" s="186">
        <f>G110*'Intermediate OLS Model'!$B$8</f>
        <v>0</v>
      </c>
      <c r="P110" s="186">
        <f>H110*'Intermediate OLS Model'!$B$9</f>
        <v>0</v>
      </c>
      <c r="Q110" s="186">
        <f>'Intermediate OLS Model'!$B$10*I110</f>
        <v>4597068.1483280482</v>
      </c>
      <c r="R110" s="186">
        <f t="shared" ref="R110:R121" si="14">SUM(K110:Q110)</f>
        <v>3554379.6230304902</v>
      </c>
      <c r="S110" s="24">
        <f t="shared" ref="S110:S121" ca="1" si="15">ABS(R110-C110)/C110</f>
        <v>7.1989039389079648E-2</v>
      </c>
    </row>
    <row r="111" spans="1:19" s="186" customFormat="1">
      <c r="A111" s="128">
        <f>'Monthly Data'!A111</f>
        <v>43132</v>
      </c>
      <c r="B111" s="186">
        <f t="shared" si="13"/>
        <v>2018</v>
      </c>
      <c r="C111" s="186">
        <f ca="1">'Monthly Data'!Z111</f>
        <v>3294091.5384670328</v>
      </c>
      <c r="D111" s="186">
        <f>'Monthly Data'!BM111</f>
        <v>110</v>
      </c>
      <c r="E111" s="186">
        <f>'Monthly Data'!BJ111</f>
        <v>7119.8728643912718</v>
      </c>
      <c r="F111" s="186">
        <f>'Monthly Data'!BS111</f>
        <v>0</v>
      </c>
      <c r="G111" s="186">
        <f>'Monthly Data'!BT111</f>
        <v>0</v>
      </c>
      <c r="H111" s="186">
        <f>'Monthly Data'!CA111</f>
        <v>0</v>
      </c>
      <c r="I111" s="186">
        <f>'Monthly Data'!CC111</f>
        <v>28</v>
      </c>
      <c r="K111" s="186">
        <f>'Intermediate OLS Model'!$B$5</f>
        <v>-415228.02881662402</v>
      </c>
      <c r="L111" s="186">
        <f>'Intermediate OLS Model'!$B$6*D111</f>
        <v>-633217.01479727239</v>
      </c>
      <c r="M111" s="186">
        <v>0</v>
      </c>
      <c r="N111" s="186">
        <f>F111*'Intermediate OLS Model'!$B$7</f>
        <v>0</v>
      </c>
      <c r="O111" s="186">
        <f>G111*'Intermediate OLS Model'!$B$8</f>
        <v>0</v>
      </c>
      <c r="P111" s="186">
        <f>H111*'Intermediate OLS Model'!$B$9</f>
        <v>0</v>
      </c>
      <c r="Q111" s="186">
        <f>'Intermediate OLS Model'!$B$10*I111</f>
        <v>4152190.5855866238</v>
      </c>
      <c r="R111" s="186">
        <f t="shared" si="14"/>
        <v>3103745.5419727275</v>
      </c>
      <c r="S111" s="24">
        <f t="shared" ca="1" si="15"/>
        <v>5.7784064064863964E-2</v>
      </c>
    </row>
    <row r="112" spans="1:19" s="186" customFormat="1">
      <c r="A112" s="128">
        <f>'Monthly Data'!A112</f>
        <v>43160</v>
      </c>
      <c r="B112" s="186">
        <f t="shared" si="13"/>
        <v>2018</v>
      </c>
      <c r="C112" s="186">
        <f ca="1">'Monthly Data'!Z112</f>
        <v>3181748.4384670327</v>
      </c>
      <c r="D112" s="186">
        <f>'Monthly Data'!BM112</f>
        <v>111</v>
      </c>
      <c r="E112" s="186">
        <f>'Monthly Data'!BJ112</f>
        <v>7076.4090470513211</v>
      </c>
      <c r="F112" s="186">
        <f>'Monthly Data'!BS112</f>
        <v>0</v>
      </c>
      <c r="G112" s="186">
        <f>'Monthly Data'!BT112</f>
        <v>0</v>
      </c>
      <c r="H112" s="186">
        <f>'Monthly Data'!CA112</f>
        <v>0</v>
      </c>
      <c r="I112" s="186">
        <f>'Monthly Data'!CC112</f>
        <v>31</v>
      </c>
      <c r="K112" s="186">
        <f>'Intermediate OLS Model'!$B$5</f>
        <v>-415228.02881662402</v>
      </c>
      <c r="L112" s="186">
        <f>'Intermediate OLS Model'!$B$6*D112</f>
        <v>-638973.53311361128</v>
      </c>
      <c r="M112" s="186">
        <v>0</v>
      </c>
      <c r="N112" s="186">
        <f>F112*'Intermediate OLS Model'!$B$7</f>
        <v>0</v>
      </c>
      <c r="O112" s="186">
        <f>G112*'Intermediate OLS Model'!$B$8</f>
        <v>0</v>
      </c>
      <c r="P112" s="186">
        <f>H112*'Intermediate OLS Model'!$B$9</f>
        <v>0</v>
      </c>
      <c r="Q112" s="186">
        <f>'Intermediate OLS Model'!$B$10*I112</f>
        <v>4597068.1483280482</v>
      </c>
      <c r="R112" s="186">
        <f t="shared" si="14"/>
        <v>3542866.5863978127</v>
      </c>
      <c r="S112" s="24">
        <f t="shared" ca="1" si="15"/>
        <v>0.1134967628379718</v>
      </c>
    </row>
    <row r="113" spans="1:19" s="186" customFormat="1">
      <c r="A113" s="128">
        <f>'Monthly Data'!A113</f>
        <v>43191</v>
      </c>
      <c r="B113" s="186">
        <f t="shared" si="13"/>
        <v>2018</v>
      </c>
      <c r="C113" s="186">
        <f ca="1">'Monthly Data'!Z113</f>
        <v>3438894.3684670329</v>
      </c>
      <c r="D113" s="186">
        <f>'Monthly Data'!BM113</f>
        <v>112</v>
      </c>
      <c r="E113" s="186">
        <f>'Monthly Data'!BJ113</f>
        <v>7102.4873374552917</v>
      </c>
      <c r="F113" s="186">
        <f>'Monthly Data'!BS113</f>
        <v>0</v>
      </c>
      <c r="G113" s="186">
        <f>'Monthly Data'!BT113</f>
        <v>0</v>
      </c>
      <c r="H113" s="186">
        <f>'Monthly Data'!CA113</f>
        <v>0</v>
      </c>
      <c r="I113" s="186">
        <f>'Monthly Data'!CC113</f>
        <v>30</v>
      </c>
      <c r="K113" s="186">
        <f>'Intermediate OLS Model'!$B$5</f>
        <v>-415228.02881662402</v>
      </c>
      <c r="L113" s="186">
        <f>'Intermediate OLS Model'!$B$6*D113</f>
        <v>-644730.05142995005</v>
      </c>
      <c r="M113" s="186">
        <v>0</v>
      </c>
      <c r="N113" s="186">
        <f>F113*'Intermediate OLS Model'!$B$7</f>
        <v>0</v>
      </c>
      <c r="O113" s="186">
        <f>G113*'Intermediate OLS Model'!$B$8</f>
        <v>0</v>
      </c>
      <c r="P113" s="186">
        <f>H113*'Intermediate OLS Model'!$B$9</f>
        <v>0</v>
      </c>
      <c r="Q113" s="186">
        <f>'Intermediate OLS Model'!$B$10*I113</f>
        <v>4448775.6274142396</v>
      </c>
      <c r="R113" s="186">
        <f t="shared" si="14"/>
        <v>3388817.5471676653</v>
      </c>
      <c r="S113" s="24">
        <f t="shared" ca="1" si="15"/>
        <v>1.4561895753049982E-2</v>
      </c>
    </row>
    <row r="114" spans="1:19" s="186" customFormat="1">
      <c r="A114" s="128">
        <f>'Monthly Data'!A114</f>
        <v>43221</v>
      </c>
      <c r="B114" s="186">
        <f t="shared" si="13"/>
        <v>2018</v>
      </c>
      <c r="C114" s="186">
        <f ca="1">'Monthly Data'!Z114</f>
        <v>3285743.2084670328</v>
      </c>
      <c r="D114" s="186">
        <f>'Monthly Data'!BM114</f>
        <v>113</v>
      </c>
      <c r="E114" s="186">
        <f>'Monthly Data'!BJ114</f>
        <v>7168.7321900906645</v>
      </c>
      <c r="F114" s="186">
        <f>'Monthly Data'!BS114</f>
        <v>0</v>
      </c>
      <c r="G114" s="186">
        <f>'Monthly Data'!BT114</f>
        <v>0</v>
      </c>
      <c r="H114" s="186">
        <f>'Monthly Data'!CA114</f>
        <v>0</v>
      </c>
      <c r="I114" s="186">
        <f>'Monthly Data'!CC114</f>
        <v>31</v>
      </c>
      <c r="K114" s="186">
        <f>'Intermediate OLS Model'!$B$5</f>
        <v>-415228.02881662402</v>
      </c>
      <c r="L114" s="186">
        <f>'Intermediate OLS Model'!$B$6*D114</f>
        <v>-650486.56974628894</v>
      </c>
      <c r="M114" s="186">
        <v>0</v>
      </c>
      <c r="N114" s="186">
        <f>F114*'Intermediate OLS Model'!$B$7</f>
        <v>0</v>
      </c>
      <c r="O114" s="186">
        <f>G114*'Intermediate OLS Model'!$B$8</f>
        <v>0</v>
      </c>
      <c r="P114" s="186">
        <f>H114*'Intermediate OLS Model'!$B$9</f>
        <v>0</v>
      </c>
      <c r="Q114" s="186">
        <f>'Intermediate OLS Model'!$B$10*I114</f>
        <v>4597068.1483280482</v>
      </c>
      <c r="R114" s="186">
        <f t="shared" si="14"/>
        <v>3531353.5497651352</v>
      </c>
      <c r="S114" s="24">
        <f t="shared" ca="1" si="15"/>
        <v>7.4750315443151194E-2</v>
      </c>
    </row>
    <row r="115" spans="1:19" s="186" customFormat="1">
      <c r="A115" s="128">
        <f>'Monthly Data'!A115</f>
        <v>43252</v>
      </c>
      <c r="B115" s="186">
        <f t="shared" si="13"/>
        <v>2018</v>
      </c>
      <c r="C115" s="186">
        <f ca="1">'Monthly Data'!Z115</f>
        <v>3353874.9084670329</v>
      </c>
      <c r="D115" s="186">
        <f>'Monthly Data'!BM115</f>
        <v>114</v>
      </c>
      <c r="E115" s="186">
        <f>'Monthly Data'!BJ115</f>
        <v>7263.1535863809013</v>
      </c>
      <c r="F115" s="186">
        <f>'Monthly Data'!BS115</f>
        <v>1</v>
      </c>
      <c r="G115" s="186">
        <f>'Monthly Data'!BT115</f>
        <v>0</v>
      </c>
      <c r="H115" s="186">
        <f>'Monthly Data'!CA115</f>
        <v>0</v>
      </c>
      <c r="I115" s="186">
        <f>'Monthly Data'!CC115</f>
        <v>30</v>
      </c>
      <c r="K115" s="186">
        <f>'Intermediate OLS Model'!$B$5</f>
        <v>-415228.02881662402</v>
      </c>
      <c r="L115" s="186">
        <f>'Intermediate OLS Model'!$B$6*D115</f>
        <v>-656243.08806262782</v>
      </c>
      <c r="M115" s="186">
        <v>0</v>
      </c>
      <c r="N115" s="186">
        <f>F115*'Intermediate OLS Model'!$B$7</f>
        <v>346553.62108035001</v>
      </c>
      <c r="O115" s="186">
        <f>G115*'Intermediate OLS Model'!$B$8</f>
        <v>0</v>
      </c>
      <c r="P115" s="186">
        <f>H115*'Intermediate OLS Model'!$B$9</f>
        <v>0</v>
      </c>
      <c r="Q115" s="186">
        <f>'Intermediate OLS Model'!$B$10*I115</f>
        <v>4448775.6274142396</v>
      </c>
      <c r="R115" s="186">
        <f t="shared" si="14"/>
        <v>3723858.1316153379</v>
      </c>
      <c r="S115" s="24">
        <f t="shared" ca="1" si="15"/>
        <v>0.11031515284433029</v>
      </c>
    </row>
    <row r="116" spans="1:19" s="186" customFormat="1">
      <c r="A116" s="128">
        <f>'Monthly Data'!A116</f>
        <v>43282</v>
      </c>
      <c r="B116" s="186">
        <f t="shared" si="13"/>
        <v>2018</v>
      </c>
      <c r="C116" s="186">
        <f ca="1">'Monthly Data'!Z116</f>
        <v>3983410.6584670329</v>
      </c>
      <c r="D116" s="186">
        <f>'Monthly Data'!BM116</f>
        <v>115</v>
      </c>
      <c r="E116" s="186">
        <f>'Monthly Data'!BJ116</f>
        <v>7346.3842986663703</v>
      </c>
      <c r="F116" s="186">
        <f>'Monthly Data'!BS116</f>
        <v>0</v>
      </c>
      <c r="G116" s="186">
        <f>'Monthly Data'!BT116</f>
        <v>1</v>
      </c>
      <c r="H116" s="186">
        <f>'Monthly Data'!CA116</f>
        <v>0</v>
      </c>
      <c r="I116" s="186">
        <f>'Monthly Data'!CC116</f>
        <v>31</v>
      </c>
      <c r="K116" s="186">
        <f>'Intermediate OLS Model'!$B$5</f>
        <v>-415228.02881662402</v>
      </c>
      <c r="L116" s="186">
        <f>'Intermediate OLS Model'!$B$6*D116</f>
        <v>-661999.60637896659</v>
      </c>
      <c r="M116" s="186">
        <v>0</v>
      </c>
      <c r="N116" s="186">
        <f>F116*'Intermediate OLS Model'!$B$7</f>
        <v>0</v>
      </c>
      <c r="O116" s="186">
        <f>G116*'Intermediate OLS Model'!$B$8</f>
        <v>428565.96548408002</v>
      </c>
      <c r="P116" s="186">
        <f>H116*'Intermediate OLS Model'!$B$9</f>
        <v>0</v>
      </c>
      <c r="Q116" s="186">
        <f>'Intermediate OLS Model'!$B$10*I116</f>
        <v>4597068.1483280482</v>
      </c>
      <c r="R116" s="186">
        <f t="shared" si="14"/>
        <v>3948406.4786165375</v>
      </c>
      <c r="S116" s="24">
        <f t="shared" ca="1" si="15"/>
        <v>8.7874896292932936E-3</v>
      </c>
    </row>
    <row r="117" spans="1:19" s="186" customFormat="1">
      <c r="A117" s="128">
        <f>'Monthly Data'!A117</f>
        <v>43313</v>
      </c>
      <c r="B117" s="186">
        <f t="shared" si="13"/>
        <v>2018</v>
      </c>
      <c r="C117" s="186">
        <f ca="1">'Monthly Data'!Z117</f>
        <v>3230274.8984670327</v>
      </c>
      <c r="D117" s="186">
        <f>'Monthly Data'!BM117</f>
        <v>116</v>
      </c>
      <c r="E117" s="186">
        <f>'Monthly Data'!BJ117</f>
        <v>7349.8813874178613</v>
      </c>
      <c r="F117" s="186">
        <f>'Monthly Data'!BS117</f>
        <v>0</v>
      </c>
      <c r="G117" s="186">
        <f>'Monthly Data'!BT117</f>
        <v>0</v>
      </c>
      <c r="H117" s="186">
        <f>'Monthly Data'!CA117</f>
        <v>0</v>
      </c>
      <c r="I117" s="186">
        <f>'Monthly Data'!CC117</f>
        <v>31</v>
      </c>
      <c r="K117" s="186">
        <f>'Intermediate OLS Model'!$B$5</f>
        <v>-415228.02881662402</v>
      </c>
      <c r="L117" s="186">
        <f>'Intermediate OLS Model'!$B$6*D117</f>
        <v>-667756.12469530548</v>
      </c>
      <c r="M117" s="186">
        <v>0</v>
      </c>
      <c r="N117" s="186">
        <f>F117*'Intermediate OLS Model'!$B$7</f>
        <v>0</v>
      </c>
      <c r="O117" s="186">
        <f>G117*'Intermediate OLS Model'!$B$8</f>
        <v>0</v>
      </c>
      <c r="P117" s="186">
        <f>H117*'Intermediate OLS Model'!$B$9</f>
        <v>0</v>
      </c>
      <c r="Q117" s="186">
        <f>'Intermediate OLS Model'!$B$10*I117</f>
        <v>4597068.1483280482</v>
      </c>
      <c r="R117" s="186">
        <f t="shared" si="14"/>
        <v>3514083.9948161189</v>
      </c>
      <c r="S117" s="24">
        <f t="shared" ca="1" si="15"/>
        <v>8.7859115793448822E-2</v>
      </c>
    </row>
    <row r="118" spans="1:19" s="186" customFormat="1">
      <c r="A118" s="128">
        <f>'Monthly Data'!A118</f>
        <v>43344</v>
      </c>
      <c r="B118" s="186">
        <f t="shared" si="13"/>
        <v>2018</v>
      </c>
      <c r="C118" s="186">
        <f ca="1">'Monthly Data'!Z118</f>
        <v>3384714.4784670328</v>
      </c>
      <c r="D118" s="186">
        <f>'Monthly Data'!BM118</f>
        <v>117</v>
      </c>
      <c r="E118" s="186">
        <f>'Monthly Data'!BJ118</f>
        <v>7309.115324257632</v>
      </c>
      <c r="F118" s="186">
        <f>'Monthly Data'!BS118</f>
        <v>0</v>
      </c>
      <c r="G118" s="186">
        <f>'Monthly Data'!BT118</f>
        <v>0</v>
      </c>
      <c r="H118" s="186">
        <f>'Monthly Data'!CA118</f>
        <v>1</v>
      </c>
      <c r="I118" s="186">
        <f>'Monthly Data'!CC118</f>
        <v>30</v>
      </c>
      <c r="K118" s="186">
        <f>'Intermediate OLS Model'!$B$5</f>
        <v>-415228.02881662402</v>
      </c>
      <c r="L118" s="186">
        <f>'Intermediate OLS Model'!$B$6*D118</f>
        <v>-673512.64301164425</v>
      </c>
      <c r="M118" s="186">
        <v>0</v>
      </c>
      <c r="N118" s="186">
        <f>F118*'Intermediate OLS Model'!$B$7</f>
        <v>0</v>
      </c>
      <c r="O118" s="186">
        <f>G118*'Intermediate OLS Model'!$B$8</f>
        <v>0</v>
      </c>
      <c r="P118" s="186">
        <f>H118*'Intermediate OLS Model'!$B$9</f>
        <v>219659.05071226999</v>
      </c>
      <c r="Q118" s="186">
        <f>'Intermediate OLS Model'!$B$10*I118</f>
        <v>4448775.6274142396</v>
      </c>
      <c r="R118" s="186">
        <f t="shared" si="14"/>
        <v>3579694.0062982412</v>
      </c>
      <c r="S118" s="24">
        <f t="shared" ca="1" si="15"/>
        <v>5.760590119835348E-2</v>
      </c>
    </row>
    <row r="119" spans="1:19" s="186" customFormat="1">
      <c r="A119" s="128">
        <f>'Monthly Data'!A119</f>
        <v>43374</v>
      </c>
      <c r="B119" s="186">
        <f t="shared" si="13"/>
        <v>2018</v>
      </c>
      <c r="C119" s="186">
        <f ca="1">'Monthly Data'!Z119</f>
        <v>3691608.7784670331</v>
      </c>
      <c r="D119" s="186">
        <f>'Monthly Data'!BM119</f>
        <v>118</v>
      </c>
      <c r="E119" s="186">
        <f>'Monthly Data'!BJ119</f>
        <v>7268.3492610974017</v>
      </c>
      <c r="F119" s="186">
        <f>'Monthly Data'!BS119</f>
        <v>0</v>
      </c>
      <c r="G119" s="186">
        <f>'Monthly Data'!BT119</f>
        <v>0</v>
      </c>
      <c r="H119" s="186">
        <f>'Monthly Data'!CA119</f>
        <v>1</v>
      </c>
      <c r="I119" s="186">
        <f>'Monthly Data'!CC119</f>
        <v>31</v>
      </c>
      <c r="K119" s="186">
        <f>'Intermediate OLS Model'!$B$5</f>
        <v>-415228.02881662402</v>
      </c>
      <c r="L119" s="186">
        <f>'Intermediate OLS Model'!$B$6*D119</f>
        <v>-679269.16132798314</v>
      </c>
      <c r="M119" s="186">
        <v>0</v>
      </c>
      <c r="N119" s="186">
        <f>F119*'Intermediate OLS Model'!$B$7</f>
        <v>0</v>
      </c>
      <c r="O119" s="186">
        <f>G119*'Intermediate OLS Model'!$B$8</f>
        <v>0</v>
      </c>
      <c r="P119" s="186">
        <f>H119*'Intermediate OLS Model'!$B$9</f>
        <v>219659.05071226999</v>
      </c>
      <c r="Q119" s="186">
        <f>'Intermediate OLS Model'!$B$10*I119</f>
        <v>4597068.1483280482</v>
      </c>
      <c r="R119" s="186">
        <f t="shared" si="14"/>
        <v>3722230.008895711</v>
      </c>
      <c r="S119" s="24">
        <f t="shared" ca="1" si="15"/>
        <v>8.294820027325232E-3</v>
      </c>
    </row>
    <row r="120" spans="1:19" s="186" customFormat="1">
      <c r="A120" s="128">
        <f>'Monthly Data'!A120</f>
        <v>43405</v>
      </c>
      <c r="B120" s="186">
        <f t="shared" si="13"/>
        <v>2018</v>
      </c>
      <c r="C120" s="186">
        <f ca="1">'Monthly Data'!Z120</f>
        <v>3541248.8384670331</v>
      </c>
      <c r="D120" s="186">
        <f>'Monthly Data'!BM120</f>
        <v>119</v>
      </c>
      <c r="E120" s="186">
        <f>'Monthly Data'!BJ120</f>
        <v>7272.9454348850759</v>
      </c>
      <c r="F120" s="186">
        <f>'Monthly Data'!BS120</f>
        <v>0</v>
      </c>
      <c r="G120" s="186">
        <f>'Monthly Data'!BT120</f>
        <v>0</v>
      </c>
      <c r="H120" s="186">
        <f>'Monthly Data'!CA120</f>
        <v>1</v>
      </c>
      <c r="I120" s="186">
        <f>'Monthly Data'!CC120</f>
        <v>30</v>
      </c>
      <c r="K120" s="186">
        <f>'Intermediate OLS Model'!$B$5</f>
        <v>-415228.02881662402</v>
      </c>
      <c r="L120" s="186">
        <f>'Intermediate OLS Model'!$B$6*D120</f>
        <v>-685025.67964432202</v>
      </c>
      <c r="M120" s="186">
        <v>0</v>
      </c>
      <c r="N120" s="186">
        <f>F120*'Intermediate OLS Model'!$B$7</f>
        <v>0</v>
      </c>
      <c r="O120" s="186">
        <f>G120*'Intermediate OLS Model'!$B$8</f>
        <v>0</v>
      </c>
      <c r="P120" s="186">
        <f>H120*'Intermediate OLS Model'!$B$9</f>
        <v>219659.05071226999</v>
      </c>
      <c r="Q120" s="186">
        <f>'Intermediate OLS Model'!$B$10*I120</f>
        <v>4448775.6274142396</v>
      </c>
      <c r="R120" s="186">
        <f t="shared" si="14"/>
        <v>3568180.9696655637</v>
      </c>
      <c r="S120" s="24">
        <f t="shared" ca="1" si="15"/>
        <v>7.6052636871994485E-3</v>
      </c>
    </row>
    <row r="121" spans="1:19" s="186" customFormat="1">
      <c r="A121" s="128">
        <f>'Monthly Data'!A121</f>
        <v>43435</v>
      </c>
      <c r="B121" s="186">
        <f t="shared" si="13"/>
        <v>2018</v>
      </c>
      <c r="C121" s="186">
        <f ca="1">'Monthly Data'!Z121</f>
        <v>3941344.4184670327</v>
      </c>
      <c r="D121" s="186">
        <f>'Monthly Data'!BM121</f>
        <v>120</v>
      </c>
      <c r="E121" s="186">
        <f>'Monthly Data'!BJ121</f>
        <v>7296.6257215737387</v>
      </c>
      <c r="F121" s="186">
        <f>'Monthly Data'!BS121</f>
        <v>0</v>
      </c>
      <c r="G121" s="186">
        <f>'Monthly Data'!BT121</f>
        <v>0</v>
      </c>
      <c r="H121" s="186">
        <f>'Monthly Data'!CA121</f>
        <v>0</v>
      </c>
      <c r="I121" s="186">
        <f>'Monthly Data'!CC121</f>
        <v>31</v>
      </c>
      <c r="K121" s="186">
        <f>'Intermediate OLS Model'!$B$5</f>
        <v>-415228.02881662402</v>
      </c>
      <c r="L121" s="186">
        <f>'Intermediate OLS Model'!$B$6*D121</f>
        <v>-690782.19796066079</v>
      </c>
      <c r="M121" s="186">
        <v>0</v>
      </c>
      <c r="N121" s="186">
        <f>F121*'Intermediate OLS Model'!$B$7</f>
        <v>0</v>
      </c>
      <c r="O121" s="186">
        <f>G121*'Intermediate OLS Model'!$B$8</f>
        <v>0</v>
      </c>
      <c r="P121" s="186">
        <f>H121*'Intermediate OLS Model'!$B$9</f>
        <v>0</v>
      </c>
      <c r="Q121" s="186">
        <f>'Intermediate OLS Model'!$B$10*I121</f>
        <v>4597068.1483280482</v>
      </c>
      <c r="R121" s="186">
        <f t="shared" si="14"/>
        <v>3491057.9215507633</v>
      </c>
      <c r="S121" s="24">
        <f t="shared" ca="1" si="15"/>
        <v>0.11424692924740798</v>
      </c>
    </row>
    <row r="122" spans="1:19" ht="14.25" customHeight="1">
      <c r="S122" s="22">
        <f ca="1">AVERAGE(S2:S121)</f>
        <v>5.364180076752751E-2</v>
      </c>
    </row>
    <row r="125" spans="1:19">
      <c r="C125" s="167"/>
      <c r="R125" s="161"/>
      <c r="S125" s="22"/>
    </row>
    <row r="126" spans="1:19">
      <c r="C126" s="167"/>
      <c r="R126" s="161"/>
      <c r="S126" s="22"/>
    </row>
    <row r="127" spans="1:19">
      <c r="C127" s="167"/>
      <c r="R127" s="161"/>
      <c r="S127" s="22"/>
    </row>
    <row r="128" spans="1:19">
      <c r="C128" s="167"/>
      <c r="R128" s="161"/>
      <c r="S128" s="22"/>
    </row>
    <row r="129" spans="3:19">
      <c r="C129" s="167"/>
      <c r="R129" s="161"/>
      <c r="S129" s="22"/>
    </row>
    <row r="130" spans="3:19">
      <c r="C130" s="167"/>
      <c r="R130" s="161"/>
      <c r="S130" s="22"/>
    </row>
    <row r="131" spans="3:19">
      <c r="C131" s="167"/>
      <c r="R131" s="161"/>
      <c r="S131" s="22"/>
    </row>
    <row r="132" spans="3:19">
      <c r="C132" s="167"/>
      <c r="R132" s="161"/>
      <c r="S132" s="22"/>
    </row>
    <row r="133" spans="3:19">
      <c r="C133" s="167"/>
      <c r="R133" s="161"/>
      <c r="S133" s="22"/>
    </row>
    <row r="134" spans="3:19">
      <c r="C134" s="167"/>
      <c r="R134" s="161"/>
      <c r="S134" s="22"/>
    </row>
    <row r="135" spans="3:19">
      <c r="C135" s="167"/>
      <c r="R135" s="161"/>
      <c r="S135" s="22"/>
    </row>
    <row r="136" spans="3:19">
      <c r="C136" s="167"/>
      <c r="R136" s="161"/>
      <c r="S136" s="22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18"/>
  <sheetViews>
    <sheetView workbookViewId="0">
      <selection activeCell="Q31" sqref="Q31"/>
    </sheetView>
  </sheetViews>
  <sheetFormatPr defaultRowHeight="12.75"/>
  <sheetData>
    <row r="1" spans="1:5">
      <c r="A1" t="s">
        <v>263</v>
      </c>
    </row>
    <row r="2" spans="1:5">
      <c r="A2" t="s">
        <v>122</v>
      </c>
    </row>
    <row r="4" spans="1:5">
      <c r="B4" t="s">
        <v>87</v>
      </c>
      <c r="C4" t="s">
        <v>88</v>
      </c>
      <c r="D4" t="s">
        <v>89</v>
      </c>
      <c r="E4" t="s">
        <v>90</v>
      </c>
    </row>
    <row r="5" spans="1:5">
      <c r="A5" t="s">
        <v>91</v>
      </c>
      <c r="B5">
        <v>-19707994.0131674</v>
      </c>
      <c r="C5">
        <v>5849421.1533817602</v>
      </c>
      <c r="D5">
        <v>-3.3692212436735698</v>
      </c>
      <c r="E5" s="18">
        <v>1.0291263974217201E-3</v>
      </c>
    </row>
    <row r="6" spans="1:5">
      <c r="A6" t="s">
        <v>44</v>
      </c>
      <c r="B6">
        <v>26426.159196826</v>
      </c>
      <c r="C6">
        <v>2288.2141617719199</v>
      </c>
      <c r="D6">
        <v>11.5488137597935</v>
      </c>
      <c r="E6" s="18">
        <v>6.6960273294664802E-21</v>
      </c>
    </row>
    <row r="7" spans="1:5">
      <c r="A7" t="s">
        <v>75</v>
      </c>
      <c r="B7">
        <v>3429.7236686544602</v>
      </c>
      <c r="C7">
        <v>504.83608396687498</v>
      </c>
      <c r="D7">
        <v>6.7937371704981002</v>
      </c>
      <c r="E7" s="18">
        <v>5.2321183059973798E-10</v>
      </c>
    </row>
    <row r="8" spans="1:5">
      <c r="A8" t="s">
        <v>79</v>
      </c>
      <c r="B8">
        <v>-1563237.6990636101</v>
      </c>
      <c r="C8">
        <v>548743.31085173006</v>
      </c>
      <c r="D8">
        <v>-2.8487594621194399</v>
      </c>
      <c r="E8" s="18">
        <v>5.2088176380068402E-3</v>
      </c>
    </row>
    <row r="9" spans="1:5">
      <c r="A9" t="s">
        <v>56</v>
      </c>
      <c r="B9">
        <v>-2219022.2541699898</v>
      </c>
      <c r="C9">
        <v>466534.10972120601</v>
      </c>
      <c r="D9">
        <v>-4.7563987454123096</v>
      </c>
      <c r="E9" s="18">
        <v>5.8142788035170703E-6</v>
      </c>
    </row>
    <row r="10" spans="1:5">
      <c r="A10" t="s">
        <v>92</v>
      </c>
      <c r="B10">
        <v>689600.15971491695</v>
      </c>
      <c r="C10">
        <v>156528.93354629699</v>
      </c>
      <c r="D10">
        <v>4.4055762988441503</v>
      </c>
      <c r="E10" s="18">
        <v>2.3953602205028E-5</v>
      </c>
    </row>
    <row r="11" spans="1:5">
      <c r="E11" s="18"/>
    </row>
    <row r="12" spans="1:5">
      <c r="A12" t="s">
        <v>93</v>
      </c>
      <c r="B12">
        <v>25689375.985559199</v>
      </c>
      <c r="C12" t="s">
        <v>94</v>
      </c>
      <c r="D12">
        <v>2552481.8553223298</v>
      </c>
    </row>
    <row r="13" spans="1:5">
      <c r="A13" t="s">
        <v>95</v>
      </c>
      <c r="B13">
        <v>200014593066932</v>
      </c>
      <c r="C13" t="s">
        <v>96</v>
      </c>
      <c r="D13">
        <v>1324580.6786569599</v>
      </c>
    </row>
    <row r="14" spans="1:5">
      <c r="A14" t="s">
        <v>97</v>
      </c>
      <c r="B14">
        <v>0.74201800640723303</v>
      </c>
      <c r="C14" t="s">
        <v>98</v>
      </c>
      <c r="D14">
        <v>0.73070300668825205</v>
      </c>
    </row>
    <row r="15" spans="1:5">
      <c r="A15" t="s">
        <v>262</v>
      </c>
      <c r="B15">
        <v>65.5782611432587</v>
      </c>
      <c r="C15" t="s">
        <v>100</v>
      </c>
      <c r="D15" s="18">
        <v>6.22893473627379E-32</v>
      </c>
    </row>
    <row r="16" spans="1:5">
      <c r="A16" t="s">
        <v>101</v>
      </c>
      <c r="B16">
        <v>-1858.7878061265999</v>
      </c>
      <c r="C16" t="s">
        <v>102</v>
      </c>
      <c r="D16" s="18">
        <v>3729.5756122531998</v>
      </c>
    </row>
    <row r="17" spans="1:4">
      <c r="A17" t="s">
        <v>103</v>
      </c>
      <c r="B17">
        <v>3746.3005627099001</v>
      </c>
      <c r="C17" t="s">
        <v>104</v>
      </c>
      <c r="D17">
        <v>3736.3676918103201</v>
      </c>
    </row>
    <row r="18" spans="1:4">
      <c r="A18" t="s">
        <v>105</v>
      </c>
      <c r="B18">
        <v>0.58435790816286504</v>
      </c>
      <c r="C18" t="s">
        <v>106</v>
      </c>
      <c r="D18">
        <v>0.83530029917818205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S136"/>
  <sheetViews>
    <sheetView topLeftCell="D1" workbookViewId="0">
      <selection activeCell="Q144" sqref="Q144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2.83203125" customWidth="1"/>
    <col min="6" max="6" width="9" bestFit="1" customWidth="1"/>
    <col min="7" max="7" width="6.6640625" customWidth="1"/>
    <col min="8" max="8" width="8" style="127" customWidth="1"/>
    <col min="9" max="9" width="5.33203125" bestFit="1" customWidth="1"/>
    <col min="11" max="11" width="12.6640625" bestFit="1" customWidth="1"/>
    <col min="12" max="13" width="12" bestFit="1" customWidth="1"/>
    <col min="14" max="15" width="12.6640625" bestFit="1" customWidth="1"/>
    <col min="16" max="16" width="12" bestFit="1" customWidth="1"/>
    <col min="17" max="17" width="12.6640625" bestFit="1" customWidth="1"/>
    <col min="18" max="18" width="12" bestFit="1" customWidth="1"/>
    <col min="19" max="19" width="10.5" bestFit="1" customWidth="1"/>
  </cols>
  <sheetData>
    <row r="1" spans="1:19">
      <c r="A1" t="s">
        <v>123</v>
      </c>
      <c r="B1" t="s">
        <v>124</v>
      </c>
      <c r="C1" t="str">
        <f>'Monthly Data'!AE1</f>
        <v>Large_Use_NO_CDM</v>
      </c>
      <c r="D1" t="str">
        <f>'Monthly Data'!BI1</f>
        <v>CDD</v>
      </c>
      <c r="E1" s="124" t="str">
        <f>'Monthly Data'!BJ1</f>
        <v>Ont_Empl</v>
      </c>
      <c r="F1" t="str">
        <f>'Monthly Data'!BM1</f>
        <v>Trend</v>
      </c>
      <c r="G1" t="str">
        <f>'Monthly Data'!BT1</f>
        <v>Jul</v>
      </c>
      <c r="H1" s="127" t="str">
        <f>'Monthly Data'!BY1</f>
        <v>Dec</v>
      </c>
      <c r="I1" t="str">
        <f>'Monthly Data'!CC1</f>
        <v>Month Days</v>
      </c>
      <c r="K1" t="s">
        <v>91</v>
      </c>
      <c r="L1" t="str">
        <f t="shared" ref="L1:Q1" si="0">D1</f>
        <v>CDD</v>
      </c>
      <c r="M1" t="str">
        <f t="shared" si="0"/>
        <v>Ont_Empl</v>
      </c>
      <c r="N1" t="str">
        <f t="shared" si="0"/>
        <v>Trend</v>
      </c>
      <c r="O1" t="str">
        <f t="shared" si="0"/>
        <v>Jul</v>
      </c>
      <c r="P1" t="str">
        <f t="shared" si="0"/>
        <v>Dec</v>
      </c>
      <c r="Q1" t="str">
        <f t="shared" si="0"/>
        <v>Month Days</v>
      </c>
      <c r="R1" t="s">
        <v>125</v>
      </c>
      <c r="S1" t="s">
        <v>126</v>
      </c>
    </row>
    <row r="2" spans="1:19">
      <c r="A2" s="26">
        <f>'Monthly Data'!A2</f>
        <v>39814</v>
      </c>
      <c r="B2">
        <f t="shared" ref="B2:B42" si="1">YEAR(A2)</f>
        <v>2009</v>
      </c>
      <c r="C2">
        <f ca="1">'Monthly Data'!AE2</f>
        <v>24657854.515772</v>
      </c>
      <c r="D2">
        <f>'Monthly Data'!BI2</f>
        <v>0</v>
      </c>
      <c r="E2" s="124">
        <f>'Monthly Data'!BJ2</f>
        <v>6541.6</v>
      </c>
      <c r="F2">
        <f>'Monthly Data'!BM2</f>
        <v>1</v>
      </c>
      <c r="G2">
        <f>'Monthly Data'!BT2</f>
        <v>0</v>
      </c>
      <c r="H2" s="127">
        <f>'Monthly Data'!BY2</f>
        <v>0</v>
      </c>
      <c r="I2">
        <f>'Monthly Data'!CC2</f>
        <v>31</v>
      </c>
      <c r="K2">
        <f>'Large Use OLS Model'!$B$5</f>
        <v>-19707994.0131674</v>
      </c>
      <c r="L2">
        <f>'Large Use OLS Model'!$B$6*D2</f>
        <v>0</v>
      </c>
      <c r="M2">
        <f>'Large Use OLS Model'!$B$7*E2</f>
        <v>22435880.350870017</v>
      </c>
      <c r="N2">
        <v>0</v>
      </c>
      <c r="O2">
        <f>'Large Use OLS Model'!$B$8*G2</f>
        <v>0</v>
      </c>
      <c r="P2">
        <f>'Large Use OLS Model'!$B$9*H2</f>
        <v>0</v>
      </c>
      <c r="Q2" s="127">
        <f>'Large Use OLS Model'!$B$10*I2</f>
        <v>21377604.951162424</v>
      </c>
      <c r="R2">
        <f t="shared" ref="R2:R21" si="2">SUM(K2:Q2)</f>
        <v>24105491.288865041</v>
      </c>
      <c r="S2" s="24">
        <f t="shared" ref="S2:S21" ca="1" si="3">ABS(R2-C2)/C2</f>
        <v>2.2401106574525723E-2</v>
      </c>
    </row>
    <row r="3" spans="1:19">
      <c r="A3" s="26">
        <f>'Monthly Data'!A3</f>
        <v>39845</v>
      </c>
      <c r="B3">
        <f t="shared" si="1"/>
        <v>2009</v>
      </c>
      <c r="C3">
        <f ca="1">'Monthly Data'!AE3</f>
        <v>22260143.476391003</v>
      </c>
      <c r="D3">
        <f>'Monthly Data'!BI3</f>
        <v>0</v>
      </c>
      <c r="E3" s="124">
        <f>'Monthly Data'!BJ3</f>
        <v>6506</v>
      </c>
      <c r="F3">
        <f>'Monthly Data'!BM3</f>
        <v>2</v>
      </c>
      <c r="G3">
        <f>'Monthly Data'!BT3</f>
        <v>0</v>
      </c>
      <c r="H3" s="127">
        <f>'Monthly Data'!BY3</f>
        <v>0</v>
      </c>
      <c r="I3">
        <f>'Monthly Data'!CC3</f>
        <v>28</v>
      </c>
      <c r="K3">
        <f>'Large Use OLS Model'!$B$5</f>
        <v>-19707994.0131674</v>
      </c>
      <c r="L3" s="186">
        <f>'Large Use OLS Model'!$B$6*D3</f>
        <v>0</v>
      </c>
      <c r="M3" s="186">
        <f>'Large Use OLS Model'!$B$7*E3</f>
        <v>22313782.18826592</v>
      </c>
      <c r="N3" s="186">
        <v>0</v>
      </c>
      <c r="O3" s="186">
        <f>'Large Use OLS Model'!$B$8*G3</f>
        <v>0</v>
      </c>
      <c r="P3" s="186">
        <f>'Large Use OLS Model'!$B$9*H3</f>
        <v>0</v>
      </c>
      <c r="Q3" s="186">
        <f>'Large Use OLS Model'!$B$10*I3</f>
        <v>19308804.472017676</v>
      </c>
      <c r="R3">
        <f t="shared" si="2"/>
        <v>21914592.647116195</v>
      </c>
      <c r="S3" s="24">
        <f t="shared" ca="1" si="3"/>
        <v>1.5523297486437885E-2</v>
      </c>
    </row>
    <row r="4" spans="1:19">
      <c r="A4" s="26">
        <f>'Monthly Data'!A4</f>
        <v>39873</v>
      </c>
      <c r="B4">
        <f t="shared" si="1"/>
        <v>2009</v>
      </c>
      <c r="C4">
        <f ca="1">'Monthly Data'!AE4</f>
        <v>20653970.599032998</v>
      </c>
      <c r="D4">
        <f>'Monthly Data'!BI4</f>
        <v>0</v>
      </c>
      <c r="E4" s="124">
        <f>'Monthly Data'!BJ4</f>
        <v>6466.8</v>
      </c>
      <c r="F4">
        <f>'Monthly Data'!BM4</f>
        <v>3</v>
      </c>
      <c r="G4">
        <f>'Monthly Data'!BT4</f>
        <v>0</v>
      </c>
      <c r="H4" s="127">
        <f>'Monthly Data'!BY4</f>
        <v>0</v>
      </c>
      <c r="I4">
        <f>'Monthly Data'!CC4</f>
        <v>31</v>
      </c>
      <c r="K4">
        <f>'Large Use OLS Model'!$B$5</f>
        <v>-19707994.0131674</v>
      </c>
      <c r="L4" s="186">
        <f>'Large Use OLS Model'!$B$6*D4</f>
        <v>0</v>
      </c>
      <c r="M4" s="186">
        <f>'Large Use OLS Model'!$B$7*E4</f>
        <v>22179337.020454664</v>
      </c>
      <c r="N4" s="186">
        <v>0</v>
      </c>
      <c r="O4" s="186">
        <f>'Large Use OLS Model'!$B$8*G4</f>
        <v>0</v>
      </c>
      <c r="P4" s="186">
        <f>'Large Use OLS Model'!$B$9*H4</f>
        <v>0</v>
      </c>
      <c r="Q4" s="186">
        <f>'Large Use OLS Model'!$B$10*I4</f>
        <v>21377604.951162424</v>
      </c>
      <c r="R4">
        <f t="shared" si="2"/>
        <v>23848947.958449688</v>
      </c>
      <c r="S4" s="24">
        <f t="shared" ca="1" si="3"/>
        <v>0.15469070918336042</v>
      </c>
    </row>
    <row r="5" spans="1:19">
      <c r="A5" s="26">
        <f>'Monthly Data'!A5</f>
        <v>39904</v>
      </c>
      <c r="B5">
        <f t="shared" si="1"/>
        <v>2009</v>
      </c>
      <c r="C5">
        <f ca="1">'Monthly Data'!AE5</f>
        <v>19934511.746649001</v>
      </c>
      <c r="D5">
        <f>'Monthly Data'!BI5</f>
        <v>10.399999999999999</v>
      </c>
      <c r="E5" s="124">
        <f>'Monthly Data'!BJ5</f>
        <v>6445.5</v>
      </c>
      <c r="F5">
        <f>'Monthly Data'!BM5</f>
        <v>4</v>
      </c>
      <c r="G5">
        <f>'Monthly Data'!BT5</f>
        <v>0</v>
      </c>
      <c r="H5" s="127">
        <f>'Monthly Data'!BY5</f>
        <v>0</v>
      </c>
      <c r="I5">
        <f>'Monthly Data'!CC5</f>
        <v>30</v>
      </c>
      <c r="K5">
        <f>'Large Use OLS Model'!$B$5</f>
        <v>-19707994.0131674</v>
      </c>
      <c r="L5" s="186">
        <f>'Large Use OLS Model'!$B$6*D5</f>
        <v>274832.05564699037</v>
      </c>
      <c r="M5" s="186">
        <f>'Large Use OLS Model'!$B$7*E5</f>
        <v>22106283.906312324</v>
      </c>
      <c r="N5" s="186">
        <v>0</v>
      </c>
      <c r="O5" s="186">
        <f>'Large Use OLS Model'!$B$8*G5</f>
        <v>0</v>
      </c>
      <c r="P5" s="186">
        <f>'Large Use OLS Model'!$B$9*H5</f>
        <v>0</v>
      </c>
      <c r="Q5" s="186">
        <f>'Large Use OLS Model'!$B$10*I5</f>
        <v>20688004.791447509</v>
      </c>
      <c r="R5">
        <f t="shared" si="2"/>
        <v>23361126.740239423</v>
      </c>
      <c r="S5" s="24">
        <f t="shared" ca="1" si="3"/>
        <v>0.17189360026168873</v>
      </c>
    </row>
    <row r="6" spans="1:19">
      <c r="A6" s="26">
        <f>'Monthly Data'!A6</f>
        <v>39934</v>
      </c>
      <c r="B6">
        <f t="shared" si="1"/>
        <v>2009</v>
      </c>
      <c r="C6">
        <f ca="1">'Monthly Data'!AE6</f>
        <v>20696037.706291001</v>
      </c>
      <c r="D6">
        <f>'Monthly Data'!BI6</f>
        <v>12.899999999999999</v>
      </c>
      <c r="E6" s="124">
        <f>'Monthly Data'!BJ6</f>
        <v>6420.3</v>
      </c>
      <c r="F6">
        <f>'Monthly Data'!BM6</f>
        <v>5</v>
      </c>
      <c r="G6">
        <f>'Monthly Data'!BT6</f>
        <v>0</v>
      </c>
      <c r="H6" s="127">
        <f>'Monthly Data'!BY6</f>
        <v>0</v>
      </c>
      <c r="I6">
        <f>'Monthly Data'!CC6</f>
        <v>31</v>
      </c>
      <c r="K6">
        <f>'Large Use OLS Model'!$B$5</f>
        <v>-19707994.0131674</v>
      </c>
      <c r="L6" s="186">
        <f>'Large Use OLS Model'!$B$6*D6</f>
        <v>340897.45363905537</v>
      </c>
      <c r="M6" s="186">
        <f>'Large Use OLS Model'!$B$7*E6</f>
        <v>22019854.869862232</v>
      </c>
      <c r="N6" s="186">
        <v>0</v>
      </c>
      <c r="O6" s="186">
        <f>'Large Use OLS Model'!$B$8*G6</f>
        <v>0</v>
      </c>
      <c r="P6" s="186">
        <f>'Large Use OLS Model'!$B$9*H6</f>
        <v>0</v>
      </c>
      <c r="Q6" s="186">
        <f>'Large Use OLS Model'!$B$10*I6</f>
        <v>21377604.951162424</v>
      </c>
      <c r="R6">
        <f t="shared" si="2"/>
        <v>24030363.261496313</v>
      </c>
      <c r="S6" s="24">
        <f t="shared" ca="1" si="3"/>
        <v>0.16110936801162534</v>
      </c>
    </row>
    <row r="7" spans="1:19">
      <c r="A7" s="26">
        <f>'Monthly Data'!A7</f>
        <v>39965</v>
      </c>
      <c r="B7">
        <f t="shared" si="1"/>
        <v>2009</v>
      </c>
      <c r="C7">
        <f ca="1">'Monthly Data'!AE7</f>
        <v>23177348.254234999</v>
      </c>
      <c r="D7">
        <f>'Monthly Data'!BI7</f>
        <v>79.399999999999991</v>
      </c>
      <c r="E7" s="124">
        <f>'Monthly Data'!BJ7</f>
        <v>6393.2</v>
      </c>
      <c r="F7">
        <f>'Monthly Data'!BM7</f>
        <v>6</v>
      </c>
      <c r="G7">
        <f>'Monthly Data'!BT7</f>
        <v>0</v>
      </c>
      <c r="H7" s="127">
        <f>'Monthly Data'!BY7</f>
        <v>0</v>
      </c>
      <c r="I7">
        <f>'Monthly Data'!CC7</f>
        <v>30</v>
      </c>
      <c r="K7">
        <f>'Large Use OLS Model'!$B$5</f>
        <v>-19707994.0131674</v>
      </c>
      <c r="L7" s="186">
        <f>'Large Use OLS Model'!$B$6*D7</f>
        <v>2098237.0402279841</v>
      </c>
      <c r="M7" s="186">
        <f>'Large Use OLS Model'!$B$7*E7</f>
        <v>21926909.358441696</v>
      </c>
      <c r="N7" s="186">
        <v>0</v>
      </c>
      <c r="O7" s="186">
        <f>'Large Use OLS Model'!$B$8*G7</f>
        <v>0</v>
      </c>
      <c r="P7" s="186">
        <f>'Large Use OLS Model'!$B$9*H7</f>
        <v>0</v>
      </c>
      <c r="Q7" s="186">
        <f>'Large Use OLS Model'!$B$10*I7</f>
        <v>20688004.791447509</v>
      </c>
      <c r="R7">
        <f t="shared" si="2"/>
        <v>25005157.176949788</v>
      </c>
      <c r="S7" s="24">
        <f t="shared" ca="1" si="3"/>
        <v>7.8861865588131227E-2</v>
      </c>
    </row>
    <row r="8" spans="1:19">
      <c r="A8" s="26">
        <f>'Monthly Data'!A8</f>
        <v>39995</v>
      </c>
      <c r="B8">
        <f t="shared" si="1"/>
        <v>2009</v>
      </c>
      <c r="C8">
        <f ca="1">'Monthly Data'!AE8</f>
        <v>24105091.778898001</v>
      </c>
      <c r="D8">
        <f>'Monthly Data'!BI8</f>
        <v>100.19999999999999</v>
      </c>
      <c r="E8" s="124">
        <f>'Monthly Data'!BJ8</f>
        <v>6390.2</v>
      </c>
      <c r="F8">
        <f>'Monthly Data'!BM8</f>
        <v>7</v>
      </c>
      <c r="G8">
        <f>'Monthly Data'!BT8</f>
        <v>1</v>
      </c>
      <c r="H8" s="127">
        <f>'Monthly Data'!BY8</f>
        <v>0</v>
      </c>
      <c r="I8">
        <f>'Monthly Data'!CC8</f>
        <v>31</v>
      </c>
      <c r="K8">
        <f>'Large Use OLS Model'!$B$5</f>
        <v>-19707994.0131674</v>
      </c>
      <c r="L8" s="186">
        <f>'Large Use OLS Model'!$B$6*D8</f>
        <v>2647901.1515219649</v>
      </c>
      <c r="M8" s="186">
        <f>'Large Use OLS Model'!$B$7*E8</f>
        <v>21916620.187435731</v>
      </c>
      <c r="N8" s="186">
        <v>0</v>
      </c>
      <c r="O8" s="186">
        <f>'Large Use OLS Model'!$B$8*G8</f>
        <v>-1563237.6990636101</v>
      </c>
      <c r="P8" s="186">
        <f>'Large Use OLS Model'!$B$9*H8</f>
        <v>0</v>
      </c>
      <c r="Q8" s="186">
        <f>'Large Use OLS Model'!$B$10*I8</f>
        <v>21377604.951162424</v>
      </c>
      <c r="R8">
        <f t="shared" si="2"/>
        <v>24670894.577889111</v>
      </c>
      <c r="S8" s="24">
        <f t="shared" ca="1" si="3"/>
        <v>2.3472335396226261E-2</v>
      </c>
    </row>
    <row r="9" spans="1:19">
      <c r="A9" s="26">
        <f>'Monthly Data'!A9</f>
        <v>40026</v>
      </c>
      <c r="B9">
        <f t="shared" si="1"/>
        <v>2009</v>
      </c>
      <c r="C9">
        <f ca="1">'Monthly Data'!AE9</f>
        <v>25408029.314557001</v>
      </c>
      <c r="D9">
        <f>'Monthly Data'!BI9</f>
        <v>133.4</v>
      </c>
      <c r="E9" s="124">
        <f>'Monthly Data'!BJ9</f>
        <v>6401</v>
      </c>
      <c r="F9">
        <f>'Monthly Data'!BM9</f>
        <v>8</v>
      </c>
      <c r="G9">
        <f>'Monthly Data'!BT9</f>
        <v>0</v>
      </c>
      <c r="H9" s="127">
        <f>'Monthly Data'!BY9</f>
        <v>0</v>
      </c>
      <c r="I9">
        <f>'Monthly Data'!CC9</f>
        <v>31</v>
      </c>
      <c r="K9">
        <f>'Large Use OLS Model'!$B$5</f>
        <v>-19707994.0131674</v>
      </c>
      <c r="L9" s="186">
        <f>'Large Use OLS Model'!$B$6*D9</f>
        <v>3525249.6368565885</v>
      </c>
      <c r="M9" s="186">
        <f>'Large Use OLS Model'!$B$7*E9</f>
        <v>21953661.2030572</v>
      </c>
      <c r="N9" s="186">
        <v>0</v>
      </c>
      <c r="O9" s="186">
        <f>'Large Use OLS Model'!$B$8*G9</f>
        <v>0</v>
      </c>
      <c r="P9" s="186">
        <f>'Large Use OLS Model'!$B$9*H9</f>
        <v>0</v>
      </c>
      <c r="Q9" s="186">
        <f>'Large Use OLS Model'!$B$10*I9</f>
        <v>21377604.951162424</v>
      </c>
      <c r="R9">
        <f t="shared" si="2"/>
        <v>27148521.777908813</v>
      </c>
      <c r="S9" s="24">
        <f t="shared" ca="1" si="3"/>
        <v>6.850167094047839E-2</v>
      </c>
    </row>
    <row r="10" spans="1:19">
      <c r="A10" s="26">
        <f>'Monthly Data'!A10</f>
        <v>40057</v>
      </c>
      <c r="B10">
        <f t="shared" si="1"/>
        <v>2009</v>
      </c>
      <c r="C10">
        <f ca="1">'Monthly Data'!AE10</f>
        <v>24750387.851640001</v>
      </c>
      <c r="D10">
        <f>'Monthly Data'!BI10</f>
        <v>54.699999999999989</v>
      </c>
      <c r="E10" s="124">
        <f>'Monthly Data'!BJ10</f>
        <v>6421.2</v>
      </c>
      <c r="F10">
        <f>'Monthly Data'!BM10</f>
        <v>9</v>
      </c>
      <c r="G10">
        <f>'Monthly Data'!BT10</f>
        <v>0</v>
      </c>
      <c r="H10" s="127">
        <f>'Monthly Data'!BY10</f>
        <v>0</v>
      </c>
      <c r="I10">
        <f>'Monthly Data'!CC10</f>
        <v>30</v>
      </c>
      <c r="K10">
        <f>'Large Use OLS Model'!$B$5</f>
        <v>-19707994.0131674</v>
      </c>
      <c r="L10" s="186">
        <f>'Large Use OLS Model'!$B$6*D10</f>
        <v>1445510.9080663819</v>
      </c>
      <c r="M10" s="186">
        <f>'Large Use OLS Model'!$B$7*E10</f>
        <v>22022941.62116402</v>
      </c>
      <c r="N10" s="186">
        <v>0</v>
      </c>
      <c r="O10" s="186">
        <f>'Large Use OLS Model'!$B$8*G10</f>
        <v>0</v>
      </c>
      <c r="P10" s="186">
        <f>'Large Use OLS Model'!$B$9*H10</f>
        <v>0</v>
      </c>
      <c r="Q10" s="186">
        <f>'Large Use OLS Model'!$B$10*I10</f>
        <v>20688004.791447509</v>
      </c>
      <c r="R10">
        <f t="shared" si="2"/>
        <v>24448463.30751051</v>
      </c>
      <c r="S10" s="24">
        <f t="shared" ca="1" si="3"/>
        <v>1.2198780315658159E-2</v>
      </c>
    </row>
    <row r="11" spans="1:19">
      <c r="A11" s="26">
        <f>'Monthly Data'!A11</f>
        <v>40087</v>
      </c>
      <c r="B11">
        <f t="shared" si="1"/>
        <v>2009</v>
      </c>
      <c r="C11">
        <f ca="1">'Monthly Data'!AE11</f>
        <v>22390724.243762001</v>
      </c>
      <c r="D11">
        <f>'Monthly Data'!BI11</f>
        <v>0</v>
      </c>
      <c r="E11" s="124">
        <f>'Monthly Data'!BJ11</f>
        <v>6438.2</v>
      </c>
      <c r="F11">
        <f>'Monthly Data'!BM11</f>
        <v>10</v>
      </c>
      <c r="G11">
        <f>'Monthly Data'!BT11</f>
        <v>0</v>
      </c>
      <c r="H11" s="127">
        <f>'Monthly Data'!BY11</f>
        <v>0</v>
      </c>
      <c r="I11">
        <f>'Monthly Data'!CC11</f>
        <v>31</v>
      </c>
      <c r="K11">
        <f>'Large Use OLS Model'!$B$5</f>
        <v>-19707994.0131674</v>
      </c>
      <c r="L11" s="186">
        <f>'Large Use OLS Model'!$B$6*D11</f>
        <v>0</v>
      </c>
      <c r="M11" s="186">
        <f>'Large Use OLS Model'!$B$7*E11</f>
        <v>22081246.923531145</v>
      </c>
      <c r="N11" s="186">
        <v>0</v>
      </c>
      <c r="O11" s="186">
        <f>'Large Use OLS Model'!$B$8*G11</f>
        <v>0</v>
      </c>
      <c r="P11" s="186">
        <f>'Large Use OLS Model'!$B$9*H11</f>
        <v>0</v>
      </c>
      <c r="Q11" s="186">
        <f>'Large Use OLS Model'!$B$10*I11</f>
        <v>21377604.951162424</v>
      </c>
      <c r="R11">
        <f t="shared" si="2"/>
        <v>23750857.861526169</v>
      </c>
      <c r="S11" s="24">
        <f t="shared" ca="1" si="3"/>
        <v>6.0745405238202481E-2</v>
      </c>
    </row>
    <row r="12" spans="1:19">
      <c r="A12" s="26">
        <f>'Monthly Data'!A12</f>
        <v>40118</v>
      </c>
      <c r="B12">
        <f t="shared" si="1"/>
        <v>2009</v>
      </c>
      <c r="C12">
        <f ca="1">'Monthly Data'!AE12</f>
        <v>21830185.762596998</v>
      </c>
      <c r="D12">
        <f>'Monthly Data'!BI12</f>
        <v>0</v>
      </c>
      <c r="E12" s="124">
        <f>'Monthly Data'!BJ12</f>
        <v>6454</v>
      </c>
      <c r="F12">
        <f>'Monthly Data'!BM12</f>
        <v>11</v>
      </c>
      <c r="G12">
        <f>'Monthly Data'!BT12</f>
        <v>0</v>
      </c>
      <c r="H12" s="127">
        <f>'Monthly Data'!BY12</f>
        <v>0</v>
      </c>
      <c r="I12">
        <f>'Monthly Data'!CC12</f>
        <v>30</v>
      </c>
      <c r="K12">
        <f>'Large Use OLS Model'!$B$5</f>
        <v>-19707994.0131674</v>
      </c>
      <c r="L12" s="186">
        <f>'Large Use OLS Model'!$B$6*D12</f>
        <v>0</v>
      </c>
      <c r="M12" s="186">
        <f>'Large Use OLS Model'!$B$7*E12</f>
        <v>22135436.557495885</v>
      </c>
      <c r="N12" s="186">
        <v>0</v>
      </c>
      <c r="O12" s="186">
        <f>'Large Use OLS Model'!$B$8*G12</f>
        <v>0</v>
      </c>
      <c r="P12" s="186">
        <f>'Large Use OLS Model'!$B$9*H12</f>
        <v>0</v>
      </c>
      <c r="Q12" s="186">
        <f>'Large Use OLS Model'!$B$10*I12</f>
        <v>20688004.791447509</v>
      </c>
      <c r="R12">
        <f t="shared" si="2"/>
        <v>23115447.335775994</v>
      </c>
      <c r="S12" s="24">
        <f t="shared" ca="1" si="3"/>
        <v>5.8875429973716177E-2</v>
      </c>
    </row>
    <row r="13" spans="1:19">
      <c r="A13" s="26">
        <f>'Monthly Data'!A13</f>
        <v>40148</v>
      </c>
      <c r="B13">
        <f t="shared" si="1"/>
        <v>2009</v>
      </c>
      <c r="C13">
        <f ca="1">'Monthly Data'!AE13</f>
        <v>22001519.052356999</v>
      </c>
      <c r="D13">
        <f>'Monthly Data'!BI13</f>
        <v>0</v>
      </c>
      <c r="E13" s="124">
        <f>'Monthly Data'!BJ13</f>
        <v>6458.5</v>
      </c>
      <c r="F13">
        <f>'Monthly Data'!BM13</f>
        <v>12</v>
      </c>
      <c r="G13">
        <f>'Monthly Data'!BT13</f>
        <v>0</v>
      </c>
      <c r="H13" s="127">
        <f>'Monthly Data'!BY13</f>
        <v>1</v>
      </c>
      <c r="I13">
        <f>'Monthly Data'!CC13</f>
        <v>31</v>
      </c>
      <c r="K13">
        <f>'Large Use OLS Model'!$B$5</f>
        <v>-19707994.0131674</v>
      </c>
      <c r="L13" s="186">
        <f>'Large Use OLS Model'!$B$6*D13</f>
        <v>0</v>
      </c>
      <c r="M13" s="186">
        <f>'Large Use OLS Model'!$B$7*E13</f>
        <v>22150870.314004831</v>
      </c>
      <c r="N13" s="186">
        <v>0</v>
      </c>
      <c r="O13" s="186">
        <f>'Large Use OLS Model'!$B$8*G13</f>
        <v>0</v>
      </c>
      <c r="P13" s="186">
        <f>'Large Use OLS Model'!$B$9*H13</f>
        <v>-2219022.2541699898</v>
      </c>
      <c r="Q13" s="186">
        <f>'Large Use OLS Model'!$B$10*I13</f>
        <v>21377604.951162424</v>
      </c>
      <c r="R13">
        <f t="shared" si="2"/>
        <v>21601458.997829866</v>
      </c>
      <c r="S13" s="24">
        <f t="shared" ca="1" si="3"/>
        <v>1.8183292416087776E-2</v>
      </c>
    </row>
    <row r="14" spans="1:19">
      <c r="A14" s="26">
        <f>'Monthly Data'!A14</f>
        <v>40179</v>
      </c>
      <c r="B14">
        <f t="shared" si="1"/>
        <v>2010</v>
      </c>
      <c r="C14">
        <f ca="1">'Monthly Data'!AE14</f>
        <v>23267481.492624</v>
      </c>
      <c r="D14">
        <f>'Monthly Data'!BI14</f>
        <v>0</v>
      </c>
      <c r="E14" s="124">
        <f>'Monthly Data'!BJ14</f>
        <v>6466.9</v>
      </c>
      <c r="F14">
        <f>'Monthly Data'!BM14</f>
        <v>13</v>
      </c>
      <c r="G14">
        <f>'Monthly Data'!BT14</f>
        <v>0</v>
      </c>
      <c r="H14" s="127">
        <f>'Monthly Data'!BY14</f>
        <v>0</v>
      </c>
      <c r="I14">
        <f>'Monthly Data'!CC14</f>
        <v>31</v>
      </c>
      <c r="K14">
        <f>'Large Use OLS Model'!$B$5</f>
        <v>-19707994.0131674</v>
      </c>
      <c r="L14" s="186">
        <f>'Large Use OLS Model'!$B$6*D14</f>
        <v>0</v>
      </c>
      <c r="M14" s="186">
        <f>'Large Use OLS Model'!$B$7*E14</f>
        <v>22179679.992821526</v>
      </c>
      <c r="N14" s="186">
        <v>0</v>
      </c>
      <c r="O14" s="186">
        <f>'Large Use OLS Model'!$B$8*G14</f>
        <v>0</v>
      </c>
      <c r="P14" s="186">
        <f>'Large Use OLS Model'!$B$9*H14</f>
        <v>0</v>
      </c>
      <c r="Q14" s="186">
        <f>'Large Use OLS Model'!$B$10*I14</f>
        <v>21377604.951162424</v>
      </c>
      <c r="R14">
        <f t="shared" si="2"/>
        <v>23849290.93081655</v>
      </c>
      <c r="S14" s="24">
        <f t="shared" ca="1" si="3"/>
        <v>2.5005260598444611E-2</v>
      </c>
    </row>
    <row r="15" spans="1:19">
      <c r="A15" s="26">
        <f>'Monthly Data'!A15</f>
        <v>40210</v>
      </c>
      <c r="B15">
        <f t="shared" si="1"/>
        <v>2010</v>
      </c>
      <c r="C15">
        <f ca="1">'Monthly Data'!AE15</f>
        <v>21795460.432082001</v>
      </c>
      <c r="D15">
        <f>'Monthly Data'!BI15</f>
        <v>0</v>
      </c>
      <c r="E15" s="124">
        <f>'Monthly Data'!BJ15</f>
        <v>6471</v>
      </c>
      <c r="F15">
        <f>'Monthly Data'!BM15</f>
        <v>14</v>
      </c>
      <c r="G15">
        <f>'Monthly Data'!BT15</f>
        <v>0</v>
      </c>
      <c r="H15" s="127">
        <f>'Monthly Data'!BY15</f>
        <v>0</v>
      </c>
      <c r="I15">
        <f>'Monthly Data'!CC15</f>
        <v>28</v>
      </c>
      <c r="K15">
        <f>'Large Use OLS Model'!$B$5</f>
        <v>-19707994.0131674</v>
      </c>
      <c r="L15" s="186">
        <f>'Large Use OLS Model'!$B$6*D15</f>
        <v>0</v>
      </c>
      <c r="M15" s="186">
        <f>'Large Use OLS Model'!$B$7*E15</f>
        <v>22193741.859863013</v>
      </c>
      <c r="N15" s="186">
        <v>0</v>
      </c>
      <c r="O15" s="186">
        <f>'Large Use OLS Model'!$B$8*G15</f>
        <v>0</v>
      </c>
      <c r="P15" s="186">
        <f>'Large Use OLS Model'!$B$9*H15</f>
        <v>0</v>
      </c>
      <c r="Q15" s="186">
        <f>'Large Use OLS Model'!$B$10*I15</f>
        <v>19308804.472017676</v>
      </c>
      <c r="R15">
        <f t="shared" si="2"/>
        <v>21794552.318713289</v>
      </c>
      <c r="S15" s="24">
        <f t="shared" ca="1" si="3"/>
        <v>4.1665252796204341E-5</v>
      </c>
    </row>
    <row r="16" spans="1:19">
      <c r="A16" s="26">
        <f>'Monthly Data'!A16</f>
        <v>40238</v>
      </c>
      <c r="B16">
        <f t="shared" si="1"/>
        <v>2010</v>
      </c>
      <c r="C16">
        <f ca="1">'Monthly Data'!AE16</f>
        <v>23702308.642981</v>
      </c>
      <c r="D16">
        <f>'Monthly Data'!BI16</f>
        <v>0</v>
      </c>
      <c r="E16" s="124">
        <f>'Monthly Data'!BJ16</f>
        <v>6477.5</v>
      </c>
      <c r="F16">
        <f>'Monthly Data'!BM16</f>
        <v>15</v>
      </c>
      <c r="G16">
        <f>'Monthly Data'!BT16</f>
        <v>0</v>
      </c>
      <c r="H16" s="127">
        <f>'Monthly Data'!BY16</f>
        <v>0</v>
      </c>
      <c r="I16">
        <f>'Monthly Data'!CC16</f>
        <v>31</v>
      </c>
      <c r="K16">
        <f>'Large Use OLS Model'!$B$5</f>
        <v>-19707994.0131674</v>
      </c>
      <c r="L16" s="186">
        <f>'Large Use OLS Model'!$B$6*D16</f>
        <v>0</v>
      </c>
      <c r="M16" s="186">
        <f>'Large Use OLS Model'!$B$7*E16</f>
        <v>22216035.063709266</v>
      </c>
      <c r="N16" s="186">
        <v>0</v>
      </c>
      <c r="O16" s="186">
        <f>'Large Use OLS Model'!$B$8*G16</f>
        <v>0</v>
      </c>
      <c r="P16" s="186">
        <f>'Large Use OLS Model'!$B$9*H16</f>
        <v>0</v>
      </c>
      <c r="Q16" s="186">
        <f>'Large Use OLS Model'!$B$10*I16</f>
        <v>21377604.951162424</v>
      </c>
      <c r="R16">
        <f t="shared" si="2"/>
        <v>23885646.001704291</v>
      </c>
      <c r="S16" s="24">
        <f t="shared" ca="1" si="3"/>
        <v>7.7350000577931987E-3</v>
      </c>
    </row>
    <row r="17" spans="1:19">
      <c r="A17" s="26">
        <f>'Monthly Data'!A17</f>
        <v>40269</v>
      </c>
      <c r="B17">
        <f t="shared" si="1"/>
        <v>2010</v>
      </c>
      <c r="C17">
        <f ca="1">'Monthly Data'!AE17</f>
        <v>22434537.258079</v>
      </c>
      <c r="D17">
        <f>'Monthly Data'!BI17</f>
        <v>5</v>
      </c>
      <c r="E17" s="124">
        <f>'Monthly Data'!BJ17</f>
        <v>6485</v>
      </c>
      <c r="F17">
        <f>'Monthly Data'!BM17</f>
        <v>16</v>
      </c>
      <c r="G17">
        <f>'Monthly Data'!BT17</f>
        <v>0</v>
      </c>
      <c r="H17" s="127">
        <f>'Monthly Data'!BY17</f>
        <v>0</v>
      </c>
      <c r="I17">
        <f>'Monthly Data'!CC17</f>
        <v>30</v>
      </c>
      <c r="K17">
        <f>'Large Use OLS Model'!$B$5</f>
        <v>-19707994.0131674</v>
      </c>
      <c r="L17" s="186">
        <f>'Large Use OLS Model'!$B$6*D17</f>
        <v>132130.79598413</v>
      </c>
      <c r="M17" s="186">
        <f>'Large Use OLS Model'!$B$7*E17</f>
        <v>22241757.991224173</v>
      </c>
      <c r="N17" s="186">
        <v>0</v>
      </c>
      <c r="O17" s="186">
        <f>'Large Use OLS Model'!$B$8*G17</f>
        <v>0</v>
      </c>
      <c r="P17" s="186">
        <f>'Large Use OLS Model'!$B$9*H17</f>
        <v>0</v>
      </c>
      <c r="Q17" s="186">
        <f>'Large Use OLS Model'!$B$10*I17</f>
        <v>20688004.791447509</v>
      </c>
      <c r="R17">
        <f t="shared" si="2"/>
        <v>23353899.565488413</v>
      </c>
      <c r="S17" s="24">
        <f t="shared" ca="1" si="3"/>
        <v>4.0979775817677609E-2</v>
      </c>
    </row>
    <row r="18" spans="1:19">
      <c r="A18" s="26">
        <f>'Monthly Data'!A18</f>
        <v>40299</v>
      </c>
      <c r="B18">
        <f t="shared" si="1"/>
        <v>2010</v>
      </c>
      <c r="C18">
        <f ca="1">'Monthly Data'!AE18</f>
        <v>24754424.438850001</v>
      </c>
      <c r="D18">
        <f>'Monthly Data'!BI18</f>
        <v>59.699999999999989</v>
      </c>
      <c r="E18" s="124">
        <f>'Monthly Data'!BJ18</f>
        <v>6506.8</v>
      </c>
      <c r="F18">
        <f>'Monthly Data'!BM18</f>
        <v>17</v>
      </c>
      <c r="G18">
        <f>'Monthly Data'!BT18</f>
        <v>0</v>
      </c>
      <c r="H18" s="127">
        <f>'Monthly Data'!BY18</f>
        <v>0</v>
      </c>
      <c r="I18">
        <f>'Monthly Data'!CC18</f>
        <v>31</v>
      </c>
      <c r="K18">
        <f>'Large Use OLS Model'!$B$5</f>
        <v>-19707994.0131674</v>
      </c>
      <c r="L18" s="186">
        <f>'Large Use OLS Model'!$B$6*D18</f>
        <v>1577641.7040505118</v>
      </c>
      <c r="M18" s="186">
        <f>'Large Use OLS Model'!$B$7*E18</f>
        <v>22316525.967200842</v>
      </c>
      <c r="N18" s="186">
        <v>0</v>
      </c>
      <c r="O18" s="186">
        <f>'Large Use OLS Model'!$B$8*G18</f>
        <v>0</v>
      </c>
      <c r="P18" s="186">
        <f>'Large Use OLS Model'!$B$9*H18</f>
        <v>0</v>
      </c>
      <c r="Q18" s="186">
        <f>'Large Use OLS Model'!$B$10*I18</f>
        <v>21377604.951162424</v>
      </c>
      <c r="R18">
        <f t="shared" si="2"/>
        <v>25563778.609246377</v>
      </c>
      <c r="S18" s="24">
        <f t="shared" ca="1" si="3"/>
        <v>3.269533381378735E-2</v>
      </c>
    </row>
    <row r="19" spans="1:19">
      <c r="A19" s="26">
        <f>'Monthly Data'!A19</f>
        <v>40330</v>
      </c>
      <c r="B19">
        <f t="shared" si="1"/>
        <v>2010</v>
      </c>
      <c r="C19">
        <f ca="1">'Monthly Data'!AE19</f>
        <v>27908850.407844998</v>
      </c>
      <c r="D19">
        <f>'Monthly Data'!BI19</f>
        <v>135.89999999999998</v>
      </c>
      <c r="E19" s="124">
        <f>'Monthly Data'!BJ19</f>
        <v>6540.8</v>
      </c>
      <c r="F19">
        <f>'Monthly Data'!BM19</f>
        <v>18</v>
      </c>
      <c r="G19">
        <f>'Monthly Data'!BT19</f>
        <v>0</v>
      </c>
      <c r="H19" s="127">
        <f>'Monthly Data'!BY19</f>
        <v>0</v>
      </c>
      <c r="I19">
        <f>'Monthly Data'!CC19</f>
        <v>30</v>
      </c>
      <c r="K19">
        <f>'Large Use OLS Model'!$B$5</f>
        <v>-19707994.0131674</v>
      </c>
      <c r="L19" s="186">
        <f>'Large Use OLS Model'!$B$6*D19</f>
        <v>3591315.0348486528</v>
      </c>
      <c r="M19" s="186">
        <f>'Large Use OLS Model'!$B$7*E19</f>
        <v>22433136.571935095</v>
      </c>
      <c r="N19" s="186">
        <v>0</v>
      </c>
      <c r="O19" s="186">
        <f>'Large Use OLS Model'!$B$8*G19</f>
        <v>0</v>
      </c>
      <c r="P19" s="186">
        <f>'Large Use OLS Model'!$B$9*H19</f>
        <v>0</v>
      </c>
      <c r="Q19" s="186">
        <f>'Large Use OLS Model'!$B$10*I19</f>
        <v>20688004.791447509</v>
      </c>
      <c r="R19">
        <f t="shared" si="2"/>
        <v>27004462.385063857</v>
      </c>
      <c r="S19" s="24">
        <f t="shared" ca="1" si="3"/>
        <v>3.2405061819634227E-2</v>
      </c>
    </row>
    <row r="20" spans="1:19">
      <c r="A20" s="26">
        <f>'Monthly Data'!A20</f>
        <v>40360</v>
      </c>
      <c r="B20">
        <f t="shared" si="1"/>
        <v>2010</v>
      </c>
      <c r="C20">
        <f ca="1">'Monthly Data'!AE20</f>
        <v>28114606.937438</v>
      </c>
      <c r="D20">
        <f>'Monthly Data'!BI20</f>
        <v>227.00000000000006</v>
      </c>
      <c r="E20" s="124">
        <f>'Monthly Data'!BJ20</f>
        <v>6561</v>
      </c>
      <c r="F20">
        <f>'Monthly Data'!BM20</f>
        <v>19</v>
      </c>
      <c r="G20">
        <f>'Monthly Data'!BT20</f>
        <v>1</v>
      </c>
      <c r="H20" s="127">
        <f>'Monthly Data'!BY20</f>
        <v>0</v>
      </c>
      <c r="I20">
        <f>'Monthly Data'!CC20</f>
        <v>31</v>
      </c>
      <c r="K20">
        <f>'Large Use OLS Model'!$B$5</f>
        <v>-19707994.0131674</v>
      </c>
      <c r="L20" s="186">
        <f>'Large Use OLS Model'!$B$6*D20</f>
        <v>5998738.1376795033</v>
      </c>
      <c r="M20" s="186">
        <f>'Large Use OLS Model'!$B$7*E20</f>
        <v>22502416.990041912</v>
      </c>
      <c r="N20" s="186">
        <v>0</v>
      </c>
      <c r="O20" s="186">
        <f>'Large Use OLS Model'!$B$8*G20</f>
        <v>-1563237.6990636101</v>
      </c>
      <c r="P20" s="186">
        <f>'Large Use OLS Model'!$B$9*H20</f>
        <v>0</v>
      </c>
      <c r="Q20" s="186">
        <f>'Large Use OLS Model'!$B$10*I20</f>
        <v>21377604.951162424</v>
      </c>
      <c r="R20">
        <f t="shared" si="2"/>
        <v>28607528.366652828</v>
      </c>
      <c r="S20" s="24">
        <f t="shared" ca="1" si="3"/>
        <v>1.7532574092595378E-2</v>
      </c>
    </row>
    <row r="21" spans="1:19">
      <c r="A21" s="26">
        <f>'Monthly Data'!A21</f>
        <v>40391</v>
      </c>
      <c r="B21">
        <f t="shared" si="1"/>
        <v>2010</v>
      </c>
      <c r="C21">
        <f ca="1">'Monthly Data'!AE21</f>
        <v>28003793.798920002</v>
      </c>
      <c r="D21">
        <f>'Monthly Data'!BI21</f>
        <v>211.80000000000004</v>
      </c>
      <c r="E21" s="124">
        <f>'Monthly Data'!BJ21</f>
        <v>6568.9</v>
      </c>
      <c r="F21">
        <f>'Monthly Data'!BM21</f>
        <v>20</v>
      </c>
      <c r="G21">
        <f>'Monthly Data'!BT21</f>
        <v>0</v>
      </c>
      <c r="H21" s="127">
        <f>'Monthly Data'!BY21</f>
        <v>0</v>
      </c>
      <c r="I21">
        <f>'Monthly Data'!CC21</f>
        <v>31</v>
      </c>
      <c r="K21">
        <f>'Large Use OLS Model'!$B$5</f>
        <v>-19707994.0131674</v>
      </c>
      <c r="L21" s="186">
        <f>'Large Use OLS Model'!$B$6*D21</f>
        <v>5597060.5178877478</v>
      </c>
      <c r="M21" s="186">
        <f>'Large Use OLS Model'!$B$7*E21</f>
        <v>22529511.807024281</v>
      </c>
      <c r="N21" s="186">
        <v>0</v>
      </c>
      <c r="O21" s="186">
        <f>'Large Use OLS Model'!$B$8*G21</f>
        <v>0</v>
      </c>
      <c r="P21" s="186">
        <f>'Large Use OLS Model'!$B$9*H21</f>
        <v>0</v>
      </c>
      <c r="Q21" s="186">
        <f>'Large Use OLS Model'!$B$10*I21</f>
        <v>21377604.951162424</v>
      </c>
      <c r="R21">
        <f t="shared" si="2"/>
        <v>29796183.262907054</v>
      </c>
      <c r="S21" s="24">
        <f t="shared" ca="1" si="3"/>
        <v>6.4005237178120414E-2</v>
      </c>
    </row>
    <row r="22" spans="1:19">
      <c r="A22" s="26">
        <f>'Monthly Data'!A22</f>
        <v>40422</v>
      </c>
      <c r="B22">
        <f t="shared" si="1"/>
        <v>2010</v>
      </c>
      <c r="C22">
        <f ca="1">'Monthly Data'!AE22</f>
        <v>25632165.922669999</v>
      </c>
      <c r="D22">
        <f>'Monthly Data'!BI22</f>
        <v>59.699999999999989</v>
      </c>
      <c r="E22" s="124">
        <f>'Monthly Data'!BJ22</f>
        <v>6556</v>
      </c>
      <c r="F22">
        <f>'Monthly Data'!BM22</f>
        <v>21</v>
      </c>
      <c r="G22">
        <f>'Monthly Data'!BT22</f>
        <v>0</v>
      </c>
      <c r="H22" s="127">
        <f>'Monthly Data'!BY22</f>
        <v>0</v>
      </c>
      <c r="I22">
        <f>'Monthly Data'!CC22</f>
        <v>30</v>
      </c>
      <c r="K22">
        <f>'Large Use OLS Model'!$B$5</f>
        <v>-19707994.0131674</v>
      </c>
      <c r="L22" s="186">
        <f>'Large Use OLS Model'!$B$6*D22</f>
        <v>1577641.7040505118</v>
      </c>
      <c r="M22" s="186">
        <f>'Large Use OLS Model'!$B$7*E22</f>
        <v>22485268.37169864</v>
      </c>
      <c r="N22" s="186">
        <v>0</v>
      </c>
      <c r="O22" s="186">
        <f>'Large Use OLS Model'!$B$8*G22</f>
        <v>0</v>
      </c>
      <c r="P22" s="186">
        <f>'Large Use OLS Model'!$B$9*H22</f>
        <v>0</v>
      </c>
      <c r="Q22" s="186">
        <f>'Large Use OLS Model'!$B$10*I22</f>
        <v>20688004.791447509</v>
      </c>
      <c r="R22">
        <f t="shared" ref="R22:R53" si="4">SUM(K22:Q22)</f>
        <v>25042920.854029261</v>
      </c>
      <c r="S22" s="24">
        <f t="shared" ref="S22:S53" ca="1" si="5">ABS(R22-C22)/C22</f>
        <v>2.298850087107112E-2</v>
      </c>
    </row>
    <row r="23" spans="1:19">
      <c r="A23" s="26">
        <f>'Monthly Data'!A23</f>
        <v>40452</v>
      </c>
      <c r="B23">
        <f t="shared" si="1"/>
        <v>2010</v>
      </c>
      <c r="C23">
        <f ca="1">'Monthly Data'!AE23</f>
        <v>22852757.804852001</v>
      </c>
      <c r="D23">
        <f>'Monthly Data'!BI23</f>
        <v>1.4000000000000001</v>
      </c>
      <c r="E23" s="124">
        <f>'Monthly Data'!BJ23</f>
        <v>6551.6</v>
      </c>
      <c r="F23">
        <f>'Monthly Data'!BM23</f>
        <v>22</v>
      </c>
      <c r="G23">
        <f>'Monthly Data'!BT23</f>
        <v>0</v>
      </c>
      <c r="H23" s="127">
        <f>'Monthly Data'!BY23</f>
        <v>0</v>
      </c>
      <c r="I23">
        <f>'Monthly Data'!CC23</f>
        <v>31</v>
      </c>
      <c r="K23">
        <f>'Large Use OLS Model'!$B$5</f>
        <v>-19707994.0131674</v>
      </c>
      <c r="L23" s="186">
        <f>'Large Use OLS Model'!$B$6*D23</f>
        <v>36996.622875556401</v>
      </c>
      <c r="M23" s="186">
        <f>'Large Use OLS Model'!$B$7*E23</f>
        <v>22470177.587556563</v>
      </c>
      <c r="N23" s="186">
        <v>0</v>
      </c>
      <c r="O23" s="186">
        <f>'Large Use OLS Model'!$B$8*G23</f>
        <v>0</v>
      </c>
      <c r="P23" s="186">
        <f>'Large Use OLS Model'!$B$9*H23</f>
        <v>0</v>
      </c>
      <c r="Q23" s="186">
        <f>'Large Use OLS Model'!$B$10*I23</f>
        <v>21377604.951162424</v>
      </c>
      <c r="R23">
        <f t="shared" si="4"/>
        <v>24176785.148427144</v>
      </c>
      <c r="S23" s="24">
        <f t="shared" ca="1" si="5"/>
        <v>5.7937311325026622E-2</v>
      </c>
    </row>
    <row r="24" spans="1:19">
      <c r="A24" s="26">
        <f>'Monthly Data'!A24</f>
        <v>40483</v>
      </c>
      <c r="B24">
        <f t="shared" si="1"/>
        <v>2010</v>
      </c>
      <c r="C24">
        <f ca="1">'Monthly Data'!AE24</f>
        <v>23723679.543327</v>
      </c>
      <c r="D24">
        <f>'Monthly Data'!BI24</f>
        <v>0</v>
      </c>
      <c r="E24" s="124">
        <f>'Monthly Data'!BJ24</f>
        <v>6555.7</v>
      </c>
      <c r="F24">
        <f>'Monthly Data'!BM24</f>
        <v>23</v>
      </c>
      <c r="G24">
        <f>'Monthly Data'!BT24</f>
        <v>0</v>
      </c>
      <c r="H24" s="127">
        <f>'Monthly Data'!BY24</f>
        <v>0</v>
      </c>
      <c r="I24">
        <f>'Monthly Data'!CC24</f>
        <v>30</v>
      </c>
      <c r="K24">
        <f>'Large Use OLS Model'!$B$5</f>
        <v>-19707994.0131674</v>
      </c>
      <c r="L24" s="186">
        <f>'Large Use OLS Model'!$B$6*D24</f>
        <v>0</v>
      </c>
      <c r="M24" s="186">
        <f>'Large Use OLS Model'!$B$7*E24</f>
        <v>22484239.454598043</v>
      </c>
      <c r="N24" s="186">
        <v>0</v>
      </c>
      <c r="O24" s="186">
        <f>'Large Use OLS Model'!$B$8*G24</f>
        <v>0</v>
      </c>
      <c r="P24" s="186">
        <f>'Large Use OLS Model'!$B$9*H24</f>
        <v>0</v>
      </c>
      <c r="Q24" s="186">
        <f>'Large Use OLS Model'!$B$10*I24</f>
        <v>20688004.791447509</v>
      </c>
      <c r="R24">
        <f t="shared" si="4"/>
        <v>23464250.232878152</v>
      </c>
      <c r="S24" s="24">
        <f t="shared" ca="1" si="5"/>
        <v>1.0935458387685903E-2</v>
      </c>
    </row>
    <row r="25" spans="1:19">
      <c r="A25" s="26">
        <f>'Monthly Data'!A25</f>
        <v>40513</v>
      </c>
      <c r="B25">
        <f t="shared" si="1"/>
        <v>2010</v>
      </c>
      <c r="C25">
        <f ca="1">'Monthly Data'!AE25</f>
        <v>22899884.576402999</v>
      </c>
      <c r="D25">
        <f>'Monthly Data'!BI25</f>
        <v>0</v>
      </c>
      <c r="E25" s="124">
        <f>'Monthly Data'!BJ25</f>
        <v>6578.3</v>
      </c>
      <c r="F25">
        <f>'Monthly Data'!BM25</f>
        <v>24</v>
      </c>
      <c r="G25">
        <f>'Monthly Data'!BT25</f>
        <v>0</v>
      </c>
      <c r="H25" s="127">
        <f>'Monthly Data'!BY25</f>
        <v>1</v>
      </c>
      <c r="I25">
        <f>'Monthly Data'!CC25</f>
        <v>31</v>
      </c>
      <c r="K25">
        <f>'Large Use OLS Model'!$B$5</f>
        <v>-19707994.0131674</v>
      </c>
      <c r="L25" s="186">
        <f>'Large Use OLS Model'!$B$6*D25</f>
        <v>0</v>
      </c>
      <c r="M25" s="186">
        <f>'Large Use OLS Model'!$B$7*E25</f>
        <v>22561751.209509637</v>
      </c>
      <c r="N25" s="186">
        <v>0</v>
      </c>
      <c r="O25" s="186">
        <f>'Large Use OLS Model'!$B$8*G25</f>
        <v>0</v>
      </c>
      <c r="P25" s="186">
        <f>'Large Use OLS Model'!$B$9*H25</f>
        <v>-2219022.2541699898</v>
      </c>
      <c r="Q25" s="186">
        <f>'Large Use OLS Model'!$B$10*I25</f>
        <v>21377604.951162424</v>
      </c>
      <c r="R25">
        <f t="shared" si="4"/>
        <v>22012339.893334672</v>
      </c>
      <c r="S25" s="24">
        <f t="shared" ca="1" si="5"/>
        <v>3.8757605092162375E-2</v>
      </c>
    </row>
    <row r="26" spans="1:19">
      <c r="A26" s="26">
        <f>'Monthly Data'!A26</f>
        <v>40544</v>
      </c>
      <c r="B26">
        <f t="shared" si="1"/>
        <v>2011</v>
      </c>
      <c r="C26">
        <f ca="1">'Monthly Data'!AE26</f>
        <v>25034209.612390783</v>
      </c>
      <c r="D26">
        <f>'Monthly Data'!BI26</f>
        <v>0</v>
      </c>
      <c r="E26" s="124">
        <f>'Monthly Data'!BJ26</f>
        <v>6606.3</v>
      </c>
      <c r="F26">
        <f>'Monthly Data'!BM26</f>
        <v>25</v>
      </c>
      <c r="G26">
        <f>'Monthly Data'!BT26</f>
        <v>0</v>
      </c>
      <c r="H26" s="127">
        <f>'Monthly Data'!BY26</f>
        <v>0</v>
      </c>
      <c r="I26">
        <f>'Monthly Data'!CC26</f>
        <v>31</v>
      </c>
      <c r="K26">
        <f>'Large Use OLS Model'!$B$5</f>
        <v>-19707994.0131674</v>
      </c>
      <c r="L26" s="186">
        <f>'Large Use OLS Model'!$B$6*D26</f>
        <v>0</v>
      </c>
      <c r="M26" s="186">
        <f>'Large Use OLS Model'!$B$7*E26</f>
        <v>22657783.472231962</v>
      </c>
      <c r="N26" s="186">
        <v>0</v>
      </c>
      <c r="O26" s="186">
        <f>'Large Use OLS Model'!$B$8*G26</f>
        <v>0</v>
      </c>
      <c r="P26" s="186">
        <f>'Large Use OLS Model'!$B$9*H26</f>
        <v>0</v>
      </c>
      <c r="Q26" s="186">
        <f>'Large Use OLS Model'!$B$10*I26</f>
        <v>21377604.951162424</v>
      </c>
      <c r="R26">
        <f t="shared" si="4"/>
        <v>24327394.410226986</v>
      </c>
      <c r="S26" s="24">
        <f t="shared" ca="1" si="5"/>
        <v>2.8233973155435906E-2</v>
      </c>
    </row>
    <row r="27" spans="1:19">
      <c r="A27" s="26">
        <f>'Monthly Data'!A27</f>
        <v>40575</v>
      </c>
      <c r="B27">
        <f t="shared" si="1"/>
        <v>2011</v>
      </c>
      <c r="C27">
        <f ca="1">'Monthly Data'!AE27</f>
        <v>23164195.346903782</v>
      </c>
      <c r="D27">
        <f>'Monthly Data'!BI27</f>
        <v>0</v>
      </c>
      <c r="E27" s="124">
        <f>'Monthly Data'!BJ27</f>
        <v>6619.5</v>
      </c>
      <c r="F27">
        <f>'Monthly Data'!BM27</f>
        <v>26</v>
      </c>
      <c r="G27">
        <f>'Monthly Data'!BT27</f>
        <v>0</v>
      </c>
      <c r="H27" s="127">
        <f>'Monthly Data'!BY27</f>
        <v>0</v>
      </c>
      <c r="I27">
        <f>'Monthly Data'!CC27</f>
        <v>28</v>
      </c>
      <c r="K27">
        <f>'Large Use OLS Model'!$B$5</f>
        <v>-19707994.0131674</v>
      </c>
      <c r="L27" s="186">
        <f>'Large Use OLS Model'!$B$6*D27</f>
        <v>0</v>
      </c>
      <c r="M27" s="186">
        <f>'Large Use OLS Model'!$B$7*E27</f>
        <v>22703055.8246582</v>
      </c>
      <c r="N27" s="186">
        <v>0</v>
      </c>
      <c r="O27" s="186">
        <f>'Large Use OLS Model'!$B$8*G27</f>
        <v>0</v>
      </c>
      <c r="P27" s="186">
        <f>'Large Use OLS Model'!$B$9*H27</f>
        <v>0</v>
      </c>
      <c r="Q27" s="186">
        <f>'Large Use OLS Model'!$B$10*I27</f>
        <v>19308804.472017676</v>
      </c>
      <c r="R27">
        <f t="shared" si="4"/>
        <v>22303866.283508476</v>
      </c>
      <c r="S27" s="24">
        <f t="shared" ca="1" si="5"/>
        <v>3.7140468318071815E-2</v>
      </c>
    </row>
    <row r="28" spans="1:19">
      <c r="A28" s="26">
        <f>'Monthly Data'!A28</f>
        <v>40603</v>
      </c>
      <c r="B28">
        <f t="shared" si="1"/>
        <v>2011</v>
      </c>
      <c r="C28">
        <f ca="1">'Monthly Data'!AE28</f>
        <v>26459090.230250776</v>
      </c>
      <c r="D28">
        <f>'Monthly Data'!BI28</f>
        <v>0</v>
      </c>
      <c r="E28" s="124">
        <f>'Monthly Data'!BJ28</f>
        <v>6628.6</v>
      </c>
      <c r="F28">
        <f>'Monthly Data'!BM28</f>
        <v>27</v>
      </c>
      <c r="G28">
        <f>'Monthly Data'!BT28</f>
        <v>0</v>
      </c>
      <c r="H28" s="127">
        <f>'Monthly Data'!BY28</f>
        <v>0</v>
      </c>
      <c r="I28">
        <f>'Monthly Data'!CC28</f>
        <v>31</v>
      </c>
      <c r="K28">
        <f>'Large Use OLS Model'!$B$5</f>
        <v>-19707994.0131674</v>
      </c>
      <c r="L28" s="186">
        <f>'Large Use OLS Model'!$B$6*D28</f>
        <v>0</v>
      </c>
      <c r="M28" s="186">
        <f>'Large Use OLS Model'!$B$7*E28</f>
        <v>22734266.310042955</v>
      </c>
      <c r="N28" s="186">
        <v>0</v>
      </c>
      <c r="O28" s="186">
        <f>'Large Use OLS Model'!$B$8*G28</f>
        <v>0</v>
      </c>
      <c r="P28" s="186">
        <f>'Large Use OLS Model'!$B$9*H28</f>
        <v>0</v>
      </c>
      <c r="Q28" s="186">
        <f>'Large Use OLS Model'!$B$10*I28</f>
        <v>21377604.951162424</v>
      </c>
      <c r="R28">
        <f t="shared" si="4"/>
        <v>24403877.248037979</v>
      </c>
      <c r="S28" s="24">
        <f t="shared" ca="1" si="5"/>
        <v>7.7675118997971596E-2</v>
      </c>
    </row>
    <row r="29" spans="1:19">
      <c r="A29" s="26">
        <f>'Monthly Data'!A29</f>
        <v>40634</v>
      </c>
      <c r="B29">
        <f t="shared" si="1"/>
        <v>2011</v>
      </c>
      <c r="C29">
        <f ca="1">'Monthly Data'!AE29</f>
        <v>25022567.66299478</v>
      </c>
      <c r="D29">
        <f>'Monthly Data'!BI29</f>
        <v>0.5</v>
      </c>
      <c r="E29" s="124">
        <f>'Monthly Data'!BJ29</f>
        <v>6635.5</v>
      </c>
      <c r="F29">
        <f>'Monthly Data'!BM29</f>
        <v>28</v>
      </c>
      <c r="G29">
        <f>'Monthly Data'!BT29</f>
        <v>0</v>
      </c>
      <c r="H29" s="127">
        <f>'Monthly Data'!BY29</f>
        <v>0</v>
      </c>
      <c r="I29">
        <f>'Monthly Data'!CC29</f>
        <v>30</v>
      </c>
      <c r="K29">
        <f>'Large Use OLS Model'!$B$5</f>
        <v>-19707994.0131674</v>
      </c>
      <c r="L29" s="186">
        <f>'Large Use OLS Model'!$B$6*D29</f>
        <v>13213.079598413</v>
      </c>
      <c r="M29" s="186">
        <f>'Large Use OLS Model'!$B$7*E29</f>
        <v>22757931.403356671</v>
      </c>
      <c r="N29" s="186">
        <v>0</v>
      </c>
      <c r="O29" s="186">
        <f>'Large Use OLS Model'!$B$8*G29</f>
        <v>0</v>
      </c>
      <c r="P29" s="186">
        <f>'Large Use OLS Model'!$B$9*H29</f>
        <v>0</v>
      </c>
      <c r="Q29" s="186">
        <f>'Large Use OLS Model'!$B$10*I29</f>
        <v>20688004.791447509</v>
      </c>
      <c r="R29">
        <f t="shared" si="4"/>
        <v>23751155.261235192</v>
      </c>
      <c r="S29" s="24">
        <f t="shared" ca="1" si="5"/>
        <v>5.0810628984324646E-2</v>
      </c>
    </row>
    <row r="30" spans="1:19">
      <c r="A30" s="26">
        <f>'Monthly Data'!A30</f>
        <v>40664</v>
      </c>
      <c r="B30">
        <f t="shared" si="1"/>
        <v>2011</v>
      </c>
      <c r="C30">
        <f ca="1">'Monthly Data'!AE30</f>
        <v>26704085.36537778</v>
      </c>
      <c r="D30">
        <f>'Monthly Data'!BI30</f>
        <v>37.200000000000003</v>
      </c>
      <c r="E30" s="124">
        <f>'Monthly Data'!BJ30</f>
        <v>6645.8</v>
      </c>
      <c r="F30">
        <f>'Monthly Data'!BM30</f>
        <v>29</v>
      </c>
      <c r="G30">
        <f>'Monthly Data'!BT30</f>
        <v>0</v>
      </c>
      <c r="H30" s="127">
        <f>'Monthly Data'!BY30</f>
        <v>0</v>
      </c>
      <c r="I30">
        <f>'Monthly Data'!CC30</f>
        <v>31</v>
      </c>
      <c r="K30">
        <f>'Large Use OLS Model'!$B$5</f>
        <v>-19707994.0131674</v>
      </c>
      <c r="L30" s="186">
        <f>'Large Use OLS Model'!$B$6*D30</f>
        <v>983053.12212192733</v>
      </c>
      <c r="M30" s="186">
        <f>'Large Use OLS Model'!$B$7*E30</f>
        <v>22793257.557143811</v>
      </c>
      <c r="N30" s="186">
        <v>0</v>
      </c>
      <c r="O30" s="186">
        <f>'Large Use OLS Model'!$B$8*G30</f>
        <v>0</v>
      </c>
      <c r="P30" s="186">
        <f>'Large Use OLS Model'!$B$9*H30</f>
        <v>0</v>
      </c>
      <c r="Q30" s="186">
        <f>'Large Use OLS Model'!$B$10*I30</f>
        <v>21377604.951162424</v>
      </c>
      <c r="R30">
        <f t="shared" si="4"/>
        <v>25445921.617260762</v>
      </c>
      <c r="S30" s="24">
        <f t="shared" ca="1" si="5"/>
        <v>4.7115028689514504E-2</v>
      </c>
    </row>
    <row r="31" spans="1:19">
      <c r="A31" s="26">
        <f>'Monthly Data'!A31</f>
        <v>40695</v>
      </c>
      <c r="B31">
        <f t="shared" si="1"/>
        <v>2011</v>
      </c>
      <c r="C31">
        <f ca="1">'Monthly Data'!AE31</f>
        <v>28111785.629975785</v>
      </c>
      <c r="D31">
        <f>'Monthly Data'!BI31</f>
        <v>115.89999999999998</v>
      </c>
      <c r="E31" s="124">
        <f>'Monthly Data'!BJ31</f>
        <v>6662</v>
      </c>
      <c r="F31">
        <f>'Monthly Data'!BM31</f>
        <v>30</v>
      </c>
      <c r="G31">
        <f>'Monthly Data'!BT31</f>
        <v>0</v>
      </c>
      <c r="H31" s="127">
        <f>'Monthly Data'!BY31</f>
        <v>0</v>
      </c>
      <c r="I31">
        <f>'Monthly Data'!CC31</f>
        <v>30</v>
      </c>
      <c r="K31">
        <f>'Large Use OLS Model'!$B$5</f>
        <v>-19707994.0131674</v>
      </c>
      <c r="L31" s="186">
        <f>'Large Use OLS Model'!$B$6*D31</f>
        <v>3062791.8509121328</v>
      </c>
      <c r="M31" s="186">
        <f>'Large Use OLS Model'!$B$7*E31</f>
        <v>22848819.080576014</v>
      </c>
      <c r="N31" s="186">
        <v>0</v>
      </c>
      <c r="O31" s="186">
        <f>'Large Use OLS Model'!$B$8*G31</f>
        <v>0</v>
      </c>
      <c r="P31" s="186">
        <f>'Large Use OLS Model'!$B$9*H31</f>
        <v>0</v>
      </c>
      <c r="Q31" s="186">
        <f>'Large Use OLS Model'!$B$10*I31</f>
        <v>20688004.791447509</v>
      </c>
      <c r="R31">
        <f t="shared" si="4"/>
        <v>26891621.709768258</v>
      </c>
      <c r="S31" s="24">
        <f t="shared" ca="1" si="5"/>
        <v>4.3403999172021916E-2</v>
      </c>
    </row>
    <row r="32" spans="1:19">
      <c r="A32" s="26">
        <f>'Monthly Data'!A32</f>
        <v>40725</v>
      </c>
      <c r="B32">
        <f t="shared" si="1"/>
        <v>2011</v>
      </c>
      <c r="C32">
        <f ca="1">'Monthly Data'!AE32</f>
        <v>30190116.641824778</v>
      </c>
      <c r="D32">
        <f>'Monthly Data'!BI32</f>
        <v>255.50000000000006</v>
      </c>
      <c r="E32" s="124">
        <f>'Monthly Data'!BJ32</f>
        <v>6665.8</v>
      </c>
      <c r="F32">
        <f>'Monthly Data'!BM32</f>
        <v>31</v>
      </c>
      <c r="G32">
        <f>'Monthly Data'!BT32</f>
        <v>1</v>
      </c>
      <c r="H32" s="127">
        <f>'Monthly Data'!BY32</f>
        <v>0</v>
      </c>
      <c r="I32">
        <f>'Monthly Data'!CC32</f>
        <v>31</v>
      </c>
      <c r="K32">
        <f>'Large Use OLS Model'!$B$5</f>
        <v>-19707994.0131674</v>
      </c>
      <c r="L32" s="186">
        <f>'Large Use OLS Model'!$B$6*D32</f>
        <v>6751883.6747890441</v>
      </c>
      <c r="M32" s="186">
        <f>'Large Use OLS Model'!$B$7*E32</f>
        <v>22861852.0305169</v>
      </c>
      <c r="N32" s="186">
        <v>0</v>
      </c>
      <c r="O32" s="186">
        <f>'Large Use OLS Model'!$B$8*G32</f>
        <v>-1563237.6990636101</v>
      </c>
      <c r="P32" s="186">
        <f>'Large Use OLS Model'!$B$9*H32</f>
        <v>0</v>
      </c>
      <c r="Q32" s="186">
        <f>'Large Use OLS Model'!$B$10*I32</f>
        <v>21377604.951162424</v>
      </c>
      <c r="R32">
        <f t="shared" si="4"/>
        <v>29720108.944237359</v>
      </c>
      <c r="S32" s="24">
        <f t="shared" ca="1" si="5"/>
        <v>1.5568263719003991E-2</v>
      </c>
    </row>
    <row r="33" spans="1:19">
      <c r="A33" s="26">
        <f>'Monthly Data'!A33</f>
        <v>40756</v>
      </c>
      <c r="B33">
        <f t="shared" si="1"/>
        <v>2011</v>
      </c>
      <c r="C33">
        <f ca="1">'Monthly Data'!AE33</f>
        <v>30861622.659266785</v>
      </c>
      <c r="D33">
        <f>'Monthly Data'!BI33</f>
        <v>159.50000000000003</v>
      </c>
      <c r="E33" s="124">
        <f>'Monthly Data'!BJ33</f>
        <v>6677.5</v>
      </c>
      <c r="F33">
        <f>'Monthly Data'!BM33</f>
        <v>32</v>
      </c>
      <c r="G33">
        <f>'Monthly Data'!BT33</f>
        <v>0</v>
      </c>
      <c r="H33" s="127">
        <f>'Monthly Data'!BY33</f>
        <v>0</v>
      </c>
      <c r="I33">
        <f>'Monthly Data'!CC33</f>
        <v>31</v>
      </c>
      <c r="K33">
        <f>'Large Use OLS Model'!$B$5</f>
        <v>-19707994.0131674</v>
      </c>
      <c r="L33" s="186">
        <f>'Large Use OLS Model'!$B$6*D33</f>
        <v>4214972.3918937482</v>
      </c>
      <c r="M33" s="186">
        <f>'Large Use OLS Model'!$B$7*E33</f>
        <v>22901979.797440156</v>
      </c>
      <c r="N33" s="186">
        <v>0</v>
      </c>
      <c r="O33" s="186">
        <f>'Large Use OLS Model'!$B$8*G33</f>
        <v>0</v>
      </c>
      <c r="P33" s="186">
        <f>'Large Use OLS Model'!$B$9*H33</f>
        <v>0</v>
      </c>
      <c r="Q33" s="186">
        <f>'Large Use OLS Model'!$B$10*I33</f>
        <v>21377604.951162424</v>
      </c>
      <c r="R33">
        <f t="shared" si="4"/>
        <v>28786563.127328929</v>
      </c>
      <c r="S33" s="24">
        <f t="shared" ca="1" si="5"/>
        <v>6.7237538182872592E-2</v>
      </c>
    </row>
    <row r="34" spans="1:19">
      <c r="A34" s="26">
        <f>'Monthly Data'!A34</f>
        <v>40787</v>
      </c>
      <c r="B34">
        <f t="shared" si="1"/>
        <v>2011</v>
      </c>
      <c r="C34">
        <f ca="1">'Monthly Data'!AE34</f>
        <v>28060858.582085781</v>
      </c>
      <c r="D34">
        <f>'Monthly Data'!BI34</f>
        <v>60.199999999999989</v>
      </c>
      <c r="E34" s="124">
        <f>'Monthly Data'!BJ34</f>
        <v>6674.4</v>
      </c>
      <c r="F34">
        <f>'Monthly Data'!BM34</f>
        <v>33</v>
      </c>
      <c r="G34">
        <f>'Monthly Data'!BT34</f>
        <v>0</v>
      </c>
      <c r="H34" s="127">
        <f>'Monthly Data'!BY34</f>
        <v>0</v>
      </c>
      <c r="I34">
        <f>'Monthly Data'!CC34</f>
        <v>30</v>
      </c>
      <c r="K34">
        <f>'Large Use OLS Model'!$B$5</f>
        <v>-19707994.0131674</v>
      </c>
      <c r="L34" s="186">
        <f>'Large Use OLS Model'!$B$6*D34</f>
        <v>1590854.7836489249</v>
      </c>
      <c r="M34" s="186">
        <f>'Large Use OLS Model'!$B$7*E34</f>
        <v>22891347.654067326</v>
      </c>
      <c r="N34" s="186">
        <v>0</v>
      </c>
      <c r="O34" s="186">
        <f>'Large Use OLS Model'!$B$8*G34</f>
        <v>0</v>
      </c>
      <c r="P34" s="186">
        <f>'Large Use OLS Model'!$B$9*H34</f>
        <v>0</v>
      </c>
      <c r="Q34" s="186">
        <f>'Large Use OLS Model'!$B$10*I34</f>
        <v>20688004.791447509</v>
      </c>
      <c r="R34">
        <f t="shared" si="4"/>
        <v>25462213.215996362</v>
      </c>
      <c r="S34" s="24">
        <f t="shared" ca="1" si="5"/>
        <v>9.2607478794266451E-2</v>
      </c>
    </row>
    <row r="35" spans="1:19">
      <c r="A35" s="26">
        <f>'Monthly Data'!A35</f>
        <v>40817</v>
      </c>
      <c r="B35">
        <f t="shared" si="1"/>
        <v>2011</v>
      </c>
      <c r="C35">
        <f ca="1">'Monthly Data'!AE35</f>
        <v>27577133.736433782</v>
      </c>
      <c r="D35">
        <f>'Monthly Data'!BI35</f>
        <v>2.6999999999999997</v>
      </c>
      <c r="E35" s="124">
        <f>'Monthly Data'!BJ35</f>
        <v>6668.1</v>
      </c>
      <c r="F35">
        <f>'Monthly Data'!BM35</f>
        <v>34</v>
      </c>
      <c r="G35">
        <f>'Monthly Data'!BT35</f>
        <v>0</v>
      </c>
      <c r="H35" s="127">
        <f>'Monthly Data'!BY35</f>
        <v>0</v>
      </c>
      <c r="I35">
        <f>'Monthly Data'!CC35</f>
        <v>31</v>
      </c>
      <c r="K35">
        <f>'Large Use OLS Model'!$B$5</f>
        <v>-19707994.0131674</v>
      </c>
      <c r="L35" s="186">
        <f>'Large Use OLS Model'!$B$6*D35</f>
        <v>71350.629831430197</v>
      </c>
      <c r="M35" s="186">
        <f>'Large Use OLS Model'!$B$7*E35</f>
        <v>22869740.394954808</v>
      </c>
      <c r="N35" s="186">
        <v>0</v>
      </c>
      <c r="O35" s="186">
        <f>'Large Use OLS Model'!$B$8*G35</f>
        <v>0</v>
      </c>
      <c r="P35" s="186">
        <f>'Large Use OLS Model'!$B$9*H35</f>
        <v>0</v>
      </c>
      <c r="Q35" s="186">
        <f>'Large Use OLS Model'!$B$10*I35</f>
        <v>21377604.951162424</v>
      </c>
      <c r="R35">
        <f t="shared" si="4"/>
        <v>24610701.962781262</v>
      </c>
      <c r="S35" s="24">
        <f t="shared" ca="1" si="5"/>
        <v>0.10756853130582572</v>
      </c>
    </row>
    <row r="36" spans="1:19">
      <c r="A36" s="26">
        <f>'Monthly Data'!A36</f>
        <v>40848</v>
      </c>
      <c r="B36">
        <f t="shared" si="1"/>
        <v>2011</v>
      </c>
      <c r="C36">
        <f ca="1">'Monthly Data'!AE36</f>
        <v>25509610.906105783</v>
      </c>
      <c r="D36">
        <f>'Monthly Data'!BI36</f>
        <v>0</v>
      </c>
      <c r="E36" s="124">
        <f>'Monthly Data'!BJ36</f>
        <v>6662.8</v>
      </c>
      <c r="F36">
        <f>'Monthly Data'!BM36</f>
        <v>35</v>
      </c>
      <c r="G36">
        <f>'Monthly Data'!BT36</f>
        <v>0</v>
      </c>
      <c r="H36" s="127">
        <f>'Monthly Data'!BY36</f>
        <v>0</v>
      </c>
      <c r="I36">
        <f>'Monthly Data'!CC36</f>
        <v>30</v>
      </c>
      <c r="K36">
        <f>'Large Use OLS Model'!$B$5</f>
        <v>-19707994.0131674</v>
      </c>
      <c r="L36" s="186">
        <f>'Large Use OLS Model'!$B$6*D36</f>
        <v>0</v>
      </c>
      <c r="M36" s="186">
        <f>'Large Use OLS Model'!$B$7*E36</f>
        <v>22851562.85951094</v>
      </c>
      <c r="N36" s="186">
        <v>0</v>
      </c>
      <c r="O36" s="186">
        <f>'Large Use OLS Model'!$B$8*G36</f>
        <v>0</v>
      </c>
      <c r="P36" s="186">
        <f>'Large Use OLS Model'!$B$9*H36</f>
        <v>0</v>
      </c>
      <c r="Q36" s="186">
        <f>'Large Use OLS Model'!$B$10*I36</f>
        <v>20688004.791447509</v>
      </c>
      <c r="R36">
        <f t="shared" si="4"/>
        <v>23831573.637791049</v>
      </c>
      <c r="S36" s="24">
        <f t="shared" ca="1" si="5"/>
        <v>6.5780590479845066E-2</v>
      </c>
    </row>
    <row r="37" spans="1:19">
      <c r="A37" s="26">
        <f>'Monthly Data'!A37</f>
        <v>40878</v>
      </c>
      <c r="B37">
        <f t="shared" si="1"/>
        <v>2011</v>
      </c>
      <c r="C37">
        <f ca="1">'Monthly Data'!AE37</f>
        <v>24520015.174318783</v>
      </c>
      <c r="D37">
        <f>'Monthly Data'!BI37</f>
        <v>0</v>
      </c>
      <c r="E37" s="124">
        <f>'Monthly Data'!BJ37</f>
        <v>6667.5</v>
      </c>
      <c r="F37">
        <f>'Monthly Data'!BM37</f>
        <v>36</v>
      </c>
      <c r="G37">
        <f>'Monthly Data'!BT37</f>
        <v>0</v>
      </c>
      <c r="H37" s="127">
        <f>'Monthly Data'!BY37</f>
        <v>1</v>
      </c>
      <c r="I37">
        <f>'Monthly Data'!CC37</f>
        <v>31</v>
      </c>
      <c r="K37">
        <f>'Large Use OLS Model'!$B$5</f>
        <v>-19707994.0131674</v>
      </c>
      <c r="L37" s="186">
        <f>'Large Use OLS Model'!$B$6*D37</f>
        <v>0</v>
      </c>
      <c r="M37" s="186">
        <f>'Large Use OLS Model'!$B$7*E37</f>
        <v>22867682.560753614</v>
      </c>
      <c r="N37" s="186">
        <v>0</v>
      </c>
      <c r="O37" s="186">
        <f>'Large Use OLS Model'!$B$8*G37</f>
        <v>0</v>
      </c>
      <c r="P37" s="186">
        <f>'Large Use OLS Model'!$B$9*H37</f>
        <v>-2219022.2541699898</v>
      </c>
      <c r="Q37" s="186">
        <f>'Large Use OLS Model'!$B$10*I37</f>
        <v>21377604.951162424</v>
      </c>
      <c r="R37">
        <f t="shared" si="4"/>
        <v>22318271.244578648</v>
      </c>
      <c r="S37" s="24">
        <f t="shared" ca="1" si="5"/>
        <v>8.9793742544097083E-2</v>
      </c>
    </row>
    <row r="38" spans="1:19">
      <c r="A38" s="26">
        <f>'Monthly Data'!A38</f>
        <v>40909</v>
      </c>
      <c r="B38">
        <f t="shared" si="1"/>
        <v>2012</v>
      </c>
      <c r="C38">
        <f ca="1">'Monthly Data'!AE38</f>
        <v>24619746.910415377</v>
      </c>
      <c r="D38">
        <f>'Monthly Data'!BI38</f>
        <v>0</v>
      </c>
      <c r="E38" s="124">
        <f>'Monthly Data'!BJ38</f>
        <v>6673.6</v>
      </c>
      <c r="F38">
        <f>'Monthly Data'!BM38</f>
        <v>37</v>
      </c>
      <c r="G38">
        <f>'Monthly Data'!BT38</f>
        <v>0</v>
      </c>
      <c r="H38" s="127">
        <f>'Monthly Data'!BY38</f>
        <v>0</v>
      </c>
      <c r="I38">
        <f>'Monthly Data'!CC38</f>
        <v>31</v>
      </c>
      <c r="K38">
        <f>'Large Use OLS Model'!$B$5</f>
        <v>-19707994.0131674</v>
      </c>
      <c r="L38" s="186">
        <f>'Large Use OLS Model'!$B$6*D38</f>
        <v>0</v>
      </c>
      <c r="M38" s="186">
        <f>'Large Use OLS Model'!$B$7*E38</f>
        <v>22888603.875132408</v>
      </c>
      <c r="N38" s="186">
        <v>0</v>
      </c>
      <c r="O38" s="186">
        <f>'Large Use OLS Model'!$B$8*G38</f>
        <v>0</v>
      </c>
      <c r="P38" s="186">
        <f>'Large Use OLS Model'!$B$9*H38</f>
        <v>0</v>
      </c>
      <c r="Q38" s="186">
        <f>'Large Use OLS Model'!$B$10*I38</f>
        <v>21377604.951162424</v>
      </c>
      <c r="R38">
        <f t="shared" si="4"/>
        <v>24558214.813127432</v>
      </c>
      <c r="S38" s="24">
        <f t="shared" ca="1" si="5"/>
        <v>2.4992985310468125E-3</v>
      </c>
    </row>
    <row r="39" spans="1:19">
      <c r="A39" s="26">
        <f>'Monthly Data'!A39</f>
        <v>40940</v>
      </c>
      <c r="B39">
        <f t="shared" si="1"/>
        <v>2012</v>
      </c>
      <c r="C39">
        <f ca="1">'Monthly Data'!AE39</f>
        <v>23358346.485932376</v>
      </c>
      <c r="D39">
        <f>'Monthly Data'!BI39</f>
        <v>0</v>
      </c>
      <c r="E39" s="124">
        <f>'Monthly Data'!BJ39</f>
        <v>6670.7</v>
      </c>
      <c r="F39">
        <f>'Monthly Data'!BM39</f>
        <v>38</v>
      </c>
      <c r="G39">
        <f>'Monthly Data'!BT39</f>
        <v>0</v>
      </c>
      <c r="H39" s="127">
        <f>'Monthly Data'!BY39</f>
        <v>0</v>
      </c>
      <c r="I39">
        <f>'Monthly Data'!CC39</f>
        <v>29</v>
      </c>
      <c r="K39">
        <f>'Large Use OLS Model'!$B$5</f>
        <v>-19707994.0131674</v>
      </c>
      <c r="L39" s="186">
        <f>'Large Use OLS Model'!$B$6*D39</f>
        <v>0</v>
      </c>
      <c r="M39" s="186">
        <f>'Large Use OLS Model'!$B$7*E39</f>
        <v>22878657.676493306</v>
      </c>
      <c r="N39" s="186">
        <v>0</v>
      </c>
      <c r="O39" s="186">
        <f>'Large Use OLS Model'!$B$8*G39</f>
        <v>0</v>
      </c>
      <c r="P39" s="186">
        <f>'Large Use OLS Model'!$B$9*H39</f>
        <v>0</v>
      </c>
      <c r="Q39" s="186">
        <f>'Large Use OLS Model'!$B$10*I39</f>
        <v>19998404.63173259</v>
      </c>
      <c r="R39">
        <f t="shared" si="4"/>
        <v>23169068.295058496</v>
      </c>
      <c r="S39" s="24">
        <f t="shared" ca="1" si="5"/>
        <v>8.1032358599472439E-3</v>
      </c>
    </row>
    <row r="40" spans="1:19">
      <c r="A40" s="26">
        <f>'Monthly Data'!A40</f>
        <v>40969</v>
      </c>
      <c r="B40">
        <f t="shared" si="1"/>
        <v>2012</v>
      </c>
      <c r="C40">
        <f ca="1">'Monthly Data'!AE40</f>
        <v>25697582.403648376</v>
      </c>
      <c r="D40">
        <f>'Monthly Data'!BI40</f>
        <v>4.8</v>
      </c>
      <c r="E40" s="124">
        <f>'Monthly Data'!BJ40</f>
        <v>6674</v>
      </c>
      <c r="F40">
        <f>'Monthly Data'!BM40</f>
        <v>39</v>
      </c>
      <c r="G40">
        <f>'Monthly Data'!BT40</f>
        <v>0</v>
      </c>
      <c r="H40" s="127">
        <f>'Monthly Data'!BY40</f>
        <v>0</v>
      </c>
      <c r="I40">
        <f>'Monthly Data'!CC40</f>
        <v>31</v>
      </c>
      <c r="K40">
        <f>'Large Use OLS Model'!$B$5</f>
        <v>-19707994.0131674</v>
      </c>
      <c r="L40" s="186">
        <f>'Large Use OLS Model'!$B$6*D40</f>
        <v>126845.56414476479</v>
      </c>
      <c r="M40" s="186">
        <f>'Large Use OLS Model'!$B$7*E40</f>
        <v>22889975.764599867</v>
      </c>
      <c r="N40" s="186">
        <v>0</v>
      </c>
      <c r="O40" s="186">
        <f>'Large Use OLS Model'!$B$8*G40</f>
        <v>0</v>
      </c>
      <c r="P40" s="186">
        <f>'Large Use OLS Model'!$B$9*H40</f>
        <v>0</v>
      </c>
      <c r="Q40" s="186">
        <f>'Large Use OLS Model'!$B$10*I40</f>
        <v>21377604.951162424</v>
      </c>
      <c r="R40">
        <f t="shared" si="4"/>
        <v>24686432.266739655</v>
      </c>
      <c r="S40" s="24">
        <f t="shared" ca="1" si="5"/>
        <v>3.9348064772239608E-2</v>
      </c>
    </row>
    <row r="41" spans="1:19">
      <c r="A41" s="26">
        <f>'Monthly Data'!A41</f>
        <v>41000</v>
      </c>
      <c r="B41">
        <f t="shared" si="1"/>
        <v>2012</v>
      </c>
      <c r="C41">
        <f ca="1">'Monthly Data'!AE41</f>
        <v>22724090.569431376</v>
      </c>
      <c r="D41">
        <f>'Monthly Data'!BI41</f>
        <v>4.3</v>
      </c>
      <c r="E41" s="124">
        <f>'Monthly Data'!BJ41</f>
        <v>6685.8</v>
      </c>
      <c r="F41">
        <f>'Monthly Data'!BM41</f>
        <v>40</v>
      </c>
      <c r="G41">
        <f>'Monthly Data'!BT41</f>
        <v>0</v>
      </c>
      <c r="H41" s="127">
        <f>'Monthly Data'!BY41</f>
        <v>0</v>
      </c>
      <c r="I41">
        <f>'Monthly Data'!CC41</f>
        <v>30</v>
      </c>
      <c r="K41">
        <f>'Large Use OLS Model'!$B$5</f>
        <v>-19707994.0131674</v>
      </c>
      <c r="L41" s="186">
        <f>'Large Use OLS Model'!$B$6*D41</f>
        <v>113632.4845463518</v>
      </c>
      <c r="M41" s="186">
        <f>'Large Use OLS Model'!$B$7*E41</f>
        <v>22930446.503889989</v>
      </c>
      <c r="N41" s="186">
        <v>0</v>
      </c>
      <c r="O41" s="186">
        <f>'Large Use OLS Model'!$B$8*G41</f>
        <v>0</v>
      </c>
      <c r="P41" s="186">
        <f>'Large Use OLS Model'!$B$9*H41</f>
        <v>0</v>
      </c>
      <c r="Q41" s="186">
        <f>'Large Use OLS Model'!$B$10*I41</f>
        <v>20688004.791447509</v>
      </c>
      <c r="R41">
        <f t="shared" si="4"/>
        <v>24024089.76671645</v>
      </c>
      <c r="S41" s="24">
        <f t="shared" ca="1" si="5"/>
        <v>5.7207974651968863E-2</v>
      </c>
    </row>
    <row r="42" spans="1:19">
      <c r="A42" s="26">
        <f>'Monthly Data'!A42</f>
        <v>41030</v>
      </c>
      <c r="B42">
        <f t="shared" si="1"/>
        <v>2012</v>
      </c>
      <c r="C42">
        <f ca="1">'Monthly Data'!AE42</f>
        <v>26147718.708103377</v>
      </c>
      <c r="D42">
        <f>'Monthly Data'!BI42</f>
        <v>59.3</v>
      </c>
      <c r="E42" s="124">
        <f>'Monthly Data'!BJ42</f>
        <v>6690.1</v>
      </c>
      <c r="F42">
        <f>'Monthly Data'!BM42</f>
        <v>41</v>
      </c>
      <c r="G42">
        <f>'Monthly Data'!BT42</f>
        <v>0</v>
      </c>
      <c r="H42" s="127">
        <f>'Monthly Data'!BY42</f>
        <v>0</v>
      </c>
      <c r="I42">
        <f>'Monthly Data'!CC42</f>
        <v>31</v>
      </c>
      <c r="K42">
        <f>'Large Use OLS Model'!$B$5</f>
        <v>-19707994.0131674</v>
      </c>
      <c r="L42" s="186">
        <f>'Large Use OLS Model'!$B$6*D42</f>
        <v>1567071.2403717816</v>
      </c>
      <c r="M42" s="186">
        <f>'Large Use OLS Model'!$B$7*E42</f>
        <v>22945194.315665204</v>
      </c>
      <c r="N42" s="186">
        <v>0</v>
      </c>
      <c r="O42" s="186">
        <f>'Large Use OLS Model'!$B$8*G42</f>
        <v>0</v>
      </c>
      <c r="P42" s="186">
        <f>'Large Use OLS Model'!$B$9*H42</f>
        <v>0</v>
      </c>
      <c r="Q42" s="186">
        <f>'Large Use OLS Model'!$B$10*I42</f>
        <v>21377604.951162424</v>
      </c>
      <c r="R42">
        <f t="shared" si="4"/>
        <v>26181876.49403201</v>
      </c>
      <c r="S42" s="24">
        <f t="shared" ca="1" si="5"/>
        <v>1.3063390466277009E-3</v>
      </c>
    </row>
    <row r="43" spans="1:19">
      <c r="A43" s="26">
        <f>'Monthly Data'!A43</f>
        <v>41061</v>
      </c>
      <c r="B43">
        <f t="shared" ref="B43:B97" si="6">YEAR(A43)</f>
        <v>2012</v>
      </c>
      <c r="C43">
        <f ca="1">'Monthly Data'!AE43</f>
        <v>27110911.66941338</v>
      </c>
      <c r="D43">
        <f>'Monthly Data'!BI43</f>
        <v>147.09999999999997</v>
      </c>
      <c r="E43" s="124">
        <f>'Monthly Data'!BJ43</f>
        <v>6693.3</v>
      </c>
      <c r="F43">
        <f>'Monthly Data'!BM43</f>
        <v>42</v>
      </c>
      <c r="G43">
        <f>'Monthly Data'!BT43</f>
        <v>0</v>
      </c>
      <c r="H43" s="127">
        <f>'Monthly Data'!BY43</f>
        <v>0</v>
      </c>
      <c r="I43">
        <f>'Monthly Data'!CC43</f>
        <v>30</v>
      </c>
      <c r="K43">
        <f>'Large Use OLS Model'!$B$5</f>
        <v>-19707994.0131674</v>
      </c>
      <c r="L43" s="186">
        <f>'Large Use OLS Model'!$B$6*D43</f>
        <v>3887288.0178531036</v>
      </c>
      <c r="M43" s="186">
        <f>'Large Use OLS Model'!$B$7*E43</f>
        <v>22956169.4314049</v>
      </c>
      <c r="N43" s="186">
        <v>0</v>
      </c>
      <c r="O43" s="186">
        <f>'Large Use OLS Model'!$B$8*G43</f>
        <v>0</v>
      </c>
      <c r="P43" s="186">
        <f>'Large Use OLS Model'!$B$9*H43</f>
        <v>0</v>
      </c>
      <c r="Q43" s="186">
        <f>'Large Use OLS Model'!$B$10*I43</f>
        <v>20688004.791447509</v>
      </c>
      <c r="R43">
        <f t="shared" si="4"/>
        <v>27823468.227538113</v>
      </c>
      <c r="S43" s="24">
        <f t="shared" ca="1" si="5"/>
        <v>2.6283017215117884E-2</v>
      </c>
    </row>
    <row r="44" spans="1:19">
      <c r="A44" s="26">
        <f>'Monthly Data'!A44</f>
        <v>41091</v>
      </c>
      <c r="B44">
        <f t="shared" si="6"/>
        <v>2012</v>
      </c>
      <c r="C44">
        <f ca="1">'Monthly Data'!AE44</f>
        <v>28651532.946666375</v>
      </c>
      <c r="D44">
        <f>'Monthly Data'!BI44</f>
        <v>235.50000000000009</v>
      </c>
      <c r="E44" s="124">
        <f>'Monthly Data'!BJ44</f>
        <v>6694.6</v>
      </c>
      <c r="F44">
        <f>'Monthly Data'!BM44</f>
        <v>43</v>
      </c>
      <c r="G44">
        <f>'Monthly Data'!BT44</f>
        <v>1</v>
      </c>
      <c r="H44" s="127">
        <f>'Monthly Data'!BY44</f>
        <v>0</v>
      </c>
      <c r="I44">
        <f>'Monthly Data'!CC44</f>
        <v>31</v>
      </c>
      <c r="K44">
        <f>'Large Use OLS Model'!$B$5</f>
        <v>-19707994.0131674</v>
      </c>
      <c r="L44" s="186">
        <f>'Large Use OLS Model'!$B$6*D44</f>
        <v>6223360.4908525255</v>
      </c>
      <c r="M44" s="186">
        <f>'Large Use OLS Model'!$B$7*E44</f>
        <v>22960628.07217415</v>
      </c>
      <c r="N44" s="186">
        <v>0</v>
      </c>
      <c r="O44" s="186">
        <f>'Large Use OLS Model'!$B$8*G44</f>
        <v>-1563237.6990636101</v>
      </c>
      <c r="P44" s="186">
        <f>'Large Use OLS Model'!$B$9*H44</f>
        <v>0</v>
      </c>
      <c r="Q44" s="186">
        <f>'Large Use OLS Model'!$B$10*I44</f>
        <v>21377604.951162424</v>
      </c>
      <c r="R44">
        <f t="shared" si="4"/>
        <v>29290361.801958092</v>
      </c>
      <c r="S44" s="24">
        <f t="shared" ca="1" si="5"/>
        <v>2.2296498287923017E-2</v>
      </c>
    </row>
    <row r="45" spans="1:19">
      <c r="A45" s="26">
        <f>'Monthly Data'!A45</f>
        <v>41122</v>
      </c>
      <c r="B45">
        <f t="shared" si="6"/>
        <v>2012</v>
      </c>
      <c r="C45">
        <f ca="1">'Monthly Data'!AE45</f>
        <v>29135996.964846376</v>
      </c>
      <c r="D45">
        <f>'Monthly Data'!BI45</f>
        <v>143.69999999999999</v>
      </c>
      <c r="E45" s="124">
        <f>'Monthly Data'!BJ45</f>
        <v>6703.3</v>
      </c>
      <c r="F45">
        <f>'Monthly Data'!BM45</f>
        <v>44</v>
      </c>
      <c r="G45">
        <f>'Monthly Data'!BT45</f>
        <v>0</v>
      </c>
      <c r="H45" s="127">
        <f>'Monthly Data'!BY45</f>
        <v>0</v>
      </c>
      <c r="I45">
        <f>'Monthly Data'!CC45</f>
        <v>31</v>
      </c>
      <c r="K45">
        <f>'Large Use OLS Model'!$B$5</f>
        <v>-19707994.0131674</v>
      </c>
      <c r="L45" s="186">
        <f>'Large Use OLS Model'!$B$6*D45</f>
        <v>3797439.0765838958</v>
      </c>
      <c r="M45" s="186">
        <f>'Large Use OLS Model'!$B$7*E45</f>
        <v>22990466.668091442</v>
      </c>
      <c r="N45" s="186">
        <v>0</v>
      </c>
      <c r="O45" s="186">
        <f>'Large Use OLS Model'!$B$8*G45</f>
        <v>0</v>
      </c>
      <c r="P45" s="186">
        <f>'Large Use OLS Model'!$B$9*H45</f>
        <v>0</v>
      </c>
      <c r="Q45" s="186">
        <f>'Large Use OLS Model'!$B$10*I45</f>
        <v>21377604.951162424</v>
      </c>
      <c r="R45">
        <f t="shared" si="4"/>
        <v>28457516.682670362</v>
      </c>
      <c r="S45" s="24">
        <f t="shared" ca="1" si="5"/>
        <v>2.3286667794296684E-2</v>
      </c>
    </row>
    <row r="46" spans="1:19">
      <c r="A46" s="26">
        <f>'Monthly Data'!A46</f>
        <v>41153</v>
      </c>
      <c r="B46">
        <f t="shared" si="6"/>
        <v>2012</v>
      </c>
      <c r="C46">
        <f ca="1">'Monthly Data'!AE46</f>
        <v>26827518.381083377</v>
      </c>
      <c r="D46">
        <f>'Monthly Data'!BI46</f>
        <v>50.29999999999999</v>
      </c>
      <c r="E46" s="124">
        <f>'Monthly Data'!BJ46</f>
        <v>6707.4</v>
      </c>
      <c r="F46">
        <f>'Monthly Data'!BM46</f>
        <v>45</v>
      </c>
      <c r="G46">
        <f>'Monthly Data'!BT46</f>
        <v>0</v>
      </c>
      <c r="H46" s="127">
        <f>'Monthly Data'!BY46</f>
        <v>0</v>
      </c>
      <c r="I46">
        <f>'Monthly Data'!CC46</f>
        <v>30</v>
      </c>
      <c r="K46">
        <f>'Large Use OLS Model'!$B$5</f>
        <v>-19707994.0131674</v>
      </c>
      <c r="L46" s="186">
        <f>'Large Use OLS Model'!$B$6*D46</f>
        <v>1329235.8076003476</v>
      </c>
      <c r="M46" s="186">
        <f>'Large Use OLS Model'!$B$7*E46</f>
        <v>23004528.535132926</v>
      </c>
      <c r="N46" s="186">
        <v>0</v>
      </c>
      <c r="O46" s="186">
        <f>'Large Use OLS Model'!$B$8*G46</f>
        <v>0</v>
      </c>
      <c r="P46" s="186">
        <f>'Large Use OLS Model'!$B$9*H46</f>
        <v>0</v>
      </c>
      <c r="Q46" s="186">
        <f>'Large Use OLS Model'!$B$10*I46</f>
        <v>20688004.791447509</v>
      </c>
      <c r="R46">
        <f t="shared" si="4"/>
        <v>25313775.121013384</v>
      </c>
      <c r="S46" s="24">
        <f t="shared" ca="1" si="5"/>
        <v>5.6425019957767067E-2</v>
      </c>
    </row>
    <row r="47" spans="1:19">
      <c r="A47" s="26">
        <f>'Monthly Data'!A47</f>
        <v>41183</v>
      </c>
      <c r="B47">
        <f t="shared" si="6"/>
        <v>2012</v>
      </c>
      <c r="C47">
        <f ca="1">'Monthly Data'!AE47</f>
        <v>26040528.23985038</v>
      </c>
      <c r="D47">
        <f>'Monthly Data'!BI47</f>
        <v>5.6</v>
      </c>
      <c r="E47" s="124">
        <f>'Monthly Data'!BJ47</f>
        <v>6710</v>
      </c>
      <c r="F47">
        <f>'Monthly Data'!BM47</f>
        <v>46</v>
      </c>
      <c r="G47">
        <f>'Monthly Data'!BT47</f>
        <v>0</v>
      </c>
      <c r="H47" s="127">
        <f>'Monthly Data'!BY47</f>
        <v>0</v>
      </c>
      <c r="I47">
        <f>'Monthly Data'!CC47</f>
        <v>31</v>
      </c>
      <c r="K47">
        <f>'Large Use OLS Model'!$B$5</f>
        <v>-19707994.0131674</v>
      </c>
      <c r="L47" s="186">
        <f>'Large Use OLS Model'!$B$6*D47</f>
        <v>147986.4915022256</v>
      </c>
      <c r="M47" s="186">
        <f>'Large Use OLS Model'!$B$7*E47</f>
        <v>23013445.816671427</v>
      </c>
      <c r="N47" s="186">
        <v>0</v>
      </c>
      <c r="O47" s="186">
        <f>'Large Use OLS Model'!$B$8*G47</f>
        <v>0</v>
      </c>
      <c r="P47" s="186">
        <f>'Large Use OLS Model'!$B$9*H47</f>
        <v>0</v>
      </c>
      <c r="Q47" s="186">
        <f>'Large Use OLS Model'!$B$10*I47</f>
        <v>21377604.951162424</v>
      </c>
      <c r="R47">
        <f t="shared" si="4"/>
        <v>24831043.246168677</v>
      </c>
      <c r="S47" s="24">
        <f t="shared" ca="1" si="5"/>
        <v>4.6446254182770451E-2</v>
      </c>
    </row>
    <row r="48" spans="1:19">
      <c r="A48" s="26">
        <f>'Monthly Data'!A48</f>
        <v>41214</v>
      </c>
      <c r="B48">
        <f t="shared" si="6"/>
        <v>2012</v>
      </c>
      <c r="C48">
        <f ca="1">'Monthly Data'!AE48</f>
        <v>24522347.921087377</v>
      </c>
      <c r="D48">
        <f>'Monthly Data'!BI48</f>
        <v>0</v>
      </c>
      <c r="E48" s="124">
        <f>'Monthly Data'!BJ48</f>
        <v>6722.4</v>
      </c>
      <c r="F48">
        <f>'Monthly Data'!BM48</f>
        <v>47</v>
      </c>
      <c r="G48">
        <f>'Monthly Data'!BT48</f>
        <v>0</v>
      </c>
      <c r="H48" s="127">
        <f>'Monthly Data'!BY48</f>
        <v>0</v>
      </c>
      <c r="I48">
        <f>'Monthly Data'!CC48</f>
        <v>30</v>
      </c>
      <c r="K48">
        <f>'Large Use OLS Model'!$B$5</f>
        <v>-19707994.0131674</v>
      </c>
      <c r="L48" s="186">
        <f>'Large Use OLS Model'!$B$6*D48</f>
        <v>0</v>
      </c>
      <c r="M48" s="186">
        <f>'Large Use OLS Model'!$B$7*E48</f>
        <v>23055974.390162744</v>
      </c>
      <c r="N48" s="186">
        <v>0</v>
      </c>
      <c r="O48" s="186">
        <f>'Large Use OLS Model'!$B$8*G48</f>
        <v>0</v>
      </c>
      <c r="P48" s="186">
        <f>'Large Use OLS Model'!$B$9*H48</f>
        <v>0</v>
      </c>
      <c r="Q48" s="186">
        <f>'Large Use OLS Model'!$B$10*I48</f>
        <v>20688004.791447509</v>
      </c>
      <c r="R48">
        <f t="shared" si="4"/>
        <v>24035985.168442853</v>
      </c>
      <c r="S48" s="24">
        <f t="shared" ca="1" si="5"/>
        <v>1.9833449643958789E-2</v>
      </c>
    </row>
    <row r="49" spans="1:19">
      <c r="A49" s="26">
        <f>'Monthly Data'!A49</f>
        <v>41244</v>
      </c>
      <c r="B49">
        <f t="shared" si="6"/>
        <v>2012</v>
      </c>
      <c r="C49">
        <f ca="1">'Monthly Data'!AE49</f>
        <v>22515876.246065378</v>
      </c>
      <c r="D49">
        <f>'Monthly Data'!BI49</f>
        <v>0</v>
      </c>
      <c r="E49" s="124">
        <f>'Monthly Data'!BJ49</f>
        <v>6740.6</v>
      </c>
      <c r="F49">
        <f>'Monthly Data'!BM49</f>
        <v>48</v>
      </c>
      <c r="G49">
        <f>'Monthly Data'!BT49</f>
        <v>0</v>
      </c>
      <c r="H49" s="127">
        <f>'Monthly Data'!BY49</f>
        <v>1</v>
      </c>
      <c r="I49">
        <f>'Monthly Data'!CC49</f>
        <v>31</v>
      </c>
      <c r="K49">
        <f>'Large Use OLS Model'!$B$5</f>
        <v>-19707994.0131674</v>
      </c>
      <c r="L49" s="186">
        <f>'Large Use OLS Model'!$B$6*D49</f>
        <v>0</v>
      </c>
      <c r="M49" s="186">
        <f>'Large Use OLS Model'!$B$7*E49</f>
        <v>23118395.360932257</v>
      </c>
      <c r="N49" s="186">
        <v>0</v>
      </c>
      <c r="O49" s="186">
        <f>'Large Use OLS Model'!$B$8*G49</f>
        <v>0</v>
      </c>
      <c r="P49" s="186">
        <f>'Large Use OLS Model'!$B$9*H49</f>
        <v>-2219022.2541699898</v>
      </c>
      <c r="Q49" s="186">
        <f>'Large Use OLS Model'!$B$10*I49</f>
        <v>21377604.951162424</v>
      </c>
      <c r="R49">
        <f t="shared" si="4"/>
        <v>22568984.044757292</v>
      </c>
      <c r="S49" s="24">
        <f t="shared" ca="1" si="5"/>
        <v>2.3586822965059604E-3</v>
      </c>
    </row>
    <row r="50" spans="1:19">
      <c r="A50" s="26">
        <f>'Monthly Data'!A50</f>
        <v>41275</v>
      </c>
      <c r="B50">
        <f t="shared" si="6"/>
        <v>2013</v>
      </c>
      <c r="C50">
        <f ca="1">'Monthly Data'!AE50</f>
        <v>23925452.935251616</v>
      </c>
      <c r="D50">
        <f>'Monthly Data'!BI50</f>
        <v>0</v>
      </c>
      <c r="E50" s="124">
        <f>'Monthly Data'!BJ50</f>
        <v>6758.8</v>
      </c>
      <c r="F50">
        <f>'Monthly Data'!BM50</f>
        <v>49</v>
      </c>
      <c r="G50">
        <f>'Monthly Data'!BT50</f>
        <v>0</v>
      </c>
      <c r="H50" s="127">
        <f>'Monthly Data'!BY50</f>
        <v>0</v>
      </c>
      <c r="I50">
        <f>'Monthly Data'!CC50</f>
        <v>31</v>
      </c>
      <c r="K50">
        <f>'Large Use OLS Model'!$B$5</f>
        <v>-19707994.0131674</v>
      </c>
      <c r="L50" s="186">
        <f>'Large Use OLS Model'!$B$6*D50</f>
        <v>0</v>
      </c>
      <c r="M50" s="186">
        <f>'Large Use OLS Model'!$B$7*E50</f>
        <v>23180816.331701767</v>
      </c>
      <c r="N50" s="186">
        <v>0</v>
      </c>
      <c r="O50" s="186">
        <f>'Large Use OLS Model'!$B$8*G50</f>
        <v>0</v>
      </c>
      <c r="P50" s="186">
        <f>'Large Use OLS Model'!$B$9*H50</f>
        <v>0</v>
      </c>
      <c r="Q50" s="186">
        <f>'Large Use OLS Model'!$B$10*I50</f>
        <v>21377604.951162424</v>
      </c>
      <c r="R50">
        <f t="shared" si="4"/>
        <v>24850427.269696791</v>
      </c>
      <c r="S50" s="24">
        <f t="shared" ca="1" si="5"/>
        <v>3.8660682284610934E-2</v>
      </c>
    </row>
    <row r="51" spans="1:19">
      <c r="A51" s="26">
        <f>'Monthly Data'!A51</f>
        <v>41306</v>
      </c>
      <c r="B51">
        <f t="shared" si="6"/>
        <v>2013</v>
      </c>
      <c r="C51">
        <f ca="1">'Monthly Data'!AE51</f>
        <v>22074898.569297619</v>
      </c>
      <c r="D51">
        <f>'Monthly Data'!BI51</f>
        <v>0</v>
      </c>
      <c r="E51" s="124">
        <f>'Monthly Data'!BJ51</f>
        <v>6775.5</v>
      </c>
      <c r="F51">
        <f>'Monthly Data'!BM51</f>
        <v>50</v>
      </c>
      <c r="G51">
        <f>'Monthly Data'!BT51</f>
        <v>0</v>
      </c>
      <c r="H51" s="127">
        <f>'Monthly Data'!BY51</f>
        <v>0</v>
      </c>
      <c r="I51">
        <f>'Monthly Data'!CC51</f>
        <v>28</v>
      </c>
      <c r="K51">
        <f>'Large Use OLS Model'!$B$5</f>
        <v>-19707994.0131674</v>
      </c>
      <c r="L51" s="186">
        <f>'Large Use OLS Model'!$B$6*D51</f>
        <v>0</v>
      </c>
      <c r="M51" s="186">
        <f>'Large Use OLS Model'!$B$7*E51</f>
        <v>23238092.716968294</v>
      </c>
      <c r="N51" s="186">
        <v>0</v>
      </c>
      <c r="O51" s="186">
        <f>'Large Use OLS Model'!$B$8*G51</f>
        <v>0</v>
      </c>
      <c r="P51" s="186">
        <f>'Large Use OLS Model'!$B$9*H51</f>
        <v>0</v>
      </c>
      <c r="Q51" s="186">
        <f>'Large Use OLS Model'!$B$10*I51</f>
        <v>19308804.472017676</v>
      </c>
      <c r="R51">
        <f t="shared" si="4"/>
        <v>22838903.17581857</v>
      </c>
      <c r="S51" s="24">
        <f t="shared" ca="1" si="5"/>
        <v>3.4609654224348266E-2</v>
      </c>
    </row>
    <row r="52" spans="1:19">
      <c r="A52" s="26">
        <f>'Monthly Data'!A52</f>
        <v>41334</v>
      </c>
      <c r="B52">
        <f t="shared" si="6"/>
        <v>2013</v>
      </c>
      <c r="C52">
        <f ca="1">'Monthly Data'!AE52</f>
        <v>25957172.465708617</v>
      </c>
      <c r="D52">
        <f>'Monthly Data'!BI52</f>
        <v>0</v>
      </c>
      <c r="E52" s="124">
        <f>'Monthly Data'!BJ52</f>
        <v>6781.1</v>
      </c>
      <c r="F52">
        <f>'Monthly Data'!BM52</f>
        <v>51</v>
      </c>
      <c r="G52">
        <f>'Monthly Data'!BT52</f>
        <v>0</v>
      </c>
      <c r="H52" s="127">
        <f>'Monthly Data'!BY52</f>
        <v>0</v>
      </c>
      <c r="I52">
        <f>'Monthly Data'!CC52</f>
        <v>31</v>
      </c>
      <c r="K52">
        <f>'Large Use OLS Model'!$B$5</f>
        <v>-19707994.0131674</v>
      </c>
      <c r="L52" s="186">
        <f>'Large Use OLS Model'!$B$6*D52</f>
        <v>0</v>
      </c>
      <c r="M52" s="186">
        <f>'Large Use OLS Model'!$B$7*E52</f>
        <v>23257299.16951276</v>
      </c>
      <c r="N52" s="186">
        <v>0</v>
      </c>
      <c r="O52" s="186">
        <f>'Large Use OLS Model'!$B$8*G52</f>
        <v>0</v>
      </c>
      <c r="P52" s="186">
        <f>'Large Use OLS Model'!$B$9*H52</f>
        <v>0</v>
      </c>
      <c r="Q52" s="186">
        <f>'Large Use OLS Model'!$B$10*I52</f>
        <v>21377604.951162424</v>
      </c>
      <c r="R52">
        <f t="shared" si="4"/>
        <v>24926910.107507784</v>
      </c>
      <c r="S52" s="24">
        <f t="shared" ca="1" si="5"/>
        <v>3.9690854601435788E-2</v>
      </c>
    </row>
    <row r="53" spans="1:19">
      <c r="A53" s="26">
        <f>'Monthly Data'!A53</f>
        <v>41365</v>
      </c>
      <c r="B53">
        <f t="shared" si="6"/>
        <v>2013</v>
      </c>
      <c r="C53">
        <f ca="1">'Monthly Data'!AE53</f>
        <v>25334732.869080614</v>
      </c>
      <c r="D53">
        <f>'Monthly Data'!BI53</f>
        <v>0</v>
      </c>
      <c r="E53" s="124">
        <f>'Monthly Data'!BJ53</f>
        <v>6788.9</v>
      </c>
      <c r="F53">
        <f>'Monthly Data'!BM53</f>
        <v>52</v>
      </c>
      <c r="G53">
        <f>'Monthly Data'!BT53</f>
        <v>0</v>
      </c>
      <c r="H53" s="127">
        <f>'Monthly Data'!BY53</f>
        <v>0</v>
      </c>
      <c r="I53">
        <f>'Monthly Data'!CC53</f>
        <v>30</v>
      </c>
      <c r="K53">
        <f>'Large Use OLS Model'!$B$5</f>
        <v>-19707994.0131674</v>
      </c>
      <c r="L53" s="186">
        <f>'Large Use OLS Model'!$B$6*D53</f>
        <v>0</v>
      </c>
      <c r="M53" s="186">
        <f>'Large Use OLS Model'!$B$7*E53</f>
        <v>23284051.014128264</v>
      </c>
      <c r="N53" s="186">
        <v>0</v>
      </c>
      <c r="O53" s="186">
        <f>'Large Use OLS Model'!$B$8*G53</f>
        <v>0</v>
      </c>
      <c r="P53" s="186">
        <f>'Large Use OLS Model'!$B$9*H53</f>
        <v>0</v>
      </c>
      <c r="Q53" s="186">
        <f>'Large Use OLS Model'!$B$10*I53</f>
        <v>20688004.791447509</v>
      </c>
      <c r="R53">
        <f t="shared" si="4"/>
        <v>24264061.792408373</v>
      </c>
      <c r="S53" s="24">
        <f t="shared" ca="1" si="5"/>
        <v>4.2260997272204323E-2</v>
      </c>
    </row>
    <row r="54" spans="1:19">
      <c r="A54" s="26">
        <f>'Monthly Data'!A54</f>
        <v>41395</v>
      </c>
      <c r="B54">
        <f t="shared" si="6"/>
        <v>2013</v>
      </c>
      <c r="C54">
        <f ca="1">'Monthly Data'!AE54</f>
        <v>26406281.115671616</v>
      </c>
      <c r="D54">
        <f>'Monthly Data'!BI54</f>
        <v>59.899999999999991</v>
      </c>
      <c r="E54" s="124">
        <f>'Monthly Data'!BJ54</f>
        <v>6801.1</v>
      </c>
      <c r="F54">
        <f>'Monthly Data'!BM54</f>
        <v>53</v>
      </c>
      <c r="G54">
        <f>'Monthly Data'!BT54</f>
        <v>0</v>
      </c>
      <c r="H54" s="127">
        <f>'Monthly Data'!BY54</f>
        <v>0</v>
      </c>
      <c r="I54">
        <f>'Monthly Data'!CC54</f>
        <v>31</v>
      </c>
      <c r="K54">
        <f>'Large Use OLS Model'!$B$5</f>
        <v>-19707994.0131674</v>
      </c>
      <c r="L54" s="186">
        <f>'Large Use OLS Model'!$B$6*D54</f>
        <v>1582926.9358898771</v>
      </c>
      <c r="M54" s="186">
        <f>'Large Use OLS Model'!$B$7*E54</f>
        <v>23325893.642885849</v>
      </c>
      <c r="N54" s="186">
        <v>0</v>
      </c>
      <c r="O54" s="186">
        <f>'Large Use OLS Model'!$B$8*G54</f>
        <v>0</v>
      </c>
      <c r="P54" s="186">
        <f>'Large Use OLS Model'!$B$9*H54</f>
        <v>0</v>
      </c>
      <c r="Q54" s="186">
        <f>'Large Use OLS Model'!$B$10*I54</f>
        <v>21377604.951162424</v>
      </c>
      <c r="R54">
        <f t="shared" ref="R54:R85" si="7">SUM(K54:Q54)</f>
        <v>26578431.51677075</v>
      </c>
      <c r="S54" s="24">
        <f t="shared" ref="S54:S85" ca="1" si="8">ABS(R54-C54)/C54</f>
        <v>6.5192974484001203E-3</v>
      </c>
    </row>
    <row r="55" spans="1:19">
      <c r="A55" s="26">
        <f>'Monthly Data'!A55</f>
        <v>41426</v>
      </c>
      <c r="B55">
        <f t="shared" si="6"/>
        <v>2013</v>
      </c>
      <c r="C55">
        <f ca="1">'Monthly Data'!AE55</f>
        <v>26304525.374992616</v>
      </c>
      <c r="D55">
        <f>'Monthly Data'!BI55</f>
        <v>103.49999999999999</v>
      </c>
      <c r="E55" s="124">
        <f>'Monthly Data'!BJ55</f>
        <v>6815.2</v>
      </c>
      <c r="F55">
        <f>'Monthly Data'!BM55</f>
        <v>54</v>
      </c>
      <c r="G55">
        <f>'Monthly Data'!BT55</f>
        <v>0</v>
      </c>
      <c r="H55" s="127">
        <f>'Monthly Data'!BY55</f>
        <v>0</v>
      </c>
      <c r="I55">
        <f>'Monthly Data'!CC55</f>
        <v>30</v>
      </c>
      <c r="K55">
        <f>'Large Use OLS Model'!$B$5</f>
        <v>-19707994.0131674</v>
      </c>
      <c r="L55" s="186">
        <f>'Large Use OLS Model'!$B$6*D55</f>
        <v>2735107.4768714905</v>
      </c>
      <c r="M55" s="186">
        <f>'Large Use OLS Model'!$B$7*E55</f>
        <v>23374252.746613875</v>
      </c>
      <c r="N55" s="186">
        <v>0</v>
      </c>
      <c r="O55" s="186">
        <f>'Large Use OLS Model'!$B$8*G55</f>
        <v>0</v>
      </c>
      <c r="P55" s="186">
        <f>'Large Use OLS Model'!$B$9*H55</f>
        <v>0</v>
      </c>
      <c r="Q55" s="186">
        <f>'Large Use OLS Model'!$B$10*I55</f>
        <v>20688004.791447509</v>
      </c>
      <c r="R55">
        <f t="shared" si="7"/>
        <v>27089371.001765475</v>
      </c>
      <c r="S55" s="24">
        <f t="shared" ca="1" si="8"/>
        <v>2.9836905079420332E-2</v>
      </c>
    </row>
    <row r="56" spans="1:19">
      <c r="A56" s="26">
        <f>'Monthly Data'!A56</f>
        <v>41456</v>
      </c>
      <c r="B56">
        <f t="shared" si="6"/>
        <v>2013</v>
      </c>
      <c r="C56">
        <f ca="1">'Monthly Data'!AE56</f>
        <v>25876608.308857616</v>
      </c>
      <c r="D56">
        <f>'Monthly Data'!BI56</f>
        <v>174.80000000000004</v>
      </c>
      <c r="E56" s="124">
        <f>'Monthly Data'!BJ56</f>
        <v>6826.2</v>
      </c>
      <c r="F56">
        <f>'Monthly Data'!BM56</f>
        <v>55</v>
      </c>
      <c r="G56">
        <f>'Monthly Data'!BT56</f>
        <v>1</v>
      </c>
      <c r="H56" s="127">
        <f>'Monthly Data'!BY56</f>
        <v>0</v>
      </c>
      <c r="I56">
        <f>'Monthly Data'!CC56</f>
        <v>31</v>
      </c>
      <c r="K56">
        <f>'Large Use OLS Model'!$B$5</f>
        <v>-19707994.0131674</v>
      </c>
      <c r="L56" s="186">
        <f>'Large Use OLS Model'!$B$6*D56</f>
        <v>4619292.6276051858</v>
      </c>
      <c r="M56" s="186">
        <f>'Large Use OLS Model'!$B$7*E56</f>
        <v>23411979.706969075</v>
      </c>
      <c r="N56" s="186">
        <v>0</v>
      </c>
      <c r="O56" s="186">
        <f>'Large Use OLS Model'!$B$8*G56</f>
        <v>-1563237.6990636101</v>
      </c>
      <c r="P56" s="186">
        <f>'Large Use OLS Model'!$B$9*H56</f>
        <v>0</v>
      </c>
      <c r="Q56" s="186">
        <f>'Large Use OLS Model'!$B$10*I56</f>
        <v>21377604.951162424</v>
      </c>
      <c r="R56">
        <f t="shared" si="7"/>
        <v>28137645.573505674</v>
      </c>
      <c r="S56" s="24">
        <f t="shared" ca="1" si="8"/>
        <v>8.7377651570901577E-2</v>
      </c>
    </row>
    <row r="57" spans="1:19">
      <c r="A57" s="26">
        <f>'Monthly Data'!A57</f>
        <v>41487</v>
      </c>
      <c r="B57">
        <f t="shared" si="6"/>
        <v>2013</v>
      </c>
      <c r="C57">
        <f ca="1">'Monthly Data'!AE57</f>
        <v>27134287.862933617</v>
      </c>
      <c r="D57">
        <f>'Monthly Data'!BI57</f>
        <v>134.29999999999998</v>
      </c>
      <c r="E57" s="124">
        <f>'Monthly Data'!BJ57</f>
        <v>6833.9</v>
      </c>
      <c r="F57">
        <f>'Monthly Data'!BM57</f>
        <v>56</v>
      </c>
      <c r="G57">
        <f>'Monthly Data'!BT57</f>
        <v>0</v>
      </c>
      <c r="H57" s="127">
        <f>'Monthly Data'!BY57</f>
        <v>0</v>
      </c>
      <c r="I57">
        <f>'Monthly Data'!CC57</f>
        <v>31</v>
      </c>
      <c r="K57">
        <f>'Large Use OLS Model'!$B$5</f>
        <v>-19707994.0131674</v>
      </c>
      <c r="L57" s="186">
        <f>'Large Use OLS Model'!$B$6*D57</f>
        <v>3549033.1801337316</v>
      </c>
      <c r="M57" s="186">
        <f>'Large Use OLS Model'!$B$7*E57</f>
        <v>23438388.579217713</v>
      </c>
      <c r="N57" s="186">
        <v>0</v>
      </c>
      <c r="O57" s="186">
        <f>'Large Use OLS Model'!$B$8*G57</f>
        <v>0</v>
      </c>
      <c r="P57" s="186">
        <f>'Large Use OLS Model'!$B$9*H57</f>
        <v>0</v>
      </c>
      <c r="Q57" s="186">
        <f>'Large Use OLS Model'!$B$10*I57</f>
        <v>21377604.951162424</v>
      </c>
      <c r="R57">
        <f t="shared" si="7"/>
        <v>28657032.697346471</v>
      </c>
      <c r="S57" s="24">
        <f t="shared" ca="1" si="8"/>
        <v>5.6118842775784682E-2</v>
      </c>
    </row>
    <row r="58" spans="1:19">
      <c r="A58" s="26">
        <f>'Monthly Data'!A58</f>
        <v>41518</v>
      </c>
      <c r="B58">
        <f t="shared" si="6"/>
        <v>2013</v>
      </c>
      <c r="C58">
        <f ca="1">'Monthly Data'!AE58</f>
        <v>24944209.616773617</v>
      </c>
      <c r="D58">
        <f>'Monthly Data'!BI58</f>
        <v>65.3</v>
      </c>
      <c r="E58" s="124">
        <f>'Monthly Data'!BJ58</f>
        <v>6843.3</v>
      </c>
      <c r="F58">
        <f>'Monthly Data'!BM58</f>
        <v>57</v>
      </c>
      <c r="G58">
        <f>'Monthly Data'!BT58</f>
        <v>0</v>
      </c>
      <c r="H58" s="127">
        <f>'Monthly Data'!BY58</f>
        <v>0</v>
      </c>
      <c r="I58">
        <f>'Monthly Data'!CC58</f>
        <v>30</v>
      </c>
      <c r="K58">
        <f>'Large Use OLS Model'!$B$5</f>
        <v>-19707994.0131674</v>
      </c>
      <c r="L58" s="186">
        <f>'Large Use OLS Model'!$B$6*D58</f>
        <v>1725628.1955527377</v>
      </c>
      <c r="M58" s="186">
        <f>'Large Use OLS Model'!$B$7*E58</f>
        <v>23470627.981703069</v>
      </c>
      <c r="N58" s="186">
        <v>0</v>
      </c>
      <c r="O58" s="186">
        <f>'Large Use OLS Model'!$B$8*G58</f>
        <v>0</v>
      </c>
      <c r="P58" s="186">
        <f>'Large Use OLS Model'!$B$9*H58</f>
        <v>0</v>
      </c>
      <c r="Q58" s="186">
        <f>'Large Use OLS Model'!$B$10*I58</f>
        <v>20688004.791447509</v>
      </c>
      <c r="R58">
        <f t="shared" si="7"/>
        <v>26176266.955535915</v>
      </c>
      <c r="S58" s="24">
        <f t="shared" ca="1" si="8"/>
        <v>4.939251865225696E-2</v>
      </c>
    </row>
    <row r="59" spans="1:19">
      <c r="A59" s="26">
        <f>'Monthly Data'!A59</f>
        <v>41548</v>
      </c>
      <c r="B59">
        <f t="shared" si="6"/>
        <v>2013</v>
      </c>
      <c r="C59">
        <f ca="1">'Monthly Data'!AE59</f>
        <v>25745628.725316614</v>
      </c>
      <c r="D59">
        <f>'Monthly Data'!BI59</f>
        <v>19.899999999999999</v>
      </c>
      <c r="E59" s="124">
        <f>'Monthly Data'!BJ59</f>
        <v>6850.3</v>
      </c>
      <c r="F59">
        <f>'Monthly Data'!BM59</f>
        <v>58</v>
      </c>
      <c r="G59">
        <f>'Monthly Data'!BT59</f>
        <v>0</v>
      </c>
      <c r="H59" s="127">
        <f>'Monthly Data'!BY59</f>
        <v>0</v>
      </c>
      <c r="I59">
        <f>'Monthly Data'!CC59</f>
        <v>31</v>
      </c>
      <c r="K59">
        <f>'Large Use OLS Model'!$B$5</f>
        <v>-19707994.0131674</v>
      </c>
      <c r="L59" s="186">
        <f>'Large Use OLS Model'!$B$6*D59</f>
        <v>525880.56801683735</v>
      </c>
      <c r="M59" s="186">
        <f>'Large Use OLS Model'!$B$7*E59</f>
        <v>23494636.047383651</v>
      </c>
      <c r="N59" s="186">
        <v>0</v>
      </c>
      <c r="O59" s="186">
        <f>'Large Use OLS Model'!$B$8*G59</f>
        <v>0</v>
      </c>
      <c r="P59" s="186">
        <f>'Large Use OLS Model'!$B$9*H59</f>
        <v>0</v>
      </c>
      <c r="Q59" s="186">
        <f>'Large Use OLS Model'!$B$10*I59</f>
        <v>21377604.951162424</v>
      </c>
      <c r="R59">
        <f t="shared" si="7"/>
        <v>25690127.553395513</v>
      </c>
      <c r="S59" s="24">
        <f t="shared" ca="1" si="8"/>
        <v>2.1557512738667028E-3</v>
      </c>
    </row>
    <row r="60" spans="1:19">
      <c r="A60" s="26">
        <f>'Monthly Data'!A60</f>
        <v>41579</v>
      </c>
      <c r="B60">
        <f t="shared" si="6"/>
        <v>2013</v>
      </c>
      <c r="C60">
        <f ca="1">'Monthly Data'!AE60</f>
        <v>24932264.781123616</v>
      </c>
      <c r="D60">
        <f>'Monthly Data'!BI60</f>
        <v>0</v>
      </c>
      <c r="E60" s="124">
        <f>'Monthly Data'!BJ60</f>
        <v>6854</v>
      </c>
      <c r="F60">
        <f>'Monthly Data'!BM60</f>
        <v>59</v>
      </c>
      <c r="G60">
        <f>'Monthly Data'!BT60</f>
        <v>0</v>
      </c>
      <c r="H60" s="127">
        <f>'Monthly Data'!BY60</f>
        <v>0</v>
      </c>
      <c r="I60">
        <f>'Monthly Data'!CC60</f>
        <v>30</v>
      </c>
      <c r="K60">
        <f>'Large Use OLS Model'!$B$5</f>
        <v>-19707994.0131674</v>
      </c>
      <c r="L60" s="186">
        <f>'Large Use OLS Model'!$B$6*D60</f>
        <v>0</v>
      </c>
      <c r="M60" s="186">
        <f>'Large Use OLS Model'!$B$7*E60</f>
        <v>23507326.024957672</v>
      </c>
      <c r="N60" s="186">
        <v>0</v>
      </c>
      <c r="O60" s="186">
        <f>'Large Use OLS Model'!$B$8*G60</f>
        <v>0</v>
      </c>
      <c r="P60" s="186">
        <f>'Large Use OLS Model'!$B$9*H60</f>
        <v>0</v>
      </c>
      <c r="Q60" s="186">
        <f>'Large Use OLS Model'!$B$10*I60</f>
        <v>20688004.791447509</v>
      </c>
      <c r="R60">
        <f t="shared" si="7"/>
        <v>24487336.803237781</v>
      </c>
      <c r="S60" s="24">
        <f t="shared" ca="1" si="8"/>
        <v>1.7845469787513762E-2</v>
      </c>
    </row>
    <row r="61" spans="1:19">
      <c r="A61" s="26">
        <f>'Monthly Data'!A61</f>
        <v>41609</v>
      </c>
      <c r="B61">
        <f t="shared" si="6"/>
        <v>2013</v>
      </c>
      <c r="C61">
        <f ca="1">'Monthly Data'!AE61</f>
        <v>22639929.518798616</v>
      </c>
      <c r="D61">
        <f>'Monthly Data'!BI61</f>
        <v>0</v>
      </c>
      <c r="E61" s="124">
        <f>'Monthly Data'!BJ61</f>
        <v>6850.4</v>
      </c>
      <c r="F61">
        <f>'Monthly Data'!BM61</f>
        <v>60</v>
      </c>
      <c r="G61">
        <f>'Monthly Data'!BT61</f>
        <v>0</v>
      </c>
      <c r="H61" s="127">
        <f>'Monthly Data'!BY61</f>
        <v>1</v>
      </c>
      <c r="I61">
        <f>'Monthly Data'!CC61</f>
        <v>31</v>
      </c>
      <c r="K61">
        <f>'Large Use OLS Model'!$B$5</f>
        <v>-19707994.0131674</v>
      </c>
      <c r="L61" s="186">
        <f>'Large Use OLS Model'!$B$6*D61</f>
        <v>0</v>
      </c>
      <c r="M61" s="186">
        <f>'Large Use OLS Model'!$B$7*E61</f>
        <v>23494979.019750513</v>
      </c>
      <c r="N61" s="186">
        <v>0</v>
      </c>
      <c r="O61" s="186">
        <f>'Large Use OLS Model'!$B$8*G61</f>
        <v>0</v>
      </c>
      <c r="P61" s="186">
        <f>'Large Use OLS Model'!$B$9*H61</f>
        <v>-2219022.2541699898</v>
      </c>
      <c r="Q61" s="186">
        <f>'Large Use OLS Model'!$B$10*I61</f>
        <v>21377604.951162424</v>
      </c>
      <c r="R61">
        <f t="shared" si="7"/>
        <v>22945567.703575548</v>
      </c>
      <c r="S61" s="24">
        <f t="shared" ca="1" si="8"/>
        <v>1.3499961849402022E-2</v>
      </c>
    </row>
    <row r="62" spans="1:19">
      <c r="A62" s="26">
        <f>'Monthly Data'!A62</f>
        <v>41640</v>
      </c>
      <c r="B62">
        <f t="shared" si="6"/>
        <v>2014</v>
      </c>
      <c r="C62">
        <f ca="1">'Monthly Data'!AE62</f>
        <v>26670683.232928887</v>
      </c>
      <c r="D62">
        <f>'Monthly Data'!BI62</f>
        <v>0</v>
      </c>
      <c r="E62" s="124">
        <f>'Monthly Data'!BJ62</f>
        <v>6848.3</v>
      </c>
      <c r="F62">
        <f>'Monthly Data'!BM62</f>
        <v>61</v>
      </c>
      <c r="G62">
        <f>'Monthly Data'!BT62</f>
        <v>0</v>
      </c>
      <c r="H62" s="127">
        <f>'Monthly Data'!BY62</f>
        <v>0</v>
      </c>
      <c r="I62">
        <f>'Monthly Data'!CC62</f>
        <v>31</v>
      </c>
      <c r="K62">
        <f>'Large Use OLS Model'!$B$5</f>
        <v>-19707994.0131674</v>
      </c>
      <c r="L62" s="186">
        <f>'Large Use OLS Model'!$B$6*D62</f>
        <v>0</v>
      </c>
      <c r="M62" s="186">
        <f>'Large Use OLS Model'!$B$7*E62</f>
        <v>23487776.60004634</v>
      </c>
      <c r="N62" s="186">
        <v>0</v>
      </c>
      <c r="O62" s="186">
        <f>'Large Use OLS Model'!$B$8*G62</f>
        <v>0</v>
      </c>
      <c r="P62" s="186">
        <f>'Large Use OLS Model'!$B$9*H62</f>
        <v>0</v>
      </c>
      <c r="Q62" s="186">
        <f>'Large Use OLS Model'!$B$10*I62</f>
        <v>21377604.951162424</v>
      </c>
      <c r="R62">
        <f t="shared" si="7"/>
        <v>25157387.538041364</v>
      </c>
      <c r="S62" s="24">
        <f t="shared" ca="1" si="8"/>
        <v>5.6740042303045919E-2</v>
      </c>
    </row>
    <row r="63" spans="1:19">
      <c r="A63" s="26">
        <f>'Monthly Data'!A63</f>
        <v>41671</v>
      </c>
      <c r="B63">
        <f t="shared" si="6"/>
        <v>2014</v>
      </c>
      <c r="C63">
        <f ca="1">'Monthly Data'!AE63</f>
        <v>23471289.154199887</v>
      </c>
      <c r="D63">
        <f>'Monthly Data'!BI63</f>
        <v>0</v>
      </c>
      <c r="E63" s="124">
        <f>'Monthly Data'!BJ63</f>
        <v>6850</v>
      </c>
      <c r="F63">
        <f>'Monthly Data'!BM63</f>
        <v>62</v>
      </c>
      <c r="G63">
        <f>'Monthly Data'!BT63</f>
        <v>0</v>
      </c>
      <c r="H63" s="127">
        <f>'Monthly Data'!BY63</f>
        <v>0</v>
      </c>
      <c r="I63">
        <f>'Monthly Data'!CC63</f>
        <v>28</v>
      </c>
      <c r="K63">
        <f>'Large Use OLS Model'!$B$5</f>
        <v>-19707994.0131674</v>
      </c>
      <c r="L63" s="186">
        <f>'Large Use OLS Model'!$B$6*D63</f>
        <v>0</v>
      </c>
      <c r="M63" s="186">
        <f>'Large Use OLS Model'!$B$7*E63</f>
        <v>23493607.130283054</v>
      </c>
      <c r="N63" s="186">
        <v>0</v>
      </c>
      <c r="O63" s="186">
        <f>'Large Use OLS Model'!$B$8*G63</f>
        <v>0</v>
      </c>
      <c r="P63" s="186">
        <f>'Large Use OLS Model'!$B$9*H63</f>
        <v>0</v>
      </c>
      <c r="Q63" s="186">
        <f>'Large Use OLS Model'!$B$10*I63</f>
        <v>19308804.472017676</v>
      </c>
      <c r="R63">
        <f t="shared" si="7"/>
        <v>23094417.58913333</v>
      </c>
      <c r="S63" s="24">
        <f t="shared" ca="1" si="8"/>
        <v>1.6056704963694806E-2</v>
      </c>
    </row>
    <row r="64" spans="1:19">
      <c r="A64" s="26">
        <f>'Monthly Data'!A64</f>
        <v>41699</v>
      </c>
      <c r="B64">
        <f t="shared" si="6"/>
        <v>2014</v>
      </c>
      <c r="C64">
        <f ca="1">'Monthly Data'!AE64</f>
        <v>25265167.314199887</v>
      </c>
      <c r="D64">
        <f>'Monthly Data'!BI64</f>
        <v>0</v>
      </c>
      <c r="E64" s="124">
        <f>'Monthly Data'!BJ64</f>
        <v>6856.4</v>
      </c>
      <c r="F64">
        <f>'Monthly Data'!BM64</f>
        <v>63</v>
      </c>
      <c r="G64">
        <f>'Monthly Data'!BT64</f>
        <v>0</v>
      </c>
      <c r="H64" s="127">
        <f>'Monthly Data'!BY64</f>
        <v>0</v>
      </c>
      <c r="I64">
        <f>'Monthly Data'!CC64</f>
        <v>31</v>
      </c>
      <c r="K64">
        <f>'Large Use OLS Model'!$B$5</f>
        <v>-19707994.0131674</v>
      </c>
      <c r="L64" s="186">
        <f>'Large Use OLS Model'!$B$6*D64</f>
        <v>0</v>
      </c>
      <c r="M64" s="186">
        <f>'Large Use OLS Model'!$B$7*E64</f>
        <v>23515557.361762438</v>
      </c>
      <c r="N64" s="186">
        <v>0</v>
      </c>
      <c r="O64" s="186">
        <f>'Large Use OLS Model'!$B$8*G64</f>
        <v>0</v>
      </c>
      <c r="P64" s="186">
        <f>'Large Use OLS Model'!$B$9*H64</f>
        <v>0</v>
      </c>
      <c r="Q64" s="186">
        <f>'Large Use OLS Model'!$B$10*I64</f>
        <v>21377604.951162424</v>
      </c>
      <c r="R64">
        <f t="shared" si="7"/>
        <v>25185168.299757462</v>
      </c>
      <c r="S64" s="24">
        <f t="shared" ca="1" si="8"/>
        <v>3.1663758029998497E-3</v>
      </c>
    </row>
    <row r="65" spans="1:19">
      <c r="A65" s="26">
        <f>'Monthly Data'!A65</f>
        <v>41730</v>
      </c>
      <c r="B65">
        <f t="shared" si="6"/>
        <v>2014</v>
      </c>
      <c r="C65">
        <f ca="1">'Monthly Data'!AE65</f>
        <v>22877973.494199887</v>
      </c>
      <c r="D65">
        <f>'Monthly Data'!BI65</f>
        <v>0</v>
      </c>
      <c r="E65" s="124">
        <f>'Monthly Data'!BJ65</f>
        <v>6869.6</v>
      </c>
      <c r="F65">
        <f>'Monthly Data'!BM65</f>
        <v>64</v>
      </c>
      <c r="G65">
        <f>'Monthly Data'!BT65</f>
        <v>0</v>
      </c>
      <c r="H65" s="127">
        <f>'Monthly Data'!BY65</f>
        <v>0</v>
      </c>
      <c r="I65">
        <f>'Monthly Data'!CC65</f>
        <v>30</v>
      </c>
      <c r="K65">
        <f>'Large Use OLS Model'!$B$5</f>
        <v>-19707994.0131674</v>
      </c>
      <c r="L65" s="186">
        <f>'Large Use OLS Model'!$B$6*D65</f>
        <v>0</v>
      </c>
      <c r="M65" s="186">
        <f>'Large Use OLS Model'!$B$7*E65</f>
        <v>23560829.71418868</v>
      </c>
      <c r="N65" s="186">
        <v>0</v>
      </c>
      <c r="O65" s="186">
        <f>'Large Use OLS Model'!$B$8*G65</f>
        <v>0</v>
      </c>
      <c r="P65" s="186">
        <f>'Large Use OLS Model'!$B$9*H65</f>
        <v>0</v>
      </c>
      <c r="Q65" s="186">
        <f>'Large Use OLS Model'!$B$10*I65</f>
        <v>20688004.791447509</v>
      </c>
      <c r="R65">
        <f t="shared" si="7"/>
        <v>24540840.492468789</v>
      </c>
      <c r="S65" s="24">
        <f t="shared" ca="1" si="8"/>
        <v>7.2684191136530463E-2</v>
      </c>
    </row>
    <row r="66" spans="1:19">
      <c r="A66" s="26">
        <f>'Monthly Data'!A66</f>
        <v>41760</v>
      </c>
      <c r="B66">
        <f t="shared" si="6"/>
        <v>2014</v>
      </c>
      <c r="C66">
        <f ca="1">'Monthly Data'!AE66</f>
        <v>28623709.664199885</v>
      </c>
      <c r="D66">
        <f>'Monthly Data'!BI66</f>
        <v>36.4</v>
      </c>
      <c r="E66" s="124">
        <f>'Monthly Data'!BJ66</f>
        <v>6870.6</v>
      </c>
      <c r="F66">
        <f>'Monthly Data'!BM66</f>
        <v>65</v>
      </c>
      <c r="G66">
        <f>'Monthly Data'!BT66</f>
        <v>0</v>
      </c>
      <c r="H66" s="127">
        <f>'Monthly Data'!BY66</f>
        <v>0</v>
      </c>
      <c r="I66">
        <f>'Monthly Data'!CC66</f>
        <v>31</v>
      </c>
      <c r="K66">
        <f>'Large Use OLS Model'!$B$5</f>
        <v>-19707994.0131674</v>
      </c>
      <c r="L66" s="186">
        <f>'Large Use OLS Model'!$B$6*D66</f>
        <v>961912.19476446637</v>
      </c>
      <c r="M66" s="186">
        <f>'Large Use OLS Model'!$B$7*E66</f>
        <v>23564259.437857337</v>
      </c>
      <c r="N66" s="186">
        <v>0</v>
      </c>
      <c r="O66" s="186">
        <f>'Large Use OLS Model'!$B$8*G66</f>
        <v>0</v>
      </c>
      <c r="P66" s="186">
        <f>'Large Use OLS Model'!$B$9*H66</f>
        <v>0</v>
      </c>
      <c r="Q66" s="186">
        <f>'Large Use OLS Model'!$B$10*I66</f>
        <v>21377604.951162424</v>
      </c>
      <c r="R66">
        <f t="shared" si="7"/>
        <v>26195782.570616826</v>
      </c>
      <c r="S66" s="24">
        <f t="shared" ca="1" si="8"/>
        <v>8.482223730139718E-2</v>
      </c>
    </row>
    <row r="67" spans="1:19">
      <c r="A67" s="26">
        <f>'Monthly Data'!A67</f>
        <v>41791</v>
      </c>
      <c r="B67">
        <f t="shared" si="6"/>
        <v>2014</v>
      </c>
      <c r="C67">
        <f ca="1">'Monthly Data'!AE67</f>
        <v>30426752.654199883</v>
      </c>
      <c r="D67">
        <f>'Monthly Data'!BI67</f>
        <v>123.29999999999997</v>
      </c>
      <c r="E67" s="124">
        <f>'Monthly Data'!BJ67</f>
        <v>6865.4</v>
      </c>
      <c r="F67">
        <f>'Monthly Data'!BM67</f>
        <v>66</v>
      </c>
      <c r="G67">
        <f>'Monthly Data'!BT67</f>
        <v>0</v>
      </c>
      <c r="H67" s="127">
        <f>'Monthly Data'!BY67</f>
        <v>0</v>
      </c>
      <c r="I67">
        <f>'Monthly Data'!CC67</f>
        <v>30</v>
      </c>
      <c r="K67">
        <f>'Large Use OLS Model'!$B$5</f>
        <v>-19707994.0131674</v>
      </c>
      <c r="L67" s="186">
        <f>'Large Use OLS Model'!$B$6*D67</f>
        <v>3258345.4289686452</v>
      </c>
      <c r="M67" s="186">
        <f>'Large Use OLS Model'!$B$7*E67</f>
        <v>23546424.874780331</v>
      </c>
      <c r="N67" s="186">
        <v>0</v>
      </c>
      <c r="O67" s="186">
        <f>'Large Use OLS Model'!$B$8*G67</f>
        <v>0</v>
      </c>
      <c r="P67" s="186">
        <f>'Large Use OLS Model'!$B$9*H67</f>
        <v>0</v>
      </c>
      <c r="Q67" s="186">
        <f>'Large Use OLS Model'!$B$10*I67</f>
        <v>20688004.791447509</v>
      </c>
      <c r="R67">
        <f t="shared" si="7"/>
        <v>27784781.082029086</v>
      </c>
      <c r="S67" s="24">
        <f t="shared" ca="1" si="8"/>
        <v>8.6830546861073568E-2</v>
      </c>
    </row>
    <row r="68" spans="1:19">
      <c r="A68" s="26">
        <f>'Monthly Data'!A68</f>
        <v>41821</v>
      </c>
      <c r="B68">
        <f t="shared" si="6"/>
        <v>2014</v>
      </c>
      <c r="C68">
        <f ca="1">'Monthly Data'!AE68</f>
        <v>28757284.464199886</v>
      </c>
      <c r="D68">
        <f>'Monthly Data'!BI68</f>
        <v>113.59999999999997</v>
      </c>
      <c r="E68" s="124">
        <f>'Monthly Data'!BJ68</f>
        <v>6864.4</v>
      </c>
      <c r="F68">
        <f>'Monthly Data'!BM68</f>
        <v>67</v>
      </c>
      <c r="G68">
        <f>'Monthly Data'!BT68</f>
        <v>1</v>
      </c>
      <c r="H68" s="127">
        <f>'Monthly Data'!BY68</f>
        <v>0</v>
      </c>
      <c r="I68">
        <f>'Monthly Data'!CC68</f>
        <v>31</v>
      </c>
      <c r="K68">
        <f>'Large Use OLS Model'!$B$5</f>
        <v>-19707994.0131674</v>
      </c>
      <c r="L68" s="186">
        <f>'Large Use OLS Model'!$B$6*D68</f>
        <v>3002011.6847594329</v>
      </c>
      <c r="M68" s="186">
        <f>'Large Use OLS Model'!$B$7*E68</f>
        <v>23542995.151111674</v>
      </c>
      <c r="N68" s="186">
        <v>0</v>
      </c>
      <c r="O68" s="186">
        <f>'Large Use OLS Model'!$B$8*G68</f>
        <v>-1563237.6990636101</v>
      </c>
      <c r="P68" s="186">
        <f>'Large Use OLS Model'!$B$9*H68</f>
        <v>0</v>
      </c>
      <c r="Q68" s="186">
        <f>'Large Use OLS Model'!$B$10*I68</f>
        <v>21377604.951162424</v>
      </c>
      <c r="R68">
        <f t="shared" si="7"/>
        <v>26651380.074802518</v>
      </c>
      <c r="S68" s="24">
        <f t="shared" ca="1" si="8"/>
        <v>7.3230293771966562E-2</v>
      </c>
    </row>
    <row r="69" spans="1:19">
      <c r="A69" s="26">
        <f>'Monthly Data'!A69</f>
        <v>41852</v>
      </c>
      <c r="B69">
        <f t="shared" si="6"/>
        <v>2014</v>
      </c>
      <c r="C69">
        <f ca="1">'Monthly Data'!AE69</f>
        <v>29410529.954199888</v>
      </c>
      <c r="D69">
        <f>'Monthly Data'!BI69</f>
        <v>130.19999999999996</v>
      </c>
      <c r="E69" s="124">
        <f>'Monthly Data'!BJ69</f>
        <v>6869.9</v>
      </c>
      <c r="F69">
        <f>'Monthly Data'!BM69</f>
        <v>68</v>
      </c>
      <c r="G69">
        <f>'Monthly Data'!BT69</f>
        <v>0</v>
      </c>
      <c r="H69" s="127">
        <f>'Monthly Data'!BY69</f>
        <v>0</v>
      </c>
      <c r="I69">
        <f>'Monthly Data'!CC69</f>
        <v>31</v>
      </c>
      <c r="K69">
        <f>'Large Use OLS Model'!$B$5</f>
        <v>-19707994.0131674</v>
      </c>
      <c r="L69" s="186">
        <f>'Large Use OLS Model'!$B$6*D69</f>
        <v>3440685.9274267443</v>
      </c>
      <c r="M69" s="186">
        <f>'Large Use OLS Model'!$B$7*E69</f>
        <v>23561858.631289274</v>
      </c>
      <c r="N69" s="186">
        <v>0</v>
      </c>
      <c r="O69" s="186">
        <f>'Large Use OLS Model'!$B$8*G69</f>
        <v>0</v>
      </c>
      <c r="P69" s="186">
        <f>'Large Use OLS Model'!$B$9*H69</f>
        <v>0</v>
      </c>
      <c r="Q69" s="186">
        <f>'Large Use OLS Model'!$B$10*I69</f>
        <v>21377604.951162424</v>
      </c>
      <c r="R69">
        <f t="shared" si="7"/>
        <v>28672155.496711042</v>
      </c>
      <c r="S69" s="24">
        <f t="shared" ca="1" si="8"/>
        <v>2.5105785534592331E-2</v>
      </c>
    </row>
    <row r="70" spans="1:19">
      <c r="A70" s="26">
        <f>'Monthly Data'!A70</f>
        <v>41883</v>
      </c>
      <c r="B70">
        <f t="shared" si="6"/>
        <v>2014</v>
      </c>
      <c r="C70">
        <f ca="1">'Monthly Data'!AE70</f>
        <v>23959161.474199884</v>
      </c>
      <c r="D70">
        <f>'Monthly Data'!BI70</f>
        <v>50.499999999999979</v>
      </c>
      <c r="E70" s="124">
        <f>'Monthly Data'!BJ70</f>
        <v>6884.5</v>
      </c>
      <c r="F70">
        <f>'Monthly Data'!BM70</f>
        <v>69</v>
      </c>
      <c r="G70">
        <f>'Monthly Data'!BT70</f>
        <v>0</v>
      </c>
      <c r="H70" s="127">
        <f>'Monthly Data'!BY70</f>
        <v>0</v>
      </c>
      <c r="I70">
        <f>'Monthly Data'!CC70</f>
        <v>30</v>
      </c>
      <c r="K70">
        <f>'Large Use OLS Model'!$B$5</f>
        <v>-19707994.0131674</v>
      </c>
      <c r="L70" s="186">
        <f>'Large Use OLS Model'!$B$6*D70</f>
        <v>1334521.0394397124</v>
      </c>
      <c r="M70" s="186">
        <f>'Large Use OLS Model'!$B$7*E70</f>
        <v>23611932.596851632</v>
      </c>
      <c r="N70" s="186">
        <v>0</v>
      </c>
      <c r="O70" s="186">
        <f>'Large Use OLS Model'!$B$8*G70</f>
        <v>0</v>
      </c>
      <c r="P70" s="186">
        <f>'Large Use OLS Model'!$B$9*H70</f>
        <v>0</v>
      </c>
      <c r="Q70" s="186">
        <f>'Large Use OLS Model'!$B$10*I70</f>
        <v>20688004.791447509</v>
      </c>
      <c r="R70">
        <f t="shared" si="7"/>
        <v>25926464.414571453</v>
      </c>
      <c r="S70" s="24">
        <f t="shared" ca="1" si="8"/>
        <v>8.2110675805162639E-2</v>
      </c>
    </row>
    <row r="71" spans="1:19">
      <c r="A71" s="26">
        <f>'Monthly Data'!A71</f>
        <v>41913</v>
      </c>
      <c r="B71">
        <f t="shared" si="6"/>
        <v>2014</v>
      </c>
      <c r="C71">
        <f ca="1">'Monthly Data'!AE71</f>
        <v>25930142.964199886</v>
      </c>
      <c r="D71">
        <f>'Monthly Data'!BI71</f>
        <v>3.9</v>
      </c>
      <c r="E71" s="124">
        <f>'Monthly Data'!BJ71</f>
        <v>6901.5</v>
      </c>
      <c r="F71">
        <f>'Monthly Data'!BM71</f>
        <v>70</v>
      </c>
      <c r="G71">
        <f>'Monthly Data'!BT71</f>
        <v>0</v>
      </c>
      <c r="H71" s="127">
        <f>'Monthly Data'!BY71</f>
        <v>0</v>
      </c>
      <c r="I71">
        <f>'Monthly Data'!CC71</f>
        <v>31</v>
      </c>
      <c r="K71">
        <f>'Large Use OLS Model'!$B$5</f>
        <v>-19707994.0131674</v>
      </c>
      <c r="L71" s="186">
        <f>'Large Use OLS Model'!$B$6*D71</f>
        <v>103062.0208676214</v>
      </c>
      <c r="M71" s="186">
        <f>'Large Use OLS Model'!$B$7*E71</f>
        <v>23670237.899218757</v>
      </c>
      <c r="N71" s="186">
        <v>0</v>
      </c>
      <c r="O71" s="186">
        <f>'Large Use OLS Model'!$B$8*G71</f>
        <v>0</v>
      </c>
      <c r="P71" s="186">
        <f>'Large Use OLS Model'!$B$9*H71</f>
        <v>0</v>
      </c>
      <c r="Q71" s="186">
        <f>'Large Use OLS Model'!$B$10*I71</f>
        <v>21377604.951162424</v>
      </c>
      <c r="R71">
        <f t="shared" si="7"/>
        <v>25442910.8580814</v>
      </c>
      <c r="S71" s="24">
        <f t="shared" ca="1" si="8"/>
        <v>1.8790182020638143E-2</v>
      </c>
    </row>
    <row r="72" spans="1:19">
      <c r="A72" s="26">
        <f>'Monthly Data'!A72</f>
        <v>41944</v>
      </c>
      <c r="B72">
        <f t="shared" si="6"/>
        <v>2014</v>
      </c>
      <c r="C72">
        <f ca="1">'Monthly Data'!AE72</f>
        <v>24626116.624199886</v>
      </c>
      <c r="D72">
        <f>'Monthly Data'!BI72</f>
        <v>0</v>
      </c>
      <c r="E72" s="124">
        <f>'Monthly Data'!BJ72</f>
        <v>6907.5</v>
      </c>
      <c r="F72">
        <f>'Monthly Data'!BM72</f>
        <v>71</v>
      </c>
      <c r="G72">
        <f>'Monthly Data'!BT72</f>
        <v>0</v>
      </c>
      <c r="H72" s="127">
        <f>'Monthly Data'!BY72</f>
        <v>0</v>
      </c>
      <c r="I72">
        <f>'Monthly Data'!CC72</f>
        <v>30</v>
      </c>
      <c r="K72">
        <f>'Large Use OLS Model'!$B$5</f>
        <v>-19707994.0131674</v>
      </c>
      <c r="L72" s="186">
        <f>'Large Use OLS Model'!$B$6*D72</f>
        <v>0</v>
      </c>
      <c r="M72" s="186">
        <f>'Large Use OLS Model'!$B$7*E72</f>
        <v>23690816.241230685</v>
      </c>
      <c r="N72" s="186">
        <v>0</v>
      </c>
      <c r="O72" s="186">
        <f>'Large Use OLS Model'!$B$8*G72</f>
        <v>0</v>
      </c>
      <c r="P72" s="186">
        <f>'Large Use OLS Model'!$B$9*H72</f>
        <v>0</v>
      </c>
      <c r="Q72" s="186">
        <f>'Large Use OLS Model'!$B$10*I72</f>
        <v>20688004.791447509</v>
      </c>
      <c r="R72">
        <f t="shared" si="7"/>
        <v>24670827.019510794</v>
      </c>
      <c r="S72" s="24">
        <f t="shared" ca="1" si="8"/>
        <v>1.8155682437957761E-3</v>
      </c>
    </row>
    <row r="73" spans="1:19">
      <c r="A73" s="26">
        <f>'Monthly Data'!A73</f>
        <v>41974</v>
      </c>
      <c r="B73">
        <f t="shared" si="6"/>
        <v>2014</v>
      </c>
      <c r="C73">
        <f ca="1">'Monthly Data'!AE73</f>
        <v>22876540.304199886</v>
      </c>
      <c r="D73">
        <f>'Monthly Data'!BI73</f>
        <v>0</v>
      </c>
      <c r="E73" s="124">
        <f>'Monthly Data'!BJ73</f>
        <v>6903.1</v>
      </c>
      <c r="F73">
        <f>'Monthly Data'!BM73</f>
        <v>72</v>
      </c>
      <c r="G73">
        <f>'Monthly Data'!BT73</f>
        <v>0</v>
      </c>
      <c r="H73" s="127">
        <f>'Monthly Data'!BY73</f>
        <v>1</v>
      </c>
      <c r="I73">
        <f>'Monthly Data'!CC73</f>
        <v>31</v>
      </c>
      <c r="K73">
        <f>'Large Use OLS Model'!$B$5</f>
        <v>-19707994.0131674</v>
      </c>
      <c r="L73" s="186">
        <f>'Large Use OLS Model'!$B$6*D73</f>
        <v>0</v>
      </c>
      <c r="M73" s="186">
        <f>'Large Use OLS Model'!$B$7*E73</f>
        <v>23675725.457088605</v>
      </c>
      <c r="N73" s="186">
        <v>0</v>
      </c>
      <c r="O73" s="186">
        <f>'Large Use OLS Model'!$B$8*G73</f>
        <v>0</v>
      </c>
      <c r="P73" s="186">
        <f>'Large Use OLS Model'!$B$9*H73</f>
        <v>-2219022.2541699898</v>
      </c>
      <c r="Q73" s="186">
        <f>'Large Use OLS Model'!$B$10*I73</f>
        <v>21377604.951162424</v>
      </c>
      <c r="R73">
        <f t="shared" si="7"/>
        <v>23126314.140913639</v>
      </c>
      <c r="S73" s="24">
        <f t="shared" ca="1" si="8"/>
        <v>1.0918339634944619E-2</v>
      </c>
    </row>
    <row r="74" spans="1:19">
      <c r="A74" s="26">
        <f>'Monthly Data'!A74</f>
        <v>42005</v>
      </c>
      <c r="B74">
        <f t="shared" si="6"/>
        <v>2015</v>
      </c>
      <c r="C74">
        <f ca="1">'Monthly Data'!AE74</f>
        <v>23987700.533313058</v>
      </c>
      <c r="D74">
        <f>'Monthly Data'!BI74</f>
        <v>0</v>
      </c>
      <c r="E74" s="124">
        <f>'Monthly Data'!BJ74</f>
        <v>6885.7</v>
      </c>
      <c r="F74">
        <f>'Monthly Data'!BM74</f>
        <v>73</v>
      </c>
      <c r="G74">
        <f>'Monthly Data'!BT74</f>
        <v>0</v>
      </c>
      <c r="H74" s="127">
        <f>'Monthly Data'!BY74</f>
        <v>0</v>
      </c>
      <c r="I74">
        <f>'Monthly Data'!CC74</f>
        <v>31</v>
      </c>
      <c r="K74">
        <f>'Large Use OLS Model'!$B$5</f>
        <v>-19707994.0131674</v>
      </c>
      <c r="L74" s="186">
        <f>'Large Use OLS Model'!$B$6*D74</f>
        <v>0</v>
      </c>
      <c r="M74" s="186">
        <f>'Large Use OLS Model'!$B$7*E74</f>
        <v>23616048.265254017</v>
      </c>
      <c r="N74" s="186">
        <v>0</v>
      </c>
      <c r="O74" s="186">
        <f>'Large Use OLS Model'!$B$8*G74</f>
        <v>0</v>
      </c>
      <c r="P74" s="186">
        <f>'Large Use OLS Model'!$B$9*H74</f>
        <v>0</v>
      </c>
      <c r="Q74" s="186">
        <f>'Large Use OLS Model'!$B$10*I74</f>
        <v>21377604.951162424</v>
      </c>
      <c r="R74">
        <f t="shared" si="7"/>
        <v>25285659.203249041</v>
      </c>
      <c r="S74" s="24">
        <f t="shared" ca="1" si="8"/>
        <v>5.4109341082253175E-2</v>
      </c>
    </row>
    <row r="75" spans="1:19">
      <c r="A75" s="26">
        <f>'Monthly Data'!A75</f>
        <v>42036</v>
      </c>
      <c r="B75">
        <f t="shared" si="6"/>
        <v>2015</v>
      </c>
      <c r="C75">
        <f ca="1">'Monthly Data'!AE75</f>
        <v>23738766.70331306</v>
      </c>
      <c r="D75">
        <f>'Monthly Data'!BI75</f>
        <v>0</v>
      </c>
      <c r="E75" s="124">
        <f>'Monthly Data'!BJ75</f>
        <v>6885.3</v>
      </c>
      <c r="F75">
        <f>'Monthly Data'!BM75</f>
        <v>74</v>
      </c>
      <c r="G75">
        <f>'Monthly Data'!BT75</f>
        <v>0</v>
      </c>
      <c r="H75" s="127">
        <f>'Monthly Data'!BY75</f>
        <v>0</v>
      </c>
      <c r="I75">
        <f>'Monthly Data'!CC75</f>
        <v>28</v>
      </c>
      <c r="K75">
        <f>'Large Use OLS Model'!$B$5</f>
        <v>-19707994.0131674</v>
      </c>
      <c r="L75" s="186">
        <f>'Large Use OLS Model'!$B$6*D75</f>
        <v>0</v>
      </c>
      <c r="M75" s="186">
        <f>'Large Use OLS Model'!$B$7*E75</f>
        <v>23614676.375786554</v>
      </c>
      <c r="N75" s="186">
        <v>0</v>
      </c>
      <c r="O75" s="186">
        <f>'Large Use OLS Model'!$B$8*G75</f>
        <v>0</v>
      </c>
      <c r="P75" s="186">
        <f>'Large Use OLS Model'!$B$9*H75</f>
        <v>0</v>
      </c>
      <c r="Q75" s="186">
        <f>'Large Use OLS Model'!$B$10*I75</f>
        <v>19308804.472017676</v>
      </c>
      <c r="R75">
        <f t="shared" si="7"/>
        <v>23215486.83463683</v>
      </c>
      <c r="S75" s="24">
        <f t="shared" ca="1" si="8"/>
        <v>2.2043262618322949E-2</v>
      </c>
    </row>
    <row r="76" spans="1:19">
      <c r="A76" s="26">
        <f>'Monthly Data'!A76</f>
        <v>42064</v>
      </c>
      <c r="B76">
        <f t="shared" si="6"/>
        <v>2015</v>
      </c>
      <c r="C76">
        <f ca="1">'Monthly Data'!AE76</f>
        <v>25313211.343313061</v>
      </c>
      <c r="D76">
        <f>'Monthly Data'!BI76</f>
        <v>0</v>
      </c>
      <c r="E76" s="124">
        <f>'Monthly Data'!BJ76</f>
        <v>6892.1</v>
      </c>
      <c r="F76">
        <f>'Monthly Data'!BM76</f>
        <v>75</v>
      </c>
      <c r="G76">
        <f>'Monthly Data'!BT76</f>
        <v>0</v>
      </c>
      <c r="H76" s="127">
        <f>'Monthly Data'!BY76</f>
        <v>0</v>
      </c>
      <c r="I76">
        <f>'Monthly Data'!CC76</f>
        <v>31</v>
      </c>
      <c r="K76">
        <f>'Large Use OLS Model'!$B$5</f>
        <v>-19707994.0131674</v>
      </c>
      <c r="L76" s="186">
        <f>'Large Use OLS Model'!$B$6*D76</f>
        <v>0</v>
      </c>
      <c r="M76" s="186">
        <f>'Large Use OLS Model'!$B$7*E76</f>
        <v>23637998.496733405</v>
      </c>
      <c r="N76" s="186">
        <v>0</v>
      </c>
      <c r="O76" s="186">
        <f>'Large Use OLS Model'!$B$8*G76</f>
        <v>0</v>
      </c>
      <c r="P76" s="186">
        <f>'Large Use OLS Model'!$B$9*H76</f>
        <v>0</v>
      </c>
      <c r="Q76" s="186">
        <f>'Large Use OLS Model'!$B$10*I76</f>
        <v>21377604.951162424</v>
      </c>
      <c r="R76">
        <f t="shared" si="7"/>
        <v>25307609.434728429</v>
      </c>
      <c r="S76" s="24">
        <f t="shared" ca="1" si="8"/>
        <v>2.2130374959761177E-4</v>
      </c>
    </row>
    <row r="77" spans="1:19">
      <c r="A77" s="26">
        <f>'Monthly Data'!A77</f>
        <v>42095</v>
      </c>
      <c r="B77">
        <f t="shared" si="6"/>
        <v>2015</v>
      </c>
      <c r="C77">
        <f ca="1">'Monthly Data'!AE77</f>
        <v>24471161.113313057</v>
      </c>
      <c r="D77">
        <f>'Monthly Data'!BI77</f>
        <v>0</v>
      </c>
      <c r="E77" s="124">
        <f>'Monthly Data'!BJ77</f>
        <v>6897.3</v>
      </c>
      <c r="F77">
        <f>'Monthly Data'!BM77</f>
        <v>76</v>
      </c>
      <c r="G77">
        <f>'Monthly Data'!BT77</f>
        <v>0</v>
      </c>
      <c r="H77" s="127">
        <f>'Monthly Data'!BY77</f>
        <v>0</v>
      </c>
      <c r="I77">
        <f>'Monthly Data'!CC77</f>
        <v>30</v>
      </c>
      <c r="K77">
        <f>'Large Use OLS Model'!$B$5</f>
        <v>-19707994.0131674</v>
      </c>
      <c r="L77" s="186">
        <f>'Large Use OLS Model'!$B$6*D77</f>
        <v>0</v>
      </c>
      <c r="M77" s="186">
        <f>'Large Use OLS Model'!$B$7*E77</f>
        <v>23655833.059810407</v>
      </c>
      <c r="N77" s="186">
        <v>0</v>
      </c>
      <c r="O77" s="186">
        <f>'Large Use OLS Model'!$B$8*G77</f>
        <v>0</v>
      </c>
      <c r="P77" s="186">
        <f>'Large Use OLS Model'!$B$9*H77</f>
        <v>0</v>
      </c>
      <c r="Q77" s="186">
        <f>'Large Use OLS Model'!$B$10*I77</f>
        <v>20688004.791447509</v>
      </c>
      <c r="R77">
        <f t="shared" si="7"/>
        <v>24635843.838090517</v>
      </c>
      <c r="S77" s="24">
        <f t="shared" ca="1" si="8"/>
        <v>6.7296653401488042E-3</v>
      </c>
    </row>
    <row r="78" spans="1:19">
      <c r="A78" s="26">
        <f>'Monthly Data'!A78</f>
        <v>42125</v>
      </c>
      <c r="B78">
        <f t="shared" si="6"/>
        <v>2015</v>
      </c>
      <c r="C78">
        <f ca="1">'Monthly Data'!AE78</f>
        <v>27691400.053313062</v>
      </c>
      <c r="D78">
        <f>'Monthly Data'!BI78</f>
        <v>64.099999999999994</v>
      </c>
      <c r="E78" s="124">
        <f>'Monthly Data'!BJ78</f>
        <v>6906.5</v>
      </c>
      <c r="F78">
        <f>'Monthly Data'!BM78</f>
        <v>77</v>
      </c>
      <c r="G78">
        <f>'Monthly Data'!BT78</f>
        <v>0</v>
      </c>
      <c r="H78" s="127">
        <f>'Monthly Data'!BY78</f>
        <v>0</v>
      </c>
      <c r="I78">
        <f>'Monthly Data'!CC78</f>
        <v>31</v>
      </c>
      <c r="K78">
        <f>'Large Use OLS Model'!$B$5</f>
        <v>-19707994.0131674</v>
      </c>
      <c r="L78" s="186">
        <f>'Large Use OLS Model'!$B$6*D78</f>
        <v>1693916.8045165464</v>
      </c>
      <c r="M78" s="186">
        <f>'Large Use OLS Model'!$B$7*E78</f>
        <v>23687386.517562028</v>
      </c>
      <c r="N78" s="186">
        <v>0</v>
      </c>
      <c r="O78" s="186">
        <f>'Large Use OLS Model'!$B$8*G78</f>
        <v>0</v>
      </c>
      <c r="P78" s="186">
        <f>'Large Use OLS Model'!$B$9*H78</f>
        <v>0</v>
      </c>
      <c r="Q78" s="186">
        <f>'Large Use OLS Model'!$B$10*I78</f>
        <v>21377604.951162424</v>
      </c>
      <c r="R78">
        <f t="shared" si="7"/>
        <v>27050914.260073598</v>
      </c>
      <c r="S78" s="24">
        <f t="shared" ca="1" si="8"/>
        <v>2.3129411730947635E-2</v>
      </c>
    </row>
    <row r="79" spans="1:19">
      <c r="A79" s="26">
        <f>'Monthly Data'!A79</f>
        <v>42156</v>
      </c>
      <c r="B79">
        <f t="shared" si="6"/>
        <v>2015</v>
      </c>
      <c r="C79">
        <f ca="1">'Monthly Data'!AE79</f>
        <v>28284245.943313062</v>
      </c>
      <c r="D79">
        <f>'Monthly Data'!BI79</f>
        <v>89.59999999999998</v>
      </c>
      <c r="E79" s="124">
        <f>'Monthly Data'!BJ79</f>
        <v>6921.3</v>
      </c>
      <c r="F79">
        <f>'Monthly Data'!BM79</f>
        <v>78</v>
      </c>
      <c r="G79">
        <f>'Monthly Data'!BT79</f>
        <v>0</v>
      </c>
      <c r="H79" s="127">
        <f>'Monthly Data'!BY79</f>
        <v>0</v>
      </c>
      <c r="I79">
        <f>'Monthly Data'!CC79</f>
        <v>30</v>
      </c>
      <c r="K79">
        <f>'Large Use OLS Model'!$B$5</f>
        <v>-19707994.0131674</v>
      </c>
      <c r="L79" s="186">
        <f>'Large Use OLS Model'!$B$6*D79</f>
        <v>2367783.8640356092</v>
      </c>
      <c r="M79" s="186">
        <f>'Large Use OLS Model'!$B$7*E79</f>
        <v>23738146.427858114</v>
      </c>
      <c r="N79" s="186">
        <v>0</v>
      </c>
      <c r="O79" s="186">
        <f>'Large Use OLS Model'!$B$8*G79</f>
        <v>0</v>
      </c>
      <c r="P79" s="186">
        <f>'Large Use OLS Model'!$B$9*H79</f>
        <v>0</v>
      </c>
      <c r="Q79" s="186">
        <f>'Large Use OLS Model'!$B$10*I79</f>
        <v>20688004.791447509</v>
      </c>
      <c r="R79">
        <f t="shared" si="7"/>
        <v>27085941.070173834</v>
      </c>
      <c r="S79" s="24">
        <f t="shared" ca="1" si="8"/>
        <v>4.2366512988921697E-2</v>
      </c>
    </row>
    <row r="80" spans="1:19">
      <c r="A80" s="26">
        <f>'Monthly Data'!A80</f>
        <v>42186</v>
      </c>
      <c r="B80">
        <f t="shared" si="6"/>
        <v>2015</v>
      </c>
      <c r="C80">
        <f ca="1">'Monthly Data'!AE80</f>
        <v>28027417.573313057</v>
      </c>
      <c r="D80">
        <f>'Monthly Data'!BI80</f>
        <v>152.89999999999998</v>
      </c>
      <c r="E80" s="124">
        <f>'Monthly Data'!BJ80</f>
        <v>6941.2</v>
      </c>
      <c r="F80">
        <f>'Monthly Data'!BM80</f>
        <v>79</v>
      </c>
      <c r="G80">
        <f>'Monthly Data'!BT80</f>
        <v>1</v>
      </c>
      <c r="H80" s="127">
        <f>'Monthly Data'!BY80</f>
        <v>0</v>
      </c>
      <c r="I80">
        <f>'Monthly Data'!CC80</f>
        <v>31</v>
      </c>
      <c r="K80">
        <f>'Large Use OLS Model'!$B$5</f>
        <v>-19707994.0131674</v>
      </c>
      <c r="L80" s="186">
        <f>'Large Use OLS Model'!$B$6*D80</f>
        <v>4040559.7411946948</v>
      </c>
      <c r="M80" s="186">
        <f>'Large Use OLS Model'!$B$7*E80</f>
        <v>23806397.928864338</v>
      </c>
      <c r="N80" s="186">
        <v>0</v>
      </c>
      <c r="O80" s="186">
        <f>'Large Use OLS Model'!$B$8*G80</f>
        <v>-1563237.6990636101</v>
      </c>
      <c r="P80" s="186">
        <f>'Large Use OLS Model'!$B$9*H80</f>
        <v>0</v>
      </c>
      <c r="Q80" s="186">
        <f>'Large Use OLS Model'!$B$10*I80</f>
        <v>21377604.951162424</v>
      </c>
      <c r="R80">
        <f t="shared" si="7"/>
        <v>27953330.908990446</v>
      </c>
      <c r="S80" s="24">
        <f t="shared" ca="1" si="8"/>
        <v>2.6433639178071919E-3</v>
      </c>
    </row>
    <row r="81" spans="1:19">
      <c r="A81" s="26">
        <f>'Monthly Data'!A81</f>
        <v>42217</v>
      </c>
      <c r="B81">
        <f t="shared" si="6"/>
        <v>2015</v>
      </c>
      <c r="C81">
        <f ca="1">'Monthly Data'!AE81</f>
        <v>29750781.553313062</v>
      </c>
      <c r="D81">
        <f>'Monthly Data'!BI81</f>
        <v>138.69999999999999</v>
      </c>
      <c r="E81" s="124">
        <f>'Monthly Data'!BJ81</f>
        <v>6949.2</v>
      </c>
      <c r="F81">
        <f>'Monthly Data'!BM81</f>
        <v>80</v>
      </c>
      <c r="G81">
        <f>'Monthly Data'!BT81</f>
        <v>0</v>
      </c>
      <c r="H81" s="127">
        <f>'Monthly Data'!BY81</f>
        <v>0</v>
      </c>
      <c r="I81">
        <f>'Monthly Data'!CC81</f>
        <v>31</v>
      </c>
      <c r="K81">
        <f>'Large Use OLS Model'!$B$5</f>
        <v>-19707994.0131674</v>
      </c>
      <c r="L81" s="186">
        <f>'Large Use OLS Model'!$B$6*D81</f>
        <v>3665308.2805997659</v>
      </c>
      <c r="M81" s="186">
        <f>'Large Use OLS Model'!$B$7*E81</f>
        <v>23833835.718213573</v>
      </c>
      <c r="N81" s="186">
        <v>0</v>
      </c>
      <c r="O81" s="186">
        <f>'Large Use OLS Model'!$B$8*G81</f>
        <v>0</v>
      </c>
      <c r="P81" s="186">
        <f>'Large Use OLS Model'!$B$9*H81</f>
        <v>0</v>
      </c>
      <c r="Q81" s="186">
        <f>'Large Use OLS Model'!$B$10*I81</f>
        <v>21377604.951162424</v>
      </c>
      <c r="R81">
        <f t="shared" si="7"/>
        <v>29168754.936808363</v>
      </c>
      <c r="S81" s="24">
        <f t="shared" ca="1" si="8"/>
        <v>1.9563405938150362E-2</v>
      </c>
    </row>
    <row r="82" spans="1:19">
      <c r="A82" s="26">
        <f>'Monthly Data'!A82</f>
        <v>42248</v>
      </c>
      <c r="B82">
        <f t="shared" si="6"/>
        <v>2015</v>
      </c>
      <c r="C82">
        <f ca="1">'Monthly Data'!AE82</f>
        <v>26713798.003313057</v>
      </c>
      <c r="D82">
        <f>'Monthly Data'!BI82</f>
        <v>109.19999999999997</v>
      </c>
      <c r="E82" s="124">
        <f>'Monthly Data'!BJ82</f>
        <v>6941.1</v>
      </c>
      <c r="F82">
        <f>'Monthly Data'!BM82</f>
        <v>81</v>
      </c>
      <c r="G82">
        <f>'Monthly Data'!BT82</f>
        <v>0</v>
      </c>
      <c r="H82" s="127">
        <f>'Monthly Data'!BY82</f>
        <v>0</v>
      </c>
      <c r="I82">
        <f>'Monthly Data'!CC82</f>
        <v>30</v>
      </c>
      <c r="K82">
        <f>'Large Use OLS Model'!$B$5</f>
        <v>-19707994.0131674</v>
      </c>
      <c r="L82" s="186">
        <f>'Large Use OLS Model'!$B$6*D82</f>
        <v>2885736.5842933985</v>
      </c>
      <c r="M82" s="186">
        <f>'Large Use OLS Model'!$B$7*E82</f>
        <v>23806054.956497476</v>
      </c>
      <c r="N82" s="186">
        <v>0</v>
      </c>
      <c r="O82" s="186">
        <f>'Large Use OLS Model'!$B$8*G82</f>
        <v>0</v>
      </c>
      <c r="P82" s="186">
        <f>'Large Use OLS Model'!$B$9*H82</f>
        <v>0</v>
      </c>
      <c r="Q82" s="186">
        <f>'Large Use OLS Model'!$B$10*I82</f>
        <v>20688004.791447509</v>
      </c>
      <c r="R82">
        <f t="shared" si="7"/>
        <v>27671802.319070984</v>
      </c>
      <c r="S82" s="24">
        <f t="shared" ca="1" si="8"/>
        <v>3.5861778832014621E-2</v>
      </c>
    </row>
    <row r="83" spans="1:19">
      <c r="A83" s="26">
        <f>'Monthly Data'!A83</f>
        <v>42278</v>
      </c>
      <c r="B83">
        <f t="shared" si="6"/>
        <v>2015</v>
      </c>
      <c r="C83">
        <f ca="1">'Monthly Data'!AE83</f>
        <v>25441621.893313058</v>
      </c>
      <c r="D83">
        <f>'Monthly Data'!BI83</f>
        <v>2.6</v>
      </c>
      <c r="E83" s="124">
        <f>'Monthly Data'!BJ83</f>
        <v>6934.8</v>
      </c>
      <c r="F83">
        <f>'Monthly Data'!BM83</f>
        <v>82</v>
      </c>
      <c r="G83">
        <f>'Monthly Data'!BT83</f>
        <v>0</v>
      </c>
      <c r="H83" s="127">
        <f>'Monthly Data'!BY83</f>
        <v>0</v>
      </c>
      <c r="I83">
        <f>'Monthly Data'!CC83</f>
        <v>31</v>
      </c>
      <c r="K83">
        <f>'Large Use OLS Model'!$B$5</f>
        <v>-19707994.0131674</v>
      </c>
      <c r="L83" s="186">
        <f>'Large Use OLS Model'!$B$6*D83</f>
        <v>68708.013911747606</v>
      </c>
      <c r="M83" s="186">
        <f>'Large Use OLS Model'!$B$7*E83</f>
        <v>23784447.69738495</v>
      </c>
      <c r="N83" s="186">
        <v>0</v>
      </c>
      <c r="O83" s="186">
        <f>'Large Use OLS Model'!$B$8*G83</f>
        <v>0</v>
      </c>
      <c r="P83" s="186">
        <f>'Large Use OLS Model'!$B$9*H83</f>
        <v>0</v>
      </c>
      <c r="Q83" s="186">
        <f>'Large Use OLS Model'!$B$10*I83</f>
        <v>21377604.951162424</v>
      </c>
      <c r="R83">
        <f t="shared" si="7"/>
        <v>25522766.64929172</v>
      </c>
      <c r="S83" s="24">
        <f t="shared" ca="1" si="8"/>
        <v>3.1894490185781035E-3</v>
      </c>
    </row>
    <row r="84" spans="1:19">
      <c r="A84" s="26">
        <f>'Monthly Data'!A84</f>
        <v>42309</v>
      </c>
      <c r="B84">
        <f t="shared" si="6"/>
        <v>2015</v>
      </c>
      <c r="C84">
        <f ca="1">'Monthly Data'!AE84</f>
        <v>24220410.913313061</v>
      </c>
      <c r="D84">
        <f>'Monthly Data'!BI84</f>
        <v>0.5</v>
      </c>
      <c r="E84" s="124">
        <f>'Monthly Data'!BJ84</f>
        <v>6928.3</v>
      </c>
      <c r="F84">
        <f>'Monthly Data'!BM84</f>
        <v>83</v>
      </c>
      <c r="G84">
        <f>'Monthly Data'!BT84</f>
        <v>0</v>
      </c>
      <c r="H84" s="127">
        <f>'Monthly Data'!BY84</f>
        <v>0</v>
      </c>
      <c r="I84">
        <f>'Monthly Data'!CC84</f>
        <v>30</v>
      </c>
      <c r="K84">
        <f>'Large Use OLS Model'!$B$5</f>
        <v>-19707994.0131674</v>
      </c>
      <c r="L84" s="186">
        <f>'Large Use OLS Model'!$B$6*D84</f>
        <v>13213.079598413</v>
      </c>
      <c r="M84" s="186">
        <f>'Large Use OLS Model'!$B$7*E84</f>
        <v>23762154.493538696</v>
      </c>
      <c r="N84" s="186">
        <v>0</v>
      </c>
      <c r="O84" s="186">
        <f>'Large Use OLS Model'!$B$8*G84</f>
        <v>0</v>
      </c>
      <c r="P84" s="186">
        <f>'Large Use OLS Model'!$B$9*H84</f>
        <v>0</v>
      </c>
      <c r="Q84" s="186">
        <f>'Large Use OLS Model'!$B$10*I84</f>
        <v>20688004.791447509</v>
      </c>
      <c r="R84">
        <f t="shared" si="7"/>
        <v>24755378.351417217</v>
      </c>
      <c r="S84" s="24">
        <f t="shared" ca="1" si="8"/>
        <v>2.2087463339034625E-2</v>
      </c>
    </row>
    <row r="85" spans="1:19">
      <c r="A85" s="26">
        <f>'Monthly Data'!A85</f>
        <v>42339</v>
      </c>
      <c r="B85">
        <f t="shared" si="6"/>
        <v>2015</v>
      </c>
      <c r="C85">
        <f ca="1">'Monthly Data'!AE85</f>
        <v>23661661.963313058</v>
      </c>
      <c r="D85">
        <f>'Monthly Data'!BI85</f>
        <v>0</v>
      </c>
      <c r="E85" s="124">
        <f>'Monthly Data'!BJ85</f>
        <v>6942.8</v>
      </c>
      <c r="F85">
        <f>'Monthly Data'!BM85</f>
        <v>84</v>
      </c>
      <c r="G85">
        <f>'Monthly Data'!BT85</f>
        <v>0</v>
      </c>
      <c r="H85" s="127">
        <f>'Monthly Data'!BY85</f>
        <v>1</v>
      </c>
      <c r="I85">
        <f>'Monthly Data'!CC85</f>
        <v>31</v>
      </c>
      <c r="K85">
        <f>'Large Use OLS Model'!$B$5</f>
        <v>-19707994.0131674</v>
      </c>
      <c r="L85" s="186">
        <f>'Large Use OLS Model'!$B$6*D85</f>
        <v>0</v>
      </c>
      <c r="M85" s="186">
        <f>'Large Use OLS Model'!$B$7*E85</f>
        <v>23811885.486734185</v>
      </c>
      <c r="N85" s="186">
        <v>0</v>
      </c>
      <c r="O85" s="186">
        <f>'Large Use OLS Model'!$B$8*G85</f>
        <v>0</v>
      </c>
      <c r="P85" s="186">
        <f>'Large Use OLS Model'!$B$9*H85</f>
        <v>-2219022.2541699898</v>
      </c>
      <c r="Q85" s="186">
        <f>'Large Use OLS Model'!$B$10*I85</f>
        <v>21377604.951162424</v>
      </c>
      <c r="R85">
        <f t="shared" si="7"/>
        <v>23262474.17055922</v>
      </c>
      <c r="S85" s="24">
        <f t="shared" ca="1" si="8"/>
        <v>1.687065741082646E-2</v>
      </c>
    </row>
    <row r="86" spans="1:19">
      <c r="A86" s="26">
        <f>'Monthly Data'!A86</f>
        <v>42370</v>
      </c>
      <c r="B86">
        <f t="shared" si="6"/>
        <v>2016</v>
      </c>
      <c r="C86">
        <f ca="1">'Monthly Data'!AE86</f>
        <v>25090154.590573408</v>
      </c>
      <c r="D86">
        <f>'Monthly Data'!BI86</f>
        <v>0</v>
      </c>
      <c r="E86" s="124">
        <f>'Monthly Data'!BJ86</f>
        <v>6956.6</v>
      </c>
      <c r="F86">
        <f>'Monthly Data'!BM86</f>
        <v>85</v>
      </c>
      <c r="G86">
        <f>'Monthly Data'!BT86</f>
        <v>0</v>
      </c>
      <c r="H86" s="127">
        <f>'Monthly Data'!BY86</f>
        <v>0</v>
      </c>
      <c r="I86">
        <f>'Monthly Data'!CC86</f>
        <v>31</v>
      </c>
      <c r="K86">
        <f>'Large Use OLS Model'!$B$5</f>
        <v>-19707994.0131674</v>
      </c>
      <c r="L86" s="186">
        <f>'Large Use OLS Model'!$B$6*D86</f>
        <v>0</v>
      </c>
      <c r="M86" s="186">
        <f>'Large Use OLS Model'!$B$7*E86</f>
        <v>23859215.673361618</v>
      </c>
      <c r="N86" s="186">
        <v>0</v>
      </c>
      <c r="O86" s="186">
        <f>'Large Use OLS Model'!$B$8*G86</f>
        <v>0</v>
      </c>
      <c r="P86" s="186">
        <f>'Large Use OLS Model'!$B$9*H86</f>
        <v>0</v>
      </c>
      <c r="Q86" s="186">
        <f>'Large Use OLS Model'!$B$10*I86</f>
        <v>21377604.951162424</v>
      </c>
      <c r="R86">
        <f t="shared" ref="R86:R97" si="9">SUM(K86:Q86)</f>
        <v>25528826.611356642</v>
      </c>
      <c r="S86" s="24">
        <f t="shared" ref="S86:S97" ca="1" si="10">ABS(R86-C86)/C86</f>
        <v>1.748383092657577E-2</v>
      </c>
    </row>
    <row r="87" spans="1:19">
      <c r="A87" s="26">
        <f>'Monthly Data'!A87</f>
        <v>42401</v>
      </c>
      <c r="B87">
        <f t="shared" si="6"/>
        <v>2016</v>
      </c>
      <c r="C87">
        <f ca="1">'Monthly Data'!AE87</f>
        <v>24396990.330573406</v>
      </c>
      <c r="D87">
        <f>'Monthly Data'!BI87</f>
        <v>0</v>
      </c>
      <c r="E87" s="124">
        <f>'Monthly Data'!BJ87</f>
        <v>6968.5</v>
      </c>
      <c r="F87">
        <f>'Monthly Data'!BM87</f>
        <v>86</v>
      </c>
      <c r="G87">
        <f>'Monthly Data'!BT87</f>
        <v>0</v>
      </c>
      <c r="H87" s="127">
        <f>'Monthly Data'!BY87</f>
        <v>0</v>
      </c>
      <c r="I87">
        <f>'Monthly Data'!CC87</f>
        <v>29</v>
      </c>
      <c r="K87">
        <f>'Large Use OLS Model'!$B$5</f>
        <v>-19707994.0131674</v>
      </c>
      <c r="L87" s="186">
        <f>'Large Use OLS Model'!$B$6*D87</f>
        <v>0</v>
      </c>
      <c r="M87" s="186">
        <f>'Large Use OLS Model'!$B$7*E87</f>
        <v>23900029.385018606</v>
      </c>
      <c r="N87" s="186">
        <v>0</v>
      </c>
      <c r="O87" s="186">
        <f>'Large Use OLS Model'!$B$8*G87</f>
        <v>0</v>
      </c>
      <c r="P87" s="186">
        <f>'Large Use OLS Model'!$B$9*H87</f>
        <v>0</v>
      </c>
      <c r="Q87" s="186">
        <f>'Large Use OLS Model'!$B$10*I87</f>
        <v>19998404.63173259</v>
      </c>
      <c r="R87">
        <f t="shared" si="9"/>
        <v>24190440.003583796</v>
      </c>
      <c r="S87" s="24">
        <f t="shared" ca="1" si="10"/>
        <v>8.4662216195892214E-3</v>
      </c>
    </row>
    <row r="88" spans="1:19">
      <c r="A88" s="26">
        <f>'Monthly Data'!A88</f>
        <v>42430</v>
      </c>
      <c r="B88">
        <f t="shared" si="6"/>
        <v>2016</v>
      </c>
      <c r="C88">
        <f ca="1">'Monthly Data'!AE88</f>
        <v>27149345.800573409</v>
      </c>
      <c r="D88">
        <f>'Monthly Data'!BI88</f>
        <v>0</v>
      </c>
      <c r="E88" s="124">
        <f>'Monthly Data'!BJ88</f>
        <v>6975.7</v>
      </c>
      <c r="F88">
        <f>'Monthly Data'!BM88</f>
        <v>87</v>
      </c>
      <c r="G88">
        <f>'Monthly Data'!BT88</f>
        <v>0</v>
      </c>
      <c r="H88" s="127">
        <f>'Monthly Data'!BY88</f>
        <v>0</v>
      </c>
      <c r="I88">
        <f>'Monthly Data'!CC88</f>
        <v>31</v>
      </c>
      <c r="K88">
        <f>'Large Use OLS Model'!$B$5</f>
        <v>-19707994.0131674</v>
      </c>
      <c r="L88" s="186">
        <f>'Large Use OLS Model'!$B$6*D88</f>
        <v>0</v>
      </c>
      <c r="M88" s="186">
        <f>'Large Use OLS Model'!$B$7*E88</f>
        <v>23924723.395432916</v>
      </c>
      <c r="N88" s="186">
        <v>0</v>
      </c>
      <c r="O88" s="186">
        <f>'Large Use OLS Model'!$B$8*G88</f>
        <v>0</v>
      </c>
      <c r="P88" s="186">
        <f>'Large Use OLS Model'!$B$9*H88</f>
        <v>0</v>
      </c>
      <c r="Q88" s="186">
        <f>'Large Use OLS Model'!$B$10*I88</f>
        <v>21377604.951162424</v>
      </c>
      <c r="R88">
        <f t="shared" si="9"/>
        <v>25594334.33342794</v>
      </c>
      <c r="S88" s="24">
        <f t="shared" ca="1" si="10"/>
        <v>5.7276203948627979E-2</v>
      </c>
    </row>
    <row r="89" spans="1:19">
      <c r="A89" s="26">
        <f>'Monthly Data'!A89</f>
        <v>42461</v>
      </c>
      <c r="B89">
        <f t="shared" si="6"/>
        <v>2016</v>
      </c>
      <c r="C89">
        <f ca="1">'Monthly Data'!AE89</f>
        <v>27647505.130573407</v>
      </c>
      <c r="D89">
        <f>'Monthly Data'!BI89</f>
        <v>0</v>
      </c>
      <c r="E89" s="124">
        <f>'Monthly Data'!BJ89</f>
        <v>6979.7</v>
      </c>
      <c r="F89">
        <f>'Monthly Data'!BM89</f>
        <v>88</v>
      </c>
      <c r="G89">
        <f>'Monthly Data'!BT89</f>
        <v>0</v>
      </c>
      <c r="H89" s="127">
        <f>'Monthly Data'!BY89</f>
        <v>0</v>
      </c>
      <c r="I89">
        <f>'Monthly Data'!CC89</f>
        <v>30</v>
      </c>
      <c r="K89">
        <f>'Large Use OLS Model'!$B$5</f>
        <v>-19707994.0131674</v>
      </c>
      <c r="L89" s="186">
        <f>'Large Use OLS Model'!$B$6*D89</f>
        <v>0</v>
      </c>
      <c r="M89" s="186">
        <f>'Large Use OLS Model'!$B$7*E89</f>
        <v>23938442.290107537</v>
      </c>
      <c r="N89" s="186">
        <v>0</v>
      </c>
      <c r="O89" s="186">
        <f>'Large Use OLS Model'!$B$8*G89</f>
        <v>0</v>
      </c>
      <c r="P89" s="186">
        <f>'Large Use OLS Model'!$B$9*H89</f>
        <v>0</v>
      </c>
      <c r="Q89" s="186">
        <f>'Large Use OLS Model'!$B$10*I89</f>
        <v>20688004.791447509</v>
      </c>
      <c r="R89">
        <f t="shared" si="9"/>
        <v>24918453.068387646</v>
      </c>
      <c r="S89" s="24">
        <f t="shared" ca="1" si="10"/>
        <v>9.8708800280423725E-2</v>
      </c>
    </row>
    <row r="90" spans="1:19">
      <c r="A90" s="26">
        <f>'Monthly Data'!A90</f>
        <v>42491</v>
      </c>
      <c r="B90">
        <f t="shared" si="6"/>
        <v>2016</v>
      </c>
      <c r="C90">
        <f ca="1">'Monthly Data'!AE90</f>
        <v>28570914.350573409</v>
      </c>
      <c r="D90">
        <f>'Monthly Data'!BI90</f>
        <v>47</v>
      </c>
      <c r="E90" s="124">
        <f>'Monthly Data'!BJ90</f>
        <v>6990.5</v>
      </c>
      <c r="F90">
        <f>'Monthly Data'!BM90</f>
        <v>89</v>
      </c>
      <c r="G90">
        <f>'Monthly Data'!BT90</f>
        <v>0</v>
      </c>
      <c r="H90" s="127">
        <f>'Monthly Data'!BY90</f>
        <v>0</v>
      </c>
      <c r="I90">
        <f>'Monthly Data'!CC90</f>
        <v>31</v>
      </c>
      <c r="K90">
        <f>'Large Use OLS Model'!$B$5</f>
        <v>-19707994.0131674</v>
      </c>
      <c r="L90" s="186">
        <f>'Large Use OLS Model'!$B$6*D90</f>
        <v>1242029.482250822</v>
      </c>
      <c r="M90" s="186">
        <f>'Large Use OLS Model'!$B$7*E90</f>
        <v>23975483.305729005</v>
      </c>
      <c r="N90" s="186">
        <v>0</v>
      </c>
      <c r="O90" s="186">
        <f>'Large Use OLS Model'!$B$8*G90</f>
        <v>0</v>
      </c>
      <c r="P90" s="186">
        <f>'Large Use OLS Model'!$B$9*H90</f>
        <v>0</v>
      </c>
      <c r="Q90" s="186">
        <f>'Large Use OLS Model'!$B$10*I90</f>
        <v>21377604.951162424</v>
      </c>
      <c r="R90">
        <f t="shared" si="9"/>
        <v>26887123.72597485</v>
      </c>
      <c r="S90" s="24">
        <f t="shared" ca="1" si="10"/>
        <v>5.8933732534351524E-2</v>
      </c>
    </row>
    <row r="91" spans="1:19">
      <c r="A91" s="26">
        <f>'Monthly Data'!A91</f>
        <v>42522</v>
      </c>
      <c r="B91">
        <f t="shared" si="6"/>
        <v>2016</v>
      </c>
      <c r="C91">
        <f ca="1">'Monthly Data'!AE91</f>
        <v>29314407.180573408</v>
      </c>
      <c r="D91">
        <f>'Monthly Data'!BI91</f>
        <v>127.2</v>
      </c>
      <c r="E91" s="124">
        <f>'Monthly Data'!BJ91</f>
        <v>6998.8</v>
      </c>
      <c r="F91">
        <f>'Monthly Data'!BM91</f>
        <v>90</v>
      </c>
      <c r="G91">
        <f>'Monthly Data'!BT91</f>
        <v>0</v>
      </c>
      <c r="H91" s="127">
        <f>'Monthly Data'!BY91</f>
        <v>0</v>
      </c>
      <c r="I91">
        <f>'Monthly Data'!CC91</f>
        <v>30</v>
      </c>
      <c r="K91">
        <f>'Large Use OLS Model'!$B$5</f>
        <v>-19707994.0131674</v>
      </c>
      <c r="L91" s="186">
        <f>'Large Use OLS Model'!$B$6*D91</f>
        <v>3361407.4498362672</v>
      </c>
      <c r="M91" s="186">
        <f>'Large Use OLS Model'!$B$7*E91</f>
        <v>24003950.012178838</v>
      </c>
      <c r="N91" s="186">
        <v>0</v>
      </c>
      <c r="O91" s="186">
        <f>'Large Use OLS Model'!$B$8*G91</f>
        <v>0</v>
      </c>
      <c r="P91" s="186">
        <f>'Large Use OLS Model'!$B$9*H91</f>
        <v>0</v>
      </c>
      <c r="Q91" s="186">
        <f>'Large Use OLS Model'!$B$10*I91</f>
        <v>20688004.791447509</v>
      </c>
      <c r="R91">
        <f t="shared" si="9"/>
        <v>28345368.240295216</v>
      </c>
      <c r="S91" s="24">
        <f t="shared" ca="1" si="10"/>
        <v>3.3056746954117873E-2</v>
      </c>
    </row>
    <row r="92" spans="1:19">
      <c r="A92" s="26">
        <f>'Monthly Data'!A92</f>
        <v>42552</v>
      </c>
      <c r="B92">
        <f t="shared" si="6"/>
        <v>2016</v>
      </c>
      <c r="C92">
        <f ca="1">'Monthly Data'!AE92</f>
        <v>30213662.17057341</v>
      </c>
      <c r="D92">
        <f>'Monthly Data'!BI92</f>
        <v>213.1</v>
      </c>
      <c r="E92" s="124">
        <f>'Monthly Data'!BJ92</f>
        <v>6995</v>
      </c>
      <c r="F92">
        <f>'Monthly Data'!BM92</f>
        <v>91</v>
      </c>
      <c r="G92">
        <f>'Monthly Data'!BT92</f>
        <v>1</v>
      </c>
      <c r="H92" s="127">
        <f>'Monthly Data'!BY92</f>
        <v>0</v>
      </c>
      <c r="I92">
        <f>'Monthly Data'!CC92</f>
        <v>31</v>
      </c>
      <c r="K92">
        <f>'Large Use OLS Model'!$B$5</f>
        <v>-19707994.0131674</v>
      </c>
      <c r="L92" s="186">
        <f>'Large Use OLS Model'!$B$6*D92</f>
        <v>5631414.5248436201</v>
      </c>
      <c r="M92" s="186">
        <f>'Large Use OLS Model'!$B$7*E92</f>
        <v>23990917.062237948</v>
      </c>
      <c r="N92" s="186">
        <v>0</v>
      </c>
      <c r="O92" s="186">
        <f>'Large Use OLS Model'!$B$8*G92</f>
        <v>-1563237.6990636101</v>
      </c>
      <c r="P92" s="186">
        <f>'Large Use OLS Model'!$B$9*H92</f>
        <v>0</v>
      </c>
      <c r="Q92" s="186">
        <f>'Large Use OLS Model'!$B$10*I92</f>
        <v>21377604.951162424</v>
      </c>
      <c r="R92">
        <f t="shared" si="9"/>
        <v>29728704.826012984</v>
      </c>
      <c r="S92" s="24">
        <f t="shared" ca="1" si="10"/>
        <v>1.6050928941435966E-2</v>
      </c>
    </row>
    <row r="93" spans="1:19">
      <c r="A93" s="26">
        <f>'Monthly Data'!A93</f>
        <v>42583</v>
      </c>
      <c r="B93">
        <f t="shared" si="6"/>
        <v>2016</v>
      </c>
      <c r="C93">
        <f ca="1">'Monthly Data'!AE93</f>
        <v>31803691.650573406</v>
      </c>
      <c r="D93">
        <f>'Monthly Data'!BI93</f>
        <v>219</v>
      </c>
      <c r="E93" s="124">
        <f>'Monthly Data'!BJ93</f>
        <v>6991</v>
      </c>
      <c r="F93">
        <f>'Monthly Data'!BM93</f>
        <v>92</v>
      </c>
      <c r="G93">
        <f>'Monthly Data'!BT93</f>
        <v>0</v>
      </c>
      <c r="H93" s="127">
        <f>'Monthly Data'!BY93</f>
        <v>0</v>
      </c>
      <c r="I93">
        <f>'Monthly Data'!CC93</f>
        <v>31</v>
      </c>
      <c r="K93">
        <f>'Large Use OLS Model'!$B$5</f>
        <v>-19707994.0131674</v>
      </c>
      <c r="L93" s="186">
        <f>'Large Use OLS Model'!$B$6*D93</f>
        <v>5787328.864104894</v>
      </c>
      <c r="M93" s="186">
        <f>'Large Use OLS Model'!$B$7*E93</f>
        <v>23977198.16756333</v>
      </c>
      <c r="N93" s="186">
        <v>0</v>
      </c>
      <c r="O93" s="186">
        <f>'Large Use OLS Model'!$B$8*G93</f>
        <v>0</v>
      </c>
      <c r="P93" s="186">
        <f>'Large Use OLS Model'!$B$9*H93</f>
        <v>0</v>
      </c>
      <c r="Q93" s="186">
        <f>'Large Use OLS Model'!$B$10*I93</f>
        <v>21377604.951162424</v>
      </c>
      <c r="R93">
        <f t="shared" si="9"/>
        <v>31434137.969663247</v>
      </c>
      <c r="S93" s="24">
        <f t="shared" ca="1" si="10"/>
        <v>1.161983599169677E-2</v>
      </c>
    </row>
    <row r="94" spans="1:19">
      <c r="A94" s="26">
        <f>'Monthly Data'!A94</f>
        <v>42614</v>
      </c>
      <c r="B94">
        <f t="shared" si="6"/>
        <v>2016</v>
      </c>
      <c r="C94">
        <f ca="1">'Monthly Data'!AE94</f>
        <v>28562406.850573409</v>
      </c>
      <c r="D94">
        <f>'Monthly Data'!BI94</f>
        <v>90.1</v>
      </c>
      <c r="E94" s="124">
        <f>'Monthly Data'!BJ94</f>
        <v>6989.1</v>
      </c>
      <c r="F94">
        <f>'Monthly Data'!BM94</f>
        <v>93</v>
      </c>
      <c r="G94">
        <f>'Monthly Data'!BT94</f>
        <v>0</v>
      </c>
      <c r="H94" s="127">
        <f>'Monthly Data'!BY94</f>
        <v>0</v>
      </c>
      <c r="I94">
        <f>'Monthly Data'!CC94</f>
        <v>30</v>
      </c>
      <c r="K94">
        <f>'Large Use OLS Model'!$B$5</f>
        <v>-19707994.0131674</v>
      </c>
      <c r="L94" s="186">
        <f>'Large Use OLS Model'!$B$6*D94</f>
        <v>2380996.9436340225</v>
      </c>
      <c r="M94" s="186">
        <f>'Large Use OLS Model'!$B$7*E94</f>
        <v>23970681.692592889</v>
      </c>
      <c r="N94" s="186">
        <v>0</v>
      </c>
      <c r="O94" s="186">
        <f>'Large Use OLS Model'!$B$8*G94</f>
        <v>0</v>
      </c>
      <c r="P94" s="186">
        <f>'Large Use OLS Model'!$B$9*H94</f>
        <v>0</v>
      </c>
      <c r="Q94" s="186">
        <f>'Large Use OLS Model'!$B$10*I94</f>
        <v>20688004.791447509</v>
      </c>
      <c r="R94">
        <f t="shared" si="9"/>
        <v>27331689.41450702</v>
      </c>
      <c r="S94" s="24">
        <f t="shared" ca="1" si="10"/>
        <v>4.3088715965184203E-2</v>
      </c>
    </row>
    <row r="95" spans="1:19">
      <c r="A95" s="26">
        <f>'Monthly Data'!A95</f>
        <v>42644</v>
      </c>
      <c r="B95">
        <f t="shared" si="6"/>
        <v>2016</v>
      </c>
      <c r="C95">
        <f ca="1">'Monthly Data'!AE95</f>
        <v>27098824.600573409</v>
      </c>
      <c r="D95">
        <f>'Monthly Data'!BI95</f>
        <v>22.7</v>
      </c>
      <c r="E95" s="124">
        <f>'Monthly Data'!BJ95</f>
        <v>7005.5</v>
      </c>
      <c r="F95">
        <f>'Monthly Data'!BM95</f>
        <v>94</v>
      </c>
      <c r="G95">
        <f>'Monthly Data'!BT95</f>
        <v>0</v>
      </c>
      <c r="H95" s="127">
        <f>'Monthly Data'!BY95</f>
        <v>0</v>
      </c>
      <c r="I95">
        <f>'Monthly Data'!CC95</f>
        <v>31</v>
      </c>
      <c r="K95">
        <f>'Large Use OLS Model'!$B$5</f>
        <v>-19707994.0131674</v>
      </c>
      <c r="L95" s="186">
        <f>'Large Use OLS Model'!$B$6*D95</f>
        <v>599873.81376795017</v>
      </c>
      <c r="M95" s="186">
        <f>'Large Use OLS Model'!$B$7*E95</f>
        <v>24026929.160758819</v>
      </c>
      <c r="N95" s="186">
        <v>0</v>
      </c>
      <c r="O95" s="186">
        <f>'Large Use OLS Model'!$B$8*G95</f>
        <v>0</v>
      </c>
      <c r="P95" s="186">
        <f>'Large Use OLS Model'!$B$9*H95</f>
        <v>0</v>
      </c>
      <c r="Q95" s="186">
        <f>'Large Use OLS Model'!$B$10*I95</f>
        <v>21377604.951162424</v>
      </c>
      <c r="R95">
        <f t="shared" si="9"/>
        <v>26296413.912521794</v>
      </c>
      <c r="S95" s="24">
        <f t="shared" ca="1" si="10"/>
        <v>2.9610534769638531E-2</v>
      </c>
    </row>
    <row r="96" spans="1:19">
      <c r="A96" s="26">
        <f>'Monthly Data'!A96</f>
        <v>42675</v>
      </c>
      <c r="B96">
        <f t="shared" si="6"/>
        <v>2016</v>
      </c>
      <c r="C96">
        <f ca="1">'Monthly Data'!AE96</f>
        <v>25594458.180573408</v>
      </c>
      <c r="D96">
        <f>'Monthly Data'!BI96</f>
        <v>0</v>
      </c>
      <c r="E96" s="124">
        <f>'Monthly Data'!BJ96</f>
        <v>7021.6</v>
      </c>
      <c r="F96">
        <f>'Monthly Data'!BM96</f>
        <v>95</v>
      </c>
      <c r="G96">
        <f>'Monthly Data'!BT96</f>
        <v>0</v>
      </c>
      <c r="H96" s="127">
        <f>'Monthly Data'!BY96</f>
        <v>0</v>
      </c>
      <c r="I96">
        <f>'Monthly Data'!CC96</f>
        <v>30</v>
      </c>
      <c r="K96">
        <f>'Large Use OLS Model'!$B$5</f>
        <v>-19707994.0131674</v>
      </c>
      <c r="L96" s="186">
        <f>'Large Use OLS Model'!$B$6*D96</f>
        <v>0</v>
      </c>
      <c r="M96" s="186">
        <f>'Large Use OLS Model'!$B$7*E96</f>
        <v>24082147.71182416</v>
      </c>
      <c r="N96" s="186">
        <v>0</v>
      </c>
      <c r="O96" s="186">
        <f>'Large Use OLS Model'!$B$8*G96</f>
        <v>0</v>
      </c>
      <c r="P96" s="186">
        <f>'Large Use OLS Model'!$B$9*H96</f>
        <v>0</v>
      </c>
      <c r="Q96" s="186">
        <f>'Large Use OLS Model'!$B$10*I96</f>
        <v>20688004.791447509</v>
      </c>
      <c r="R96">
        <f t="shared" si="9"/>
        <v>25062158.490104269</v>
      </c>
      <c r="S96" s="24">
        <f t="shared" ca="1" si="10"/>
        <v>2.0797458837130692E-2</v>
      </c>
    </row>
    <row r="97" spans="1:19">
      <c r="A97" s="26">
        <f>'Monthly Data'!A97</f>
        <v>42705</v>
      </c>
      <c r="B97">
        <f t="shared" si="6"/>
        <v>2016</v>
      </c>
      <c r="C97">
        <f ca="1">'Monthly Data'!AE97</f>
        <v>23271647.370573409</v>
      </c>
      <c r="D97">
        <f>'Monthly Data'!BI97</f>
        <v>0</v>
      </c>
      <c r="E97" s="124">
        <f>'Monthly Data'!BJ97</f>
        <v>7035.1</v>
      </c>
      <c r="F97">
        <f>'Monthly Data'!BM97</f>
        <v>96</v>
      </c>
      <c r="G97">
        <f>'Monthly Data'!BT97</f>
        <v>0</v>
      </c>
      <c r="H97" s="127">
        <f>'Monthly Data'!BY97</f>
        <v>1</v>
      </c>
      <c r="I97">
        <f>'Monthly Data'!CC97</f>
        <v>31</v>
      </c>
      <c r="K97">
        <f>'Large Use OLS Model'!$B$5</f>
        <v>-19707994.0131674</v>
      </c>
      <c r="L97" s="186">
        <f>'Large Use OLS Model'!$B$6*D97</f>
        <v>0</v>
      </c>
      <c r="M97" s="186">
        <f>'Large Use OLS Model'!$B$7*E97</f>
        <v>24128448.981350996</v>
      </c>
      <c r="N97" s="186">
        <v>0</v>
      </c>
      <c r="O97" s="186">
        <f>'Large Use OLS Model'!$B$8*G97</f>
        <v>0</v>
      </c>
      <c r="P97" s="186">
        <f>'Large Use OLS Model'!$B$9*H97</f>
        <v>-2219022.2541699898</v>
      </c>
      <c r="Q97" s="186">
        <f>'Large Use OLS Model'!$B$10*I97</f>
        <v>21377604.951162424</v>
      </c>
      <c r="R97">
        <f t="shared" si="9"/>
        <v>23579037.66517603</v>
      </c>
      <c r="S97" s="24">
        <f t="shared" ca="1" si="10"/>
        <v>1.3208789636066375E-2</v>
      </c>
    </row>
    <row r="98" spans="1:19" s="127" customFormat="1">
      <c r="A98" s="128">
        <f>'Monthly Data'!A98</f>
        <v>42736</v>
      </c>
      <c r="B98" s="127">
        <f t="shared" ref="B98:B109" si="11">YEAR(A98)</f>
        <v>2017</v>
      </c>
      <c r="C98" s="127">
        <f ca="1">'Monthly Data'!AE98</f>
        <v>24541033.237536147</v>
      </c>
      <c r="D98" s="127">
        <f>'Monthly Data'!BI98</f>
        <v>0</v>
      </c>
      <c r="E98" s="124">
        <f>'Monthly Data'!BJ98</f>
        <v>7049.2</v>
      </c>
      <c r="F98" s="127">
        <f>'Monthly Data'!BM98</f>
        <v>97</v>
      </c>
      <c r="G98" s="127">
        <f>'Monthly Data'!BT98</f>
        <v>0</v>
      </c>
      <c r="H98" s="127">
        <f>'Monthly Data'!BY98</f>
        <v>0</v>
      </c>
      <c r="I98" s="127">
        <f>'Monthly Data'!CC98</f>
        <v>31</v>
      </c>
      <c r="K98" s="127">
        <f>'Large Use OLS Model'!$B$5</f>
        <v>-19707994.0131674</v>
      </c>
      <c r="L98" s="186">
        <f>'Large Use OLS Model'!$B$6*D98</f>
        <v>0</v>
      </c>
      <c r="M98" s="186">
        <f>'Large Use OLS Model'!$B$7*E98</f>
        <v>24176808.085079022</v>
      </c>
      <c r="N98" s="186">
        <v>0</v>
      </c>
      <c r="O98" s="186">
        <f>'Large Use OLS Model'!$B$8*G98</f>
        <v>0</v>
      </c>
      <c r="P98" s="186">
        <f>'Large Use OLS Model'!$B$9*H98</f>
        <v>0</v>
      </c>
      <c r="Q98" s="186">
        <f>'Large Use OLS Model'!$B$10*I98</f>
        <v>21377604.951162424</v>
      </c>
      <c r="R98" s="127">
        <f t="shared" ref="R98:R109" si="12">SUM(K98:Q98)</f>
        <v>25846419.023074046</v>
      </c>
      <c r="S98" s="24">
        <f t="shared" ref="S98:S109" ca="1" si="13">ABS(R98-C98)/C98</f>
        <v>5.3191965183490203E-2</v>
      </c>
    </row>
    <row r="99" spans="1:19" s="127" customFormat="1">
      <c r="A99" s="128">
        <f>'Monthly Data'!A99</f>
        <v>42767</v>
      </c>
      <c r="B99" s="127">
        <f t="shared" si="11"/>
        <v>2017</v>
      </c>
      <c r="C99" s="127">
        <f ca="1">'Monthly Data'!AE99</f>
        <v>22499336.237536147</v>
      </c>
      <c r="D99" s="127">
        <f>'Monthly Data'!BI99</f>
        <v>0</v>
      </c>
      <c r="E99" s="124">
        <f>'Monthly Data'!BJ99</f>
        <v>7062.5</v>
      </c>
      <c r="F99" s="127">
        <f>'Monthly Data'!BM99</f>
        <v>98</v>
      </c>
      <c r="G99" s="127">
        <f>'Monthly Data'!BT99</f>
        <v>0</v>
      </c>
      <c r="H99" s="127">
        <f>'Monthly Data'!BY99</f>
        <v>0</v>
      </c>
      <c r="I99" s="127">
        <f>'Monthly Data'!CC99</f>
        <v>28</v>
      </c>
      <c r="K99" s="127">
        <f>'Large Use OLS Model'!$B$5</f>
        <v>-19707994.0131674</v>
      </c>
      <c r="L99" s="186">
        <f>'Large Use OLS Model'!$B$6*D99</f>
        <v>0</v>
      </c>
      <c r="M99" s="186">
        <f>'Large Use OLS Model'!$B$7*E99</f>
        <v>24222423.409872126</v>
      </c>
      <c r="N99" s="186">
        <v>0</v>
      </c>
      <c r="O99" s="186">
        <f>'Large Use OLS Model'!$B$8*G99</f>
        <v>0</v>
      </c>
      <c r="P99" s="186">
        <f>'Large Use OLS Model'!$B$9*H99</f>
        <v>0</v>
      </c>
      <c r="Q99" s="186">
        <f>'Large Use OLS Model'!$B$10*I99</f>
        <v>19308804.472017676</v>
      </c>
      <c r="R99" s="127">
        <f t="shared" si="12"/>
        <v>23823233.868722402</v>
      </c>
      <c r="S99" s="24">
        <f t="shared" ca="1" si="13"/>
        <v>5.8841630580086457E-2</v>
      </c>
    </row>
    <row r="100" spans="1:19" s="127" customFormat="1">
      <c r="A100" s="128">
        <f>'Monthly Data'!A100</f>
        <v>42795</v>
      </c>
      <c r="B100" s="127">
        <f t="shared" si="11"/>
        <v>2017</v>
      </c>
      <c r="C100" s="127">
        <f ca="1">'Monthly Data'!AE100</f>
        <v>24743226.817536149</v>
      </c>
      <c r="D100" s="127">
        <f>'Monthly Data'!BI100</f>
        <v>0</v>
      </c>
      <c r="E100" s="124">
        <f>'Monthly Data'!BJ100</f>
        <v>7071</v>
      </c>
      <c r="F100" s="127">
        <f>'Monthly Data'!BM100</f>
        <v>99</v>
      </c>
      <c r="G100" s="127">
        <f>'Monthly Data'!BT100</f>
        <v>0</v>
      </c>
      <c r="H100" s="127">
        <f>'Monthly Data'!BY100</f>
        <v>0</v>
      </c>
      <c r="I100" s="127">
        <f>'Monthly Data'!CC100</f>
        <v>31</v>
      </c>
      <c r="K100" s="127">
        <f>'Large Use OLS Model'!$B$5</f>
        <v>-19707994.0131674</v>
      </c>
      <c r="L100" s="186">
        <f>'Large Use OLS Model'!$B$6*D100</f>
        <v>0</v>
      </c>
      <c r="M100" s="186">
        <f>'Large Use OLS Model'!$B$7*E100</f>
        <v>24251576.061055686</v>
      </c>
      <c r="N100" s="186">
        <v>0</v>
      </c>
      <c r="O100" s="186">
        <f>'Large Use OLS Model'!$B$8*G100</f>
        <v>0</v>
      </c>
      <c r="P100" s="186">
        <f>'Large Use OLS Model'!$B$9*H100</f>
        <v>0</v>
      </c>
      <c r="Q100" s="186">
        <f>'Large Use OLS Model'!$B$10*I100</f>
        <v>21377604.951162424</v>
      </c>
      <c r="R100" s="127">
        <f t="shared" si="12"/>
        <v>25921186.99905071</v>
      </c>
      <c r="S100" s="24">
        <f t="shared" ca="1" si="13"/>
        <v>4.7607379191129229E-2</v>
      </c>
    </row>
    <row r="101" spans="1:19" s="127" customFormat="1">
      <c r="A101" s="128">
        <f>'Monthly Data'!A101</f>
        <v>42826</v>
      </c>
      <c r="B101" s="127">
        <f t="shared" si="11"/>
        <v>2017</v>
      </c>
      <c r="C101" s="127">
        <f ca="1">'Monthly Data'!AE101</f>
        <v>23949395.767536148</v>
      </c>
      <c r="D101" s="127">
        <f>'Monthly Data'!BI101</f>
        <v>6.1</v>
      </c>
      <c r="E101" s="124">
        <f>'Monthly Data'!BJ101</f>
        <v>7073.2</v>
      </c>
      <c r="F101" s="127">
        <f>'Monthly Data'!BM101</f>
        <v>100</v>
      </c>
      <c r="G101" s="127">
        <f>'Monthly Data'!BT101</f>
        <v>0</v>
      </c>
      <c r="H101" s="127">
        <f>'Monthly Data'!BY101</f>
        <v>0</v>
      </c>
      <c r="I101" s="127">
        <f>'Monthly Data'!CC101</f>
        <v>30</v>
      </c>
      <c r="K101" s="127">
        <f>'Large Use OLS Model'!$B$5</f>
        <v>-19707994.0131674</v>
      </c>
      <c r="L101" s="186">
        <f>'Large Use OLS Model'!$B$6*D101</f>
        <v>161199.5711006386</v>
      </c>
      <c r="M101" s="186">
        <f>'Large Use OLS Model'!$B$7*E101</f>
        <v>24259121.453126729</v>
      </c>
      <c r="N101" s="186">
        <v>0</v>
      </c>
      <c r="O101" s="186">
        <f>'Large Use OLS Model'!$B$8*G101</f>
        <v>0</v>
      </c>
      <c r="P101" s="186">
        <f>'Large Use OLS Model'!$B$9*H101</f>
        <v>0</v>
      </c>
      <c r="Q101" s="186">
        <f>'Large Use OLS Model'!$B$10*I101</f>
        <v>20688004.791447509</v>
      </c>
      <c r="R101" s="127">
        <f t="shared" si="12"/>
        <v>25400331.802507475</v>
      </c>
      <c r="S101" s="24">
        <f t="shared" ca="1" si="13"/>
        <v>6.058340882812991E-2</v>
      </c>
    </row>
    <row r="102" spans="1:19" s="127" customFormat="1">
      <c r="A102" s="128">
        <f>'Monthly Data'!A102</f>
        <v>42856</v>
      </c>
      <c r="B102" s="127">
        <f t="shared" si="11"/>
        <v>2017</v>
      </c>
      <c r="C102" s="127">
        <f ca="1">'Monthly Data'!AE102</f>
        <v>25751167.427536149</v>
      </c>
      <c r="D102" s="127">
        <f>'Monthly Data'!BI102</f>
        <v>28.5</v>
      </c>
      <c r="E102" s="124">
        <f>'Monthly Data'!BJ102</f>
        <v>7076.2</v>
      </c>
      <c r="F102" s="127">
        <f>'Monthly Data'!BM102</f>
        <v>101</v>
      </c>
      <c r="G102" s="127">
        <f>'Monthly Data'!BT102</f>
        <v>0</v>
      </c>
      <c r="H102" s="127">
        <f>'Monthly Data'!BY102</f>
        <v>0</v>
      </c>
      <c r="I102" s="127">
        <f>'Monthly Data'!CC102</f>
        <v>31</v>
      </c>
      <c r="K102" s="127">
        <f>'Large Use OLS Model'!$B$5</f>
        <v>-19707994.0131674</v>
      </c>
      <c r="L102" s="186">
        <f>'Large Use OLS Model'!$B$6*D102</f>
        <v>753145.53710954101</v>
      </c>
      <c r="M102" s="186">
        <f>'Large Use OLS Model'!$B$7*E102</f>
        <v>24269410.624132689</v>
      </c>
      <c r="N102" s="186">
        <v>0</v>
      </c>
      <c r="O102" s="186">
        <f>'Large Use OLS Model'!$B$8*G102</f>
        <v>0</v>
      </c>
      <c r="P102" s="186">
        <f>'Large Use OLS Model'!$B$9*H102</f>
        <v>0</v>
      </c>
      <c r="Q102" s="186">
        <f>'Large Use OLS Model'!$B$10*I102</f>
        <v>21377604.951162424</v>
      </c>
      <c r="R102" s="127">
        <f t="shared" si="12"/>
        <v>26692167.099237256</v>
      </c>
      <c r="S102" s="24">
        <f t="shared" ca="1" si="13"/>
        <v>3.6542019865665611E-2</v>
      </c>
    </row>
    <row r="103" spans="1:19" s="127" customFormat="1">
      <c r="A103" s="128">
        <f>'Monthly Data'!A103</f>
        <v>42887</v>
      </c>
      <c r="B103" s="127">
        <f t="shared" si="11"/>
        <v>2017</v>
      </c>
      <c r="C103" s="127">
        <f ca="1">'Monthly Data'!AE103</f>
        <v>28230853.497536149</v>
      </c>
      <c r="D103" s="127">
        <f>'Monthly Data'!BI103</f>
        <v>128.1</v>
      </c>
      <c r="E103" s="124">
        <f>'Monthly Data'!BJ103</f>
        <v>7082.2</v>
      </c>
      <c r="F103" s="127">
        <f>'Monthly Data'!BM103</f>
        <v>102</v>
      </c>
      <c r="G103" s="127">
        <f>'Monthly Data'!BT103</f>
        <v>0</v>
      </c>
      <c r="H103" s="127">
        <f>'Monthly Data'!BY103</f>
        <v>0</v>
      </c>
      <c r="I103" s="127">
        <f>'Monthly Data'!CC103</f>
        <v>30</v>
      </c>
      <c r="K103" s="127">
        <f>'Large Use OLS Model'!$B$5</f>
        <v>-19707994.0131674</v>
      </c>
      <c r="L103" s="186">
        <f>'Large Use OLS Model'!$B$6*D103</f>
        <v>3385190.9931134107</v>
      </c>
      <c r="M103" s="186">
        <f>'Large Use OLS Model'!$B$7*E103</f>
        <v>24289988.966144618</v>
      </c>
      <c r="N103" s="186">
        <v>0</v>
      </c>
      <c r="O103" s="186">
        <f>'Large Use OLS Model'!$B$8*G103</f>
        <v>0</v>
      </c>
      <c r="P103" s="186">
        <f>'Large Use OLS Model'!$B$9*H103</f>
        <v>0</v>
      </c>
      <c r="Q103" s="186">
        <f>'Large Use OLS Model'!$B$10*I103</f>
        <v>20688004.791447509</v>
      </c>
      <c r="R103" s="127">
        <f t="shared" si="12"/>
        <v>28655190.737538137</v>
      </c>
      <c r="S103" s="24">
        <f t="shared" ca="1" si="13"/>
        <v>1.5030974534263435E-2</v>
      </c>
    </row>
    <row r="104" spans="1:19" s="127" customFormat="1">
      <c r="A104" s="128">
        <f>'Monthly Data'!A104</f>
        <v>42917</v>
      </c>
      <c r="B104" s="127">
        <f t="shared" si="11"/>
        <v>2017</v>
      </c>
      <c r="C104" s="127">
        <f ca="1">'Monthly Data'!AE104</f>
        <v>29806897.697536148</v>
      </c>
      <c r="D104" s="127">
        <f>'Monthly Data'!BI104</f>
        <v>179.5</v>
      </c>
      <c r="E104" s="124">
        <f>'Monthly Data'!BJ104</f>
        <v>7098</v>
      </c>
      <c r="F104" s="127">
        <f>'Monthly Data'!BM104</f>
        <v>103</v>
      </c>
      <c r="G104" s="127">
        <f>'Monthly Data'!BT104</f>
        <v>1</v>
      </c>
      <c r="H104" s="127">
        <f>'Monthly Data'!BY104</f>
        <v>0</v>
      </c>
      <c r="I104" s="127">
        <f>'Monthly Data'!CC104</f>
        <v>31</v>
      </c>
      <c r="K104" s="127">
        <f>'Large Use OLS Model'!$B$5</f>
        <v>-19707994.0131674</v>
      </c>
      <c r="L104" s="186">
        <f>'Large Use OLS Model'!$B$6*D104</f>
        <v>4743495.5758302668</v>
      </c>
      <c r="M104" s="186">
        <f>'Large Use OLS Model'!$B$7*E104</f>
        <v>24344178.600109357</v>
      </c>
      <c r="N104" s="186">
        <v>0</v>
      </c>
      <c r="O104" s="186">
        <f>'Large Use OLS Model'!$B$8*G104</f>
        <v>-1563237.6990636101</v>
      </c>
      <c r="P104" s="186">
        <f>'Large Use OLS Model'!$B$9*H104</f>
        <v>0</v>
      </c>
      <c r="Q104" s="186">
        <f>'Large Use OLS Model'!$B$10*I104</f>
        <v>21377604.951162424</v>
      </c>
      <c r="R104" s="127">
        <f t="shared" si="12"/>
        <v>29194047.414871037</v>
      </c>
      <c r="S104" s="24">
        <f t="shared" ca="1" si="13"/>
        <v>2.0560686619720561E-2</v>
      </c>
    </row>
    <row r="105" spans="1:19" s="127" customFormat="1">
      <c r="A105" s="128">
        <f>'Monthly Data'!A105</f>
        <v>42948</v>
      </c>
      <c r="B105" s="127">
        <f t="shared" si="11"/>
        <v>2017</v>
      </c>
      <c r="C105" s="127">
        <f ca="1">'Monthly Data'!AE105</f>
        <v>28084142.757536147</v>
      </c>
      <c r="D105" s="127">
        <f>'Monthly Data'!BI105</f>
        <v>121.4</v>
      </c>
      <c r="E105" s="124">
        <f>'Monthly Data'!BJ105</f>
        <v>7118.8</v>
      </c>
      <c r="F105" s="127">
        <f>'Monthly Data'!BM105</f>
        <v>104</v>
      </c>
      <c r="G105" s="127">
        <f>'Monthly Data'!BT105</f>
        <v>0</v>
      </c>
      <c r="H105" s="127">
        <f>'Monthly Data'!BY105</f>
        <v>0</v>
      </c>
      <c r="I105" s="127">
        <f>'Monthly Data'!CC105</f>
        <v>31</v>
      </c>
      <c r="K105" s="127">
        <f>'Large Use OLS Model'!$B$5</f>
        <v>-19707994.0131674</v>
      </c>
      <c r="L105" s="186">
        <f>'Large Use OLS Model'!$B$6*D105</f>
        <v>3208135.7264946764</v>
      </c>
      <c r="M105" s="186">
        <f>'Large Use OLS Model'!$B$7*E105</f>
        <v>24415516.852417372</v>
      </c>
      <c r="N105" s="186">
        <v>0</v>
      </c>
      <c r="O105" s="186">
        <f>'Large Use OLS Model'!$B$8*G105</f>
        <v>0</v>
      </c>
      <c r="P105" s="186">
        <f>'Large Use OLS Model'!$B$9*H105</f>
        <v>0</v>
      </c>
      <c r="Q105" s="186">
        <f>'Large Use OLS Model'!$B$10*I105</f>
        <v>21377604.951162424</v>
      </c>
      <c r="R105" s="127">
        <f t="shared" si="12"/>
        <v>29293263.516907074</v>
      </c>
      <c r="S105" s="24">
        <f t="shared" ca="1" si="13"/>
        <v>4.305350424294041E-2</v>
      </c>
    </row>
    <row r="106" spans="1:19" s="127" customFormat="1">
      <c r="A106" s="128">
        <f>'Monthly Data'!A106</f>
        <v>42979</v>
      </c>
      <c r="B106" s="127">
        <f t="shared" si="11"/>
        <v>2017</v>
      </c>
      <c r="C106" s="127">
        <f ca="1">'Monthly Data'!AE106</f>
        <v>27096573.647536147</v>
      </c>
      <c r="D106" s="127">
        <f>'Monthly Data'!BI106</f>
        <v>80.7</v>
      </c>
      <c r="E106" s="124">
        <f>'Monthly Data'!BJ106</f>
        <v>7148.9</v>
      </c>
      <c r="F106" s="127">
        <f>'Monthly Data'!BM106</f>
        <v>105</v>
      </c>
      <c r="G106" s="127">
        <f>'Monthly Data'!BT106</f>
        <v>0</v>
      </c>
      <c r="H106" s="127">
        <f>'Monthly Data'!BY106</f>
        <v>0</v>
      </c>
      <c r="I106" s="127">
        <f>'Monthly Data'!CC106</f>
        <v>30</v>
      </c>
      <c r="K106" s="127">
        <f>'Large Use OLS Model'!$B$5</f>
        <v>-19707994.0131674</v>
      </c>
      <c r="L106" s="186">
        <f>'Large Use OLS Model'!$B$6*D106</f>
        <v>2132591.0471838582</v>
      </c>
      <c r="M106" s="186">
        <f>'Large Use OLS Model'!$B$7*E106</f>
        <v>24518751.53484387</v>
      </c>
      <c r="N106" s="186">
        <v>0</v>
      </c>
      <c r="O106" s="186">
        <f>'Large Use OLS Model'!$B$8*G106</f>
        <v>0</v>
      </c>
      <c r="P106" s="186">
        <f>'Large Use OLS Model'!$B$9*H106</f>
        <v>0</v>
      </c>
      <c r="Q106" s="186">
        <f>'Large Use OLS Model'!$B$10*I106</f>
        <v>20688004.791447509</v>
      </c>
      <c r="R106" s="127">
        <f t="shared" si="12"/>
        <v>27631353.360307839</v>
      </c>
      <c r="S106" s="24">
        <f t="shared" ca="1" si="13"/>
        <v>1.9736064039975701E-2</v>
      </c>
    </row>
    <row r="107" spans="1:19" s="127" customFormat="1">
      <c r="A107" s="128">
        <f>'Monthly Data'!A107</f>
        <v>43009</v>
      </c>
      <c r="B107" s="127">
        <f t="shared" si="11"/>
        <v>2017</v>
      </c>
      <c r="C107" s="127">
        <f ca="1">'Monthly Data'!AE107</f>
        <v>26885972.587536149</v>
      </c>
      <c r="D107" s="127">
        <f>'Monthly Data'!BI107</f>
        <v>24.9</v>
      </c>
      <c r="E107" s="124">
        <f>'Monthly Data'!BJ107</f>
        <v>7168.4</v>
      </c>
      <c r="F107" s="127">
        <f>'Monthly Data'!BM107</f>
        <v>106</v>
      </c>
      <c r="G107" s="127">
        <f>'Monthly Data'!BT107</f>
        <v>0</v>
      </c>
      <c r="H107" s="127">
        <f>'Monthly Data'!BY107</f>
        <v>0</v>
      </c>
      <c r="I107" s="127">
        <f>'Monthly Data'!CC107</f>
        <v>31</v>
      </c>
      <c r="K107" s="127">
        <f>'Large Use OLS Model'!$B$5</f>
        <v>-19707994.0131674</v>
      </c>
      <c r="L107" s="186">
        <f>'Large Use OLS Model'!$B$6*D107</f>
        <v>658011.36400096735</v>
      </c>
      <c r="M107" s="186">
        <f>'Large Use OLS Model'!$B$7*E107</f>
        <v>24585631.14638263</v>
      </c>
      <c r="N107" s="186">
        <v>0</v>
      </c>
      <c r="O107" s="186">
        <f>'Large Use OLS Model'!$B$8*G107</f>
        <v>0</v>
      </c>
      <c r="P107" s="186">
        <f>'Large Use OLS Model'!$B$9*H107</f>
        <v>0</v>
      </c>
      <c r="Q107" s="186">
        <f>'Large Use OLS Model'!$B$10*I107</f>
        <v>21377604.951162424</v>
      </c>
      <c r="R107" s="127">
        <f t="shared" si="12"/>
        <v>26913253.448378623</v>
      </c>
      <c r="S107" s="24">
        <f t="shared" ca="1" si="13"/>
        <v>1.0146875198080326E-3</v>
      </c>
    </row>
    <row r="108" spans="1:19" s="127" customFormat="1">
      <c r="A108" s="128">
        <f>'Monthly Data'!A108</f>
        <v>43040</v>
      </c>
      <c r="B108" s="127">
        <f t="shared" si="11"/>
        <v>2017</v>
      </c>
      <c r="C108" s="127">
        <f ca="1">'Monthly Data'!AE108</f>
        <v>24700471.057536148</v>
      </c>
      <c r="D108" s="127">
        <f>'Monthly Data'!BI108</f>
        <v>0</v>
      </c>
      <c r="E108" s="124">
        <f>'Monthly Data'!BJ108</f>
        <v>7192.2</v>
      </c>
      <c r="F108" s="127">
        <f>'Monthly Data'!BM108</f>
        <v>107</v>
      </c>
      <c r="G108" s="127">
        <f>'Monthly Data'!BT108</f>
        <v>0</v>
      </c>
      <c r="H108" s="127">
        <f>'Monthly Data'!BY108</f>
        <v>0</v>
      </c>
      <c r="I108" s="127">
        <f>'Monthly Data'!CC108</f>
        <v>30</v>
      </c>
      <c r="K108" s="127">
        <f>'Large Use OLS Model'!$B$5</f>
        <v>-19707994.0131674</v>
      </c>
      <c r="L108" s="186">
        <f>'Large Use OLS Model'!$B$6*D108</f>
        <v>0</v>
      </c>
      <c r="M108" s="186">
        <f>'Large Use OLS Model'!$B$7*E108</f>
        <v>24667258.569696609</v>
      </c>
      <c r="N108" s="186">
        <v>0</v>
      </c>
      <c r="O108" s="186">
        <f>'Large Use OLS Model'!$B$8*G108</f>
        <v>0</v>
      </c>
      <c r="P108" s="186">
        <f>'Large Use OLS Model'!$B$9*H108</f>
        <v>0</v>
      </c>
      <c r="Q108" s="186">
        <f>'Large Use OLS Model'!$B$10*I108</f>
        <v>20688004.791447509</v>
      </c>
      <c r="R108" s="127">
        <f t="shared" si="12"/>
        <v>25647269.347976718</v>
      </c>
      <c r="S108" s="24">
        <f t="shared" ca="1" si="13"/>
        <v>3.8331183572780529E-2</v>
      </c>
    </row>
    <row r="109" spans="1:19" s="127" customFormat="1">
      <c r="A109" s="128">
        <f>'Monthly Data'!A109</f>
        <v>43070</v>
      </c>
      <c r="B109" s="127">
        <f t="shared" si="11"/>
        <v>2017</v>
      </c>
      <c r="C109" s="127">
        <f ca="1">'Monthly Data'!AE109</f>
        <v>23760465.877536148</v>
      </c>
      <c r="D109" s="127">
        <f>'Monthly Data'!BI109</f>
        <v>0</v>
      </c>
      <c r="E109" s="124">
        <f>'Monthly Data'!BJ109</f>
        <v>7207.4</v>
      </c>
      <c r="F109" s="127">
        <f>'Monthly Data'!BM109</f>
        <v>108</v>
      </c>
      <c r="G109" s="127">
        <f>'Monthly Data'!BT109</f>
        <v>0</v>
      </c>
      <c r="H109" s="127">
        <f>'Monthly Data'!BY109</f>
        <v>1</v>
      </c>
      <c r="I109" s="127">
        <f>'Monthly Data'!CC109</f>
        <v>31</v>
      </c>
      <c r="K109" s="127">
        <f>'Large Use OLS Model'!$B$5</f>
        <v>-19707994.0131674</v>
      </c>
      <c r="L109" s="186">
        <f>'Large Use OLS Model'!$B$6*D109</f>
        <v>0</v>
      </c>
      <c r="M109" s="186">
        <f>'Large Use OLS Model'!$B$7*E109</f>
        <v>24719390.369460154</v>
      </c>
      <c r="N109" s="186">
        <v>0</v>
      </c>
      <c r="O109" s="186">
        <f>'Large Use OLS Model'!$B$8*G109</f>
        <v>0</v>
      </c>
      <c r="P109" s="186">
        <f>'Large Use OLS Model'!$B$9*H109</f>
        <v>-2219022.2541699898</v>
      </c>
      <c r="Q109" s="186">
        <f>'Large Use OLS Model'!$B$10*I109</f>
        <v>21377604.951162424</v>
      </c>
      <c r="R109" s="127">
        <f t="shared" si="12"/>
        <v>24169979.053285189</v>
      </c>
      <c r="S109" s="24">
        <f t="shared" ca="1" si="13"/>
        <v>1.7235065080782236E-2</v>
      </c>
    </row>
    <row r="110" spans="1:19" s="186" customFormat="1">
      <c r="A110" s="128">
        <f>'Monthly Data'!A110</f>
        <v>43101</v>
      </c>
      <c r="B110" s="186">
        <f t="shared" ref="B110:B121" si="14">YEAR(A110)</f>
        <v>2018</v>
      </c>
      <c r="C110" s="186">
        <f ca="1">'Monthly Data'!AE110</f>
        <v>25945759.032864273</v>
      </c>
      <c r="D110" s="186">
        <f>'Monthly Data'!BI110</f>
        <v>0</v>
      </c>
      <c r="E110" s="124">
        <f>'Monthly Data'!BJ110</f>
        <v>7166.6339368397712</v>
      </c>
      <c r="F110" s="186">
        <f>'Monthly Data'!BM110</f>
        <v>109</v>
      </c>
      <c r="G110" s="186">
        <f>'Monthly Data'!BT110</f>
        <v>0</v>
      </c>
      <c r="H110" s="186">
        <f>'Monthly Data'!BY110</f>
        <v>0</v>
      </c>
      <c r="I110" s="186">
        <f>'Monthly Data'!CC110</f>
        <v>31</v>
      </c>
      <c r="K110" s="186">
        <f>'Large Use OLS Model'!$B$5</f>
        <v>-19707994.0131674</v>
      </c>
      <c r="L110" s="186">
        <f>'Large Use OLS Model'!$B$6*D110</f>
        <v>0</v>
      </c>
      <c r="M110" s="186">
        <f>'Large Use OLS Model'!$B$7*E110</f>
        <v>24579574.037761658</v>
      </c>
      <c r="N110" s="186">
        <v>0</v>
      </c>
      <c r="O110" s="186">
        <f>'Large Use OLS Model'!$B$8*G110</f>
        <v>0</v>
      </c>
      <c r="P110" s="186">
        <f>'Large Use OLS Model'!$B$9*H110</f>
        <v>0</v>
      </c>
      <c r="Q110" s="186">
        <f>'Large Use OLS Model'!$B$10*I110</f>
        <v>21377604.951162424</v>
      </c>
      <c r="R110" s="186">
        <f t="shared" ref="R110:R121" si="15">SUM(K110:Q110)</f>
        <v>26249184.975756682</v>
      </c>
      <c r="S110" s="24">
        <f t="shared" ref="S110:S121" ca="1" si="16">ABS(R110-C110)/C110</f>
        <v>1.1694625796380614E-2</v>
      </c>
    </row>
    <row r="111" spans="1:19" s="186" customFormat="1">
      <c r="A111" s="128">
        <f>'Monthly Data'!A111</f>
        <v>43132</v>
      </c>
      <c r="B111" s="186">
        <f t="shared" si="14"/>
        <v>2018</v>
      </c>
      <c r="C111" s="186">
        <f ca="1">'Monthly Data'!AE111</f>
        <v>23723363.452864274</v>
      </c>
      <c r="D111" s="186">
        <f>'Monthly Data'!BI111</f>
        <v>0</v>
      </c>
      <c r="E111" s="124">
        <f>'Monthly Data'!BJ111</f>
        <v>7119.8728643912718</v>
      </c>
      <c r="F111" s="186">
        <f>'Monthly Data'!BM111</f>
        <v>110</v>
      </c>
      <c r="G111" s="186">
        <f>'Monthly Data'!BT111</f>
        <v>0</v>
      </c>
      <c r="H111" s="186">
        <f>'Monthly Data'!BY111</f>
        <v>0</v>
      </c>
      <c r="I111" s="186">
        <f>'Monthly Data'!CC111</f>
        <v>28</v>
      </c>
      <c r="K111" s="186">
        <f>'Large Use OLS Model'!$B$5</f>
        <v>-19707994.0131674</v>
      </c>
      <c r="L111" s="186">
        <f>'Large Use OLS Model'!$B$6*D111</f>
        <v>0</v>
      </c>
      <c r="M111" s="186">
        <f>'Large Use OLS Model'!$B$7*E111</f>
        <v>24419196.480813373</v>
      </c>
      <c r="N111" s="186">
        <v>0</v>
      </c>
      <c r="O111" s="186">
        <f>'Large Use OLS Model'!$B$8*G111</f>
        <v>0</v>
      </c>
      <c r="P111" s="186">
        <f>'Large Use OLS Model'!$B$9*H111</f>
        <v>0</v>
      </c>
      <c r="Q111" s="186">
        <f>'Large Use OLS Model'!$B$10*I111</f>
        <v>19308804.472017676</v>
      </c>
      <c r="R111" s="186">
        <f t="shared" si="15"/>
        <v>24020006.939663649</v>
      </c>
      <c r="S111" s="24">
        <f t="shared" ca="1" si="16"/>
        <v>1.2504276106917653E-2</v>
      </c>
    </row>
    <row r="112" spans="1:19" s="186" customFormat="1">
      <c r="A112" s="128">
        <f>'Monthly Data'!A112</f>
        <v>43160</v>
      </c>
      <c r="B112" s="186">
        <f t="shared" si="14"/>
        <v>2018</v>
      </c>
      <c r="C112" s="186">
        <f ca="1">'Monthly Data'!AE112</f>
        <v>27257041.482864272</v>
      </c>
      <c r="D112" s="186">
        <f>'Monthly Data'!BI112</f>
        <v>0</v>
      </c>
      <c r="E112" s="124">
        <f>'Monthly Data'!BJ112</f>
        <v>7076.4090470513211</v>
      </c>
      <c r="F112" s="186">
        <f>'Monthly Data'!BM112</f>
        <v>111</v>
      </c>
      <c r="G112" s="186">
        <f>'Monthly Data'!BT112</f>
        <v>0</v>
      </c>
      <c r="H112" s="186">
        <f>'Monthly Data'!BY112</f>
        <v>0</v>
      </c>
      <c r="I112" s="186">
        <f>'Monthly Data'!CC112</f>
        <v>31</v>
      </c>
      <c r="K112" s="186">
        <f>'Large Use OLS Model'!$B$5</f>
        <v>-19707994.0131674</v>
      </c>
      <c r="L112" s="186">
        <f>'Large Use OLS Model'!$B$6*D112</f>
        <v>0</v>
      </c>
      <c r="M112" s="186">
        <f>'Large Use OLS Model'!$B$7*E112</f>
        <v>24270127.597752471</v>
      </c>
      <c r="N112" s="186">
        <v>0</v>
      </c>
      <c r="O112" s="186">
        <f>'Large Use OLS Model'!$B$8*G112</f>
        <v>0</v>
      </c>
      <c r="P112" s="186">
        <f>'Large Use OLS Model'!$B$9*H112</f>
        <v>0</v>
      </c>
      <c r="Q112" s="186">
        <f>'Large Use OLS Model'!$B$10*I112</f>
        <v>21377604.951162424</v>
      </c>
      <c r="R112" s="186">
        <f t="shared" si="15"/>
        <v>25939738.535747495</v>
      </c>
      <c r="S112" s="24">
        <f t="shared" ca="1" si="16"/>
        <v>4.8328904218931032E-2</v>
      </c>
    </row>
    <row r="113" spans="1:19" s="186" customFormat="1">
      <c r="A113" s="128">
        <f>'Monthly Data'!A113</f>
        <v>43191</v>
      </c>
      <c r="B113" s="186">
        <f t="shared" si="14"/>
        <v>2018</v>
      </c>
      <c r="C113" s="186">
        <f ca="1">'Monthly Data'!AE113</f>
        <v>25500957.362864275</v>
      </c>
      <c r="D113" s="186">
        <f>'Monthly Data'!BI113</f>
        <v>0</v>
      </c>
      <c r="E113" s="124">
        <f>'Monthly Data'!BJ113</f>
        <v>7102.4873374552917</v>
      </c>
      <c r="F113" s="186">
        <f>'Monthly Data'!BM113</f>
        <v>112</v>
      </c>
      <c r="G113" s="186">
        <f>'Monthly Data'!BT113</f>
        <v>0</v>
      </c>
      <c r="H113" s="186">
        <f>'Monthly Data'!BY113</f>
        <v>0</v>
      </c>
      <c r="I113" s="186">
        <f>'Monthly Data'!CC113</f>
        <v>30</v>
      </c>
      <c r="K113" s="186">
        <f>'Large Use OLS Model'!$B$5</f>
        <v>-19707994.0131674</v>
      </c>
      <c r="L113" s="186">
        <f>'Large Use OLS Model'!$B$6*D113</f>
        <v>0</v>
      </c>
      <c r="M113" s="186">
        <f>'Large Use OLS Model'!$B$7*E113</f>
        <v>24359568.92758901</v>
      </c>
      <c r="N113" s="186">
        <v>0</v>
      </c>
      <c r="O113" s="186">
        <f>'Large Use OLS Model'!$B$8*G113</f>
        <v>0</v>
      </c>
      <c r="P113" s="186">
        <f>'Large Use OLS Model'!$B$9*H113</f>
        <v>0</v>
      </c>
      <c r="Q113" s="186">
        <f>'Large Use OLS Model'!$B$10*I113</f>
        <v>20688004.791447509</v>
      </c>
      <c r="R113" s="186">
        <f t="shared" si="15"/>
        <v>25339579.70586912</v>
      </c>
      <c r="S113" s="24">
        <f t="shared" ca="1" si="16"/>
        <v>6.3282979810852453E-3</v>
      </c>
    </row>
    <row r="114" spans="1:19" s="186" customFormat="1">
      <c r="A114" s="128">
        <f>'Monthly Data'!A114</f>
        <v>43221</v>
      </c>
      <c r="B114" s="186">
        <f t="shared" si="14"/>
        <v>2018</v>
      </c>
      <c r="C114" s="186">
        <f ca="1">'Monthly Data'!AE114</f>
        <v>29537487.852864273</v>
      </c>
      <c r="D114" s="186">
        <f>'Monthly Data'!BI114</f>
        <v>68.7</v>
      </c>
      <c r="E114" s="124">
        <f>'Monthly Data'!BJ114</f>
        <v>7168.7321900906645</v>
      </c>
      <c r="F114" s="186">
        <f>'Monthly Data'!BM114</f>
        <v>113</v>
      </c>
      <c r="G114" s="186">
        <f>'Monthly Data'!BT114</f>
        <v>0</v>
      </c>
      <c r="H114" s="186">
        <f>'Monthly Data'!BY114</f>
        <v>0</v>
      </c>
      <c r="I114" s="186">
        <f>'Monthly Data'!CC114</f>
        <v>31</v>
      </c>
      <c r="K114" s="186">
        <f>'Large Use OLS Model'!$B$5</f>
        <v>-19707994.0131674</v>
      </c>
      <c r="L114" s="186">
        <f>'Large Use OLS Model'!$B$6*D114</f>
        <v>1815477.1368219464</v>
      </c>
      <c r="M114" s="186">
        <f>'Large Use OLS Model'!$B$7*E114</f>
        <v>24586770.466599077</v>
      </c>
      <c r="N114" s="186">
        <v>0</v>
      </c>
      <c r="O114" s="186">
        <f>'Large Use OLS Model'!$B$8*G114</f>
        <v>0</v>
      </c>
      <c r="P114" s="186">
        <f>'Large Use OLS Model'!$B$9*H114</f>
        <v>0</v>
      </c>
      <c r="Q114" s="186">
        <f>'Large Use OLS Model'!$B$10*I114</f>
        <v>21377604.951162424</v>
      </c>
      <c r="R114" s="186">
        <f t="shared" si="15"/>
        <v>28071858.541416049</v>
      </c>
      <c r="S114" s="24">
        <f t="shared" ca="1" si="16"/>
        <v>4.9619294597732712E-2</v>
      </c>
    </row>
    <row r="115" spans="1:19" s="186" customFormat="1">
      <c r="A115" s="128">
        <f>'Monthly Data'!A115</f>
        <v>43252</v>
      </c>
      <c r="B115" s="186">
        <f t="shared" si="14"/>
        <v>2018</v>
      </c>
      <c r="C115" s="186">
        <f ca="1">'Monthly Data'!AE115</f>
        <v>30656694.902864274</v>
      </c>
      <c r="D115" s="186">
        <f>'Monthly Data'!BI115</f>
        <v>122.39999999999998</v>
      </c>
      <c r="E115" s="124">
        <f>'Monthly Data'!BJ115</f>
        <v>7263.1535863809013</v>
      </c>
      <c r="F115" s="186">
        <f>'Monthly Data'!BM115</f>
        <v>114</v>
      </c>
      <c r="G115" s="186">
        <f>'Monthly Data'!BT115</f>
        <v>0</v>
      </c>
      <c r="H115" s="186">
        <f>'Monthly Data'!BY115</f>
        <v>0</v>
      </c>
      <c r="I115" s="186">
        <f>'Monthly Data'!CC115</f>
        <v>30</v>
      </c>
      <c r="K115" s="186">
        <f>'Large Use OLS Model'!$B$5</f>
        <v>-19707994.0131674</v>
      </c>
      <c r="L115" s="186">
        <f>'Large Use OLS Model'!$B$6*D115</f>
        <v>3234561.8856915017</v>
      </c>
      <c r="M115" s="186">
        <f>'Large Use OLS Model'!$B$7*E115</f>
        <v>24910609.764283106</v>
      </c>
      <c r="N115" s="186">
        <v>0</v>
      </c>
      <c r="O115" s="186">
        <f>'Large Use OLS Model'!$B$8*G115</f>
        <v>0</v>
      </c>
      <c r="P115" s="186">
        <f>'Large Use OLS Model'!$B$9*H115</f>
        <v>0</v>
      </c>
      <c r="Q115" s="186">
        <f>'Large Use OLS Model'!$B$10*I115</f>
        <v>20688004.791447509</v>
      </c>
      <c r="R115" s="186">
        <f t="shared" si="15"/>
        <v>29125182.428254716</v>
      </c>
      <c r="S115" s="24">
        <f t="shared" ca="1" si="16"/>
        <v>4.995686845767798E-2</v>
      </c>
    </row>
    <row r="116" spans="1:19" s="186" customFormat="1">
      <c r="A116" s="128">
        <f>'Monthly Data'!A116</f>
        <v>43282</v>
      </c>
      <c r="B116" s="186">
        <f t="shared" si="14"/>
        <v>2018</v>
      </c>
      <c r="C116" s="186">
        <f ca="1">'Monthly Data'!AE116</f>
        <v>30904161.792864271</v>
      </c>
      <c r="D116" s="186">
        <f>'Monthly Data'!BI116</f>
        <v>204.00000000000006</v>
      </c>
      <c r="E116" s="124">
        <f>'Monthly Data'!BJ116</f>
        <v>7346.3842986663703</v>
      </c>
      <c r="F116" s="186">
        <f>'Monthly Data'!BM116</f>
        <v>115</v>
      </c>
      <c r="G116" s="186">
        <f>'Monthly Data'!BT116</f>
        <v>1</v>
      </c>
      <c r="H116" s="186">
        <f>'Monthly Data'!BY116</f>
        <v>0</v>
      </c>
      <c r="I116" s="186">
        <f>'Monthly Data'!CC116</f>
        <v>31</v>
      </c>
      <c r="K116" s="186">
        <f>'Large Use OLS Model'!$B$5</f>
        <v>-19707994.0131674</v>
      </c>
      <c r="L116" s="186">
        <f>'Large Use OLS Model'!$B$6*D116</f>
        <v>5390936.4761525057</v>
      </c>
      <c r="M116" s="186">
        <f>'Large Use OLS Model'!$B$7*E116</f>
        <v>25196068.108167548</v>
      </c>
      <c r="N116" s="186">
        <v>0</v>
      </c>
      <c r="O116" s="186">
        <f>'Large Use OLS Model'!$B$8*G116</f>
        <v>-1563237.6990636101</v>
      </c>
      <c r="P116" s="186">
        <f>'Large Use OLS Model'!$B$9*H116</f>
        <v>0</v>
      </c>
      <c r="Q116" s="186">
        <f>'Large Use OLS Model'!$B$10*I116</f>
        <v>21377604.951162424</v>
      </c>
      <c r="R116" s="186">
        <f t="shared" si="15"/>
        <v>30693377.823251467</v>
      </c>
      <c r="S116" s="24">
        <f t="shared" ca="1" si="16"/>
        <v>6.8205690555720897E-3</v>
      </c>
    </row>
    <row r="117" spans="1:19" s="186" customFormat="1">
      <c r="A117" s="128">
        <f>'Monthly Data'!A117</f>
        <v>43313</v>
      </c>
      <c r="B117" s="186">
        <f t="shared" si="14"/>
        <v>2018</v>
      </c>
      <c r="C117" s="186">
        <f ca="1">'Monthly Data'!AE117</f>
        <v>30192199.592864275</v>
      </c>
      <c r="D117" s="186">
        <f>'Monthly Data'!BI117</f>
        <v>204.40000000000003</v>
      </c>
      <c r="E117" s="124">
        <f>'Monthly Data'!BJ117</f>
        <v>7349.8813874178613</v>
      </c>
      <c r="F117" s="186">
        <f>'Monthly Data'!BM117</f>
        <v>116</v>
      </c>
      <c r="G117" s="186">
        <f>'Monthly Data'!BT117</f>
        <v>0</v>
      </c>
      <c r="H117" s="186">
        <f>'Monthly Data'!BY117</f>
        <v>0</v>
      </c>
      <c r="I117" s="186">
        <f>'Monthly Data'!CC117</f>
        <v>31</v>
      </c>
      <c r="K117" s="186">
        <f>'Large Use OLS Model'!$B$5</f>
        <v>-19707994.0131674</v>
      </c>
      <c r="L117" s="186">
        <f>'Large Use OLS Model'!$B$6*D117</f>
        <v>5401506.9398312354</v>
      </c>
      <c r="M117" s="186">
        <f>'Large Use OLS Model'!$B$7*E117</f>
        <v>25208062.156229921</v>
      </c>
      <c r="N117" s="186">
        <v>0</v>
      </c>
      <c r="O117" s="186">
        <f>'Large Use OLS Model'!$B$8*G117</f>
        <v>0</v>
      </c>
      <c r="P117" s="186">
        <f>'Large Use OLS Model'!$B$9*H117</f>
        <v>0</v>
      </c>
      <c r="Q117" s="186">
        <f>'Large Use OLS Model'!$B$10*I117</f>
        <v>21377604.951162424</v>
      </c>
      <c r="R117" s="186">
        <f t="shared" si="15"/>
        <v>32279180.034056179</v>
      </c>
      <c r="S117" s="24">
        <f t="shared" ca="1" si="16"/>
        <v>6.9123166557402735E-2</v>
      </c>
    </row>
    <row r="118" spans="1:19" s="186" customFormat="1">
      <c r="A118" s="128">
        <f>'Monthly Data'!A118</f>
        <v>43344</v>
      </c>
      <c r="B118" s="186">
        <f t="shared" si="14"/>
        <v>2018</v>
      </c>
      <c r="C118" s="186">
        <f ca="1">'Monthly Data'!AE118</f>
        <v>28299525.392864272</v>
      </c>
      <c r="D118" s="186">
        <f>'Monthly Data'!BI118</f>
        <v>109.19999999999999</v>
      </c>
      <c r="E118" s="124">
        <f>'Monthly Data'!BJ118</f>
        <v>7309.115324257632</v>
      </c>
      <c r="F118" s="186">
        <f>'Monthly Data'!BM118</f>
        <v>117</v>
      </c>
      <c r="G118" s="186">
        <f>'Monthly Data'!BT118</f>
        <v>0</v>
      </c>
      <c r="H118" s="186">
        <f>'Monthly Data'!BY118</f>
        <v>0</v>
      </c>
      <c r="I118" s="186">
        <f>'Monthly Data'!CC118</f>
        <v>30</v>
      </c>
      <c r="K118" s="186">
        <f>'Large Use OLS Model'!$B$5</f>
        <v>-19707994.0131674</v>
      </c>
      <c r="L118" s="186">
        <f>'Large Use OLS Model'!$B$6*D118</f>
        <v>2885736.584293399</v>
      </c>
      <c r="M118" s="186">
        <f>'Large Use OLS Model'!$B$7*E118</f>
        <v>25068245.824531421</v>
      </c>
      <c r="N118" s="186">
        <v>0</v>
      </c>
      <c r="O118" s="186">
        <f>'Large Use OLS Model'!$B$8*G118</f>
        <v>0</v>
      </c>
      <c r="P118" s="186">
        <f>'Large Use OLS Model'!$B$9*H118</f>
        <v>0</v>
      </c>
      <c r="Q118" s="186">
        <f>'Large Use OLS Model'!$B$10*I118</f>
        <v>20688004.791447509</v>
      </c>
      <c r="R118" s="186">
        <f t="shared" si="15"/>
        <v>28933993.187104929</v>
      </c>
      <c r="S118" s="24">
        <f t="shared" ca="1" si="16"/>
        <v>2.2419732678649034E-2</v>
      </c>
    </row>
    <row r="119" spans="1:19" s="186" customFormat="1">
      <c r="A119" s="128">
        <f>'Monthly Data'!A119</f>
        <v>43374</v>
      </c>
      <c r="B119" s="186">
        <f t="shared" si="14"/>
        <v>2018</v>
      </c>
      <c r="C119" s="186">
        <f ca="1">'Monthly Data'!AE119</f>
        <v>25590231.122864276</v>
      </c>
      <c r="D119" s="186">
        <f>'Monthly Data'!BI119</f>
        <v>24.1</v>
      </c>
      <c r="E119" s="124">
        <f>'Monthly Data'!BJ119</f>
        <v>7268.3492610974017</v>
      </c>
      <c r="F119" s="186">
        <f>'Monthly Data'!BM119</f>
        <v>118</v>
      </c>
      <c r="G119" s="186">
        <f>'Monthly Data'!BT119</f>
        <v>0</v>
      </c>
      <c r="H119" s="186">
        <f>'Monthly Data'!BY119</f>
        <v>0</v>
      </c>
      <c r="I119" s="186">
        <f>'Monthly Data'!CC119</f>
        <v>31</v>
      </c>
      <c r="K119" s="186">
        <f>'Large Use OLS Model'!$B$5</f>
        <v>-19707994.0131674</v>
      </c>
      <c r="L119" s="186">
        <f>'Large Use OLS Model'!$B$6*D119</f>
        <v>636870.43664350663</v>
      </c>
      <c r="M119" s="186">
        <f>'Large Use OLS Model'!$B$7*E119</f>
        <v>24928429.492832914</v>
      </c>
      <c r="N119" s="186">
        <v>0</v>
      </c>
      <c r="O119" s="186">
        <f>'Large Use OLS Model'!$B$8*G119</f>
        <v>0</v>
      </c>
      <c r="P119" s="186">
        <f>'Large Use OLS Model'!$B$9*H119</f>
        <v>0</v>
      </c>
      <c r="Q119" s="186">
        <f>'Large Use OLS Model'!$B$10*I119</f>
        <v>21377604.951162424</v>
      </c>
      <c r="R119" s="186">
        <f t="shared" si="15"/>
        <v>27234910.867471445</v>
      </c>
      <c r="S119" s="24">
        <f t="shared" ca="1" si="16"/>
        <v>6.4269827681926878E-2</v>
      </c>
    </row>
    <row r="120" spans="1:19" s="186" customFormat="1">
      <c r="A120" s="128">
        <f>'Monthly Data'!A120</f>
        <v>43405</v>
      </c>
      <c r="B120" s="186">
        <f t="shared" si="14"/>
        <v>2018</v>
      </c>
      <c r="C120" s="186">
        <f ca="1">'Monthly Data'!AE120</f>
        <v>23444500.422864273</v>
      </c>
      <c r="D120" s="186">
        <f>'Monthly Data'!BI120</f>
        <v>0</v>
      </c>
      <c r="E120" s="124">
        <f>'Monthly Data'!BJ120</f>
        <v>7272.9454348850759</v>
      </c>
      <c r="F120" s="186">
        <f>'Monthly Data'!BM120</f>
        <v>119</v>
      </c>
      <c r="G120" s="186">
        <f>'Monthly Data'!BT120</f>
        <v>0</v>
      </c>
      <c r="H120" s="186">
        <f>'Monthly Data'!BY120</f>
        <v>0</v>
      </c>
      <c r="I120" s="186">
        <f>'Monthly Data'!CC120</f>
        <v>30</v>
      </c>
      <c r="K120" s="186">
        <f>'Large Use OLS Model'!$B$5</f>
        <v>-19707994.0131674</v>
      </c>
      <c r="L120" s="186">
        <f>'Large Use OLS Model'!$B$6*D120</f>
        <v>0</v>
      </c>
      <c r="M120" s="186">
        <f>'Large Use OLS Model'!$B$7*E120</f>
        <v>24944193.098857749</v>
      </c>
      <c r="N120" s="186">
        <v>0</v>
      </c>
      <c r="O120" s="186">
        <f>'Large Use OLS Model'!$B$8*G120</f>
        <v>0</v>
      </c>
      <c r="P120" s="186">
        <f>'Large Use OLS Model'!$B$9*H120</f>
        <v>0</v>
      </c>
      <c r="Q120" s="186">
        <f>'Large Use OLS Model'!$B$10*I120</f>
        <v>20688004.791447509</v>
      </c>
      <c r="R120" s="186">
        <f t="shared" si="15"/>
        <v>25924203.877137858</v>
      </c>
      <c r="S120" s="24">
        <f t="shared" ca="1" si="16"/>
        <v>0.10576908910608528</v>
      </c>
    </row>
    <row r="121" spans="1:19" s="186" customFormat="1">
      <c r="A121" s="128">
        <f>'Monthly Data'!A121</f>
        <v>43435</v>
      </c>
      <c r="B121" s="186">
        <f t="shared" si="14"/>
        <v>2018</v>
      </c>
      <c r="C121" s="186">
        <f ca="1">'Monthly Data'!AE121</f>
        <v>21912885.452864274</v>
      </c>
      <c r="D121" s="186">
        <f>'Monthly Data'!BI121</f>
        <v>0</v>
      </c>
      <c r="E121" s="124">
        <f>'Monthly Data'!BJ121</f>
        <v>7296.6257215737387</v>
      </c>
      <c r="F121" s="186">
        <f>'Monthly Data'!BM121</f>
        <v>120</v>
      </c>
      <c r="G121" s="186">
        <f>'Monthly Data'!BT121</f>
        <v>0</v>
      </c>
      <c r="H121" s="186">
        <f>'Monthly Data'!BY121</f>
        <v>1</v>
      </c>
      <c r="I121" s="186">
        <f>'Monthly Data'!CC121</f>
        <v>31</v>
      </c>
      <c r="K121" s="186">
        <f>'Large Use OLS Model'!$B$5</f>
        <v>-19707994.0131674</v>
      </c>
      <c r="L121" s="186">
        <f>'Large Use OLS Model'!$B$6*D121</f>
        <v>0</v>
      </c>
      <c r="M121" s="186">
        <f>'Large Use OLS Model'!$B$7*E121</f>
        <v>25025409.938594382</v>
      </c>
      <c r="N121" s="186">
        <v>0</v>
      </c>
      <c r="O121" s="186">
        <f>'Large Use OLS Model'!$B$8*G121</f>
        <v>0</v>
      </c>
      <c r="P121" s="186">
        <f>'Large Use OLS Model'!$B$9*H121</f>
        <v>-2219022.2541699898</v>
      </c>
      <c r="Q121" s="186">
        <f>'Large Use OLS Model'!$B$10*I121</f>
        <v>21377604.951162424</v>
      </c>
      <c r="R121" s="186">
        <f t="shared" si="15"/>
        <v>24475998.622419417</v>
      </c>
      <c r="S121" s="24">
        <f t="shared" ca="1" si="16"/>
        <v>0.11696830958517666</v>
      </c>
    </row>
    <row r="122" spans="1:19">
      <c r="S122" s="22">
        <f ca="1">AVERAGE(S2:S121)</f>
        <v>4.007244989941746E-2</v>
      </c>
    </row>
    <row r="125" spans="1:19">
      <c r="R125" s="161"/>
      <c r="S125" s="22"/>
    </row>
    <row r="126" spans="1:19">
      <c r="R126" s="161"/>
      <c r="S126" s="22"/>
    </row>
    <row r="127" spans="1:19">
      <c r="R127" s="161"/>
      <c r="S127" s="22"/>
    </row>
    <row r="128" spans="1:19">
      <c r="R128" s="161"/>
      <c r="S128" s="22"/>
    </row>
    <row r="129" spans="18:19">
      <c r="R129" s="161"/>
      <c r="S129" s="22"/>
    </row>
    <row r="130" spans="18:19">
      <c r="R130" s="161"/>
      <c r="S130" s="22"/>
    </row>
    <row r="131" spans="18:19">
      <c r="R131" s="161"/>
      <c r="S131" s="22"/>
    </row>
    <row r="132" spans="18:19">
      <c r="R132" s="161"/>
      <c r="S132" s="22"/>
    </row>
    <row r="133" spans="18:19">
      <c r="R133" s="161"/>
      <c r="S133" s="22"/>
    </row>
    <row r="134" spans="18:19">
      <c r="R134" s="161"/>
      <c r="S134" s="22"/>
    </row>
    <row r="135" spans="18:19">
      <c r="R135" s="161"/>
      <c r="S135" s="22"/>
    </row>
    <row r="136" spans="18:19">
      <c r="R136" s="161"/>
      <c r="S136" s="22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158EF-27DC-4982-B6C2-DBDDA80C80F7}">
  <dimension ref="A1:E18"/>
  <sheetViews>
    <sheetView workbookViewId="0">
      <selection sqref="A1:E19"/>
    </sheetView>
  </sheetViews>
  <sheetFormatPr defaultRowHeight="12.75"/>
  <cols>
    <col min="1" max="16384" width="9.33203125" style="186"/>
  </cols>
  <sheetData>
    <row r="1" spans="1:5">
      <c r="A1" s="186" t="s">
        <v>256</v>
      </c>
    </row>
    <row r="2" spans="1:5">
      <c r="A2" s="186" t="s">
        <v>293</v>
      </c>
    </row>
    <row r="4" spans="1:5">
      <c r="B4" s="186" t="s">
        <v>87</v>
      </c>
      <c r="C4" s="186" t="s">
        <v>88</v>
      </c>
      <c r="D4" s="186" t="s">
        <v>89</v>
      </c>
      <c r="E4" s="186" t="s">
        <v>90</v>
      </c>
    </row>
    <row r="5" spans="1:5">
      <c r="A5" s="186" t="s">
        <v>91</v>
      </c>
      <c r="B5" s="186">
        <v>-11585185.4436178</v>
      </c>
      <c r="C5" s="186">
        <v>4484108.2539064698</v>
      </c>
      <c r="D5" s="186">
        <v>-2.58360966944208</v>
      </c>
      <c r="E5" s="18">
        <v>1.1041215135478099E-2</v>
      </c>
    </row>
    <row r="6" spans="1:5">
      <c r="A6" s="186" t="s">
        <v>44</v>
      </c>
      <c r="B6" s="186">
        <v>25720.905869776801</v>
      </c>
      <c r="C6" s="186">
        <v>1754.1222867112399</v>
      </c>
      <c r="D6" s="186">
        <v>14.663120162506001</v>
      </c>
      <c r="E6" s="18">
        <v>5.31893665430937E-28</v>
      </c>
    </row>
    <row r="7" spans="1:5">
      <c r="A7" s="186" t="s">
        <v>75</v>
      </c>
      <c r="B7" s="186">
        <v>2079.5157608197801</v>
      </c>
      <c r="C7" s="186">
        <v>387.00233606481402</v>
      </c>
      <c r="D7" s="186">
        <v>5.3733933029063401</v>
      </c>
      <c r="E7" s="18">
        <v>4.1438559510886698E-7</v>
      </c>
    </row>
    <row r="8" spans="1:5">
      <c r="A8" s="186" t="s">
        <v>79</v>
      </c>
      <c r="B8" s="186">
        <v>-947874.12245155603</v>
      </c>
      <c r="C8" s="186">
        <v>420661.18081506703</v>
      </c>
      <c r="D8" s="186">
        <v>-2.25329592004418</v>
      </c>
      <c r="E8" s="18">
        <v>2.6153170678832501E-2</v>
      </c>
    </row>
    <row r="9" spans="1:5">
      <c r="A9" s="186" t="s">
        <v>56</v>
      </c>
      <c r="B9" s="186">
        <v>-1776727.9579078101</v>
      </c>
      <c r="C9" s="186">
        <v>357640.422406636</v>
      </c>
      <c r="D9" s="186">
        <v>-4.9679170658390301</v>
      </c>
      <c r="E9" s="18">
        <v>2.4002660041871901E-6</v>
      </c>
    </row>
    <row r="10" spans="1:5">
      <c r="A10" s="186" t="s">
        <v>92</v>
      </c>
      <c r="B10" s="186">
        <v>584592.10355915304</v>
      </c>
      <c r="C10" s="186">
        <v>119993.528331318</v>
      </c>
      <c r="D10" s="186">
        <v>4.8718636053855802</v>
      </c>
      <c r="E10" s="18">
        <v>3.59717029653274E-6</v>
      </c>
    </row>
    <row r="11" spans="1:5">
      <c r="E11" s="18"/>
    </row>
    <row r="12" spans="1:5">
      <c r="A12" s="186" t="s">
        <v>93</v>
      </c>
      <c r="B12" s="186">
        <v>21452907.941887401</v>
      </c>
      <c r="C12" s="186" t="s">
        <v>94</v>
      </c>
      <c r="D12" s="186">
        <v>2257413.41243295</v>
      </c>
    </row>
    <row r="13" spans="1:5">
      <c r="A13" s="186" t="s">
        <v>95</v>
      </c>
      <c r="B13" s="186">
        <v>117540647174972</v>
      </c>
      <c r="C13" s="186" t="s">
        <v>96</v>
      </c>
      <c r="D13" s="186">
        <v>1015410.4138487</v>
      </c>
    </row>
    <row r="14" spans="1:5">
      <c r="A14" s="186" t="s">
        <v>97</v>
      </c>
      <c r="B14" s="186">
        <v>0.80617092908785604</v>
      </c>
      <c r="C14" s="186" t="s">
        <v>98</v>
      </c>
      <c r="D14" s="186">
        <v>0.79766965404784995</v>
      </c>
    </row>
    <row r="15" spans="1:5">
      <c r="A15" s="186" t="s">
        <v>262</v>
      </c>
      <c r="B15" s="186">
        <v>94.829413857811801</v>
      </c>
      <c r="C15" s="186" t="s">
        <v>100</v>
      </c>
      <c r="D15" s="18">
        <v>5.8818515852112302E-39</v>
      </c>
    </row>
    <row r="16" spans="1:5">
      <c r="A16" s="186" t="s">
        <v>101</v>
      </c>
      <c r="B16" s="186">
        <v>-1826.89143880337</v>
      </c>
      <c r="C16" s="186" t="s">
        <v>102</v>
      </c>
      <c r="D16" s="18">
        <v>3665.7828776067499</v>
      </c>
    </row>
    <row r="17" spans="1:4">
      <c r="A17" s="186" t="s">
        <v>103</v>
      </c>
      <c r="B17" s="186">
        <v>3682.5078280634398</v>
      </c>
      <c r="C17" s="186" t="s">
        <v>104</v>
      </c>
      <c r="D17" s="186">
        <v>3672.5749571638698</v>
      </c>
    </row>
    <row r="18" spans="1:4">
      <c r="A18" s="186" t="s">
        <v>105</v>
      </c>
      <c r="B18" s="186">
        <v>0.41794025233340998</v>
      </c>
      <c r="C18" s="186" t="s">
        <v>106</v>
      </c>
      <c r="D18" s="186">
        <v>1.1336356021353799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6F8D-220F-474E-ACE7-E226E9FB5777}">
  <dimension ref="A1:S136"/>
  <sheetViews>
    <sheetView topLeftCell="D1" workbookViewId="0">
      <selection activeCell="V35" sqref="V35"/>
    </sheetView>
  </sheetViews>
  <sheetFormatPr defaultRowHeight="12.75"/>
  <cols>
    <col min="1" max="1" width="10.33203125" style="186" bestFit="1" customWidth="1"/>
    <col min="2" max="2" width="5" style="186" bestFit="1" customWidth="1"/>
    <col min="3" max="3" width="21.5" style="186" customWidth="1"/>
    <col min="4" max="4" width="6" style="186" bestFit="1" customWidth="1"/>
    <col min="5" max="5" width="12.83203125" style="186" customWidth="1"/>
    <col min="6" max="6" width="9" style="186" bestFit="1" customWidth="1"/>
    <col min="7" max="7" width="6.6640625" style="186" customWidth="1"/>
    <col min="8" max="8" width="8" style="186" customWidth="1"/>
    <col min="9" max="9" width="5.33203125" style="186" bestFit="1" customWidth="1"/>
    <col min="10" max="10" width="9.33203125" style="186"/>
    <col min="11" max="11" width="12.6640625" style="186" bestFit="1" customWidth="1"/>
    <col min="12" max="13" width="12" style="186" bestFit="1" customWidth="1"/>
    <col min="14" max="15" width="12.6640625" style="186" bestFit="1" customWidth="1"/>
    <col min="16" max="16" width="12" style="186" bestFit="1" customWidth="1"/>
    <col min="17" max="17" width="12.6640625" style="186" bestFit="1" customWidth="1"/>
    <col min="18" max="18" width="12" style="186" bestFit="1" customWidth="1"/>
    <col min="19" max="19" width="10.5" style="186" bestFit="1" customWidth="1"/>
    <col min="20" max="16384" width="9.33203125" style="186"/>
  </cols>
  <sheetData>
    <row r="1" spans="1:19">
      <c r="A1" s="186" t="s">
        <v>123</v>
      </c>
      <c r="B1" s="186" t="s">
        <v>124</v>
      </c>
      <c r="C1" s="124" t="str">
        <f>'Monthly Data'!AQ1</f>
        <v>Large_Use_LC_kWh_NO_CDM</v>
      </c>
      <c r="D1" s="186" t="str">
        <f>'Monthly Data'!BI1</f>
        <v>CDD</v>
      </c>
      <c r="E1" s="124" t="str">
        <f>'Monthly Data'!BJ1</f>
        <v>Ont_Empl</v>
      </c>
      <c r="F1" s="186" t="str">
        <f>'Monthly Data'!BM1</f>
        <v>Trend</v>
      </c>
      <c r="G1" s="186" t="str">
        <f>'Monthly Data'!BT1</f>
        <v>Jul</v>
      </c>
      <c r="H1" s="186" t="str">
        <f>'Monthly Data'!BY1</f>
        <v>Dec</v>
      </c>
      <c r="I1" s="186" t="str">
        <f>'Monthly Data'!CC1</f>
        <v>Month Days</v>
      </c>
      <c r="K1" s="186" t="s">
        <v>91</v>
      </c>
      <c r="L1" s="186" t="str">
        <f t="shared" ref="L1:Q1" si="0">D1</f>
        <v>CDD</v>
      </c>
      <c r="M1" s="186" t="str">
        <f t="shared" si="0"/>
        <v>Ont_Empl</v>
      </c>
      <c r="N1" s="186" t="str">
        <f t="shared" si="0"/>
        <v>Trend</v>
      </c>
      <c r="O1" s="186" t="str">
        <f t="shared" si="0"/>
        <v>Jul</v>
      </c>
      <c r="P1" s="186" t="str">
        <f t="shared" si="0"/>
        <v>Dec</v>
      </c>
      <c r="Q1" s="186" t="str">
        <f t="shared" si="0"/>
        <v>Month Days</v>
      </c>
      <c r="R1" s="186" t="s">
        <v>125</v>
      </c>
      <c r="S1" s="186" t="s">
        <v>126</v>
      </c>
    </row>
    <row r="2" spans="1:19">
      <c r="A2" s="128">
        <f>'Monthly Data'!A2</f>
        <v>39814</v>
      </c>
      <c r="B2" s="186">
        <f t="shared" ref="B2:B65" si="1">YEAR(A2)</f>
        <v>2009</v>
      </c>
      <c r="C2" s="124">
        <f ca="1">'Monthly Data'!AQ2</f>
        <v>22028250.725647919</v>
      </c>
      <c r="D2" s="186">
        <f>'Monthly Data'!BI2</f>
        <v>0</v>
      </c>
      <c r="E2" s="124">
        <f>'Monthly Data'!BJ2</f>
        <v>6541.6</v>
      </c>
      <c r="F2" s="186">
        <f>'Monthly Data'!BM2</f>
        <v>1</v>
      </c>
      <c r="G2" s="186">
        <f>'Monthly Data'!BT2</f>
        <v>0</v>
      </c>
      <c r="H2" s="186">
        <f>'Monthly Data'!BY2</f>
        <v>0</v>
      </c>
      <c r="I2" s="186">
        <f>'Monthly Data'!CC2</f>
        <v>31</v>
      </c>
      <c r="K2" s="186">
        <f>'Large Use OLS Model (LC)'!$B$5</f>
        <v>-11585185.4436178</v>
      </c>
      <c r="L2" s="186">
        <f>'Large Use OLS Model (LC)'!$B$6*D2</f>
        <v>0</v>
      </c>
      <c r="M2" s="186">
        <f>'Large Use OLS Model (LC)'!$B$7*E2</f>
        <v>13603360.300978674</v>
      </c>
      <c r="N2" s="186">
        <v>0</v>
      </c>
      <c r="O2" s="186">
        <f>'Large Use OLS Model (LC)'!$B$8*G2</f>
        <v>0</v>
      </c>
      <c r="P2" s="186">
        <f>'Large Use OLS Model (LC)'!$B$9*H2</f>
        <v>0</v>
      </c>
      <c r="Q2" s="186">
        <f>'Large Use OLS Model (LC)'!$B$10*I2</f>
        <v>18122355.210333746</v>
      </c>
      <c r="R2" s="186">
        <f t="shared" ref="R2:R65" si="2">SUM(K2:Q2)</f>
        <v>20140530.067694619</v>
      </c>
      <c r="S2" s="24">
        <f t="shared" ref="S2:S65" ca="1" si="3">ABS(R2-C2)/C2</f>
        <v>8.5695440889248187E-2</v>
      </c>
    </row>
    <row r="3" spans="1:19">
      <c r="A3" s="128">
        <f>'Monthly Data'!A3</f>
        <v>39845</v>
      </c>
      <c r="B3" s="186">
        <f t="shared" si="1"/>
        <v>2009</v>
      </c>
      <c r="C3" s="124">
        <f ca="1">'Monthly Data'!AQ3</f>
        <v>19634474.347390488</v>
      </c>
      <c r="D3" s="186">
        <f>'Monthly Data'!BI3</f>
        <v>0</v>
      </c>
      <c r="E3" s="124">
        <f>'Monthly Data'!BJ3</f>
        <v>6506</v>
      </c>
      <c r="F3" s="186">
        <f>'Monthly Data'!BM3</f>
        <v>2</v>
      </c>
      <c r="G3" s="186">
        <f>'Monthly Data'!BT3</f>
        <v>0</v>
      </c>
      <c r="H3" s="186">
        <f>'Monthly Data'!BY3</f>
        <v>0</v>
      </c>
      <c r="I3" s="186">
        <f>'Monthly Data'!CC3</f>
        <v>28</v>
      </c>
      <c r="K3" s="186">
        <f>'Large Use OLS Model (LC)'!$B$5</f>
        <v>-11585185.4436178</v>
      </c>
      <c r="L3" s="186">
        <f>'Large Use OLS Model (LC)'!$B$6*D3</f>
        <v>0</v>
      </c>
      <c r="M3" s="186">
        <f>'Large Use OLS Model (LC)'!$B$7*E3</f>
        <v>13529329.539893489</v>
      </c>
      <c r="N3" s="186">
        <v>0</v>
      </c>
      <c r="O3" s="186">
        <f>'Large Use OLS Model (LC)'!$B$8*G3</f>
        <v>0</v>
      </c>
      <c r="P3" s="186">
        <f>'Large Use OLS Model (LC)'!$B$9*H3</f>
        <v>0</v>
      </c>
      <c r="Q3" s="186">
        <f>'Large Use OLS Model (LC)'!$B$10*I3</f>
        <v>16368578.899656285</v>
      </c>
      <c r="R3" s="186">
        <f t="shared" si="2"/>
        <v>18312722.995931976</v>
      </c>
      <c r="S3" s="24">
        <f t="shared" ca="1" si="3"/>
        <v>6.7317888326059463E-2</v>
      </c>
    </row>
    <row r="4" spans="1:19">
      <c r="A4" s="128">
        <f>'Monthly Data'!A4</f>
        <v>39873</v>
      </c>
      <c r="B4" s="186">
        <f t="shared" si="1"/>
        <v>2009</v>
      </c>
      <c r="C4" s="124">
        <f ca="1">'Monthly Data'!AQ4</f>
        <v>19328255.735383421</v>
      </c>
      <c r="D4" s="186">
        <f>'Monthly Data'!BI4</f>
        <v>0</v>
      </c>
      <c r="E4" s="124">
        <f>'Monthly Data'!BJ4</f>
        <v>6466.8</v>
      </c>
      <c r="F4" s="186">
        <f>'Monthly Data'!BM4</f>
        <v>3</v>
      </c>
      <c r="G4" s="186">
        <f>'Monthly Data'!BT4</f>
        <v>0</v>
      </c>
      <c r="H4" s="186">
        <f>'Monthly Data'!BY4</f>
        <v>0</v>
      </c>
      <c r="I4" s="186">
        <f>'Monthly Data'!CC4</f>
        <v>31</v>
      </c>
      <c r="K4" s="186">
        <f>'Large Use OLS Model (LC)'!$B$5</f>
        <v>-11585185.4436178</v>
      </c>
      <c r="L4" s="186">
        <f>'Large Use OLS Model (LC)'!$B$6*D4</f>
        <v>0</v>
      </c>
      <c r="M4" s="186">
        <f>'Large Use OLS Model (LC)'!$B$7*E4</f>
        <v>13447812.522069354</v>
      </c>
      <c r="N4" s="186">
        <v>0</v>
      </c>
      <c r="O4" s="186">
        <f>'Large Use OLS Model (LC)'!$B$8*G4</f>
        <v>0</v>
      </c>
      <c r="P4" s="186">
        <f>'Large Use OLS Model (LC)'!$B$9*H4</f>
        <v>0</v>
      </c>
      <c r="Q4" s="186">
        <f>'Large Use OLS Model (LC)'!$B$10*I4</f>
        <v>18122355.210333746</v>
      </c>
      <c r="R4" s="186">
        <f t="shared" si="2"/>
        <v>19984982.288785301</v>
      </c>
      <c r="S4" s="24">
        <f t="shared" ca="1" si="3"/>
        <v>3.3977538500778337E-2</v>
      </c>
    </row>
    <row r="5" spans="1:19">
      <c r="A5" s="128">
        <f>'Monthly Data'!A5</f>
        <v>39904</v>
      </c>
      <c r="B5" s="186">
        <f t="shared" si="1"/>
        <v>2009</v>
      </c>
      <c r="C5" s="124">
        <f ca="1">'Monthly Data'!AQ5</f>
        <v>18204586.06263255</v>
      </c>
      <c r="D5" s="186">
        <f>'Monthly Data'!BI5</f>
        <v>10.399999999999999</v>
      </c>
      <c r="E5" s="124">
        <f>'Monthly Data'!BJ5</f>
        <v>6445.5</v>
      </c>
      <c r="F5" s="186">
        <f>'Monthly Data'!BM5</f>
        <v>4</v>
      </c>
      <c r="G5" s="186">
        <f>'Monthly Data'!BT5</f>
        <v>0</v>
      </c>
      <c r="H5" s="186">
        <f>'Monthly Data'!BY5</f>
        <v>0</v>
      </c>
      <c r="I5" s="186">
        <f>'Monthly Data'!CC5</f>
        <v>30</v>
      </c>
      <c r="K5" s="186">
        <f>'Large Use OLS Model (LC)'!$B$5</f>
        <v>-11585185.4436178</v>
      </c>
      <c r="L5" s="186">
        <f>'Large Use OLS Model (LC)'!$B$6*D5</f>
        <v>267497.42104567873</v>
      </c>
      <c r="M5" s="186">
        <f>'Large Use OLS Model (LC)'!$B$7*E5</f>
        <v>13403518.836363893</v>
      </c>
      <c r="N5" s="186">
        <v>0</v>
      </c>
      <c r="O5" s="186">
        <f>'Large Use OLS Model (LC)'!$B$8*G5</f>
        <v>0</v>
      </c>
      <c r="P5" s="186">
        <f>'Large Use OLS Model (LC)'!$B$9*H5</f>
        <v>0</v>
      </c>
      <c r="Q5" s="186">
        <f>'Large Use OLS Model (LC)'!$B$10*I5</f>
        <v>17537763.106774591</v>
      </c>
      <c r="R5" s="186">
        <f t="shared" si="2"/>
        <v>19623593.920566365</v>
      </c>
      <c r="S5" s="24">
        <f t="shared" ca="1" si="3"/>
        <v>7.7947823315056147E-2</v>
      </c>
    </row>
    <row r="6" spans="1:19">
      <c r="A6" s="128">
        <f>'Monthly Data'!A6</f>
        <v>39934</v>
      </c>
      <c r="B6" s="186">
        <f t="shared" si="1"/>
        <v>2009</v>
      </c>
      <c r="C6" s="124">
        <f ca="1">'Monthly Data'!AQ6</f>
        <v>18282543.475076191</v>
      </c>
      <c r="D6" s="186">
        <f>'Monthly Data'!BI6</f>
        <v>12.899999999999999</v>
      </c>
      <c r="E6" s="124">
        <f>'Monthly Data'!BJ6</f>
        <v>6420.3</v>
      </c>
      <c r="F6" s="186">
        <f>'Monthly Data'!BM6</f>
        <v>5</v>
      </c>
      <c r="G6" s="186">
        <f>'Monthly Data'!BT6</f>
        <v>0</v>
      </c>
      <c r="H6" s="186">
        <f>'Monthly Data'!BY6</f>
        <v>0</v>
      </c>
      <c r="I6" s="186">
        <f>'Monthly Data'!CC6</f>
        <v>31</v>
      </c>
      <c r="K6" s="186">
        <f>'Large Use OLS Model (LC)'!$B$5</f>
        <v>-11585185.4436178</v>
      </c>
      <c r="L6" s="186">
        <f>'Large Use OLS Model (LC)'!$B$6*D6</f>
        <v>331799.68572012067</v>
      </c>
      <c r="M6" s="186">
        <f>'Large Use OLS Model (LC)'!$B$7*E6</f>
        <v>13351115.039191235</v>
      </c>
      <c r="N6" s="186">
        <v>0</v>
      </c>
      <c r="O6" s="186">
        <f>'Large Use OLS Model (LC)'!$B$8*G6</f>
        <v>0</v>
      </c>
      <c r="P6" s="186">
        <f>'Large Use OLS Model (LC)'!$B$9*H6</f>
        <v>0</v>
      </c>
      <c r="Q6" s="186">
        <f>'Large Use OLS Model (LC)'!$B$10*I6</f>
        <v>18122355.210333746</v>
      </c>
      <c r="R6" s="186">
        <f t="shared" si="2"/>
        <v>20220084.491627302</v>
      </c>
      <c r="S6" s="24">
        <f t="shared" ca="1" si="3"/>
        <v>0.10597765126020225</v>
      </c>
    </row>
    <row r="7" spans="1:19">
      <c r="A7" s="128">
        <f>'Monthly Data'!A7</f>
        <v>39965</v>
      </c>
      <c r="B7" s="186">
        <f t="shared" si="1"/>
        <v>2009</v>
      </c>
      <c r="C7" s="124">
        <f ca="1">'Monthly Data'!AQ7</f>
        <v>21113808.408363659</v>
      </c>
      <c r="D7" s="186">
        <f>'Monthly Data'!BI7</f>
        <v>79.399999999999991</v>
      </c>
      <c r="E7" s="124">
        <f>'Monthly Data'!BJ7</f>
        <v>6393.2</v>
      </c>
      <c r="F7" s="186">
        <f>'Monthly Data'!BM7</f>
        <v>6</v>
      </c>
      <c r="G7" s="186">
        <f>'Monthly Data'!BT7</f>
        <v>0</v>
      </c>
      <c r="H7" s="186">
        <f>'Monthly Data'!BY7</f>
        <v>0</v>
      </c>
      <c r="I7" s="186">
        <f>'Monthly Data'!CC7</f>
        <v>30</v>
      </c>
      <c r="K7" s="186">
        <f>'Large Use OLS Model (LC)'!$B$5</f>
        <v>-11585185.4436178</v>
      </c>
      <c r="L7" s="186">
        <f>'Large Use OLS Model (LC)'!$B$6*D7</f>
        <v>2042239.9260602777</v>
      </c>
      <c r="M7" s="186">
        <f>'Large Use OLS Model (LC)'!$B$7*E7</f>
        <v>13294760.162073018</v>
      </c>
      <c r="N7" s="186">
        <v>0</v>
      </c>
      <c r="O7" s="186">
        <f>'Large Use OLS Model (LC)'!$B$8*G7</f>
        <v>0</v>
      </c>
      <c r="P7" s="186">
        <f>'Large Use OLS Model (LC)'!$B$9*H7</f>
        <v>0</v>
      </c>
      <c r="Q7" s="186">
        <f>'Large Use OLS Model (LC)'!$B$10*I7</f>
        <v>17537763.106774591</v>
      </c>
      <c r="R7" s="186">
        <f t="shared" si="2"/>
        <v>21289577.751290087</v>
      </c>
      <c r="S7" s="24">
        <f t="shared" ca="1" si="3"/>
        <v>8.3248526048385237E-3</v>
      </c>
    </row>
    <row r="8" spans="1:19">
      <c r="A8" s="128">
        <f>'Monthly Data'!A8</f>
        <v>39995</v>
      </c>
      <c r="B8" s="186">
        <f t="shared" si="1"/>
        <v>2009</v>
      </c>
      <c r="C8" s="124">
        <f ca="1">'Monthly Data'!AQ8</f>
        <v>22008982.677487984</v>
      </c>
      <c r="D8" s="186">
        <f>'Monthly Data'!BI8</f>
        <v>100.19999999999999</v>
      </c>
      <c r="E8" s="124">
        <f>'Monthly Data'!BJ8</f>
        <v>6390.2</v>
      </c>
      <c r="F8" s="186">
        <f>'Monthly Data'!BM8</f>
        <v>7</v>
      </c>
      <c r="G8" s="186">
        <f>'Monthly Data'!BT8</f>
        <v>1</v>
      </c>
      <c r="H8" s="186">
        <f>'Monthly Data'!BY8</f>
        <v>0</v>
      </c>
      <c r="I8" s="186">
        <f>'Monthly Data'!CC8</f>
        <v>31</v>
      </c>
      <c r="K8" s="186">
        <f>'Large Use OLS Model (LC)'!$B$5</f>
        <v>-11585185.4436178</v>
      </c>
      <c r="L8" s="186">
        <f>'Large Use OLS Model (LC)'!$B$6*D8</f>
        <v>2577234.7681516353</v>
      </c>
      <c r="M8" s="186">
        <f>'Large Use OLS Model (LC)'!$B$7*E8</f>
        <v>13288521.614790559</v>
      </c>
      <c r="N8" s="186">
        <v>0</v>
      </c>
      <c r="O8" s="186">
        <f>'Large Use OLS Model (LC)'!$B$8*G8</f>
        <v>-947874.12245155603</v>
      </c>
      <c r="P8" s="186">
        <f>'Large Use OLS Model (LC)'!$B$9*H8</f>
        <v>0</v>
      </c>
      <c r="Q8" s="186">
        <f>'Large Use OLS Model (LC)'!$B$10*I8</f>
        <v>18122355.210333746</v>
      </c>
      <c r="R8" s="186">
        <f t="shared" si="2"/>
        <v>21455052.027206585</v>
      </c>
      <c r="S8" s="24">
        <f t="shared" ca="1" si="3"/>
        <v>2.516838957976875E-2</v>
      </c>
    </row>
    <row r="9" spans="1:19">
      <c r="A9" s="128">
        <f>'Monthly Data'!A9</f>
        <v>40026</v>
      </c>
      <c r="B9" s="186">
        <f t="shared" si="1"/>
        <v>2009</v>
      </c>
      <c r="C9" s="124">
        <f ca="1">'Monthly Data'!AQ9</f>
        <v>22872095.056904018</v>
      </c>
      <c r="D9" s="186">
        <f>'Monthly Data'!BI9</f>
        <v>133.4</v>
      </c>
      <c r="E9" s="124">
        <f>'Monthly Data'!BJ9</f>
        <v>6401</v>
      </c>
      <c r="F9" s="186">
        <f>'Monthly Data'!BM9</f>
        <v>8</v>
      </c>
      <c r="G9" s="186">
        <f>'Monthly Data'!BT9</f>
        <v>0</v>
      </c>
      <c r="H9" s="186">
        <f>'Monthly Data'!BY9</f>
        <v>0</v>
      </c>
      <c r="I9" s="186">
        <f>'Monthly Data'!CC9</f>
        <v>31</v>
      </c>
      <c r="K9" s="186">
        <f>'Large Use OLS Model (LC)'!$B$5</f>
        <v>-11585185.4436178</v>
      </c>
      <c r="L9" s="186">
        <f>'Large Use OLS Model (LC)'!$B$6*D9</f>
        <v>3431168.8430282255</v>
      </c>
      <c r="M9" s="186">
        <f>'Large Use OLS Model (LC)'!$B$7*E9</f>
        <v>13310980.385007413</v>
      </c>
      <c r="N9" s="186">
        <v>0</v>
      </c>
      <c r="O9" s="186">
        <f>'Large Use OLS Model (LC)'!$B$8*G9</f>
        <v>0</v>
      </c>
      <c r="P9" s="186">
        <f>'Large Use OLS Model (LC)'!$B$9*H9</f>
        <v>0</v>
      </c>
      <c r="Q9" s="186">
        <f>'Large Use OLS Model (LC)'!$B$10*I9</f>
        <v>18122355.210333746</v>
      </c>
      <c r="R9" s="186">
        <f t="shared" si="2"/>
        <v>23279318.994751584</v>
      </c>
      <c r="S9" s="24">
        <f t="shared" ca="1" si="3"/>
        <v>1.7804400376722113E-2</v>
      </c>
    </row>
    <row r="10" spans="1:19">
      <c r="A10" s="128">
        <f>'Monthly Data'!A10</f>
        <v>40057</v>
      </c>
      <c r="B10" s="186">
        <f t="shared" si="1"/>
        <v>2009</v>
      </c>
      <c r="C10" s="124">
        <f ca="1">'Monthly Data'!AQ10</f>
        <v>20688385.851761155</v>
      </c>
      <c r="D10" s="186">
        <f>'Monthly Data'!BI10</f>
        <v>54.699999999999989</v>
      </c>
      <c r="E10" s="124">
        <f>'Monthly Data'!BJ10</f>
        <v>6421.2</v>
      </c>
      <c r="F10" s="186">
        <f>'Monthly Data'!BM10</f>
        <v>9</v>
      </c>
      <c r="G10" s="186">
        <f>'Monthly Data'!BT10</f>
        <v>0</v>
      </c>
      <c r="H10" s="186">
        <f>'Monthly Data'!BY10</f>
        <v>0</v>
      </c>
      <c r="I10" s="186">
        <f>'Monthly Data'!CC10</f>
        <v>30</v>
      </c>
      <c r="K10" s="186">
        <f>'Large Use OLS Model (LC)'!$B$5</f>
        <v>-11585185.4436178</v>
      </c>
      <c r="L10" s="186">
        <f>'Large Use OLS Model (LC)'!$B$6*D10</f>
        <v>1406933.5510767908</v>
      </c>
      <c r="M10" s="186">
        <f>'Large Use OLS Model (LC)'!$B$7*E10</f>
        <v>13352986.603375971</v>
      </c>
      <c r="N10" s="186">
        <v>0</v>
      </c>
      <c r="O10" s="186">
        <f>'Large Use OLS Model (LC)'!$B$8*G10</f>
        <v>0</v>
      </c>
      <c r="P10" s="186">
        <f>'Large Use OLS Model (LC)'!$B$9*H10</f>
        <v>0</v>
      </c>
      <c r="Q10" s="186">
        <f>'Large Use OLS Model (LC)'!$B$10*I10</f>
        <v>17537763.106774591</v>
      </c>
      <c r="R10" s="186">
        <f t="shared" si="2"/>
        <v>20712497.817609552</v>
      </c>
      <c r="S10" s="24">
        <f t="shared" ca="1" si="3"/>
        <v>1.1654831856466399E-3</v>
      </c>
    </row>
    <row r="11" spans="1:19">
      <c r="A11" s="128">
        <f>'Monthly Data'!A11</f>
        <v>40087</v>
      </c>
      <c r="B11" s="186">
        <f t="shared" si="1"/>
        <v>2009</v>
      </c>
      <c r="C11" s="124">
        <f ca="1">'Monthly Data'!AQ11</f>
        <v>18370827.816093475</v>
      </c>
      <c r="D11" s="186">
        <f>'Monthly Data'!BI11</f>
        <v>0</v>
      </c>
      <c r="E11" s="124">
        <f>'Monthly Data'!BJ11</f>
        <v>6438.2</v>
      </c>
      <c r="F11" s="186">
        <f>'Monthly Data'!BM11</f>
        <v>10</v>
      </c>
      <c r="G11" s="186">
        <f>'Monthly Data'!BT11</f>
        <v>0</v>
      </c>
      <c r="H11" s="186">
        <f>'Monthly Data'!BY11</f>
        <v>0</v>
      </c>
      <c r="I11" s="186">
        <f>'Monthly Data'!CC11</f>
        <v>31</v>
      </c>
      <c r="K11" s="186">
        <f>'Large Use OLS Model (LC)'!$B$5</f>
        <v>-11585185.4436178</v>
      </c>
      <c r="L11" s="186">
        <f>'Large Use OLS Model (LC)'!$B$6*D11</f>
        <v>0</v>
      </c>
      <c r="M11" s="186">
        <f>'Large Use OLS Model (LC)'!$B$7*E11</f>
        <v>13388338.371309908</v>
      </c>
      <c r="N11" s="186">
        <v>0</v>
      </c>
      <c r="O11" s="186">
        <f>'Large Use OLS Model (LC)'!$B$8*G11</f>
        <v>0</v>
      </c>
      <c r="P11" s="186">
        <f>'Large Use OLS Model (LC)'!$B$9*H11</f>
        <v>0</v>
      </c>
      <c r="Q11" s="186">
        <f>'Large Use OLS Model (LC)'!$B$10*I11</f>
        <v>18122355.210333746</v>
      </c>
      <c r="R11" s="186">
        <f t="shared" si="2"/>
        <v>19925508.138025854</v>
      </c>
      <c r="S11" s="24">
        <f t="shared" ca="1" si="3"/>
        <v>8.4627668251858842E-2</v>
      </c>
    </row>
    <row r="12" spans="1:19">
      <c r="A12" s="128">
        <f>'Monthly Data'!A12</f>
        <v>40118</v>
      </c>
      <c r="B12" s="186">
        <f t="shared" si="1"/>
        <v>2009</v>
      </c>
      <c r="C12" s="124">
        <f ca="1">'Monthly Data'!AQ12</f>
        <v>17897159.701150067</v>
      </c>
      <c r="D12" s="186">
        <f>'Monthly Data'!BI12</f>
        <v>0</v>
      </c>
      <c r="E12" s="124">
        <f>'Monthly Data'!BJ12</f>
        <v>6454</v>
      </c>
      <c r="F12" s="186">
        <f>'Monthly Data'!BM12</f>
        <v>11</v>
      </c>
      <c r="G12" s="186">
        <f>'Monthly Data'!BT12</f>
        <v>0</v>
      </c>
      <c r="H12" s="186">
        <f>'Monthly Data'!BY12</f>
        <v>0</v>
      </c>
      <c r="I12" s="186">
        <f>'Monthly Data'!CC12</f>
        <v>30</v>
      </c>
      <c r="K12" s="186">
        <f>'Large Use OLS Model (LC)'!$B$5</f>
        <v>-11585185.4436178</v>
      </c>
      <c r="L12" s="186">
        <f>'Large Use OLS Model (LC)'!$B$6*D12</f>
        <v>0</v>
      </c>
      <c r="M12" s="186">
        <f>'Large Use OLS Model (LC)'!$B$7*E12</f>
        <v>13421194.72033086</v>
      </c>
      <c r="N12" s="186">
        <v>0</v>
      </c>
      <c r="O12" s="186">
        <f>'Large Use OLS Model (LC)'!$B$8*G12</f>
        <v>0</v>
      </c>
      <c r="P12" s="186">
        <f>'Large Use OLS Model (LC)'!$B$9*H12</f>
        <v>0</v>
      </c>
      <c r="Q12" s="186">
        <f>'Large Use OLS Model (LC)'!$B$10*I12</f>
        <v>17537763.106774591</v>
      </c>
      <c r="R12" s="186">
        <f t="shared" si="2"/>
        <v>19373772.383487649</v>
      </c>
      <c r="S12" s="24">
        <f t="shared" ca="1" si="3"/>
        <v>8.2505420245129468E-2</v>
      </c>
    </row>
    <row r="13" spans="1:19">
      <c r="A13" s="128">
        <f>'Monthly Data'!A13</f>
        <v>40148</v>
      </c>
      <c r="B13" s="186">
        <f t="shared" si="1"/>
        <v>2009</v>
      </c>
      <c r="C13" s="124">
        <f ca="1">'Monthly Data'!AQ13</f>
        <v>18512763.173234116</v>
      </c>
      <c r="D13" s="186">
        <f>'Monthly Data'!BI13</f>
        <v>0</v>
      </c>
      <c r="E13" s="124">
        <f>'Monthly Data'!BJ13</f>
        <v>6458.5</v>
      </c>
      <c r="F13" s="186">
        <f>'Monthly Data'!BM13</f>
        <v>12</v>
      </c>
      <c r="G13" s="186">
        <f>'Monthly Data'!BT13</f>
        <v>0</v>
      </c>
      <c r="H13" s="186">
        <f>'Monthly Data'!BY13</f>
        <v>1</v>
      </c>
      <c r="I13" s="186">
        <f>'Monthly Data'!CC13</f>
        <v>31</v>
      </c>
      <c r="K13" s="186">
        <f>'Large Use OLS Model (LC)'!$B$5</f>
        <v>-11585185.4436178</v>
      </c>
      <c r="L13" s="186">
        <f>'Large Use OLS Model (LC)'!$B$6*D13</f>
        <v>0</v>
      </c>
      <c r="M13" s="186">
        <f>'Large Use OLS Model (LC)'!$B$7*E13</f>
        <v>13430552.54125455</v>
      </c>
      <c r="N13" s="186">
        <v>0</v>
      </c>
      <c r="O13" s="186">
        <f>'Large Use OLS Model (LC)'!$B$8*G13</f>
        <v>0</v>
      </c>
      <c r="P13" s="186">
        <f>'Large Use OLS Model (LC)'!$B$9*H13</f>
        <v>-1776727.9579078101</v>
      </c>
      <c r="Q13" s="186">
        <f>'Large Use OLS Model (LC)'!$B$10*I13</f>
        <v>18122355.210333746</v>
      </c>
      <c r="R13" s="186">
        <f t="shared" si="2"/>
        <v>18190994.350062687</v>
      </c>
      <c r="S13" s="24">
        <f t="shared" ca="1" si="3"/>
        <v>1.7380918243293089E-2</v>
      </c>
    </row>
    <row r="14" spans="1:19">
      <c r="A14" s="128">
        <f>'Monthly Data'!A14</f>
        <v>40179</v>
      </c>
      <c r="B14" s="186">
        <f t="shared" si="1"/>
        <v>2010</v>
      </c>
      <c r="C14" s="124">
        <f ca="1">'Monthly Data'!AQ14</f>
        <v>19044313.514603201</v>
      </c>
      <c r="D14" s="186">
        <f>'Monthly Data'!BI14</f>
        <v>0</v>
      </c>
      <c r="E14" s="124">
        <f>'Monthly Data'!BJ14</f>
        <v>6466.9</v>
      </c>
      <c r="F14" s="186">
        <f>'Monthly Data'!BM14</f>
        <v>13</v>
      </c>
      <c r="G14" s="186">
        <f>'Monthly Data'!BT14</f>
        <v>0</v>
      </c>
      <c r="H14" s="186">
        <f>'Monthly Data'!BY14</f>
        <v>0</v>
      </c>
      <c r="I14" s="186">
        <f>'Monthly Data'!CC14</f>
        <v>31</v>
      </c>
      <c r="K14" s="186">
        <f>'Large Use OLS Model (LC)'!$B$5</f>
        <v>-11585185.4436178</v>
      </c>
      <c r="L14" s="186">
        <f>'Large Use OLS Model (LC)'!$B$6*D14</f>
        <v>0</v>
      </c>
      <c r="M14" s="186">
        <f>'Large Use OLS Model (LC)'!$B$7*E14</f>
        <v>13448020.473645436</v>
      </c>
      <c r="N14" s="186">
        <v>0</v>
      </c>
      <c r="O14" s="186">
        <f>'Large Use OLS Model (LC)'!$B$8*G14</f>
        <v>0</v>
      </c>
      <c r="P14" s="186">
        <f>'Large Use OLS Model (LC)'!$B$9*H14</f>
        <v>0</v>
      </c>
      <c r="Q14" s="186">
        <f>'Large Use OLS Model (LC)'!$B$10*I14</f>
        <v>18122355.210333746</v>
      </c>
      <c r="R14" s="186">
        <f t="shared" si="2"/>
        <v>19985190.240361381</v>
      </c>
      <c r="S14" s="24">
        <f t="shared" ca="1" si="3"/>
        <v>4.9404601800779782E-2</v>
      </c>
    </row>
    <row r="15" spans="1:19">
      <c r="A15" s="128">
        <f>'Monthly Data'!A15</f>
        <v>40210</v>
      </c>
      <c r="B15" s="186">
        <f t="shared" si="1"/>
        <v>2010</v>
      </c>
      <c r="C15" s="124">
        <f ca="1">'Monthly Data'!AQ15</f>
        <v>17686133.268556133</v>
      </c>
      <c r="D15" s="186">
        <f>'Monthly Data'!BI15</f>
        <v>0</v>
      </c>
      <c r="E15" s="124">
        <f>'Monthly Data'!BJ15</f>
        <v>6471</v>
      </c>
      <c r="F15" s="186">
        <f>'Monthly Data'!BM15</f>
        <v>14</v>
      </c>
      <c r="G15" s="186">
        <f>'Monthly Data'!BT15</f>
        <v>0</v>
      </c>
      <c r="H15" s="186">
        <f>'Monthly Data'!BY15</f>
        <v>0</v>
      </c>
      <c r="I15" s="186">
        <f>'Monthly Data'!CC15</f>
        <v>28</v>
      </c>
      <c r="K15" s="186">
        <f>'Large Use OLS Model (LC)'!$B$5</f>
        <v>-11585185.4436178</v>
      </c>
      <c r="L15" s="186">
        <f>'Large Use OLS Model (LC)'!$B$6*D15</f>
        <v>0</v>
      </c>
      <c r="M15" s="186">
        <f>'Large Use OLS Model (LC)'!$B$7*E15</f>
        <v>13456546.488264797</v>
      </c>
      <c r="N15" s="186">
        <v>0</v>
      </c>
      <c r="O15" s="186">
        <f>'Large Use OLS Model (LC)'!$B$8*G15</f>
        <v>0</v>
      </c>
      <c r="P15" s="186">
        <f>'Large Use OLS Model (LC)'!$B$9*H15</f>
        <v>0</v>
      </c>
      <c r="Q15" s="186">
        <f>'Large Use OLS Model (LC)'!$B$10*I15</f>
        <v>16368578.899656285</v>
      </c>
      <c r="R15" s="186">
        <f t="shared" si="2"/>
        <v>18239939.944303282</v>
      </c>
      <c r="S15" s="24">
        <f t="shared" ca="1" si="3"/>
        <v>3.1313044368593099E-2</v>
      </c>
    </row>
    <row r="16" spans="1:19">
      <c r="A16" s="128">
        <f>'Monthly Data'!A16</f>
        <v>40238</v>
      </c>
      <c r="B16" s="186">
        <f t="shared" si="1"/>
        <v>2010</v>
      </c>
      <c r="C16" s="124">
        <f ca="1">'Monthly Data'!AQ16</f>
        <v>19479538.882481217</v>
      </c>
      <c r="D16" s="186">
        <f>'Monthly Data'!BI16</f>
        <v>0</v>
      </c>
      <c r="E16" s="124">
        <f>'Monthly Data'!BJ16</f>
        <v>6477.5</v>
      </c>
      <c r="F16" s="186">
        <f>'Monthly Data'!BM16</f>
        <v>15</v>
      </c>
      <c r="G16" s="186">
        <f>'Monthly Data'!BT16</f>
        <v>0</v>
      </c>
      <c r="H16" s="186">
        <f>'Monthly Data'!BY16</f>
        <v>0</v>
      </c>
      <c r="I16" s="186">
        <f>'Monthly Data'!CC16</f>
        <v>31</v>
      </c>
      <c r="K16" s="186">
        <f>'Large Use OLS Model (LC)'!$B$5</f>
        <v>-11585185.4436178</v>
      </c>
      <c r="L16" s="186">
        <f>'Large Use OLS Model (LC)'!$B$6*D16</f>
        <v>0</v>
      </c>
      <c r="M16" s="186">
        <f>'Large Use OLS Model (LC)'!$B$7*E16</f>
        <v>13470063.340710126</v>
      </c>
      <c r="N16" s="186">
        <v>0</v>
      </c>
      <c r="O16" s="186">
        <f>'Large Use OLS Model (LC)'!$B$8*G16</f>
        <v>0</v>
      </c>
      <c r="P16" s="186">
        <f>'Large Use OLS Model (LC)'!$B$9*H16</f>
        <v>0</v>
      </c>
      <c r="Q16" s="186">
        <f>'Large Use OLS Model (LC)'!$B$10*I16</f>
        <v>18122355.210333746</v>
      </c>
      <c r="R16" s="186">
        <f t="shared" si="2"/>
        <v>20007233.10742607</v>
      </c>
      <c r="S16" s="24">
        <f t="shared" ca="1" si="3"/>
        <v>2.708966716965925E-2</v>
      </c>
    </row>
    <row r="17" spans="1:19">
      <c r="A17" s="128">
        <f>'Monthly Data'!A17</f>
        <v>40269</v>
      </c>
      <c r="B17" s="186">
        <f t="shared" si="1"/>
        <v>2010</v>
      </c>
      <c r="C17" s="124">
        <f ca="1">'Monthly Data'!AQ17</f>
        <v>18625659.098729182</v>
      </c>
      <c r="D17" s="186">
        <f>'Monthly Data'!BI17</f>
        <v>5</v>
      </c>
      <c r="E17" s="124">
        <f>'Monthly Data'!BJ17</f>
        <v>6485</v>
      </c>
      <c r="F17" s="186">
        <f>'Monthly Data'!BM17</f>
        <v>16</v>
      </c>
      <c r="G17" s="186">
        <f>'Monthly Data'!BT17</f>
        <v>0</v>
      </c>
      <c r="H17" s="186">
        <f>'Monthly Data'!BY17</f>
        <v>0</v>
      </c>
      <c r="I17" s="186">
        <f>'Monthly Data'!CC17</f>
        <v>30</v>
      </c>
      <c r="K17" s="186">
        <f>'Large Use OLS Model (LC)'!$B$5</f>
        <v>-11585185.4436178</v>
      </c>
      <c r="L17" s="186">
        <f>'Large Use OLS Model (LC)'!$B$6*D17</f>
        <v>128604.52934888401</v>
      </c>
      <c r="M17" s="186">
        <f>'Large Use OLS Model (LC)'!$B$7*E17</f>
        <v>13485659.708916275</v>
      </c>
      <c r="N17" s="186">
        <v>0</v>
      </c>
      <c r="O17" s="186">
        <f>'Large Use OLS Model (LC)'!$B$8*G17</f>
        <v>0</v>
      </c>
      <c r="P17" s="186">
        <f>'Large Use OLS Model (LC)'!$B$9*H17</f>
        <v>0</v>
      </c>
      <c r="Q17" s="186">
        <f>'Large Use OLS Model (LC)'!$B$10*I17</f>
        <v>17537763.106774591</v>
      </c>
      <c r="R17" s="186">
        <f t="shared" si="2"/>
        <v>19566841.901421949</v>
      </c>
      <c r="S17" s="24">
        <f t="shared" ca="1" si="3"/>
        <v>5.053151664077131E-2</v>
      </c>
    </row>
    <row r="18" spans="1:19">
      <c r="A18" s="128">
        <f>'Monthly Data'!A18</f>
        <v>40299</v>
      </c>
      <c r="B18" s="186">
        <f t="shared" si="1"/>
        <v>2010</v>
      </c>
      <c r="C18" s="124">
        <f ca="1">'Monthly Data'!AQ18</f>
        <v>20816001.059037603</v>
      </c>
      <c r="D18" s="186">
        <f>'Monthly Data'!BI18</f>
        <v>59.699999999999989</v>
      </c>
      <c r="E18" s="124">
        <f>'Monthly Data'!BJ18</f>
        <v>6506.8</v>
      </c>
      <c r="F18" s="186">
        <f>'Monthly Data'!BM18</f>
        <v>17</v>
      </c>
      <c r="G18" s="186">
        <f>'Monthly Data'!BT18</f>
        <v>0</v>
      </c>
      <c r="H18" s="186">
        <f>'Monthly Data'!BY18</f>
        <v>0</v>
      </c>
      <c r="I18" s="186">
        <f>'Monthly Data'!CC18</f>
        <v>31</v>
      </c>
      <c r="K18" s="186">
        <f>'Large Use OLS Model (LC)'!$B$5</f>
        <v>-11585185.4436178</v>
      </c>
      <c r="L18" s="186">
        <f>'Large Use OLS Model (LC)'!$B$6*D18</f>
        <v>1535538.0804256748</v>
      </c>
      <c r="M18" s="186">
        <f>'Large Use OLS Model (LC)'!$B$7*E18</f>
        <v>13530993.152502146</v>
      </c>
      <c r="N18" s="186">
        <v>0</v>
      </c>
      <c r="O18" s="186">
        <f>'Large Use OLS Model (LC)'!$B$8*G18</f>
        <v>0</v>
      </c>
      <c r="P18" s="186">
        <f>'Large Use OLS Model (LC)'!$B$9*H18</f>
        <v>0</v>
      </c>
      <c r="Q18" s="186">
        <f>'Large Use OLS Model (LC)'!$B$10*I18</f>
        <v>18122355.210333746</v>
      </c>
      <c r="R18" s="186">
        <f t="shared" si="2"/>
        <v>21603700.999643765</v>
      </c>
      <c r="S18" s="24">
        <f t="shared" ca="1" si="3"/>
        <v>3.7841079003220424E-2</v>
      </c>
    </row>
    <row r="19" spans="1:19">
      <c r="A19" s="128">
        <f>'Monthly Data'!A19</f>
        <v>40330</v>
      </c>
      <c r="B19" s="186">
        <f t="shared" si="1"/>
        <v>2010</v>
      </c>
      <c r="C19" s="124">
        <f ca="1">'Monthly Data'!AQ19</f>
        <v>23509898.345266234</v>
      </c>
      <c r="D19" s="186">
        <f>'Monthly Data'!BI19</f>
        <v>135.89999999999998</v>
      </c>
      <c r="E19" s="124">
        <f>'Monthly Data'!BJ19</f>
        <v>6540.8</v>
      </c>
      <c r="F19" s="186">
        <f>'Monthly Data'!BM19</f>
        <v>18</v>
      </c>
      <c r="G19" s="186">
        <f>'Monthly Data'!BT19</f>
        <v>0</v>
      </c>
      <c r="H19" s="186">
        <f>'Monthly Data'!BY19</f>
        <v>0</v>
      </c>
      <c r="I19" s="186">
        <f>'Monthly Data'!CC19</f>
        <v>30</v>
      </c>
      <c r="K19" s="186">
        <f>'Large Use OLS Model (LC)'!$B$5</f>
        <v>-11585185.4436178</v>
      </c>
      <c r="L19" s="186">
        <f>'Large Use OLS Model (LC)'!$B$6*D19</f>
        <v>3495471.1077026669</v>
      </c>
      <c r="M19" s="186">
        <f>'Large Use OLS Model (LC)'!$B$7*E19</f>
        <v>13601696.688370017</v>
      </c>
      <c r="N19" s="186">
        <v>0</v>
      </c>
      <c r="O19" s="186">
        <f>'Large Use OLS Model (LC)'!$B$8*G19</f>
        <v>0</v>
      </c>
      <c r="P19" s="186">
        <f>'Large Use OLS Model (LC)'!$B$9*H19</f>
        <v>0</v>
      </c>
      <c r="Q19" s="186">
        <f>'Large Use OLS Model (LC)'!$B$10*I19</f>
        <v>17537763.106774591</v>
      </c>
      <c r="R19" s="186">
        <f t="shared" si="2"/>
        <v>23049745.459229477</v>
      </c>
      <c r="S19" s="24">
        <f t="shared" ca="1" si="3"/>
        <v>1.9572729719157213E-2</v>
      </c>
    </row>
    <row r="20" spans="1:19">
      <c r="A20" s="128">
        <f>'Monthly Data'!A20</f>
        <v>40360</v>
      </c>
      <c r="B20" s="186">
        <f t="shared" si="1"/>
        <v>2010</v>
      </c>
      <c r="C20" s="124">
        <f ca="1">'Monthly Data'!AQ20</f>
        <v>24336162.481910329</v>
      </c>
      <c r="D20" s="186">
        <f>'Monthly Data'!BI20</f>
        <v>227.00000000000006</v>
      </c>
      <c r="E20" s="124">
        <f>'Monthly Data'!BJ20</f>
        <v>6561</v>
      </c>
      <c r="F20" s="186">
        <f>'Monthly Data'!BM20</f>
        <v>19</v>
      </c>
      <c r="G20" s="186">
        <f>'Monthly Data'!BT20</f>
        <v>1</v>
      </c>
      <c r="H20" s="186">
        <f>'Monthly Data'!BY20</f>
        <v>0</v>
      </c>
      <c r="I20" s="186">
        <f>'Monthly Data'!CC20</f>
        <v>31</v>
      </c>
      <c r="K20" s="186">
        <f>'Large Use OLS Model (LC)'!$B$5</f>
        <v>-11585185.4436178</v>
      </c>
      <c r="L20" s="186">
        <f>'Large Use OLS Model (LC)'!$B$6*D20</f>
        <v>5838645.6324393358</v>
      </c>
      <c r="M20" s="186">
        <f>'Large Use OLS Model (LC)'!$B$7*E20</f>
        <v>13643702.906738577</v>
      </c>
      <c r="N20" s="186">
        <v>0</v>
      </c>
      <c r="O20" s="186">
        <f>'Large Use OLS Model (LC)'!$B$8*G20</f>
        <v>-947874.12245155603</v>
      </c>
      <c r="P20" s="186">
        <f>'Large Use OLS Model (LC)'!$B$9*H20</f>
        <v>0</v>
      </c>
      <c r="Q20" s="186">
        <f>'Large Use OLS Model (LC)'!$B$10*I20</f>
        <v>18122355.210333746</v>
      </c>
      <c r="R20" s="186">
        <f t="shared" si="2"/>
        <v>25071644.183442302</v>
      </c>
      <c r="S20" s="24">
        <f t="shared" ca="1" si="3"/>
        <v>3.0221761630605255E-2</v>
      </c>
    </row>
    <row r="21" spans="1:19">
      <c r="A21" s="128">
        <f>'Monthly Data'!A21</f>
        <v>40391</v>
      </c>
      <c r="B21" s="186">
        <f t="shared" si="1"/>
        <v>2010</v>
      </c>
      <c r="C21" s="124">
        <f ca="1">'Monthly Data'!AQ21</f>
        <v>23181072.6356427</v>
      </c>
      <c r="D21" s="186">
        <f>'Monthly Data'!BI21</f>
        <v>211.80000000000004</v>
      </c>
      <c r="E21" s="124">
        <f>'Monthly Data'!BJ21</f>
        <v>6568.9</v>
      </c>
      <c r="F21" s="186">
        <f>'Monthly Data'!BM21</f>
        <v>20</v>
      </c>
      <c r="G21" s="186">
        <f>'Monthly Data'!BT21</f>
        <v>0</v>
      </c>
      <c r="H21" s="186">
        <f>'Monthly Data'!BY21</f>
        <v>0</v>
      </c>
      <c r="I21" s="186">
        <f>'Monthly Data'!CC21</f>
        <v>31</v>
      </c>
      <c r="K21" s="186">
        <f>'Large Use OLS Model (LC)'!$B$5</f>
        <v>-11585185.4436178</v>
      </c>
      <c r="L21" s="186">
        <f>'Large Use OLS Model (LC)'!$B$6*D21</f>
        <v>5447687.8632187275</v>
      </c>
      <c r="M21" s="186">
        <f>'Large Use OLS Model (LC)'!$B$7*E21</f>
        <v>13660131.081249053</v>
      </c>
      <c r="N21" s="186">
        <v>0</v>
      </c>
      <c r="O21" s="186">
        <f>'Large Use OLS Model (LC)'!$B$8*G21</f>
        <v>0</v>
      </c>
      <c r="P21" s="186">
        <f>'Large Use OLS Model (LC)'!$B$9*H21</f>
        <v>0</v>
      </c>
      <c r="Q21" s="186">
        <f>'Large Use OLS Model (LC)'!$B$10*I21</f>
        <v>18122355.210333746</v>
      </c>
      <c r="R21" s="186">
        <f t="shared" si="2"/>
        <v>25644988.711183727</v>
      </c>
      <c r="S21" s="24">
        <f t="shared" ca="1" si="3"/>
        <v>0.10628999418053522</v>
      </c>
    </row>
    <row r="22" spans="1:19">
      <c r="A22" s="128">
        <f>'Monthly Data'!A22</f>
        <v>40422</v>
      </c>
      <c r="B22" s="186">
        <f t="shared" si="1"/>
        <v>2010</v>
      </c>
      <c r="C22" s="124">
        <f ca="1">'Monthly Data'!AQ22</f>
        <v>21387323.124149039</v>
      </c>
      <c r="D22" s="186">
        <f>'Monthly Data'!BI22</f>
        <v>59.699999999999989</v>
      </c>
      <c r="E22" s="124">
        <f>'Monthly Data'!BJ22</f>
        <v>6556</v>
      </c>
      <c r="F22" s="186">
        <f>'Monthly Data'!BM22</f>
        <v>21</v>
      </c>
      <c r="G22" s="186">
        <f>'Monthly Data'!BT22</f>
        <v>0</v>
      </c>
      <c r="H22" s="186">
        <f>'Monthly Data'!BY22</f>
        <v>0</v>
      </c>
      <c r="I22" s="186">
        <f>'Monthly Data'!CC22</f>
        <v>30</v>
      </c>
      <c r="K22" s="186">
        <f>'Large Use OLS Model (LC)'!$B$5</f>
        <v>-11585185.4436178</v>
      </c>
      <c r="L22" s="186">
        <f>'Large Use OLS Model (LC)'!$B$6*D22</f>
        <v>1535538.0804256748</v>
      </c>
      <c r="M22" s="186">
        <f>'Large Use OLS Model (LC)'!$B$7*E22</f>
        <v>13633305.327934477</v>
      </c>
      <c r="N22" s="186">
        <v>0</v>
      </c>
      <c r="O22" s="186">
        <f>'Large Use OLS Model (LC)'!$B$8*G22</f>
        <v>0</v>
      </c>
      <c r="P22" s="186">
        <f>'Large Use OLS Model (LC)'!$B$9*H22</f>
        <v>0</v>
      </c>
      <c r="Q22" s="186">
        <f>'Large Use OLS Model (LC)'!$B$10*I22</f>
        <v>17537763.106774591</v>
      </c>
      <c r="R22" s="186">
        <f t="shared" si="2"/>
        <v>21121421.071516942</v>
      </c>
      <c r="S22" s="24">
        <f t="shared" ca="1" si="3"/>
        <v>1.2432694409140877E-2</v>
      </c>
    </row>
    <row r="23" spans="1:19">
      <c r="A23" s="128">
        <f>'Monthly Data'!A23</f>
        <v>40452</v>
      </c>
      <c r="B23" s="186">
        <f t="shared" si="1"/>
        <v>2010</v>
      </c>
      <c r="C23" s="124">
        <f ca="1">'Monthly Data'!AQ23</f>
        <v>18384718.318803035</v>
      </c>
      <c r="D23" s="186">
        <f>'Monthly Data'!BI23</f>
        <v>1.4000000000000001</v>
      </c>
      <c r="E23" s="124">
        <f>'Monthly Data'!BJ23</f>
        <v>6551.6</v>
      </c>
      <c r="F23" s="186">
        <f>'Monthly Data'!BM23</f>
        <v>22</v>
      </c>
      <c r="G23" s="186">
        <f>'Monthly Data'!BT23</f>
        <v>0</v>
      </c>
      <c r="H23" s="186">
        <f>'Monthly Data'!BY23</f>
        <v>0</v>
      </c>
      <c r="I23" s="186">
        <f>'Monthly Data'!CC23</f>
        <v>31</v>
      </c>
      <c r="K23" s="186">
        <f>'Large Use OLS Model (LC)'!$B$5</f>
        <v>-11585185.4436178</v>
      </c>
      <c r="L23" s="186">
        <f>'Large Use OLS Model (LC)'!$B$6*D23</f>
        <v>36009.268217687524</v>
      </c>
      <c r="M23" s="186">
        <f>'Large Use OLS Model (LC)'!$B$7*E23</f>
        <v>13624155.458586872</v>
      </c>
      <c r="N23" s="186">
        <v>0</v>
      </c>
      <c r="O23" s="186">
        <f>'Large Use OLS Model (LC)'!$B$8*G23</f>
        <v>0</v>
      </c>
      <c r="P23" s="186">
        <f>'Large Use OLS Model (LC)'!$B$9*H23</f>
        <v>0</v>
      </c>
      <c r="Q23" s="186">
        <f>'Large Use OLS Model (LC)'!$B$10*I23</f>
        <v>18122355.210333746</v>
      </c>
      <c r="R23" s="186">
        <f t="shared" si="2"/>
        <v>20197334.493520506</v>
      </c>
      <c r="S23" s="24">
        <f t="shared" ca="1" si="3"/>
        <v>9.8593633216757612E-2</v>
      </c>
    </row>
    <row r="24" spans="1:19">
      <c r="A24" s="128">
        <f>'Monthly Data'!A24</f>
        <v>40483</v>
      </c>
      <c r="B24" s="186">
        <f t="shared" si="1"/>
        <v>2010</v>
      </c>
      <c r="C24" s="124">
        <f ca="1">'Monthly Data'!AQ24</f>
        <v>19335451.797419466</v>
      </c>
      <c r="D24" s="186">
        <f>'Monthly Data'!BI24</f>
        <v>0</v>
      </c>
      <c r="E24" s="124">
        <f>'Monthly Data'!BJ24</f>
        <v>6555.7</v>
      </c>
      <c r="F24" s="186">
        <f>'Monthly Data'!BM24</f>
        <v>23</v>
      </c>
      <c r="G24" s="186">
        <f>'Monthly Data'!BT24</f>
        <v>0</v>
      </c>
      <c r="H24" s="186">
        <f>'Monthly Data'!BY24</f>
        <v>0</v>
      </c>
      <c r="I24" s="186">
        <f>'Monthly Data'!CC24</f>
        <v>30</v>
      </c>
      <c r="K24" s="186">
        <f>'Large Use OLS Model (LC)'!$B$5</f>
        <v>-11585185.4436178</v>
      </c>
      <c r="L24" s="186">
        <f>'Large Use OLS Model (LC)'!$B$6*D24</f>
        <v>0</v>
      </c>
      <c r="M24" s="186">
        <f>'Large Use OLS Model (LC)'!$B$7*E24</f>
        <v>13632681.473206231</v>
      </c>
      <c r="N24" s="186">
        <v>0</v>
      </c>
      <c r="O24" s="186">
        <f>'Large Use OLS Model (LC)'!$B$8*G24</f>
        <v>0</v>
      </c>
      <c r="P24" s="186">
        <f>'Large Use OLS Model (LC)'!$B$9*H24</f>
        <v>0</v>
      </c>
      <c r="Q24" s="186">
        <f>'Large Use OLS Model (LC)'!$B$10*I24</f>
        <v>17537763.106774591</v>
      </c>
      <c r="R24" s="186">
        <f t="shared" si="2"/>
        <v>19585259.136363022</v>
      </c>
      <c r="S24" s="24">
        <f t="shared" ca="1" si="3"/>
        <v>1.2919653575247492E-2</v>
      </c>
    </row>
    <row r="25" spans="1:19">
      <c r="A25" s="128">
        <f>'Monthly Data'!A25</f>
        <v>40513</v>
      </c>
      <c r="B25" s="186">
        <f t="shared" si="1"/>
        <v>2010</v>
      </c>
      <c r="C25" s="124">
        <f ca="1">'Monthly Data'!AQ25</f>
        <v>18685961.138548218</v>
      </c>
      <c r="D25" s="186">
        <f>'Monthly Data'!BI25</f>
        <v>0</v>
      </c>
      <c r="E25" s="124">
        <f>'Monthly Data'!BJ25</f>
        <v>6578.3</v>
      </c>
      <c r="F25" s="186">
        <f>'Monthly Data'!BM25</f>
        <v>24</v>
      </c>
      <c r="G25" s="186">
        <f>'Monthly Data'!BT25</f>
        <v>0</v>
      </c>
      <c r="H25" s="186">
        <f>'Monthly Data'!BY25</f>
        <v>1</v>
      </c>
      <c r="I25" s="186">
        <f>'Monthly Data'!CC25</f>
        <v>31</v>
      </c>
      <c r="K25" s="186">
        <f>'Large Use OLS Model (LC)'!$B$5</f>
        <v>-11585185.4436178</v>
      </c>
      <c r="L25" s="186">
        <f>'Large Use OLS Model (LC)'!$B$6*D25</f>
        <v>0</v>
      </c>
      <c r="M25" s="186">
        <f>'Large Use OLS Model (LC)'!$B$7*E25</f>
        <v>13679678.52940076</v>
      </c>
      <c r="N25" s="186">
        <v>0</v>
      </c>
      <c r="O25" s="186">
        <f>'Large Use OLS Model (LC)'!$B$8*G25</f>
        <v>0</v>
      </c>
      <c r="P25" s="186">
        <f>'Large Use OLS Model (LC)'!$B$9*H25</f>
        <v>-1776727.9579078101</v>
      </c>
      <c r="Q25" s="186">
        <f>'Large Use OLS Model (LC)'!$B$10*I25</f>
        <v>18122355.210333746</v>
      </c>
      <c r="R25" s="186">
        <f t="shared" si="2"/>
        <v>18440120.338208895</v>
      </c>
      <c r="S25" s="24">
        <f t="shared" ca="1" si="3"/>
        <v>1.3156443948294695E-2</v>
      </c>
    </row>
    <row r="26" spans="1:19">
      <c r="A26" s="128">
        <f>'Monthly Data'!A26</f>
        <v>40544</v>
      </c>
      <c r="B26" s="186">
        <f t="shared" si="1"/>
        <v>2011</v>
      </c>
      <c r="C26" s="124">
        <f ca="1">'Monthly Data'!AQ26</f>
        <v>20311443.914882537</v>
      </c>
      <c r="D26" s="186">
        <f>'Monthly Data'!BI26</f>
        <v>0</v>
      </c>
      <c r="E26" s="124">
        <f>'Monthly Data'!BJ26</f>
        <v>6606.3</v>
      </c>
      <c r="F26" s="186">
        <f>'Monthly Data'!BM26</f>
        <v>25</v>
      </c>
      <c r="G26" s="186">
        <f>'Monthly Data'!BT26</f>
        <v>0</v>
      </c>
      <c r="H26" s="186">
        <f>'Monthly Data'!BY26</f>
        <v>0</v>
      </c>
      <c r="I26" s="186">
        <f>'Monthly Data'!CC26</f>
        <v>31</v>
      </c>
      <c r="K26" s="186">
        <f>'Large Use OLS Model (LC)'!$B$5</f>
        <v>-11585185.4436178</v>
      </c>
      <c r="L26" s="186">
        <f>'Large Use OLS Model (LC)'!$B$6*D26</f>
        <v>0</v>
      </c>
      <c r="M26" s="186">
        <f>'Large Use OLS Model (LC)'!$B$7*E26</f>
        <v>13737904.970703714</v>
      </c>
      <c r="N26" s="186">
        <v>0</v>
      </c>
      <c r="O26" s="186">
        <f>'Large Use OLS Model (LC)'!$B$8*G26</f>
        <v>0</v>
      </c>
      <c r="P26" s="186">
        <f>'Large Use OLS Model (LC)'!$B$9*H26</f>
        <v>0</v>
      </c>
      <c r="Q26" s="186">
        <f>'Large Use OLS Model (LC)'!$B$10*I26</f>
        <v>18122355.210333746</v>
      </c>
      <c r="R26" s="186">
        <f t="shared" si="2"/>
        <v>20275074.737419657</v>
      </c>
      <c r="S26" s="24">
        <f t="shared" ca="1" si="3"/>
        <v>1.7905756781885535E-3</v>
      </c>
    </row>
    <row r="27" spans="1:19">
      <c r="A27" s="128">
        <f>'Monthly Data'!A27</f>
        <v>40575</v>
      </c>
      <c r="B27" s="186">
        <f t="shared" si="1"/>
        <v>2011</v>
      </c>
      <c r="C27" s="124">
        <f ca="1">'Monthly Data'!AQ27</f>
        <v>18637137.92498688</v>
      </c>
      <c r="D27" s="186">
        <f>'Monthly Data'!BI27</f>
        <v>0</v>
      </c>
      <c r="E27" s="124">
        <f>'Monthly Data'!BJ27</f>
        <v>6619.5</v>
      </c>
      <c r="F27" s="186">
        <f>'Monthly Data'!BM27</f>
        <v>26</v>
      </c>
      <c r="G27" s="186">
        <f>'Monthly Data'!BT27</f>
        <v>0</v>
      </c>
      <c r="H27" s="186">
        <f>'Monthly Data'!BY27</f>
        <v>0</v>
      </c>
      <c r="I27" s="186">
        <f>'Monthly Data'!CC27</f>
        <v>28</v>
      </c>
      <c r="K27" s="186">
        <f>'Large Use OLS Model (LC)'!$B$5</f>
        <v>-11585185.4436178</v>
      </c>
      <c r="L27" s="186">
        <f>'Large Use OLS Model (LC)'!$B$6*D27</f>
        <v>0</v>
      </c>
      <c r="M27" s="186">
        <f>'Large Use OLS Model (LC)'!$B$7*E27</f>
        <v>13765354.578746535</v>
      </c>
      <c r="N27" s="186">
        <v>0</v>
      </c>
      <c r="O27" s="186">
        <f>'Large Use OLS Model (LC)'!$B$8*G27</f>
        <v>0</v>
      </c>
      <c r="P27" s="186">
        <f>'Large Use OLS Model (LC)'!$B$9*H27</f>
        <v>0</v>
      </c>
      <c r="Q27" s="186">
        <f>'Large Use OLS Model (LC)'!$B$10*I27</f>
        <v>16368578.899656285</v>
      </c>
      <c r="R27" s="186">
        <f t="shared" si="2"/>
        <v>18548748.034785017</v>
      </c>
      <c r="S27" s="24">
        <f t="shared" ca="1" si="3"/>
        <v>4.742675112328178E-3</v>
      </c>
    </row>
    <row r="28" spans="1:19">
      <c r="A28" s="128">
        <f>'Monthly Data'!A28</f>
        <v>40603</v>
      </c>
      <c r="B28" s="186">
        <f t="shared" si="1"/>
        <v>2011</v>
      </c>
      <c r="C28" s="124">
        <f ca="1">'Monthly Data'!AQ28</f>
        <v>21533862.722559217</v>
      </c>
      <c r="D28" s="186">
        <f>'Monthly Data'!BI28</f>
        <v>0</v>
      </c>
      <c r="E28" s="124">
        <f>'Monthly Data'!BJ28</f>
        <v>6628.6</v>
      </c>
      <c r="F28" s="186">
        <f>'Monthly Data'!BM28</f>
        <v>27</v>
      </c>
      <c r="G28" s="186">
        <f>'Monthly Data'!BT28</f>
        <v>0</v>
      </c>
      <c r="H28" s="186">
        <f>'Monthly Data'!BY28</f>
        <v>0</v>
      </c>
      <c r="I28" s="186">
        <f>'Monthly Data'!CC28</f>
        <v>31</v>
      </c>
      <c r="K28" s="186">
        <f>'Large Use OLS Model (LC)'!$B$5</f>
        <v>-11585185.4436178</v>
      </c>
      <c r="L28" s="186">
        <f>'Large Use OLS Model (LC)'!$B$6*D28</f>
        <v>0</v>
      </c>
      <c r="M28" s="186">
        <f>'Large Use OLS Model (LC)'!$B$7*E28</f>
        <v>13784278.172169995</v>
      </c>
      <c r="N28" s="186">
        <v>0</v>
      </c>
      <c r="O28" s="186">
        <f>'Large Use OLS Model (LC)'!$B$8*G28</f>
        <v>0</v>
      </c>
      <c r="P28" s="186">
        <f>'Large Use OLS Model (LC)'!$B$9*H28</f>
        <v>0</v>
      </c>
      <c r="Q28" s="186">
        <f>'Large Use OLS Model (LC)'!$B$10*I28</f>
        <v>18122355.210333746</v>
      </c>
      <c r="R28" s="186">
        <f t="shared" si="2"/>
        <v>20321447.938885942</v>
      </c>
      <c r="S28" s="24">
        <f t="shared" ca="1" si="3"/>
        <v>5.6302707939302046E-2</v>
      </c>
    </row>
    <row r="29" spans="1:19">
      <c r="A29" s="128">
        <f>'Monthly Data'!A29</f>
        <v>40634</v>
      </c>
      <c r="B29" s="186">
        <f t="shared" si="1"/>
        <v>2011</v>
      </c>
      <c r="C29" s="124">
        <f ca="1">'Monthly Data'!AQ29</f>
        <v>20450919.389425918</v>
      </c>
      <c r="D29" s="186">
        <f>'Monthly Data'!BI29</f>
        <v>0.5</v>
      </c>
      <c r="E29" s="124">
        <f>'Monthly Data'!BJ29</f>
        <v>6635.5</v>
      </c>
      <c r="F29" s="186">
        <f>'Monthly Data'!BM29</f>
        <v>28</v>
      </c>
      <c r="G29" s="186">
        <f>'Monthly Data'!BT29</f>
        <v>0</v>
      </c>
      <c r="H29" s="186">
        <f>'Monthly Data'!BY29</f>
        <v>0</v>
      </c>
      <c r="I29" s="186">
        <f>'Monthly Data'!CC29</f>
        <v>30</v>
      </c>
      <c r="K29" s="186">
        <f>'Large Use OLS Model (LC)'!$B$5</f>
        <v>-11585185.4436178</v>
      </c>
      <c r="L29" s="186">
        <f>'Large Use OLS Model (LC)'!$B$6*D29</f>
        <v>12860.452934888401</v>
      </c>
      <c r="M29" s="186">
        <f>'Large Use OLS Model (LC)'!$B$7*E29</f>
        <v>13798626.830919651</v>
      </c>
      <c r="N29" s="186">
        <v>0</v>
      </c>
      <c r="O29" s="186">
        <f>'Large Use OLS Model (LC)'!$B$8*G29</f>
        <v>0</v>
      </c>
      <c r="P29" s="186">
        <f>'Large Use OLS Model (LC)'!$B$9*H29</f>
        <v>0</v>
      </c>
      <c r="Q29" s="186">
        <f>'Large Use OLS Model (LC)'!$B$10*I29</f>
        <v>17537763.106774591</v>
      </c>
      <c r="R29" s="186">
        <f t="shared" si="2"/>
        <v>19764064.947011329</v>
      </c>
      <c r="S29" s="24">
        <f t="shared" ca="1" si="3"/>
        <v>3.3585504364646072E-2</v>
      </c>
    </row>
    <row r="30" spans="1:19">
      <c r="A30" s="128">
        <f>'Monthly Data'!A30</f>
        <v>40664</v>
      </c>
      <c r="B30" s="186">
        <f t="shared" si="1"/>
        <v>2011</v>
      </c>
      <c r="C30" s="124">
        <f ca="1">'Monthly Data'!AQ30</f>
        <v>21971453.581163168</v>
      </c>
      <c r="D30" s="186">
        <f>'Monthly Data'!BI30</f>
        <v>37.200000000000003</v>
      </c>
      <c r="E30" s="124">
        <f>'Monthly Data'!BJ30</f>
        <v>6645.8</v>
      </c>
      <c r="F30" s="186">
        <f>'Monthly Data'!BM30</f>
        <v>29</v>
      </c>
      <c r="G30" s="186">
        <f>'Monthly Data'!BT30</f>
        <v>0</v>
      </c>
      <c r="H30" s="186">
        <f>'Monthly Data'!BY30</f>
        <v>0</v>
      </c>
      <c r="I30" s="186">
        <f>'Monthly Data'!CC30</f>
        <v>31</v>
      </c>
      <c r="K30" s="186">
        <f>'Large Use OLS Model (LC)'!$B$5</f>
        <v>-11585185.4436178</v>
      </c>
      <c r="L30" s="186">
        <f>'Large Use OLS Model (LC)'!$B$6*D30</f>
        <v>956817.6983556971</v>
      </c>
      <c r="M30" s="186">
        <f>'Large Use OLS Model (LC)'!$B$7*E30</f>
        <v>13820045.843256095</v>
      </c>
      <c r="N30" s="186">
        <v>0</v>
      </c>
      <c r="O30" s="186">
        <f>'Large Use OLS Model (LC)'!$B$8*G30</f>
        <v>0</v>
      </c>
      <c r="P30" s="186">
        <f>'Large Use OLS Model (LC)'!$B$9*H30</f>
        <v>0</v>
      </c>
      <c r="Q30" s="186">
        <f>'Large Use OLS Model (LC)'!$B$10*I30</f>
        <v>18122355.210333746</v>
      </c>
      <c r="R30" s="186">
        <f t="shared" si="2"/>
        <v>21314033.308327738</v>
      </c>
      <c r="S30" s="24">
        <f t="shared" ca="1" si="3"/>
        <v>2.9921564834429402E-2</v>
      </c>
    </row>
    <row r="31" spans="1:19">
      <c r="A31" s="128">
        <f>'Monthly Data'!A31</f>
        <v>40695</v>
      </c>
      <c r="B31" s="186">
        <f t="shared" si="1"/>
        <v>2011</v>
      </c>
      <c r="C31" s="124">
        <f ca="1">'Monthly Data'!AQ31</f>
        <v>22815807.153374083</v>
      </c>
      <c r="D31" s="186">
        <f>'Monthly Data'!BI31</f>
        <v>115.89999999999998</v>
      </c>
      <c r="E31" s="124">
        <f>'Monthly Data'!BJ31</f>
        <v>6662</v>
      </c>
      <c r="F31" s="186">
        <f>'Monthly Data'!BM31</f>
        <v>30</v>
      </c>
      <c r="G31" s="186">
        <f>'Monthly Data'!BT31</f>
        <v>0</v>
      </c>
      <c r="H31" s="186">
        <f>'Monthly Data'!BY31</f>
        <v>0</v>
      </c>
      <c r="I31" s="186">
        <f>'Monthly Data'!CC31</f>
        <v>30</v>
      </c>
      <c r="K31" s="186">
        <f>'Large Use OLS Model (LC)'!$B$5</f>
        <v>-11585185.4436178</v>
      </c>
      <c r="L31" s="186">
        <f>'Large Use OLS Model (LC)'!$B$6*D31</f>
        <v>2981052.9903071309</v>
      </c>
      <c r="M31" s="186">
        <f>'Large Use OLS Model (LC)'!$B$7*E31</f>
        <v>13853733.998581376</v>
      </c>
      <c r="N31" s="186">
        <v>0</v>
      </c>
      <c r="O31" s="186">
        <f>'Large Use OLS Model (LC)'!$B$8*G31</f>
        <v>0</v>
      </c>
      <c r="P31" s="186">
        <f>'Large Use OLS Model (LC)'!$B$9*H31</f>
        <v>0</v>
      </c>
      <c r="Q31" s="186">
        <f>'Large Use OLS Model (LC)'!$B$10*I31</f>
        <v>17537763.106774591</v>
      </c>
      <c r="R31" s="186">
        <f t="shared" si="2"/>
        <v>22787364.652045298</v>
      </c>
      <c r="S31" s="24">
        <f t="shared" ca="1" si="3"/>
        <v>1.2466138558056138E-3</v>
      </c>
    </row>
    <row r="32" spans="1:19">
      <c r="A32" s="128">
        <f>'Monthly Data'!A32</f>
        <v>40725</v>
      </c>
      <c r="B32" s="186">
        <f t="shared" si="1"/>
        <v>2011</v>
      </c>
      <c r="C32" s="124">
        <f ca="1">'Monthly Data'!AQ32</f>
        <v>25456437.547008239</v>
      </c>
      <c r="D32" s="186">
        <f>'Monthly Data'!BI32</f>
        <v>255.50000000000006</v>
      </c>
      <c r="E32" s="124">
        <f>'Monthly Data'!BJ32</f>
        <v>6665.8</v>
      </c>
      <c r="F32" s="186">
        <f>'Monthly Data'!BM32</f>
        <v>31</v>
      </c>
      <c r="G32" s="186">
        <f>'Monthly Data'!BT32</f>
        <v>1</v>
      </c>
      <c r="H32" s="186">
        <f>'Monthly Data'!BY32</f>
        <v>0</v>
      </c>
      <c r="I32" s="186">
        <f>'Monthly Data'!CC32</f>
        <v>31</v>
      </c>
      <c r="K32" s="186">
        <f>'Large Use OLS Model (LC)'!$B$5</f>
        <v>-11585185.4436178</v>
      </c>
      <c r="L32" s="186">
        <f>'Large Use OLS Model (LC)'!$B$6*D32</f>
        <v>6571691.4497279739</v>
      </c>
      <c r="M32" s="186">
        <f>'Large Use OLS Model (LC)'!$B$7*E32</f>
        <v>13861636.158472491</v>
      </c>
      <c r="N32" s="186">
        <v>0</v>
      </c>
      <c r="O32" s="186">
        <f>'Large Use OLS Model (LC)'!$B$8*G32</f>
        <v>-947874.12245155603</v>
      </c>
      <c r="P32" s="186">
        <f>'Large Use OLS Model (LC)'!$B$9*H32</f>
        <v>0</v>
      </c>
      <c r="Q32" s="186">
        <f>'Large Use OLS Model (LC)'!$B$10*I32</f>
        <v>18122355.210333746</v>
      </c>
      <c r="R32" s="186">
        <f t="shared" si="2"/>
        <v>26022623.252464857</v>
      </c>
      <c r="S32" s="24">
        <f t="shared" ca="1" si="3"/>
        <v>2.2241356608169987E-2</v>
      </c>
    </row>
    <row r="33" spans="1:19">
      <c r="A33" s="128">
        <f>'Monthly Data'!A33</f>
        <v>40756</v>
      </c>
      <c r="B33" s="186">
        <f t="shared" si="1"/>
        <v>2011</v>
      </c>
      <c r="C33" s="124">
        <f ca="1">'Monthly Data'!AQ33</f>
        <v>24857683.720791303</v>
      </c>
      <c r="D33" s="186">
        <f>'Monthly Data'!BI33</f>
        <v>159.50000000000003</v>
      </c>
      <c r="E33" s="124">
        <f>'Monthly Data'!BJ33</f>
        <v>6677.5</v>
      </c>
      <c r="F33" s="186">
        <f>'Monthly Data'!BM33</f>
        <v>32</v>
      </c>
      <c r="G33" s="186">
        <f>'Monthly Data'!BT33</f>
        <v>0</v>
      </c>
      <c r="H33" s="186">
        <f>'Monthly Data'!BY33</f>
        <v>0</v>
      </c>
      <c r="I33" s="186">
        <f>'Monthly Data'!CC33</f>
        <v>31</v>
      </c>
      <c r="K33" s="186">
        <f>'Large Use OLS Model (LC)'!$B$5</f>
        <v>-11585185.4436178</v>
      </c>
      <c r="L33" s="186">
        <f>'Large Use OLS Model (LC)'!$B$6*D33</f>
        <v>4102484.4862294006</v>
      </c>
      <c r="M33" s="186">
        <f>'Large Use OLS Model (LC)'!$B$7*E33</f>
        <v>13885966.492874082</v>
      </c>
      <c r="N33" s="186">
        <v>0</v>
      </c>
      <c r="O33" s="186">
        <f>'Large Use OLS Model (LC)'!$B$8*G33</f>
        <v>0</v>
      </c>
      <c r="P33" s="186">
        <f>'Large Use OLS Model (LC)'!$B$9*H33</f>
        <v>0</v>
      </c>
      <c r="Q33" s="186">
        <f>'Large Use OLS Model (LC)'!$B$10*I33</f>
        <v>18122355.210333746</v>
      </c>
      <c r="R33" s="186">
        <f t="shared" si="2"/>
        <v>24525620.745819427</v>
      </c>
      <c r="S33" s="24">
        <f t="shared" ca="1" si="3"/>
        <v>1.3358564647523196E-2</v>
      </c>
    </row>
    <row r="34" spans="1:19">
      <c r="A34" s="128">
        <f>'Monthly Data'!A34</f>
        <v>40787</v>
      </c>
      <c r="B34" s="186">
        <f t="shared" si="1"/>
        <v>2011</v>
      </c>
      <c r="C34" s="124">
        <f ca="1">'Monthly Data'!AQ34</f>
        <v>22360661.77511223</v>
      </c>
      <c r="D34" s="186">
        <f>'Monthly Data'!BI34</f>
        <v>60.199999999999989</v>
      </c>
      <c r="E34" s="124">
        <f>'Monthly Data'!BJ34</f>
        <v>6674.4</v>
      </c>
      <c r="F34" s="186">
        <f>'Monthly Data'!BM34</f>
        <v>33</v>
      </c>
      <c r="G34" s="186">
        <f>'Monthly Data'!BT34</f>
        <v>0</v>
      </c>
      <c r="H34" s="186">
        <f>'Monthly Data'!BY34</f>
        <v>0</v>
      </c>
      <c r="I34" s="186">
        <f>'Monthly Data'!CC34</f>
        <v>30</v>
      </c>
      <c r="K34" s="186">
        <f>'Large Use OLS Model (LC)'!$B$5</f>
        <v>-11585185.4436178</v>
      </c>
      <c r="L34" s="186">
        <f>'Large Use OLS Model (LC)'!$B$6*D34</f>
        <v>1548398.5333605632</v>
      </c>
      <c r="M34" s="186">
        <f>'Large Use OLS Model (LC)'!$B$7*E34</f>
        <v>13879519.994015539</v>
      </c>
      <c r="N34" s="186">
        <v>0</v>
      </c>
      <c r="O34" s="186">
        <f>'Large Use OLS Model (LC)'!$B$8*G34</f>
        <v>0</v>
      </c>
      <c r="P34" s="186">
        <f>'Large Use OLS Model (LC)'!$B$9*H34</f>
        <v>0</v>
      </c>
      <c r="Q34" s="186">
        <f>'Large Use OLS Model (LC)'!$B$10*I34</f>
        <v>17537763.106774591</v>
      </c>
      <c r="R34" s="186">
        <f t="shared" si="2"/>
        <v>21380496.190532893</v>
      </c>
      <c r="S34" s="24">
        <f t="shared" ca="1" si="3"/>
        <v>4.3834372812269679E-2</v>
      </c>
    </row>
    <row r="35" spans="1:19">
      <c r="A35" s="128">
        <f>'Monthly Data'!A35</f>
        <v>40817</v>
      </c>
      <c r="B35" s="186">
        <f t="shared" si="1"/>
        <v>2011</v>
      </c>
      <c r="C35" s="124">
        <f ca="1">'Monthly Data'!AQ35</f>
        <v>21639744.647910222</v>
      </c>
      <c r="D35" s="186">
        <f>'Monthly Data'!BI35</f>
        <v>2.6999999999999997</v>
      </c>
      <c r="E35" s="124">
        <f>'Monthly Data'!BJ35</f>
        <v>6668.1</v>
      </c>
      <c r="F35" s="186">
        <f>'Monthly Data'!BM35</f>
        <v>34</v>
      </c>
      <c r="G35" s="186">
        <f>'Monthly Data'!BT35</f>
        <v>0</v>
      </c>
      <c r="H35" s="186">
        <f>'Monthly Data'!BY35</f>
        <v>0</v>
      </c>
      <c r="I35" s="186">
        <f>'Monthly Data'!CC35</f>
        <v>31</v>
      </c>
      <c r="K35" s="186">
        <f>'Large Use OLS Model (LC)'!$B$5</f>
        <v>-11585185.4436178</v>
      </c>
      <c r="L35" s="186">
        <f>'Large Use OLS Model (LC)'!$B$6*D35</f>
        <v>69446.445848397358</v>
      </c>
      <c r="M35" s="186">
        <f>'Large Use OLS Model (LC)'!$B$7*E35</f>
        <v>13866419.044722376</v>
      </c>
      <c r="N35" s="186">
        <v>0</v>
      </c>
      <c r="O35" s="186">
        <f>'Large Use OLS Model (LC)'!$B$8*G35</f>
        <v>0</v>
      </c>
      <c r="P35" s="186">
        <f>'Large Use OLS Model (LC)'!$B$9*H35</f>
        <v>0</v>
      </c>
      <c r="Q35" s="186">
        <f>'Large Use OLS Model (LC)'!$B$10*I35</f>
        <v>18122355.210333746</v>
      </c>
      <c r="R35" s="186">
        <f t="shared" si="2"/>
        <v>20473035.25728672</v>
      </c>
      <c r="S35" s="24">
        <f t="shared" ca="1" si="3"/>
        <v>5.391511820524985E-2</v>
      </c>
    </row>
    <row r="36" spans="1:19">
      <c r="A36" s="128">
        <f>'Monthly Data'!A36</f>
        <v>40848</v>
      </c>
      <c r="B36" s="186">
        <f t="shared" si="1"/>
        <v>2011</v>
      </c>
      <c r="C36" s="124">
        <f ca="1">'Monthly Data'!AQ36</f>
        <v>19883497.74559721</v>
      </c>
      <c r="D36" s="186">
        <f>'Monthly Data'!BI36</f>
        <v>0</v>
      </c>
      <c r="E36" s="124">
        <f>'Monthly Data'!BJ36</f>
        <v>6662.8</v>
      </c>
      <c r="F36" s="186">
        <f>'Monthly Data'!BM36</f>
        <v>35</v>
      </c>
      <c r="G36" s="186">
        <f>'Monthly Data'!BT36</f>
        <v>0</v>
      </c>
      <c r="H36" s="186">
        <f>'Monthly Data'!BY36</f>
        <v>0</v>
      </c>
      <c r="I36" s="186">
        <f>'Monthly Data'!CC36</f>
        <v>30</v>
      </c>
      <c r="K36" s="186">
        <f>'Large Use OLS Model (LC)'!$B$5</f>
        <v>-11585185.4436178</v>
      </c>
      <c r="L36" s="186">
        <f>'Large Use OLS Model (LC)'!$B$6*D36</f>
        <v>0</v>
      </c>
      <c r="M36" s="186">
        <f>'Large Use OLS Model (LC)'!$B$7*E36</f>
        <v>13855397.61119003</v>
      </c>
      <c r="N36" s="186">
        <v>0</v>
      </c>
      <c r="O36" s="186">
        <f>'Large Use OLS Model (LC)'!$B$8*G36</f>
        <v>0</v>
      </c>
      <c r="P36" s="186">
        <f>'Large Use OLS Model (LC)'!$B$9*H36</f>
        <v>0</v>
      </c>
      <c r="Q36" s="186">
        <f>'Large Use OLS Model (LC)'!$B$10*I36</f>
        <v>17537763.106774591</v>
      </c>
      <c r="R36" s="186">
        <f t="shared" si="2"/>
        <v>19807975.274346821</v>
      </c>
      <c r="S36" s="24">
        <f t="shared" ca="1" si="3"/>
        <v>3.7982487898595035E-3</v>
      </c>
    </row>
    <row r="37" spans="1:19">
      <c r="A37" s="128">
        <f>'Monthly Data'!A37</f>
        <v>40878</v>
      </c>
      <c r="B37" s="186">
        <f t="shared" si="1"/>
        <v>2011</v>
      </c>
      <c r="C37" s="124">
        <f ca="1">'Monthly Data'!AQ37</f>
        <v>18586040.900826391</v>
      </c>
      <c r="D37" s="186">
        <f>'Monthly Data'!BI37</f>
        <v>0</v>
      </c>
      <c r="E37" s="124">
        <f>'Monthly Data'!BJ37</f>
        <v>6667.5</v>
      </c>
      <c r="F37" s="186">
        <f>'Monthly Data'!BM37</f>
        <v>36</v>
      </c>
      <c r="G37" s="186">
        <f>'Monthly Data'!BT37</f>
        <v>0</v>
      </c>
      <c r="H37" s="186">
        <f>'Monthly Data'!BY37</f>
        <v>1</v>
      </c>
      <c r="I37" s="186">
        <f>'Monthly Data'!CC37</f>
        <v>31</v>
      </c>
      <c r="K37" s="186">
        <f>'Large Use OLS Model (LC)'!$B$5</f>
        <v>-11585185.4436178</v>
      </c>
      <c r="L37" s="186">
        <f>'Large Use OLS Model (LC)'!$B$6*D37</f>
        <v>0</v>
      </c>
      <c r="M37" s="186">
        <f>'Large Use OLS Model (LC)'!$B$7*E37</f>
        <v>13865171.335265884</v>
      </c>
      <c r="N37" s="186">
        <v>0</v>
      </c>
      <c r="O37" s="186">
        <f>'Large Use OLS Model (LC)'!$B$8*G37</f>
        <v>0</v>
      </c>
      <c r="P37" s="186">
        <f>'Large Use OLS Model (LC)'!$B$9*H37</f>
        <v>-1776727.9579078101</v>
      </c>
      <c r="Q37" s="186">
        <f>'Large Use OLS Model (LC)'!$B$10*I37</f>
        <v>18122355.210333746</v>
      </c>
      <c r="R37" s="186">
        <f t="shared" si="2"/>
        <v>18625613.144074019</v>
      </c>
      <c r="S37" s="24">
        <f t="shared" ca="1" si="3"/>
        <v>2.1291378545211697E-3</v>
      </c>
    </row>
    <row r="38" spans="1:19">
      <c r="A38" s="128">
        <f>'Monthly Data'!A38</f>
        <v>40909</v>
      </c>
      <c r="B38" s="186">
        <f t="shared" si="1"/>
        <v>2012</v>
      </c>
      <c r="C38" s="124">
        <f ca="1">'Monthly Data'!AQ38</f>
        <v>19687814.33821645</v>
      </c>
      <c r="D38" s="186">
        <f>'Monthly Data'!BI38</f>
        <v>0</v>
      </c>
      <c r="E38" s="124">
        <f>'Monthly Data'!BJ38</f>
        <v>6673.6</v>
      </c>
      <c r="F38" s="186">
        <f>'Monthly Data'!BM38</f>
        <v>37</v>
      </c>
      <c r="G38" s="186">
        <f>'Monthly Data'!BT38</f>
        <v>0</v>
      </c>
      <c r="H38" s="186">
        <f>'Monthly Data'!BY38</f>
        <v>0</v>
      </c>
      <c r="I38" s="186">
        <f>'Monthly Data'!CC38</f>
        <v>31</v>
      </c>
      <c r="K38" s="186">
        <f>'Large Use OLS Model (LC)'!$B$5</f>
        <v>-11585185.4436178</v>
      </c>
      <c r="L38" s="186">
        <f>'Large Use OLS Model (LC)'!$B$6*D38</f>
        <v>0</v>
      </c>
      <c r="M38" s="186">
        <f>'Large Use OLS Model (LC)'!$B$7*E38</f>
        <v>13877856.381406885</v>
      </c>
      <c r="N38" s="186">
        <v>0</v>
      </c>
      <c r="O38" s="186">
        <f>'Large Use OLS Model (LC)'!$B$8*G38</f>
        <v>0</v>
      </c>
      <c r="P38" s="186">
        <f>'Large Use OLS Model (LC)'!$B$9*H38</f>
        <v>0</v>
      </c>
      <c r="Q38" s="186">
        <f>'Large Use OLS Model (LC)'!$B$10*I38</f>
        <v>18122355.210333746</v>
      </c>
      <c r="R38" s="186">
        <f t="shared" si="2"/>
        <v>20415026.148122832</v>
      </c>
      <c r="S38" s="24">
        <f t="shared" ca="1" si="3"/>
        <v>3.6937152972576305E-2</v>
      </c>
    </row>
    <row r="39" spans="1:19">
      <c r="A39" s="128">
        <f>'Monthly Data'!A39</f>
        <v>40940</v>
      </c>
      <c r="B39" s="186">
        <f t="shared" si="1"/>
        <v>2012</v>
      </c>
      <c r="C39" s="124">
        <f ca="1">'Monthly Data'!AQ39</f>
        <v>18467697.406501543</v>
      </c>
      <c r="D39" s="186">
        <f>'Monthly Data'!BI39</f>
        <v>0</v>
      </c>
      <c r="E39" s="124">
        <f>'Monthly Data'!BJ39</f>
        <v>6670.7</v>
      </c>
      <c r="F39" s="186">
        <f>'Monthly Data'!BM39</f>
        <v>38</v>
      </c>
      <c r="G39" s="186">
        <f>'Monthly Data'!BT39</f>
        <v>0</v>
      </c>
      <c r="H39" s="186">
        <f>'Monthly Data'!BY39</f>
        <v>0</v>
      </c>
      <c r="I39" s="186">
        <f>'Monthly Data'!CC39</f>
        <v>29</v>
      </c>
      <c r="K39" s="186">
        <f>'Large Use OLS Model (LC)'!$B$5</f>
        <v>-11585185.4436178</v>
      </c>
      <c r="L39" s="186">
        <f>'Large Use OLS Model (LC)'!$B$6*D39</f>
        <v>0</v>
      </c>
      <c r="M39" s="186">
        <f>'Large Use OLS Model (LC)'!$B$7*E39</f>
        <v>13871825.785700507</v>
      </c>
      <c r="N39" s="186">
        <v>0</v>
      </c>
      <c r="O39" s="186">
        <f>'Large Use OLS Model (LC)'!$B$8*G39</f>
        <v>0</v>
      </c>
      <c r="P39" s="186">
        <f>'Large Use OLS Model (LC)'!$B$9*H39</f>
        <v>0</v>
      </c>
      <c r="Q39" s="186">
        <f>'Large Use OLS Model (LC)'!$B$10*I39</f>
        <v>16953171.00321544</v>
      </c>
      <c r="R39" s="186">
        <f t="shared" si="2"/>
        <v>19239811.345298149</v>
      </c>
      <c r="S39" s="24">
        <f t="shared" ca="1" si="3"/>
        <v>4.18088905076376E-2</v>
      </c>
    </row>
    <row r="40" spans="1:19">
      <c r="A40" s="128">
        <f>'Monthly Data'!A40</f>
        <v>40969</v>
      </c>
      <c r="B40" s="186">
        <f t="shared" si="1"/>
        <v>2012</v>
      </c>
      <c r="C40" s="124">
        <f ca="1">'Monthly Data'!AQ40</f>
        <v>20499238.476042025</v>
      </c>
      <c r="D40" s="186">
        <f>'Monthly Data'!BI40</f>
        <v>4.8</v>
      </c>
      <c r="E40" s="124">
        <f>'Monthly Data'!BJ40</f>
        <v>6674</v>
      </c>
      <c r="F40" s="186">
        <f>'Monthly Data'!BM40</f>
        <v>39</v>
      </c>
      <c r="G40" s="186">
        <f>'Monthly Data'!BT40</f>
        <v>0</v>
      </c>
      <c r="H40" s="186">
        <f>'Monthly Data'!BY40</f>
        <v>0</v>
      </c>
      <c r="I40" s="186">
        <f>'Monthly Data'!CC40</f>
        <v>31</v>
      </c>
      <c r="K40" s="186">
        <f>'Large Use OLS Model (LC)'!$B$5</f>
        <v>-11585185.4436178</v>
      </c>
      <c r="L40" s="186">
        <f>'Large Use OLS Model (LC)'!$B$6*D40</f>
        <v>123460.34817492864</v>
      </c>
      <c r="M40" s="186">
        <f>'Large Use OLS Model (LC)'!$B$7*E40</f>
        <v>13878688.187711213</v>
      </c>
      <c r="N40" s="186">
        <v>0</v>
      </c>
      <c r="O40" s="186">
        <f>'Large Use OLS Model (LC)'!$B$8*G40</f>
        <v>0</v>
      </c>
      <c r="P40" s="186">
        <f>'Large Use OLS Model (LC)'!$B$9*H40</f>
        <v>0</v>
      </c>
      <c r="Q40" s="186">
        <f>'Large Use OLS Model (LC)'!$B$10*I40</f>
        <v>18122355.210333746</v>
      </c>
      <c r="R40" s="186">
        <f t="shared" si="2"/>
        <v>20539318.302602086</v>
      </c>
      <c r="S40" s="24">
        <f t="shared" ca="1" si="3"/>
        <v>1.9551861210309702E-3</v>
      </c>
    </row>
    <row r="41" spans="1:19">
      <c r="A41" s="128">
        <f>'Monthly Data'!A41</f>
        <v>41000</v>
      </c>
      <c r="B41" s="186">
        <f t="shared" si="1"/>
        <v>2012</v>
      </c>
      <c r="C41" s="124">
        <f ca="1">'Monthly Data'!AQ41</f>
        <v>19245043.973630149</v>
      </c>
      <c r="D41" s="186">
        <f>'Monthly Data'!BI41</f>
        <v>4.3</v>
      </c>
      <c r="E41" s="124">
        <f>'Monthly Data'!BJ41</f>
        <v>6685.8</v>
      </c>
      <c r="F41" s="186">
        <f>'Monthly Data'!BM41</f>
        <v>40</v>
      </c>
      <c r="G41" s="186">
        <f>'Monthly Data'!BT41</f>
        <v>0</v>
      </c>
      <c r="H41" s="186">
        <f>'Monthly Data'!BY41</f>
        <v>0</v>
      </c>
      <c r="I41" s="186">
        <f>'Monthly Data'!CC41</f>
        <v>30</v>
      </c>
      <c r="K41" s="186">
        <f>'Large Use OLS Model (LC)'!$B$5</f>
        <v>-11585185.4436178</v>
      </c>
      <c r="L41" s="186">
        <f>'Large Use OLS Model (LC)'!$B$6*D41</f>
        <v>110599.89524004025</v>
      </c>
      <c r="M41" s="186">
        <f>'Large Use OLS Model (LC)'!$B$7*E41</f>
        <v>13903226.473688886</v>
      </c>
      <c r="N41" s="186">
        <v>0</v>
      </c>
      <c r="O41" s="186">
        <f>'Large Use OLS Model (LC)'!$B$8*G41</f>
        <v>0</v>
      </c>
      <c r="P41" s="186">
        <f>'Large Use OLS Model (LC)'!$B$9*H41</f>
        <v>0</v>
      </c>
      <c r="Q41" s="186">
        <f>'Large Use OLS Model (LC)'!$B$10*I41</f>
        <v>17537763.106774591</v>
      </c>
      <c r="R41" s="186">
        <f t="shared" si="2"/>
        <v>19966404.032085717</v>
      </c>
      <c r="S41" s="24">
        <f t="shared" ca="1" si="3"/>
        <v>3.74828999842238E-2</v>
      </c>
    </row>
    <row r="42" spans="1:19">
      <c r="A42" s="128">
        <f>'Monthly Data'!A42</f>
        <v>41030</v>
      </c>
      <c r="B42" s="186">
        <f t="shared" si="1"/>
        <v>2012</v>
      </c>
      <c r="C42" s="124">
        <f ca="1">'Monthly Data'!AQ42</f>
        <v>22797281.19388999</v>
      </c>
      <c r="D42" s="186">
        <f>'Monthly Data'!BI42</f>
        <v>59.3</v>
      </c>
      <c r="E42" s="124">
        <f>'Monthly Data'!BJ42</f>
        <v>6690.1</v>
      </c>
      <c r="F42" s="186">
        <f>'Monthly Data'!BM42</f>
        <v>41</v>
      </c>
      <c r="G42" s="186">
        <f>'Monthly Data'!BT42</f>
        <v>0</v>
      </c>
      <c r="H42" s="186">
        <f>'Monthly Data'!BY42</f>
        <v>0</v>
      </c>
      <c r="I42" s="186">
        <f>'Monthly Data'!CC42</f>
        <v>31</v>
      </c>
      <c r="K42" s="186">
        <f>'Large Use OLS Model (LC)'!$B$5</f>
        <v>-11585185.4436178</v>
      </c>
      <c r="L42" s="186">
        <f>'Large Use OLS Model (LC)'!$B$6*D42</f>
        <v>1525249.7180777641</v>
      </c>
      <c r="M42" s="186">
        <f>'Large Use OLS Model (LC)'!$B$7*E42</f>
        <v>13912168.391460411</v>
      </c>
      <c r="N42" s="186">
        <v>0</v>
      </c>
      <c r="O42" s="186">
        <f>'Large Use OLS Model (LC)'!$B$8*G42</f>
        <v>0</v>
      </c>
      <c r="P42" s="186">
        <f>'Large Use OLS Model (LC)'!$B$9*H42</f>
        <v>0</v>
      </c>
      <c r="Q42" s="186">
        <f>'Large Use OLS Model (LC)'!$B$10*I42</f>
        <v>18122355.210333746</v>
      </c>
      <c r="R42" s="186">
        <f t="shared" si="2"/>
        <v>21974587.876254119</v>
      </c>
      <c r="S42" s="24">
        <f t="shared" ca="1" si="3"/>
        <v>3.6087343514294393E-2</v>
      </c>
    </row>
    <row r="43" spans="1:19">
      <c r="A43" s="128">
        <f>'Monthly Data'!A43</f>
        <v>41061</v>
      </c>
      <c r="B43" s="186">
        <f t="shared" si="1"/>
        <v>2012</v>
      </c>
      <c r="C43" s="124">
        <f ca="1">'Monthly Data'!AQ43</f>
        <v>23456120.90443496</v>
      </c>
      <c r="D43" s="186">
        <f>'Monthly Data'!BI43</f>
        <v>147.09999999999997</v>
      </c>
      <c r="E43" s="124">
        <f>'Monthly Data'!BJ43</f>
        <v>6693.3</v>
      </c>
      <c r="F43" s="186">
        <f>'Monthly Data'!BM43</f>
        <v>42</v>
      </c>
      <c r="G43" s="186">
        <f>'Monthly Data'!BT43</f>
        <v>0</v>
      </c>
      <c r="H43" s="186">
        <f>'Monthly Data'!BY43</f>
        <v>0</v>
      </c>
      <c r="I43" s="186">
        <f>'Monthly Data'!CC43</f>
        <v>30</v>
      </c>
      <c r="K43" s="186">
        <f>'Large Use OLS Model (LC)'!$B$5</f>
        <v>-11585185.4436178</v>
      </c>
      <c r="L43" s="186">
        <f>'Large Use OLS Model (LC)'!$B$6*D43</f>
        <v>3783545.2534441664</v>
      </c>
      <c r="M43" s="186">
        <f>'Large Use OLS Model (LC)'!$B$7*E43</f>
        <v>13918822.841895035</v>
      </c>
      <c r="N43" s="186">
        <v>0</v>
      </c>
      <c r="O43" s="186">
        <f>'Large Use OLS Model (LC)'!$B$8*G43</f>
        <v>0</v>
      </c>
      <c r="P43" s="186">
        <f>'Large Use OLS Model (LC)'!$B$9*H43</f>
        <v>0</v>
      </c>
      <c r="Q43" s="186">
        <f>'Large Use OLS Model (LC)'!$B$10*I43</f>
        <v>17537763.106774591</v>
      </c>
      <c r="R43" s="186">
        <f t="shared" si="2"/>
        <v>23654945.758495994</v>
      </c>
      <c r="S43" s="24">
        <f t="shared" ca="1" si="3"/>
        <v>8.4764592948291303E-3</v>
      </c>
    </row>
    <row r="44" spans="1:19">
      <c r="A44" s="128">
        <f>'Monthly Data'!A44</f>
        <v>41091</v>
      </c>
      <c r="B44" s="186">
        <f t="shared" si="1"/>
        <v>2012</v>
      </c>
      <c r="C44" s="124">
        <f ca="1">'Monthly Data'!AQ44</f>
        <v>25361430.625164669</v>
      </c>
      <c r="D44" s="186">
        <f>'Monthly Data'!BI44</f>
        <v>235.50000000000009</v>
      </c>
      <c r="E44" s="124">
        <f>'Monthly Data'!BJ44</f>
        <v>6694.6</v>
      </c>
      <c r="F44" s="186">
        <f>'Monthly Data'!BM44</f>
        <v>43</v>
      </c>
      <c r="G44" s="186">
        <f>'Monthly Data'!BT44</f>
        <v>1</v>
      </c>
      <c r="H44" s="186">
        <f>'Monthly Data'!BY44</f>
        <v>0</v>
      </c>
      <c r="I44" s="186">
        <f>'Monthly Data'!CC44</f>
        <v>31</v>
      </c>
      <c r="K44" s="186">
        <f>'Large Use OLS Model (LC)'!$B$5</f>
        <v>-11585185.4436178</v>
      </c>
      <c r="L44" s="186">
        <f>'Large Use OLS Model (LC)'!$B$6*D44</f>
        <v>6057273.3323324388</v>
      </c>
      <c r="M44" s="186">
        <f>'Large Use OLS Model (LC)'!$B$7*E44</f>
        <v>13921526.212384101</v>
      </c>
      <c r="N44" s="186">
        <v>0</v>
      </c>
      <c r="O44" s="186">
        <f>'Large Use OLS Model (LC)'!$B$8*G44</f>
        <v>-947874.12245155603</v>
      </c>
      <c r="P44" s="186">
        <f>'Large Use OLS Model (LC)'!$B$9*H44</f>
        <v>0</v>
      </c>
      <c r="Q44" s="186">
        <f>'Large Use OLS Model (LC)'!$B$10*I44</f>
        <v>18122355.210333746</v>
      </c>
      <c r="R44" s="186">
        <f t="shared" si="2"/>
        <v>25568095.18898093</v>
      </c>
      <c r="S44" s="24">
        <f t="shared" ca="1" si="3"/>
        <v>8.1487738949237096E-3</v>
      </c>
    </row>
    <row r="45" spans="1:19">
      <c r="A45" s="128">
        <f>'Monthly Data'!A45</f>
        <v>41122</v>
      </c>
      <c r="B45" s="186">
        <f t="shared" si="1"/>
        <v>2012</v>
      </c>
      <c r="C45" s="124">
        <f ca="1">'Monthly Data'!AQ45</f>
        <v>24577913.731392249</v>
      </c>
      <c r="D45" s="186">
        <f>'Monthly Data'!BI45</f>
        <v>143.69999999999999</v>
      </c>
      <c r="E45" s="124">
        <f>'Monthly Data'!BJ45</f>
        <v>6703.3</v>
      </c>
      <c r="F45" s="186">
        <f>'Monthly Data'!BM45</f>
        <v>44</v>
      </c>
      <c r="G45" s="186">
        <f>'Monthly Data'!BT45</f>
        <v>0</v>
      </c>
      <c r="H45" s="186">
        <f>'Monthly Data'!BY45</f>
        <v>0</v>
      </c>
      <c r="I45" s="186">
        <f>'Monthly Data'!CC45</f>
        <v>31</v>
      </c>
      <c r="K45" s="186">
        <f>'Large Use OLS Model (LC)'!$B$5</f>
        <v>-11585185.4436178</v>
      </c>
      <c r="L45" s="186">
        <f>'Large Use OLS Model (LC)'!$B$6*D45</f>
        <v>3696094.1734869261</v>
      </c>
      <c r="M45" s="186">
        <f>'Large Use OLS Model (LC)'!$B$7*E45</f>
        <v>13939617.999503233</v>
      </c>
      <c r="N45" s="186">
        <v>0</v>
      </c>
      <c r="O45" s="186">
        <f>'Large Use OLS Model (LC)'!$B$8*G45</f>
        <v>0</v>
      </c>
      <c r="P45" s="186">
        <f>'Large Use OLS Model (LC)'!$B$9*H45</f>
        <v>0</v>
      </c>
      <c r="Q45" s="186">
        <f>'Large Use OLS Model (LC)'!$B$10*I45</f>
        <v>18122355.210333746</v>
      </c>
      <c r="R45" s="186">
        <f t="shared" si="2"/>
        <v>24172881.939706102</v>
      </c>
      <c r="S45" s="24">
        <f t="shared" ca="1" si="3"/>
        <v>1.647950253681698E-2</v>
      </c>
    </row>
    <row r="46" spans="1:19">
      <c r="A46" s="128">
        <f>'Monthly Data'!A46</f>
        <v>41153</v>
      </c>
      <c r="B46" s="186">
        <f t="shared" si="1"/>
        <v>2012</v>
      </c>
      <c r="C46" s="124">
        <f ca="1">'Monthly Data'!AQ46</f>
        <v>22977997.316620789</v>
      </c>
      <c r="D46" s="186">
        <f>'Monthly Data'!BI46</f>
        <v>50.29999999999999</v>
      </c>
      <c r="E46" s="124">
        <f>'Monthly Data'!BJ46</f>
        <v>6707.4</v>
      </c>
      <c r="F46" s="186">
        <f>'Monthly Data'!BM46</f>
        <v>45</v>
      </c>
      <c r="G46" s="186">
        <f>'Monthly Data'!BT46</f>
        <v>0</v>
      </c>
      <c r="H46" s="186">
        <f>'Monthly Data'!BY46</f>
        <v>0</v>
      </c>
      <c r="I46" s="186">
        <f>'Monthly Data'!CC46</f>
        <v>30</v>
      </c>
      <c r="K46" s="186">
        <f>'Large Use OLS Model (LC)'!$B$5</f>
        <v>-11585185.4436178</v>
      </c>
      <c r="L46" s="186">
        <f>'Large Use OLS Model (LC)'!$B$6*D46</f>
        <v>1293761.5652497727</v>
      </c>
      <c r="M46" s="186">
        <f>'Large Use OLS Model (LC)'!$B$7*E46</f>
        <v>13948144.014122592</v>
      </c>
      <c r="N46" s="186">
        <v>0</v>
      </c>
      <c r="O46" s="186">
        <f>'Large Use OLS Model (LC)'!$B$8*G46</f>
        <v>0</v>
      </c>
      <c r="P46" s="186">
        <f>'Large Use OLS Model (LC)'!$B$9*H46</f>
        <v>0</v>
      </c>
      <c r="Q46" s="186">
        <f>'Large Use OLS Model (LC)'!$B$10*I46</f>
        <v>17537763.106774591</v>
      </c>
      <c r="R46" s="186">
        <f t="shared" si="2"/>
        <v>21194483.242529154</v>
      </c>
      <c r="S46" s="24">
        <f t="shared" ca="1" si="3"/>
        <v>7.7618342865831802E-2</v>
      </c>
    </row>
    <row r="47" spans="1:19">
      <c r="A47" s="128">
        <f>'Monthly Data'!A47</f>
        <v>41183</v>
      </c>
      <c r="B47" s="186">
        <f t="shared" si="1"/>
        <v>2012</v>
      </c>
      <c r="C47" s="124">
        <f ca="1">'Monthly Data'!AQ47</f>
        <v>21890662.71008677</v>
      </c>
      <c r="D47" s="186">
        <f>'Monthly Data'!BI47</f>
        <v>5.6</v>
      </c>
      <c r="E47" s="124">
        <f>'Monthly Data'!BJ47</f>
        <v>6710</v>
      </c>
      <c r="F47" s="186">
        <f>'Monthly Data'!BM47</f>
        <v>46</v>
      </c>
      <c r="G47" s="186">
        <f>'Monthly Data'!BT47</f>
        <v>0</v>
      </c>
      <c r="H47" s="186">
        <f>'Monthly Data'!BY47</f>
        <v>0</v>
      </c>
      <c r="I47" s="186">
        <f>'Monthly Data'!CC47</f>
        <v>31</v>
      </c>
      <c r="K47" s="186">
        <f>'Large Use OLS Model (LC)'!$B$5</f>
        <v>-11585185.4436178</v>
      </c>
      <c r="L47" s="186">
        <f>'Large Use OLS Model (LC)'!$B$6*D47</f>
        <v>144037.07287075007</v>
      </c>
      <c r="M47" s="186">
        <f>'Large Use OLS Model (LC)'!$B$7*E47</f>
        <v>13953550.755100725</v>
      </c>
      <c r="N47" s="186">
        <v>0</v>
      </c>
      <c r="O47" s="186">
        <f>'Large Use OLS Model (LC)'!$B$8*G47</f>
        <v>0</v>
      </c>
      <c r="P47" s="186">
        <f>'Large Use OLS Model (LC)'!$B$9*H47</f>
        <v>0</v>
      </c>
      <c r="Q47" s="186">
        <f>'Large Use OLS Model (LC)'!$B$10*I47</f>
        <v>18122355.210333746</v>
      </c>
      <c r="R47" s="186">
        <f t="shared" si="2"/>
        <v>20634757.594687421</v>
      </c>
      <c r="S47" s="24">
        <f t="shared" ca="1" si="3"/>
        <v>5.7371726568179869E-2</v>
      </c>
    </row>
    <row r="48" spans="1:19">
      <c r="A48" s="128">
        <f>'Monthly Data'!A48</f>
        <v>41214</v>
      </c>
      <c r="B48" s="186">
        <f t="shared" si="1"/>
        <v>2012</v>
      </c>
      <c r="C48" s="124">
        <f ca="1">'Monthly Data'!AQ48</f>
        <v>20407767.89345184</v>
      </c>
      <c r="D48" s="186">
        <f>'Monthly Data'!BI48</f>
        <v>0</v>
      </c>
      <c r="E48" s="124">
        <f>'Monthly Data'!BJ48</f>
        <v>6722.4</v>
      </c>
      <c r="F48" s="186">
        <f>'Monthly Data'!BM48</f>
        <v>47</v>
      </c>
      <c r="G48" s="186">
        <f>'Monthly Data'!BT48</f>
        <v>0</v>
      </c>
      <c r="H48" s="186">
        <f>'Monthly Data'!BY48</f>
        <v>0</v>
      </c>
      <c r="I48" s="186">
        <f>'Monthly Data'!CC48</f>
        <v>30</v>
      </c>
      <c r="K48" s="186">
        <f>'Large Use OLS Model (LC)'!$B$5</f>
        <v>-11585185.4436178</v>
      </c>
      <c r="L48" s="186">
        <f>'Large Use OLS Model (LC)'!$B$6*D48</f>
        <v>0</v>
      </c>
      <c r="M48" s="186">
        <f>'Large Use OLS Model (LC)'!$B$7*E48</f>
        <v>13979336.750534888</v>
      </c>
      <c r="N48" s="186">
        <v>0</v>
      </c>
      <c r="O48" s="186">
        <f>'Large Use OLS Model (LC)'!$B$8*G48</f>
        <v>0</v>
      </c>
      <c r="P48" s="186">
        <f>'Large Use OLS Model (LC)'!$B$9*H48</f>
        <v>0</v>
      </c>
      <c r="Q48" s="186">
        <f>'Large Use OLS Model (LC)'!$B$10*I48</f>
        <v>17537763.106774591</v>
      </c>
      <c r="R48" s="186">
        <f t="shared" si="2"/>
        <v>19931914.413691677</v>
      </c>
      <c r="S48" s="24">
        <f t="shared" ca="1" si="3"/>
        <v>2.3317272238912896E-2</v>
      </c>
    </row>
    <row r="49" spans="1:19">
      <c r="A49" s="128">
        <f>'Monthly Data'!A49</f>
        <v>41244</v>
      </c>
      <c r="B49" s="186">
        <f t="shared" si="1"/>
        <v>2012</v>
      </c>
      <c r="C49" s="124">
        <f ca="1">'Monthly Data'!AQ49</f>
        <v>19317288.89377021</v>
      </c>
      <c r="D49" s="186">
        <f>'Monthly Data'!BI49</f>
        <v>0</v>
      </c>
      <c r="E49" s="124">
        <f>'Monthly Data'!BJ49</f>
        <v>6740.6</v>
      </c>
      <c r="F49" s="186">
        <f>'Monthly Data'!BM49</f>
        <v>48</v>
      </c>
      <c r="G49" s="186">
        <f>'Monthly Data'!BT49</f>
        <v>0</v>
      </c>
      <c r="H49" s="186">
        <f>'Monthly Data'!BY49</f>
        <v>1</v>
      </c>
      <c r="I49" s="186">
        <f>'Monthly Data'!CC49</f>
        <v>31</v>
      </c>
      <c r="K49" s="186">
        <f>'Large Use OLS Model (LC)'!$B$5</f>
        <v>-11585185.4436178</v>
      </c>
      <c r="L49" s="186">
        <f>'Large Use OLS Model (LC)'!$B$6*D49</f>
        <v>0</v>
      </c>
      <c r="M49" s="186">
        <f>'Large Use OLS Model (LC)'!$B$7*E49</f>
        <v>14017183.93738181</v>
      </c>
      <c r="N49" s="186">
        <v>0</v>
      </c>
      <c r="O49" s="186">
        <f>'Large Use OLS Model (LC)'!$B$8*G49</f>
        <v>0</v>
      </c>
      <c r="P49" s="186">
        <f>'Large Use OLS Model (LC)'!$B$9*H49</f>
        <v>-1776727.9579078101</v>
      </c>
      <c r="Q49" s="186">
        <f>'Large Use OLS Model (LC)'!$B$10*I49</f>
        <v>18122355.210333746</v>
      </c>
      <c r="R49" s="186">
        <f t="shared" si="2"/>
        <v>18777625.746189944</v>
      </c>
      <c r="S49" s="24">
        <f t="shared" ca="1" si="3"/>
        <v>2.7936795403743553E-2</v>
      </c>
    </row>
    <row r="50" spans="1:19">
      <c r="A50" s="128">
        <f>'Monthly Data'!A50</f>
        <v>41275</v>
      </c>
      <c r="B50" s="186">
        <f t="shared" si="1"/>
        <v>2013</v>
      </c>
      <c r="C50" s="124">
        <f ca="1">'Monthly Data'!AQ50</f>
        <v>20938144.430793405</v>
      </c>
      <c r="D50" s="186">
        <f>'Monthly Data'!BI50</f>
        <v>0</v>
      </c>
      <c r="E50" s="124">
        <f>'Monthly Data'!BJ50</f>
        <v>6758.8</v>
      </c>
      <c r="F50" s="186">
        <f>'Monthly Data'!BM50</f>
        <v>49</v>
      </c>
      <c r="G50" s="186">
        <f>'Monthly Data'!BT50</f>
        <v>0</v>
      </c>
      <c r="H50" s="186">
        <f>'Monthly Data'!BY50</f>
        <v>0</v>
      </c>
      <c r="I50" s="186">
        <f>'Monthly Data'!CC50</f>
        <v>31</v>
      </c>
      <c r="K50" s="186">
        <f>'Large Use OLS Model (LC)'!$B$5</f>
        <v>-11585185.4436178</v>
      </c>
      <c r="L50" s="186">
        <f>'Large Use OLS Model (LC)'!$B$6*D50</f>
        <v>0</v>
      </c>
      <c r="M50" s="186">
        <f>'Large Use OLS Model (LC)'!$B$7*E50</f>
        <v>14055031.124228731</v>
      </c>
      <c r="N50" s="186">
        <v>0</v>
      </c>
      <c r="O50" s="186">
        <f>'Large Use OLS Model (LC)'!$B$8*G50</f>
        <v>0</v>
      </c>
      <c r="P50" s="186">
        <f>'Large Use OLS Model (LC)'!$B$9*H50</f>
        <v>0</v>
      </c>
      <c r="Q50" s="186">
        <f>'Large Use OLS Model (LC)'!$B$10*I50</f>
        <v>18122355.210333746</v>
      </c>
      <c r="R50" s="186">
        <f t="shared" si="2"/>
        <v>20592200.890944675</v>
      </c>
      <c r="S50" s="24">
        <f t="shared" ca="1" si="3"/>
        <v>1.652216799784589E-2</v>
      </c>
    </row>
    <row r="51" spans="1:19">
      <c r="A51" s="128">
        <f>'Monthly Data'!A51</f>
        <v>41306</v>
      </c>
      <c r="B51" s="186">
        <f t="shared" si="1"/>
        <v>2013</v>
      </c>
      <c r="C51" s="124">
        <f ca="1">'Monthly Data'!AQ51</f>
        <v>19315820.07202718</v>
      </c>
      <c r="D51" s="186">
        <f>'Monthly Data'!BI51</f>
        <v>0</v>
      </c>
      <c r="E51" s="124">
        <f>'Monthly Data'!BJ51</f>
        <v>6775.5</v>
      </c>
      <c r="F51" s="186">
        <f>'Monthly Data'!BM51</f>
        <v>50</v>
      </c>
      <c r="G51" s="186">
        <f>'Monthly Data'!BT51</f>
        <v>0</v>
      </c>
      <c r="H51" s="186">
        <f>'Monthly Data'!BY51</f>
        <v>0</v>
      </c>
      <c r="I51" s="186">
        <f>'Monthly Data'!CC51</f>
        <v>28</v>
      </c>
      <c r="K51" s="186">
        <f>'Large Use OLS Model (LC)'!$B$5</f>
        <v>-11585185.4436178</v>
      </c>
      <c r="L51" s="186">
        <f>'Large Use OLS Model (LC)'!$B$6*D51</f>
        <v>0</v>
      </c>
      <c r="M51" s="186">
        <f>'Large Use OLS Model (LC)'!$B$7*E51</f>
        <v>14089759.03743442</v>
      </c>
      <c r="N51" s="186">
        <v>0</v>
      </c>
      <c r="O51" s="186">
        <f>'Large Use OLS Model (LC)'!$B$8*G51</f>
        <v>0</v>
      </c>
      <c r="P51" s="186">
        <f>'Large Use OLS Model (LC)'!$B$9*H51</f>
        <v>0</v>
      </c>
      <c r="Q51" s="186">
        <f>'Large Use OLS Model (LC)'!$B$10*I51</f>
        <v>16368578.899656285</v>
      </c>
      <c r="R51" s="186">
        <f t="shared" si="2"/>
        <v>18873152.493472904</v>
      </c>
      <c r="S51" s="24">
        <f t="shared" ca="1" si="3"/>
        <v>2.2917358771390686E-2</v>
      </c>
    </row>
    <row r="52" spans="1:19">
      <c r="A52" s="128">
        <f>'Monthly Data'!A52</f>
        <v>41334</v>
      </c>
      <c r="B52" s="186">
        <f t="shared" si="1"/>
        <v>2013</v>
      </c>
      <c r="C52" s="124">
        <f ca="1">'Monthly Data'!AQ52</f>
        <v>23045320.972772148</v>
      </c>
      <c r="D52" s="186">
        <f>'Monthly Data'!BI52</f>
        <v>0</v>
      </c>
      <c r="E52" s="124">
        <f>'Monthly Data'!BJ52</f>
        <v>6781.1</v>
      </c>
      <c r="F52" s="186">
        <f>'Monthly Data'!BM52</f>
        <v>51</v>
      </c>
      <c r="G52" s="186">
        <f>'Monthly Data'!BT52</f>
        <v>0</v>
      </c>
      <c r="H52" s="186">
        <f>'Monthly Data'!BY52</f>
        <v>0</v>
      </c>
      <c r="I52" s="186">
        <f>'Monthly Data'!CC52</f>
        <v>31</v>
      </c>
      <c r="K52" s="186">
        <f>'Large Use OLS Model (LC)'!$B$5</f>
        <v>-11585185.4436178</v>
      </c>
      <c r="L52" s="186">
        <f>'Large Use OLS Model (LC)'!$B$6*D52</f>
        <v>0</v>
      </c>
      <c r="M52" s="186">
        <f>'Large Use OLS Model (LC)'!$B$7*E52</f>
        <v>14101404.325695012</v>
      </c>
      <c r="N52" s="186">
        <v>0</v>
      </c>
      <c r="O52" s="186">
        <f>'Large Use OLS Model (LC)'!$B$8*G52</f>
        <v>0</v>
      </c>
      <c r="P52" s="186">
        <f>'Large Use OLS Model (LC)'!$B$9*H52</f>
        <v>0</v>
      </c>
      <c r="Q52" s="186">
        <f>'Large Use OLS Model (LC)'!$B$10*I52</f>
        <v>18122355.210333746</v>
      </c>
      <c r="R52" s="186">
        <f t="shared" si="2"/>
        <v>20638574.092410959</v>
      </c>
      <c r="S52" s="24">
        <f t="shared" ca="1" si="3"/>
        <v>0.10443538118669465</v>
      </c>
    </row>
    <row r="53" spans="1:19">
      <c r="A53" s="128">
        <f>'Monthly Data'!A53</f>
        <v>41365</v>
      </c>
      <c r="B53" s="186">
        <f t="shared" si="1"/>
        <v>2013</v>
      </c>
      <c r="C53" s="124">
        <f ca="1">'Monthly Data'!AQ53</f>
        <v>22026086.518144023</v>
      </c>
      <c r="D53" s="186">
        <f>'Monthly Data'!BI53</f>
        <v>0</v>
      </c>
      <c r="E53" s="124">
        <f>'Monthly Data'!BJ53</f>
        <v>6788.9</v>
      </c>
      <c r="F53" s="186">
        <f>'Monthly Data'!BM53</f>
        <v>52</v>
      </c>
      <c r="G53" s="186">
        <f>'Monthly Data'!BT53</f>
        <v>0</v>
      </c>
      <c r="H53" s="186">
        <f>'Monthly Data'!BY53</f>
        <v>0</v>
      </c>
      <c r="I53" s="186">
        <f>'Monthly Data'!CC53</f>
        <v>30</v>
      </c>
      <c r="K53" s="186">
        <f>'Large Use OLS Model (LC)'!$B$5</f>
        <v>-11585185.4436178</v>
      </c>
      <c r="L53" s="186">
        <f>'Large Use OLS Model (LC)'!$B$6*D53</f>
        <v>0</v>
      </c>
      <c r="M53" s="186">
        <f>'Large Use OLS Model (LC)'!$B$7*E53</f>
        <v>14117624.548629405</v>
      </c>
      <c r="N53" s="186">
        <v>0</v>
      </c>
      <c r="O53" s="186">
        <f>'Large Use OLS Model (LC)'!$B$8*G53</f>
        <v>0</v>
      </c>
      <c r="P53" s="186">
        <f>'Large Use OLS Model (LC)'!$B$9*H53</f>
        <v>0</v>
      </c>
      <c r="Q53" s="186">
        <f>'Large Use OLS Model (LC)'!$B$10*I53</f>
        <v>17537763.106774591</v>
      </c>
      <c r="R53" s="186">
        <f t="shared" si="2"/>
        <v>20070202.211786196</v>
      </c>
      <c r="S53" s="24">
        <f t="shared" ca="1" si="3"/>
        <v>8.8798539166123056E-2</v>
      </c>
    </row>
    <row r="54" spans="1:19">
      <c r="A54" s="128">
        <f>'Monthly Data'!A54</f>
        <v>41395</v>
      </c>
      <c r="B54" s="186">
        <f t="shared" si="1"/>
        <v>2013</v>
      </c>
      <c r="C54" s="124">
        <f ca="1">'Monthly Data'!AQ54</f>
        <v>22961717.117793832</v>
      </c>
      <c r="D54" s="186">
        <f>'Monthly Data'!BI54</f>
        <v>59.899999999999991</v>
      </c>
      <c r="E54" s="124">
        <f>'Monthly Data'!BJ54</f>
        <v>6801.1</v>
      </c>
      <c r="F54" s="186">
        <f>'Monthly Data'!BM54</f>
        <v>53</v>
      </c>
      <c r="G54" s="186">
        <f>'Monthly Data'!BT54</f>
        <v>0</v>
      </c>
      <c r="H54" s="186">
        <f>'Monthly Data'!BY54</f>
        <v>0</v>
      </c>
      <c r="I54" s="186">
        <f>'Monthly Data'!CC54</f>
        <v>31</v>
      </c>
      <c r="K54" s="186">
        <f>'Large Use OLS Model (LC)'!$B$5</f>
        <v>-11585185.4436178</v>
      </c>
      <c r="L54" s="186">
        <f>'Large Use OLS Model (LC)'!$B$6*D54</f>
        <v>1540682.2615996301</v>
      </c>
      <c r="M54" s="186">
        <f>'Large Use OLS Model (LC)'!$B$7*E54</f>
        <v>14142994.640911408</v>
      </c>
      <c r="N54" s="186">
        <v>0</v>
      </c>
      <c r="O54" s="186">
        <f>'Large Use OLS Model (LC)'!$B$8*G54</f>
        <v>0</v>
      </c>
      <c r="P54" s="186">
        <f>'Large Use OLS Model (LC)'!$B$9*H54</f>
        <v>0</v>
      </c>
      <c r="Q54" s="186">
        <f>'Large Use OLS Model (LC)'!$B$10*I54</f>
        <v>18122355.210333746</v>
      </c>
      <c r="R54" s="186">
        <f t="shared" si="2"/>
        <v>22220846.669226982</v>
      </c>
      <c r="S54" s="24">
        <f t="shared" ca="1" si="3"/>
        <v>3.2265463630885165E-2</v>
      </c>
    </row>
    <row r="55" spans="1:19">
      <c r="A55" s="128">
        <f>'Monthly Data'!A55</f>
        <v>41426</v>
      </c>
      <c r="B55" s="186">
        <f t="shared" si="1"/>
        <v>2013</v>
      </c>
      <c r="C55" s="124">
        <f ca="1">'Monthly Data'!AQ55</f>
        <v>22886135.390346128</v>
      </c>
      <c r="D55" s="186">
        <f>'Monthly Data'!BI55</f>
        <v>103.49999999999999</v>
      </c>
      <c r="E55" s="124">
        <f>'Monthly Data'!BJ55</f>
        <v>6815.2</v>
      </c>
      <c r="F55" s="186">
        <f>'Monthly Data'!BM55</f>
        <v>54</v>
      </c>
      <c r="G55" s="186">
        <f>'Monthly Data'!BT55</f>
        <v>0</v>
      </c>
      <c r="H55" s="186">
        <f>'Monthly Data'!BY55</f>
        <v>0</v>
      </c>
      <c r="I55" s="186">
        <f>'Monthly Data'!CC55</f>
        <v>30</v>
      </c>
      <c r="K55" s="186">
        <f>'Large Use OLS Model (LC)'!$B$5</f>
        <v>-11585185.4436178</v>
      </c>
      <c r="L55" s="186">
        <f>'Large Use OLS Model (LC)'!$B$6*D55</f>
        <v>2662113.7575218985</v>
      </c>
      <c r="M55" s="186">
        <f>'Large Use OLS Model (LC)'!$B$7*E55</f>
        <v>14172315.813138966</v>
      </c>
      <c r="N55" s="186">
        <v>0</v>
      </c>
      <c r="O55" s="186">
        <f>'Large Use OLS Model (LC)'!$B$8*G55</f>
        <v>0</v>
      </c>
      <c r="P55" s="186">
        <f>'Large Use OLS Model (LC)'!$B$9*H55</f>
        <v>0</v>
      </c>
      <c r="Q55" s="186">
        <f>'Large Use OLS Model (LC)'!$B$10*I55</f>
        <v>17537763.106774591</v>
      </c>
      <c r="R55" s="186">
        <f t="shared" si="2"/>
        <v>22787007.233817656</v>
      </c>
      <c r="S55" s="24">
        <f t="shared" ca="1" si="3"/>
        <v>4.3313628464457712E-3</v>
      </c>
    </row>
    <row r="56" spans="1:19">
      <c r="A56" s="128">
        <f>'Monthly Data'!A56</f>
        <v>41456</v>
      </c>
      <c r="B56" s="186">
        <f t="shared" si="1"/>
        <v>2013</v>
      </c>
      <c r="C56" s="124">
        <f ca="1">'Monthly Data'!AQ56</f>
        <v>23748691.39553849</v>
      </c>
      <c r="D56" s="186">
        <f>'Monthly Data'!BI56</f>
        <v>174.80000000000004</v>
      </c>
      <c r="E56" s="124">
        <f>'Monthly Data'!BJ56</f>
        <v>6826.2</v>
      </c>
      <c r="F56" s="186">
        <f>'Monthly Data'!BM56</f>
        <v>55</v>
      </c>
      <c r="G56" s="186">
        <f>'Monthly Data'!BT56</f>
        <v>1</v>
      </c>
      <c r="H56" s="186">
        <f>'Monthly Data'!BY56</f>
        <v>0</v>
      </c>
      <c r="I56" s="186">
        <f>'Monthly Data'!CC56</f>
        <v>31</v>
      </c>
      <c r="K56" s="186">
        <f>'Large Use OLS Model (LC)'!$B$5</f>
        <v>-11585185.4436178</v>
      </c>
      <c r="L56" s="186">
        <f>'Large Use OLS Model (LC)'!$B$6*D56</f>
        <v>4496014.3460369855</v>
      </c>
      <c r="M56" s="186">
        <f>'Large Use OLS Model (LC)'!$B$7*E56</f>
        <v>14195190.486507982</v>
      </c>
      <c r="N56" s="186">
        <v>0</v>
      </c>
      <c r="O56" s="186">
        <f>'Large Use OLS Model (LC)'!$B$8*G56</f>
        <v>-947874.12245155603</v>
      </c>
      <c r="P56" s="186">
        <f>'Large Use OLS Model (LC)'!$B$9*H56</f>
        <v>0</v>
      </c>
      <c r="Q56" s="186">
        <f>'Large Use OLS Model (LC)'!$B$10*I56</f>
        <v>18122355.210333746</v>
      </c>
      <c r="R56" s="186">
        <f t="shared" si="2"/>
        <v>24280500.476809356</v>
      </c>
      <c r="S56" s="24">
        <f t="shared" ca="1" si="3"/>
        <v>2.2393195162356338E-2</v>
      </c>
    </row>
    <row r="57" spans="1:19">
      <c r="A57" s="128">
        <f>'Monthly Data'!A57</f>
        <v>41487</v>
      </c>
      <c r="B57" s="186">
        <f t="shared" si="1"/>
        <v>2013</v>
      </c>
      <c r="C57" s="124">
        <f ca="1">'Monthly Data'!AQ57</f>
        <v>24186748.846067321</v>
      </c>
      <c r="D57" s="186">
        <f>'Monthly Data'!BI57</f>
        <v>134.29999999999998</v>
      </c>
      <c r="E57" s="124">
        <f>'Monthly Data'!BJ57</f>
        <v>6833.9</v>
      </c>
      <c r="F57" s="186">
        <f>'Monthly Data'!BM57</f>
        <v>56</v>
      </c>
      <c r="G57" s="186">
        <f>'Monthly Data'!BT57</f>
        <v>0</v>
      </c>
      <c r="H57" s="186">
        <f>'Monthly Data'!BY57</f>
        <v>0</v>
      </c>
      <c r="I57" s="186">
        <f>'Monthly Data'!CC57</f>
        <v>31</v>
      </c>
      <c r="K57" s="186">
        <f>'Large Use OLS Model (LC)'!$B$5</f>
        <v>-11585185.4436178</v>
      </c>
      <c r="L57" s="186">
        <f>'Large Use OLS Model (LC)'!$B$6*D57</f>
        <v>3454317.6583110238</v>
      </c>
      <c r="M57" s="186">
        <f>'Large Use OLS Model (LC)'!$B$7*E57</f>
        <v>14211202.757866295</v>
      </c>
      <c r="N57" s="186">
        <v>0</v>
      </c>
      <c r="O57" s="186">
        <f>'Large Use OLS Model (LC)'!$B$8*G57</f>
        <v>0</v>
      </c>
      <c r="P57" s="186">
        <f>'Large Use OLS Model (LC)'!$B$9*H57</f>
        <v>0</v>
      </c>
      <c r="Q57" s="186">
        <f>'Large Use OLS Model (LC)'!$B$10*I57</f>
        <v>18122355.210333746</v>
      </c>
      <c r="R57" s="186">
        <f t="shared" si="2"/>
        <v>24202690.182893265</v>
      </c>
      <c r="S57" s="24">
        <f t="shared" ca="1" si="3"/>
        <v>6.5909382560676354E-4</v>
      </c>
    </row>
    <row r="58" spans="1:19">
      <c r="A58" s="128">
        <f>'Monthly Data'!A58</f>
        <v>41518</v>
      </c>
      <c r="B58" s="186">
        <f t="shared" si="1"/>
        <v>2013</v>
      </c>
      <c r="C58" s="124">
        <f ca="1">'Monthly Data'!AQ58</f>
        <v>21216640.257023308</v>
      </c>
      <c r="D58" s="186">
        <f>'Monthly Data'!BI58</f>
        <v>65.3</v>
      </c>
      <c r="E58" s="124">
        <f>'Monthly Data'!BJ58</f>
        <v>6843.3</v>
      </c>
      <c r="F58" s="186">
        <f>'Monthly Data'!BM58</f>
        <v>57</v>
      </c>
      <c r="G58" s="186">
        <f>'Monthly Data'!BT58</f>
        <v>0</v>
      </c>
      <c r="H58" s="186">
        <f>'Monthly Data'!BY58</f>
        <v>0</v>
      </c>
      <c r="I58" s="186">
        <f>'Monthly Data'!CC58</f>
        <v>30</v>
      </c>
      <c r="K58" s="186">
        <f>'Large Use OLS Model (LC)'!$B$5</f>
        <v>-11585185.4436178</v>
      </c>
      <c r="L58" s="186">
        <f>'Large Use OLS Model (LC)'!$B$6*D58</f>
        <v>1679575.153296425</v>
      </c>
      <c r="M58" s="186">
        <f>'Large Use OLS Model (LC)'!$B$7*E58</f>
        <v>14230750.206018001</v>
      </c>
      <c r="N58" s="186">
        <v>0</v>
      </c>
      <c r="O58" s="186">
        <f>'Large Use OLS Model (LC)'!$B$8*G58</f>
        <v>0</v>
      </c>
      <c r="P58" s="186">
        <f>'Large Use OLS Model (LC)'!$B$9*H58</f>
        <v>0</v>
      </c>
      <c r="Q58" s="186">
        <f>'Large Use OLS Model (LC)'!$B$10*I58</f>
        <v>17537763.106774591</v>
      </c>
      <c r="R58" s="186">
        <f t="shared" si="2"/>
        <v>21862903.022471216</v>
      </c>
      <c r="S58" s="24">
        <f t="shared" ca="1" si="3"/>
        <v>3.0460183969701606E-2</v>
      </c>
    </row>
    <row r="59" spans="1:19">
      <c r="A59" s="128">
        <f>'Monthly Data'!A59</f>
        <v>41548</v>
      </c>
      <c r="B59" s="186">
        <f t="shared" si="1"/>
        <v>2013</v>
      </c>
      <c r="C59" s="124">
        <f ca="1">'Monthly Data'!AQ59</f>
        <v>21329674.185019702</v>
      </c>
      <c r="D59" s="186">
        <f>'Monthly Data'!BI59</f>
        <v>19.899999999999999</v>
      </c>
      <c r="E59" s="124">
        <f>'Monthly Data'!BJ59</f>
        <v>6850.3</v>
      </c>
      <c r="F59" s="186">
        <f>'Monthly Data'!BM59</f>
        <v>58</v>
      </c>
      <c r="G59" s="186">
        <f>'Monthly Data'!BT59</f>
        <v>0</v>
      </c>
      <c r="H59" s="186">
        <f>'Monthly Data'!BY59</f>
        <v>0</v>
      </c>
      <c r="I59" s="186">
        <f>'Monthly Data'!CC59</f>
        <v>31</v>
      </c>
      <c r="K59" s="186">
        <f>'Large Use OLS Model (LC)'!$B$5</f>
        <v>-11585185.4436178</v>
      </c>
      <c r="L59" s="186">
        <f>'Large Use OLS Model (LC)'!$B$6*D59</f>
        <v>511846.02680855832</v>
      </c>
      <c r="M59" s="186">
        <f>'Large Use OLS Model (LC)'!$B$7*E59</f>
        <v>14245306.81634374</v>
      </c>
      <c r="N59" s="186">
        <v>0</v>
      </c>
      <c r="O59" s="186">
        <f>'Large Use OLS Model (LC)'!$B$8*G59</f>
        <v>0</v>
      </c>
      <c r="P59" s="186">
        <f>'Large Use OLS Model (LC)'!$B$9*H59</f>
        <v>0</v>
      </c>
      <c r="Q59" s="186">
        <f>'Large Use OLS Model (LC)'!$B$10*I59</f>
        <v>18122355.210333746</v>
      </c>
      <c r="R59" s="186">
        <f t="shared" si="2"/>
        <v>21294322.609868243</v>
      </c>
      <c r="S59" s="24">
        <f t="shared" ca="1" si="3"/>
        <v>1.6573893649199092E-3</v>
      </c>
    </row>
    <row r="60" spans="1:19">
      <c r="A60" s="128">
        <f>'Monthly Data'!A60</f>
        <v>41579</v>
      </c>
      <c r="B60" s="186">
        <f t="shared" si="1"/>
        <v>2013</v>
      </c>
      <c r="C60" s="124">
        <f ca="1">'Monthly Data'!AQ60</f>
        <v>20487706.051090527</v>
      </c>
      <c r="D60" s="186">
        <f>'Monthly Data'!BI60</f>
        <v>0</v>
      </c>
      <c r="E60" s="124">
        <f>'Monthly Data'!BJ60</f>
        <v>6854</v>
      </c>
      <c r="F60" s="186">
        <f>'Monthly Data'!BM60</f>
        <v>59</v>
      </c>
      <c r="G60" s="186">
        <f>'Monthly Data'!BT60</f>
        <v>0</v>
      </c>
      <c r="H60" s="186">
        <f>'Monthly Data'!BY60</f>
        <v>0</v>
      </c>
      <c r="I60" s="186">
        <f>'Monthly Data'!CC60</f>
        <v>30</v>
      </c>
      <c r="K60" s="186">
        <f>'Large Use OLS Model (LC)'!$B$5</f>
        <v>-11585185.4436178</v>
      </c>
      <c r="L60" s="186">
        <f>'Large Use OLS Model (LC)'!$B$6*D60</f>
        <v>0</v>
      </c>
      <c r="M60" s="186">
        <f>'Large Use OLS Model (LC)'!$B$7*E60</f>
        <v>14253001.024658773</v>
      </c>
      <c r="N60" s="186">
        <v>0</v>
      </c>
      <c r="O60" s="186">
        <f>'Large Use OLS Model (LC)'!$B$8*G60</f>
        <v>0</v>
      </c>
      <c r="P60" s="186">
        <f>'Large Use OLS Model (LC)'!$B$9*H60</f>
        <v>0</v>
      </c>
      <c r="Q60" s="186">
        <f>'Large Use OLS Model (LC)'!$B$10*I60</f>
        <v>17537763.106774591</v>
      </c>
      <c r="R60" s="186">
        <f t="shared" si="2"/>
        <v>20205578.687815562</v>
      </c>
      <c r="S60" s="24">
        <f t="shared" ca="1" si="3"/>
        <v>1.3770568680135289E-2</v>
      </c>
    </row>
    <row r="61" spans="1:19">
      <c r="A61" s="128">
        <f>'Monthly Data'!A61</f>
        <v>41609</v>
      </c>
      <c r="B61" s="186">
        <f t="shared" si="1"/>
        <v>2013</v>
      </c>
      <c r="C61" s="124">
        <f ca="1">'Monthly Data'!AQ61</f>
        <v>18775517.766363285</v>
      </c>
      <c r="D61" s="186">
        <f>'Monthly Data'!BI61</f>
        <v>0</v>
      </c>
      <c r="E61" s="124">
        <f>'Monthly Data'!BJ61</f>
        <v>6850.4</v>
      </c>
      <c r="F61" s="186">
        <f>'Monthly Data'!BM61</f>
        <v>60</v>
      </c>
      <c r="G61" s="186">
        <f>'Monthly Data'!BT61</f>
        <v>0</v>
      </c>
      <c r="H61" s="186">
        <f>'Monthly Data'!BY61</f>
        <v>1</v>
      </c>
      <c r="I61" s="186">
        <f>'Monthly Data'!CC61</f>
        <v>31</v>
      </c>
      <c r="K61" s="186">
        <f>'Large Use OLS Model (LC)'!$B$5</f>
        <v>-11585185.4436178</v>
      </c>
      <c r="L61" s="186">
        <f>'Large Use OLS Model (LC)'!$B$6*D61</f>
        <v>0</v>
      </c>
      <c r="M61" s="186">
        <f>'Large Use OLS Model (LC)'!$B$7*E61</f>
        <v>14245514.767919822</v>
      </c>
      <c r="N61" s="186">
        <v>0</v>
      </c>
      <c r="O61" s="186">
        <f>'Large Use OLS Model (LC)'!$B$8*G61</f>
        <v>0</v>
      </c>
      <c r="P61" s="186">
        <f>'Large Use OLS Model (LC)'!$B$9*H61</f>
        <v>-1776727.9579078101</v>
      </c>
      <c r="Q61" s="186">
        <f>'Large Use OLS Model (LC)'!$B$10*I61</f>
        <v>18122355.210333746</v>
      </c>
      <c r="R61" s="186">
        <f t="shared" si="2"/>
        <v>19005956.576727957</v>
      </c>
      <c r="S61" s="24">
        <f t="shared" ca="1" si="3"/>
        <v>1.2273366478207422E-2</v>
      </c>
    </row>
    <row r="62" spans="1:19">
      <c r="A62" s="128">
        <f>'Monthly Data'!A62</f>
        <v>41640</v>
      </c>
      <c r="B62" s="186">
        <f t="shared" si="1"/>
        <v>2014</v>
      </c>
      <c r="C62" s="124">
        <f ca="1">'Monthly Data'!AQ62</f>
        <v>22344717.219473366</v>
      </c>
      <c r="D62" s="186">
        <f>'Monthly Data'!BI62</f>
        <v>0</v>
      </c>
      <c r="E62" s="124">
        <f>'Monthly Data'!BJ62</f>
        <v>6848.3</v>
      </c>
      <c r="F62" s="186">
        <f>'Monthly Data'!BM62</f>
        <v>61</v>
      </c>
      <c r="G62" s="186">
        <f>'Monthly Data'!BT62</f>
        <v>0</v>
      </c>
      <c r="H62" s="186">
        <f>'Monthly Data'!BY62</f>
        <v>0</v>
      </c>
      <c r="I62" s="186">
        <f>'Monthly Data'!CC62</f>
        <v>31</v>
      </c>
      <c r="K62" s="186">
        <f>'Large Use OLS Model (LC)'!$B$5</f>
        <v>-11585185.4436178</v>
      </c>
      <c r="L62" s="186">
        <f>'Large Use OLS Model (LC)'!$B$6*D62</f>
        <v>0</v>
      </c>
      <c r="M62" s="186">
        <f>'Large Use OLS Model (LC)'!$B$7*E62</f>
        <v>14241147.784822101</v>
      </c>
      <c r="N62" s="186">
        <v>0</v>
      </c>
      <c r="O62" s="186">
        <f>'Large Use OLS Model (LC)'!$B$8*G62</f>
        <v>0</v>
      </c>
      <c r="P62" s="186">
        <f>'Large Use OLS Model (LC)'!$B$9*H62</f>
        <v>0</v>
      </c>
      <c r="Q62" s="186">
        <f>'Large Use OLS Model (LC)'!$B$10*I62</f>
        <v>18122355.210333746</v>
      </c>
      <c r="R62" s="186">
        <f t="shared" si="2"/>
        <v>20778317.551538046</v>
      </c>
      <c r="S62" s="24">
        <f t="shared" ca="1" si="3"/>
        <v>7.0101565956279185E-2</v>
      </c>
    </row>
    <row r="63" spans="1:19">
      <c r="A63" s="128">
        <f>'Monthly Data'!A63</f>
        <v>41671</v>
      </c>
      <c r="B63" s="186">
        <f t="shared" si="1"/>
        <v>2014</v>
      </c>
      <c r="C63" s="124">
        <f ca="1">'Monthly Data'!AQ63</f>
        <v>19245805.380664725</v>
      </c>
      <c r="D63" s="186">
        <f>'Monthly Data'!BI63</f>
        <v>0</v>
      </c>
      <c r="E63" s="124">
        <f>'Monthly Data'!BJ63</f>
        <v>6850</v>
      </c>
      <c r="F63" s="186">
        <f>'Monthly Data'!BM63</f>
        <v>62</v>
      </c>
      <c r="G63" s="186">
        <f>'Monthly Data'!BT63</f>
        <v>0</v>
      </c>
      <c r="H63" s="186">
        <f>'Monthly Data'!BY63</f>
        <v>0</v>
      </c>
      <c r="I63" s="186">
        <f>'Monthly Data'!CC63</f>
        <v>28</v>
      </c>
      <c r="K63" s="186">
        <f>'Large Use OLS Model (LC)'!$B$5</f>
        <v>-11585185.4436178</v>
      </c>
      <c r="L63" s="186">
        <f>'Large Use OLS Model (LC)'!$B$6*D63</f>
        <v>0</v>
      </c>
      <c r="M63" s="186">
        <f>'Large Use OLS Model (LC)'!$B$7*E63</f>
        <v>14244682.961615494</v>
      </c>
      <c r="N63" s="186">
        <v>0</v>
      </c>
      <c r="O63" s="186">
        <f>'Large Use OLS Model (LC)'!$B$8*G63</f>
        <v>0</v>
      </c>
      <c r="P63" s="186">
        <f>'Large Use OLS Model (LC)'!$B$9*H63</f>
        <v>0</v>
      </c>
      <c r="Q63" s="186">
        <f>'Large Use OLS Model (LC)'!$B$10*I63</f>
        <v>16368578.899656285</v>
      </c>
      <c r="R63" s="186">
        <f t="shared" si="2"/>
        <v>19028076.417653978</v>
      </c>
      <c r="S63" s="24">
        <f t="shared" ca="1" si="3"/>
        <v>1.1313060623042989E-2</v>
      </c>
    </row>
    <row r="64" spans="1:19">
      <c r="A64" s="128">
        <f>'Monthly Data'!A64</f>
        <v>41699</v>
      </c>
      <c r="B64" s="186">
        <f t="shared" si="1"/>
        <v>2014</v>
      </c>
      <c r="C64" s="124">
        <f ca="1">'Monthly Data'!AQ64</f>
        <v>21372491.534691606</v>
      </c>
      <c r="D64" s="186">
        <f>'Monthly Data'!BI64</f>
        <v>0</v>
      </c>
      <c r="E64" s="124">
        <f>'Monthly Data'!BJ64</f>
        <v>6856.4</v>
      </c>
      <c r="F64" s="186">
        <f>'Monthly Data'!BM64</f>
        <v>63</v>
      </c>
      <c r="G64" s="186">
        <f>'Monthly Data'!BT64</f>
        <v>0</v>
      </c>
      <c r="H64" s="186">
        <f>'Monthly Data'!BY64</f>
        <v>0</v>
      </c>
      <c r="I64" s="186">
        <f>'Monthly Data'!CC64</f>
        <v>31</v>
      </c>
      <c r="K64" s="186">
        <f>'Large Use OLS Model (LC)'!$B$5</f>
        <v>-11585185.4436178</v>
      </c>
      <c r="L64" s="186">
        <f>'Large Use OLS Model (LC)'!$B$6*D64</f>
        <v>0</v>
      </c>
      <c r="M64" s="186">
        <f>'Large Use OLS Model (LC)'!$B$7*E64</f>
        <v>14257991.86248474</v>
      </c>
      <c r="N64" s="186">
        <v>0</v>
      </c>
      <c r="O64" s="186">
        <f>'Large Use OLS Model (LC)'!$B$8*G64</f>
        <v>0</v>
      </c>
      <c r="P64" s="186">
        <f>'Large Use OLS Model (LC)'!$B$9*H64</f>
        <v>0</v>
      </c>
      <c r="Q64" s="186">
        <f>'Large Use OLS Model (LC)'!$B$10*I64</f>
        <v>18122355.210333746</v>
      </c>
      <c r="R64" s="186">
        <f t="shared" si="2"/>
        <v>20795161.629200686</v>
      </c>
      <c r="S64" s="24">
        <f t="shared" ca="1" si="3"/>
        <v>2.7012756306573057E-2</v>
      </c>
    </row>
    <row r="65" spans="1:19">
      <c r="A65" s="128">
        <f>'Monthly Data'!A65</f>
        <v>41730</v>
      </c>
      <c r="B65" s="186">
        <f t="shared" si="1"/>
        <v>2014</v>
      </c>
      <c r="C65" s="124">
        <f ca="1">'Monthly Data'!AQ65</f>
        <v>19337845.24082401</v>
      </c>
      <c r="D65" s="186">
        <f>'Monthly Data'!BI65</f>
        <v>0</v>
      </c>
      <c r="E65" s="124">
        <f>'Monthly Data'!BJ65</f>
        <v>6869.6</v>
      </c>
      <c r="F65" s="186">
        <f>'Monthly Data'!BM65</f>
        <v>64</v>
      </c>
      <c r="G65" s="186">
        <f>'Monthly Data'!BT65</f>
        <v>0</v>
      </c>
      <c r="H65" s="186">
        <f>'Monthly Data'!BY65</f>
        <v>0</v>
      </c>
      <c r="I65" s="186">
        <f>'Monthly Data'!CC65</f>
        <v>30</v>
      </c>
      <c r="K65" s="186">
        <f>'Large Use OLS Model (LC)'!$B$5</f>
        <v>-11585185.4436178</v>
      </c>
      <c r="L65" s="186">
        <f>'Large Use OLS Model (LC)'!$B$6*D65</f>
        <v>0</v>
      </c>
      <c r="M65" s="186">
        <f>'Large Use OLS Model (LC)'!$B$7*E65</f>
        <v>14285441.470527561</v>
      </c>
      <c r="N65" s="186">
        <v>0</v>
      </c>
      <c r="O65" s="186">
        <f>'Large Use OLS Model (LC)'!$B$8*G65</f>
        <v>0</v>
      </c>
      <c r="P65" s="186">
        <f>'Large Use OLS Model (LC)'!$B$9*H65</f>
        <v>0</v>
      </c>
      <c r="Q65" s="186">
        <f>'Large Use OLS Model (LC)'!$B$10*I65</f>
        <v>17537763.106774591</v>
      </c>
      <c r="R65" s="186">
        <f t="shared" si="2"/>
        <v>20238019.133684352</v>
      </c>
      <c r="S65" s="24">
        <f t="shared" ca="1" si="3"/>
        <v>4.6549855045896739E-2</v>
      </c>
    </row>
    <row r="66" spans="1:19">
      <c r="A66" s="128">
        <f>'Monthly Data'!A66</f>
        <v>41760</v>
      </c>
      <c r="B66" s="186">
        <f t="shared" ref="B66:B121" si="4">YEAR(A66)</f>
        <v>2014</v>
      </c>
      <c r="C66" s="124">
        <f ca="1">'Monthly Data'!AQ66</f>
        <v>23983038.364532318</v>
      </c>
      <c r="D66" s="186">
        <f>'Monthly Data'!BI66</f>
        <v>36.4</v>
      </c>
      <c r="E66" s="124">
        <f>'Monthly Data'!BJ66</f>
        <v>6870.6</v>
      </c>
      <c r="F66" s="186">
        <f>'Monthly Data'!BM66</f>
        <v>65</v>
      </c>
      <c r="G66" s="186">
        <f>'Monthly Data'!BT66</f>
        <v>0</v>
      </c>
      <c r="H66" s="186">
        <f>'Monthly Data'!BY66</f>
        <v>0</v>
      </c>
      <c r="I66" s="186">
        <f>'Monthly Data'!CC66</f>
        <v>31</v>
      </c>
      <c r="K66" s="186">
        <f>'Large Use OLS Model (LC)'!$B$5</f>
        <v>-11585185.4436178</v>
      </c>
      <c r="L66" s="186">
        <f>'Large Use OLS Model (LC)'!$B$6*D66</f>
        <v>936240.97365987557</v>
      </c>
      <c r="M66" s="186">
        <f>'Large Use OLS Model (LC)'!$B$7*E66</f>
        <v>14287520.986288382</v>
      </c>
      <c r="N66" s="186">
        <v>0</v>
      </c>
      <c r="O66" s="186">
        <f>'Large Use OLS Model (LC)'!$B$8*G66</f>
        <v>0</v>
      </c>
      <c r="P66" s="186">
        <f>'Large Use OLS Model (LC)'!$B$9*H66</f>
        <v>0</v>
      </c>
      <c r="Q66" s="186">
        <f>'Large Use OLS Model (LC)'!$B$10*I66</f>
        <v>18122355.210333746</v>
      </c>
      <c r="R66" s="186">
        <f t="shared" ref="R66:R121" si="5">SUM(K66:Q66)</f>
        <v>21760931.7266642</v>
      </c>
      <c r="S66" s="24">
        <f t="shared" ref="S66:S121" ca="1" si="6">ABS(R66-C66)/C66</f>
        <v>9.2653257860535049E-2</v>
      </c>
    </row>
    <row r="67" spans="1:19">
      <c r="A67" s="128">
        <f>'Monthly Data'!A67</f>
        <v>41791</v>
      </c>
      <c r="B67" s="186">
        <f t="shared" si="4"/>
        <v>2014</v>
      </c>
      <c r="C67" s="124">
        <f ca="1">'Monthly Data'!AQ67</f>
        <v>25841742.160903648</v>
      </c>
      <c r="D67" s="186">
        <f>'Monthly Data'!BI67</f>
        <v>123.29999999999997</v>
      </c>
      <c r="E67" s="124">
        <f>'Monthly Data'!BJ67</f>
        <v>6865.4</v>
      </c>
      <c r="F67" s="186">
        <f>'Monthly Data'!BM67</f>
        <v>66</v>
      </c>
      <c r="G67" s="186">
        <f>'Monthly Data'!BT67</f>
        <v>0</v>
      </c>
      <c r="H67" s="186">
        <f>'Monthly Data'!BY67</f>
        <v>0</v>
      </c>
      <c r="I67" s="186">
        <f>'Monthly Data'!CC67</f>
        <v>30</v>
      </c>
      <c r="K67" s="186">
        <f>'Large Use OLS Model (LC)'!$B$5</f>
        <v>-11585185.4436178</v>
      </c>
      <c r="L67" s="186">
        <f>'Large Use OLS Model (LC)'!$B$6*D67</f>
        <v>3171387.693743479</v>
      </c>
      <c r="M67" s="186">
        <f>'Large Use OLS Model (LC)'!$B$7*E67</f>
        <v>14276707.504332118</v>
      </c>
      <c r="N67" s="186">
        <v>0</v>
      </c>
      <c r="O67" s="186">
        <f>'Large Use OLS Model (LC)'!$B$8*G67</f>
        <v>0</v>
      </c>
      <c r="P67" s="186">
        <f>'Large Use OLS Model (LC)'!$B$9*H67</f>
        <v>0</v>
      </c>
      <c r="Q67" s="186">
        <f>'Large Use OLS Model (LC)'!$B$10*I67</f>
        <v>17537763.106774591</v>
      </c>
      <c r="R67" s="186">
        <f t="shared" si="5"/>
        <v>23400672.861232385</v>
      </c>
      <c r="S67" s="24">
        <f t="shared" ca="1" si="6"/>
        <v>9.4462257400137375E-2</v>
      </c>
    </row>
    <row r="68" spans="1:19">
      <c r="A68" s="128">
        <f>'Monthly Data'!A68</f>
        <v>41821</v>
      </c>
      <c r="B68" s="186">
        <f t="shared" si="4"/>
        <v>2014</v>
      </c>
      <c r="C68" s="124">
        <f ca="1">'Monthly Data'!AQ68</f>
        <v>24522462.771301858</v>
      </c>
      <c r="D68" s="186">
        <f>'Monthly Data'!BI68</f>
        <v>113.59999999999997</v>
      </c>
      <c r="E68" s="124">
        <f>'Monthly Data'!BJ68</f>
        <v>6864.4</v>
      </c>
      <c r="F68" s="186">
        <f>'Monthly Data'!BM68</f>
        <v>67</v>
      </c>
      <c r="G68" s="186">
        <f>'Monthly Data'!BT68</f>
        <v>1</v>
      </c>
      <c r="H68" s="186">
        <f>'Monthly Data'!BY68</f>
        <v>0</v>
      </c>
      <c r="I68" s="186">
        <f>'Monthly Data'!CC68</f>
        <v>31</v>
      </c>
      <c r="K68" s="186">
        <f>'Large Use OLS Model (LC)'!$B$5</f>
        <v>-11585185.4436178</v>
      </c>
      <c r="L68" s="186">
        <f>'Large Use OLS Model (LC)'!$B$6*D68</f>
        <v>2921894.9068066436</v>
      </c>
      <c r="M68" s="186">
        <f>'Large Use OLS Model (LC)'!$B$7*E68</f>
        <v>14274627.988571297</v>
      </c>
      <c r="N68" s="186">
        <v>0</v>
      </c>
      <c r="O68" s="186">
        <f>'Large Use OLS Model (LC)'!$B$8*G68</f>
        <v>-947874.12245155603</v>
      </c>
      <c r="P68" s="186">
        <f>'Large Use OLS Model (LC)'!$B$9*H68</f>
        <v>0</v>
      </c>
      <c r="Q68" s="186">
        <f>'Large Use OLS Model (LC)'!$B$10*I68</f>
        <v>18122355.210333746</v>
      </c>
      <c r="R68" s="186">
        <f t="shared" si="5"/>
        <v>22785818.53964233</v>
      </c>
      <c r="S68" s="24">
        <f t="shared" ca="1" si="6"/>
        <v>7.0818508232863439E-2</v>
      </c>
    </row>
    <row r="69" spans="1:19">
      <c r="A69" s="128">
        <f>'Monthly Data'!A69</f>
        <v>41852</v>
      </c>
      <c r="B69" s="186">
        <f t="shared" si="4"/>
        <v>2014</v>
      </c>
      <c r="C69" s="124">
        <f ca="1">'Monthly Data'!AQ69</f>
        <v>24555956.255328741</v>
      </c>
      <c r="D69" s="186">
        <f>'Monthly Data'!BI69</f>
        <v>130.19999999999996</v>
      </c>
      <c r="E69" s="124">
        <f>'Monthly Data'!BJ69</f>
        <v>6869.9</v>
      </c>
      <c r="F69" s="186">
        <f>'Monthly Data'!BM69</f>
        <v>68</v>
      </c>
      <c r="G69" s="186">
        <f>'Monthly Data'!BT69</f>
        <v>0</v>
      </c>
      <c r="H69" s="186">
        <f>'Monthly Data'!BY69</f>
        <v>0</v>
      </c>
      <c r="I69" s="186">
        <f>'Monthly Data'!CC69</f>
        <v>31</v>
      </c>
      <c r="K69" s="186">
        <f>'Large Use OLS Model (LC)'!$B$5</f>
        <v>-11585185.4436178</v>
      </c>
      <c r="L69" s="186">
        <f>'Large Use OLS Model (LC)'!$B$6*D69</f>
        <v>3348861.9442449384</v>
      </c>
      <c r="M69" s="186">
        <f>'Large Use OLS Model (LC)'!$B$7*E69</f>
        <v>14286065.325255806</v>
      </c>
      <c r="N69" s="186">
        <v>0</v>
      </c>
      <c r="O69" s="186">
        <f>'Large Use OLS Model (LC)'!$B$8*G69</f>
        <v>0</v>
      </c>
      <c r="P69" s="186">
        <f>'Large Use OLS Model (LC)'!$B$9*H69</f>
        <v>0</v>
      </c>
      <c r="Q69" s="186">
        <f>'Large Use OLS Model (LC)'!$B$10*I69</f>
        <v>18122355.210333746</v>
      </c>
      <c r="R69" s="186">
        <f t="shared" si="5"/>
        <v>24172097.036216691</v>
      </c>
      <c r="S69" s="24">
        <f t="shared" ca="1" si="6"/>
        <v>1.5632020806713678E-2</v>
      </c>
    </row>
    <row r="70" spans="1:19">
      <c r="A70" s="128">
        <f>'Monthly Data'!A70</f>
        <v>41883</v>
      </c>
      <c r="B70" s="186">
        <f t="shared" si="4"/>
        <v>2014</v>
      </c>
      <c r="C70" s="124">
        <f ca="1">'Monthly Data'!AQ70</f>
        <v>19514912.902257554</v>
      </c>
      <c r="D70" s="186">
        <f>'Monthly Data'!BI70</f>
        <v>50.499999999999979</v>
      </c>
      <c r="E70" s="124">
        <f>'Monthly Data'!BJ70</f>
        <v>6884.5</v>
      </c>
      <c r="F70" s="186">
        <f>'Monthly Data'!BM70</f>
        <v>69</v>
      </c>
      <c r="G70" s="186">
        <f>'Monthly Data'!BT70</f>
        <v>0</v>
      </c>
      <c r="H70" s="186">
        <f>'Monthly Data'!BY70</f>
        <v>0</v>
      </c>
      <c r="I70" s="186">
        <f>'Monthly Data'!CC70</f>
        <v>30</v>
      </c>
      <c r="K70" s="186">
        <f>'Large Use OLS Model (LC)'!$B$5</f>
        <v>-11585185.4436178</v>
      </c>
      <c r="L70" s="186">
        <f>'Large Use OLS Model (LC)'!$B$6*D70</f>
        <v>1298905.7464237278</v>
      </c>
      <c r="M70" s="186">
        <f>'Large Use OLS Model (LC)'!$B$7*E70</f>
        <v>14316426.255363775</v>
      </c>
      <c r="N70" s="186">
        <v>0</v>
      </c>
      <c r="O70" s="186">
        <f>'Large Use OLS Model (LC)'!$B$8*G70</f>
        <v>0</v>
      </c>
      <c r="P70" s="186">
        <f>'Large Use OLS Model (LC)'!$B$9*H70</f>
        <v>0</v>
      </c>
      <c r="Q70" s="186">
        <f>'Large Use OLS Model (LC)'!$B$10*I70</f>
        <v>17537763.106774591</v>
      </c>
      <c r="R70" s="186">
        <f t="shared" si="5"/>
        <v>21567909.664944291</v>
      </c>
      <c r="S70" s="24">
        <f t="shared" ca="1" si="6"/>
        <v>0.10520143097585842</v>
      </c>
    </row>
    <row r="71" spans="1:19">
      <c r="A71" s="128">
        <f>'Monthly Data'!A71</f>
        <v>41913</v>
      </c>
      <c r="B71" s="186">
        <f t="shared" si="4"/>
        <v>2014</v>
      </c>
      <c r="C71" s="124">
        <f ca="1">'Monthly Data'!AQ71</f>
        <v>21300946.547558703</v>
      </c>
      <c r="D71" s="186">
        <f>'Monthly Data'!BI71</f>
        <v>3.9</v>
      </c>
      <c r="E71" s="124">
        <f>'Monthly Data'!BJ71</f>
        <v>6901.5</v>
      </c>
      <c r="F71" s="186">
        <f>'Monthly Data'!BM71</f>
        <v>70</v>
      </c>
      <c r="G71" s="186">
        <f>'Monthly Data'!BT71</f>
        <v>0</v>
      </c>
      <c r="H71" s="186">
        <f>'Monthly Data'!BY71</f>
        <v>0</v>
      </c>
      <c r="I71" s="186">
        <f>'Monthly Data'!CC71</f>
        <v>31</v>
      </c>
      <c r="K71" s="186">
        <f>'Large Use OLS Model (LC)'!$B$5</f>
        <v>-11585185.4436178</v>
      </c>
      <c r="L71" s="186">
        <f>'Large Use OLS Model (LC)'!$B$6*D71</f>
        <v>100311.53289212953</v>
      </c>
      <c r="M71" s="186">
        <f>'Large Use OLS Model (LC)'!$B$7*E71</f>
        <v>14351778.023297712</v>
      </c>
      <c r="N71" s="186">
        <v>0</v>
      </c>
      <c r="O71" s="186">
        <f>'Large Use OLS Model (LC)'!$B$8*G71</f>
        <v>0</v>
      </c>
      <c r="P71" s="186">
        <f>'Large Use OLS Model (LC)'!$B$9*H71</f>
        <v>0</v>
      </c>
      <c r="Q71" s="186">
        <f>'Large Use OLS Model (LC)'!$B$10*I71</f>
        <v>18122355.210333746</v>
      </c>
      <c r="R71" s="186">
        <f t="shared" si="5"/>
        <v>20989259.322905786</v>
      </c>
      <c r="S71" s="24">
        <f t="shared" ca="1" si="6"/>
        <v>1.4632552781493112E-2</v>
      </c>
    </row>
    <row r="72" spans="1:19">
      <c r="A72" s="128">
        <f>'Monthly Data'!A72</f>
        <v>41944</v>
      </c>
      <c r="B72" s="186">
        <f t="shared" si="4"/>
        <v>2014</v>
      </c>
      <c r="C72" s="124">
        <f ca="1">'Monthly Data'!AQ72</f>
        <v>20077193.487797629</v>
      </c>
      <c r="D72" s="186">
        <f>'Monthly Data'!BI72</f>
        <v>0</v>
      </c>
      <c r="E72" s="124">
        <f>'Monthly Data'!BJ72</f>
        <v>6907.5</v>
      </c>
      <c r="F72" s="186">
        <f>'Monthly Data'!BM72</f>
        <v>71</v>
      </c>
      <c r="G72" s="186">
        <f>'Monthly Data'!BT72</f>
        <v>0</v>
      </c>
      <c r="H72" s="186">
        <f>'Monthly Data'!BY72</f>
        <v>0</v>
      </c>
      <c r="I72" s="186">
        <f>'Monthly Data'!CC72</f>
        <v>30</v>
      </c>
      <c r="K72" s="186">
        <f>'Large Use OLS Model (LC)'!$B$5</f>
        <v>-11585185.4436178</v>
      </c>
      <c r="L72" s="186">
        <f>'Large Use OLS Model (LC)'!$B$6*D72</f>
        <v>0</v>
      </c>
      <c r="M72" s="186">
        <f>'Large Use OLS Model (LC)'!$B$7*E72</f>
        <v>14364255.117862631</v>
      </c>
      <c r="N72" s="186">
        <v>0</v>
      </c>
      <c r="O72" s="186">
        <f>'Large Use OLS Model (LC)'!$B$8*G72</f>
        <v>0</v>
      </c>
      <c r="P72" s="186">
        <f>'Large Use OLS Model (LC)'!$B$9*H72</f>
        <v>0</v>
      </c>
      <c r="Q72" s="186">
        <f>'Large Use OLS Model (LC)'!$B$10*I72</f>
        <v>17537763.106774591</v>
      </c>
      <c r="R72" s="186">
        <f t="shared" si="5"/>
        <v>20316832.781019419</v>
      </c>
      <c r="S72" s="24">
        <f t="shared" ca="1" si="6"/>
        <v>1.1935895989020406E-2</v>
      </c>
    </row>
    <row r="73" spans="1:19">
      <c r="A73" s="128">
        <f>'Monthly Data'!A73</f>
        <v>41974</v>
      </c>
      <c r="B73" s="186">
        <f t="shared" si="4"/>
        <v>2014</v>
      </c>
      <c r="C73" s="124">
        <f ca="1">'Monthly Data'!AQ73</f>
        <v>18843492.369390458</v>
      </c>
      <c r="D73" s="186">
        <f>'Monthly Data'!BI73</f>
        <v>0</v>
      </c>
      <c r="E73" s="124">
        <f>'Monthly Data'!BJ73</f>
        <v>6903.1</v>
      </c>
      <c r="F73" s="186">
        <f>'Monthly Data'!BM73</f>
        <v>72</v>
      </c>
      <c r="G73" s="186">
        <f>'Monthly Data'!BT73</f>
        <v>0</v>
      </c>
      <c r="H73" s="186">
        <f>'Monthly Data'!BY73</f>
        <v>1</v>
      </c>
      <c r="I73" s="186">
        <f>'Monthly Data'!CC73</f>
        <v>31</v>
      </c>
      <c r="K73" s="186">
        <f>'Large Use OLS Model (LC)'!$B$5</f>
        <v>-11585185.4436178</v>
      </c>
      <c r="L73" s="186">
        <f>'Large Use OLS Model (LC)'!$B$6*D73</f>
        <v>0</v>
      </c>
      <c r="M73" s="186">
        <f>'Large Use OLS Model (LC)'!$B$7*E73</f>
        <v>14355105.248515025</v>
      </c>
      <c r="N73" s="186">
        <v>0</v>
      </c>
      <c r="O73" s="186">
        <f>'Large Use OLS Model (LC)'!$B$8*G73</f>
        <v>0</v>
      </c>
      <c r="P73" s="186">
        <f>'Large Use OLS Model (LC)'!$B$9*H73</f>
        <v>-1776727.9579078101</v>
      </c>
      <c r="Q73" s="186">
        <f>'Large Use OLS Model (LC)'!$B$10*I73</f>
        <v>18122355.210333746</v>
      </c>
      <c r="R73" s="186">
        <f t="shared" si="5"/>
        <v>19115547.057323162</v>
      </c>
      <c r="S73" s="24">
        <f t="shared" ca="1" si="6"/>
        <v>1.4437593764446328E-2</v>
      </c>
    </row>
    <row r="74" spans="1:19">
      <c r="A74" s="128">
        <f>'Monthly Data'!A74</f>
        <v>42005</v>
      </c>
      <c r="B74" s="186">
        <f t="shared" si="4"/>
        <v>2015</v>
      </c>
      <c r="C74" s="124">
        <f ca="1">'Monthly Data'!AQ74</f>
        <v>19855535.451200701</v>
      </c>
      <c r="D74" s="186">
        <f>'Monthly Data'!BI74</f>
        <v>0</v>
      </c>
      <c r="E74" s="124">
        <f>'Monthly Data'!BJ74</f>
        <v>6885.7</v>
      </c>
      <c r="F74" s="186">
        <f>'Monthly Data'!BM74</f>
        <v>73</v>
      </c>
      <c r="G74" s="186">
        <f>'Monthly Data'!BT74</f>
        <v>0</v>
      </c>
      <c r="H74" s="186">
        <f>'Monthly Data'!BY74</f>
        <v>0</v>
      </c>
      <c r="I74" s="186">
        <f>'Monthly Data'!CC74</f>
        <v>31</v>
      </c>
      <c r="K74" s="186">
        <f>'Large Use OLS Model (LC)'!$B$5</f>
        <v>-11585185.4436178</v>
      </c>
      <c r="L74" s="186">
        <f>'Large Use OLS Model (LC)'!$B$6*D74</f>
        <v>0</v>
      </c>
      <c r="M74" s="186">
        <f>'Large Use OLS Model (LC)'!$B$7*E74</f>
        <v>14318921.67427676</v>
      </c>
      <c r="N74" s="186">
        <v>0</v>
      </c>
      <c r="O74" s="186">
        <f>'Large Use OLS Model (LC)'!$B$8*G74</f>
        <v>0</v>
      </c>
      <c r="P74" s="186">
        <f>'Large Use OLS Model (LC)'!$B$9*H74</f>
        <v>0</v>
      </c>
      <c r="Q74" s="186">
        <f>'Large Use OLS Model (LC)'!$B$10*I74</f>
        <v>18122355.210333746</v>
      </c>
      <c r="R74" s="186">
        <f t="shared" si="5"/>
        <v>20856091.440992706</v>
      </c>
      <c r="S74" s="24">
        <f t="shared" ca="1" si="6"/>
        <v>5.0391790856060686E-2</v>
      </c>
    </row>
    <row r="75" spans="1:19">
      <c r="A75" s="128">
        <f>'Monthly Data'!A75</f>
        <v>42036</v>
      </c>
      <c r="B75" s="186">
        <f t="shared" si="4"/>
        <v>2015</v>
      </c>
      <c r="C75" s="124">
        <f ca="1">'Monthly Data'!AQ75</f>
        <v>19560967.066695973</v>
      </c>
      <c r="D75" s="186">
        <f>'Monthly Data'!BI75</f>
        <v>0</v>
      </c>
      <c r="E75" s="124">
        <f>'Monthly Data'!BJ75</f>
        <v>6885.3</v>
      </c>
      <c r="F75" s="186">
        <f>'Monthly Data'!BM75</f>
        <v>74</v>
      </c>
      <c r="G75" s="186">
        <f>'Monthly Data'!BT75</f>
        <v>0</v>
      </c>
      <c r="H75" s="186">
        <f>'Monthly Data'!BY75</f>
        <v>0</v>
      </c>
      <c r="I75" s="186">
        <f>'Monthly Data'!CC75</f>
        <v>28</v>
      </c>
      <c r="K75" s="186">
        <f>'Large Use OLS Model (LC)'!$B$5</f>
        <v>-11585185.4436178</v>
      </c>
      <c r="L75" s="186">
        <f>'Large Use OLS Model (LC)'!$B$6*D75</f>
        <v>0</v>
      </c>
      <c r="M75" s="186">
        <f>'Large Use OLS Model (LC)'!$B$7*E75</f>
        <v>14318089.867972432</v>
      </c>
      <c r="N75" s="186">
        <v>0</v>
      </c>
      <c r="O75" s="186">
        <f>'Large Use OLS Model (LC)'!$B$8*G75</f>
        <v>0</v>
      </c>
      <c r="P75" s="186">
        <f>'Large Use OLS Model (LC)'!$B$9*H75</f>
        <v>0</v>
      </c>
      <c r="Q75" s="186">
        <f>'Large Use OLS Model (LC)'!$B$10*I75</f>
        <v>16368578.899656285</v>
      </c>
      <c r="R75" s="186">
        <f t="shared" si="5"/>
        <v>19101483.324010916</v>
      </c>
      <c r="S75" s="24">
        <f t="shared" ca="1" si="6"/>
        <v>2.3489827528382433E-2</v>
      </c>
    </row>
    <row r="76" spans="1:19">
      <c r="A76" s="128">
        <f>'Monthly Data'!A76</f>
        <v>42064</v>
      </c>
      <c r="B76" s="186">
        <f t="shared" si="4"/>
        <v>2015</v>
      </c>
      <c r="C76" s="124">
        <f ca="1">'Monthly Data'!AQ76</f>
        <v>20639792.5031121</v>
      </c>
      <c r="D76" s="186">
        <f>'Monthly Data'!BI76</f>
        <v>0</v>
      </c>
      <c r="E76" s="124">
        <f>'Monthly Data'!BJ76</f>
        <v>6892.1</v>
      </c>
      <c r="F76" s="186">
        <f>'Monthly Data'!BM76</f>
        <v>75</v>
      </c>
      <c r="G76" s="186">
        <f>'Monthly Data'!BT76</f>
        <v>0</v>
      </c>
      <c r="H76" s="186">
        <f>'Monthly Data'!BY76</f>
        <v>0</v>
      </c>
      <c r="I76" s="186">
        <f>'Monthly Data'!CC76</f>
        <v>31</v>
      </c>
      <c r="K76" s="186">
        <f>'Large Use OLS Model (LC)'!$B$5</f>
        <v>-11585185.4436178</v>
      </c>
      <c r="L76" s="186">
        <f>'Large Use OLS Model (LC)'!$B$6*D76</f>
        <v>0</v>
      </c>
      <c r="M76" s="186">
        <f>'Large Use OLS Model (LC)'!$B$7*E76</f>
        <v>14332230.575146006</v>
      </c>
      <c r="N76" s="186">
        <v>0</v>
      </c>
      <c r="O76" s="186">
        <f>'Large Use OLS Model (LC)'!$B$8*G76</f>
        <v>0</v>
      </c>
      <c r="P76" s="186">
        <f>'Large Use OLS Model (LC)'!$B$9*H76</f>
        <v>0</v>
      </c>
      <c r="Q76" s="186">
        <f>'Large Use OLS Model (LC)'!$B$10*I76</f>
        <v>18122355.210333746</v>
      </c>
      <c r="R76" s="186">
        <f t="shared" si="5"/>
        <v>20869400.341861952</v>
      </c>
      <c r="S76" s="24">
        <f t="shared" ca="1" si="6"/>
        <v>1.1124522628569614E-2</v>
      </c>
    </row>
    <row r="77" spans="1:19">
      <c r="A77" s="128">
        <f>'Monthly Data'!A77</f>
        <v>42095</v>
      </c>
      <c r="B77" s="186">
        <f t="shared" si="4"/>
        <v>2015</v>
      </c>
      <c r="C77" s="124">
        <f ca="1">'Monthly Data'!AQ77</f>
        <v>19904757.315421704</v>
      </c>
      <c r="D77" s="186">
        <f>'Monthly Data'!BI77</f>
        <v>0</v>
      </c>
      <c r="E77" s="124">
        <f>'Monthly Data'!BJ77</f>
        <v>6897.3</v>
      </c>
      <c r="F77" s="186">
        <f>'Monthly Data'!BM77</f>
        <v>76</v>
      </c>
      <c r="G77" s="186">
        <f>'Monthly Data'!BT77</f>
        <v>0</v>
      </c>
      <c r="H77" s="186">
        <f>'Monthly Data'!BY77</f>
        <v>0</v>
      </c>
      <c r="I77" s="186">
        <f>'Monthly Data'!CC77</f>
        <v>30</v>
      </c>
      <c r="K77" s="186">
        <f>'Large Use OLS Model (LC)'!$B$5</f>
        <v>-11585185.4436178</v>
      </c>
      <c r="L77" s="186">
        <f>'Large Use OLS Model (LC)'!$B$6*D77</f>
        <v>0</v>
      </c>
      <c r="M77" s="186">
        <f>'Large Use OLS Model (LC)'!$B$7*E77</f>
        <v>14343044.05710227</v>
      </c>
      <c r="N77" s="186">
        <v>0</v>
      </c>
      <c r="O77" s="186">
        <f>'Large Use OLS Model (LC)'!$B$8*G77</f>
        <v>0</v>
      </c>
      <c r="P77" s="186">
        <f>'Large Use OLS Model (LC)'!$B$9*H77</f>
        <v>0</v>
      </c>
      <c r="Q77" s="186">
        <f>'Large Use OLS Model (LC)'!$B$10*I77</f>
        <v>17537763.106774591</v>
      </c>
      <c r="R77" s="186">
        <f t="shared" si="5"/>
        <v>20295621.720259063</v>
      </c>
      <c r="S77" s="24">
        <f t="shared" ca="1" si="6"/>
        <v>1.9636733000232404E-2</v>
      </c>
    </row>
    <row r="78" spans="1:19">
      <c r="A78" s="128">
        <f>'Monthly Data'!A78</f>
        <v>42125</v>
      </c>
      <c r="B78" s="186">
        <f t="shared" si="4"/>
        <v>2015</v>
      </c>
      <c r="C78" s="124">
        <f ca="1">'Monthly Data'!AQ78</f>
        <v>22782928.092156403</v>
      </c>
      <c r="D78" s="186">
        <f>'Monthly Data'!BI78</f>
        <v>64.099999999999994</v>
      </c>
      <c r="E78" s="124">
        <f>'Monthly Data'!BJ78</f>
        <v>6906.5</v>
      </c>
      <c r="F78" s="186">
        <f>'Monthly Data'!BM78</f>
        <v>77</v>
      </c>
      <c r="G78" s="186">
        <f>'Monthly Data'!BT78</f>
        <v>0</v>
      </c>
      <c r="H78" s="186">
        <f>'Monthly Data'!BY78</f>
        <v>0</v>
      </c>
      <c r="I78" s="186">
        <f>'Monthly Data'!CC78</f>
        <v>31</v>
      </c>
      <c r="K78" s="186">
        <f>'Large Use OLS Model (LC)'!$B$5</f>
        <v>-11585185.4436178</v>
      </c>
      <c r="L78" s="186">
        <f>'Large Use OLS Model (LC)'!$B$6*D78</f>
        <v>1648710.0662526928</v>
      </c>
      <c r="M78" s="186">
        <f>'Large Use OLS Model (LC)'!$B$7*E78</f>
        <v>14362175.602101812</v>
      </c>
      <c r="N78" s="186">
        <v>0</v>
      </c>
      <c r="O78" s="186">
        <f>'Large Use OLS Model (LC)'!$B$8*G78</f>
        <v>0</v>
      </c>
      <c r="P78" s="186">
        <f>'Large Use OLS Model (LC)'!$B$9*H78</f>
        <v>0</v>
      </c>
      <c r="Q78" s="186">
        <f>'Large Use OLS Model (LC)'!$B$10*I78</f>
        <v>18122355.210333746</v>
      </c>
      <c r="R78" s="186">
        <f t="shared" si="5"/>
        <v>22548055.435070451</v>
      </c>
      <c r="S78" s="24">
        <f t="shared" ca="1" si="6"/>
        <v>1.0309151489918114E-2</v>
      </c>
    </row>
    <row r="79" spans="1:19">
      <c r="A79" s="128">
        <f>'Monthly Data'!A79</f>
        <v>42156</v>
      </c>
      <c r="B79" s="186">
        <f t="shared" si="4"/>
        <v>2015</v>
      </c>
      <c r="C79" s="124">
        <f ca="1">'Monthly Data'!AQ79</f>
        <v>23267604.066775616</v>
      </c>
      <c r="D79" s="186">
        <f>'Monthly Data'!BI79</f>
        <v>89.59999999999998</v>
      </c>
      <c r="E79" s="124">
        <f>'Monthly Data'!BJ79</f>
        <v>6921.3</v>
      </c>
      <c r="F79" s="186">
        <f>'Monthly Data'!BM79</f>
        <v>78</v>
      </c>
      <c r="G79" s="186">
        <f>'Monthly Data'!BT79</f>
        <v>0</v>
      </c>
      <c r="H79" s="186">
        <f>'Monthly Data'!BY79</f>
        <v>0</v>
      </c>
      <c r="I79" s="186">
        <f>'Monthly Data'!CC79</f>
        <v>30</v>
      </c>
      <c r="K79" s="186">
        <f>'Large Use OLS Model (LC)'!$B$5</f>
        <v>-11585185.4436178</v>
      </c>
      <c r="L79" s="186">
        <f>'Large Use OLS Model (LC)'!$B$6*D79</f>
        <v>2304593.1659320011</v>
      </c>
      <c r="M79" s="186">
        <f>'Large Use OLS Model (LC)'!$B$7*E79</f>
        <v>14392952.435361944</v>
      </c>
      <c r="N79" s="186">
        <v>0</v>
      </c>
      <c r="O79" s="186">
        <f>'Large Use OLS Model (LC)'!$B$8*G79</f>
        <v>0</v>
      </c>
      <c r="P79" s="186">
        <f>'Large Use OLS Model (LC)'!$B$9*H79</f>
        <v>0</v>
      </c>
      <c r="Q79" s="186">
        <f>'Large Use OLS Model (LC)'!$B$10*I79</f>
        <v>17537763.106774591</v>
      </c>
      <c r="R79" s="186">
        <f t="shared" si="5"/>
        <v>22650123.264450736</v>
      </c>
      <c r="S79" s="24">
        <f t="shared" ca="1" si="6"/>
        <v>2.6538220289152845E-2</v>
      </c>
    </row>
    <row r="80" spans="1:19">
      <c r="A80" s="128">
        <f>'Monthly Data'!A80</f>
        <v>42186</v>
      </c>
      <c r="B80" s="186">
        <f t="shared" si="4"/>
        <v>2015</v>
      </c>
      <c r="C80" s="124">
        <f ca="1">'Monthly Data'!AQ80</f>
        <v>23082254.412554607</v>
      </c>
      <c r="D80" s="186">
        <f>'Monthly Data'!BI80</f>
        <v>152.89999999999998</v>
      </c>
      <c r="E80" s="124">
        <f>'Monthly Data'!BJ80</f>
        <v>6941.2</v>
      </c>
      <c r="F80" s="186">
        <f>'Monthly Data'!BM80</f>
        <v>79</v>
      </c>
      <c r="G80" s="186">
        <f>'Monthly Data'!BT80</f>
        <v>1</v>
      </c>
      <c r="H80" s="186">
        <f>'Monthly Data'!BY80</f>
        <v>0</v>
      </c>
      <c r="I80" s="186">
        <f>'Monthly Data'!CC80</f>
        <v>31</v>
      </c>
      <c r="K80" s="186">
        <f>'Large Use OLS Model (LC)'!$B$5</f>
        <v>-11585185.4436178</v>
      </c>
      <c r="L80" s="186">
        <f>'Large Use OLS Model (LC)'!$B$6*D80</f>
        <v>3932726.5074888724</v>
      </c>
      <c r="M80" s="186">
        <f>'Large Use OLS Model (LC)'!$B$7*E80</f>
        <v>14434334.799002258</v>
      </c>
      <c r="N80" s="186">
        <v>0</v>
      </c>
      <c r="O80" s="186">
        <f>'Large Use OLS Model (LC)'!$B$8*G80</f>
        <v>-947874.12245155603</v>
      </c>
      <c r="P80" s="186">
        <f>'Large Use OLS Model (LC)'!$B$9*H80</f>
        <v>0</v>
      </c>
      <c r="Q80" s="186">
        <f>'Large Use OLS Model (LC)'!$B$10*I80</f>
        <v>18122355.210333746</v>
      </c>
      <c r="R80" s="186">
        <f t="shared" si="5"/>
        <v>23956356.950755522</v>
      </c>
      <c r="S80" s="24">
        <f t="shared" ca="1" si="6"/>
        <v>3.7869027980450824E-2</v>
      </c>
    </row>
    <row r="81" spans="1:19">
      <c r="A81" s="128">
        <f>'Monthly Data'!A81</f>
        <v>42217</v>
      </c>
      <c r="B81" s="186">
        <f t="shared" si="4"/>
        <v>2015</v>
      </c>
      <c r="C81" s="124">
        <f ca="1">'Monthly Data'!AQ81</f>
        <v>24594093.912713893</v>
      </c>
      <c r="D81" s="186">
        <f>'Monthly Data'!BI81</f>
        <v>138.69999999999999</v>
      </c>
      <c r="E81" s="124">
        <f>'Monthly Data'!BJ81</f>
        <v>6949.2</v>
      </c>
      <c r="F81" s="186">
        <f>'Monthly Data'!BM81</f>
        <v>80</v>
      </c>
      <c r="G81" s="186">
        <f>'Monthly Data'!BT81</f>
        <v>0</v>
      </c>
      <c r="H81" s="186">
        <f>'Monthly Data'!BY81</f>
        <v>0</v>
      </c>
      <c r="I81" s="186">
        <f>'Monthly Data'!CC81</f>
        <v>31</v>
      </c>
      <c r="K81" s="186">
        <f>'Large Use OLS Model (LC)'!$B$5</f>
        <v>-11585185.4436178</v>
      </c>
      <c r="L81" s="186">
        <f>'Large Use OLS Model (LC)'!$B$6*D81</f>
        <v>3567489.6441380419</v>
      </c>
      <c r="M81" s="186">
        <f>'Large Use OLS Model (LC)'!$B$7*E81</f>
        <v>14450970.925088815</v>
      </c>
      <c r="N81" s="186">
        <v>0</v>
      </c>
      <c r="O81" s="186">
        <f>'Large Use OLS Model (LC)'!$B$8*G81</f>
        <v>0</v>
      </c>
      <c r="P81" s="186">
        <f>'Large Use OLS Model (LC)'!$B$9*H81</f>
        <v>0</v>
      </c>
      <c r="Q81" s="186">
        <f>'Large Use OLS Model (LC)'!$B$10*I81</f>
        <v>18122355.210333746</v>
      </c>
      <c r="R81" s="186">
        <f t="shared" si="5"/>
        <v>24555630.335942805</v>
      </c>
      <c r="S81" s="24">
        <f t="shared" ca="1" si="6"/>
        <v>1.5639355085655031E-3</v>
      </c>
    </row>
    <row r="82" spans="1:19">
      <c r="A82" s="128">
        <f>'Monthly Data'!A82</f>
        <v>42248</v>
      </c>
      <c r="B82" s="186">
        <f t="shared" si="4"/>
        <v>2015</v>
      </c>
      <c r="C82" s="124">
        <f ca="1">'Monthly Data'!AQ82</f>
        <v>21887907.167094178</v>
      </c>
      <c r="D82" s="186">
        <f>'Monthly Data'!BI82</f>
        <v>109.19999999999997</v>
      </c>
      <c r="E82" s="124">
        <f>'Monthly Data'!BJ82</f>
        <v>6941.1</v>
      </c>
      <c r="F82" s="186">
        <f>'Monthly Data'!BM82</f>
        <v>81</v>
      </c>
      <c r="G82" s="186">
        <f>'Monthly Data'!BT82</f>
        <v>0</v>
      </c>
      <c r="H82" s="186">
        <f>'Monthly Data'!BY82</f>
        <v>0</v>
      </c>
      <c r="I82" s="186">
        <f>'Monthly Data'!CC82</f>
        <v>30</v>
      </c>
      <c r="K82" s="186">
        <f>'Large Use OLS Model (LC)'!$B$5</f>
        <v>-11585185.4436178</v>
      </c>
      <c r="L82" s="186">
        <f>'Large Use OLS Model (LC)'!$B$6*D82</f>
        <v>2808722.920979626</v>
      </c>
      <c r="M82" s="186">
        <f>'Large Use OLS Model (LC)'!$B$7*E82</f>
        <v>14434126.847426176</v>
      </c>
      <c r="N82" s="186">
        <v>0</v>
      </c>
      <c r="O82" s="186">
        <f>'Large Use OLS Model (LC)'!$B$8*G82</f>
        <v>0</v>
      </c>
      <c r="P82" s="186">
        <f>'Large Use OLS Model (LC)'!$B$9*H82</f>
        <v>0</v>
      </c>
      <c r="Q82" s="186">
        <f>'Large Use OLS Model (LC)'!$B$10*I82</f>
        <v>17537763.106774591</v>
      </c>
      <c r="R82" s="186">
        <f t="shared" si="5"/>
        <v>23195427.431562595</v>
      </c>
      <c r="S82" s="24">
        <f t="shared" ca="1" si="6"/>
        <v>5.9737107549236827E-2</v>
      </c>
    </row>
    <row r="83" spans="1:19">
      <c r="A83" s="128">
        <f>'Monthly Data'!A83</f>
        <v>42278</v>
      </c>
      <c r="B83" s="186">
        <f t="shared" si="4"/>
        <v>2015</v>
      </c>
      <c r="C83" s="124">
        <f ca="1">'Monthly Data'!AQ83</f>
        <v>20162332.659881637</v>
      </c>
      <c r="D83" s="186">
        <f>'Monthly Data'!BI83</f>
        <v>2.6</v>
      </c>
      <c r="E83" s="124">
        <f>'Monthly Data'!BJ83</f>
        <v>6934.8</v>
      </c>
      <c r="F83" s="186">
        <f>'Monthly Data'!BM83</f>
        <v>82</v>
      </c>
      <c r="G83" s="186">
        <f>'Monthly Data'!BT83</f>
        <v>0</v>
      </c>
      <c r="H83" s="186">
        <f>'Monthly Data'!BY83</f>
        <v>0</v>
      </c>
      <c r="I83" s="186">
        <f>'Monthly Data'!CC83</f>
        <v>31</v>
      </c>
      <c r="K83" s="186">
        <f>'Large Use OLS Model (LC)'!$B$5</f>
        <v>-11585185.4436178</v>
      </c>
      <c r="L83" s="186">
        <f>'Large Use OLS Model (LC)'!$B$6*D83</f>
        <v>66874.355261419681</v>
      </c>
      <c r="M83" s="186">
        <f>'Large Use OLS Model (LC)'!$B$7*E83</f>
        <v>14421025.898133012</v>
      </c>
      <c r="N83" s="186">
        <v>0</v>
      </c>
      <c r="O83" s="186">
        <f>'Large Use OLS Model (LC)'!$B$8*G83</f>
        <v>0</v>
      </c>
      <c r="P83" s="186">
        <f>'Large Use OLS Model (LC)'!$B$9*H83</f>
        <v>0</v>
      </c>
      <c r="Q83" s="186">
        <f>'Large Use OLS Model (LC)'!$B$10*I83</f>
        <v>18122355.210333746</v>
      </c>
      <c r="R83" s="186">
        <f t="shared" si="5"/>
        <v>21025070.020110376</v>
      </c>
      <c r="S83" s="24">
        <f t="shared" ca="1" si="6"/>
        <v>4.2789560850039286E-2</v>
      </c>
    </row>
    <row r="84" spans="1:19">
      <c r="A84" s="128">
        <f>'Monthly Data'!A84</f>
        <v>42309</v>
      </c>
      <c r="B84" s="186">
        <f t="shared" si="4"/>
        <v>2015</v>
      </c>
      <c r="C84" s="124">
        <f ca="1">'Monthly Data'!AQ84</f>
        <v>19622172.550961778</v>
      </c>
      <c r="D84" s="186">
        <f>'Monthly Data'!BI84</f>
        <v>0.5</v>
      </c>
      <c r="E84" s="124">
        <f>'Monthly Data'!BJ84</f>
        <v>6928.3</v>
      </c>
      <c r="F84" s="186">
        <f>'Monthly Data'!BM84</f>
        <v>83</v>
      </c>
      <c r="G84" s="186">
        <f>'Monthly Data'!BT84</f>
        <v>0</v>
      </c>
      <c r="H84" s="186">
        <f>'Monthly Data'!BY84</f>
        <v>0</v>
      </c>
      <c r="I84" s="186">
        <f>'Monthly Data'!CC84</f>
        <v>30</v>
      </c>
      <c r="K84" s="186">
        <f>'Large Use OLS Model (LC)'!$B$5</f>
        <v>-11585185.4436178</v>
      </c>
      <c r="L84" s="186">
        <f>'Large Use OLS Model (LC)'!$B$6*D84</f>
        <v>12860.452934888401</v>
      </c>
      <c r="M84" s="186">
        <f>'Large Use OLS Model (LC)'!$B$7*E84</f>
        <v>14407509.045687683</v>
      </c>
      <c r="N84" s="186">
        <v>0</v>
      </c>
      <c r="O84" s="186">
        <f>'Large Use OLS Model (LC)'!$B$8*G84</f>
        <v>0</v>
      </c>
      <c r="P84" s="186">
        <f>'Large Use OLS Model (LC)'!$B$9*H84</f>
        <v>0</v>
      </c>
      <c r="Q84" s="186">
        <f>'Large Use OLS Model (LC)'!$B$10*I84</f>
        <v>17537763.106774591</v>
      </c>
      <c r="R84" s="186">
        <f t="shared" si="5"/>
        <v>20372947.161779363</v>
      </c>
      <c r="S84" s="24">
        <f t="shared" ca="1" si="6"/>
        <v>3.826154361183548E-2</v>
      </c>
    </row>
    <row r="85" spans="1:19">
      <c r="A85" s="128">
        <f>'Monthly Data'!A85</f>
        <v>42339</v>
      </c>
      <c r="B85" s="186">
        <f t="shared" si="4"/>
        <v>2015</v>
      </c>
      <c r="C85" s="124">
        <f ca="1">'Monthly Data'!AQ85</f>
        <v>19510069.365023497</v>
      </c>
      <c r="D85" s="186">
        <f>'Monthly Data'!BI85</f>
        <v>0</v>
      </c>
      <c r="E85" s="124">
        <f>'Monthly Data'!BJ85</f>
        <v>6942.8</v>
      </c>
      <c r="F85" s="186">
        <f>'Monthly Data'!BM85</f>
        <v>84</v>
      </c>
      <c r="G85" s="186">
        <f>'Monthly Data'!BT85</f>
        <v>0</v>
      </c>
      <c r="H85" s="186">
        <f>'Monthly Data'!BY85</f>
        <v>1</v>
      </c>
      <c r="I85" s="186">
        <f>'Monthly Data'!CC85</f>
        <v>31</v>
      </c>
      <c r="K85" s="186">
        <f>'Large Use OLS Model (LC)'!$B$5</f>
        <v>-11585185.4436178</v>
      </c>
      <c r="L85" s="186">
        <f>'Large Use OLS Model (LC)'!$B$6*D85</f>
        <v>0</v>
      </c>
      <c r="M85" s="186">
        <f>'Large Use OLS Model (LC)'!$B$7*E85</f>
        <v>14437662.024219569</v>
      </c>
      <c r="N85" s="186">
        <v>0</v>
      </c>
      <c r="O85" s="186">
        <f>'Large Use OLS Model (LC)'!$B$8*G85</f>
        <v>0</v>
      </c>
      <c r="P85" s="186">
        <f>'Large Use OLS Model (LC)'!$B$9*H85</f>
        <v>-1776727.9579078101</v>
      </c>
      <c r="Q85" s="186">
        <f>'Large Use OLS Model (LC)'!$B$10*I85</f>
        <v>18122355.210333746</v>
      </c>
      <c r="R85" s="186">
        <f t="shared" si="5"/>
        <v>19198103.833027706</v>
      </c>
      <c r="S85" s="24">
        <f t="shared" ca="1" si="6"/>
        <v>1.5989975543350212E-2</v>
      </c>
    </row>
    <row r="86" spans="1:19">
      <c r="A86" s="128">
        <f>'Monthly Data'!A86</f>
        <v>42370</v>
      </c>
      <c r="B86" s="186">
        <f t="shared" si="4"/>
        <v>2016</v>
      </c>
      <c r="C86" s="124">
        <f ca="1">'Monthly Data'!AQ86</f>
        <v>20030911.941684473</v>
      </c>
      <c r="D86" s="186">
        <f>'Monthly Data'!BI86</f>
        <v>0</v>
      </c>
      <c r="E86" s="124">
        <f>'Monthly Data'!BJ86</f>
        <v>6956.6</v>
      </c>
      <c r="F86" s="186">
        <f>'Monthly Data'!BM86</f>
        <v>85</v>
      </c>
      <c r="G86" s="186">
        <f>'Monthly Data'!BT86</f>
        <v>0</v>
      </c>
      <c r="H86" s="186">
        <f>'Monthly Data'!BY86</f>
        <v>0</v>
      </c>
      <c r="I86" s="186">
        <f>'Monthly Data'!CC86</f>
        <v>31</v>
      </c>
      <c r="K86" s="186">
        <f>'Large Use OLS Model (LC)'!$B$5</f>
        <v>-11585185.4436178</v>
      </c>
      <c r="L86" s="186">
        <f>'Large Use OLS Model (LC)'!$B$6*D86</f>
        <v>0</v>
      </c>
      <c r="M86" s="186">
        <f>'Large Use OLS Model (LC)'!$B$7*E86</f>
        <v>14466359.341718882</v>
      </c>
      <c r="N86" s="186">
        <v>0</v>
      </c>
      <c r="O86" s="186">
        <f>'Large Use OLS Model (LC)'!$B$8*G86</f>
        <v>0</v>
      </c>
      <c r="P86" s="186">
        <f>'Large Use OLS Model (LC)'!$B$9*H86</f>
        <v>0</v>
      </c>
      <c r="Q86" s="186">
        <f>'Large Use OLS Model (LC)'!$B$10*I86</f>
        <v>18122355.210333746</v>
      </c>
      <c r="R86" s="186">
        <f t="shared" si="5"/>
        <v>21003529.108434826</v>
      </c>
      <c r="S86" s="24">
        <f t="shared" ca="1" si="6"/>
        <v>4.8555810618204027E-2</v>
      </c>
    </row>
    <row r="87" spans="1:19">
      <c r="A87" s="128">
        <f>'Monthly Data'!A87</f>
        <v>42401</v>
      </c>
      <c r="B87" s="186">
        <f t="shared" si="4"/>
        <v>2016</v>
      </c>
      <c r="C87" s="124">
        <f ca="1">'Monthly Data'!AQ87</f>
        <v>19426538.084870137</v>
      </c>
      <c r="D87" s="186">
        <f>'Monthly Data'!BI87</f>
        <v>0</v>
      </c>
      <c r="E87" s="124">
        <f>'Monthly Data'!BJ87</f>
        <v>6968.5</v>
      </c>
      <c r="F87" s="186">
        <f>'Monthly Data'!BM87</f>
        <v>86</v>
      </c>
      <c r="G87" s="186">
        <f>'Monthly Data'!BT87</f>
        <v>0</v>
      </c>
      <c r="H87" s="186">
        <f>'Monthly Data'!BY87</f>
        <v>0</v>
      </c>
      <c r="I87" s="186">
        <f>'Monthly Data'!CC87</f>
        <v>29</v>
      </c>
      <c r="K87" s="186">
        <f>'Large Use OLS Model (LC)'!$B$5</f>
        <v>-11585185.4436178</v>
      </c>
      <c r="L87" s="186">
        <f>'Large Use OLS Model (LC)'!$B$6*D87</f>
        <v>0</v>
      </c>
      <c r="M87" s="186">
        <f>'Large Use OLS Model (LC)'!$B$7*E87</f>
        <v>14491105.579272637</v>
      </c>
      <c r="N87" s="186">
        <v>0</v>
      </c>
      <c r="O87" s="186">
        <f>'Large Use OLS Model (LC)'!$B$8*G87</f>
        <v>0</v>
      </c>
      <c r="P87" s="186">
        <f>'Large Use OLS Model (LC)'!$B$9*H87</f>
        <v>0</v>
      </c>
      <c r="Q87" s="186">
        <f>'Large Use OLS Model (LC)'!$B$10*I87</f>
        <v>16953171.00321544</v>
      </c>
      <c r="R87" s="186">
        <f t="shared" si="5"/>
        <v>19859091.138870277</v>
      </c>
      <c r="S87" s="24">
        <f t="shared" ca="1" si="6"/>
        <v>2.22660904434137E-2</v>
      </c>
    </row>
    <row r="88" spans="1:19">
      <c r="A88" s="128">
        <f>'Monthly Data'!A88</f>
        <v>42430</v>
      </c>
      <c r="B88" s="186">
        <f t="shared" si="4"/>
        <v>2016</v>
      </c>
      <c r="C88" s="124">
        <f ca="1">'Monthly Data'!AQ88</f>
        <v>21950234.988419168</v>
      </c>
      <c r="D88" s="186">
        <f>'Monthly Data'!BI88</f>
        <v>0</v>
      </c>
      <c r="E88" s="124">
        <f>'Monthly Data'!BJ88</f>
        <v>6975.7</v>
      </c>
      <c r="F88" s="186">
        <f>'Monthly Data'!BM88</f>
        <v>87</v>
      </c>
      <c r="G88" s="186">
        <f>'Monthly Data'!BT88</f>
        <v>0</v>
      </c>
      <c r="H88" s="186">
        <f>'Monthly Data'!BY88</f>
        <v>0</v>
      </c>
      <c r="I88" s="186">
        <f>'Monthly Data'!CC88</f>
        <v>31</v>
      </c>
      <c r="K88" s="186">
        <f>'Large Use OLS Model (LC)'!$B$5</f>
        <v>-11585185.4436178</v>
      </c>
      <c r="L88" s="186">
        <f>'Large Use OLS Model (LC)'!$B$6*D88</f>
        <v>0</v>
      </c>
      <c r="M88" s="186">
        <f>'Large Use OLS Model (LC)'!$B$7*E88</f>
        <v>14506078.09275054</v>
      </c>
      <c r="N88" s="186">
        <v>0</v>
      </c>
      <c r="O88" s="186">
        <f>'Large Use OLS Model (LC)'!$B$8*G88</f>
        <v>0</v>
      </c>
      <c r="P88" s="186">
        <f>'Large Use OLS Model (LC)'!$B$9*H88</f>
        <v>0</v>
      </c>
      <c r="Q88" s="186">
        <f>'Large Use OLS Model (LC)'!$B$10*I88</f>
        <v>18122355.210333746</v>
      </c>
      <c r="R88" s="186">
        <f t="shared" si="5"/>
        <v>21043247.859466486</v>
      </c>
      <c r="S88" s="24">
        <f t="shared" ca="1" si="6"/>
        <v>4.1320155771963435E-2</v>
      </c>
    </row>
    <row r="89" spans="1:19">
      <c r="A89" s="128">
        <f>'Monthly Data'!A89</f>
        <v>42461</v>
      </c>
      <c r="B89" s="186">
        <f t="shared" si="4"/>
        <v>2016</v>
      </c>
      <c r="C89" s="124">
        <f ca="1">'Monthly Data'!AQ89</f>
        <v>22516546.642958738</v>
      </c>
      <c r="D89" s="186">
        <f>'Monthly Data'!BI89</f>
        <v>0</v>
      </c>
      <c r="E89" s="124">
        <f>'Monthly Data'!BJ89</f>
        <v>6979.7</v>
      </c>
      <c r="F89" s="186">
        <f>'Monthly Data'!BM89</f>
        <v>88</v>
      </c>
      <c r="G89" s="186">
        <f>'Monthly Data'!BT89</f>
        <v>0</v>
      </c>
      <c r="H89" s="186">
        <f>'Monthly Data'!BY89</f>
        <v>0</v>
      </c>
      <c r="I89" s="186">
        <f>'Monthly Data'!CC89</f>
        <v>30</v>
      </c>
      <c r="K89" s="186">
        <f>'Large Use OLS Model (LC)'!$B$5</f>
        <v>-11585185.4436178</v>
      </c>
      <c r="L89" s="186">
        <f>'Large Use OLS Model (LC)'!$B$6*D89</f>
        <v>0</v>
      </c>
      <c r="M89" s="186">
        <f>'Large Use OLS Model (LC)'!$B$7*E89</f>
        <v>14514396.15579382</v>
      </c>
      <c r="N89" s="186">
        <v>0</v>
      </c>
      <c r="O89" s="186">
        <f>'Large Use OLS Model (LC)'!$B$8*G89</f>
        <v>0</v>
      </c>
      <c r="P89" s="186">
        <f>'Large Use OLS Model (LC)'!$B$9*H89</f>
        <v>0</v>
      </c>
      <c r="Q89" s="186">
        <f>'Large Use OLS Model (LC)'!$B$10*I89</f>
        <v>17537763.106774591</v>
      </c>
      <c r="R89" s="186">
        <f t="shared" si="5"/>
        <v>20466973.818950608</v>
      </c>
      <c r="S89" s="24">
        <f t="shared" ca="1" si="6"/>
        <v>9.1025185012065857E-2</v>
      </c>
    </row>
    <row r="90" spans="1:19">
      <c r="A90" s="128">
        <f>'Monthly Data'!A90</f>
        <v>42491</v>
      </c>
      <c r="B90" s="186">
        <f t="shared" si="4"/>
        <v>2016</v>
      </c>
      <c r="C90" s="124">
        <f ca="1">'Monthly Data'!AQ90</f>
        <v>23491879.387100104</v>
      </c>
      <c r="D90" s="186">
        <f>'Monthly Data'!BI90</f>
        <v>47</v>
      </c>
      <c r="E90" s="124">
        <f>'Monthly Data'!BJ90</f>
        <v>6990.5</v>
      </c>
      <c r="F90" s="186">
        <f>'Monthly Data'!BM90</f>
        <v>89</v>
      </c>
      <c r="G90" s="186">
        <f>'Monthly Data'!BT90</f>
        <v>0</v>
      </c>
      <c r="H90" s="186">
        <f>'Monthly Data'!BY90</f>
        <v>0</v>
      </c>
      <c r="I90" s="186">
        <f>'Monthly Data'!CC90</f>
        <v>31</v>
      </c>
      <c r="K90" s="186">
        <f>'Large Use OLS Model (LC)'!$B$5</f>
        <v>-11585185.4436178</v>
      </c>
      <c r="L90" s="186">
        <f>'Large Use OLS Model (LC)'!$B$6*D90</f>
        <v>1208882.5758795096</v>
      </c>
      <c r="M90" s="186">
        <f>'Large Use OLS Model (LC)'!$B$7*E90</f>
        <v>14536854.926010672</v>
      </c>
      <c r="N90" s="186">
        <v>0</v>
      </c>
      <c r="O90" s="186">
        <f>'Large Use OLS Model (LC)'!$B$8*G90</f>
        <v>0</v>
      </c>
      <c r="P90" s="186">
        <f>'Large Use OLS Model (LC)'!$B$9*H90</f>
        <v>0</v>
      </c>
      <c r="Q90" s="186">
        <f>'Large Use OLS Model (LC)'!$B$10*I90</f>
        <v>18122355.210333746</v>
      </c>
      <c r="R90" s="186">
        <f t="shared" si="5"/>
        <v>22282907.268606126</v>
      </c>
      <c r="S90" s="24">
        <f t="shared" ca="1" si="6"/>
        <v>5.1463405654885601E-2</v>
      </c>
    </row>
    <row r="91" spans="1:19">
      <c r="A91" s="128">
        <f>'Monthly Data'!A91</f>
        <v>42522</v>
      </c>
      <c r="B91" s="186">
        <f t="shared" si="4"/>
        <v>2016</v>
      </c>
      <c r="C91" s="124">
        <f ca="1">'Monthly Data'!AQ91</f>
        <v>25154852.535666555</v>
      </c>
      <c r="D91" s="186">
        <f>'Monthly Data'!BI91</f>
        <v>127.2</v>
      </c>
      <c r="E91" s="124">
        <f>'Monthly Data'!BJ91</f>
        <v>6998.8</v>
      </c>
      <c r="F91" s="186">
        <f>'Monthly Data'!BM91</f>
        <v>90</v>
      </c>
      <c r="G91" s="186">
        <f>'Monthly Data'!BT91</f>
        <v>0</v>
      </c>
      <c r="H91" s="186">
        <f>'Monthly Data'!BY91</f>
        <v>0</v>
      </c>
      <c r="I91" s="186">
        <f>'Monthly Data'!CC91</f>
        <v>30</v>
      </c>
      <c r="K91" s="186">
        <f>'Large Use OLS Model (LC)'!$B$5</f>
        <v>-11585185.4436178</v>
      </c>
      <c r="L91" s="186">
        <f>'Large Use OLS Model (LC)'!$B$6*D91</f>
        <v>3271699.2266356093</v>
      </c>
      <c r="M91" s="186">
        <f>'Large Use OLS Model (LC)'!$B$7*E91</f>
        <v>14554114.906825477</v>
      </c>
      <c r="N91" s="186">
        <v>0</v>
      </c>
      <c r="O91" s="186">
        <f>'Large Use OLS Model (LC)'!$B$8*G91</f>
        <v>0</v>
      </c>
      <c r="P91" s="186">
        <f>'Large Use OLS Model (LC)'!$B$9*H91</f>
        <v>0</v>
      </c>
      <c r="Q91" s="186">
        <f>'Large Use OLS Model (LC)'!$B$10*I91</f>
        <v>17537763.106774591</v>
      </c>
      <c r="R91" s="186">
        <f t="shared" si="5"/>
        <v>23778391.796617877</v>
      </c>
      <c r="S91" s="24">
        <f t="shared" ca="1" si="6"/>
        <v>5.4719491481694145E-2</v>
      </c>
    </row>
    <row r="92" spans="1:19">
      <c r="A92" s="128">
        <f>'Monthly Data'!A92</f>
        <v>42552</v>
      </c>
      <c r="B92" s="186">
        <f t="shared" si="4"/>
        <v>2016</v>
      </c>
      <c r="C92" s="124">
        <f ca="1">'Monthly Data'!AQ92</f>
        <v>26434818.565985125</v>
      </c>
      <c r="D92" s="186">
        <f>'Monthly Data'!BI92</f>
        <v>213.1</v>
      </c>
      <c r="E92" s="124">
        <f>'Monthly Data'!BJ92</f>
        <v>6995</v>
      </c>
      <c r="F92" s="186">
        <f>'Monthly Data'!BM92</f>
        <v>91</v>
      </c>
      <c r="G92" s="186">
        <f>'Monthly Data'!BT92</f>
        <v>1</v>
      </c>
      <c r="H92" s="186">
        <f>'Monthly Data'!BY92</f>
        <v>0</v>
      </c>
      <c r="I92" s="186">
        <f>'Monthly Data'!CC92</f>
        <v>31</v>
      </c>
      <c r="K92" s="186">
        <f>'Large Use OLS Model (LC)'!$B$5</f>
        <v>-11585185.4436178</v>
      </c>
      <c r="L92" s="186">
        <f>'Large Use OLS Model (LC)'!$B$6*D92</f>
        <v>5481125.0408494361</v>
      </c>
      <c r="M92" s="186">
        <f>'Large Use OLS Model (LC)'!$B$7*E92</f>
        <v>14546212.746934362</v>
      </c>
      <c r="N92" s="186">
        <v>0</v>
      </c>
      <c r="O92" s="186">
        <f>'Large Use OLS Model (LC)'!$B$8*G92</f>
        <v>-947874.12245155603</v>
      </c>
      <c r="P92" s="186">
        <f>'Large Use OLS Model (LC)'!$B$9*H92</f>
        <v>0</v>
      </c>
      <c r="Q92" s="186">
        <f>'Large Use OLS Model (LC)'!$B$10*I92</f>
        <v>18122355.210333746</v>
      </c>
      <c r="R92" s="186">
        <f t="shared" si="5"/>
        <v>25616633.432048187</v>
      </c>
      <c r="S92" s="24">
        <f t="shared" ca="1" si="6"/>
        <v>3.0951040268902531E-2</v>
      </c>
    </row>
    <row r="93" spans="1:19">
      <c r="A93" s="128">
        <f>'Monthly Data'!A93</f>
        <v>42583</v>
      </c>
      <c r="B93" s="186">
        <f t="shared" si="4"/>
        <v>2016</v>
      </c>
      <c r="C93" s="124">
        <f ca="1">'Monthly Data'!AQ93</f>
        <v>28083591.400888056</v>
      </c>
      <c r="D93" s="186">
        <f>'Monthly Data'!BI93</f>
        <v>219</v>
      </c>
      <c r="E93" s="124">
        <f>'Monthly Data'!BJ93</f>
        <v>6991</v>
      </c>
      <c r="F93" s="186">
        <f>'Monthly Data'!BM93</f>
        <v>92</v>
      </c>
      <c r="G93" s="186">
        <f>'Monthly Data'!BT93</f>
        <v>0</v>
      </c>
      <c r="H93" s="186">
        <f>'Monthly Data'!BY93</f>
        <v>0</v>
      </c>
      <c r="I93" s="186">
        <f>'Monthly Data'!CC93</f>
        <v>31</v>
      </c>
      <c r="K93" s="186">
        <f>'Large Use OLS Model (LC)'!$B$5</f>
        <v>-11585185.4436178</v>
      </c>
      <c r="L93" s="186">
        <f>'Large Use OLS Model (LC)'!$B$6*D93</f>
        <v>5632878.3854811192</v>
      </c>
      <c r="M93" s="186">
        <f>'Large Use OLS Model (LC)'!$B$7*E93</f>
        <v>14537894.683891082</v>
      </c>
      <c r="N93" s="186">
        <v>0</v>
      </c>
      <c r="O93" s="186">
        <f>'Large Use OLS Model (LC)'!$B$8*G93</f>
        <v>0</v>
      </c>
      <c r="P93" s="186">
        <f>'Large Use OLS Model (LC)'!$B$9*H93</f>
        <v>0</v>
      </c>
      <c r="Q93" s="186">
        <f>'Large Use OLS Model (LC)'!$B$10*I93</f>
        <v>18122355.210333746</v>
      </c>
      <c r="R93" s="186">
        <f t="shared" si="5"/>
        <v>26707942.836088147</v>
      </c>
      <c r="S93" s="24">
        <f t="shared" ca="1" si="6"/>
        <v>4.8984068496182719E-2</v>
      </c>
    </row>
    <row r="94" spans="1:19">
      <c r="A94" s="128">
        <f>'Monthly Data'!A94</f>
        <v>42614</v>
      </c>
      <c r="B94" s="186">
        <f t="shared" si="4"/>
        <v>2016</v>
      </c>
      <c r="C94" s="124">
        <f ca="1">'Monthly Data'!AQ94</f>
        <v>23664869.487896521</v>
      </c>
      <c r="D94" s="186">
        <f>'Monthly Data'!BI94</f>
        <v>90.1</v>
      </c>
      <c r="E94" s="124">
        <f>'Monthly Data'!BJ94</f>
        <v>6989.1</v>
      </c>
      <c r="F94" s="186">
        <f>'Monthly Data'!BM94</f>
        <v>93</v>
      </c>
      <c r="G94" s="186">
        <f>'Monthly Data'!BT94</f>
        <v>0</v>
      </c>
      <c r="H94" s="186">
        <f>'Monthly Data'!BY94</f>
        <v>0</v>
      </c>
      <c r="I94" s="186">
        <f>'Monthly Data'!CC94</f>
        <v>30</v>
      </c>
      <c r="K94" s="186">
        <f>'Large Use OLS Model (LC)'!$B$5</f>
        <v>-11585185.4436178</v>
      </c>
      <c r="L94" s="186">
        <f>'Large Use OLS Model (LC)'!$B$6*D94</f>
        <v>2317453.6188668897</v>
      </c>
      <c r="M94" s="186">
        <f>'Large Use OLS Model (LC)'!$B$7*E94</f>
        <v>14533943.603945525</v>
      </c>
      <c r="N94" s="186">
        <v>0</v>
      </c>
      <c r="O94" s="186">
        <f>'Large Use OLS Model (LC)'!$B$8*G94</f>
        <v>0</v>
      </c>
      <c r="P94" s="186">
        <f>'Large Use OLS Model (LC)'!$B$9*H94</f>
        <v>0</v>
      </c>
      <c r="Q94" s="186">
        <f>'Large Use OLS Model (LC)'!$B$10*I94</f>
        <v>17537763.106774591</v>
      </c>
      <c r="R94" s="186">
        <f t="shared" si="5"/>
        <v>22803974.885969207</v>
      </c>
      <c r="S94" s="24">
        <f t="shared" ca="1" si="6"/>
        <v>3.6378590736265058E-2</v>
      </c>
    </row>
    <row r="95" spans="1:19">
      <c r="A95" s="128">
        <f>'Monthly Data'!A95</f>
        <v>42644</v>
      </c>
      <c r="B95" s="186">
        <f t="shared" si="4"/>
        <v>2016</v>
      </c>
      <c r="C95" s="124">
        <f ca="1">'Monthly Data'!AQ95</f>
        <v>21818348.034312647</v>
      </c>
      <c r="D95" s="186">
        <f>'Monthly Data'!BI95</f>
        <v>22.7</v>
      </c>
      <c r="E95" s="124">
        <f>'Monthly Data'!BJ95</f>
        <v>7005.5</v>
      </c>
      <c r="F95" s="186">
        <f>'Monthly Data'!BM95</f>
        <v>94</v>
      </c>
      <c r="G95" s="186">
        <f>'Monthly Data'!BT95</f>
        <v>0</v>
      </c>
      <c r="H95" s="186">
        <f>'Monthly Data'!BY95</f>
        <v>0</v>
      </c>
      <c r="I95" s="186">
        <f>'Monthly Data'!CC95</f>
        <v>31</v>
      </c>
      <c r="K95" s="186">
        <f>'Large Use OLS Model (LC)'!$B$5</f>
        <v>-11585185.4436178</v>
      </c>
      <c r="L95" s="186">
        <f>'Large Use OLS Model (LC)'!$B$6*D95</f>
        <v>583864.56324393337</v>
      </c>
      <c r="M95" s="186">
        <f>'Large Use OLS Model (LC)'!$B$7*E95</f>
        <v>14568047.66242297</v>
      </c>
      <c r="N95" s="186">
        <v>0</v>
      </c>
      <c r="O95" s="186">
        <f>'Large Use OLS Model (LC)'!$B$8*G95</f>
        <v>0</v>
      </c>
      <c r="P95" s="186">
        <f>'Large Use OLS Model (LC)'!$B$9*H95</f>
        <v>0</v>
      </c>
      <c r="Q95" s="186">
        <f>'Large Use OLS Model (LC)'!$B$10*I95</f>
        <v>18122355.210333746</v>
      </c>
      <c r="R95" s="186">
        <f t="shared" si="5"/>
        <v>21689081.992382847</v>
      </c>
      <c r="S95" s="24">
        <f t="shared" ca="1" si="6"/>
        <v>5.9246484530593099E-3</v>
      </c>
    </row>
    <row r="96" spans="1:19">
      <c r="A96" s="128">
        <f>'Monthly Data'!A96</f>
        <v>42675</v>
      </c>
      <c r="B96" s="186">
        <f t="shared" si="4"/>
        <v>2016</v>
      </c>
      <c r="C96" s="124">
        <f ca="1">'Monthly Data'!AQ96</f>
        <v>20096745.128498808</v>
      </c>
      <c r="D96" s="186">
        <f>'Monthly Data'!BI96</f>
        <v>0</v>
      </c>
      <c r="E96" s="124">
        <f>'Monthly Data'!BJ96</f>
        <v>7021.6</v>
      </c>
      <c r="F96" s="186">
        <f>'Monthly Data'!BM96</f>
        <v>95</v>
      </c>
      <c r="G96" s="186">
        <f>'Monthly Data'!BT96</f>
        <v>0</v>
      </c>
      <c r="H96" s="186">
        <f>'Monthly Data'!BY96</f>
        <v>0</v>
      </c>
      <c r="I96" s="186">
        <f>'Monthly Data'!CC96</f>
        <v>30</v>
      </c>
      <c r="K96" s="186">
        <f>'Large Use OLS Model (LC)'!$B$5</f>
        <v>-11585185.4436178</v>
      </c>
      <c r="L96" s="186">
        <f>'Large Use OLS Model (LC)'!$B$6*D96</f>
        <v>0</v>
      </c>
      <c r="M96" s="186">
        <f>'Large Use OLS Model (LC)'!$B$7*E96</f>
        <v>14601527.866172168</v>
      </c>
      <c r="N96" s="186">
        <v>0</v>
      </c>
      <c r="O96" s="186">
        <f>'Large Use OLS Model (LC)'!$B$8*G96</f>
        <v>0</v>
      </c>
      <c r="P96" s="186">
        <f>'Large Use OLS Model (LC)'!$B$9*H96</f>
        <v>0</v>
      </c>
      <c r="Q96" s="186">
        <f>'Large Use OLS Model (LC)'!$B$10*I96</f>
        <v>17537763.106774591</v>
      </c>
      <c r="R96" s="186">
        <f t="shared" si="5"/>
        <v>20554105.529328957</v>
      </c>
      <c r="S96" s="24">
        <f t="shared" ca="1" si="6"/>
        <v>2.275793407866708E-2</v>
      </c>
    </row>
    <row r="97" spans="1:19">
      <c r="A97" s="128">
        <f>'Monthly Data'!A97</f>
        <v>42705</v>
      </c>
      <c r="B97" s="186">
        <f t="shared" si="4"/>
        <v>2016</v>
      </c>
      <c r="C97" s="124">
        <f ca="1">'Monthly Data'!AQ97</f>
        <v>18899420.082560532</v>
      </c>
      <c r="D97" s="186">
        <f>'Monthly Data'!BI97</f>
        <v>0</v>
      </c>
      <c r="E97" s="124">
        <f>'Monthly Data'!BJ97</f>
        <v>7035.1</v>
      </c>
      <c r="F97" s="186">
        <f>'Monthly Data'!BM97</f>
        <v>96</v>
      </c>
      <c r="G97" s="186">
        <f>'Monthly Data'!BT97</f>
        <v>0</v>
      </c>
      <c r="H97" s="186">
        <f>'Monthly Data'!BY97</f>
        <v>1</v>
      </c>
      <c r="I97" s="186">
        <f>'Monthly Data'!CC97</f>
        <v>31</v>
      </c>
      <c r="K97" s="186">
        <f>'Large Use OLS Model (LC)'!$B$5</f>
        <v>-11585185.4436178</v>
      </c>
      <c r="L97" s="186">
        <f>'Large Use OLS Model (LC)'!$B$6*D97</f>
        <v>0</v>
      </c>
      <c r="M97" s="186">
        <f>'Large Use OLS Model (LC)'!$B$7*E97</f>
        <v>14629601.328943236</v>
      </c>
      <c r="N97" s="186">
        <v>0</v>
      </c>
      <c r="O97" s="186">
        <f>'Large Use OLS Model (LC)'!$B$8*G97</f>
        <v>0</v>
      </c>
      <c r="P97" s="186">
        <f>'Large Use OLS Model (LC)'!$B$9*H97</f>
        <v>-1776727.9579078101</v>
      </c>
      <c r="Q97" s="186">
        <f>'Large Use OLS Model (LC)'!$B$10*I97</f>
        <v>18122355.210333746</v>
      </c>
      <c r="R97" s="186">
        <f t="shared" si="5"/>
        <v>19390043.137751371</v>
      </c>
      <c r="S97" s="24">
        <f t="shared" ca="1" si="6"/>
        <v>2.5959688342160406E-2</v>
      </c>
    </row>
    <row r="98" spans="1:19">
      <c r="A98" s="128">
        <f>'Monthly Data'!A98</f>
        <v>42736</v>
      </c>
      <c r="B98" s="186">
        <f t="shared" si="4"/>
        <v>2017</v>
      </c>
      <c r="C98" s="124">
        <f ca="1">'Monthly Data'!AQ98</f>
        <v>20315496.805656914</v>
      </c>
      <c r="D98" s="186">
        <f>'Monthly Data'!BI98</f>
        <v>0</v>
      </c>
      <c r="E98" s="124">
        <f>'Monthly Data'!BJ98</f>
        <v>7049.2</v>
      </c>
      <c r="F98" s="186">
        <f>'Monthly Data'!BM98</f>
        <v>97</v>
      </c>
      <c r="G98" s="186">
        <f>'Monthly Data'!BT98</f>
        <v>0</v>
      </c>
      <c r="H98" s="186">
        <f>'Monthly Data'!BY98</f>
        <v>0</v>
      </c>
      <c r="I98" s="186">
        <f>'Monthly Data'!CC98</f>
        <v>31</v>
      </c>
      <c r="K98" s="186">
        <f>'Large Use OLS Model (LC)'!$B$5</f>
        <v>-11585185.4436178</v>
      </c>
      <c r="L98" s="186">
        <f>'Large Use OLS Model (LC)'!$B$6*D98</f>
        <v>0</v>
      </c>
      <c r="M98" s="186">
        <f>'Large Use OLS Model (LC)'!$B$7*E98</f>
        <v>14658922.501170794</v>
      </c>
      <c r="N98" s="186">
        <v>0</v>
      </c>
      <c r="O98" s="186">
        <f>'Large Use OLS Model (LC)'!$B$8*G98</f>
        <v>0</v>
      </c>
      <c r="P98" s="186">
        <f>'Large Use OLS Model (LC)'!$B$9*H98</f>
        <v>0</v>
      </c>
      <c r="Q98" s="186">
        <f>'Large Use OLS Model (LC)'!$B$10*I98</f>
        <v>18122355.210333746</v>
      </c>
      <c r="R98" s="186">
        <f t="shared" si="5"/>
        <v>21196092.267886739</v>
      </c>
      <c r="S98" s="24">
        <f t="shared" ca="1" si="6"/>
        <v>4.3345996932972912E-2</v>
      </c>
    </row>
    <row r="99" spans="1:19">
      <c r="A99" s="128">
        <f>'Monthly Data'!A99</f>
        <v>42767</v>
      </c>
      <c r="B99" s="186">
        <f t="shared" si="4"/>
        <v>2017</v>
      </c>
      <c r="C99" s="124">
        <f ca="1">'Monthly Data'!AQ99</f>
        <v>18666295.813621074</v>
      </c>
      <c r="D99" s="186">
        <f>'Monthly Data'!BI99</f>
        <v>0</v>
      </c>
      <c r="E99" s="124">
        <f>'Monthly Data'!BJ99</f>
        <v>7062.5</v>
      </c>
      <c r="F99" s="186">
        <f>'Monthly Data'!BM99</f>
        <v>98</v>
      </c>
      <c r="G99" s="186">
        <f>'Monthly Data'!BT99</f>
        <v>0</v>
      </c>
      <c r="H99" s="186">
        <f>'Monthly Data'!BY99</f>
        <v>0</v>
      </c>
      <c r="I99" s="186">
        <f>'Monthly Data'!CC99</f>
        <v>28</v>
      </c>
      <c r="K99" s="186">
        <f>'Large Use OLS Model (LC)'!$B$5</f>
        <v>-11585185.4436178</v>
      </c>
      <c r="L99" s="186">
        <f>'Large Use OLS Model (LC)'!$B$6*D99</f>
        <v>0</v>
      </c>
      <c r="M99" s="186">
        <f>'Large Use OLS Model (LC)'!$B$7*E99</f>
        <v>14686580.060789697</v>
      </c>
      <c r="N99" s="186">
        <v>0</v>
      </c>
      <c r="O99" s="186">
        <f>'Large Use OLS Model (LC)'!$B$8*G99</f>
        <v>0</v>
      </c>
      <c r="P99" s="186">
        <f>'Large Use OLS Model (LC)'!$B$9*H99</f>
        <v>0</v>
      </c>
      <c r="Q99" s="186">
        <f>'Large Use OLS Model (LC)'!$B$10*I99</f>
        <v>16368578.899656285</v>
      </c>
      <c r="R99" s="186">
        <f t="shared" si="5"/>
        <v>19469973.516828179</v>
      </c>
      <c r="S99" s="24">
        <f t="shared" ca="1" si="6"/>
        <v>4.3055018051339884E-2</v>
      </c>
    </row>
    <row r="100" spans="1:19">
      <c r="A100" s="128">
        <f>'Monthly Data'!A100</f>
        <v>42795</v>
      </c>
      <c r="B100" s="186">
        <f t="shared" si="4"/>
        <v>2017</v>
      </c>
      <c r="C100" s="124">
        <f ca="1">'Monthly Data'!AQ100</f>
        <v>20501069.907807238</v>
      </c>
      <c r="D100" s="186">
        <f>'Monthly Data'!BI100</f>
        <v>0</v>
      </c>
      <c r="E100" s="124">
        <f>'Monthly Data'!BJ100</f>
        <v>7071</v>
      </c>
      <c r="F100" s="186">
        <f>'Monthly Data'!BM100</f>
        <v>99</v>
      </c>
      <c r="G100" s="186">
        <f>'Monthly Data'!BT100</f>
        <v>0</v>
      </c>
      <c r="H100" s="186">
        <f>'Monthly Data'!BY100</f>
        <v>0</v>
      </c>
      <c r="I100" s="186">
        <f>'Monthly Data'!CC100</f>
        <v>31</v>
      </c>
      <c r="K100" s="186">
        <f>'Large Use OLS Model (LC)'!$B$5</f>
        <v>-11585185.4436178</v>
      </c>
      <c r="L100" s="186">
        <f>'Large Use OLS Model (LC)'!$B$6*D100</f>
        <v>0</v>
      </c>
      <c r="M100" s="186">
        <f>'Large Use OLS Model (LC)'!$B$7*E100</f>
        <v>14704255.944756664</v>
      </c>
      <c r="N100" s="186">
        <v>0</v>
      </c>
      <c r="O100" s="186">
        <f>'Large Use OLS Model (LC)'!$B$8*G100</f>
        <v>0</v>
      </c>
      <c r="P100" s="186">
        <f>'Large Use OLS Model (LC)'!$B$9*H100</f>
        <v>0</v>
      </c>
      <c r="Q100" s="186">
        <f>'Large Use OLS Model (LC)'!$B$10*I100</f>
        <v>18122355.210333746</v>
      </c>
      <c r="R100" s="186">
        <f t="shared" si="5"/>
        <v>21241425.711472608</v>
      </c>
      <c r="S100" s="24">
        <f t="shared" ca="1" si="6"/>
        <v>3.6113032490242211E-2</v>
      </c>
    </row>
    <row r="101" spans="1:19">
      <c r="A101" s="128">
        <f>'Monthly Data'!A101</f>
        <v>42826</v>
      </c>
      <c r="B101" s="186">
        <f t="shared" si="4"/>
        <v>2017</v>
      </c>
      <c r="C101" s="124">
        <f ca="1">'Monthly Data'!AQ101</f>
        <v>19823217.414303008</v>
      </c>
      <c r="D101" s="186">
        <f>'Monthly Data'!BI101</f>
        <v>6.1</v>
      </c>
      <c r="E101" s="124">
        <f>'Monthly Data'!BJ101</f>
        <v>7073.2</v>
      </c>
      <c r="F101" s="186">
        <f>'Monthly Data'!BM101</f>
        <v>100</v>
      </c>
      <c r="G101" s="186">
        <f>'Monthly Data'!BT101</f>
        <v>0</v>
      </c>
      <c r="H101" s="186">
        <f>'Monthly Data'!BY101</f>
        <v>0</v>
      </c>
      <c r="I101" s="186">
        <f>'Monthly Data'!CC101</f>
        <v>30</v>
      </c>
      <c r="K101" s="186">
        <f>'Large Use OLS Model (LC)'!$B$5</f>
        <v>-11585185.4436178</v>
      </c>
      <c r="L101" s="186">
        <f>'Large Use OLS Model (LC)'!$B$6*D101</f>
        <v>156897.52580563849</v>
      </c>
      <c r="M101" s="186">
        <f>'Large Use OLS Model (LC)'!$B$7*E101</f>
        <v>14708830.879430469</v>
      </c>
      <c r="N101" s="186">
        <v>0</v>
      </c>
      <c r="O101" s="186">
        <f>'Large Use OLS Model (LC)'!$B$8*G101</f>
        <v>0</v>
      </c>
      <c r="P101" s="186">
        <f>'Large Use OLS Model (LC)'!$B$9*H101</f>
        <v>0</v>
      </c>
      <c r="Q101" s="186">
        <f>'Large Use OLS Model (LC)'!$B$10*I101</f>
        <v>17537763.106774591</v>
      </c>
      <c r="R101" s="186">
        <f t="shared" si="5"/>
        <v>20818306.068392899</v>
      </c>
      <c r="S101" s="24">
        <f t="shared" ca="1" si="6"/>
        <v>5.0198140558752387E-2</v>
      </c>
    </row>
    <row r="102" spans="1:19">
      <c r="A102" s="128">
        <f>'Monthly Data'!A102</f>
        <v>42856</v>
      </c>
      <c r="B102" s="186">
        <f t="shared" si="4"/>
        <v>2017</v>
      </c>
      <c r="C102" s="124">
        <f ca="1">'Monthly Data'!AQ102</f>
        <v>21332197.715417989</v>
      </c>
      <c r="D102" s="186">
        <f>'Monthly Data'!BI102</f>
        <v>28.5</v>
      </c>
      <c r="E102" s="124">
        <f>'Monthly Data'!BJ102</f>
        <v>7076.2</v>
      </c>
      <c r="F102" s="186">
        <f>'Monthly Data'!BM102</f>
        <v>101</v>
      </c>
      <c r="G102" s="186">
        <f>'Monthly Data'!BT102</f>
        <v>0</v>
      </c>
      <c r="H102" s="186">
        <f>'Monthly Data'!BY102</f>
        <v>0</v>
      </c>
      <c r="I102" s="186">
        <f>'Monthly Data'!CC102</f>
        <v>31</v>
      </c>
      <c r="K102" s="186">
        <f>'Large Use OLS Model (LC)'!$B$5</f>
        <v>-11585185.4436178</v>
      </c>
      <c r="L102" s="186">
        <f>'Large Use OLS Model (LC)'!$B$6*D102</f>
        <v>733045.81728863879</v>
      </c>
      <c r="M102" s="186">
        <f>'Large Use OLS Model (LC)'!$B$7*E102</f>
        <v>14715069.426712928</v>
      </c>
      <c r="N102" s="186">
        <v>0</v>
      </c>
      <c r="O102" s="186">
        <f>'Large Use OLS Model (LC)'!$B$8*G102</f>
        <v>0</v>
      </c>
      <c r="P102" s="186">
        <f>'Large Use OLS Model (LC)'!$B$9*H102</f>
        <v>0</v>
      </c>
      <c r="Q102" s="186">
        <f>'Large Use OLS Model (LC)'!$B$10*I102</f>
        <v>18122355.210333746</v>
      </c>
      <c r="R102" s="186">
        <f t="shared" si="5"/>
        <v>21985285.010717511</v>
      </c>
      <c r="S102" s="24">
        <f t="shared" ca="1" si="6"/>
        <v>3.0615096672739883E-2</v>
      </c>
    </row>
    <row r="103" spans="1:19">
      <c r="A103" s="128">
        <f>'Monthly Data'!A103</f>
        <v>42887</v>
      </c>
      <c r="B103" s="186">
        <f t="shared" si="4"/>
        <v>2017</v>
      </c>
      <c r="C103" s="124">
        <f ca="1">'Monthly Data'!AQ103</f>
        <v>23799303.944701213</v>
      </c>
      <c r="D103" s="186">
        <f>'Monthly Data'!BI103</f>
        <v>128.1</v>
      </c>
      <c r="E103" s="124">
        <f>'Monthly Data'!BJ103</f>
        <v>7082.2</v>
      </c>
      <c r="F103" s="186">
        <f>'Monthly Data'!BM103</f>
        <v>102</v>
      </c>
      <c r="G103" s="186">
        <f>'Monthly Data'!BT103</f>
        <v>0</v>
      </c>
      <c r="H103" s="186">
        <f>'Monthly Data'!BY103</f>
        <v>0</v>
      </c>
      <c r="I103" s="186">
        <f>'Monthly Data'!CC103</f>
        <v>30</v>
      </c>
      <c r="K103" s="186">
        <f>'Large Use OLS Model (LC)'!$B$5</f>
        <v>-11585185.4436178</v>
      </c>
      <c r="L103" s="186">
        <f>'Large Use OLS Model (LC)'!$B$6*D103</f>
        <v>3294848.0419184081</v>
      </c>
      <c r="M103" s="186">
        <f>'Large Use OLS Model (LC)'!$B$7*E103</f>
        <v>14727546.521277847</v>
      </c>
      <c r="N103" s="186">
        <v>0</v>
      </c>
      <c r="O103" s="186">
        <f>'Large Use OLS Model (LC)'!$B$8*G103</f>
        <v>0</v>
      </c>
      <c r="P103" s="186">
        <f>'Large Use OLS Model (LC)'!$B$9*H103</f>
        <v>0</v>
      </c>
      <c r="Q103" s="186">
        <f>'Large Use OLS Model (LC)'!$B$10*I103</f>
        <v>17537763.106774591</v>
      </c>
      <c r="R103" s="186">
        <f t="shared" si="5"/>
        <v>23974972.226353046</v>
      </c>
      <c r="S103" s="24">
        <f t="shared" ca="1" si="6"/>
        <v>7.3812361092578825E-3</v>
      </c>
    </row>
    <row r="104" spans="1:19">
      <c r="A104" s="128">
        <f>'Monthly Data'!A104</f>
        <v>42917</v>
      </c>
      <c r="B104" s="186">
        <f t="shared" si="4"/>
        <v>2017</v>
      </c>
      <c r="C104" s="124">
        <f ca="1">'Monthly Data'!AQ104</f>
        <v>25324504.630515054</v>
      </c>
      <c r="D104" s="186">
        <f>'Monthly Data'!BI104</f>
        <v>179.5</v>
      </c>
      <c r="E104" s="124">
        <f>'Monthly Data'!BJ104</f>
        <v>7098</v>
      </c>
      <c r="F104" s="186">
        <f>'Monthly Data'!BM104</f>
        <v>103</v>
      </c>
      <c r="G104" s="186">
        <f>'Monthly Data'!BT104</f>
        <v>1</v>
      </c>
      <c r="H104" s="186">
        <f>'Monthly Data'!BY104</f>
        <v>0</v>
      </c>
      <c r="I104" s="186">
        <f>'Monthly Data'!CC104</f>
        <v>31</v>
      </c>
      <c r="K104" s="186">
        <f>'Large Use OLS Model (LC)'!$B$5</f>
        <v>-11585185.4436178</v>
      </c>
      <c r="L104" s="186">
        <f>'Large Use OLS Model (LC)'!$B$6*D104</f>
        <v>4616902.6036249362</v>
      </c>
      <c r="M104" s="186">
        <f>'Large Use OLS Model (LC)'!$B$7*E104</f>
        <v>14760402.870298799</v>
      </c>
      <c r="N104" s="186">
        <v>0</v>
      </c>
      <c r="O104" s="186">
        <f>'Large Use OLS Model (LC)'!$B$8*G104</f>
        <v>-947874.12245155603</v>
      </c>
      <c r="P104" s="186">
        <f>'Large Use OLS Model (LC)'!$B$9*H104</f>
        <v>0</v>
      </c>
      <c r="Q104" s="186">
        <f>'Large Use OLS Model (LC)'!$B$10*I104</f>
        <v>18122355.210333746</v>
      </c>
      <c r="R104" s="186">
        <f t="shared" si="5"/>
        <v>24966601.118188124</v>
      </c>
      <c r="S104" s="24">
        <f t="shared" ca="1" si="6"/>
        <v>1.413269548797688E-2</v>
      </c>
    </row>
    <row r="105" spans="1:19">
      <c r="A105" s="128">
        <f>'Monthly Data'!A105</f>
        <v>42948</v>
      </c>
      <c r="B105" s="186">
        <f t="shared" si="4"/>
        <v>2017</v>
      </c>
      <c r="C105" s="124">
        <f ca="1">'Monthly Data'!AQ105</f>
        <v>23736935.932426449</v>
      </c>
      <c r="D105" s="186">
        <f>'Monthly Data'!BI105</f>
        <v>121.4</v>
      </c>
      <c r="E105" s="124">
        <f>'Monthly Data'!BJ105</f>
        <v>7118.8</v>
      </c>
      <c r="F105" s="186">
        <f>'Monthly Data'!BM105</f>
        <v>104</v>
      </c>
      <c r="G105" s="186">
        <f>'Monthly Data'!BT105</f>
        <v>0</v>
      </c>
      <c r="H105" s="186">
        <f>'Monthly Data'!BY105</f>
        <v>0</v>
      </c>
      <c r="I105" s="186">
        <f>'Monthly Data'!CC105</f>
        <v>31</v>
      </c>
      <c r="K105" s="186">
        <f>'Large Use OLS Model (LC)'!$B$5</f>
        <v>-11585185.4436178</v>
      </c>
      <c r="L105" s="186">
        <f>'Large Use OLS Model (LC)'!$B$6*D105</f>
        <v>3122517.9725909038</v>
      </c>
      <c r="M105" s="186">
        <f>'Large Use OLS Model (LC)'!$B$7*E105</f>
        <v>14803656.798123851</v>
      </c>
      <c r="N105" s="186">
        <v>0</v>
      </c>
      <c r="O105" s="186">
        <f>'Large Use OLS Model (LC)'!$B$8*G105</f>
        <v>0</v>
      </c>
      <c r="P105" s="186">
        <f>'Large Use OLS Model (LC)'!$B$9*H105</f>
        <v>0</v>
      </c>
      <c r="Q105" s="186">
        <f>'Large Use OLS Model (LC)'!$B$10*I105</f>
        <v>18122355.210333746</v>
      </c>
      <c r="R105" s="186">
        <f t="shared" si="5"/>
        <v>24463344.5374307</v>
      </c>
      <c r="S105" s="24">
        <f t="shared" ca="1" si="6"/>
        <v>3.0602458846085603E-2</v>
      </c>
    </row>
    <row r="106" spans="1:19">
      <c r="A106" s="128">
        <f>'Monthly Data'!A106</f>
        <v>42979</v>
      </c>
      <c r="B106" s="186">
        <f t="shared" si="4"/>
        <v>2017</v>
      </c>
      <c r="C106" s="124">
        <f ca="1">'Monthly Data'!AQ106</f>
        <v>22804130.018046163</v>
      </c>
      <c r="D106" s="186">
        <f>'Monthly Data'!BI106</f>
        <v>80.7</v>
      </c>
      <c r="E106" s="124">
        <f>'Monthly Data'!BJ106</f>
        <v>7148.9</v>
      </c>
      <c r="F106" s="186">
        <f>'Monthly Data'!BM106</f>
        <v>105</v>
      </c>
      <c r="G106" s="186">
        <f>'Monthly Data'!BT106</f>
        <v>0</v>
      </c>
      <c r="H106" s="186">
        <f>'Monthly Data'!BY106</f>
        <v>0</v>
      </c>
      <c r="I106" s="186">
        <f>'Monthly Data'!CC106</f>
        <v>30</v>
      </c>
      <c r="K106" s="186">
        <f>'Large Use OLS Model (LC)'!$B$5</f>
        <v>-11585185.4436178</v>
      </c>
      <c r="L106" s="186">
        <f>'Large Use OLS Model (LC)'!$B$6*D106</f>
        <v>2075677.1036909879</v>
      </c>
      <c r="M106" s="186">
        <f>'Large Use OLS Model (LC)'!$B$7*E106</f>
        <v>14866250.222524526</v>
      </c>
      <c r="N106" s="186">
        <v>0</v>
      </c>
      <c r="O106" s="186">
        <f>'Large Use OLS Model (LC)'!$B$8*G106</f>
        <v>0</v>
      </c>
      <c r="P106" s="186">
        <f>'Large Use OLS Model (LC)'!$B$9*H106</f>
        <v>0</v>
      </c>
      <c r="Q106" s="186">
        <f>'Large Use OLS Model (LC)'!$B$10*I106</f>
        <v>17537763.106774591</v>
      </c>
      <c r="R106" s="186">
        <f t="shared" si="5"/>
        <v>22894504.989372306</v>
      </c>
      <c r="S106" s="24">
        <f t="shared" ca="1" si="6"/>
        <v>3.9630966519934707E-3</v>
      </c>
    </row>
    <row r="107" spans="1:19">
      <c r="A107" s="128">
        <f>'Monthly Data'!A107</f>
        <v>43009</v>
      </c>
      <c r="B107" s="186">
        <f t="shared" si="4"/>
        <v>2017</v>
      </c>
      <c r="C107" s="124">
        <f ca="1">'Monthly Data'!AQ107</f>
        <v>22410894.722107884</v>
      </c>
      <c r="D107" s="186">
        <f>'Monthly Data'!BI107</f>
        <v>24.9</v>
      </c>
      <c r="E107" s="124">
        <f>'Monthly Data'!BJ107</f>
        <v>7168.4</v>
      </c>
      <c r="F107" s="186">
        <f>'Monthly Data'!BM107</f>
        <v>106</v>
      </c>
      <c r="G107" s="186">
        <f>'Monthly Data'!BT107</f>
        <v>0</v>
      </c>
      <c r="H107" s="186">
        <f>'Monthly Data'!BY107</f>
        <v>0</v>
      </c>
      <c r="I107" s="186">
        <f>'Monthly Data'!CC107</f>
        <v>31</v>
      </c>
      <c r="K107" s="186">
        <f>'Large Use OLS Model (LC)'!$B$5</f>
        <v>-11585185.4436178</v>
      </c>
      <c r="L107" s="186">
        <f>'Large Use OLS Model (LC)'!$B$6*D107</f>
        <v>640450.55615744228</v>
      </c>
      <c r="M107" s="186">
        <f>'Large Use OLS Model (LC)'!$B$7*E107</f>
        <v>14906800.779860511</v>
      </c>
      <c r="N107" s="186">
        <v>0</v>
      </c>
      <c r="O107" s="186">
        <f>'Large Use OLS Model (LC)'!$B$8*G107</f>
        <v>0</v>
      </c>
      <c r="P107" s="186">
        <f>'Large Use OLS Model (LC)'!$B$9*H107</f>
        <v>0</v>
      </c>
      <c r="Q107" s="186">
        <f>'Large Use OLS Model (LC)'!$B$10*I107</f>
        <v>18122355.210333746</v>
      </c>
      <c r="R107" s="186">
        <f t="shared" si="5"/>
        <v>22084421.102733899</v>
      </c>
      <c r="S107" s="24">
        <f t="shared" ca="1" si="6"/>
        <v>1.4567629870302553E-2</v>
      </c>
    </row>
    <row r="108" spans="1:19">
      <c r="A108" s="128">
        <f>'Monthly Data'!A108</f>
        <v>43040</v>
      </c>
      <c r="B108" s="186">
        <f t="shared" si="4"/>
        <v>2017</v>
      </c>
      <c r="C108" s="124">
        <f ca="1">'Monthly Data'!AQ108</f>
        <v>20145414.625656914</v>
      </c>
      <c r="D108" s="186">
        <f>'Monthly Data'!BI108</f>
        <v>0</v>
      </c>
      <c r="E108" s="124">
        <f>'Monthly Data'!BJ108</f>
        <v>7192.2</v>
      </c>
      <c r="F108" s="186">
        <f>'Monthly Data'!BM108</f>
        <v>107</v>
      </c>
      <c r="G108" s="186">
        <f>'Monthly Data'!BT108</f>
        <v>0</v>
      </c>
      <c r="H108" s="186">
        <f>'Monthly Data'!BY108</f>
        <v>0</v>
      </c>
      <c r="I108" s="186">
        <f>'Monthly Data'!CC108</f>
        <v>30</v>
      </c>
      <c r="K108" s="186">
        <f>'Large Use OLS Model (LC)'!$B$5</f>
        <v>-11585185.4436178</v>
      </c>
      <c r="L108" s="186">
        <f>'Large Use OLS Model (LC)'!$B$6*D108</f>
        <v>0</v>
      </c>
      <c r="M108" s="186">
        <f>'Large Use OLS Model (LC)'!$B$7*E108</f>
        <v>14956293.254968023</v>
      </c>
      <c r="N108" s="186">
        <v>0</v>
      </c>
      <c r="O108" s="186">
        <f>'Large Use OLS Model (LC)'!$B$8*G108</f>
        <v>0</v>
      </c>
      <c r="P108" s="186">
        <f>'Large Use OLS Model (LC)'!$B$9*H108</f>
        <v>0</v>
      </c>
      <c r="Q108" s="186">
        <f>'Large Use OLS Model (LC)'!$B$10*I108</f>
        <v>17537763.106774591</v>
      </c>
      <c r="R108" s="186">
        <f t="shared" si="5"/>
        <v>20908870.918124814</v>
      </c>
      <c r="S108" s="24">
        <f t="shared" ca="1" si="6"/>
        <v>3.7897273729753496E-2</v>
      </c>
    </row>
    <row r="109" spans="1:19">
      <c r="A109" s="128">
        <f>'Monthly Data'!A109</f>
        <v>43070</v>
      </c>
      <c r="B109" s="186">
        <f t="shared" si="4"/>
        <v>2017</v>
      </c>
      <c r="C109" s="124">
        <f ca="1">'Monthly Data'!AQ109</f>
        <v>19707437.608922221</v>
      </c>
      <c r="D109" s="186">
        <f>'Monthly Data'!BI109</f>
        <v>0</v>
      </c>
      <c r="E109" s="124">
        <f>'Monthly Data'!BJ109</f>
        <v>7207.4</v>
      </c>
      <c r="F109" s="186">
        <f>'Monthly Data'!BM109</f>
        <v>108</v>
      </c>
      <c r="G109" s="186">
        <f>'Monthly Data'!BT109</f>
        <v>0</v>
      </c>
      <c r="H109" s="186">
        <f>'Monthly Data'!BY109</f>
        <v>1</v>
      </c>
      <c r="I109" s="186">
        <f>'Monthly Data'!CC109</f>
        <v>31</v>
      </c>
      <c r="K109" s="186">
        <f>'Large Use OLS Model (LC)'!$B$5</f>
        <v>-11585185.4436178</v>
      </c>
      <c r="L109" s="186">
        <f>'Large Use OLS Model (LC)'!$B$6*D109</f>
        <v>0</v>
      </c>
      <c r="M109" s="186">
        <f>'Large Use OLS Model (LC)'!$B$7*E109</f>
        <v>14987901.894532483</v>
      </c>
      <c r="N109" s="186">
        <v>0</v>
      </c>
      <c r="O109" s="186">
        <f>'Large Use OLS Model (LC)'!$B$8*G109</f>
        <v>0</v>
      </c>
      <c r="P109" s="186">
        <f>'Large Use OLS Model (LC)'!$B$9*H109</f>
        <v>-1776727.9579078101</v>
      </c>
      <c r="Q109" s="186">
        <f>'Large Use OLS Model (LC)'!$B$10*I109</f>
        <v>18122355.210333746</v>
      </c>
      <c r="R109" s="186">
        <f t="shared" si="5"/>
        <v>19748343.70334062</v>
      </c>
      <c r="S109" s="24">
        <f t="shared" ca="1" si="6"/>
        <v>2.0756678382114714E-3</v>
      </c>
    </row>
    <row r="110" spans="1:19">
      <c r="A110" s="128">
        <f>'Monthly Data'!A110</f>
        <v>43101</v>
      </c>
      <c r="B110" s="186">
        <f t="shared" si="4"/>
        <v>2018</v>
      </c>
      <c r="C110" s="124">
        <f ca="1">'Monthly Data'!AQ110</f>
        <v>21406178.403620746</v>
      </c>
      <c r="D110" s="186">
        <f>'Monthly Data'!BI110</f>
        <v>0</v>
      </c>
      <c r="E110" s="124">
        <f>'Monthly Data'!BJ110</f>
        <v>7166.6339368397712</v>
      </c>
      <c r="F110" s="186">
        <f>'Monthly Data'!BM110</f>
        <v>109</v>
      </c>
      <c r="G110" s="186">
        <f>'Monthly Data'!BT110</f>
        <v>0</v>
      </c>
      <c r="H110" s="186">
        <f>'Monthly Data'!BY110</f>
        <v>0</v>
      </c>
      <c r="I110" s="186">
        <f>'Monthly Data'!CC110</f>
        <v>31</v>
      </c>
      <c r="K110" s="186">
        <f>'Large Use OLS Model (LC)'!$B$5</f>
        <v>-11585185.4436178</v>
      </c>
      <c r="L110" s="186">
        <f>'Large Use OLS Model (LC)'!$B$6*D110</f>
        <v>0</v>
      </c>
      <c r="M110" s="186">
        <f>'Large Use OLS Model (LC)'!$B$7*E110</f>
        <v>14903128.223684212</v>
      </c>
      <c r="N110" s="186">
        <v>0</v>
      </c>
      <c r="O110" s="186">
        <f>'Large Use OLS Model (LC)'!$B$8*G110</f>
        <v>0</v>
      </c>
      <c r="P110" s="186">
        <f>'Large Use OLS Model (LC)'!$B$9*H110</f>
        <v>0</v>
      </c>
      <c r="Q110" s="186">
        <f>'Large Use OLS Model (LC)'!$B$10*I110</f>
        <v>18122355.210333746</v>
      </c>
      <c r="R110" s="186">
        <f t="shared" si="5"/>
        <v>21440297.990400158</v>
      </c>
      <c r="S110" s="24">
        <f t="shared" ca="1" si="6"/>
        <v>1.5939130346424063E-3</v>
      </c>
    </row>
    <row r="111" spans="1:19">
      <c r="A111" s="128">
        <f>'Monthly Data'!A111</f>
        <v>43132</v>
      </c>
      <c r="B111" s="186">
        <f t="shared" si="4"/>
        <v>2018</v>
      </c>
      <c r="C111" s="124">
        <f ca="1">'Monthly Data'!AQ111</f>
        <v>19541869.543381821</v>
      </c>
      <c r="D111" s="186">
        <f>'Monthly Data'!BI111</f>
        <v>0</v>
      </c>
      <c r="E111" s="124">
        <f>'Monthly Data'!BJ111</f>
        <v>7119.8728643912718</v>
      </c>
      <c r="F111" s="186">
        <f>'Monthly Data'!BM111</f>
        <v>110</v>
      </c>
      <c r="G111" s="186">
        <f>'Monthly Data'!BT111</f>
        <v>0</v>
      </c>
      <c r="H111" s="186">
        <f>'Monthly Data'!BY111</f>
        <v>0</v>
      </c>
      <c r="I111" s="186">
        <f>'Monthly Data'!CC111</f>
        <v>28</v>
      </c>
      <c r="K111" s="186">
        <f>'Large Use OLS Model (LC)'!$B$5</f>
        <v>-11585185.4436178</v>
      </c>
      <c r="L111" s="186">
        <f>'Large Use OLS Model (LC)'!$B$6*D111</f>
        <v>0</v>
      </c>
      <c r="M111" s="186">
        <f>'Large Use OLS Model (LC)'!$B$7*E111</f>
        <v>14805887.836534722</v>
      </c>
      <c r="N111" s="186">
        <v>0</v>
      </c>
      <c r="O111" s="186">
        <f>'Large Use OLS Model (LC)'!$B$8*G111</f>
        <v>0</v>
      </c>
      <c r="P111" s="186">
        <f>'Large Use OLS Model (LC)'!$B$9*H111</f>
        <v>0</v>
      </c>
      <c r="Q111" s="186">
        <f>'Large Use OLS Model (LC)'!$B$10*I111</f>
        <v>16368578.899656285</v>
      </c>
      <c r="R111" s="186">
        <f t="shared" si="5"/>
        <v>19589281.292573206</v>
      </c>
      <c r="S111" s="24">
        <f t="shared" ca="1" si="6"/>
        <v>2.4261624040695503E-3</v>
      </c>
    </row>
    <row r="112" spans="1:19">
      <c r="A112" s="128">
        <f>'Monthly Data'!A112</f>
        <v>43160</v>
      </c>
      <c r="B112" s="186">
        <f t="shared" si="4"/>
        <v>2018</v>
      </c>
      <c r="C112" s="124">
        <f ca="1">'Monthly Data'!AQ112</f>
        <v>22152171.57537286</v>
      </c>
      <c r="D112" s="186">
        <f>'Monthly Data'!BI112</f>
        <v>0</v>
      </c>
      <c r="E112" s="124">
        <f>'Monthly Data'!BJ112</f>
        <v>7076.4090470513211</v>
      </c>
      <c r="F112" s="186">
        <f>'Monthly Data'!BM112</f>
        <v>111</v>
      </c>
      <c r="G112" s="186">
        <f>'Monthly Data'!BT112</f>
        <v>0</v>
      </c>
      <c r="H112" s="186">
        <f>'Monthly Data'!BY112</f>
        <v>0</v>
      </c>
      <c r="I112" s="186">
        <f>'Monthly Data'!CC112</f>
        <v>31</v>
      </c>
      <c r="K112" s="186">
        <f>'Large Use OLS Model (LC)'!$B$5</f>
        <v>-11585185.4436178</v>
      </c>
      <c r="L112" s="186">
        <f>'Large Use OLS Model (LC)'!$B$6*D112</f>
        <v>0</v>
      </c>
      <c r="M112" s="186">
        <f>'Large Use OLS Model (LC)'!$B$7*E112</f>
        <v>14715504.143350903</v>
      </c>
      <c r="N112" s="186">
        <v>0</v>
      </c>
      <c r="O112" s="186">
        <f>'Large Use OLS Model (LC)'!$B$8*G112</f>
        <v>0</v>
      </c>
      <c r="P112" s="186">
        <f>'Large Use OLS Model (LC)'!$B$9*H112</f>
        <v>0</v>
      </c>
      <c r="Q112" s="186">
        <f>'Large Use OLS Model (LC)'!$B$10*I112</f>
        <v>18122355.210333746</v>
      </c>
      <c r="R112" s="186">
        <f t="shared" si="5"/>
        <v>21252673.91006685</v>
      </c>
      <c r="S112" s="24">
        <f t="shared" ca="1" si="6"/>
        <v>4.060539447545649E-2</v>
      </c>
    </row>
    <row r="113" spans="1:19">
      <c r="A113" s="128">
        <f>'Monthly Data'!A113</f>
        <v>43191</v>
      </c>
      <c r="B113" s="186">
        <f t="shared" si="4"/>
        <v>2018</v>
      </c>
      <c r="C113" s="124">
        <f ca="1">'Monthly Data'!AQ113</f>
        <v>20451823.134815373</v>
      </c>
      <c r="D113" s="186">
        <f>'Monthly Data'!BI113</f>
        <v>0</v>
      </c>
      <c r="E113" s="124">
        <f>'Monthly Data'!BJ113</f>
        <v>7102.4873374552917</v>
      </c>
      <c r="F113" s="186">
        <f>'Monthly Data'!BM113</f>
        <v>112</v>
      </c>
      <c r="G113" s="186">
        <f>'Monthly Data'!BT113</f>
        <v>0</v>
      </c>
      <c r="H113" s="186">
        <f>'Monthly Data'!BY113</f>
        <v>0</v>
      </c>
      <c r="I113" s="186">
        <f>'Monthly Data'!CC113</f>
        <v>30</v>
      </c>
      <c r="K113" s="186">
        <f>'Large Use OLS Model (LC)'!$B$5</f>
        <v>-11585185.4436178</v>
      </c>
      <c r="L113" s="186">
        <f>'Large Use OLS Model (LC)'!$B$6*D113</f>
        <v>0</v>
      </c>
      <c r="M113" s="186">
        <f>'Large Use OLS Model (LC)'!$B$7*E113</f>
        <v>14769734.359261194</v>
      </c>
      <c r="N113" s="186">
        <v>0</v>
      </c>
      <c r="O113" s="186">
        <f>'Large Use OLS Model (LC)'!$B$8*G113</f>
        <v>0</v>
      </c>
      <c r="P113" s="186">
        <f>'Large Use OLS Model (LC)'!$B$9*H113</f>
        <v>0</v>
      </c>
      <c r="Q113" s="186">
        <f>'Large Use OLS Model (LC)'!$B$10*I113</f>
        <v>17537763.106774591</v>
      </c>
      <c r="R113" s="186">
        <f t="shared" si="5"/>
        <v>20722312.022417985</v>
      </c>
      <c r="S113" s="24">
        <f t="shared" ca="1" si="6"/>
        <v>1.3225661390654023E-2</v>
      </c>
    </row>
    <row r="114" spans="1:19">
      <c r="A114" s="128">
        <f>'Monthly Data'!A114</f>
        <v>43221</v>
      </c>
      <c r="B114" s="186">
        <f t="shared" si="4"/>
        <v>2018</v>
      </c>
      <c r="C114" s="124">
        <f ca="1">'Monthly Data'!AQ114</f>
        <v>24335320.01605479</v>
      </c>
      <c r="D114" s="186">
        <f>'Monthly Data'!BI114</f>
        <v>68.7</v>
      </c>
      <c r="E114" s="124">
        <f>'Monthly Data'!BJ114</f>
        <v>7168.7321900906645</v>
      </c>
      <c r="F114" s="186">
        <f>'Monthly Data'!BM114</f>
        <v>113</v>
      </c>
      <c r="G114" s="186">
        <f>'Monthly Data'!BT114</f>
        <v>0</v>
      </c>
      <c r="H114" s="186">
        <f>'Monthly Data'!BY114</f>
        <v>0</v>
      </c>
      <c r="I114" s="186">
        <f>'Monthly Data'!CC114</f>
        <v>31</v>
      </c>
      <c r="K114" s="186">
        <f>'Large Use OLS Model (LC)'!$B$5</f>
        <v>-11585185.4436178</v>
      </c>
      <c r="L114" s="186">
        <f>'Large Use OLS Model (LC)'!$B$6*D114</f>
        <v>1767026.2332536664</v>
      </c>
      <c r="M114" s="186">
        <f>'Large Use OLS Model (LC)'!$B$7*E114</f>
        <v>14907491.574389637</v>
      </c>
      <c r="N114" s="186">
        <v>0</v>
      </c>
      <c r="O114" s="186">
        <f>'Large Use OLS Model (LC)'!$B$8*G114</f>
        <v>0</v>
      </c>
      <c r="P114" s="186">
        <f>'Large Use OLS Model (LC)'!$B$9*H114</f>
        <v>0</v>
      </c>
      <c r="Q114" s="186">
        <f>'Large Use OLS Model (LC)'!$B$10*I114</f>
        <v>18122355.210333746</v>
      </c>
      <c r="R114" s="186">
        <f t="shared" si="5"/>
        <v>23211687.574359249</v>
      </c>
      <c r="S114" s="24">
        <f t="shared" ca="1" si="6"/>
        <v>4.6172905922512823E-2</v>
      </c>
    </row>
    <row r="115" spans="1:19">
      <c r="A115" s="128">
        <f>'Monthly Data'!A115</f>
        <v>43252</v>
      </c>
      <c r="B115" s="186">
        <f t="shared" si="4"/>
        <v>2018</v>
      </c>
      <c r="C115" s="124">
        <f ca="1">'Monthly Data'!AQ115</f>
        <v>25658165.154656086</v>
      </c>
      <c r="D115" s="186">
        <f>'Monthly Data'!BI115</f>
        <v>122.39999999999998</v>
      </c>
      <c r="E115" s="124">
        <f>'Monthly Data'!BJ115</f>
        <v>7263.1535863809013</v>
      </c>
      <c r="F115" s="186">
        <f>'Monthly Data'!BM115</f>
        <v>114</v>
      </c>
      <c r="G115" s="186">
        <f>'Monthly Data'!BT115</f>
        <v>0</v>
      </c>
      <c r="H115" s="186">
        <f>'Monthly Data'!BY115</f>
        <v>0</v>
      </c>
      <c r="I115" s="186">
        <f>'Monthly Data'!CC115</f>
        <v>30</v>
      </c>
      <c r="K115" s="186">
        <f>'Large Use OLS Model (LC)'!$B$5</f>
        <v>-11585185.4436178</v>
      </c>
      <c r="L115" s="186">
        <f>'Large Use OLS Model (LC)'!$B$6*D115</f>
        <v>3148238.8784606801</v>
      </c>
      <c r="M115" s="186">
        <f>'Large Use OLS Model (LC)'!$B$7*E115</f>
        <v>15103842.356133794</v>
      </c>
      <c r="N115" s="186">
        <v>0</v>
      </c>
      <c r="O115" s="186">
        <f>'Large Use OLS Model (LC)'!$B$8*G115</f>
        <v>0</v>
      </c>
      <c r="P115" s="186">
        <f>'Large Use OLS Model (LC)'!$B$9*H115</f>
        <v>0</v>
      </c>
      <c r="Q115" s="186">
        <f>'Large Use OLS Model (LC)'!$B$10*I115</f>
        <v>17537763.106774591</v>
      </c>
      <c r="R115" s="186">
        <f t="shared" si="5"/>
        <v>24204658.897751264</v>
      </c>
      <c r="S115" s="24">
        <f t="shared" ca="1" si="6"/>
        <v>5.6648877585116789E-2</v>
      </c>
    </row>
    <row r="116" spans="1:19">
      <c r="A116" s="128">
        <f>'Monthly Data'!A116</f>
        <v>43282</v>
      </c>
      <c r="B116" s="186">
        <f t="shared" si="4"/>
        <v>2018</v>
      </c>
      <c r="C116" s="124">
        <f ca="1">'Monthly Data'!AQ116</f>
        <v>25560862.437886547</v>
      </c>
      <c r="D116" s="186">
        <f>'Monthly Data'!BI116</f>
        <v>204.00000000000006</v>
      </c>
      <c r="E116" s="124">
        <f>'Monthly Data'!BJ116</f>
        <v>7346.3842986663703</v>
      </c>
      <c r="F116" s="186">
        <f>'Monthly Data'!BM116</f>
        <v>115</v>
      </c>
      <c r="G116" s="186">
        <f>'Monthly Data'!BT116</f>
        <v>1</v>
      </c>
      <c r="H116" s="186">
        <f>'Monthly Data'!BY116</f>
        <v>0</v>
      </c>
      <c r="I116" s="186">
        <f>'Monthly Data'!CC116</f>
        <v>31</v>
      </c>
      <c r="K116" s="186">
        <f>'Large Use OLS Model (LC)'!$B$5</f>
        <v>-11585185.4436178</v>
      </c>
      <c r="L116" s="186">
        <f>'Large Use OLS Model (LC)'!$B$6*D116</f>
        <v>5247064.7974344688</v>
      </c>
      <c r="M116" s="186">
        <f>'Large Use OLS Model (LC)'!$B$7*E116</f>
        <v>15276921.934115684</v>
      </c>
      <c r="N116" s="186">
        <v>0</v>
      </c>
      <c r="O116" s="186">
        <f>'Large Use OLS Model (LC)'!$B$8*G116</f>
        <v>-947874.12245155603</v>
      </c>
      <c r="P116" s="186">
        <f>'Large Use OLS Model (LC)'!$B$9*H116</f>
        <v>0</v>
      </c>
      <c r="Q116" s="186">
        <f>'Large Use OLS Model (LC)'!$B$10*I116</f>
        <v>18122355.210333746</v>
      </c>
      <c r="R116" s="186">
        <f t="shared" si="5"/>
        <v>26113282.375814542</v>
      </c>
      <c r="S116" s="24">
        <f t="shared" ca="1" si="6"/>
        <v>2.1611944404082116E-2</v>
      </c>
    </row>
    <row r="117" spans="1:19">
      <c r="A117" s="128">
        <f>'Monthly Data'!A117</f>
        <v>43313</v>
      </c>
      <c r="B117" s="186">
        <f t="shared" si="4"/>
        <v>2018</v>
      </c>
      <c r="C117" s="124">
        <f ca="1">'Monthly Data'!AQ117</f>
        <v>24886166.479797948</v>
      </c>
      <c r="D117" s="186">
        <f>'Monthly Data'!BI117</f>
        <v>204.40000000000003</v>
      </c>
      <c r="E117" s="124">
        <f>'Monthly Data'!BJ117</f>
        <v>7349.8813874178613</v>
      </c>
      <c r="F117" s="186">
        <f>'Monthly Data'!BM117</f>
        <v>116</v>
      </c>
      <c r="G117" s="186">
        <f>'Monthly Data'!BT117</f>
        <v>0</v>
      </c>
      <c r="H117" s="186">
        <f>'Monthly Data'!BY117</f>
        <v>0</v>
      </c>
      <c r="I117" s="186">
        <f>'Monthly Data'!CC117</f>
        <v>31</v>
      </c>
      <c r="K117" s="186">
        <f>'Large Use OLS Model (LC)'!$B$5</f>
        <v>-11585185.4436178</v>
      </c>
      <c r="L117" s="186">
        <f>'Large Use OLS Model (LC)'!$B$6*D117</f>
        <v>5257353.1597823789</v>
      </c>
      <c r="M117" s="186">
        <f>'Large Use OLS Model (LC)'!$B$7*E117</f>
        <v>15284194.185291395</v>
      </c>
      <c r="N117" s="186">
        <v>0</v>
      </c>
      <c r="O117" s="186">
        <f>'Large Use OLS Model (LC)'!$B$8*G117</f>
        <v>0</v>
      </c>
      <c r="P117" s="186">
        <f>'Large Use OLS Model (LC)'!$B$9*H117</f>
        <v>0</v>
      </c>
      <c r="Q117" s="186">
        <f>'Large Use OLS Model (LC)'!$B$10*I117</f>
        <v>18122355.210333746</v>
      </c>
      <c r="R117" s="186">
        <f t="shared" si="5"/>
        <v>27078717.111789718</v>
      </c>
      <c r="S117" s="24">
        <f t="shared" ca="1" si="6"/>
        <v>8.8103189126040579E-2</v>
      </c>
    </row>
    <row r="118" spans="1:19">
      <c r="A118" s="128">
        <f>'Monthly Data'!A118</f>
        <v>43344</v>
      </c>
      <c r="B118" s="186">
        <f t="shared" si="4"/>
        <v>2018</v>
      </c>
      <c r="C118" s="124">
        <f ca="1">'Monthly Data'!AQ118</f>
        <v>23757578.362426121</v>
      </c>
      <c r="D118" s="186">
        <f>'Monthly Data'!BI118</f>
        <v>109.19999999999999</v>
      </c>
      <c r="E118" s="124">
        <f>'Monthly Data'!BJ118</f>
        <v>7309.115324257632</v>
      </c>
      <c r="F118" s="186">
        <f>'Monthly Data'!BM118</f>
        <v>117</v>
      </c>
      <c r="G118" s="186">
        <f>'Monthly Data'!BT118</f>
        <v>0</v>
      </c>
      <c r="H118" s="186">
        <f>'Monthly Data'!BY118</f>
        <v>0</v>
      </c>
      <c r="I118" s="186">
        <f>'Monthly Data'!CC118</f>
        <v>30</v>
      </c>
      <c r="K118" s="186">
        <f>'Large Use OLS Model (LC)'!$B$5</f>
        <v>-11585185.4436178</v>
      </c>
      <c r="L118" s="186">
        <f>'Large Use OLS Model (LC)'!$B$6*D118</f>
        <v>2808722.9209796265</v>
      </c>
      <c r="M118" s="186">
        <f>'Large Use OLS Model (LC)'!$B$7*E118</f>
        <v>15199420.514443124</v>
      </c>
      <c r="N118" s="186">
        <v>0</v>
      </c>
      <c r="O118" s="186">
        <f>'Large Use OLS Model (LC)'!$B$8*G118</f>
        <v>0</v>
      </c>
      <c r="P118" s="186">
        <f>'Large Use OLS Model (LC)'!$B$9*H118</f>
        <v>0</v>
      </c>
      <c r="Q118" s="186">
        <f>'Large Use OLS Model (LC)'!$B$10*I118</f>
        <v>17537763.106774591</v>
      </c>
      <c r="R118" s="186">
        <f t="shared" si="5"/>
        <v>23960721.098579541</v>
      </c>
      <c r="S118" s="24">
        <f t="shared" ca="1" si="6"/>
        <v>8.5506499464903865E-3</v>
      </c>
    </row>
    <row r="119" spans="1:19">
      <c r="A119" s="128">
        <f>'Monthly Data'!A119</f>
        <v>43374</v>
      </c>
      <c r="B119" s="186">
        <f t="shared" si="4"/>
        <v>2018</v>
      </c>
      <c r="C119" s="124">
        <f ca="1">'Monthly Data'!AQ119</f>
        <v>20871681.533939313</v>
      </c>
      <c r="D119" s="186">
        <f>'Monthly Data'!BI119</f>
        <v>24.1</v>
      </c>
      <c r="E119" s="124">
        <f>'Monthly Data'!BJ119</f>
        <v>7268.3492610974017</v>
      </c>
      <c r="F119" s="186">
        <f>'Monthly Data'!BM119</f>
        <v>118</v>
      </c>
      <c r="G119" s="186">
        <f>'Monthly Data'!BT119</f>
        <v>0</v>
      </c>
      <c r="H119" s="186">
        <f>'Monthly Data'!BY119</f>
        <v>0</v>
      </c>
      <c r="I119" s="186">
        <f>'Monthly Data'!CC119</f>
        <v>31</v>
      </c>
      <c r="K119" s="186">
        <f>'Large Use OLS Model (LC)'!$B$5</f>
        <v>-11585185.4436178</v>
      </c>
      <c r="L119" s="186">
        <f>'Large Use OLS Model (LC)'!$B$6*D119</f>
        <v>619873.83146162098</v>
      </c>
      <c r="M119" s="186">
        <f>'Large Use OLS Model (LC)'!$B$7*E119</f>
        <v>15114646.843594849</v>
      </c>
      <c r="N119" s="186">
        <v>0</v>
      </c>
      <c r="O119" s="186">
        <f>'Large Use OLS Model (LC)'!$B$8*G119</f>
        <v>0</v>
      </c>
      <c r="P119" s="186">
        <f>'Large Use OLS Model (LC)'!$B$9*H119</f>
        <v>0</v>
      </c>
      <c r="Q119" s="186">
        <f>'Large Use OLS Model (LC)'!$B$10*I119</f>
        <v>18122355.210333746</v>
      </c>
      <c r="R119" s="186">
        <f t="shared" si="5"/>
        <v>22271690.441772416</v>
      </c>
      <c r="S119" s="24">
        <f t="shared" ca="1" si="6"/>
        <v>6.7076958105007356E-2</v>
      </c>
    </row>
    <row r="120" spans="1:19">
      <c r="A120" s="128">
        <f>'Monthly Data'!A120</f>
        <v>43405</v>
      </c>
      <c r="B120" s="186">
        <f t="shared" si="4"/>
        <v>2018</v>
      </c>
      <c r="C120" s="124">
        <f ca="1">'Monthly Data'!AQ120</f>
        <v>18668697.394417163</v>
      </c>
      <c r="D120" s="186">
        <f>'Monthly Data'!BI120</f>
        <v>0</v>
      </c>
      <c r="E120" s="124">
        <f>'Monthly Data'!BJ120</f>
        <v>7272.9454348850759</v>
      </c>
      <c r="F120" s="186">
        <f>'Monthly Data'!BM120</f>
        <v>119</v>
      </c>
      <c r="G120" s="186">
        <f>'Monthly Data'!BT120</f>
        <v>0</v>
      </c>
      <c r="H120" s="186">
        <f>'Monthly Data'!BY120</f>
        <v>0</v>
      </c>
      <c r="I120" s="186">
        <f>'Monthly Data'!CC120</f>
        <v>30</v>
      </c>
      <c r="K120" s="186">
        <f>'Large Use OLS Model (LC)'!$B$5</f>
        <v>-11585185.4436178</v>
      </c>
      <c r="L120" s="186">
        <f>'Large Use OLS Model (LC)'!$B$6*D120</f>
        <v>0</v>
      </c>
      <c r="M120" s="186">
        <f>'Large Use OLS Model (LC)'!$B$7*E120</f>
        <v>15124204.659425786</v>
      </c>
      <c r="N120" s="186">
        <v>0</v>
      </c>
      <c r="O120" s="186">
        <f>'Large Use OLS Model (LC)'!$B$8*G120</f>
        <v>0</v>
      </c>
      <c r="P120" s="186">
        <f>'Large Use OLS Model (LC)'!$B$9*H120</f>
        <v>0</v>
      </c>
      <c r="Q120" s="186">
        <f>'Large Use OLS Model (LC)'!$B$10*I120</f>
        <v>17537763.106774591</v>
      </c>
      <c r="R120" s="186">
        <f t="shared" si="5"/>
        <v>21076782.322582576</v>
      </c>
      <c r="S120" s="24">
        <f t="shared" ca="1" si="6"/>
        <v>0.12899051697552003</v>
      </c>
    </row>
    <row r="121" spans="1:19">
      <c r="A121" s="128">
        <f>'Monthly Data'!A121</f>
        <v>43435</v>
      </c>
      <c r="B121" s="186">
        <f t="shared" si="4"/>
        <v>2018</v>
      </c>
      <c r="C121" s="124">
        <f ca="1">'Monthly Data'!AQ121</f>
        <v>19588246.58569143</v>
      </c>
      <c r="D121" s="186">
        <f>'Monthly Data'!BI121</f>
        <v>0</v>
      </c>
      <c r="E121" s="124">
        <f>'Monthly Data'!BJ121</f>
        <v>7296.6257215737387</v>
      </c>
      <c r="F121" s="186">
        <f>'Monthly Data'!BM121</f>
        <v>120</v>
      </c>
      <c r="G121" s="186">
        <f>'Monthly Data'!BT121</f>
        <v>0</v>
      </c>
      <c r="H121" s="186">
        <f>'Monthly Data'!BY121</f>
        <v>1</v>
      </c>
      <c r="I121" s="186">
        <f>'Monthly Data'!CC121</f>
        <v>31</v>
      </c>
      <c r="K121" s="186">
        <f>'Large Use OLS Model (LC)'!$B$5</f>
        <v>-11585185.4436178</v>
      </c>
      <c r="L121" s="186">
        <f>'Large Use OLS Model (LC)'!$B$6*D121</f>
        <v>0</v>
      </c>
      <c r="M121" s="186">
        <f>'Large Use OLS Model (LC)'!$B$7*E121</f>
        <v>15173448.18881559</v>
      </c>
      <c r="N121" s="186">
        <v>0</v>
      </c>
      <c r="O121" s="186">
        <f>'Large Use OLS Model (LC)'!$B$8*G121</f>
        <v>0</v>
      </c>
      <c r="P121" s="186">
        <f>'Large Use OLS Model (LC)'!$B$9*H121</f>
        <v>-1776727.9579078101</v>
      </c>
      <c r="Q121" s="186">
        <f>'Large Use OLS Model (LC)'!$B$10*I121</f>
        <v>18122355.210333746</v>
      </c>
      <c r="R121" s="186">
        <f t="shared" si="5"/>
        <v>19933889.997623727</v>
      </c>
      <c r="S121" s="24">
        <f t="shared" ca="1" si="6"/>
        <v>1.7645449296353977E-2</v>
      </c>
    </row>
    <row r="122" spans="1:19">
      <c r="S122" s="22">
        <f ca="1">AVERAGE(S2:S121)</f>
        <v>3.5729903166405542E-2</v>
      </c>
    </row>
    <row r="125" spans="1:19">
      <c r="R125" s="161"/>
      <c r="S125" s="22"/>
    </row>
    <row r="126" spans="1:19">
      <c r="R126" s="161"/>
      <c r="S126" s="22"/>
    </row>
    <row r="127" spans="1:19">
      <c r="R127" s="161"/>
      <c r="S127" s="22"/>
    </row>
    <row r="128" spans="1:19">
      <c r="R128" s="161"/>
      <c r="S128" s="22"/>
    </row>
    <row r="129" spans="18:19">
      <c r="R129" s="161"/>
      <c r="S129" s="22"/>
    </row>
    <row r="130" spans="18:19">
      <c r="R130" s="161"/>
      <c r="S130" s="22"/>
    </row>
    <row r="131" spans="18:19">
      <c r="R131" s="161"/>
      <c r="S131" s="22"/>
    </row>
    <row r="132" spans="18:19">
      <c r="R132" s="161"/>
      <c r="S132" s="22"/>
    </row>
    <row r="133" spans="18:19">
      <c r="R133" s="161"/>
      <c r="S133" s="22"/>
    </row>
    <row r="134" spans="18:19">
      <c r="R134" s="161"/>
      <c r="S134" s="22"/>
    </row>
    <row r="135" spans="18:19">
      <c r="R135" s="161"/>
      <c r="S135" s="22"/>
    </row>
    <row r="136" spans="18:19">
      <c r="R136" s="161"/>
      <c r="S136" s="2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47"/>
  <sheetViews>
    <sheetView topLeftCell="A115" workbookViewId="0">
      <selection activeCell="D156" sqref="D156"/>
    </sheetView>
  </sheetViews>
  <sheetFormatPr defaultColWidth="8.83203125" defaultRowHeight="12.75"/>
  <cols>
    <col min="1" max="1" width="16.83203125" style="1" customWidth="1"/>
    <col min="2" max="2" width="14.1640625" style="1" customWidth="1"/>
    <col min="3" max="11" width="12.5" style="1" customWidth="1"/>
    <col min="12" max="16384" width="8.83203125" style="1"/>
  </cols>
  <sheetData>
    <row r="1" spans="1:12">
      <c r="B1" s="1" t="s">
        <v>1</v>
      </c>
      <c r="C1" s="2" t="s">
        <v>5</v>
      </c>
      <c r="D1" s="2" t="s">
        <v>10</v>
      </c>
      <c r="E1" s="2" t="s">
        <v>15</v>
      </c>
      <c r="F1" s="2" t="s">
        <v>20</v>
      </c>
      <c r="G1" s="2" t="s">
        <v>25</v>
      </c>
      <c r="H1" s="2" t="s">
        <v>30</v>
      </c>
      <c r="I1" s="2" t="s">
        <v>35</v>
      </c>
      <c r="J1" s="2" t="s">
        <v>40</v>
      </c>
      <c r="K1" s="2" t="s">
        <v>42</v>
      </c>
    </row>
    <row r="2" spans="1:12">
      <c r="A2" s="3">
        <v>39052</v>
      </c>
      <c r="B2" s="87">
        <v>76579</v>
      </c>
      <c r="C2" s="87">
        <v>7086</v>
      </c>
      <c r="D2" s="87">
        <v>1214</v>
      </c>
      <c r="E2" s="87">
        <v>3</v>
      </c>
      <c r="F2" s="87">
        <v>7</v>
      </c>
      <c r="G2" s="87">
        <v>3</v>
      </c>
      <c r="H2" s="87">
        <v>1</v>
      </c>
      <c r="I2" s="89">
        <f>I5</f>
        <v>23392</v>
      </c>
      <c r="J2" s="89">
        <f t="shared" ref="J2:K2" si="0">J5</f>
        <v>714</v>
      </c>
      <c r="K2" s="89">
        <f t="shared" si="0"/>
        <v>754</v>
      </c>
      <c r="L2" s="90" t="s">
        <v>198</v>
      </c>
    </row>
    <row r="3" spans="1:12">
      <c r="A3" s="3">
        <v>39083</v>
      </c>
      <c r="B3" s="87"/>
      <c r="I3" s="90"/>
      <c r="J3" s="90"/>
      <c r="K3" s="90"/>
    </row>
    <row r="4" spans="1:12">
      <c r="A4" s="3">
        <v>39114</v>
      </c>
      <c r="B4" s="87"/>
      <c r="I4" s="90"/>
      <c r="J4" s="90"/>
      <c r="K4" s="90"/>
    </row>
    <row r="5" spans="1:12">
      <c r="A5" s="3">
        <v>39142</v>
      </c>
      <c r="B5" s="87">
        <v>76573</v>
      </c>
      <c r="C5" s="87">
        <v>7105</v>
      </c>
      <c r="D5" s="87">
        <v>1198</v>
      </c>
      <c r="E5" s="87">
        <v>3</v>
      </c>
      <c r="F5" s="87">
        <v>6</v>
      </c>
      <c r="G5" s="87">
        <v>3</v>
      </c>
      <c r="H5" s="87">
        <v>1</v>
      </c>
      <c r="I5" s="89">
        <f>I8</f>
        <v>23392</v>
      </c>
      <c r="J5" s="89">
        <f t="shared" ref="J5:K5" si="1">J8</f>
        <v>714</v>
      </c>
      <c r="K5" s="89">
        <f t="shared" si="1"/>
        <v>754</v>
      </c>
    </row>
    <row r="6" spans="1:12">
      <c r="A6" s="3">
        <v>39173</v>
      </c>
      <c r="I6" s="90"/>
      <c r="J6" s="90"/>
      <c r="K6" s="90"/>
    </row>
    <row r="7" spans="1:12">
      <c r="A7" s="3">
        <v>39203</v>
      </c>
      <c r="I7" s="90"/>
      <c r="J7" s="90"/>
      <c r="K7" s="90"/>
    </row>
    <row r="8" spans="1:12">
      <c r="A8" s="3">
        <v>39234</v>
      </c>
      <c r="B8" s="87">
        <v>76385</v>
      </c>
      <c r="C8" s="87">
        <v>7085</v>
      </c>
      <c r="D8" s="87">
        <v>1176</v>
      </c>
      <c r="E8" s="87">
        <v>3</v>
      </c>
      <c r="F8" s="87">
        <v>6</v>
      </c>
      <c r="G8" s="87">
        <v>3</v>
      </c>
      <c r="H8" s="87">
        <v>1</v>
      </c>
      <c r="I8" s="89">
        <f>I11</f>
        <v>23392</v>
      </c>
      <c r="J8" s="89">
        <f t="shared" ref="J8:K8" si="2">J11</f>
        <v>714</v>
      </c>
      <c r="K8" s="89">
        <f t="shared" si="2"/>
        <v>754</v>
      </c>
    </row>
    <row r="9" spans="1:12">
      <c r="A9" s="3">
        <v>39264</v>
      </c>
      <c r="I9" s="90"/>
      <c r="J9" s="90"/>
      <c r="K9" s="90"/>
    </row>
    <row r="10" spans="1:12">
      <c r="A10" s="3">
        <v>39295</v>
      </c>
      <c r="I10" s="90"/>
      <c r="J10" s="90"/>
      <c r="K10" s="90"/>
    </row>
    <row r="11" spans="1:12">
      <c r="A11" s="3">
        <v>39326</v>
      </c>
      <c r="B11" s="87">
        <v>76478</v>
      </c>
      <c r="C11" s="87">
        <v>7062</v>
      </c>
      <c r="D11" s="87">
        <v>1187</v>
      </c>
      <c r="E11" s="87">
        <v>3</v>
      </c>
      <c r="F11" s="87">
        <v>6</v>
      </c>
      <c r="G11" s="87">
        <v>3</v>
      </c>
      <c r="H11" s="87">
        <v>1</v>
      </c>
      <c r="I11" s="89">
        <f>I14</f>
        <v>23392</v>
      </c>
      <c r="J11" s="89">
        <f t="shared" ref="J11:K11" si="3">J14</f>
        <v>714</v>
      </c>
      <c r="K11" s="89">
        <f t="shared" si="3"/>
        <v>754</v>
      </c>
    </row>
    <row r="12" spans="1:12">
      <c r="A12" s="3">
        <v>39356</v>
      </c>
    </row>
    <row r="13" spans="1:12">
      <c r="A13" s="3">
        <v>39387</v>
      </c>
    </row>
    <row r="14" spans="1:12">
      <c r="A14" s="3">
        <v>39417</v>
      </c>
      <c r="B14" s="87">
        <v>76660</v>
      </c>
      <c r="C14" s="87">
        <v>7074</v>
      </c>
      <c r="D14" s="87">
        <v>1190</v>
      </c>
      <c r="E14" s="87">
        <v>3</v>
      </c>
      <c r="F14" s="87">
        <v>6</v>
      </c>
      <c r="G14" s="87">
        <v>3</v>
      </c>
      <c r="H14" s="87">
        <v>1</v>
      </c>
      <c r="I14" s="87">
        <v>23392</v>
      </c>
      <c r="J14" s="87">
        <v>714</v>
      </c>
      <c r="K14" s="87">
        <v>754</v>
      </c>
    </row>
    <row r="15" spans="1:12">
      <c r="A15" s="3">
        <v>39448</v>
      </c>
    </row>
    <row r="16" spans="1:12">
      <c r="A16" s="3">
        <v>39479</v>
      </c>
    </row>
    <row r="17" spans="1:11">
      <c r="A17" s="3">
        <v>39508</v>
      </c>
      <c r="B17" s="87">
        <v>76637</v>
      </c>
      <c r="C17" s="87">
        <v>7068</v>
      </c>
      <c r="D17" s="87">
        <v>1196</v>
      </c>
      <c r="E17" s="87">
        <v>3</v>
      </c>
      <c r="F17" s="87">
        <v>6</v>
      </c>
      <c r="G17" s="87">
        <v>3</v>
      </c>
      <c r="H17" s="87">
        <v>1</v>
      </c>
      <c r="I17" s="89">
        <f>AVERAGE(I14,I20)</f>
        <v>23397.25</v>
      </c>
      <c r="J17" s="89">
        <f>AVERAGE(J14,J20)</f>
        <v>708.5</v>
      </c>
      <c r="K17" s="89">
        <f>AVERAGE(K14,K20)</f>
        <v>755.25</v>
      </c>
    </row>
    <row r="18" spans="1:11">
      <c r="A18" s="3">
        <v>39539</v>
      </c>
      <c r="I18" s="90"/>
      <c r="J18" s="90"/>
      <c r="K18" s="90"/>
    </row>
    <row r="19" spans="1:11">
      <c r="A19" s="3">
        <v>39569</v>
      </c>
      <c r="I19" s="90"/>
      <c r="J19" s="90"/>
      <c r="K19" s="90"/>
    </row>
    <row r="20" spans="1:11">
      <c r="A20" s="3">
        <v>39600</v>
      </c>
      <c r="B20" s="87">
        <v>76366</v>
      </c>
      <c r="C20" s="87">
        <v>7045</v>
      </c>
      <c r="D20" s="87">
        <v>1198</v>
      </c>
      <c r="E20" s="87">
        <v>3</v>
      </c>
      <c r="F20" s="87">
        <v>6</v>
      </c>
      <c r="G20" s="87">
        <v>3</v>
      </c>
      <c r="H20" s="87">
        <v>1</v>
      </c>
      <c r="I20" s="89">
        <f>AVERAGE(I14,I26)</f>
        <v>23402.5</v>
      </c>
      <c r="J20" s="89">
        <f t="shared" ref="J20:K20" si="4">AVERAGE(J14,J26)</f>
        <v>703</v>
      </c>
      <c r="K20" s="89">
        <f t="shared" si="4"/>
        <v>756.5</v>
      </c>
    </row>
    <row r="21" spans="1:11">
      <c r="A21" s="3">
        <v>39630</v>
      </c>
      <c r="I21" s="90"/>
      <c r="J21" s="90"/>
      <c r="K21" s="90"/>
    </row>
    <row r="22" spans="1:11">
      <c r="A22" s="3">
        <v>39661</v>
      </c>
      <c r="I22" s="90"/>
      <c r="J22" s="90"/>
      <c r="K22" s="90"/>
    </row>
    <row r="23" spans="1:11">
      <c r="A23" s="3">
        <v>39692</v>
      </c>
      <c r="B23" s="87">
        <v>76440</v>
      </c>
      <c r="C23" s="87">
        <v>7017</v>
      </c>
      <c r="D23" s="87">
        <v>1194</v>
      </c>
      <c r="E23" s="87">
        <v>3</v>
      </c>
      <c r="F23" s="87">
        <v>6</v>
      </c>
      <c r="G23" s="87">
        <v>3</v>
      </c>
      <c r="H23" s="87">
        <v>1</v>
      </c>
      <c r="I23" s="89">
        <f>AVERAGE(I20,I26)</f>
        <v>23407.75</v>
      </c>
      <c r="J23" s="89">
        <f>AVERAGE(J20,J26)</f>
        <v>697.5</v>
      </c>
      <c r="K23" s="89">
        <f>AVERAGE(K20,K26)</f>
        <v>757.75</v>
      </c>
    </row>
    <row r="24" spans="1:11">
      <c r="A24" s="3">
        <v>39722</v>
      </c>
    </row>
    <row r="25" spans="1:11">
      <c r="A25" s="3">
        <v>39753</v>
      </c>
    </row>
    <row r="26" spans="1:11">
      <c r="A26" s="3">
        <v>39783</v>
      </c>
      <c r="B26" s="87">
        <v>76506</v>
      </c>
      <c r="C26" s="87">
        <v>7041</v>
      </c>
      <c r="D26" s="87">
        <v>1191</v>
      </c>
      <c r="E26" s="87">
        <v>3</v>
      </c>
      <c r="F26" s="87">
        <v>6</v>
      </c>
      <c r="G26" s="87">
        <v>3</v>
      </c>
      <c r="H26" s="87">
        <v>1</v>
      </c>
      <c r="I26" s="87">
        <v>23413</v>
      </c>
      <c r="J26" s="87">
        <v>692</v>
      </c>
      <c r="K26" s="87">
        <v>759</v>
      </c>
    </row>
    <row r="27" spans="1:11">
      <c r="A27" s="3">
        <v>39814</v>
      </c>
    </row>
    <row r="28" spans="1:11">
      <c r="A28" s="3">
        <v>39845</v>
      </c>
    </row>
    <row r="29" spans="1:11">
      <c r="A29" s="3">
        <v>39873</v>
      </c>
      <c r="B29" s="87">
        <v>76538</v>
      </c>
      <c r="C29" s="87">
        <v>7014</v>
      </c>
      <c r="D29" s="87">
        <v>1187</v>
      </c>
      <c r="E29" s="87">
        <v>3</v>
      </c>
      <c r="F29" s="87">
        <v>6</v>
      </c>
      <c r="G29" s="87">
        <v>3</v>
      </c>
      <c r="H29" s="87">
        <v>1</v>
      </c>
      <c r="I29" s="89">
        <f>AVERAGE(I26,I32)</f>
        <v>23417</v>
      </c>
      <c r="J29" s="89">
        <f>AVERAGE(J26,J32)</f>
        <v>680.25</v>
      </c>
      <c r="K29" s="89">
        <f>AVERAGE(K26,K32)</f>
        <v>760.75</v>
      </c>
    </row>
    <row r="30" spans="1:11">
      <c r="A30" s="3">
        <v>39904</v>
      </c>
      <c r="I30" s="90"/>
      <c r="J30" s="90"/>
      <c r="K30" s="90"/>
    </row>
    <row r="31" spans="1:11">
      <c r="A31" s="3">
        <v>39934</v>
      </c>
      <c r="B31" s="87"/>
      <c r="C31" s="87"/>
      <c r="D31" s="87"/>
      <c r="E31" s="87"/>
      <c r="F31" s="87"/>
      <c r="G31" s="87"/>
      <c r="H31" s="87"/>
      <c r="I31" s="90"/>
      <c r="J31" s="90"/>
      <c r="K31" s="90"/>
    </row>
    <row r="32" spans="1:11">
      <c r="A32" s="3">
        <v>39965</v>
      </c>
      <c r="B32" s="87">
        <v>76209</v>
      </c>
      <c r="C32" s="87">
        <v>6959</v>
      </c>
      <c r="D32" s="87">
        <v>1178</v>
      </c>
      <c r="E32" s="87">
        <v>3</v>
      </c>
      <c r="F32" s="87">
        <v>6</v>
      </c>
      <c r="G32" s="87">
        <v>3</v>
      </c>
      <c r="H32" s="87">
        <v>1</v>
      </c>
      <c r="I32" s="89">
        <f>AVERAGE(I26,I38)</f>
        <v>23421</v>
      </c>
      <c r="J32" s="89">
        <f t="shared" ref="J32:K32" si="5">AVERAGE(J26,J38)</f>
        <v>668.5</v>
      </c>
      <c r="K32" s="89">
        <f t="shared" si="5"/>
        <v>762.5</v>
      </c>
    </row>
    <row r="33" spans="1:11">
      <c r="A33" s="3">
        <v>39995</v>
      </c>
      <c r="B33" s="87"/>
      <c r="C33" s="87"/>
      <c r="D33" s="87"/>
      <c r="E33" s="87"/>
      <c r="F33" s="87"/>
      <c r="G33" s="87"/>
      <c r="H33" s="87"/>
      <c r="I33" s="90"/>
      <c r="J33" s="90"/>
      <c r="K33" s="90"/>
    </row>
    <row r="34" spans="1:11">
      <c r="A34" s="3">
        <v>40026</v>
      </c>
      <c r="I34" s="90"/>
      <c r="J34" s="90"/>
      <c r="K34" s="90"/>
    </row>
    <row r="35" spans="1:11">
      <c r="A35" s="3">
        <v>40057</v>
      </c>
      <c r="B35" s="87">
        <v>76373</v>
      </c>
      <c r="C35" s="87">
        <v>6971</v>
      </c>
      <c r="D35" s="87">
        <v>1164</v>
      </c>
      <c r="E35" s="87">
        <v>3</v>
      </c>
      <c r="F35" s="87">
        <v>6</v>
      </c>
      <c r="G35" s="87">
        <v>3</v>
      </c>
      <c r="H35" s="87">
        <v>1</v>
      </c>
      <c r="I35" s="89">
        <f>AVERAGE(I32,I38)</f>
        <v>23425</v>
      </c>
      <c r="J35" s="89">
        <f>AVERAGE(J32,J38)</f>
        <v>656.75</v>
      </c>
      <c r="K35" s="89">
        <f>AVERAGE(K32,K38)</f>
        <v>764.25</v>
      </c>
    </row>
    <row r="36" spans="1:11">
      <c r="A36" s="3">
        <v>40087</v>
      </c>
    </row>
    <row r="37" spans="1:11">
      <c r="A37" s="3">
        <v>40118</v>
      </c>
    </row>
    <row r="38" spans="1:11">
      <c r="A38" s="3">
        <v>40148</v>
      </c>
      <c r="B38" s="87">
        <v>76556</v>
      </c>
      <c r="C38" s="87">
        <v>6937</v>
      </c>
      <c r="D38" s="87">
        <v>1173</v>
      </c>
      <c r="E38" s="87">
        <v>3</v>
      </c>
      <c r="F38" s="87">
        <v>6</v>
      </c>
      <c r="G38" s="87">
        <v>3</v>
      </c>
      <c r="H38" s="87">
        <v>1</v>
      </c>
      <c r="I38" s="87">
        <v>23429</v>
      </c>
      <c r="J38" s="87">
        <v>645</v>
      </c>
      <c r="K38" s="87">
        <v>766</v>
      </c>
    </row>
    <row r="39" spans="1:11">
      <c r="A39" s="3">
        <v>40179</v>
      </c>
    </row>
    <row r="40" spans="1:11">
      <c r="A40" s="3">
        <v>40210</v>
      </c>
    </row>
    <row r="41" spans="1:11">
      <c r="A41" s="3">
        <v>40238</v>
      </c>
      <c r="B41" s="87">
        <v>76709</v>
      </c>
      <c r="C41" s="87">
        <v>6956</v>
      </c>
      <c r="D41" s="87">
        <v>1180</v>
      </c>
      <c r="E41" s="87">
        <v>3</v>
      </c>
      <c r="F41" s="87">
        <v>6</v>
      </c>
      <c r="G41" s="87">
        <v>3</v>
      </c>
      <c r="H41" s="87">
        <v>1</v>
      </c>
      <c r="I41" s="87">
        <v>23429</v>
      </c>
      <c r="J41" s="87">
        <v>672</v>
      </c>
      <c r="K41" s="87">
        <v>769</v>
      </c>
    </row>
    <row r="42" spans="1:11">
      <c r="A42" s="3">
        <v>40269</v>
      </c>
    </row>
    <row r="43" spans="1:11">
      <c r="A43" s="3">
        <v>40299</v>
      </c>
    </row>
    <row r="44" spans="1:11">
      <c r="A44" s="3">
        <v>40330</v>
      </c>
      <c r="B44" s="87">
        <v>76475</v>
      </c>
      <c r="C44" s="87">
        <v>6991</v>
      </c>
      <c r="D44" s="87">
        <v>1219</v>
      </c>
      <c r="E44" s="87">
        <v>3</v>
      </c>
      <c r="F44" s="87">
        <v>6</v>
      </c>
      <c r="G44" s="87">
        <v>3</v>
      </c>
      <c r="H44" s="87">
        <v>1</v>
      </c>
      <c r="I44" s="87">
        <v>23429</v>
      </c>
      <c r="J44" s="87">
        <v>677</v>
      </c>
      <c r="K44" s="87">
        <v>769</v>
      </c>
    </row>
    <row r="45" spans="1:11">
      <c r="A45" s="3">
        <v>40360</v>
      </c>
    </row>
    <row r="46" spans="1:11">
      <c r="A46" s="3">
        <v>40391</v>
      </c>
    </row>
    <row r="47" spans="1:11">
      <c r="A47" s="3">
        <v>40422</v>
      </c>
      <c r="B47" s="87">
        <v>76515</v>
      </c>
      <c r="C47" s="87">
        <v>6905</v>
      </c>
      <c r="D47" s="87">
        <v>1177</v>
      </c>
      <c r="E47" s="87">
        <v>3</v>
      </c>
      <c r="F47" s="87">
        <v>6</v>
      </c>
      <c r="G47" s="87">
        <v>3</v>
      </c>
      <c r="H47" s="87">
        <v>1</v>
      </c>
      <c r="I47" s="87">
        <v>23441</v>
      </c>
      <c r="J47" s="87">
        <v>667</v>
      </c>
      <c r="K47" s="87">
        <v>769</v>
      </c>
    </row>
    <row r="48" spans="1:11">
      <c r="A48" s="3">
        <v>40452</v>
      </c>
    </row>
    <row r="49" spans="1:11">
      <c r="A49" s="3">
        <v>40483</v>
      </c>
    </row>
    <row r="50" spans="1:11">
      <c r="A50" s="3">
        <v>40513</v>
      </c>
      <c r="B50" s="87">
        <v>76720</v>
      </c>
      <c r="C50" s="146">
        <v>6940</v>
      </c>
      <c r="D50" s="87">
        <v>1178</v>
      </c>
      <c r="E50" s="87">
        <v>3</v>
      </c>
      <c r="F50" s="87">
        <v>6</v>
      </c>
      <c r="G50" s="87">
        <v>3</v>
      </c>
      <c r="H50" s="87">
        <v>1</v>
      </c>
      <c r="I50" s="87">
        <v>23446</v>
      </c>
      <c r="J50" s="87">
        <v>650</v>
      </c>
      <c r="K50" s="87">
        <v>772</v>
      </c>
    </row>
    <row r="51" spans="1:11">
      <c r="A51" s="3">
        <v>40544</v>
      </c>
    </row>
    <row r="52" spans="1:11">
      <c r="A52" s="3">
        <v>40575</v>
      </c>
    </row>
    <row r="53" spans="1:11">
      <c r="A53" s="3">
        <v>40603</v>
      </c>
      <c r="B53" s="87">
        <v>76777</v>
      </c>
      <c r="C53" s="146">
        <v>6933</v>
      </c>
      <c r="D53" s="87">
        <v>1181</v>
      </c>
      <c r="E53" s="87">
        <v>3</v>
      </c>
      <c r="F53" s="87">
        <v>6</v>
      </c>
      <c r="G53" s="87">
        <v>3</v>
      </c>
      <c r="H53" s="87">
        <v>1</v>
      </c>
      <c r="I53" s="87">
        <v>23546</v>
      </c>
      <c r="J53" s="87">
        <v>662</v>
      </c>
      <c r="K53" s="87">
        <v>784</v>
      </c>
    </row>
    <row r="54" spans="1:11">
      <c r="A54" s="3">
        <v>40634</v>
      </c>
    </row>
    <row r="55" spans="1:11">
      <c r="A55" s="3">
        <v>40664</v>
      </c>
    </row>
    <row r="56" spans="1:11">
      <c r="A56" s="3">
        <v>40695</v>
      </c>
      <c r="B56" s="87">
        <v>76471</v>
      </c>
      <c r="C56" s="147">
        <f>C53*2/3+C62/3</f>
        <v>6930.3333333333339</v>
      </c>
      <c r="D56" s="87">
        <v>1253</v>
      </c>
      <c r="E56" s="87">
        <v>3</v>
      </c>
      <c r="F56" s="87">
        <v>6</v>
      </c>
      <c r="G56" s="87">
        <v>3</v>
      </c>
      <c r="H56" s="87">
        <v>1</v>
      </c>
      <c r="I56" s="87">
        <v>23546</v>
      </c>
      <c r="J56" s="87">
        <v>663</v>
      </c>
      <c r="K56" s="87">
        <v>796</v>
      </c>
    </row>
    <row r="57" spans="1:11">
      <c r="A57" s="3">
        <v>40725</v>
      </c>
    </row>
    <row r="58" spans="1:11">
      <c r="A58" s="3">
        <v>40756</v>
      </c>
    </row>
    <row r="59" spans="1:11">
      <c r="A59" s="3">
        <v>40787</v>
      </c>
      <c r="B59" s="87">
        <v>76825</v>
      </c>
      <c r="C59" s="147">
        <f>C53/3+C62*2/3</f>
        <v>6927.666666666667</v>
      </c>
      <c r="D59" s="87">
        <v>1174</v>
      </c>
      <c r="E59" s="87">
        <v>3</v>
      </c>
      <c r="F59" s="87">
        <v>6</v>
      </c>
      <c r="G59" s="87">
        <v>3</v>
      </c>
      <c r="H59" s="87">
        <v>1</v>
      </c>
      <c r="I59" s="87">
        <v>23260</v>
      </c>
      <c r="J59" s="87">
        <v>655</v>
      </c>
      <c r="K59" s="87">
        <v>795</v>
      </c>
    </row>
    <row r="60" spans="1:11">
      <c r="A60" s="3">
        <v>40817</v>
      </c>
    </row>
    <row r="61" spans="1:11">
      <c r="A61" s="3">
        <v>40848</v>
      </c>
    </row>
    <row r="62" spans="1:11">
      <c r="A62" s="3">
        <v>40878</v>
      </c>
      <c r="B62" s="87">
        <v>76915</v>
      </c>
      <c r="C62" s="146">
        <v>6925</v>
      </c>
      <c r="D62" s="87">
        <v>1172</v>
      </c>
      <c r="E62" s="87">
        <v>3</v>
      </c>
      <c r="F62" s="87">
        <v>6</v>
      </c>
      <c r="G62" s="87">
        <v>3</v>
      </c>
      <c r="H62" s="87">
        <v>1</v>
      </c>
      <c r="I62" s="87">
        <v>23292</v>
      </c>
      <c r="J62" s="87">
        <v>668</v>
      </c>
      <c r="K62" s="87">
        <v>796</v>
      </c>
    </row>
    <row r="63" spans="1:11">
      <c r="A63" s="3">
        <v>40909</v>
      </c>
    </row>
    <row r="64" spans="1:11">
      <c r="A64" s="3">
        <v>40940</v>
      </c>
    </row>
    <row r="65" spans="1:11">
      <c r="A65" s="3">
        <v>40969</v>
      </c>
      <c r="B65" s="87">
        <v>77000</v>
      </c>
      <c r="C65" s="146">
        <v>6909</v>
      </c>
      <c r="D65" s="87">
        <v>1177</v>
      </c>
      <c r="E65" s="87">
        <v>3</v>
      </c>
      <c r="F65" s="87">
        <v>6</v>
      </c>
      <c r="G65" s="87">
        <v>3</v>
      </c>
      <c r="H65" s="87">
        <v>1</v>
      </c>
      <c r="I65" s="87">
        <v>23344</v>
      </c>
      <c r="J65" s="87">
        <v>666</v>
      </c>
      <c r="K65" s="87">
        <v>795</v>
      </c>
    </row>
    <row r="66" spans="1:11">
      <c r="A66" s="3">
        <v>41000</v>
      </c>
    </row>
    <row r="67" spans="1:11">
      <c r="A67" s="3">
        <v>41030</v>
      </c>
    </row>
    <row r="68" spans="1:11">
      <c r="A68" s="3">
        <v>41061</v>
      </c>
      <c r="B68" s="87">
        <v>76913</v>
      </c>
      <c r="C68" s="147">
        <f>C65*2/3+C74/3</f>
        <v>6917.6666666666661</v>
      </c>
      <c r="D68" s="87">
        <v>1177</v>
      </c>
      <c r="E68" s="87">
        <v>3</v>
      </c>
      <c r="F68" s="87">
        <v>6</v>
      </c>
      <c r="G68" s="87">
        <v>3</v>
      </c>
      <c r="H68" s="87">
        <v>1</v>
      </c>
      <c r="I68" s="87">
        <v>23358</v>
      </c>
      <c r="J68" s="87">
        <v>663</v>
      </c>
      <c r="K68" s="87">
        <v>795</v>
      </c>
    </row>
    <row r="69" spans="1:11">
      <c r="A69" s="3">
        <v>41091</v>
      </c>
    </row>
    <row r="70" spans="1:11">
      <c r="A70" s="3">
        <v>41122</v>
      </c>
    </row>
    <row r="71" spans="1:11">
      <c r="A71" s="3">
        <v>41153</v>
      </c>
      <c r="B71" s="87">
        <v>77139</v>
      </c>
      <c r="C71" s="147">
        <f>C65/3+C74*2/3</f>
        <v>6926.333333333333</v>
      </c>
      <c r="D71" s="87">
        <v>1184</v>
      </c>
      <c r="E71" s="87">
        <v>3</v>
      </c>
      <c r="F71" s="87">
        <v>6</v>
      </c>
      <c r="G71" s="87">
        <v>2</v>
      </c>
      <c r="H71" s="87">
        <v>1</v>
      </c>
      <c r="I71" s="87">
        <v>23365</v>
      </c>
      <c r="J71" s="87">
        <v>658</v>
      </c>
      <c r="K71" s="87">
        <v>793</v>
      </c>
    </row>
    <row r="72" spans="1:11">
      <c r="A72" s="3">
        <v>41183</v>
      </c>
    </row>
    <row r="73" spans="1:11">
      <c r="A73" s="3">
        <v>41214</v>
      </c>
    </row>
    <row r="74" spans="1:11">
      <c r="A74" s="3">
        <v>41244</v>
      </c>
      <c r="B74" s="87">
        <v>77344</v>
      </c>
      <c r="C74" s="146">
        <v>6935</v>
      </c>
      <c r="D74" s="87">
        <v>1179</v>
      </c>
      <c r="E74" s="87">
        <v>3</v>
      </c>
      <c r="F74" s="87">
        <v>6</v>
      </c>
      <c r="G74" s="87">
        <v>2</v>
      </c>
      <c r="H74" s="87">
        <v>1</v>
      </c>
      <c r="I74" s="87">
        <v>23365</v>
      </c>
      <c r="J74" s="87">
        <v>655</v>
      </c>
      <c r="K74" s="87">
        <v>793</v>
      </c>
    </row>
    <row r="75" spans="1:11">
      <c r="A75" s="3">
        <v>41275</v>
      </c>
    </row>
    <row r="76" spans="1:11">
      <c r="A76" s="3">
        <v>41306</v>
      </c>
      <c r="B76" s="87"/>
      <c r="C76" s="87"/>
      <c r="D76" s="87"/>
      <c r="E76" s="87"/>
      <c r="F76" s="87"/>
      <c r="G76" s="87"/>
      <c r="H76" s="87"/>
    </row>
    <row r="77" spans="1:11">
      <c r="A77" s="3">
        <v>41334</v>
      </c>
      <c r="B77" s="87">
        <v>77352</v>
      </c>
      <c r="C77" s="146">
        <v>6954</v>
      </c>
      <c r="D77" s="87">
        <v>1178</v>
      </c>
      <c r="E77" s="87">
        <v>3</v>
      </c>
      <c r="F77" s="87">
        <v>6</v>
      </c>
      <c r="G77" s="87">
        <v>2</v>
      </c>
      <c r="H77" s="87">
        <v>1</v>
      </c>
      <c r="I77" s="87">
        <v>23365</v>
      </c>
      <c r="J77" s="87">
        <v>646</v>
      </c>
      <c r="K77" s="87">
        <v>793</v>
      </c>
    </row>
    <row r="78" spans="1:11">
      <c r="A78" s="3">
        <v>41365</v>
      </c>
    </row>
    <row r="79" spans="1:11">
      <c r="A79" s="3">
        <v>41395</v>
      </c>
    </row>
    <row r="80" spans="1:11">
      <c r="A80" s="3">
        <v>41426</v>
      </c>
      <c r="B80" s="87">
        <v>77255</v>
      </c>
      <c r="C80" s="147">
        <f>C77*2/3+C86/3</f>
        <v>6948.3333333333339</v>
      </c>
      <c r="D80" s="87">
        <v>1177</v>
      </c>
      <c r="E80" s="87">
        <v>3</v>
      </c>
      <c r="F80" s="87">
        <v>6</v>
      </c>
      <c r="G80" s="87">
        <v>2</v>
      </c>
      <c r="H80" s="87">
        <v>1</v>
      </c>
      <c r="I80" s="87">
        <v>23384</v>
      </c>
      <c r="J80" s="87">
        <v>633</v>
      </c>
      <c r="K80" s="87">
        <v>793</v>
      </c>
    </row>
    <row r="81" spans="1:11">
      <c r="A81" s="3">
        <v>41456</v>
      </c>
    </row>
    <row r="82" spans="1:11">
      <c r="A82" s="3">
        <v>41487</v>
      </c>
    </row>
    <row r="83" spans="1:11">
      <c r="A83" s="3">
        <v>41518</v>
      </c>
      <c r="B83" s="87">
        <v>77574</v>
      </c>
      <c r="C83" s="147">
        <f>C77/3+C86*2/3</f>
        <v>6942.666666666667</v>
      </c>
      <c r="D83" s="87">
        <v>1170</v>
      </c>
      <c r="E83" s="87">
        <v>3</v>
      </c>
      <c r="F83" s="87">
        <v>6</v>
      </c>
      <c r="G83" s="87">
        <v>2</v>
      </c>
      <c r="H83" s="87">
        <v>1</v>
      </c>
      <c r="I83" s="87">
        <v>23384</v>
      </c>
      <c r="J83" s="87">
        <v>641</v>
      </c>
      <c r="K83" s="87">
        <v>791</v>
      </c>
    </row>
    <row r="84" spans="1:11">
      <c r="A84" s="3">
        <v>41548</v>
      </c>
    </row>
    <row r="85" spans="1:11">
      <c r="A85" s="3">
        <v>41579</v>
      </c>
    </row>
    <row r="86" spans="1:11">
      <c r="A86" s="3">
        <v>41609</v>
      </c>
      <c r="B86" s="87">
        <v>77628</v>
      </c>
      <c r="C86" s="146">
        <v>6937</v>
      </c>
      <c r="D86" s="87">
        <v>1192</v>
      </c>
      <c r="E86" s="87">
        <v>3</v>
      </c>
      <c r="F86" s="87">
        <v>6</v>
      </c>
      <c r="G86" s="87">
        <v>2</v>
      </c>
      <c r="H86" s="87">
        <v>1</v>
      </c>
      <c r="I86" s="87">
        <v>23409</v>
      </c>
      <c r="J86" s="87">
        <v>645</v>
      </c>
      <c r="K86" s="87">
        <v>781</v>
      </c>
    </row>
    <row r="87" spans="1:11">
      <c r="A87" s="3">
        <v>41640</v>
      </c>
    </row>
    <row r="88" spans="1:11">
      <c r="A88" s="3">
        <v>41671</v>
      </c>
    </row>
    <row r="89" spans="1:11">
      <c r="A89" s="3">
        <v>41699</v>
      </c>
      <c r="B89" s="87">
        <v>77805</v>
      </c>
      <c r="C89" s="146">
        <v>7004</v>
      </c>
      <c r="D89" s="87">
        <v>1211</v>
      </c>
      <c r="E89" s="87">
        <v>3</v>
      </c>
      <c r="F89" s="87">
        <v>6</v>
      </c>
      <c r="G89" s="87">
        <v>2</v>
      </c>
      <c r="H89" s="87">
        <v>1</v>
      </c>
      <c r="I89" s="87">
        <v>23419</v>
      </c>
      <c r="J89" s="87">
        <v>645</v>
      </c>
      <c r="K89" s="87">
        <v>784</v>
      </c>
    </row>
    <row r="90" spans="1:11">
      <c r="A90" s="3">
        <v>41730</v>
      </c>
    </row>
    <row r="91" spans="1:11">
      <c r="A91" s="3">
        <v>41760</v>
      </c>
    </row>
    <row r="92" spans="1:11">
      <c r="A92" s="3">
        <v>41791</v>
      </c>
      <c r="B92" s="87">
        <v>77849</v>
      </c>
      <c r="C92" s="147">
        <f>C89*2/3+C98/3</f>
        <v>7010.6666666666661</v>
      </c>
      <c r="D92" s="87">
        <v>1203</v>
      </c>
      <c r="E92" s="87">
        <v>3</v>
      </c>
      <c r="F92" s="87">
        <v>6</v>
      </c>
      <c r="G92" s="87">
        <v>2</v>
      </c>
      <c r="H92" s="87">
        <v>1</v>
      </c>
      <c r="I92" s="87">
        <v>23458</v>
      </c>
      <c r="J92" s="87">
        <v>635</v>
      </c>
      <c r="K92" s="87">
        <v>785</v>
      </c>
    </row>
    <row r="93" spans="1:11">
      <c r="A93" s="3">
        <v>41821</v>
      </c>
    </row>
    <row r="94" spans="1:11">
      <c r="A94" s="3">
        <v>41852</v>
      </c>
    </row>
    <row r="95" spans="1:11">
      <c r="A95" s="3">
        <v>41883</v>
      </c>
      <c r="B95" s="87">
        <v>78000</v>
      </c>
      <c r="C95" s="147">
        <f>C89/3+C98*2/3</f>
        <v>7017.3333333333339</v>
      </c>
      <c r="D95" s="87">
        <v>1212</v>
      </c>
      <c r="E95" s="87">
        <v>3</v>
      </c>
      <c r="F95" s="87">
        <v>6</v>
      </c>
      <c r="G95" s="87">
        <v>2</v>
      </c>
      <c r="H95" s="87">
        <v>1</v>
      </c>
      <c r="I95" s="87">
        <v>23502</v>
      </c>
      <c r="J95" s="87">
        <v>625</v>
      </c>
      <c r="K95" s="87">
        <v>783</v>
      </c>
    </row>
    <row r="96" spans="1:11">
      <c r="A96" s="3">
        <v>41913</v>
      </c>
    </row>
    <row r="97" spans="1:11">
      <c r="A97" s="3">
        <v>41944</v>
      </c>
    </row>
    <row r="98" spans="1:11">
      <c r="A98" s="3">
        <v>41974</v>
      </c>
      <c r="B98" s="87">
        <v>78144</v>
      </c>
      <c r="C98" s="146">
        <v>7024</v>
      </c>
      <c r="D98" s="87">
        <v>1211</v>
      </c>
      <c r="E98" s="87">
        <v>3</v>
      </c>
      <c r="F98" s="87">
        <v>6</v>
      </c>
      <c r="G98" s="87">
        <v>2</v>
      </c>
      <c r="H98" s="87">
        <v>1</v>
      </c>
      <c r="I98" s="87">
        <v>23459</v>
      </c>
      <c r="J98" s="87">
        <v>620</v>
      </c>
      <c r="K98" s="87">
        <v>780</v>
      </c>
    </row>
    <row r="99" spans="1:11">
      <c r="A99" s="3">
        <v>42005</v>
      </c>
    </row>
    <row r="100" spans="1:11">
      <c r="A100" s="3">
        <v>42036</v>
      </c>
    </row>
    <row r="101" spans="1:11">
      <c r="A101" s="3">
        <v>42064</v>
      </c>
      <c r="B101" s="87">
        <v>78206</v>
      </c>
      <c r="C101" s="146">
        <v>7040</v>
      </c>
      <c r="D101" s="87">
        <v>1219</v>
      </c>
      <c r="E101" s="87">
        <v>3</v>
      </c>
      <c r="F101" s="87">
        <v>6</v>
      </c>
      <c r="G101" s="87">
        <v>2</v>
      </c>
      <c r="H101" s="87">
        <v>1</v>
      </c>
      <c r="I101" s="87">
        <v>23499</v>
      </c>
      <c r="J101" s="87">
        <v>621</v>
      </c>
      <c r="K101" s="87">
        <v>780</v>
      </c>
    </row>
    <row r="102" spans="1:11">
      <c r="A102" s="3">
        <v>42095</v>
      </c>
    </row>
    <row r="103" spans="1:11">
      <c r="A103" s="3">
        <v>42125</v>
      </c>
    </row>
    <row r="104" spans="1:11">
      <c r="A104" s="3">
        <v>42156</v>
      </c>
      <c r="B104" s="87">
        <v>78219</v>
      </c>
      <c r="C104" s="147">
        <f>C101*2/3+C110/3</f>
        <v>7049.6666666666661</v>
      </c>
      <c r="D104" s="87">
        <v>1223</v>
      </c>
      <c r="E104" s="87">
        <v>3</v>
      </c>
      <c r="F104" s="87">
        <v>6</v>
      </c>
      <c r="G104" s="87">
        <v>2</v>
      </c>
      <c r="H104" s="87">
        <v>1</v>
      </c>
      <c r="I104" s="87">
        <v>23534</v>
      </c>
      <c r="J104" s="87">
        <v>615</v>
      </c>
      <c r="K104" s="87">
        <v>780</v>
      </c>
    </row>
    <row r="105" spans="1:11">
      <c r="A105" s="3">
        <v>42186</v>
      </c>
    </row>
    <row r="106" spans="1:11">
      <c r="A106" s="3">
        <v>42217</v>
      </c>
    </row>
    <row r="107" spans="1:11">
      <c r="A107" s="3">
        <v>42248</v>
      </c>
      <c r="B107" s="87">
        <v>78337</v>
      </c>
      <c r="C107" s="147">
        <f>C101/3+C110*2/3</f>
        <v>7059.3333333333339</v>
      </c>
      <c r="D107" s="87">
        <v>1235</v>
      </c>
      <c r="E107" s="87">
        <v>3</v>
      </c>
      <c r="F107" s="87">
        <v>6</v>
      </c>
      <c r="G107" s="87">
        <v>2</v>
      </c>
      <c r="H107" s="87">
        <v>1</v>
      </c>
      <c r="I107" s="87">
        <v>23481</v>
      </c>
      <c r="J107" s="87">
        <v>616</v>
      </c>
      <c r="K107" s="87">
        <v>780</v>
      </c>
    </row>
    <row r="108" spans="1:11">
      <c r="A108" s="3">
        <v>42278</v>
      </c>
    </row>
    <row r="109" spans="1:11">
      <c r="A109" s="3">
        <v>42309</v>
      </c>
    </row>
    <row r="110" spans="1:11">
      <c r="A110" s="3">
        <v>42339</v>
      </c>
      <c r="B110" s="87">
        <v>78520</v>
      </c>
      <c r="C110" s="146">
        <v>7069</v>
      </c>
      <c r="D110" s="87">
        <v>1238</v>
      </c>
      <c r="E110" s="87">
        <v>3</v>
      </c>
      <c r="F110" s="87">
        <v>6</v>
      </c>
      <c r="G110" s="87">
        <v>2</v>
      </c>
      <c r="H110" s="87">
        <v>1</v>
      </c>
      <c r="I110" s="87">
        <v>23467</v>
      </c>
      <c r="J110" s="87">
        <v>611</v>
      </c>
      <c r="K110" s="87">
        <v>780</v>
      </c>
    </row>
    <row r="111" spans="1:11">
      <c r="A111" s="3">
        <v>42370</v>
      </c>
    </row>
    <row r="112" spans="1:11">
      <c r="A112" s="3">
        <v>42401</v>
      </c>
    </row>
    <row r="113" spans="1:11">
      <c r="A113" s="3">
        <v>42430</v>
      </c>
      <c r="B113" s="87">
        <v>78618</v>
      </c>
      <c r="C113" s="146">
        <v>7081</v>
      </c>
      <c r="D113" s="87">
        <v>1238</v>
      </c>
      <c r="E113" s="87">
        <v>3</v>
      </c>
      <c r="F113" s="87">
        <v>6</v>
      </c>
      <c r="G113" s="87">
        <v>2</v>
      </c>
      <c r="H113" s="87">
        <v>1</v>
      </c>
      <c r="I113" s="87">
        <v>23467</v>
      </c>
      <c r="J113" s="87">
        <v>611</v>
      </c>
      <c r="K113" s="87">
        <v>780</v>
      </c>
    </row>
    <row r="114" spans="1:11">
      <c r="A114" s="3">
        <v>42461</v>
      </c>
    </row>
    <row r="115" spans="1:11">
      <c r="A115" s="3">
        <v>42491</v>
      </c>
    </row>
    <row r="116" spans="1:11">
      <c r="A116" s="3">
        <v>42522</v>
      </c>
      <c r="B116" s="87">
        <v>78725</v>
      </c>
      <c r="C116" s="147">
        <f>C113*2/3+C122/3</f>
        <v>7080</v>
      </c>
      <c r="D116" s="87">
        <v>1246</v>
      </c>
      <c r="E116" s="87">
        <v>3</v>
      </c>
      <c r="F116" s="87">
        <v>6</v>
      </c>
      <c r="G116" s="87">
        <v>2</v>
      </c>
      <c r="H116" s="87">
        <v>1</v>
      </c>
      <c r="I116" s="87">
        <v>23484</v>
      </c>
      <c r="J116" s="87">
        <v>603</v>
      </c>
      <c r="K116" s="87">
        <v>781</v>
      </c>
    </row>
    <row r="117" spans="1:11">
      <c r="A117" s="3">
        <v>42552</v>
      </c>
    </row>
    <row r="118" spans="1:11">
      <c r="A118" s="3">
        <v>42583</v>
      </c>
    </row>
    <row r="119" spans="1:11">
      <c r="A119" s="3">
        <v>42614</v>
      </c>
      <c r="B119" s="87">
        <v>78857</v>
      </c>
      <c r="C119" s="147">
        <f>C113/3+C122*2/3</f>
        <v>7079</v>
      </c>
      <c r="D119" s="87">
        <v>1245</v>
      </c>
      <c r="E119" s="87">
        <v>3</v>
      </c>
      <c r="F119" s="87">
        <v>6</v>
      </c>
      <c r="G119" s="87">
        <v>2</v>
      </c>
      <c r="H119" s="87">
        <v>1</v>
      </c>
      <c r="I119" s="87">
        <v>23534</v>
      </c>
      <c r="J119" s="87">
        <v>602</v>
      </c>
      <c r="K119" s="87">
        <v>781</v>
      </c>
    </row>
    <row r="120" spans="1:11">
      <c r="A120" s="3">
        <v>42644</v>
      </c>
    </row>
    <row r="121" spans="1:11">
      <c r="A121" s="3">
        <v>42675</v>
      </c>
    </row>
    <row r="122" spans="1:11">
      <c r="A122" s="3">
        <v>42705</v>
      </c>
      <c r="B122" s="87">
        <v>79048</v>
      </c>
      <c r="C122" s="146">
        <v>7078</v>
      </c>
      <c r="D122" s="87">
        <v>1251</v>
      </c>
      <c r="E122" s="87">
        <v>3</v>
      </c>
      <c r="F122" s="87">
        <v>6</v>
      </c>
      <c r="G122" s="87">
        <v>2</v>
      </c>
      <c r="H122" s="87">
        <v>1</v>
      </c>
      <c r="I122" s="87">
        <v>23585</v>
      </c>
      <c r="J122" s="87">
        <v>592</v>
      </c>
      <c r="K122" s="87">
        <v>782</v>
      </c>
    </row>
    <row r="123" spans="1:11">
      <c r="A123" s="3">
        <v>42736</v>
      </c>
    </row>
    <row r="124" spans="1:11">
      <c r="A124" s="3">
        <v>42767</v>
      </c>
    </row>
    <row r="125" spans="1:11">
      <c r="A125" s="3">
        <v>42795</v>
      </c>
      <c r="B125" s="87">
        <v>79172</v>
      </c>
      <c r="C125" s="146">
        <v>7108</v>
      </c>
      <c r="D125" s="87">
        <v>1250</v>
      </c>
      <c r="E125" s="87">
        <v>3</v>
      </c>
      <c r="F125" s="87">
        <v>6</v>
      </c>
      <c r="G125" s="87">
        <v>2</v>
      </c>
      <c r="H125" s="87">
        <v>1</v>
      </c>
      <c r="I125" s="87">
        <v>24162</v>
      </c>
      <c r="J125" s="87">
        <v>565</v>
      </c>
      <c r="K125" s="87">
        <v>782</v>
      </c>
    </row>
    <row r="126" spans="1:11">
      <c r="A126" s="3">
        <v>42826</v>
      </c>
    </row>
    <row r="127" spans="1:11">
      <c r="A127" s="3">
        <v>42856</v>
      </c>
    </row>
    <row r="128" spans="1:11">
      <c r="A128" s="3">
        <v>42887</v>
      </c>
      <c r="B128" s="87">
        <v>79307</v>
      </c>
      <c r="C128" s="146">
        <v>7109</v>
      </c>
      <c r="D128" s="87">
        <v>1249</v>
      </c>
      <c r="E128" s="87">
        <v>3</v>
      </c>
      <c r="F128" s="87">
        <v>6</v>
      </c>
      <c r="G128" s="87">
        <v>2</v>
      </c>
      <c r="H128" s="87">
        <v>1</v>
      </c>
      <c r="I128" s="87">
        <v>24176</v>
      </c>
      <c r="J128" s="87">
        <v>562</v>
      </c>
      <c r="K128" s="87">
        <v>782</v>
      </c>
    </row>
    <row r="129" spans="1:11">
      <c r="A129" s="3">
        <v>42917</v>
      </c>
    </row>
    <row r="130" spans="1:11">
      <c r="A130" s="3">
        <v>42948</v>
      </c>
    </row>
    <row r="131" spans="1:11">
      <c r="A131" s="3">
        <v>42979</v>
      </c>
      <c r="B131" s="87">
        <v>79341</v>
      </c>
      <c r="C131" s="146">
        <v>7103</v>
      </c>
      <c r="D131" s="87">
        <v>1253</v>
      </c>
      <c r="E131" s="87">
        <v>3</v>
      </c>
      <c r="F131" s="87">
        <v>6</v>
      </c>
      <c r="G131" s="87">
        <v>2</v>
      </c>
      <c r="H131" s="87">
        <v>1</v>
      </c>
      <c r="I131" s="87">
        <v>24100</v>
      </c>
      <c r="J131" s="87">
        <v>549</v>
      </c>
      <c r="K131" s="87">
        <v>782</v>
      </c>
    </row>
    <row r="132" spans="1:11">
      <c r="A132" s="3">
        <v>43009</v>
      </c>
    </row>
    <row r="133" spans="1:11">
      <c r="A133" s="3">
        <v>43040</v>
      </c>
    </row>
    <row r="134" spans="1:11">
      <c r="A134" s="3">
        <v>43070</v>
      </c>
      <c r="B134" s="87">
        <v>79478</v>
      </c>
      <c r="C134" s="146">
        <v>7115</v>
      </c>
      <c r="D134" s="87">
        <v>1253</v>
      </c>
      <c r="E134" s="87">
        <v>3</v>
      </c>
      <c r="F134" s="87">
        <v>6</v>
      </c>
      <c r="G134" s="87">
        <v>2</v>
      </c>
      <c r="H134" s="87">
        <v>1</v>
      </c>
      <c r="I134" s="87">
        <v>24136</v>
      </c>
      <c r="J134" s="87">
        <v>541</v>
      </c>
      <c r="K134" s="87">
        <v>730</v>
      </c>
    </row>
    <row r="135" spans="1:11">
      <c r="A135" s="3">
        <v>43101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</row>
    <row r="136" spans="1:11">
      <c r="A136" s="3">
        <v>43132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</row>
    <row r="137" spans="1:11">
      <c r="A137" s="3">
        <v>43160</v>
      </c>
      <c r="B137" s="156">
        <v>78558</v>
      </c>
      <c r="C137" s="156">
        <f>7730-635</f>
        <v>7095</v>
      </c>
      <c r="D137" s="156">
        <v>1249</v>
      </c>
      <c r="E137" s="156">
        <v>3</v>
      </c>
      <c r="F137" s="156">
        <v>6</v>
      </c>
      <c r="G137" s="156">
        <v>2</v>
      </c>
      <c r="H137" s="156">
        <v>1</v>
      </c>
      <c r="I137" s="156">
        <v>24137</v>
      </c>
      <c r="J137" s="156">
        <v>540</v>
      </c>
      <c r="K137" s="156">
        <v>730</v>
      </c>
    </row>
    <row r="138" spans="1:11">
      <c r="A138" s="3">
        <v>43191</v>
      </c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</row>
    <row r="139" spans="1:11">
      <c r="A139" s="3">
        <v>43221</v>
      </c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</row>
    <row r="140" spans="1:11">
      <c r="A140" s="3">
        <v>43252</v>
      </c>
      <c r="B140" s="156">
        <v>79686</v>
      </c>
      <c r="C140" s="156">
        <f>7780-666</f>
        <v>7114</v>
      </c>
      <c r="D140" s="156">
        <v>1250</v>
      </c>
      <c r="E140" s="156">
        <v>3</v>
      </c>
      <c r="F140" s="156">
        <v>6</v>
      </c>
      <c r="G140" s="156">
        <v>2</v>
      </c>
      <c r="H140" s="156">
        <v>1</v>
      </c>
      <c r="I140" s="156">
        <v>24304</v>
      </c>
      <c r="J140" s="156">
        <v>537</v>
      </c>
      <c r="K140" s="156">
        <v>726</v>
      </c>
    </row>
    <row r="141" spans="1:11">
      <c r="A141" s="3">
        <v>43282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</row>
    <row r="142" spans="1:11">
      <c r="A142" s="3">
        <v>43313</v>
      </c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</row>
    <row r="143" spans="1:11">
      <c r="A143" s="3">
        <v>43344</v>
      </c>
      <c r="B143" s="156">
        <v>79737</v>
      </c>
      <c r="C143" s="156">
        <f>7803-709</f>
        <v>7094</v>
      </c>
      <c r="D143" s="156">
        <v>1258</v>
      </c>
      <c r="E143" s="156">
        <v>3</v>
      </c>
      <c r="F143" s="156">
        <v>6</v>
      </c>
      <c r="G143" s="156">
        <v>2</v>
      </c>
      <c r="H143" s="156">
        <v>1</v>
      </c>
      <c r="I143" s="156">
        <v>24331</v>
      </c>
      <c r="J143" s="156">
        <v>529</v>
      </c>
      <c r="K143" s="156">
        <v>725</v>
      </c>
    </row>
    <row r="144" spans="1:11">
      <c r="A144" s="3">
        <v>43374</v>
      </c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</row>
    <row r="145" spans="1:11">
      <c r="A145" s="3">
        <v>43405</v>
      </c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</row>
    <row r="146" spans="1:11">
      <c r="A146" s="3">
        <v>43435</v>
      </c>
      <c r="B146" s="156">
        <v>79883</v>
      </c>
      <c r="C146" s="156">
        <f>7823-710</f>
        <v>7113</v>
      </c>
      <c r="D146" s="156">
        <v>1260</v>
      </c>
      <c r="E146" s="156">
        <v>3</v>
      </c>
      <c r="F146" s="156">
        <v>6</v>
      </c>
      <c r="G146" s="156">
        <v>2</v>
      </c>
      <c r="H146" s="156">
        <v>1</v>
      </c>
      <c r="I146" s="156">
        <v>24362</v>
      </c>
      <c r="J146" s="156">
        <v>525</v>
      </c>
      <c r="K146" s="156">
        <v>725</v>
      </c>
    </row>
    <row r="147" spans="1:11"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</row>
  </sheetData>
  <phoneticPr fontId="9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Y71"/>
  <sheetViews>
    <sheetView topLeftCell="E61" workbookViewId="0">
      <selection activeCell="I63" sqref="I63"/>
    </sheetView>
  </sheetViews>
  <sheetFormatPr defaultColWidth="9.1640625" defaultRowHeight="15"/>
  <cols>
    <col min="1" max="1" width="4.6640625" style="23" customWidth="1"/>
    <col min="2" max="2" width="12.1640625" style="23" customWidth="1"/>
    <col min="3" max="3" width="19" style="23" customWidth="1"/>
    <col min="4" max="4" width="14.83203125" style="23" customWidth="1"/>
    <col min="5" max="7" width="12.1640625" style="23" customWidth="1"/>
    <col min="8" max="8" width="18.83203125" style="23" bestFit="1" customWidth="1"/>
    <col min="9" max="9" width="13" style="23" bestFit="1" customWidth="1"/>
    <col min="10" max="12" width="12.1640625" style="23" customWidth="1"/>
    <col min="13" max="13" width="15" style="23" customWidth="1"/>
    <col min="14" max="14" width="16.83203125" style="23" customWidth="1"/>
    <col min="15" max="15" width="12.1640625" style="23" customWidth="1"/>
    <col min="16" max="16" width="5.6640625" style="23" customWidth="1"/>
    <col min="17" max="17" width="9.1640625" style="23"/>
    <col min="18" max="18" width="18.83203125" style="23" bestFit="1" customWidth="1"/>
    <col min="19" max="19" width="11.83203125" style="23" bestFit="1" customWidth="1"/>
    <col min="20" max="22" width="9.1640625" style="23"/>
    <col min="23" max="23" width="18.83203125" style="23" bestFit="1" customWidth="1"/>
    <col min="24" max="24" width="13" style="23" bestFit="1" customWidth="1"/>
    <col min="25" max="16384" width="9.1640625" style="23"/>
  </cols>
  <sheetData>
    <row r="1" spans="1:25">
      <c r="A1" s="273" t="s">
        <v>127</v>
      </c>
      <c r="B1" s="273"/>
      <c r="C1" s="273"/>
    </row>
    <row r="2" spans="1:25">
      <c r="C2" s="269" t="s">
        <v>128</v>
      </c>
      <c r="D2" s="269"/>
      <c r="E2" s="20" t="s">
        <v>129</v>
      </c>
      <c r="F2" s="20"/>
      <c r="H2" s="269" t="s">
        <v>130</v>
      </c>
      <c r="I2" s="269"/>
      <c r="J2" s="20" t="s">
        <v>129</v>
      </c>
      <c r="K2" s="20"/>
      <c r="L2" s="27"/>
      <c r="M2" s="269" t="s">
        <v>131</v>
      </c>
      <c r="N2" s="269"/>
      <c r="O2" s="20" t="s">
        <v>129</v>
      </c>
      <c r="Q2" s="27"/>
      <c r="R2" s="271" t="s">
        <v>184</v>
      </c>
      <c r="S2" s="269"/>
      <c r="T2" s="20" t="s">
        <v>129</v>
      </c>
      <c r="V2" s="27"/>
      <c r="W2" s="271" t="s">
        <v>185</v>
      </c>
      <c r="X2" s="269"/>
      <c r="Y2" s="20" t="s">
        <v>129</v>
      </c>
    </row>
    <row r="3" spans="1:25">
      <c r="B3" s="20" t="s">
        <v>124</v>
      </c>
      <c r="C3" s="20" t="s">
        <v>132</v>
      </c>
      <c r="D3" s="25" t="s">
        <v>125</v>
      </c>
      <c r="E3" s="20" t="s">
        <v>133</v>
      </c>
      <c r="F3" s="20"/>
      <c r="H3" s="20" t="s">
        <v>132</v>
      </c>
      <c r="I3" s="25" t="s">
        <v>125</v>
      </c>
      <c r="J3" s="20" t="s">
        <v>133</v>
      </c>
      <c r="K3" s="20"/>
      <c r="L3" s="27"/>
      <c r="M3" s="20" t="s">
        <v>132</v>
      </c>
      <c r="N3" s="25" t="s">
        <v>125</v>
      </c>
      <c r="O3" s="20" t="s">
        <v>133</v>
      </c>
      <c r="Q3" s="27"/>
      <c r="R3" s="20" t="s">
        <v>132</v>
      </c>
      <c r="S3" s="25" t="s">
        <v>125</v>
      </c>
      <c r="T3" s="20" t="s">
        <v>133</v>
      </c>
      <c r="V3" s="27"/>
      <c r="W3" s="20" t="s">
        <v>132</v>
      </c>
      <c r="X3" s="25" t="s">
        <v>125</v>
      </c>
      <c r="Y3" s="20" t="s">
        <v>133</v>
      </c>
    </row>
    <row r="4" spans="1:25">
      <c r="B4" s="23">
        <v>2009</v>
      </c>
      <c r="C4" s="21">
        <f ca="1">SUMIF('Res Predicted Monthly'!$C:$C,B4,'Res Predicted Monthly'!D:D)</f>
        <v>617540503.80775297</v>
      </c>
      <c r="D4" s="21">
        <f>SUMIF('Res Predicted Monthly'!$C:$C,B4,'Res Predicted Monthly'!U:U)</f>
        <v>610641123.65144014</v>
      </c>
      <c r="E4" s="31">
        <f ca="1">ABS(C4-D4)/C4</f>
        <v>1.1172352442910651E-2</v>
      </c>
      <c r="F4" s="31"/>
      <c r="G4" s="23">
        <v>2009</v>
      </c>
      <c r="H4" s="21">
        <f ca="1">SUMIF('GS &lt; 50 Predicted Monthly'!$C:$C,$B4,'GS &lt; 50 Predicted Monthly'!D:D)</f>
        <v>223945291.11773852</v>
      </c>
      <c r="I4" s="21">
        <f>SUMIF('GS &lt; 50 Predicted Monthly'!$C:$C,$B4,'GS &lt; 50 Predicted Monthly'!W:W)</f>
        <v>228179096.27352336</v>
      </c>
      <c r="J4" s="31">
        <f ca="1">ABS(H4-I4)/H4</f>
        <v>1.8905533287408734E-2</v>
      </c>
      <c r="K4" s="31"/>
      <c r="L4" s="27">
        <v>2009</v>
      </c>
      <c r="M4" s="21">
        <f ca="1">SUMIF('GS &gt; 50 Predicted Monthly'!$C:$C,$B4,'GS &gt; 50 Predicted Monthly'!D:D)</f>
        <v>909941690.05462801</v>
      </c>
      <c r="N4" s="21">
        <f>SUMIF('GS &gt; 50 Predicted Monthly'!$C:$C,$B4,'GS &gt; 50 Predicted Monthly'!AC:AC)</f>
        <v>920648839.03121078</v>
      </c>
      <c r="O4" s="31">
        <f ca="1">ABS(M4-N4)/M4</f>
        <v>1.1766851759413249E-2</v>
      </c>
      <c r="Q4" s="27">
        <v>2009</v>
      </c>
      <c r="R4" s="21">
        <f ca="1">SUMIF('Intermediate Predicted Monthly'!$B:$B,$B4,'Intermediate Predicted Monthly'!C:C)</f>
        <v>51306801.944982</v>
      </c>
      <c r="S4" s="21">
        <f>SUMIF('Intermediate Predicted Monthly'!$B:$B,$B4,'Intermediate Predicted Monthly'!R:R)</f>
        <v>50129122.097767241</v>
      </c>
      <c r="T4" s="31">
        <f ca="1">ABS(R4-S4)/R4</f>
        <v>2.2953678704777269E-2</v>
      </c>
      <c r="V4" s="27">
        <v>2009</v>
      </c>
      <c r="W4" s="21">
        <f ca="1">SUMIF('Large Use Predicted Monthly'!$B:$B,$B4,'Large Use Predicted Monthly'!C:C)</f>
        <v>271865804.30218202</v>
      </c>
      <c r="X4" s="21">
        <f>SUMIF('Large Use Predicted Monthly'!$B:$B,$B4,'Large Use Predicted Monthly'!R:R)</f>
        <v>287001322.93155688</v>
      </c>
      <c r="Y4" s="31">
        <f ca="1">ABS(W4-X4)/W4</f>
        <v>5.5672756153442367E-2</v>
      </c>
    </row>
    <row r="5" spans="1:25">
      <c r="B5" s="23">
        <v>2010</v>
      </c>
      <c r="C5" s="21">
        <f ca="1">SUMIF('Res Predicted Monthly'!$C:$C,B5,'Res Predicted Monthly'!D:D)</f>
        <v>656956762.92997289</v>
      </c>
      <c r="D5" s="21">
        <f>SUMIF('Res Predicted Monthly'!$C:$C,B5,'Res Predicted Monthly'!U:U)</f>
        <v>658046618.19671106</v>
      </c>
      <c r="E5" s="31">
        <f ca="1">ABS(C5-D5)/C5</f>
        <v>1.6589451973635402E-3</v>
      </c>
      <c r="F5" s="31"/>
      <c r="G5" s="23">
        <v>2010</v>
      </c>
      <c r="H5" s="21">
        <f ca="1">SUMIF('GS &lt; 50 Predicted Monthly'!$C:$C,$B5,'GS &lt; 50 Predicted Monthly'!D:D)</f>
        <v>230145436.9724015</v>
      </c>
      <c r="I5" s="21">
        <f>SUMIF('GS &lt; 50 Predicted Monthly'!$C:$C,$B5,'GS &lt; 50 Predicted Monthly'!W:W)</f>
        <v>232004194.73914713</v>
      </c>
      <c r="J5" s="31">
        <f ca="1">ABS(H5-I5)/H5</f>
        <v>8.0764484892590967E-3</v>
      </c>
      <c r="K5" s="31"/>
      <c r="L5" s="27">
        <v>2010</v>
      </c>
      <c r="M5" s="21">
        <f ca="1">SUMIF('GS &gt; 50 Predicted Monthly'!$C:$C,$B5,'GS &gt; 50 Predicted Monthly'!D:D)</f>
        <v>949940798.24079382</v>
      </c>
      <c r="N5" s="21">
        <f>SUMIF('GS &gt; 50 Predicted Monthly'!$C:$C,$B5,'GS &gt; 50 Predicted Monthly'!AC:AC)</f>
        <v>948429680.4333024</v>
      </c>
      <c r="O5" s="31">
        <f ca="1">ABS(M5-N5)/M5</f>
        <v>1.590749455429094E-3</v>
      </c>
      <c r="Q5" s="27">
        <v>2010</v>
      </c>
      <c r="R5" s="21">
        <f ca="1">SUMIF('Intermediate Predicted Monthly'!$B:$B,$B5,'Intermediate Predicted Monthly'!C:C)</f>
        <v>49071887.882886</v>
      </c>
      <c r="S5" s="21">
        <f>SUMIF('Intermediate Predicted Monthly'!$B:$B,$B5,'Intermediate Predicted Monthly'!R:R)</f>
        <v>49300183.460214451</v>
      </c>
      <c r="T5" s="31">
        <f ca="1">ABS(R5-S5)/R5</f>
        <v>4.6522680739998568E-3</v>
      </c>
      <c r="V5" s="27">
        <v>2010</v>
      </c>
      <c r="W5" s="21">
        <f ca="1">SUMIF('Large Use Predicted Monthly'!$B:$B,$B5,'Large Use Predicted Monthly'!C:C)</f>
        <v>295089951.25607103</v>
      </c>
      <c r="X5" s="21">
        <f>SUMIF('Large Use Predicted Monthly'!$B:$B,$B5,'Large Use Predicted Monthly'!R:R)</f>
        <v>298551637.56926191</v>
      </c>
      <c r="Y5" s="31">
        <f ca="1">ABS(W5-X5)/W5</f>
        <v>1.1730952878794982E-2</v>
      </c>
    </row>
    <row r="6" spans="1:25">
      <c r="B6" s="23">
        <v>2011</v>
      </c>
      <c r="C6" s="21">
        <f ca="1">SUMIF('Res Predicted Monthly'!$C:$C,B6,'Res Predicted Monthly'!D:D)</f>
        <v>648263943.47183859</v>
      </c>
      <c r="D6" s="21">
        <f>SUMIF('Res Predicted Monthly'!$C:$C,B6,'Res Predicted Monthly'!U:U)</f>
        <v>647016007.0728209</v>
      </c>
      <c r="E6" s="31">
        <f ca="1">ABS(C6-D6)/C6</f>
        <v>1.925043667143125E-3</v>
      </c>
      <c r="F6" s="31"/>
      <c r="G6" s="23">
        <v>2011</v>
      </c>
      <c r="H6" s="21">
        <f ca="1">SUMIF('GS &lt; 50 Predicted Monthly'!$C:$C,$B6,'GS &lt; 50 Predicted Monthly'!D:D)</f>
        <v>228157622.27107728</v>
      </c>
      <c r="I6" s="21">
        <f>SUMIF('GS &lt; 50 Predicted Monthly'!$C:$C,$B6,'GS &lt; 50 Predicted Monthly'!W:W)</f>
        <v>227916309.34606376</v>
      </c>
      <c r="J6" s="31">
        <f ca="1">ABS(H6-I6)/H6</f>
        <v>1.0576588352012412E-3</v>
      </c>
      <c r="K6" s="31"/>
      <c r="L6" s="27">
        <v>2011</v>
      </c>
      <c r="M6" s="21">
        <f ca="1">SUMIF('GS &gt; 50 Predicted Monthly'!$C:$C,$B6,'GS &gt; 50 Predicted Monthly'!D:D)</f>
        <v>954716376.40186357</v>
      </c>
      <c r="N6" s="21">
        <f>SUMIF('GS &gt; 50 Predicted Monthly'!$C:$C,$B6,'GS &gt; 50 Predicted Monthly'!AC:AC)</f>
        <v>954939805.21261263</v>
      </c>
      <c r="O6" s="31">
        <f ca="1">ABS(M6-N6)/M6</f>
        <v>2.340263729329885E-4</v>
      </c>
      <c r="Q6" s="27">
        <v>2011</v>
      </c>
      <c r="R6" s="21">
        <f ca="1">SUMIF('Intermediate Predicted Monthly'!$B:$B,$B6,'Intermediate Predicted Monthly'!C:C)</f>
        <v>48794571.150462002</v>
      </c>
      <c r="S6" s="21">
        <f>SUMIF('Intermediate Predicted Monthly'!$B:$B,$B6,'Intermediate Predicted Monthly'!R:R)</f>
        <v>48471244.822661653</v>
      </c>
      <c r="T6" s="31">
        <f ca="1">ABS(R6-S6)/R6</f>
        <v>6.6262766569531997E-3</v>
      </c>
      <c r="V6" s="27">
        <v>2011</v>
      </c>
      <c r="W6" s="21">
        <f ca="1">SUMIF('Large Use Predicted Monthly'!$B:$B,$B6,'Large Use Predicted Monthly'!C:C)</f>
        <v>321215291.54792941</v>
      </c>
      <c r="X6" s="21">
        <f>SUMIF('Large Use Predicted Monthly'!$B:$B,$B6,'Large Use Predicted Monthly'!R:R)</f>
        <v>301853268.66275126</v>
      </c>
      <c r="Y6" s="31">
        <f ca="1">ABS(W6-X6)/W6</f>
        <v>6.0277400841887034E-2</v>
      </c>
    </row>
    <row r="7" spans="1:25">
      <c r="B7" s="29">
        <v>2012</v>
      </c>
      <c r="C7" s="21">
        <f ca="1">SUMIF('Res Predicted Monthly'!$C:$C,B7,'Res Predicted Monthly'!D:D)</f>
        <v>644174271.28043866</v>
      </c>
      <c r="D7" s="21">
        <f>SUMIF('Res Predicted Monthly'!$C:$C,B7,'Res Predicted Monthly'!U:U)</f>
        <v>639510922.86208272</v>
      </c>
      <c r="E7" s="31">
        <f ca="1">ABS(C7-D7)/C7</f>
        <v>7.2392652520668153E-3</v>
      </c>
      <c r="F7" s="31"/>
      <c r="G7" s="29">
        <v>2012</v>
      </c>
      <c r="H7" s="21">
        <f ca="1">SUMIF('GS &lt; 50 Predicted Monthly'!$C:$C,$B7,'GS &lt; 50 Predicted Monthly'!D:D)</f>
        <v>227061141.62152532</v>
      </c>
      <c r="I7" s="21">
        <f>SUMIF('GS &lt; 50 Predicted Monthly'!$C:$C,$B7,'GS &lt; 50 Predicted Monthly'!W:W)</f>
        <v>226476052.58832425</v>
      </c>
      <c r="J7" s="31">
        <f ca="1">ABS(H7-I7)/H7</f>
        <v>2.5767906785931637E-3</v>
      </c>
      <c r="K7" s="31"/>
      <c r="L7" s="29">
        <v>2012</v>
      </c>
      <c r="M7" s="21">
        <f ca="1">SUMIF('GS &gt; 50 Predicted Monthly'!$C:$C,$B7,'GS &gt; 50 Predicted Monthly'!D:D)</f>
        <v>947601280.21338153</v>
      </c>
      <c r="N7" s="21">
        <f>SUMIF('GS &gt; 50 Predicted Monthly'!$C:$C,$B7,'GS &gt; 50 Predicted Monthly'!AC:AC)</f>
        <v>952358557.35848093</v>
      </c>
      <c r="O7" s="31">
        <f ca="1">ABS(M7-N7)/M7</f>
        <v>5.0203363423360452E-3</v>
      </c>
      <c r="P7" s="29"/>
      <c r="Q7" s="29">
        <v>2012</v>
      </c>
      <c r="R7" s="21">
        <f ca="1">SUMIF('Intermediate Predicted Monthly'!$B:$B,$B7,'Intermediate Predicted Monthly'!C:C)</f>
        <v>45796604.320539199</v>
      </c>
      <c r="S7" s="21">
        <f>SUMIF('Intermediate Predicted Monthly'!$B:$B,$B7,'Intermediate Predicted Monthly'!R:R)</f>
        <v>47790598.706022672</v>
      </c>
      <c r="T7" s="31">
        <f ca="1">ABS(R7-S7)/R7</f>
        <v>4.3540223452532098E-2</v>
      </c>
      <c r="V7" s="29">
        <v>2012</v>
      </c>
      <c r="W7" s="21">
        <f ca="1">SUMIF('Large Use Predicted Monthly'!$B:$B,$B7,'Large Use Predicted Monthly'!C:C)</f>
        <v>307352197.44654351</v>
      </c>
      <c r="X7" s="21">
        <f>SUMIF('Large Use Predicted Monthly'!$B:$B,$B7,'Large Use Predicted Monthly'!R:R)</f>
        <v>304940815.92822284</v>
      </c>
      <c r="Y7" s="31">
        <f ca="1">ABS(W7-X7)/W7</f>
        <v>7.8456622023666545E-3</v>
      </c>
    </row>
    <row r="8" spans="1:25">
      <c r="B8" s="23">
        <v>2013</v>
      </c>
      <c r="C8" s="21">
        <f ca="1">SUMIF('Res Predicted Monthly'!$C:$C,B8,'Res Predicted Monthly'!D:D)</f>
        <v>632113222.13424337</v>
      </c>
      <c r="D8" s="21">
        <f>SUMIF('Res Predicted Monthly'!$C:$C,B8,'Res Predicted Monthly'!U:U)</f>
        <v>633098920.73328161</v>
      </c>
      <c r="E8" s="31">
        <f ca="1">ABS(C8-D8)/C8</f>
        <v>1.5593703224719259E-3</v>
      </c>
      <c r="F8" s="31"/>
      <c r="G8" s="23">
        <v>2013</v>
      </c>
      <c r="H8" s="21">
        <f ca="1">SUMIF('GS &lt; 50 Predicted Monthly'!$C:$C,$B8,'GS &lt; 50 Predicted Monthly'!D:D)</f>
        <v>228735100.86723283</v>
      </c>
      <c r="I8" s="21">
        <f>SUMIF('GS &lt; 50 Predicted Monthly'!$C:$C,$B8,'GS &lt; 50 Predicted Monthly'!W:W)</f>
        <v>224102281.45264685</v>
      </c>
      <c r="J8" s="31">
        <f ca="1">ABS(H8-I8)/H8</f>
        <v>2.025408167360835E-2</v>
      </c>
      <c r="K8" s="31"/>
      <c r="L8" s="27">
        <v>2013</v>
      </c>
      <c r="M8" s="21">
        <f ca="1">SUMIF('GS &gt; 50 Predicted Monthly'!$C:$C,$B8,'GS &gt; 50 Predicted Monthly'!D:D)</f>
        <v>960846806.29165292</v>
      </c>
      <c r="N8" s="21">
        <f>SUMIF('GS &gt; 50 Predicted Monthly'!$C:$C,$B8,'GS &gt; 50 Predicted Monthly'!AC:AC)</f>
        <v>963176216.27468419</v>
      </c>
      <c r="O8" s="31">
        <f ca="1">ABS(M8-N8)/M8</f>
        <v>2.4243302551231146E-3</v>
      </c>
      <c r="Q8" s="27">
        <v>2013</v>
      </c>
      <c r="R8" s="21">
        <f ca="1">SUMIF('Intermediate Predicted Monthly'!$B:$B,$B8,'Intermediate Predicted Monthly'!C:C)</f>
        <v>45730148.676554747</v>
      </c>
      <c r="S8" s="21">
        <f>SUMIF('Intermediate Predicted Monthly'!$B:$B,$B8,'Intermediate Predicted Monthly'!R:R)</f>
        <v>46813367.547556072</v>
      </c>
      <c r="T8" s="31">
        <f ca="1">ABS(R8-S8)/R8</f>
        <v>2.368719329260956E-2</v>
      </c>
      <c r="V8" s="27">
        <v>2013</v>
      </c>
      <c r="W8" s="21">
        <f ca="1">SUMIF('Large Use Predicted Monthly'!$B:$B,$B8,'Large Use Predicted Monthly'!C:C)</f>
        <v>301275992.14380634</v>
      </c>
      <c r="X8" s="21">
        <f>SUMIF('Large Use Predicted Monthly'!$B:$B,$B8,'Large Use Predicted Monthly'!R:R)</f>
        <v>306642082.15056467</v>
      </c>
      <c r="Y8" s="31">
        <f ca="1">ABS(W8-X8)/W8</f>
        <v>1.7811210141818957E-2</v>
      </c>
    </row>
    <row r="9" spans="1:25">
      <c r="B9" s="23">
        <v>2014</v>
      </c>
      <c r="C9" s="21">
        <f ca="1">SUMIF('Res Predicted Monthly'!$C:$C,B9,'Res Predicted Monthly'!D:D)</f>
        <v>615560426.75518167</v>
      </c>
      <c r="D9" s="21">
        <f>SUMIF('Res Predicted Monthly'!$C:$C,B9,'Res Predicted Monthly'!U:U)</f>
        <v>620444986.65971637</v>
      </c>
      <c r="E9" s="31">
        <f t="shared" ref="E9:E12" ca="1" si="0">ABS(C9-D9)/C9</f>
        <v>7.9351428263229884E-3</v>
      </c>
      <c r="F9" s="31"/>
      <c r="G9" s="23">
        <v>2014</v>
      </c>
      <c r="H9" s="21">
        <f ca="1">SUMIF('GS &lt; 50 Predicted Monthly'!$C:$C,$B9,'GS &lt; 50 Predicted Monthly'!D:D)</f>
        <v>224527430.36044165</v>
      </c>
      <c r="I9" s="21">
        <f>SUMIF('GS &lt; 50 Predicted Monthly'!$C:$C,$B9,'GS &lt; 50 Predicted Monthly'!W:W)</f>
        <v>220240737.32231927</v>
      </c>
      <c r="J9" s="31">
        <f t="shared" ref="J9:J12" ca="1" si="1">ABS(H9-I9)/H9</f>
        <v>1.90920683109445E-2</v>
      </c>
      <c r="K9" s="31"/>
      <c r="L9" s="27">
        <v>2014</v>
      </c>
      <c r="M9" s="21">
        <f ca="1">SUMIF('GS &gt; 50 Predicted Monthly'!$C:$C,$B9,'GS &gt; 50 Predicted Monthly'!D:D)</f>
        <v>996483234.68108225</v>
      </c>
      <c r="N9" s="21">
        <f>SUMIF('GS &gt; 50 Predicted Monthly'!$C:$C,$B9,'GS &gt; 50 Predicted Monthly'!AC:AC)</f>
        <v>972368458.52510858</v>
      </c>
      <c r="O9" s="31">
        <f t="shared" ref="O9:O12" ca="1" si="2">ABS(M9-N9)/M9</f>
        <v>2.4199881459813465E-2</v>
      </c>
      <c r="Q9" s="27">
        <v>2014</v>
      </c>
      <c r="R9" s="21">
        <f ca="1">SUMIF('Intermediate Predicted Monthly'!$B:$B,$B9,'Intermediate Predicted Monthly'!C:C)</f>
        <v>47596960.830868289</v>
      </c>
      <c r="S9" s="21">
        <f>SUMIF('Intermediate Predicted Monthly'!$B:$B,$B9,'Intermediate Predicted Monthly'!R:R)</f>
        <v>45984428.910003282</v>
      </c>
      <c r="T9" s="31">
        <f t="shared" ref="T9:T12" ca="1" si="3">ABS(R9-S9)/R9</f>
        <v>3.3878884128652677E-2</v>
      </c>
      <c r="V9" s="27">
        <v>2014</v>
      </c>
      <c r="W9" s="21">
        <f ca="1">SUMIF('Large Use Predicted Monthly'!$B:$B,$B9,'Large Use Predicted Monthly'!C:C)</f>
        <v>312895351.29912758</v>
      </c>
      <c r="X9" s="21">
        <f>SUMIF('Large Use Predicted Monthly'!$B:$B,$B9,'Large Use Predicted Monthly'!R:R)</f>
        <v>306448429.57663774</v>
      </c>
      <c r="Y9" s="31">
        <f t="shared" ref="Y9:Y12" ca="1" si="4">ABS(W9-X9)/W9</f>
        <v>2.0604082789093866E-2</v>
      </c>
    </row>
    <row r="10" spans="1:25">
      <c r="B10" s="23">
        <v>2015</v>
      </c>
      <c r="C10" s="21">
        <f ca="1">SUMIF('Res Predicted Monthly'!$C:$C,B10,'Res Predicted Monthly'!D:D)</f>
        <v>611654935.04250789</v>
      </c>
      <c r="D10" s="21">
        <f>SUMIF('Res Predicted Monthly'!$C:$C,B10,'Res Predicted Monthly'!U:U)</f>
        <v>626091053.58715141</v>
      </c>
      <c r="E10" s="31">
        <f t="shared" ca="1" si="0"/>
        <v>2.3601736400018194E-2</v>
      </c>
      <c r="F10" s="31"/>
      <c r="G10" s="23">
        <v>2015</v>
      </c>
      <c r="H10" s="21">
        <f ca="1">SUMIF('GS &lt; 50 Predicted Monthly'!$C:$C,$B10,'GS &lt; 50 Predicted Monthly'!D:D)</f>
        <v>221869668.08081797</v>
      </c>
      <c r="I10" s="21">
        <f>SUMIF('GS &lt; 50 Predicted Monthly'!$C:$C,$B10,'GS &lt; 50 Predicted Monthly'!W:W)</f>
        <v>219715639.12522668</v>
      </c>
      <c r="J10" s="31">
        <f t="shared" ca="1" si="1"/>
        <v>9.70853282570679E-3</v>
      </c>
      <c r="K10" s="31"/>
      <c r="L10" s="27">
        <v>2015</v>
      </c>
      <c r="M10" s="21">
        <f ca="1">SUMIF('GS &gt; 50 Predicted Monthly'!$C:$C,$B10,'GS &gt; 50 Predicted Monthly'!D:D)</f>
        <v>981032453.65475094</v>
      </c>
      <c r="N10" s="21">
        <f>SUMIF('GS &gt; 50 Predicted Monthly'!$C:$C,$B10,'GS &gt; 50 Predicted Monthly'!AC:AC)</f>
        <v>979401734.81302142</v>
      </c>
      <c r="O10" s="31">
        <f t="shared" ca="1" si="2"/>
        <v>1.6622476001221171E-3</v>
      </c>
      <c r="Q10" s="27">
        <v>2015</v>
      </c>
      <c r="R10" s="21">
        <f ca="1">SUMIF('Intermediate Predicted Monthly'!$B:$B,$B10,'Intermediate Predicted Monthly'!C:C)</f>
        <v>44614255.999194153</v>
      </c>
      <c r="S10" s="21">
        <f>SUMIF('Intermediate Predicted Monthly'!$B:$B,$B10,'Intermediate Predicted Monthly'!R:R)</f>
        <v>45155490.272450492</v>
      </c>
      <c r="T10" s="31">
        <f t="shared" ca="1" si="3"/>
        <v>1.2131419904572996E-2</v>
      </c>
      <c r="V10" s="27">
        <v>2015</v>
      </c>
      <c r="W10" s="21">
        <f ca="1">SUMIF('Large Use Predicted Monthly'!$B:$B,$B10,'Large Use Predicted Monthly'!C:C)</f>
        <v>311302177.58975667</v>
      </c>
      <c r="X10" s="21">
        <f>SUMIF('Large Use Predicted Monthly'!$B:$B,$B10,'Large Use Predicted Monthly'!R:R)</f>
        <v>310915961.97709024</v>
      </c>
      <c r="Y10" s="31">
        <f t="shared" ca="1" si="4"/>
        <v>1.240645393670823E-3</v>
      </c>
    </row>
    <row r="11" spans="1:25" s="91" customFormat="1">
      <c r="B11" s="91">
        <v>2016</v>
      </c>
      <c r="C11" s="21">
        <f ca="1">SUMIF('Res Predicted Monthly'!$C:$C,B11,'Res Predicted Monthly'!D:D)</f>
        <v>640933751.72296906</v>
      </c>
      <c r="D11" s="21">
        <f>SUMIF('Res Predicted Monthly'!$C:$C,B11,'Res Predicted Monthly'!U:U)</f>
        <v>648273576.93442345</v>
      </c>
      <c r="E11" s="31">
        <f t="shared" ref="E11" ca="1" si="5">ABS(C11-D11)/C11</f>
        <v>1.1451768910161695E-2</v>
      </c>
      <c r="F11" s="31"/>
      <c r="G11" s="91">
        <v>2016</v>
      </c>
      <c r="H11" s="21">
        <f ca="1">SUMIF('GS &lt; 50 Predicted Monthly'!$C:$C,$B11,'GS &lt; 50 Predicted Monthly'!D:D)</f>
        <v>223883451.05132008</v>
      </c>
      <c r="I11" s="21">
        <f>SUMIF('GS &lt; 50 Predicted Monthly'!$C:$C,$B11,'GS &lt; 50 Predicted Monthly'!W:W)</f>
        <v>222422922.21992406</v>
      </c>
      <c r="J11" s="31">
        <f t="shared" ref="J11" ca="1" si="6">ABS(H11-I11)/H11</f>
        <v>6.523612283702118E-3</v>
      </c>
      <c r="K11" s="31"/>
      <c r="L11" s="91">
        <v>2016</v>
      </c>
      <c r="M11" s="21">
        <f ca="1">SUMIF('GS &gt; 50 Predicted Monthly'!$C:$C,$B11,'GS &gt; 50 Predicted Monthly'!D:D)</f>
        <v>1003091875.9216123</v>
      </c>
      <c r="N11" s="21">
        <f>SUMIF('GS &gt; 50 Predicted Monthly'!$C:$C,$B11,'GS &gt; 50 Predicted Monthly'!AC:AC)</f>
        <v>996290180.35569298</v>
      </c>
      <c r="O11" s="31">
        <f t="shared" ref="O11" ca="1" si="7">ABS(M11-N11)/M11</f>
        <v>6.7807303888988988E-3</v>
      </c>
      <c r="Q11" s="91">
        <v>2016</v>
      </c>
      <c r="R11" s="21">
        <f ca="1">SUMIF('Intermediate Predicted Monthly'!$B:$B,$B11,'Intermediate Predicted Monthly'!C:C)</f>
        <v>44469363.588965133</v>
      </c>
      <c r="S11" s="21">
        <f>SUMIF('Intermediate Predicted Monthly'!$B:$B,$B11,'Intermediate Predicted Monthly'!R:R)</f>
        <v>44474844.155811496</v>
      </c>
      <c r="T11" s="31">
        <f t="shared" ref="T11" ca="1" si="8">ABS(R11-S11)/R11</f>
        <v>1.2324365369877305E-4</v>
      </c>
      <c r="V11" s="91">
        <v>2016</v>
      </c>
      <c r="W11" s="21">
        <f ca="1">SUMIF('Large Use Predicted Monthly'!$B:$B,$B11,'Large Use Predicted Monthly'!C:C)</f>
        <v>328714008.20688087</v>
      </c>
      <c r="X11" s="21">
        <f>SUMIF('Large Use Predicted Monthly'!$B:$B,$B11,'Large Use Predicted Monthly'!R:R)</f>
        <v>318896688.26101142</v>
      </c>
      <c r="Y11" s="31">
        <f t="shared" ref="Y11" ca="1" si="9">ABS(W11-X11)/W11</f>
        <v>2.986583991178975E-2</v>
      </c>
    </row>
    <row r="12" spans="1:25">
      <c r="B12" s="23">
        <v>2017</v>
      </c>
      <c r="C12" s="21">
        <f ca="1">SUMIF('Res Predicted Monthly'!$C:$C,B12,'Res Predicted Monthly'!D:D)</f>
        <v>615171812.19052064</v>
      </c>
      <c r="D12" s="21">
        <f>SUMIF('Res Predicted Monthly'!$C:$C,B12,'Res Predicted Monthly'!U:U)</f>
        <v>618202538.90050447</v>
      </c>
      <c r="E12" s="31">
        <f t="shared" ca="1" si="0"/>
        <v>4.9266345595256238E-3</v>
      </c>
      <c r="F12" s="31"/>
      <c r="G12" s="23">
        <v>2017</v>
      </c>
      <c r="H12" s="21">
        <f ca="1">SUMIF('GS &lt; 50 Predicted Monthly'!$C:$C,$B12,'GS &lt; 50 Predicted Monthly'!D:D)</f>
        <v>211777974.07916123</v>
      </c>
      <c r="I12" s="21">
        <f>SUMIF('GS &lt; 50 Predicted Monthly'!$C:$C,$B12,'GS &lt; 50 Predicted Monthly'!W:W)</f>
        <v>214498803.61175415</v>
      </c>
      <c r="J12" s="31">
        <f t="shared" ca="1" si="1"/>
        <v>1.28475567132203E-2</v>
      </c>
      <c r="K12" s="31"/>
      <c r="L12" s="27">
        <v>2017</v>
      </c>
      <c r="M12" s="21">
        <f ca="1">SUMIF('GS &gt; 50 Predicted Monthly'!$C:$C,$B12,'GS &gt; 50 Predicted Monthly'!D:D)</f>
        <v>992815529.12761188</v>
      </c>
      <c r="N12" s="21">
        <f>SUMIF('GS &gt; 50 Predicted Monthly'!$C:$C,$B12,'GS &gt; 50 Predicted Monthly'!AC:AC)</f>
        <v>995908628.5250417</v>
      </c>
      <c r="O12" s="31">
        <f t="shared" ca="1" si="2"/>
        <v>3.1154824906372424E-3</v>
      </c>
      <c r="Q12" s="27">
        <v>2017</v>
      </c>
      <c r="R12" s="21">
        <f ca="1">SUMIF('Intermediate Predicted Monthly'!$B:$B,$B12,'Intermediate Predicted Monthly'!C:C)</f>
        <v>44747913.183567218</v>
      </c>
      <c r="S12" s="21">
        <f>SUMIF('Intermediate Predicted Monthly'!$B:$B,$B12,'Intermediate Predicted Monthly'!R:R)</f>
        <v>43497612.997344896</v>
      </c>
      <c r="T12" s="31">
        <f t="shared" ca="1" si="3"/>
        <v>2.7940971930764141E-2</v>
      </c>
      <c r="V12" s="27">
        <v>2017</v>
      </c>
      <c r="W12" s="21">
        <f ca="1">SUMIF('Large Use Predicted Monthly'!$B:$B,$B12,'Large Use Predicted Monthly'!C:C)</f>
        <v>310049536.61043382</v>
      </c>
      <c r="X12" s="21">
        <f>SUMIF('Large Use Predicted Monthly'!$B:$B,$B12,'Large Use Predicted Monthly'!R:R)</f>
        <v>319187695.67185652</v>
      </c>
      <c r="Y12" s="31">
        <f t="shared" ca="1" si="4"/>
        <v>2.9473222767316943E-2</v>
      </c>
    </row>
    <row r="13" spans="1:25" s="183" customFormat="1">
      <c r="B13" s="183">
        <v>2018</v>
      </c>
      <c r="C13" s="21">
        <f ca="1">SUMIF('Res Predicted Monthly'!$C:$C,B13,'Res Predicted Monthly'!D:D)</f>
        <v>671815776.26874053</v>
      </c>
      <c r="D13" s="21">
        <f>SUMIF('Res Predicted Monthly'!$C:$C,B13,'Res Predicted Monthly'!U:U)</f>
        <v>652859657.00602305</v>
      </c>
      <c r="E13" s="31">
        <f t="shared" ref="E13" ca="1" si="10">ABS(C13-D13)/C13</f>
        <v>2.821624607864915E-2</v>
      </c>
      <c r="F13" s="31"/>
      <c r="G13" s="183">
        <v>2018</v>
      </c>
      <c r="H13" s="21">
        <f ca="1">SUMIF('GS &lt; 50 Predicted Monthly'!$C:$C,$B13,'GS &lt; 50 Predicted Monthly'!D:D)</f>
        <v>213277739.4038524</v>
      </c>
      <c r="I13" s="21">
        <f>SUMIF('GS &lt; 50 Predicted Monthly'!$C:$C,$B13,'GS &lt; 50 Predicted Monthly'!W:W)</f>
        <v>217824819.14663783</v>
      </c>
      <c r="J13" s="31">
        <f t="shared" ref="J13" ca="1" si="11">ABS(H13-I13)/H13</f>
        <v>2.1319992210604287E-2</v>
      </c>
      <c r="K13" s="31"/>
      <c r="L13" s="183">
        <v>2018</v>
      </c>
      <c r="M13" s="21">
        <f ca="1">SUMIF('GS &gt; 50 Predicted Monthly'!$C:$C,$B13,'GS &gt; 50 Predicted Monthly'!D:D)</f>
        <v>1011503943.6054814</v>
      </c>
      <c r="N13" s="21">
        <f>SUMIF('GS &gt; 50 Predicted Monthly'!$C:$C,$B13,'GS &gt; 50 Predicted Monthly'!AC:AC)</f>
        <v>1024451887.6636877</v>
      </c>
      <c r="O13" s="31">
        <f t="shared" ref="O13" ca="1" si="12">ABS(M13-N13)/M13</f>
        <v>1.2800685691895264E-2</v>
      </c>
      <c r="Q13" s="183">
        <v>2018</v>
      </c>
      <c r="R13" s="21">
        <f ca="1">SUMIF('Intermediate Predicted Monthly'!$B:$B,$B13,'Intermediate Predicted Monthly'!C:C)</f>
        <v>42157059.751604393</v>
      </c>
      <c r="S13" s="21">
        <f>SUMIF('Intermediate Predicted Monthly'!$B:$B,$B13,'Intermediate Predicted Monthly'!R:R)</f>
        <v>42668674.359792106</v>
      </c>
      <c r="T13" s="31">
        <f t="shared" ref="T13" ca="1" si="13">ABS(R13-S13)/R13</f>
        <v>1.2135917713479577E-2</v>
      </c>
      <c r="V13" s="183">
        <v>2018</v>
      </c>
      <c r="W13" s="21">
        <f ca="1">SUMIF('Large Use Predicted Monthly'!$B:$B,$B13,'Large Use Predicted Monthly'!C:C)</f>
        <v>322964807.86437124</v>
      </c>
      <c r="X13" s="21">
        <f>SUMIF('Large Use Predicted Monthly'!$B:$B,$B13,'Large Use Predicted Monthly'!R:R)</f>
        <v>328287215.538149</v>
      </c>
      <c r="Y13" s="31">
        <f t="shared" ref="Y13" ca="1" si="14">ABS(W13-X13)/W13</f>
        <v>1.647983787760832E-2</v>
      </c>
    </row>
    <row r="14" spans="1:25">
      <c r="L14" s="27"/>
      <c r="M14" s="27"/>
      <c r="N14" s="27"/>
      <c r="O14" s="27"/>
      <c r="Q14" s="27"/>
      <c r="R14" s="27"/>
      <c r="S14" s="27"/>
      <c r="T14" s="27"/>
      <c r="V14" s="27"/>
      <c r="W14" s="27"/>
      <c r="X14" s="27"/>
      <c r="Y14" s="27"/>
    </row>
    <row r="15" spans="1:25">
      <c r="B15" s="270" t="s">
        <v>134</v>
      </c>
      <c r="C15" s="270"/>
      <c r="D15" s="270"/>
      <c r="E15" s="34">
        <f ca="1">AVERAGE(E4:E13)</f>
        <v>9.9686505656633694E-3</v>
      </c>
      <c r="F15" s="34"/>
      <c r="G15" s="270" t="s">
        <v>134</v>
      </c>
      <c r="H15" s="270"/>
      <c r="I15" s="270"/>
      <c r="J15" s="34">
        <f ca="1">AVERAGE(J4:J13)</f>
        <v>1.2036227530824856E-2</v>
      </c>
      <c r="K15" s="34"/>
      <c r="L15" s="270" t="s">
        <v>134</v>
      </c>
      <c r="M15" s="270"/>
      <c r="N15" s="270"/>
      <c r="O15" s="34">
        <f ca="1">AVERAGE(O4:O13)</f>
        <v>6.9595321816601479E-3</v>
      </c>
      <c r="P15" s="27"/>
      <c r="Q15" s="270" t="s">
        <v>134</v>
      </c>
      <c r="R15" s="270"/>
      <c r="S15" s="270"/>
      <c r="T15" s="34">
        <f ca="1">AVERAGE(T4:T13)</f>
        <v>1.8767007751204018E-2</v>
      </c>
      <c r="V15" s="270" t="s">
        <v>134</v>
      </c>
      <c r="W15" s="270"/>
      <c r="X15" s="270"/>
      <c r="Y15" s="34">
        <f ca="1">AVERAGE(Y4:Y13)</f>
        <v>2.5100161095778971E-2</v>
      </c>
    </row>
    <row r="16" spans="1:25">
      <c r="B16" s="270" t="s">
        <v>135</v>
      </c>
      <c r="C16" s="270"/>
      <c r="D16" s="270"/>
      <c r="E16" s="34">
        <f ca="1">'Res Predicted Monthly'!V122</f>
        <v>2.4183838499665534E-2</v>
      </c>
      <c r="F16" s="34"/>
      <c r="G16" s="270" t="s">
        <v>135</v>
      </c>
      <c r="H16" s="270"/>
      <c r="I16" s="270"/>
      <c r="J16" s="34">
        <f ca="1">'GS &lt; 50 Predicted Monthly'!X122</f>
        <v>1.5969952708593707E-2</v>
      </c>
      <c r="K16" s="34"/>
      <c r="L16" s="270" t="s">
        <v>135</v>
      </c>
      <c r="M16" s="270"/>
      <c r="N16" s="270"/>
      <c r="O16" s="34">
        <f ca="1">'GS &gt; 50 Predicted Monthly'!AD122</f>
        <v>1.3719499970153934E-2</v>
      </c>
      <c r="P16" s="27"/>
      <c r="Q16" s="270" t="s">
        <v>135</v>
      </c>
      <c r="R16" s="270"/>
      <c r="S16" s="270"/>
      <c r="T16" s="34">
        <f ca="1">'Intermediate Predicted Monthly'!S122</f>
        <v>5.364180076752751E-2</v>
      </c>
      <c r="V16" s="270" t="s">
        <v>135</v>
      </c>
      <c r="W16" s="270"/>
      <c r="X16" s="270"/>
      <c r="Y16" s="34">
        <f ca="1">'Large Use Predicted Monthly'!S122</f>
        <v>4.007244989941746E-2</v>
      </c>
    </row>
    <row r="56" spans="7:25">
      <c r="L56" s="183"/>
      <c r="M56" s="269" t="s">
        <v>131</v>
      </c>
      <c r="N56" s="269"/>
      <c r="O56" s="20" t="s">
        <v>129</v>
      </c>
      <c r="V56" s="183"/>
      <c r="W56" s="271" t="s">
        <v>185</v>
      </c>
      <c r="X56" s="269"/>
      <c r="Y56" s="20" t="s">
        <v>129</v>
      </c>
    </row>
    <row r="57" spans="7:25">
      <c r="G57" s="183"/>
      <c r="H57" s="272"/>
      <c r="I57" s="272"/>
      <c r="J57" s="20"/>
      <c r="L57" s="183"/>
      <c r="M57" s="20" t="s">
        <v>132</v>
      </c>
      <c r="N57" s="25" t="s">
        <v>125</v>
      </c>
      <c r="O57" s="20" t="s">
        <v>133</v>
      </c>
      <c r="V57" s="183"/>
      <c r="W57" s="20" t="s">
        <v>132</v>
      </c>
      <c r="X57" s="25" t="s">
        <v>125</v>
      </c>
      <c r="Y57" s="20" t="s">
        <v>133</v>
      </c>
    </row>
    <row r="58" spans="7:25">
      <c r="G58" s="183"/>
      <c r="H58" s="20"/>
      <c r="I58" s="25"/>
      <c r="J58" s="20"/>
      <c r="L58" s="183">
        <v>2009</v>
      </c>
      <c r="M58" s="21">
        <f ca="1">SUMIF('GS &gt; 50 Predicted Monthly (LC)'!$B:$B,$L58,'GS &gt; 50 Predicted Monthly (LC)'!C:C)</f>
        <v>907775263.65007961</v>
      </c>
      <c r="N58" s="21">
        <f>SUMIF('GS &gt; 50 Predicted Monthly (LC)'!$B:$B,$L58,'GS &gt; 50 Predicted Monthly (LC)'!AB:AB)</f>
        <v>918274946.71483088</v>
      </c>
      <c r="O58" s="31">
        <f ca="1">ABS(M58-N58)/M58</f>
        <v>1.15663903668547E-2</v>
      </c>
      <c r="V58" s="183">
        <v>2009</v>
      </c>
      <c r="W58" s="21">
        <f ca="1">SUMIF('Large Use Predicted Monthly (L)'!$B:$B,$V58,'Large Use Predicted Monthly (L)'!C:C)</f>
        <v>238942133.03112504</v>
      </c>
      <c r="X58" s="21">
        <f>SUMIF('Large Use Predicted Monthly (L)'!$B:$B,$V58,'Large Use Predicted Monthly (L)'!R:R)</f>
        <v>242508635.22703955</v>
      </c>
      <c r="Y58" s="31">
        <f ca="1">ABS(W58-X58)/W58</f>
        <v>1.492621728395606E-2</v>
      </c>
    </row>
    <row r="59" spans="7:25">
      <c r="G59" s="183"/>
      <c r="H59" s="21"/>
      <c r="I59" s="21"/>
      <c r="J59" s="31"/>
      <c r="L59" s="183">
        <v>2010</v>
      </c>
      <c r="M59" s="21">
        <f ca="1">SUMIF('GS &gt; 50 Predicted Monthly (LC)'!$B:$B,$L59,'GS &gt; 50 Predicted Monthly (LC)'!C:C)</f>
        <v>947551859.48200023</v>
      </c>
      <c r="N59" s="21">
        <f>SUMIF('GS &gt; 50 Predicted Monthly (LC)'!$B:$B,$L59,'GS &gt; 50 Predicted Monthly (LC)'!AB:AB)</f>
        <v>945960726.86862266</v>
      </c>
      <c r="O59" s="31">
        <f ca="1">ABS(M59-N59)/M59</f>
        <v>1.6792037263769375E-3</v>
      </c>
      <c r="V59" s="183">
        <v>2010</v>
      </c>
      <c r="W59" s="21">
        <f ca="1">SUMIF('Large Use Predicted Monthly (L)'!$B:$B,$V59,'Large Use Predicted Monthly (L)'!C:C)</f>
        <v>244472233.66514638</v>
      </c>
      <c r="X59" s="21">
        <f>SUMIF('Large Use Predicted Monthly (L)'!$B:$B,$V59,'Large Use Predicted Monthly (L)'!R:R)</f>
        <v>252513419.58662128</v>
      </c>
      <c r="Y59" s="31">
        <f ca="1">ABS(W59-X59)/W59</f>
        <v>3.2892021318416537E-2</v>
      </c>
    </row>
    <row r="60" spans="7:25">
      <c r="G60" s="183"/>
      <c r="H60" s="21"/>
      <c r="I60" s="21"/>
      <c r="J60" s="31"/>
      <c r="L60" s="183">
        <v>2011</v>
      </c>
      <c r="M60" s="21">
        <f ca="1">SUMIF('GS &gt; 50 Predicted Monthly (LC)'!$B:$B,$L60,'GS &gt; 50 Predicted Monthly (LC)'!C:C)</f>
        <v>950853579.726524</v>
      </c>
      <c r="N60" s="21">
        <f>SUMIF('GS &gt; 50 Predicted Monthly (LC)'!$B:$B,$L60,'GS &gt; 50 Predicted Monthly (LC)'!AB:AB)</f>
        <v>952389311.26367855</v>
      </c>
      <c r="O60" s="31">
        <f ca="1">ABS(M60-N60)/M60</f>
        <v>1.6151083299242022E-3</v>
      </c>
      <c r="V60" s="183">
        <v>2011</v>
      </c>
      <c r="W60" s="21">
        <f ca="1">SUMIF('Large Use Predicted Monthly (L)'!$B:$B,$V60,'Large Use Predicted Monthly (L)'!C:C)</f>
        <v>258504691.02363744</v>
      </c>
      <c r="X60" s="21">
        <f>SUMIF('Large Use Predicted Monthly (L)'!$B:$B,$V60,'Large Use Predicted Monthly (L)'!R:R)</f>
        <v>253846097.48299971</v>
      </c>
      <c r="Y60" s="31">
        <f ca="1">ABS(W60-X60)/W60</f>
        <v>1.8021311420657174E-2</v>
      </c>
    </row>
    <row r="61" spans="7:25">
      <c r="G61" s="183"/>
      <c r="H61" s="21"/>
      <c r="I61" s="21"/>
      <c r="J61" s="31"/>
      <c r="L61" s="29">
        <v>2012</v>
      </c>
      <c r="M61" s="21">
        <f ca="1">SUMIF('GS &gt; 50 Predicted Monthly (LC)'!$B:$B,$L61,'GS &gt; 50 Predicted Monthly (LC)'!C:C)</f>
        <v>944819020.0418483</v>
      </c>
      <c r="N61" s="21">
        <f>SUMIF('GS &gt; 50 Predicted Monthly (LC)'!$B:$B,$L61,'GS &gt; 50 Predicted Monthly (LC)'!AB:AB)</f>
        <v>949771141.40007782</v>
      </c>
      <c r="O61" s="31">
        <f ca="1">ABS(M61-N61)/M61</f>
        <v>5.2413438480632792E-3</v>
      </c>
      <c r="V61" s="29">
        <v>2012</v>
      </c>
      <c r="W61" s="21">
        <f ca="1">SUMIF('Large Use Predicted Monthly (L)'!$B:$B,$V61,'Large Use Predicted Monthly (L)'!C:C)</f>
        <v>258686257.46320164</v>
      </c>
      <c r="X61" s="21">
        <f>SUMIF('Large Use Predicted Monthly (L)'!$B:$B,$V61,'Large Use Predicted Monthly (L)'!R:R)</f>
        <v>256069851.58864415</v>
      </c>
      <c r="Y61" s="31">
        <f ca="1">ABS(W61-X61)/W61</f>
        <v>1.0114205138746812E-2</v>
      </c>
    </row>
    <row r="62" spans="7:25">
      <c r="G62" s="29"/>
      <c r="H62" s="21"/>
      <c r="I62" s="232" t="s">
        <v>294</v>
      </c>
      <c r="J62" s="31"/>
      <c r="L62" s="183">
        <v>2013</v>
      </c>
      <c r="M62" s="21">
        <f ca="1">SUMIF('GS &gt; 50 Predicted Monthly (LC)'!$B:$B,$L62,'GS &gt; 50 Predicted Monthly (LC)'!C:C)</f>
        <v>958788802.29242408</v>
      </c>
      <c r="N62" s="21">
        <f>SUMIF('GS &gt; 50 Predicted Monthly (LC)'!$B:$B,$L62,'GS &gt; 50 Predicted Monthly (LC)'!AB:AB)</f>
        <v>960522535.9134047</v>
      </c>
      <c r="O62" s="31">
        <f ca="1">ABS(M62-N62)/M62</f>
        <v>1.8082539312467309E-3</v>
      </c>
      <c r="V62" s="183">
        <v>2013</v>
      </c>
      <c r="W62" s="21">
        <f ca="1">SUMIF('Large Use Predicted Monthly (L)'!$B:$B,$V62,'Large Use Predicted Monthly (L)'!C:C)</f>
        <v>260918203.00297934</v>
      </c>
      <c r="X62" s="21">
        <f>SUMIF('Large Use Predicted Monthly (L)'!$B:$B,$V62,'Large Use Predicted Monthly (L)'!R:R)</f>
        <v>256033935.14824495</v>
      </c>
      <c r="Y62" s="31">
        <f ca="1">ABS(W62-X62)/W62</f>
        <v>1.8719536615383708E-2</v>
      </c>
    </row>
    <row r="63" spans="7:25">
      <c r="G63" s="183"/>
      <c r="H63" s="21"/>
      <c r="I63" s="21"/>
      <c r="J63" s="31"/>
      <c r="L63" s="183">
        <v>2014</v>
      </c>
      <c r="M63" s="21">
        <f ca="1">SUMIF('GS &gt; 50 Predicted Monthly (LC)'!$B:$B,$L63,'GS &gt; 50 Predicted Monthly (LC)'!C:C)</f>
        <v>994301447.72916961</v>
      </c>
      <c r="N63" s="21">
        <f>SUMIF('GS &gt; 50 Predicted Monthly (LC)'!$B:$B,$L63,'GS &gt; 50 Predicted Monthly (LC)'!AB:AB)</f>
        <v>969618005.98307276</v>
      </c>
      <c r="O63" s="31">
        <f t="shared" ref="O63:O67" ca="1" si="15">ABS(M63-N63)/M63</f>
        <v>2.4824907780703735E-2</v>
      </c>
      <c r="V63" s="183">
        <v>2014</v>
      </c>
      <c r="W63" s="21">
        <f ca="1">SUMIF('Large Use Predicted Monthly (L)'!$B:$B,$V63,'Large Use Predicted Monthly (L)'!C:C)</f>
        <v>260940604.23472461</v>
      </c>
      <c r="X63" s="21">
        <f>SUMIF('Large Use Predicted Monthly (L)'!$B:$B,$V63,'Large Use Predicted Monthly (L)'!R:R)</f>
        <v>254948643.72202531</v>
      </c>
      <c r="Y63" s="31">
        <f t="shared" ref="Y63:Y67" ca="1" si="16">ABS(W63-X63)/W63</f>
        <v>2.2962928787078847E-2</v>
      </c>
    </row>
    <row r="64" spans="7:25">
      <c r="G64" s="183"/>
      <c r="H64" s="21"/>
      <c r="I64" s="21"/>
      <c r="J64" s="31"/>
      <c r="L64" s="183">
        <v>2015</v>
      </c>
      <c r="M64" s="21">
        <f ca="1">SUMIF('GS &gt; 50 Predicted Monthly (LC)'!$B:$B,$L64,'GS &gt; 50 Predicted Monthly (LC)'!C:C)</f>
        <v>978824286.54479611</v>
      </c>
      <c r="N64" s="21">
        <f>SUMIF('GS &gt; 50 Predicted Monthly (LC)'!$B:$B,$L64,'GS &gt; 50 Predicted Monthly (LC)'!AB:AB)</f>
        <v>976570905.2109586</v>
      </c>
      <c r="O64" s="31">
        <f t="shared" ca="1" si="15"/>
        <v>2.3021305915812938E-3</v>
      </c>
      <c r="V64" s="183">
        <v>2015</v>
      </c>
      <c r="W64" s="21">
        <f ca="1">SUMIF('Large Use Predicted Monthly (L)'!$B:$B,$V64,'Large Use Predicted Monthly (L)'!C:C)</f>
        <v>254870414.56359208</v>
      </c>
      <c r="X64" s="21">
        <f>SUMIF('Large Use Predicted Monthly (L)'!$B:$B,$V64,'Large Use Predicted Monthly (L)'!R:R)</f>
        <v>258624311.25982416</v>
      </c>
      <c r="Y64" s="31">
        <f t="shared" ca="1" si="16"/>
        <v>1.4728648292348013E-2</v>
      </c>
    </row>
    <row r="65" spans="7:25">
      <c r="G65" s="183"/>
      <c r="H65" s="21"/>
      <c r="I65" s="21"/>
      <c r="J65" s="31"/>
      <c r="L65" s="183">
        <v>2016</v>
      </c>
      <c r="M65" s="21">
        <f ca="1">SUMIF('GS &gt; 50 Predicted Monthly (LC)'!$B:$B,$L65,'GS &gt; 50 Predicted Monthly (LC)'!C:C)</f>
        <v>1000271405.6122744</v>
      </c>
      <c r="N65" s="21">
        <f>SUMIF('GS &gt; 50 Predicted Monthly (LC)'!$B:$B,$L65,'GS &gt; 50 Predicted Monthly (LC)'!AB:AB)</f>
        <v>993374173.41631365</v>
      </c>
      <c r="O65" s="31">
        <f t="shared" ca="1" si="15"/>
        <v>6.895360756352829E-3</v>
      </c>
      <c r="V65" s="183">
        <v>2016</v>
      </c>
      <c r="W65" s="21">
        <f ca="1">SUMIF('Large Use Predicted Monthly (L)'!$B:$B,$V65,'Large Use Predicted Monthly (L)'!C:C)</f>
        <v>271568756.28084087</v>
      </c>
      <c r="X65" s="21">
        <f>SUMIF('Large Use Predicted Monthly (L)'!$B:$B,$V65,'Large Use Predicted Monthly (L)'!R:R)</f>
        <v>265195922.80451491</v>
      </c>
      <c r="Y65" s="31">
        <f t="shared" ca="1" si="16"/>
        <v>2.3466740296647155E-2</v>
      </c>
    </row>
    <row r="66" spans="7:25">
      <c r="G66" s="183"/>
      <c r="H66" s="21"/>
      <c r="I66" s="21"/>
      <c r="J66" s="31"/>
      <c r="L66" s="183">
        <v>2017</v>
      </c>
      <c r="M66" s="21">
        <f ca="1">SUMIF('GS &gt; 50 Predicted Monthly (LC)'!$B:$B,$L66,'GS &gt; 50 Predicted Monthly (LC)'!C:C)</f>
        <v>989098794.4451412</v>
      </c>
      <c r="N66" s="21">
        <f>SUMIF('GS &gt; 50 Predicted Monthly (LC)'!$B:$B,$L66,'GS &gt; 50 Predicted Monthly (LC)'!AB:AB)</f>
        <v>992881543.19619465</v>
      </c>
      <c r="O66" s="31">
        <f t="shared" ca="1" si="15"/>
        <v>3.824439754954384E-3</v>
      </c>
      <c r="V66" s="183">
        <v>2017</v>
      </c>
      <c r="W66" s="21">
        <f ca="1">SUMIF('Large Use Predicted Monthly (L)'!$B:$B,$V66,'Large Use Predicted Monthly (L)'!C:C)</f>
        <v>258566899.13918212</v>
      </c>
      <c r="X66" s="21">
        <f>SUMIF('Large Use Predicted Monthly (L)'!$B:$B,$V66,'Large Use Predicted Monthly (L)'!R:R)</f>
        <v>263752141.17084149</v>
      </c>
      <c r="Y66" s="31">
        <f t="shared" ca="1" si="16"/>
        <v>2.0053773506670852E-2</v>
      </c>
    </row>
    <row r="67" spans="7:25">
      <c r="G67" s="183"/>
      <c r="H67" s="21"/>
      <c r="I67" s="21"/>
      <c r="J67" s="31"/>
      <c r="L67" s="183">
        <v>2018</v>
      </c>
      <c r="M67" s="21">
        <f ca="1">SUMIF('GS &gt; 50 Predicted Monthly (LC)'!$B:$B,$L67,'GS &gt; 50 Predicted Monthly (LC)'!C:C)</f>
        <v>1008409886.7007883</v>
      </c>
      <c r="N67" s="21">
        <f>SUMIF('GS &gt; 50 Predicted Monthly (LC)'!$B:$B,$L67,'GS &gt; 50 Predicted Monthly (LC)'!AB:AB)</f>
        <v>1021331056.2579067</v>
      </c>
      <c r="O67" s="31">
        <f t="shared" ca="1" si="15"/>
        <v>1.2813410228843124E-2</v>
      </c>
      <c r="V67" s="183">
        <v>2018</v>
      </c>
      <c r="W67" s="21">
        <f ca="1">SUMIF('Large Use Predicted Monthly (L)'!$B:$B,$V67,'Large Use Predicted Monthly (L)'!C:C)</f>
        <v>266878760.62206021</v>
      </c>
      <c r="X67" s="21">
        <f>SUMIF('Large Use Predicted Monthly (L)'!$B:$B,$V67,'Large Use Predicted Monthly (L)'!R:R)</f>
        <v>270855995.0357312</v>
      </c>
      <c r="Y67" s="31">
        <f t="shared" ca="1" si="16"/>
        <v>1.4902776093536118E-2</v>
      </c>
    </row>
    <row r="68" spans="7:25">
      <c r="G68" s="183"/>
      <c r="H68" s="21"/>
      <c r="I68" s="21"/>
      <c r="J68" s="31"/>
      <c r="L68" s="183"/>
      <c r="M68" s="183"/>
      <c r="N68" s="183"/>
      <c r="O68" s="183"/>
      <c r="V68" s="183"/>
      <c r="W68" s="183"/>
      <c r="X68" s="183"/>
      <c r="Y68" s="183"/>
    </row>
    <row r="69" spans="7:25">
      <c r="G69" s="183"/>
      <c r="H69" s="183"/>
      <c r="I69" s="183"/>
      <c r="J69" s="183"/>
      <c r="L69" s="270" t="s">
        <v>134</v>
      </c>
      <c r="M69" s="270"/>
      <c r="N69" s="270"/>
      <c r="O69" s="34">
        <f ca="1">AVERAGE(O58:O67)</f>
        <v>7.2570549314901226E-3</v>
      </c>
      <c r="V69" s="270" t="s">
        <v>134</v>
      </c>
      <c r="W69" s="270"/>
      <c r="X69" s="270"/>
      <c r="Y69" s="34">
        <f ca="1">AVERAGE(Y58:Y67)</f>
        <v>1.9078815875344129E-2</v>
      </c>
    </row>
    <row r="70" spans="7:25">
      <c r="G70" s="270"/>
      <c r="H70" s="270"/>
      <c r="I70" s="270"/>
      <c r="J70" s="34"/>
      <c r="L70" s="270" t="s">
        <v>135</v>
      </c>
      <c r="M70" s="270"/>
      <c r="N70" s="270"/>
      <c r="O70" s="34">
        <f ca="1">'GS &gt; 50 Predicted Monthly (LC)'!AC122</f>
        <v>1.3783698388589892E-2</v>
      </c>
      <c r="V70" s="270" t="s">
        <v>135</v>
      </c>
      <c r="W70" s="270"/>
      <c r="X70" s="270"/>
      <c r="Y70" s="34">
        <f ca="1">'Large Use Predicted Monthly (L)'!S122</f>
        <v>3.5729903166405542E-2</v>
      </c>
    </row>
    <row r="71" spans="7:25">
      <c r="G71" s="270"/>
      <c r="H71" s="270"/>
      <c r="I71" s="270"/>
      <c r="J71" s="34"/>
      <c r="L71" s="183"/>
      <c r="M71" s="183"/>
      <c r="N71" s="183"/>
      <c r="O71" s="183"/>
    </row>
  </sheetData>
  <mergeCells count="25">
    <mergeCell ref="R2:S2"/>
    <mergeCell ref="Q15:S15"/>
    <mergeCell ref="Q16:S16"/>
    <mergeCell ref="W2:X2"/>
    <mergeCell ref="V15:X15"/>
    <mergeCell ref="V16:X16"/>
    <mergeCell ref="M2:N2"/>
    <mergeCell ref="B16:D16"/>
    <mergeCell ref="G16:I16"/>
    <mergeCell ref="L16:N16"/>
    <mergeCell ref="B15:D15"/>
    <mergeCell ref="G15:I15"/>
    <mergeCell ref="L15:N15"/>
    <mergeCell ref="H57:I57"/>
    <mergeCell ref="G70:I70"/>
    <mergeCell ref="G71:I71"/>
    <mergeCell ref="A1:C1"/>
    <mergeCell ref="C2:D2"/>
    <mergeCell ref="H2:I2"/>
    <mergeCell ref="M56:N56"/>
    <mergeCell ref="L69:N69"/>
    <mergeCell ref="L70:N70"/>
    <mergeCell ref="W56:X56"/>
    <mergeCell ref="V69:X69"/>
    <mergeCell ref="V70:X7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T145"/>
  <sheetViews>
    <sheetView topLeftCell="E1" workbookViewId="0">
      <selection activeCell="W36" sqref="W36"/>
    </sheetView>
  </sheetViews>
  <sheetFormatPr defaultRowHeight="12.75"/>
  <cols>
    <col min="1" max="1" width="10.33203125" bestFit="1" customWidth="1"/>
    <col min="2" max="2" width="8.5" customWidth="1"/>
    <col min="3" max="3" width="18.6640625" bestFit="1" customWidth="1"/>
    <col min="4" max="5" width="6" customWidth="1"/>
    <col min="6" max="6" width="7.6640625" customWidth="1"/>
    <col min="7" max="7" width="10.33203125" customWidth="1"/>
    <col min="8" max="8" width="10.1640625" bestFit="1" customWidth="1"/>
    <col min="9" max="9" width="8.33203125" customWidth="1"/>
    <col min="10" max="10" width="9.6640625" customWidth="1"/>
    <col min="12" max="12" width="12.6640625" bestFit="1" customWidth="1"/>
    <col min="13" max="14" width="12" bestFit="1" customWidth="1"/>
    <col min="15" max="16" width="12.6640625" bestFit="1" customWidth="1"/>
    <col min="17" max="18" width="12" bestFit="1" customWidth="1"/>
    <col min="19" max="19" width="12.6640625" bestFit="1" customWidth="1"/>
    <col min="20" max="20" width="12" bestFit="1" customWidth="1"/>
  </cols>
  <sheetData>
    <row r="1" spans="1:20">
      <c r="A1" t="s">
        <v>123</v>
      </c>
      <c r="B1" t="s">
        <v>124</v>
      </c>
      <c r="C1" t="str">
        <f>'Monthly Data'!F1</f>
        <v>Residential_NO_CDM</v>
      </c>
      <c r="D1" t="str">
        <f>'Monthly Data'!BH1</f>
        <v>HDD</v>
      </c>
      <c r="E1" t="str">
        <f>'Monthly Data'!BI1</f>
        <v>CDD</v>
      </c>
      <c r="F1" t="str">
        <f>'Monthly Data'!BZ1</f>
        <v>Spring</v>
      </c>
      <c r="G1" t="str">
        <f>'Monthly Data'!CA1</f>
        <v>Fall</v>
      </c>
      <c r="H1" t="str">
        <f>'Monthly Data'!CC1</f>
        <v>Month Days</v>
      </c>
      <c r="I1" t="str">
        <f>'Monthly Data'!BV1</f>
        <v>Sept</v>
      </c>
      <c r="J1" t="str">
        <f>'Monthly Data'!BM1</f>
        <v>Trend</v>
      </c>
      <c r="L1" t="s">
        <v>91</v>
      </c>
      <c r="M1" t="str">
        <f>D1</f>
        <v>HDD</v>
      </c>
      <c r="N1" t="str">
        <f t="shared" ref="N1:S1" si="0">E1</f>
        <v>CDD</v>
      </c>
      <c r="O1" t="str">
        <f t="shared" si="0"/>
        <v>Spring</v>
      </c>
      <c r="P1" t="str">
        <f t="shared" si="0"/>
        <v>Fall</v>
      </c>
      <c r="Q1" t="str">
        <f t="shared" si="0"/>
        <v>Month Days</v>
      </c>
      <c r="R1" t="str">
        <f t="shared" si="0"/>
        <v>Sept</v>
      </c>
      <c r="S1" t="str">
        <f t="shared" si="0"/>
        <v>Trend</v>
      </c>
      <c r="T1" t="s">
        <v>154</v>
      </c>
    </row>
    <row r="2" spans="1:20">
      <c r="A2" s="26">
        <f>'Monthly Data'!A2</f>
        <v>39814</v>
      </c>
      <c r="B2">
        <f t="shared" ref="B2:B42" si="1">YEAR(A2)</f>
        <v>2009</v>
      </c>
      <c r="C2">
        <f ca="1">'Monthly Data'!F2</f>
        <v>59871639.469987579</v>
      </c>
      <c r="D2">
        <f ca="1">Weather!G69</f>
        <v>659.42999999999984</v>
      </c>
      <c r="E2" s="186">
        <f ca="1">Weather!H69</f>
        <v>0</v>
      </c>
      <c r="F2">
        <f>'Monthly Data'!BZ2</f>
        <v>0</v>
      </c>
      <c r="G2">
        <f>'Monthly Data'!CA2</f>
        <v>0</v>
      </c>
      <c r="H2">
        <f>'Monthly Data'!CC2</f>
        <v>31</v>
      </c>
      <c r="I2">
        <f>'Monthly Data'!BV2</f>
        <v>0</v>
      </c>
      <c r="J2">
        <f>'Monthly Data'!BM2</f>
        <v>1</v>
      </c>
      <c r="L2">
        <f>'Res OLS Model'!$B$5</f>
        <v>-14695221.8516191</v>
      </c>
      <c r="M2">
        <f ca="1">'Res OLS Model'!$B$6*D2</f>
        <v>15920059.695766142</v>
      </c>
      <c r="N2">
        <f ca="1">'Res OLS Model'!$B$7*E2</f>
        <v>0</v>
      </c>
      <c r="O2">
        <f>'Res OLS Model'!$B$8*F2</f>
        <v>0</v>
      </c>
      <c r="P2">
        <f>'Res OLS Model'!$B$9*G2</f>
        <v>0</v>
      </c>
      <c r="Q2">
        <f>'Res OLS Model'!$B$10*H2</f>
        <v>55859933.6715082</v>
      </c>
      <c r="R2">
        <f>'Res OLS Model'!$B$11*I2</f>
        <v>0</v>
      </c>
      <c r="S2">
        <f>'Res OLS Model'!$B$12*J2</f>
        <v>-12746.1846293341</v>
      </c>
      <c r="T2">
        <f t="shared" ref="T2:T42" ca="1" si="2">SUM(L2:S2)</f>
        <v>57072025.331025906</v>
      </c>
    </row>
    <row r="3" spans="1:20">
      <c r="A3" s="26">
        <f>'Monthly Data'!A3</f>
        <v>39845</v>
      </c>
      <c r="B3">
        <f t="shared" si="1"/>
        <v>2009</v>
      </c>
      <c r="C3">
        <f ca="1">'Monthly Data'!F3</f>
        <v>50314490.087674581</v>
      </c>
      <c r="D3" s="186">
        <f ca="1">Weather!G70</f>
        <v>571.77</v>
      </c>
      <c r="E3" s="186">
        <f ca="1">Weather!H70</f>
        <v>0</v>
      </c>
      <c r="F3">
        <f>'Monthly Data'!BZ3</f>
        <v>0</v>
      </c>
      <c r="G3">
        <f>'Monthly Data'!CA3</f>
        <v>0</v>
      </c>
      <c r="H3">
        <f>'Monthly Data'!CC3</f>
        <v>28</v>
      </c>
      <c r="I3">
        <f>'Monthly Data'!BV3</f>
        <v>0</v>
      </c>
      <c r="J3">
        <f>'Monthly Data'!BM3</f>
        <v>2</v>
      </c>
      <c r="L3">
        <f>'Res OLS Model'!$B$5</f>
        <v>-14695221.8516191</v>
      </c>
      <c r="M3">
        <f ca="1">'Res OLS Model'!$B$6*D3</f>
        <v>13803758.597953094</v>
      </c>
      <c r="N3">
        <f ca="1">'Res OLS Model'!$B$7*E3</f>
        <v>0</v>
      </c>
      <c r="O3">
        <f>'Res OLS Model'!$B$8*F3</f>
        <v>0</v>
      </c>
      <c r="P3">
        <f>'Res OLS Model'!$B$9*G3</f>
        <v>0</v>
      </c>
      <c r="Q3">
        <f>'Res OLS Model'!$B$10*H3</f>
        <v>50454133.6387816</v>
      </c>
      <c r="R3">
        <f>'Res OLS Model'!$B$11*I3</f>
        <v>0</v>
      </c>
      <c r="S3">
        <f>'Res OLS Model'!$B$12*J3</f>
        <v>-25492.369258668201</v>
      </c>
      <c r="T3">
        <f t="shared" ca="1" si="2"/>
        <v>49537178.015856929</v>
      </c>
    </row>
    <row r="4" spans="1:20">
      <c r="A4" s="26">
        <f>'Monthly Data'!A4</f>
        <v>39873</v>
      </c>
      <c r="B4">
        <f t="shared" si="1"/>
        <v>2009</v>
      </c>
      <c r="C4">
        <f ca="1">'Monthly Data'!F4</f>
        <v>49701259.077867575</v>
      </c>
      <c r="D4" s="186">
        <f ca="1">Weather!G71</f>
        <v>456.53999999999996</v>
      </c>
      <c r="E4" s="186">
        <f ca="1">Weather!H71</f>
        <v>0.48</v>
      </c>
      <c r="F4">
        <f>'Monthly Data'!BZ4</f>
        <v>1</v>
      </c>
      <c r="G4">
        <f>'Monthly Data'!CA4</f>
        <v>0</v>
      </c>
      <c r="H4">
        <f>'Monthly Data'!CC4</f>
        <v>31</v>
      </c>
      <c r="I4">
        <f>'Monthly Data'!BV4</f>
        <v>0</v>
      </c>
      <c r="J4">
        <f>'Monthly Data'!BM4</f>
        <v>3</v>
      </c>
      <c r="L4">
        <f>'Res OLS Model'!$B$5</f>
        <v>-14695221.8516191</v>
      </c>
      <c r="M4">
        <f ca="1">'Res OLS Model'!$B$6*D4</f>
        <v>11021858.352675911</v>
      </c>
      <c r="N4">
        <f ca="1">'Res OLS Model'!$B$7*E4</f>
        <v>83615.947079397112</v>
      </c>
      <c r="O4">
        <f>'Res OLS Model'!$B$8*F4</f>
        <v>-4177006.7225933699</v>
      </c>
      <c r="P4">
        <f>'Res OLS Model'!$B$9*G4</f>
        <v>0</v>
      </c>
      <c r="Q4">
        <f>'Res OLS Model'!$B$10*H4</f>
        <v>55859933.6715082</v>
      </c>
      <c r="R4">
        <f>'Res OLS Model'!$B$11*I4</f>
        <v>0</v>
      </c>
      <c r="S4">
        <f>'Res OLS Model'!$B$12*J4</f>
        <v>-38238.553888002301</v>
      </c>
      <c r="T4">
        <f t="shared" ca="1" si="2"/>
        <v>48054940.843163036</v>
      </c>
    </row>
    <row r="5" spans="1:20">
      <c r="A5" s="26">
        <f>'Monthly Data'!A5</f>
        <v>39904</v>
      </c>
      <c r="B5">
        <f t="shared" si="1"/>
        <v>2009</v>
      </c>
      <c r="C5">
        <f ca="1">'Monthly Data'!F5</f>
        <v>43094637.623121575</v>
      </c>
      <c r="D5" s="186">
        <f ca="1">Weather!G72</f>
        <v>248.54999999999995</v>
      </c>
      <c r="E5" s="186">
        <f ca="1">Weather!H72</f>
        <v>2.63</v>
      </c>
      <c r="F5">
        <f>'Monthly Data'!BZ5</f>
        <v>1</v>
      </c>
      <c r="G5">
        <f>'Monthly Data'!CA5</f>
        <v>0</v>
      </c>
      <c r="H5">
        <f>'Monthly Data'!CC5</f>
        <v>30</v>
      </c>
      <c r="I5">
        <f>'Monthly Data'!BV5</f>
        <v>0</v>
      </c>
      <c r="J5">
        <f>'Monthly Data'!BM5</f>
        <v>4</v>
      </c>
      <c r="L5">
        <f>'Res OLS Model'!$B$5</f>
        <v>-14695221.8516191</v>
      </c>
      <c r="M5">
        <f ca="1">'Res OLS Model'!$B$6*D5</f>
        <v>6000532.0312734861</v>
      </c>
      <c r="N5">
        <f ca="1">'Res OLS Model'!$B$7*E5</f>
        <v>458145.71003919671</v>
      </c>
      <c r="O5">
        <f>'Res OLS Model'!$B$8*F5</f>
        <v>-4177006.7225933699</v>
      </c>
      <c r="P5">
        <f>'Res OLS Model'!$B$9*G5</f>
        <v>0</v>
      </c>
      <c r="Q5">
        <f>'Res OLS Model'!$B$10*H5</f>
        <v>54058000.327266</v>
      </c>
      <c r="R5">
        <f>'Res OLS Model'!$B$11*I5</f>
        <v>0</v>
      </c>
      <c r="S5">
        <f>'Res OLS Model'!$B$12*J5</f>
        <v>-50984.738517336402</v>
      </c>
      <c r="T5">
        <f t="shared" ca="1" si="2"/>
        <v>41593464.755848877</v>
      </c>
    </row>
    <row r="6" spans="1:20">
      <c r="A6" s="26">
        <f>'Monthly Data'!A6</f>
        <v>39934</v>
      </c>
      <c r="B6">
        <f t="shared" si="1"/>
        <v>2009</v>
      </c>
      <c r="C6">
        <f ca="1">'Monthly Data'!F6</f>
        <v>41837246.165888578</v>
      </c>
      <c r="D6" s="186">
        <f ca="1">Weather!G73</f>
        <v>92.740000000000009</v>
      </c>
      <c r="E6" s="186">
        <f ca="1">Weather!H73</f>
        <v>47.37</v>
      </c>
      <c r="F6">
        <f>'Monthly Data'!BZ6</f>
        <v>1</v>
      </c>
      <c r="G6">
        <f>'Monthly Data'!CA6</f>
        <v>0</v>
      </c>
      <c r="H6">
        <f>'Monthly Data'!CC6</f>
        <v>31</v>
      </c>
      <c r="I6">
        <f>'Monthly Data'!BV6</f>
        <v>0</v>
      </c>
      <c r="J6">
        <f>'Monthly Data'!BM6</f>
        <v>5</v>
      </c>
      <c r="L6">
        <f>'Res OLS Model'!$B$5</f>
        <v>-14695221.8516191</v>
      </c>
      <c r="M6">
        <f ca="1">'Res OLS Model'!$B$6*D6</f>
        <v>2238943.2330730367</v>
      </c>
      <c r="N6">
        <f ca="1">'Res OLS Model'!$B$7*E6</f>
        <v>8251848.7773980023</v>
      </c>
      <c r="O6">
        <f>'Res OLS Model'!$B$8*F6</f>
        <v>-4177006.7225933699</v>
      </c>
      <c r="P6">
        <f>'Res OLS Model'!$B$9*G6</f>
        <v>0</v>
      </c>
      <c r="Q6">
        <f>'Res OLS Model'!$B$10*H6</f>
        <v>55859933.6715082</v>
      </c>
      <c r="R6">
        <f>'Res OLS Model'!$B$11*I6</f>
        <v>0</v>
      </c>
      <c r="S6">
        <f>'Res OLS Model'!$B$12*J6</f>
        <v>-63730.923146670502</v>
      </c>
      <c r="T6">
        <f t="shared" ca="1" si="2"/>
        <v>47414766.184620097</v>
      </c>
    </row>
    <row r="7" spans="1:20">
      <c r="A7" s="26">
        <f>'Monthly Data'!A7</f>
        <v>39965</v>
      </c>
      <c r="B7">
        <f t="shared" si="1"/>
        <v>2009</v>
      </c>
      <c r="C7">
        <f ca="1">'Monthly Data'!F7</f>
        <v>50342302.386945575</v>
      </c>
      <c r="D7" s="186">
        <f ca="1">Weather!G74</f>
        <v>9.08</v>
      </c>
      <c r="E7" s="186">
        <f ca="1">Weather!H74</f>
        <v>117.23999999999997</v>
      </c>
      <c r="F7">
        <f>'Monthly Data'!BZ7</f>
        <v>0</v>
      </c>
      <c r="G7">
        <f>'Monthly Data'!CA7</f>
        <v>0</v>
      </c>
      <c r="H7">
        <f>'Monthly Data'!CC7</f>
        <v>30</v>
      </c>
      <c r="I7">
        <f>'Monthly Data'!BV7</f>
        <v>0</v>
      </c>
      <c r="J7">
        <f>'Monthly Data'!BM7</f>
        <v>6</v>
      </c>
      <c r="L7">
        <f>'Res OLS Model'!$B$5</f>
        <v>-14695221.8516191</v>
      </c>
      <c r="M7">
        <f ca="1">'Res OLS Model'!$B$6*D7</f>
        <v>219210.74570091837</v>
      </c>
      <c r="N7">
        <f ca="1">'Res OLS Model'!$B$7*E7</f>
        <v>20423195.074142739</v>
      </c>
      <c r="O7">
        <f>'Res OLS Model'!$B$8*F7</f>
        <v>0</v>
      </c>
      <c r="P7">
        <f>'Res OLS Model'!$B$9*G7</f>
        <v>0</v>
      </c>
      <c r="Q7">
        <f>'Res OLS Model'!$B$10*H7</f>
        <v>54058000.327266</v>
      </c>
      <c r="R7">
        <f>'Res OLS Model'!$B$11*I7</f>
        <v>0</v>
      </c>
      <c r="S7">
        <f>'Res OLS Model'!$B$12*J7</f>
        <v>-76477.107776004603</v>
      </c>
      <c r="T7">
        <f t="shared" ca="1" si="2"/>
        <v>59928707.187714554</v>
      </c>
    </row>
    <row r="8" spans="1:20">
      <c r="A8" s="26">
        <f>'Monthly Data'!A8</f>
        <v>39995</v>
      </c>
      <c r="B8">
        <f t="shared" si="1"/>
        <v>2009</v>
      </c>
      <c r="C8">
        <f ca="1">'Monthly Data'!F8</f>
        <v>60810554.498038575</v>
      </c>
      <c r="D8" s="186">
        <f ca="1">Weather!G75</f>
        <v>0.51</v>
      </c>
      <c r="E8" s="186">
        <f ca="1">Weather!H75</f>
        <v>185.60999999999999</v>
      </c>
      <c r="F8">
        <f>'Monthly Data'!BZ8</f>
        <v>0</v>
      </c>
      <c r="G8">
        <f>'Monthly Data'!CA8</f>
        <v>0</v>
      </c>
      <c r="H8">
        <f>'Monthly Data'!CC8</f>
        <v>31</v>
      </c>
      <c r="I8">
        <f>'Monthly Data'!BV8</f>
        <v>0</v>
      </c>
      <c r="J8">
        <f>'Monthly Data'!BM8</f>
        <v>7</v>
      </c>
      <c r="L8">
        <f>'Res OLS Model'!$B$5</f>
        <v>-14695221.8516191</v>
      </c>
      <c r="M8">
        <f ca="1">'Res OLS Model'!$B$6*D8</f>
        <v>12312.497831218983</v>
      </c>
      <c r="N8">
        <f ca="1">'Res OLS Model'!$B$7*E8</f>
        <v>32333241.536264371</v>
      </c>
      <c r="O8">
        <f>'Res OLS Model'!$B$8*F8</f>
        <v>0</v>
      </c>
      <c r="P8">
        <f>'Res OLS Model'!$B$9*G8</f>
        <v>0</v>
      </c>
      <c r="Q8">
        <f>'Res OLS Model'!$B$10*H8</f>
        <v>55859933.6715082</v>
      </c>
      <c r="R8">
        <f>'Res OLS Model'!$B$11*I8</f>
        <v>0</v>
      </c>
      <c r="S8">
        <f>'Res OLS Model'!$B$12*J8</f>
        <v>-89223.292405338696</v>
      </c>
      <c r="T8">
        <f t="shared" ca="1" si="2"/>
        <v>73421042.561579347</v>
      </c>
    </row>
    <row r="9" spans="1:20">
      <c r="A9" s="26">
        <f>'Monthly Data'!A9</f>
        <v>40026</v>
      </c>
      <c r="B9">
        <f t="shared" si="1"/>
        <v>2009</v>
      </c>
      <c r="C9">
        <f ca="1">'Monthly Data'!F9</f>
        <v>64587027.745830581</v>
      </c>
      <c r="D9" s="186">
        <f ca="1">Weather!G76</f>
        <v>1.51</v>
      </c>
      <c r="E9" s="186">
        <f ca="1">Weather!H76</f>
        <v>159.64000000000001</v>
      </c>
      <c r="F9">
        <f>'Monthly Data'!BZ9</f>
        <v>0</v>
      </c>
      <c r="G9">
        <f>'Monthly Data'!CA9</f>
        <v>0</v>
      </c>
      <c r="H9">
        <f>'Monthly Data'!CC9</f>
        <v>31</v>
      </c>
      <c r="I9">
        <f>'Monthly Data'!BV9</f>
        <v>0</v>
      </c>
      <c r="J9">
        <f>'Monthly Data'!BM9</f>
        <v>8</v>
      </c>
      <c r="L9">
        <f>'Res OLS Model'!$B$5</f>
        <v>-14695221.8516191</v>
      </c>
      <c r="M9">
        <f ca="1">'Res OLS Model'!$B$6*D9</f>
        <v>36454.650441452286</v>
      </c>
      <c r="N9">
        <f ca="1">'Res OLS Model'!$B$7*E9</f>
        <v>27809270.399489496</v>
      </c>
      <c r="O9">
        <f>'Res OLS Model'!$B$8*F9</f>
        <v>0</v>
      </c>
      <c r="P9">
        <f>'Res OLS Model'!$B$9*G9</f>
        <v>0</v>
      </c>
      <c r="Q9">
        <f>'Res OLS Model'!$B$10*H9</f>
        <v>55859933.6715082</v>
      </c>
      <c r="R9">
        <f>'Res OLS Model'!$B$11*I9</f>
        <v>0</v>
      </c>
      <c r="S9">
        <f>'Res OLS Model'!$B$12*J9</f>
        <v>-101969.4770346728</v>
      </c>
      <c r="T9">
        <f t="shared" ca="1" si="2"/>
        <v>68908467.39278537</v>
      </c>
    </row>
    <row r="10" spans="1:20">
      <c r="A10" s="26">
        <f>'Monthly Data'!A10</f>
        <v>40057</v>
      </c>
      <c r="B10">
        <f t="shared" si="1"/>
        <v>2009</v>
      </c>
      <c r="C10">
        <f ca="1">'Monthly Data'!F10</f>
        <v>49270432.95375558</v>
      </c>
      <c r="D10" s="186">
        <f ca="1">Weather!G77</f>
        <v>33.01</v>
      </c>
      <c r="E10" s="186">
        <f ca="1">Weather!H77</f>
        <v>72.989999999999981</v>
      </c>
      <c r="F10">
        <f>'Monthly Data'!BZ10</f>
        <v>0</v>
      </c>
      <c r="G10">
        <f>'Monthly Data'!CA10</f>
        <v>1</v>
      </c>
      <c r="H10">
        <f>'Monthly Data'!CC10</f>
        <v>30</v>
      </c>
      <c r="I10">
        <f>'Monthly Data'!BV10</f>
        <v>1</v>
      </c>
      <c r="J10">
        <f>'Monthly Data'!BM10</f>
        <v>9</v>
      </c>
      <c r="L10">
        <f>'Res OLS Model'!$B$5</f>
        <v>-14695221.8516191</v>
      </c>
      <c r="M10">
        <f ca="1">'Res OLS Model'!$B$6*D10</f>
        <v>796932.45766380127</v>
      </c>
      <c r="N10">
        <f ca="1">'Res OLS Model'!$B$7*E10</f>
        <v>12714849.952760821</v>
      </c>
      <c r="O10">
        <f>'Res OLS Model'!$B$8*F10</f>
        <v>0</v>
      </c>
      <c r="P10">
        <f>'Res OLS Model'!$B$9*G10</f>
        <v>-2399238.63510927</v>
      </c>
      <c r="Q10">
        <f>'Res OLS Model'!$B$10*H10</f>
        <v>54058000.327266</v>
      </c>
      <c r="R10">
        <f>'Res OLS Model'!$B$11*I10</f>
        <v>2497427.94615121</v>
      </c>
      <c r="S10">
        <f>'Res OLS Model'!$B$12*J10</f>
        <v>-114715.66166400691</v>
      </c>
      <c r="T10">
        <f t="shared" ca="1" si="2"/>
        <v>52858034.535449453</v>
      </c>
    </row>
    <row r="11" spans="1:20">
      <c r="A11" s="26">
        <f>'Monthly Data'!A11</f>
        <v>40087</v>
      </c>
      <c r="B11">
        <f t="shared" si="1"/>
        <v>2009</v>
      </c>
      <c r="C11">
        <f ca="1">'Monthly Data'!F11</f>
        <v>45083293.96010758</v>
      </c>
      <c r="D11" s="186">
        <f ca="1">Weather!G78</f>
        <v>177.83999999999997</v>
      </c>
      <c r="E11" s="186">
        <f ca="1">Weather!H78</f>
        <v>10.779999999999998</v>
      </c>
      <c r="F11">
        <f>'Monthly Data'!BZ11</f>
        <v>0</v>
      </c>
      <c r="G11">
        <f>'Monthly Data'!CA11</f>
        <v>1</v>
      </c>
      <c r="H11">
        <f>'Monthly Data'!CC11</f>
        <v>31</v>
      </c>
      <c r="I11">
        <f>'Monthly Data'!BV11</f>
        <v>0</v>
      </c>
      <c r="J11">
        <f>'Monthly Data'!BM11</f>
        <v>10</v>
      </c>
      <c r="L11">
        <f>'Res OLS Model'!$B$5</f>
        <v>-14695221.8516191</v>
      </c>
      <c r="M11">
        <f ca="1">'Res OLS Model'!$B$6*D11</f>
        <v>4293440.4202038897</v>
      </c>
      <c r="N11">
        <f ca="1">'Res OLS Model'!$B$7*E11</f>
        <v>1877874.8114914598</v>
      </c>
      <c r="O11">
        <f>'Res OLS Model'!$B$8*F11</f>
        <v>0</v>
      </c>
      <c r="P11">
        <f>'Res OLS Model'!$B$9*G11</f>
        <v>-2399238.63510927</v>
      </c>
      <c r="Q11">
        <f>'Res OLS Model'!$B$10*H11</f>
        <v>55859933.6715082</v>
      </c>
      <c r="R11">
        <f>'Res OLS Model'!$B$11*I11</f>
        <v>0</v>
      </c>
      <c r="S11">
        <f>'Res OLS Model'!$B$12*J11</f>
        <v>-127461.846293341</v>
      </c>
      <c r="T11">
        <f t="shared" ca="1" si="2"/>
        <v>44809326.570181839</v>
      </c>
    </row>
    <row r="12" spans="1:20">
      <c r="A12" s="26">
        <f>'Monthly Data'!A12</f>
        <v>40118</v>
      </c>
      <c r="B12">
        <f t="shared" si="1"/>
        <v>2009</v>
      </c>
      <c r="C12">
        <f ca="1">'Monthly Data'!F12</f>
        <v>46033170.645772576</v>
      </c>
      <c r="D12" s="186">
        <f ca="1">Weather!G79</f>
        <v>361.94999999999993</v>
      </c>
      <c r="E12" s="186">
        <f ca="1">Weather!H79</f>
        <v>0.05</v>
      </c>
      <c r="F12">
        <f>'Monthly Data'!BZ12</f>
        <v>0</v>
      </c>
      <c r="G12">
        <f>'Monthly Data'!CA12</f>
        <v>1</v>
      </c>
      <c r="H12">
        <f>'Monthly Data'!CC12</f>
        <v>30</v>
      </c>
      <c r="I12">
        <f>'Monthly Data'!BV12</f>
        <v>0</v>
      </c>
      <c r="J12">
        <f>'Monthly Data'!BM12</f>
        <v>11</v>
      </c>
      <c r="L12">
        <f>'Res OLS Model'!$B$5</f>
        <v>-14695221.8516191</v>
      </c>
      <c r="M12">
        <f ca="1">'Res OLS Model'!$B$6*D12</f>
        <v>8738252.1372739412</v>
      </c>
      <c r="N12">
        <f ca="1">'Res OLS Model'!$B$7*E12</f>
        <v>8709.9944874371995</v>
      </c>
      <c r="O12">
        <f>'Res OLS Model'!$B$8*F12</f>
        <v>0</v>
      </c>
      <c r="P12">
        <f>'Res OLS Model'!$B$9*G12</f>
        <v>-2399238.63510927</v>
      </c>
      <c r="Q12">
        <f>'Res OLS Model'!$B$10*H12</f>
        <v>54058000.327266</v>
      </c>
      <c r="R12">
        <f>'Res OLS Model'!$B$11*I12</f>
        <v>0</v>
      </c>
      <c r="S12">
        <f>'Res OLS Model'!$B$12*J12</f>
        <v>-140208.0309226751</v>
      </c>
      <c r="T12">
        <f t="shared" ca="1" si="2"/>
        <v>45570293.941376336</v>
      </c>
    </row>
    <row r="13" spans="1:20">
      <c r="A13" s="26">
        <f>'Monthly Data'!A13</f>
        <v>40148</v>
      </c>
      <c r="B13">
        <f t="shared" si="1"/>
        <v>2009</v>
      </c>
      <c r="C13">
        <f ca="1">'Monthly Data'!F13</f>
        <v>56594449.192762576</v>
      </c>
      <c r="D13" s="186">
        <f ca="1">Weather!G80</f>
        <v>556.41000000000008</v>
      </c>
      <c r="E13" s="186">
        <f ca="1">Weather!H80</f>
        <v>0</v>
      </c>
      <c r="F13">
        <f>'Monthly Data'!BZ13</f>
        <v>0</v>
      </c>
      <c r="G13">
        <f>'Monthly Data'!CA13</f>
        <v>0</v>
      </c>
      <c r="H13">
        <f>'Monthly Data'!CC13</f>
        <v>31</v>
      </c>
      <c r="I13">
        <f>'Monthly Data'!BV13</f>
        <v>0</v>
      </c>
      <c r="J13">
        <f>'Monthly Data'!BM13</f>
        <v>12</v>
      </c>
      <c r="L13">
        <f>'Res OLS Model'!$B$5</f>
        <v>-14695221.8516191</v>
      </c>
      <c r="M13">
        <f ca="1">'Res OLS Model'!$B$6*D13</f>
        <v>13432935.133859914</v>
      </c>
      <c r="N13">
        <f ca="1">'Res OLS Model'!$B$7*E13</f>
        <v>0</v>
      </c>
      <c r="O13">
        <f>'Res OLS Model'!$B$8*F13</f>
        <v>0</v>
      </c>
      <c r="P13">
        <f>'Res OLS Model'!$B$9*G13</f>
        <v>0</v>
      </c>
      <c r="Q13">
        <f>'Res OLS Model'!$B$10*H13</f>
        <v>55859933.6715082</v>
      </c>
      <c r="R13">
        <f>'Res OLS Model'!$B$11*I13</f>
        <v>0</v>
      </c>
      <c r="S13">
        <f>'Res OLS Model'!$B$12*J13</f>
        <v>-152954.21555200921</v>
      </c>
      <c r="T13">
        <f t="shared" ca="1" si="2"/>
        <v>54444692.738197006</v>
      </c>
    </row>
    <row r="14" spans="1:20">
      <c r="A14" s="26">
        <f>'Monthly Data'!A14</f>
        <v>40179</v>
      </c>
      <c r="B14">
        <f t="shared" si="1"/>
        <v>2010</v>
      </c>
      <c r="C14">
        <f ca="1">'Monthly Data'!F14</f>
        <v>57230062.23541832</v>
      </c>
      <c r="D14">
        <f t="shared" ref="D14:E14" ca="1" si="3">D2</f>
        <v>659.42999999999984</v>
      </c>
      <c r="E14">
        <f t="shared" ca="1" si="3"/>
        <v>0</v>
      </c>
      <c r="F14">
        <f>'Monthly Data'!BZ14</f>
        <v>0</v>
      </c>
      <c r="G14">
        <f>'Monthly Data'!CA14</f>
        <v>0</v>
      </c>
      <c r="H14">
        <f>'Monthly Data'!CC14</f>
        <v>31</v>
      </c>
      <c r="I14">
        <f>'Monthly Data'!BV14</f>
        <v>0</v>
      </c>
      <c r="J14">
        <f>'Monthly Data'!BM14</f>
        <v>13</v>
      </c>
      <c r="L14">
        <f>'Res OLS Model'!$B$5</f>
        <v>-14695221.8516191</v>
      </c>
      <c r="M14">
        <f ca="1">'Res OLS Model'!$B$6*D14</f>
        <v>15920059.695766142</v>
      </c>
      <c r="N14">
        <f ca="1">'Res OLS Model'!$B$7*E14</f>
        <v>0</v>
      </c>
      <c r="O14">
        <f>'Res OLS Model'!$B$8*F14</f>
        <v>0</v>
      </c>
      <c r="P14">
        <f>'Res OLS Model'!$B$9*G14</f>
        <v>0</v>
      </c>
      <c r="Q14">
        <f>'Res OLS Model'!$B$10*H14</f>
        <v>55859933.6715082</v>
      </c>
      <c r="R14">
        <f>'Res OLS Model'!$B$11*I14</f>
        <v>0</v>
      </c>
      <c r="S14">
        <f>'Res OLS Model'!$B$12*J14</f>
        <v>-165700.40018134331</v>
      </c>
      <c r="T14">
        <f t="shared" ca="1" si="2"/>
        <v>56919071.115473896</v>
      </c>
    </row>
    <row r="15" spans="1:20">
      <c r="A15" s="26">
        <f>'Monthly Data'!A15</f>
        <v>40210</v>
      </c>
      <c r="B15">
        <f t="shared" si="1"/>
        <v>2010</v>
      </c>
      <c r="C15">
        <f ca="1">'Monthly Data'!F15</f>
        <v>48541585.314724319</v>
      </c>
      <c r="D15">
        <f t="shared" ref="D15:E15" ca="1" si="4">D3</f>
        <v>571.77</v>
      </c>
      <c r="E15">
        <f t="shared" ca="1" si="4"/>
        <v>0</v>
      </c>
      <c r="F15">
        <f>'Monthly Data'!BZ15</f>
        <v>0</v>
      </c>
      <c r="G15">
        <f>'Monthly Data'!CA15</f>
        <v>0</v>
      </c>
      <c r="H15">
        <f>'Monthly Data'!CC15</f>
        <v>28</v>
      </c>
      <c r="I15">
        <f>'Monthly Data'!BV15</f>
        <v>0</v>
      </c>
      <c r="J15">
        <f>'Monthly Data'!BM15</f>
        <v>14</v>
      </c>
      <c r="L15">
        <f>'Res OLS Model'!$B$5</f>
        <v>-14695221.8516191</v>
      </c>
      <c r="M15">
        <f ca="1">'Res OLS Model'!$B$6*D15</f>
        <v>13803758.597953094</v>
      </c>
      <c r="N15">
        <f ca="1">'Res OLS Model'!$B$7*E15</f>
        <v>0</v>
      </c>
      <c r="O15">
        <f>'Res OLS Model'!$B$8*F15</f>
        <v>0</v>
      </c>
      <c r="P15">
        <f>'Res OLS Model'!$B$9*G15</f>
        <v>0</v>
      </c>
      <c r="Q15">
        <f>'Res OLS Model'!$B$10*H15</f>
        <v>50454133.6387816</v>
      </c>
      <c r="R15">
        <f>'Res OLS Model'!$B$11*I15</f>
        <v>0</v>
      </c>
      <c r="S15">
        <f>'Res OLS Model'!$B$12*J15</f>
        <v>-178446.58481067739</v>
      </c>
      <c r="T15">
        <f t="shared" ca="1" si="2"/>
        <v>49384223.800304919</v>
      </c>
    </row>
    <row r="16" spans="1:20">
      <c r="A16" s="26">
        <f>'Monthly Data'!A16</f>
        <v>40238</v>
      </c>
      <c r="B16">
        <f t="shared" si="1"/>
        <v>2010</v>
      </c>
      <c r="C16">
        <f ca="1">'Monthly Data'!F16</f>
        <v>46701990.468791321</v>
      </c>
      <c r="D16">
        <f t="shared" ref="D16:E16" ca="1" si="5">D4</f>
        <v>456.53999999999996</v>
      </c>
      <c r="E16">
        <f t="shared" ca="1" si="5"/>
        <v>0.48</v>
      </c>
      <c r="F16">
        <f>'Monthly Data'!BZ16</f>
        <v>1</v>
      </c>
      <c r="G16">
        <f>'Monthly Data'!CA16</f>
        <v>0</v>
      </c>
      <c r="H16">
        <f>'Monthly Data'!CC16</f>
        <v>31</v>
      </c>
      <c r="I16">
        <f>'Monthly Data'!BV16</f>
        <v>0</v>
      </c>
      <c r="J16">
        <f>'Monthly Data'!BM16</f>
        <v>15</v>
      </c>
      <c r="L16">
        <f>'Res OLS Model'!$B$5</f>
        <v>-14695221.8516191</v>
      </c>
      <c r="M16">
        <f ca="1">'Res OLS Model'!$B$6*D16</f>
        <v>11021858.352675911</v>
      </c>
      <c r="N16">
        <f ca="1">'Res OLS Model'!$B$7*E16</f>
        <v>83615.947079397112</v>
      </c>
      <c r="O16">
        <f>'Res OLS Model'!$B$8*F16</f>
        <v>-4177006.7225933699</v>
      </c>
      <c r="P16">
        <f>'Res OLS Model'!$B$9*G16</f>
        <v>0</v>
      </c>
      <c r="Q16">
        <f>'Res OLS Model'!$B$10*H16</f>
        <v>55859933.6715082</v>
      </c>
      <c r="R16">
        <f>'Res OLS Model'!$B$11*I16</f>
        <v>0</v>
      </c>
      <c r="S16">
        <f>'Res OLS Model'!$B$12*J16</f>
        <v>-191192.7694400115</v>
      </c>
      <c r="T16">
        <f t="shared" ca="1" si="2"/>
        <v>47901986.627611026</v>
      </c>
    </row>
    <row r="17" spans="1:20">
      <c r="A17" s="26">
        <f>'Monthly Data'!A17</f>
        <v>40269</v>
      </c>
      <c r="B17">
        <f t="shared" si="1"/>
        <v>2010</v>
      </c>
      <c r="C17">
        <f ca="1">'Monthly Data'!F17</f>
        <v>40737141.674832322</v>
      </c>
      <c r="D17">
        <f t="shared" ref="D17:E17" ca="1" si="6">D5</f>
        <v>248.54999999999995</v>
      </c>
      <c r="E17">
        <f t="shared" ca="1" si="6"/>
        <v>2.63</v>
      </c>
      <c r="F17">
        <f>'Monthly Data'!BZ17</f>
        <v>1</v>
      </c>
      <c r="G17">
        <f>'Monthly Data'!CA17</f>
        <v>0</v>
      </c>
      <c r="H17">
        <f>'Monthly Data'!CC17</f>
        <v>30</v>
      </c>
      <c r="I17">
        <f>'Monthly Data'!BV17</f>
        <v>0</v>
      </c>
      <c r="J17">
        <f>'Monthly Data'!BM17</f>
        <v>16</v>
      </c>
      <c r="L17">
        <f>'Res OLS Model'!$B$5</f>
        <v>-14695221.8516191</v>
      </c>
      <c r="M17">
        <f ca="1">'Res OLS Model'!$B$6*D17</f>
        <v>6000532.0312734861</v>
      </c>
      <c r="N17">
        <f ca="1">'Res OLS Model'!$B$7*E17</f>
        <v>458145.71003919671</v>
      </c>
      <c r="O17">
        <f>'Res OLS Model'!$B$8*F17</f>
        <v>-4177006.7225933699</v>
      </c>
      <c r="P17">
        <f>'Res OLS Model'!$B$9*G17</f>
        <v>0</v>
      </c>
      <c r="Q17">
        <f>'Res OLS Model'!$B$10*H17</f>
        <v>54058000.327266</v>
      </c>
      <c r="R17">
        <f>'Res OLS Model'!$B$11*I17</f>
        <v>0</v>
      </c>
      <c r="S17">
        <f>'Res OLS Model'!$B$12*J17</f>
        <v>-203938.95406934561</v>
      </c>
      <c r="T17">
        <f t="shared" ca="1" si="2"/>
        <v>41440510.540296867</v>
      </c>
    </row>
    <row r="18" spans="1:20">
      <c r="A18" s="26">
        <f>'Monthly Data'!A18</f>
        <v>40299</v>
      </c>
      <c r="B18">
        <f t="shared" si="1"/>
        <v>2010</v>
      </c>
      <c r="C18">
        <f ca="1">'Monthly Data'!F18</f>
        <v>48242779.236058325</v>
      </c>
      <c r="D18">
        <f t="shared" ref="D18:E18" ca="1" si="7">D6</f>
        <v>92.740000000000009</v>
      </c>
      <c r="E18">
        <f t="shared" ca="1" si="7"/>
        <v>47.37</v>
      </c>
      <c r="F18">
        <f>'Monthly Data'!BZ18</f>
        <v>1</v>
      </c>
      <c r="G18">
        <f>'Monthly Data'!CA18</f>
        <v>0</v>
      </c>
      <c r="H18">
        <f>'Monthly Data'!CC18</f>
        <v>31</v>
      </c>
      <c r="I18">
        <f>'Monthly Data'!BV18</f>
        <v>0</v>
      </c>
      <c r="J18">
        <f>'Monthly Data'!BM18</f>
        <v>17</v>
      </c>
      <c r="L18">
        <f>'Res OLS Model'!$B$5</f>
        <v>-14695221.8516191</v>
      </c>
      <c r="M18">
        <f ca="1">'Res OLS Model'!$B$6*D18</f>
        <v>2238943.2330730367</v>
      </c>
      <c r="N18">
        <f ca="1">'Res OLS Model'!$B$7*E18</f>
        <v>8251848.7773980023</v>
      </c>
      <c r="O18">
        <f>'Res OLS Model'!$B$8*F18</f>
        <v>-4177006.7225933699</v>
      </c>
      <c r="P18">
        <f>'Res OLS Model'!$B$9*G18</f>
        <v>0</v>
      </c>
      <c r="Q18">
        <f>'Res OLS Model'!$B$10*H18</f>
        <v>55859933.6715082</v>
      </c>
      <c r="R18">
        <f>'Res OLS Model'!$B$11*I18</f>
        <v>0</v>
      </c>
      <c r="S18">
        <f>'Res OLS Model'!$B$12*J18</f>
        <v>-216685.13869867972</v>
      </c>
      <c r="T18">
        <f t="shared" ca="1" si="2"/>
        <v>47261811.969068088</v>
      </c>
    </row>
    <row r="19" spans="1:20">
      <c r="A19" s="26">
        <f>'Monthly Data'!A19</f>
        <v>40330</v>
      </c>
      <c r="B19">
        <f t="shared" si="1"/>
        <v>2010</v>
      </c>
      <c r="C19">
        <f ca="1">'Monthly Data'!F19</f>
        <v>65023461.895293318</v>
      </c>
      <c r="D19">
        <f t="shared" ref="D19:E19" ca="1" si="8">D7</f>
        <v>9.08</v>
      </c>
      <c r="E19">
        <f t="shared" ca="1" si="8"/>
        <v>117.23999999999997</v>
      </c>
      <c r="F19">
        <f>'Monthly Data'!BZ19</f>
        <v>0</v>
      </c>
      <c r="G19">
        <f>'Monthly Data'!CA19</f>
        <v>0</v>
      </c>
      <c r="H19">
        <f>'Monthly Data'!CC19</f>
        <v>30</v>
      </c>
      <c r="I19">
        <f>'Monthly Data'!BV19</f>
        <v>0</v>
      </c>
      <c r="J19">
        <f>'Monthly Data'!BM19</f>
        <v>18</v>
      </c>
      <c r="L19">
        <f>'Res OLS Model'!$B$5</f>
        <v>-14695221.8516191</v>
      </c>
      <c r="M19">
        <f ca="1">'Res OLS Model'!$B$6*D19</f>
        <v>219210.74570091837</v>
      </c>
      <c r="N19">
        <f ca="1">'Res OLS Model'!$B$7*E19</f>
        <v>20423195.074142739</v>
      </c>
      <c r="O19">
        <f>'Res OLS Model'!$B$8*F19</f>
        <v>0</v>
      </c>
      <c r="P19">
        <f>'Res OLS Model'!$B$9*G19</f>
        <v>0</v>
      </c>
      <c r="Q19">
        <f>'Res OLS Model'!$B$10*H19</f>
        <v>54058000.327266</v>
      </c>
      <c r="R19">
        <f>'Res OLS Model'!$B$11*I19</f>
        <v>0</v>
      </c>
      <c r="S19">
        <f>'Res OLS Model'!$B$12*J19</f>
        <v>-229431.32332801382</v>
      </c>
      <c r="T19">
        <f t="shared" ca="1" si="2"/>
        <v>59775752.972162545</v>
      </c>
    </row>
    <row r="20" spans="1:20">
      <c r="A20" s="26">
        <f>'Monthly Data'!A20</f>
        <v>40360</v>
      </c>
      <c r="B20">
        <f t="shared" si="1"/>
        <v>2010</v>
      </c>
      <c r="C20">
        <f ca="1">'Monthly Data'!F20</f>
        <v>81296181.759749323</v>
      </c>
      <c r="D20">
        <f t="shared" ref="D20:E20" ca="1" si="9">D8</f>
        <v>0.51</v>
      </c>
      <c r="E20">
        <f t="shared" ca="1" si="9"/>
        <v>185.60999999999999</v>
      </c>
      <c r="F20">
        <f>'Monthly Data'!BZ20</f>
        <v>0</v>
      </c>
      <c r="G20">
        <f>'Monthly Data'!CA20</f>
        <v>0</v>
      </c>
      <c r="H20">
        <f>'Monthly Data'!CC20</f>
        <v>31</v>
      </c>
      <c r="I20">
        <f>'Monthly Data'!BV20</f>
        <v>0</v>
      </c>
      <c r="J20">
        <f>'Monthly Data'!BM20</f>
        <v>19</v>
      </c>
      <c r="L20">
        <f>'Res OLS Model'!$B$5</f>
        <v>-14695221.8516191</v>
      </c>
      <c r="M20">
        <f ca="1">'Res OLS Model'!$B$6*D20</f>
        <v>12312.497831218983</v>
      </c>
      <c r="N20">
        <f ca="1">'Res OLS Model'!$B$7*E20</f>
        <v>32333241.536264371</v>
      </c>
      <c r="O20">
        <f>'Res OLS Model'!$B$8*F20</f>
        <v>0</v>
      </c>
      <c r="P20">
        <f>'Res OLS Model'!$B$9*G20</f>
        <v>0</v>
      </c>
      <c r="Q20">
        <f>'Res OLS Model'!$B$10*H20</f>
        <v>55859933.6715082</v>
      </c>
      <c r="R20">
        <f>'Res OLS Model'!$B$11*I20</f>
        <v>0</v>
      </c>
      <c r="S20">
        <f>'Res OLS Model'!$B$12*J20</f>
        <v>-242177.5079573479</v>
      </c>
      <c r="T20">
        <f t="shared" ca="1" si="2"/>
        <v>73268088.34602733</v>
      </c>
    </row>
    <row r="21" spans="1:20">
      <c r="A21" s="26">
        <f>'Monthly Data'!A21</f>
        <v>40391</v>
      </c>
      <c r="B21">
        <f t="shared" si="1"/>
        <v>2010</v>
      </c>
      <c r="C21">
        <f ca="1">'Monthly Data'!F21</f>
        <v>75078483.539122328</v>
      </c>
      <c r="D21">
        <f t="shared" ref="D21:E21" ca="1" si="10">D9</f>
        <v>1.51</v>
      </c>
      <c r="E21">
        <f t="shared" ca="1" si="10"/>
        <v>159.64000000000001</v>
      </c>
      <c r="F21">
        <f>'Monthly Data'!BZ21</f>
        <v>0</v>
      </c>
      <c r="G21">
        <f>'Monthly Data'!CA21</f>
        <v>0</v>
      </c>
      <c r="H21">
        <f>'Monthly Data'!CC21</f>
        <v>31</v>
      </c>
      <c r="I21">
        <f>'Monthly Data'!BV21</f>
        <v>0</v>
      </c>
      <c r="J21">
        <f>'Monthly Data'!BM21</f>
        <v>20</v>
      </c>
      <c r="L21">
        <f>'Res OLS Model'!$B$5</f>
        <v>-14695221.8516191</v>
      </c>
      <c r="M21">
        <f ca="1">'Res OLS Model'!$B$6*D21</f>
        <v>36454.650441452286</v>
      </c>
      <c r="N21">
        <f ca="1">'Res OLS Model'!$B$7*E21</f>
        <v>27809270.399489496</v>
      </c>
      <c r="O21">
        <f>'Res OLS Model'!$B$8*F21</f>
        <v>0</v>
      </c>
      <c r="P21">
        <f>'Res OLS Model'!$B$9*G21</f>
        <v>0</v>
      </c>
      <c r="Q21">
        <f>'Res OLS Model'!$B$10*H21</f>
        <v>55859933.6715082</v>
      </c>
      <c r="R21">
        <f>'Res OLS Model'!$B$11*I21</f>
        <v>0</v>
      </c>
      <c r="S21">
        <f>'Res OLS Model'!$B$12*J21</f>
        <v>-254923.69258668201</v>
      </c>
      <c r="T21">
        <f t="shared" ca="1" si="2"/>
        <v>68755513.177233368</v>
      </c>
    </row>
    <row r="22" spans="1:20">
      <c r="A22" s="26">
        <f>'Monthly Data'!A22</f>
        <v>40422</v>
      </c>
      <c r="B22">
        <f t="shared" si="1"/>
        <v>2010</v>
      </c>
      <c r="C22">
        <f ca="1">'Monthly Data'!F22</f>
        <v>49993208.971530318</v>
      </c>
      <c r="D22">
        <f t="shared" ref="D22:E22" ca="1" si="11">D10</f>
        <v>33.01</v>
      </c>
      <c r="E22">
        <f t="shared" ca="1" si="11"/>
        <v>72.989999999999981</v>
      </c>
      <c r="F22">
        <f>'Monthly Data'!BZ22</f>
        <v>0</v>
      </c>
      <c r="G22">
        <f>'Monthly Data'!CA22</f>
        <v>1</v>
      </c>
      <c r="H22">
        <f>'Monthly Data'!CC22</f>
        <v>30</v>
      </c>
      <c r="I22">
        <f>'Monthly Data'!BV22</f>
        <v>1</v>
      </c>
      <c r="J22">
        <f>'Monthly Data'!BM22</f>
        <v>21</v>
      </c>
      <c r="L22">
        <f>'Res OLS Model'!$B$5</f>
        <v>-14695221.8516191</v>
      </c>
      <c r="M22">
        <f ca="1">'Res OLS Model'!$B$6*D22</f>
        <v>796932.45766380127</v>
      </c>
      <c r="N22">
        <f ca="1">'Res OLS Model'!$B$7*E22</f>
        <v>12714849.952760821</v>
      </c>
      <c r="O22">
        <f>'Res OLS Model'!$B$8*F22</f>
        <v>0</v>
      </c>
      <c r="P22">
        <f>'Res OLS Model'!$B$9*G22</f>
        <v>-2399238.63510927</v>
      </c>
      <c r="Q22">
        <f>'Res OLS Model'!$B$10*H22</f>
        <v>54058000.327266</v>
      </c>
      <c r="R22">
        <f>'Res OLS Model'!$B$11*I22</f>
        <v>2497427.94615121</v>
      </c>
      <c r="S22">
        <f>'Res OLS Model'!$B$12*J22</f>
        <v>-267669.87721601612</v>
      </c>
      <c r="T22">
        <f t="shared" ca="1" si="2"/>
        <v>52705080.319897443</v>
      </c>
    </row>
    <row r="23" spans="1:20">
      <c r="A23" s="26">
        <f>'Monthly Data'!A23</f>
        <v>40452</v>
      </c>
      <c r="B23">
        <f t="shared" si="1"/>
        <v>2010</v>
      </c>
      <c r="C23">
        <f ca="1">'Monthly Data'!F23</f>
        <v>42337839.47948432</v>
      </c>
      <c r="D23">
        <f t="shared" ref="D23:E23" ca="1" si="12">D11</f>
        <v>177.83999999999997</v>
      </c>
      <c r="E23">
        <f t="shared" ca="1" si="12"/>
        <v>10.779999999999998</v>
      </c>
      <c r="F23">
        <f>'Monthly Data'!BZ23</f>
        <v>0</v>
      </c>
      <c r="G23">
        <f>'Monthly Data'!CA23</f>
        <v>1</v>
      </c>
      <c r="H23">
        <f>'Monthly Data'!CC23</f>
        <v>31</v>
      </c>
      <c r="I23">
        <f>'Monthly Data'!BV23</f>
        <v>0</v>
      </c>
      <c r="J23">
        <f>'Monthly Data'!BM23</f>
        <v>22</v>
      </c>
      <c r="L23">
        <f>'Res OLS Model'!$B$5</f>
        <v>-14695221.8516191</v>
      </c>
      <c r="M23">
        <f ca="1">'Res OLS Model'!$B$6*D23</f>
        <v>4293440.4202038897</v>
      </c>
      <c r="N23">
        <f ca="1">'Res OLS Model'!$B$7*E23</f>
        <v>1877874.8114914598</v>
      </c>
      <c r="O23">
        <f>'Res OLS Model'!$B$8*F23</f>
        <v>0</v>
      </c>
      <c r="P23">
        <f>'Res OLS Model'!$B$9*G23</f>
        <v>-2399238.63510927</v>
      </c>
      <c r="Q23">
        <f>'Res OLS Model'!$B$10*H23</f>
        <v>55859933.6715082</v>
      </c>
      <c r="R23">
        <f>'Res OLS Model'!$B$11*I23</f>
        <v>0</v>
      </c>
      <c r="S23">
        <f>'Res OLS Model'!$B$12*J23</f>
        <v>-280416.0618453502</v>
      </c>
      <c r="T23">
        <f t="shared" ca="1" si="2"/>
        <v>44656372.35462983</v>
      </c>
    </row>
    <row r="24" spans="1:20">
      <c r="A24" s="26">
        <f>'Monthly Data'!A24</f>
        <v>40483</v>
      </c>
      <c r="B24">
        <f t="shared" si="1"/>
        <v>2010</v>
      </c>
      <c r="C24">
        <f ca="1">'Monthly Data'!F24</f>
        <v>45676188.057550319</v>
      </c>
      <c r="D24">
        <f t="shared" ref="D24:E24" ca="1" si="13">D12</f>
        <v>361.94999999999993</v>
      </c>
      <c r="E24">
        <f t="shared" ca="1" si="13"/>
        <v>0.05</v>
      </c>
      <c r="F24">
        <f>'Monthly Data'!BZ24</f>
        <v>0</v>
      </c>
      <c r="G24">
        <f>'Monthly Data'!CA24</f>
        <v>1</v>
      </c>
      <c r="H24">
        <f>'Monthly Data'!CC24</f>
        <v>30</v>
      </c>
      <c r="I24">
        <f>'Monthly Data'!BV24</f>
        <v>0</v>
      </c>
      <c r="J24">
        <f>'Monthly Data'!BM24</f>
        <v>23</v>
      </c>
      <c r="L24">
        <f>'Res OLS Model'!$B$5</f>
        <v>-14695221.8516191</v>
      </c>
      <c r="M24">
        <f ca="1">'Res OLS Model'!$B$6*D24</f>
        <v>8738252.1372739412</v>
      </c>
      <c r="N24">
        <f ca="1">'Res OLS Model'!$B$7*E24</f>
        <v>8709.9944874371995</v>
      </c>
      <c r="O24">
        <f>'Res OLS Model'!$B$8*F24</f>
        <v>0</v>
      </c>
      <c r="P24">
        <f>'Res OLS Model'!$B$9*G24</f>
        <v>-2399238.63510927</v>
      </c>
      <c r="Q24">
        <f>'Res OLS Model'!$B$10*H24</f>
        <v>54058000.327266</v>
      </c>
      <c r="R24">
        <f>'Res OLS Model'!$B$11*I24</f>
        <v>0</v>
      </c>
      <c r="S24">
        <f>'Res OLS Model'!$B$12*J24</f>
        <v>-293162.24647468433</v>
      </c>
      <c r="T24">
        <f t="shared" ca="1" si="2"/>
        <v>45417339.725824326</v>
      </c>
    </row>
    <row r="25" spans="1:20">
      <c r="A25" s="26">
        <f>'Monthly Data'!A25</f>
        <v>40513</v>
      </c>
      <c r="B25">
        <f t="shared" si="1"/>
        <v>2010</v>
      </c>
      <c r="C25">
        <f ca="1">'Monthly Data'!F25</f>
        <v>56097840.297418319</v>
      </c>
      <c r="D25">
        <f t="shared" ref="D25:E25" ca="1" si="14">D13</f>
        <v>556.41000000000008</v>
      </c>
      <c r="E25">
        <f t="shared" ca="1" si="14"/>
        <v>0</v>
      </c>
      <c r="F25">
        <f>'Monthly Data'!BZ25</f>
        <v>0</v>
      </c>
      <c r="G25">
        <f>'Monthly Data'!CA25</f>
        <v>0</v>
      </c>
      <c r="H25">
        <f>'Monthly Data'!CC25</f>
        <v>31</v>
      </c>
      <c r="I25">
        <f>'Monthly Data'!BV25</f>
        <v>0</v>
      </c>
      <c r="J25">
        <f>'Monthly Data'!BM25</f>
        <v>24</v>
      </c>
      <c r="L25">
        <f>'Res OLS Model'!$B$5</f>
        <v>-14695221.8516191</v>
      </c>
      <c r="M25">
        <f ca="1">'Res OLS Model'!$B$6*D25</f>
        <v>13432935.133859914</v>
      </c>
      <c r="N25">
        <f ca="1">'Res OLS Model'!$B$7*E25</f>
        <v>0</v>
      </c>
      <c r="O25">
        <f>'Res OLS Model'!$B$8*F25</f>
        <v>0</v>
      </c>
      <c r="P25">
        <f>'Res OLS Model'!$B$9*G25</f>
        <v>0</v>
      </c>
      <c r="Q25">
        <f>'Res OLS Model'!$B$10*H25</f>
        <v>55859933.6715082</v>
      </c>
      <c r="R25">
        <f>'Res OLS Model'!$B$11*I25</f>
        <v>0</v>
      </c>
      <c r="S25">
        <f>'Res OLS Model'!$B$12*J25</f>
        <v>-305908.43110401841</v>
      </c>
      <c r="T25">
        <f t="shared" ca="1" si="2"/>
        <v>54291738.522644997</v>
      </c>
    </row>
    <row r="26" spans="1:20">
      <c r="A26" s="26">
        <f>'Monthly Data'!A26</f>
        <v>40544</v>
      </c>
      <c r="B26">
        <f t="shared" si="1"/>
        <v>2011</v>
      </c>
      <c r="C26">
        <f ca="1">'Monthly Data'!F26</f>
        <v>57216324.683351137</v>
      </c>
      <c r="D26">
        <f t="shared" ref="D26:E26" ca="1" si="15">D14</f>
        <v>659.42999999999984</v>
      </c>
      <c r="E26">
        <f t="shared" ca="1" si="15"/>
        <v>0</v>
      </c>
      <c r="F26">
        <f>'Monthly Data'!BZ26</f>
        <v>0</v>
      </c>
      <c r="G26">
        <f>'Monthly Data'!CA26</f>
        <v>0</v>
      </c>
      <c r="H26">
        <f>'Monthly Data'!CC26</f>
        <v>31</v>
      </c>
      <c r="I26">
        <f>'Monthly Data'!BV26</f>
        <v>0</v>
      </c>
      <c r="J26">
        <f>'Monthly Data'!BM26</f>
        <v>25</v>
      </c>
      <c r="L26">
        <f>'Res OLS Model'!$B$5</f>
        <v>-14695221.8516191</v>
      </c>
      <c r="M26">
        <f ca="1">'Res OLS Model'!$B$6*D26</f>
        <v>15920059.695766142</v>
      </c>
      <c r="N26">
        <f ca="1">'Res OLS Model'!$B$7*E26</f>
        <v>0</v>
      </c>
      <c r="O26">
        <f>'Res OLS Model'!$B$8*F26</f>
        <v>0</v>
      </c>
      <c r="P26">
        <f>'Res OLS Model'!$B$9*G26</f>
        <v>0</v>
      </c>
      <c r="Q26">
        <f>'Res OLS Model'!$B$10*H26</f>
        <v>55859933.6715082</v>
      </c>
      <c r="R26">
        <f>'Res OLS Model'!$B$11*I26</f>
        <v>0</v>
      </c>
      <c r="S26">
        <f>'Res OLS Model'!$B$12*J26</f>
        <v>-318654.61573335249</v>
      </c>
      <c r="T26">
        <f t="shared" ca="1" si="2"/>
        <v>56766116.899921887</v>
      </c>
    </row>
    <row r="27" spans="1:20">
      <c r="A27" s="26">
        <f>'Monthly Data'!A27</f>
        <v>40575</v>
      </c>
      <c r="B27">
        <f t="shared" si="1"/>
        <v>2011</v>
      </c>
      <c r="C27">
        <f ca="1">'Monthly Data'!F27</f>
        <v>49077423.393344134</v>
      </c>
      <c r="D27">
        <f t="shared" ref="D27:E27" ca="1" si="16">D15</f>
        <v>571.77</v>
      </c>
      <c r="E27">
        <f t="shared" ca="1" si="16"/>
        <v>0</v>
      </c>
      <c r="F27">
        <f>'Monthly Data'!BZ27</f>
        <v>0</v>
      </c>
      <c r="G27">
        <f>'Monthly Data'!CA27</f>
        <v>0</v>
      </c>
      <c r="H27">
        <f>'Monthly Data'!CC27</f>
        <v>28</v>
      </c>
      <c r="I27">
        <f>'Monthly Data'!BV27</f>
        <v>0</v>
      </c>
      <c r="J27">
        <f>'Monthly Data'!BM27</f>
        <v>26</v>
      </c>
      <c r="L27">
        <f>'Res OLS Model'!$B$5</f>
        <v>-14695221.8516191</v>
      </c>
      <c r="M27">
        <f ca="1">'Res OLS Model'!$B$6*D27</f>
        <v>13803758.597953094</v>
      </c>
      <c r="N27">
        <f ca="1">'Res OLS Model'!$B$7*E27</f>
        <v>0</v>
      </c>
      <c r="O27">
        <f>'Res OLS Model'!$B$8*F27</f>
        <v>0</v>
      </c>
      <c r="P27">
        <f>'Res OLS Model'!$B$9*G27</f>
        <v>0</v>
      </c>
      <c r="Q27">
        <f>'Res OLS Model'!$B$10*H27</f>
        <v>50454133.6387816</v>
      </c>
      <c r="R27">
        <f>'Res OLS Model'!$B$11*I27</f>
        <v>0</v>
      </c>
      <c r="S27">
        <f>'Res OLS Model'!$B$12*J27</f>
        <v>-331400.80036268663</v>
      </c>
      <c r="T27">
        <f t="shared" ca="1" si="2"/>
        <v>49231269.58475291</v>
      </c>
    </row>
    <row r="28" spans="1:20">
      <c r="A28" s="26">
        <f>'Monthly Data'!A28</f>
        <v>40603</v>
      </c>
      <c r="B28">
        <f t="shared" si="1"/>
        <v>2011</v>
      </c>
      <c r="C28">
        <f ca="1">'Monthly Data'!F28</f>
        <v>49267213.176552139</v>
      </c>
      <c r="D28">
        <f t="shared" ref="D28:E28" ca="1" si="17">D16</f>
        <v>456.53999999999996</v>
      </c>
      <c r="E28">
        <f t="shared" ca="1" si="17"/>
        <v>0.48</v>
      </c>
      <c r="F28">
        <f>'Monthly Data'!BZ28</f>
        <v>1</v>
      </c>
      <c r="G28">
        <f>'Monthly Data'!CA28</f>
        <v>0</v>
      </c>
      <c r="H28">
        <f>'Monthly Data'!CC28</f>
        <v>31</v>
      </c>
      <c r="I28">
        <f>'Monthly Data'!BV28</f>
        <v>0</v>
      </c>
      <c r="J28">
        <f>'Monthly Data'!BM28</f>
        <v>27</v>
      </c>
      <c r="L28">
        <f>'Res OLS Model'!$B$5</f>
        <v>-14695221.8516191</v>
      </c>
      <c r="M28">
        <f ca="1">'Res OLS Model'!$B$6*D28</f>
        <v>11021858.352675911</v>
      </c>
      <c r="N28">
        <f ca="1">'Res OLS Model'!$B$7*E28</f>
        <v>83615.947079397112</v>
      </c>
      <c r="O28">
        <f>'Res OLS Model'!$B$8*F28</f>
        <v>-4177006.7225933699</v>
      </c>
      <c r="P28">
        <f>'Res OLS Model'!$B$9*G28</f>
        <v>0</v>
      </c>
      <c r="Q28">
        <f>'Res OLS Model'!$B$10*H28</f>
        <v>55859933.6715082</v>
      </c>
      <c r="R28">
        <f>'Res OLS Model'!$B$11*I28</f>
        <v>0</v>
      </c>
      <c r="S28">
        <f>'Res OLS Model'!$B$12*J28</f>
        <v>-344146.98499202071</v>
      </c>
      <c r="T28">
        <f t="shared" ca="1" si="2"/>
        <v>47749032.412059017</v>
      </c>
    </row>
    <row r="29" spans="1:20">
      <c r="A29" s="26">
        <f>'Monthly Data'!A29</f>
        <v>40634</v>
      </c>
      <c r="B29">
        <f t="shared" si="1"/>
        <v>2011</v>
      </c>
      <c r="C29">
        <f ca="1">'Monthly Data'!F29</f>
        <v>43063023.121252134</v>
      </c>
      <c r="D29">
        <f t="shared" ref="D29:E29" ca="1" si="18">D17</f>
        <v>248.54999999999995</v>
      </c>
      <c r="E29">
        <f t="shared" ca="1" si="18"/>
        <v>2.63</v>
      </c>
      <c r="F29">
        <f>'Monthly Data'!BZ29</f>
        <v>1</v>
      </c>
      <c r="G29">
        <f>'Monthly Data'!CA29</f>
        <v>0</v>
      </c>
      <c r="H29">
        <f>'Monthly Data'!CC29</f>
        <v>30</v>
      </c>
      <c r="I29">
        <f>'Monthly Data'!BV29</f>
        <v>0</v>
      </c>
      <c r="J29">
        <f>'Monthly Data'!BM29</f>
        <v>28</v>
      </c>
      <c r="L29">
        <f>'Res OLS Model'!$B$5</f>
        <v>-14695221.8516191</v>
      </c>
      <c r="M29">
        <f ca="1">'Res OLS Model'!$B$6*D29</f>
        <v>6000532.0312734861</v>
      </c>
      <c r="N29">
        <f ca="1">'Res OLS Model'!$B$7*E29</f>
        <v>458145.71003919671</v>
      </c>
      <c r="O29">
        <f>'Res OLS Model'!$B$8*F29</f>
        <v>-4177006.7225933699</v>
      </c>
      <c r="P29">
        <f>'Res OLS Model'!$B$9*G29</f>
        <v>0</v>
      </c>
      <c r="Q29">
        <f>'Res OLS Model'!$B$10*H29</f>
        <v>54058000.327266</v>
      </c>
      <c r="R29">
        <f>'Res OLS Model'!$B$11*I29</f>
        <v>0</v>
      </c>
      <c r="S29">
        <f>'Res OLS Model'!$B$12*J29</f>
        <v>-356893.16962135478</v>
      </c>
      <c r="T29">
        <f t="shared" ca="1" si="2"/>
        <v>41287556.324744858</v>
      </c>
    </row>
    <row r="30" spans="1:20">
      <c r="A30" s="26">
        <f>'Monthly Data'!A30</f>
        <v>40664</v>
      </c>
      <c r="B30">
        <f t="shared" si="1"/>
        <v>2011</v>
      </c>
      <c r="C30">
        <f ca="1">'Monthly Data'!F30</f>
        <v>46164662.055697136</v>
      </c>
      <c r="D30">
        <f t="shared" ref="D30:E30" ca="1" si="19">D18</f>
        <v>92.740000000000009</v>
      </c>
      <c r="E30">
        <f t="shared" ca="1" si="19"/>
        <v>47.37</v>
      </c>
      <c r="F30">
        <f>'Monthly Data'!BZ30</f>
        <v>1</v>
      </c>
      <c r="G30">
        <f>'Monthly Data'!CA30</f>
        <v>0</v>
      </c>
      <c r="H30">
        <f>'Monthly Data'!CC30</f>
        <v>31</v>
      </c>
      <c r="I30">
        <f>'Monthly Data'!BV30</f>
        <v>0</v>
      </c>
      <c r="J30">
        <f>'Monthly Data'!BM30</f>
        <v>29</v>
      </c>
      <c r="L30">
        <f>'Res OLS Model'!$B$5</f>
        <v>-14695221.8516191</v>
      </c>
      <c r="M30">
        <f ca="1">'Res OLS Model'!$B$6*D30</f>
        <v>2238943.2330730367</v>
      </c>
      <c r="N30">
        <f ca="1">'Res OLS Model'!$B$7*E30</f>
        <v>8251848.7773980023</v>
      </c>
      <c r="O30">
        <f>'Res OLS Model'!$B$8*F30</f>
        <v>-4177006.7225933699</v>
      </c>
      <c r="P30">
        <f>'Res OLS Model'!$B$9*G30</f>
        <v>0</v>
      </c>
      <c r="Q30">
        <f>'Res OLS Model'!$B$10*H30</f>
        <v>55859933.6715082</v>
      </c>
      <c r="R30">
        <f>'Res OLS Model'!$B$11*I30</f>
        <v>0</v>
      </c>
      <c r="S30">
        <f>'Res OLS Model'!$B$12*J30</f>
        <v>-369639.35425068892</v>
      </c>
      <c r="T30">
        <f t="shared" ca="1" si="2"/>
        <v>47108857.753516078</v>
      </c>
    </row>
    <row r="31" spans="1:20">
      <c r="A31" s="26">
        <f>'Monthly Data'!A31</f>
        <v>40695</v>
      </c>
      <c r="B31">
        <f t="shared" si="1"/>
        <v>2011</v>
      </c>
      <c r="C31">
        <f ca="1">'Monthly Data'!F31</f>
        <v>60282224.690545134</v>
      </c>
      <c r="D31">
        <f t="shared" ref="D31:E31" ca="1" si="20">D19</f>
        <v>9.08</v>
      </c>
      <c r="E31">
        <f t="shared" ca="1" si="20"/>
        <v>117.23999999999997</v>
      </c>
      <c r="F31">
        <f>'Monthly Data'!BZ31</f>
        <v>0</v>
      </c>
      <c r="G31">
        <f>'Monthly Data'!CA31</f>
        <v>0</v>
      </c>
      <c r="H31">
        <f>'Monthly Data'!CC31</f>
        <v>30</v>
      </c>
      <c r="I31">
        <f>'Monthly Data'!BV31</f>
        <v>0</v>
      </c>
      <c r="J31">
        <f>'Monthly Data'!BM31</f>
        <v>30</v>
      </c>
      <c r="L31">
        <f>'Res OLS Model'!$B$5</f>
        <v>-14695221.8516191</v>
      </c>
      <c r="M31">
        <f ca="1">'Res OLS Model'!$B$6*D31</f>
        <v>219210.74570091837</v>
      </c>
      <c r="N31">
        <f ca="1">'Res OLS Model'!$B$7*E31</f>
        <v>20423195.074142739</v>
      </c>
      <c r="O31">
        <f>'Res OLS Model'!$B$8*F31</f>
        <v>0</v>
      </c>
      <c r="P31">
        <f>'Res OLS Model'!$B$9*G31</f>
        <v>0</v>
      </c>
      <c r="Q31">
        <f>'Res OLS Model'!$B$10*H31</f>
        <v>54058000.327266</v>
      </c>
      <c r="R31">
        <f>'Res OLS Model'!$B$11*I31</f>
        <v>0</v>
      </c>
      <c r="S31">
        <f>'Res OLS Model'!$B$12*J31</f>
        <v>-382385.538880023</v>
      </c>
      <c r="T31">
        <f t="shared" ca="1" si="2"/>
        <v>59622798.756610535</v>
      </c>
    </row>
    <row r="32" spans="1:20">
      <c r="A32" s="26">
        <f>'Monthly Data'!A32</f>
        <v>40725</v>
      </c>
      <c r="B32">
        <f t="shared" si="1"/>
        <v>2011</v>
      </c>
      <c r="C32">
        <f ca="1">'Monthly Data'!F32</f>
        <v>81061488.555960134</v>
      </c>
      <c r="D32">
        <f t="shared" ref="D32:E32" ca="1" si="21">D20</f>
        <v>0.51</v>
      </c>
      <c r="E32">
        <f t="shared" ca="1" si="21"/>
        <v>185.60999999999999</v>
      </c>
      <c r="F32">
        <f>'Monthly Data'!BZ32</f>
        <v>0</v>
      </c>
      <c r="G32">
        <f>'Monthly Data'!CA32</f>
        <v>0</v>
      </c>
      <c r="H32">
        <f>'Monthly Data'!CC32</f>
        <v>31</v>
      </c>
      <c r="I32">
        <f>'Monthly Data'!BV32</f>
        <v>0</v>
      </c>
      <c r="J32">
        <f>'Monthly Data'!BM32</f>
        <v>31</v>
      </c>
      <c r="L32">
        <f>'Res OLS Model'!$B$5</f>
        <v>-14695221.8516191</v>
      </c>
      <c r="M32">
        <f ca="1">'Res OLS Model'!$B$6*D32</f>
        <v>12312.497831218983</v>
      </c>
      <c r="N32">
        <f ca="1">'Res OLS Model'!$B$7*E32</f>
        <v>32333241.536264371</v>
      </c>
      <c r="O32">
        <f>'Res OLS Model'!$B$8*F32</f>
        <v>0</v>
      </c>
      <c r="P32">
        <f>'Res OLS Model'!$B$9*G32</f>
        <v>0</v>
      </c>
      <c r="Q32">
        <f>'Res OLS Model'!$B$10*H32</f>
        <v>55859933.6715082</v>
      </c>
      <c r="R32">
        <f>'Res OLS Model'!$B$11*I32</f>
        <v>0</v>
      </c>
      <c r="S32">
        <f>'Res OLS Model'!$B$12*J32</f>
        <v>-395131.72350935714</v>
      </c>
      <c r="T32">
        <f t="shared" ca="1" si="2"/>
        <v>73115134.130475327</v>
      </c>
    </row>
    <row r="33" spans="1:20">
      <c r="A33" s="26">
        <f>'Monthly Data'!A33</f>
        <v>40756</v>
      </c>
      <c r="B33">
        <f t="shared" si="1"/>
        <v>2011</v>
      </c>
      <c r="C33">
        <f ca="1">'Monthly Data'!F33</f>
        <v>71258545.409913138</v>
      </c>
      <c r="D33">
        <f t="shared" ref="D33:E33" ca="1" si="22">D21</f>
        <v>1.51</v>
      </c>
      <c r="E33">
        <f t="shared" ca="1" si="22"/>
        <v>159.64000000000001</v>
      </c>
      <c r="F33">
        <f>'Monthly Data'!BZ33</f>
        <v>0</v>
      </c>
      <c r="G33">
        <f>'Monthly Data'!CA33</f>
        <v>0</v>
      </c>
      <c r="H33">
        <f>'Monthly Data'!CC33</f>
        <v>31</v>
      </c>
      <c r="I33">
        <f>'Monthly Data'!BV33</f>
        <v>0</v>
      </c>
      <c r="J33">
        <f>'Monthly Data'!BM33</f>
        <v>32</v>
      </c>
      <c r="L33">
        <f>'Res OLS Model'!$B$5</f>
        <v>-14695221.8516191</v>
      </c>
      <c r="M33">
        <f ca="1">'Res OLS Model'!$B$6*D33</f>
        <v>36454.650441452286</v>
      </c>
      <c r="N33">
        <f ca="1">'Res OLS Model'!$B$7*E33</f>
        <v>27809270.399489496</v>
      </c>
      <c r="O33">
        <f>'Res OLS Model'!$B$8*F33</f>
        <v>0</v>
      </c>
      <c r="P33">
        <f>'Res OLS Model'!$B$9*G33</f>
        <v>0</v>
      </c>
      <c r="Q33">
        <f>'Res OLS Model'!$B$10*H33</f>
        <v>55859933.6715082</v>
      </c>
      <c r="R33">
        <f>'Res OLS Model'!$B$11*I33</f>
        <v>0</v>
      </c>
      <c r="S33">
        <f>'Res OLS Model'!$B$12*J33</f>
        <v>-407877.90813869121</v>
      </c>
      <c r="T33">
        <f t="shared" ca="1" si="2"/>
        <v>68602558.961681351</v>
      </c>
    </row>
    <row r="34" spans="1:20">
      <c r="A34" s="26">
        <f>'Monthly Data'!A34</f>
        <v>40787</v>
      </c>
      <c r="B34">
        <f t="shared" si="1"/>
        <v>2011</v>
      </c>
      <c r="C34">
        <f ca="1">'Monthly Data'!F34</f>
        <v>49668107.280463137</v>
      </c>
      <c r="D34">
        <f t="shared" ref="D34:E34" ca="1" si="23">D22</f>
        <v>33.01</v>
      </c>
      <c r="E34">
        <f t="shared" ca="1" si="23"/>
        <v>72.989999999999981</v>
      </c>
      <c r="F34">
        <f>'Monthly Data'!BZ34</f>
        <v>0</v>
      </c>
      <c r="G34">
        <f>'Monthly Data'!CA34</f>
        <v>1</v>
      </c>
      <c r="H34">
        <f>'Monthly Data'!CC34</f>
        <v>30</v>
      </c>
      <c r="I34">
        <f>'Monthly Data'!BV34</f>
        <v>1</v>
      </c>
      <c r="J34">
        <f>'Monthly Data'!BM34</f>
        <v>33</v>
      </c>
      <c r="L34">
        <f>'Res OLS Model'!$B$5</f>
        <v>-14695221.8516191</v>
      </c>
      <c r="M34">
        <f ca="1">'Res OLS Model'!$B$6*D34</f>
        <v>796932.45766380127</v>
      </c>
      <c r="N34">
        <f ca="1">'Res OLS Model'!$B$7*E34</f>
        <v>12714849.952760821</v>
      </c>
      <c r="O34">
        <f>'Res OLS Model'!$B$8*F34</f>
        <v>0</v>
      </c>
      <c r="P34">
        <f>'Res OLS Model'!$B$9*G34</f>
        <v>-2399238.63510927</v>
      </c>
      <c r="Q34">
        <f>'Res OLS Model'!$B$10*H34</f>
        <v>54058000.327266</v>
      </c>
      <c r="R34">
        <f>'Res OLS Model'!$B$11*I34</f>
        <v>2497427.94615121</v>
      </c>
      <c r="S34">
        <f>'Res OLS Model'!$B$12*J34</f>
        <v>-420624.09276802529</v>
      </c>
      <c r="T34">
        <f t="shared" ca="1" si="2"/>
        <v>52552126.104345433</v>
      </c>
    </row>
    <row r="35" spans="1:20">
      <c r="A35" s="26">
        <f>'Monthly Data'!A35</f>
        <v>40817</v>
      </c>
      <c r="B35">
        <f t="shared" si="1"/>
        <v>2011</v>
      </c>
      <c r="C35">
        <f ca="1">'Monthly Data'!F35</f>
        <v>43253414.186002135</v>
      </c>
      <c r="D35">
        <f t="shared" ref="D35:E35" ca="1" si="24">D23</f>
        <v>177.83999999999997</v>
      </c>
      <c r="E35">
        <f t="shared" ca="1" si="24"/>
        <v>10.779999999999998</v>
      </c>
      <c r="F35">
        <f>'Monthly Data'!BZ35</f>
        <v>0</v>
      </c>
      <c r="G35">
        <f>'Monthly Data'!CA35</f>
        <v>1</v>
      </c>
      <c r="H35">
        <f>'Monthly Data'!CC35</f>
        <v>31</v>
      </c>
      <c r="I35">
        <f>'Monthly Data'!BV35</f>
        <v>0</v>
      </c>
      <c r="J35">
        <f>'Monthly Data'!BM35</f>
        <v>34</v>
      </c>
      <c r="L35">
        <f>'Res OLS Model'!$B$5</f>
        <v>-14695221.8516191</v>
      </c>
      <c r="M35">
        <f ca="1">'Res OLS Model'!$B$6*D35</f>
        <v>4293440.4202038897</v>
      </c>
      <c r="N35">
        <f ca="1">'Res OLS Model'!$B$7*E35</f>
        <v>1877874.8114914598</v>
      </c>
      <c r="O35">
        <f>'Res OLS Model'!$B$8*F35</f>
        <v>0</v>
      </c>
      <c r="P35">
        <f>'Res OLS Model'!$B$9*G35</f>
        <v>-2399238.63510927</v>
      </c>
      <c r="Q35">
        <f>'Res OLS Model'!$B$10*H35</f>
        <v>55859933.6715082</v>
      </c>
      <c r="R35">
        <f>'Res OLS Model'!$B$11*I35</f>
        <v>0</v>
      </c>
      <c r="S35">
        <f>'Res OLS Model'!$B$12*J35</f>
        <v>-433370.27739735943</v>
      </c>
      <c r="T35">
        <f t="shared" ca="1" si="2"/>
        <v>44503418.13907782</v>
      </c>
    </row>
    <row r="36" spans="1:20">
      <c r="A36" s="26">
        <f>'Monthly Data'!A36</f>
        <v>40848</v>
      </c>
      <c r="B36">
        <f t="shared" si="1"/>
        <v>2011</v>
      </c>
      <c r="C36">
        <f ca="1">'Monthly Data'!F36</f>
        <v>44910887.27802214</v>
      </c>
      <c r="D36">
        <f t="shared" ref="D36:E36" ca="1" si="25">D24</f>
        <v>361.94999999999993</v>
      </c>
      <c r="E36">
        <f t="shared" ca="1" si="25"/>
        <v>0.05</v>
      </c>
      <c r="F36">
        <f>'Monthly Data'!BZ36</f>
        <v>0</v>
      </c>
      <c r="G36">
        <f>'Monthly Data'!CA36</f>
        <v>1</v>
      </c>
      <c r="H36">
        <f>'Monthly Data'!CC36</f>
        <v>30</v>
      </c>
      <c r="I36">
        <f>'Monthly Data'!BV36</f>
        <v>0</v>
      </c>
      <c r="J36">
        <f>'Monthly Data'!BM36</f>
        <v>35</v>
      </c>
      <c r="L36">
        <f>'Res OLS Model'!$B$5</f>
        <v>-14695221.8516191</v>
      </c>
      <c r="M36">
        <f ca="1">'Res OLS Model'!$B$6*D36</f>
        <v>8738252.1372739412</v>
      </c>
      <c r="N36">
        <f ca="1">'Res OLS Model'!$B$7*E36</f>
        <v>8709.9944874371995</v>
      </c>
      <c r="O36">
        <f>'Res OLS Model'!$B$8*F36</f>
        <v>0</v>
      </c>
      <c r="P36">
        <f>'Res OLS Model'!$B$9*G36</f>
        <v>-2399238.63510927</v>
      </c>
      <c r="Q36">
        <f>'Res OLS Model'!$B$10*H36</f>
        <v>54058000.327266</v>
      </c>
      <c r="R36">
        <f>'Res OLS Model'!$B$11*I36</f>
        <v>0</v>
      </c>
      <c r="S36">
        <f>'Res OLS Model'!$B$12*J36</f>
        <v>-446116.46202669351</v>
      </c>
      <c r="T36">
        <f t="shared" ca="1" si="2"/>
        <v>45264385.510272317</v>
      </c>
    </row>
    <row r="37" spans="1:20">
      <c r="A37" s="26">
        <f>'Monthly Data'!A37</f>
        <v>40878</v>
      </c>
      <c r="B37">
        <f t="shared" si="1"/>
        <v>2011</v>
      </c>
      <c r="C37">
        <f ca="1">'Monthly Data'!F37</f>
        <v>53040629.64073614</v>
      </c>
      <c r="D37">
        <f t="shared" ref="D37:E37" ca="1" si="26">D25</f>
        <v>556.41000000000008</v>
      </c>
      <c r="E37">
        <f t="shared" ca="1" si="26"/>
        <v>0</v>
      </c>
      <c r="F37">
        <f>'Monthly Data'!BZ37</f>
        <v>0</v>
      </c>
      <c r="G37">
        <f>'Monthly Data'!CA37</f>
        <v>0</v>
      </c>
      <c r="H37">
        <f>'Monthly Data'!CC37</f>
        <v>31</v>
      </c>
      <c r="I37">
        <f>'Monthly Data'!BV37</f>
        <v>0</v>
      </c>
      <c r="J37">
        <f>'Monthly Data'!BM37</f>
        <v>36</v>
      </c>
      <c r="L37">
        <f>'Res OLS Model'!$B$5</f>
        <v>-14695221.8516191</v>
      </c>
      <c r="M37">
        <f ca="1">'Res OLS Model'!$B$6*D37</f>
        <v>13432935.133859914</v>
      </c>
      <c r="N37">
        <f ca="1">'Res OLS Model'!$B$7*E37</f>
        <v>0</v>
      </c>
      <c r="O37">
        <f>'Res OLS Model'!$B$8*F37</f>
        <v>0</v>
      </c>
      <c r="P37">
        <f>'Res OLS Model'!$B$9*G37</f>
        <v>0</v>
      </c>
      <c r="Q37">
        <f>'Res OLS Model'!$B$10*H37</f>
        <v>55859933.6715082</v>
      </c>
      <c r="R37">
        <f>'Res OLS Model'!$B$11*I37</f>
        <v>0</v>
      </c>
      <c r="S37">
        <f>'Res OLS Model'!$B$12*J37</f>
        <v>-458862.64665602765</v>
      </c>
      <c r="T37">
        <f t="shared" ca="1" si="2"/>
        <v>54138784.307092987</v>
      </c>
    </row>
    <row r="38" spans="1:20">
      <c r="A38" s="26">
        <f>'Monthly Data'!A38</f>
        <v>40909</v>
      </c>
      <c r="B38">
        <f t="shared" si="1"/>
        <v>2012</v>
      </c>
      <c r="C38">
        <f ca="1">'Monthly Data'!F38</f>
        <v>53836254.463610977</v>
      </c>
      <c r="D38">
        <f t="shared" ref="D38:E38" ca="1" si="27">D26</f>
        <v>659.42999999999984</v>
      </c>
      <c r="E38">
        <f t="shared" ca="1" si="27"/>
        <v>0</v>
      </c>
      <c r="F38">
        <f>'Monthly Data'!BZ38</f>
        <v>0</v>
      </c>
      <c r="G38">
        <f>'Monthly Data'!CA38</f>
        <v>0</v>
      </c>
      <c r="H38">
        <f>'Monthly Data'!CC38</f>
        <v>31</v>
      </c>
      <c r="I38">
        <f>'Monthly Data'!BV38</f>
        <v>0</v>
      </c>
      <c r="J38">
        <f>'Monthly Data'!BM38</f>
        <v>37</v>
      </c>
      <c r="L38">
        <f>'Res OLS Model'!$B$5</f>
        <v>-14695221.8516191</v>
      </c>
      <c r="M38">
        <f ca="1">'Res OLS Model'!$B$6*D38</f>
        <v>15920059.695766142</v>
      </c>
      <c r="N38">
        <f ca="1">'Res OLS Model'!$B$7*E38</f>
        <v>0</v>
      </c>
      <c r="O38">
        <f>'Res OLS Model'!$B$8*F38</f>
        <v>0</v>
      </c>
      <c r="P38">
        <f>'Res OLS Model'!$B$9*G38</f>
        <v>0</v>
      </c>
      <c r="Q38">
        <f>'Res OLS Model'!$B$10*H38</f>
        <v>55859933.6715082</v>
      </c>
      <c r="R38">
        <f>'Res OLS Model'!$B$11*I38</f>
        <v>0</v>
      </c>
      <c r="S38">
        <f>'Res OLS Model'!$B$12*J38</f>
        <v>-471608.83128536172</v>
      </c>
      <c r="T38">
        <f t="shared" ca="1" si="2"/>
        <v>56613162.684369877</v>
      </c>
    </row>
    <row r="39" spans="1:20">
      <c r="A39" s="26">
        <f>'Monthly Data'!A39</f>
        <v>40940</v>
      </c>
      <c r="B39">
        <f t="shared" si="1"/>
        <v>2012</v>
      </c>
      <c r="C39">
        <f ca="1">'Monthly Data'!F39</f>
        <v>47974878.753441975</v>
      </c>
      <c r="D39">
        <f t="shared" ref="D39:E39" ca="1" si="28">D27</f>
        <v>571.77</v>
      </c>
      <c r="E39">
        <f t="shared" ca="1" si="28"/>
        <v>0</v>
      </c>
      <c r="F39">
        <f>'Monthly Data'!BZ39</f>
        <v>0</v>
      </c>
      <c r="G39">
        <f>'Monthly Data'!CA39</f>
        <v>0</v>
      </c>
      <c r="H39">
        <f>'Monthly Data'!CC39</f>
        <v>29</v>
      </c>
      <c r="I39">
        <f>'Monthly Data'!BV39</f>
        <v>0</v>
      </c>
      <c r="J39">
        <f>'Monthly Data'!BM39</f>
        <v>38</v>
      </c>
      <c r="L39">
        <f>'Res OLS Model'!$B$5</f>
        <v>-14695221.8516191</v>
      </c>
      <c r="M39">
        <f ca="1">'Res OLS Model'!$B$6*D39</f>
        <v>13803758.597953094</v>
      </c>
      <c r="N39">
        <f ca="1">'Res OLS Model'!$B$7*E39</f>
        <v>0</v>
      </c>
      <c r="O39">
        <f>'Res OLS Model'!$B$8*F39</f>
        <v>0</v>
      </c>
      <c r="P39">
        <f>'Res OLS Model'!$B$9*G39</f>
        <v>0</v>
      </c>
      <c r="Q39">
        <f>'Res OLS Model'!$B$10*H39</f>
        <v>52256066.9830238</v>
      </c>
      <c r="R39">
        <f>'Res OLS Model'!$B$11*I39</f>
        <v>0</v>
      </c>
      <c r="S39">
        <f>'Res OLS Model'!$B$12*J39</f>
        <v>-484355.0159146958</v>
      </c>
      <c r="T39">
        <f t="shared" ca="1" si="2"/>
        <v>50880248.7134431</v>
      </c>
    </row>
    <row r="40" spans="1:20">
      <c r="A40" s="26">
        <f>'Monthly Data'!A40</f>
        <v>40969</v>
      </c>
      <c r="B40">
        <f t="shared" si="1"/>
        <v>2012</v>
      </c>
      <c r="C40">
        <f ca="1">'Monthly Data'!F40</f>
        <v>44818017.847629979</v>
      </c>
      <c r="D40">
        <f t="shared" ref="D40:E40" ca="1" si="29">D28</f>
        <v>456.53999999999996</v>
      </c>
      <c r="E40">
        <f t="shared" ca="1" si="29"/>
        <v>0.48</v>
      </c>
      <c r="F40">
        <f>'Monthly Data'!BZ40</f>
        <v>1</v>
      </c>
      <c r="G40">
        <f>'Monthly Data'!CA40</f>
        <v>0</v>
      </c>
      <c r="H40">
        <f>'Monthly Data'!CC40</f>
        <v>31</v>
      </c>
      <c r="I40">
        <f>'Monthly Data'!BV40</f>
        <v>0</v>
      </c>
      <c r="J40">
        <f>'Monthly Data'!BM40</f>
        <v>39</v>
      </c>
      <c r="L40">
        <f>'Res OLS Model'!$B$5</f>
        <v>-14695221.8516191</v>
      </c>
      <c r="M40">
        <f ca="1">'Res OLS Model'!$B$6*D40</f>
        <v>11021858.352675911</v>
      </c>
      <c r="N40">
        <f ca="1">'Res OLS Model'!$B$7*E40</f>
        <v>83615.947079397112</v>
      </c>
      <c r="O40">
        <f>'Res OLS Model'!$B$8*F40</f>
        <v>-4177006.7225933699</v>
      </c>
      <c r="P40">
        <f>'Res OLS Model'!$B$9*G40</f>
        <v>0</v>
      </c>
      <c r="Q40">
        <f>'Res OLS Model'!$B$10*H40</f>
        <v>55859933.6715082</v>
      </c>
      <c r="R40">
        <f>'Res OLS Model'!$B$11*I40</f>
        <v>0</v>
      </c>
      <c r="S40">
        <f>'Res OLS Model'!$B$12*J40</f>
        <v>-497101.20054402994</v>
      </c>
      <c r="T40">
        <f t="shared" ca="1" si="2"/>
        <v>47596078.196507007</v>
      </c>
    </row>
    <row r="41" spans="1:20">
      <c r="A41" s="26">
        <f>'Monthly Data'!A41</f>
        <v>41000</v>
      </c>
      <c r="B41">
        <f t="shared" si="1"/>
        <v>2012</v>
      </c>
      <c r="C41">
        <f ca="1">'Monthly Data'!F41</f>
        <v>40519756.964387976</v>
      </c>
      <c r="D41">
        <f t="shared" ref="D41:E41" ca="1" si="30">D29</f>
        <v>248.54999999999995</v>
      </c>
      <c r="E41">
        <f t="shared" ca="1" si="30"/>
        <v>2.63</v>
      </c>
      <c r="F41">
        <f>'Monthly Data'!BZ41</f>
        <v>1</v>
      </c>
      <c r="G41">
        <f>'Monthly Data'!CA41</f>
        <v>0</v>
      </c>
      <c r="H41">
        <f>'Monthly Data'!CC41</f>
        <v>30</v>
      </c>
      <c r="I41">
        <f>'Monthly Data'!BV41</f>
        <v>0</v>
      </c>
      <c r="J41">
        <f>'Monthly Data'!BM41</f>
        <v>40</v>
      </c>
      <c r="L41">
        <f>'Res OLS Model'!$B$5</f>
        <v>-14695221.8516191</v>
      </c>
      <c r="M41">
        <f ca="1">'Res OLS Model'!$B$6*D41</f>
        <v>6000532.0312734861</v>
      </c>
      <c r="N41">
        <f ca="1">'Res OLS Model'!$B$7*E41</f>
        <v>458145.71003919671</v>
      </c>
      <c r="O41">
        <f>'Res OLS Model'!$B$8*F41</f>
        <v>-4177006.7225933699</v>
      </c>
      <c r="P41">
        <f>'Res OLS Model'!$B$9*G41</f>
        <v>0</v>
      </c>
      <c r="Q41">
        <f>'Res OLS Model'!$B$10*H41</f>
        <v>54058000.327266</v>
      </c>
      <c r="R41">
        <f>'Res OLS Model'!$B$11*I41</f>
        <v>0</v>
      </c>
      <c r="S41">
        <f>'Res OLS Model'!$B$12*J41</f>
        <v>-509847.38517336402</v>
      </c>
      <c r="T41">
        <f t="shared" ca="1" si="2"/>
        <v>41134602.109192848</v>
      </c>
    </row>
    <row r="42" spans="1:20">
      <c r="A42" s="26">
        <f>'Monthly Data'!A42</f>
        <v>41030</v>
      </c>
      <c r="B42">
        <f t="shared" si="1"/>
        <v>2012</v>
      </c>
      <c r="C42">
        <f ca="1">'Monthly Data'!F42</f>
        <v>47369873.151951976</v>
      </c>
      <c r="D42">
        <f t="shared" ref="D42:E42" ca="1" si="31">D30</f>
        <v>92.740000000000009</v>
      </c>
      <c r="E42">
        <f t="shared" ca="1" si="31"/>
        <v>47.37</v>
      </c>
      <c r="F42">
        <f>'Monthly Data'!BZ42</f>
        <v>1</v>
      </c>
      <c r="G42">
        <f>'Monthly Data'!CA42</f>
        <v>0</v>
      </c>
      <c r="H42">
        <f>'Monthly Data'!CC42</f>
        <v>31</v>
      </c>
      <c r="I42">
        <f>'Monthly Data'!BV42</f>
        <v>0</v>
      </c>
      <c r="J42">
        <f>'Monthly Data'!BM42</f>
        <v>41</v>
      </c>
      <c r="L42">
        <f>'Res OLS Model'!$B$5</f>
        <v>-14695221.8516191</v>
      </c>
      <c r="M42">
        <f ca="1">'Res OLS Model'!$B$6*D42</f>
        <v>2238943.2330730367</v>
      </c>
      <c r="N42">
        <f ca="1">'Res OLS Model'!$B$7*E42</f>
        <v>8251848.7773980023</v>
      </c>
      <c r="O42">
        <f>'Res OLS Model'!$B$8*F42</f>
        <v>-4177006.7225933699</v>
      </c>
      <c r="P42">
        <f>'Res OLS Model'!$B$9*G42</f>
        <v>0</v>
      </c>
      <c r="Q42">
        <f>'Res OLS Model'!$B$10*H42</f>
        <v>55859933.6715082</v>
      </c>
      <c r="R42">
        <f>'Res OLS Model'!$B$11*I42</f>
        <v>0</v>
      </c>
      <c r="S42">
        <f>'Res OLS Model'!$B$12*J42</f>
        <v>-522593.5698026981</v>
      </c>
      <c r="T42">
        <f t="shared" ca="1" si="2"/>
        <v>46955903.537964068</v>
      </c>
    </row>
    <row r="43" spans="1:20">
      <c r="A43" s="26">
        <f>'Monthly Data'!A43</f>
        <v>41061</v>
      </c>
      <c r="B43">
        <f t="shared" ref="B43:B106" si="32">YEAR(A43)</f>
        <v>2012</v>
      </c>
      <c r="C43">
        <f ca="1">'Monthly Data'!F43</f>
        <v>66164429.476892978</v>
      </c>
      <c r="D43">
        <f t="shared" ref="D43:E43" ca="1" si="33">D31</f>
        <v>9.08</v>
      </c>
      <c r="E43">
        <f t="shared" ca="1" si="33"/>
        <v>117.23999999999997</v>
      </c>
      <c r="F43">
        <f>'Monthly Data'!BZ43</f>
        <v>0</v>
      </c>
      <c r="G43">
        <f>'Monthly Data'!CA43</f>
        <v>0</v>
      </c>
      <c r="H43">
        <f>'Monthly Data'!CC43</f>
        <v>30</v>
      </c>
      <c r="I43">
        <f>'Monthly Data'!BV43</f>
        <v>0</v>
      </c>
      <c r="J43">
        <f>'Monthly Data'!BM43</f>
        <v>42</v>
      </c>
      <c r="L43">
        <f>'Res OLS Model'!$B$5</f>
        <v>-14695221.8516191</v>
      </c>
      <c r="M43">
        <f ca="1">'Res OLS Model'!$B$6*D43</f>
        <v>219210.74570091837</v>
      </c>
      <c r="N43">
        <f ca="1">'Res OLS Model'!$B$7*E43</f>
        <v>20423195.074142739</v>
      </c>
      <c r="O43">
        <f>'Res OLS Model'!$B$8*F43</f>
        <v>0</v>
      </c>
      <c r="P43">
        <f>'Res OLS Model'!$B$9*G43</f>
        <v>0</v>
      </c>
      <c r="Q43">
        <f>'Res OLS Model'!$B$10*H43</f>
        <v>54058000.327266</v>
      </c>
      <c r="R43">
        <f>'Res OLS Model'!$B$11*I43</f>
        <v>0</v>
      </c>
      <c r="S43">
        <f>'Res OLS Model'!$B$12*J43</f>
        <v>-535339.75443203223</v>
      </c>
      <c r="T43">
        <f t="shared" ref="T43:T97" ca="1" si="34">SUM(L43:S43)</f>
        <v>59469844.541058525</v>
      </c>
    </row>
    <row r="44" spans="1:20">
      <c r="A44" s="26">
        <f>'Monthly Data'!A44</f>
        <v>41091</v>
      </c>
      <c r="B44">
        <f t="shared" si="32"/>
        <v>2012</v>
      </c>
      <c r="C44">
        <f ca="1">'Monthly Data'!F44</f>
        <v>83251368.938582972</v>
      </c>
      <c r="D44">
        <f t="shared" ref="D44:E44" ca="1" si="35">D32</f>
        <v>0.51</v>
      </c>
      <c r="E44">
        <f t="shared" ca="1" si="35"/>
        <v>185.60999999999999</v>
      </c>
      <c r="F44">
        <f>'Monthly Data'!BZ44</f>
        <v>0</v>
      </c>
      <c r="G44">
        <f>'Monthly Data'!CA44</f>
        <v>0</v>
      </c>
      <c r="H44">
        <f>'Monthly Data'!CC44</f>
        <v>31</v>
      </c>
      <c r="I44">
        <f>'Monthly Data'!BV44</f>
        <v>0</v>
      </c>
      <c r="J44">
        <f>'Monthly Data'!BM44</f>
        <v>43</v>
      </c>
      <c r="L44">
        <f>'Res OLS Model'!$B$5</f>
        <v>-14695221.8516191</v>
      </c>
      <c r="M44">
        <f ca="1">'Res OLS Model'!$B$6*D44</f>
        <v>12312.497831218983</v>
      </c>
      <c r="N44">
        <f ca="1">'Res OLS Model'!$B$7*E44</f>
        <v>32333241.536264371</v>
      </c>
      <c r="O44">
        <f>'Res OLS Model'!$B$8*F44</f>
        <v>0</v>
      </c>
      <c r="P44">
        <f>'Res OLS Model'!$B$9*G44</f>
        <v>0</v>
      </c>
      <c r="Q44">
        <f>'Res OLS Model'!$B$10*H44</f>
        <v>55859933.6715082</v>
      </c>
      <c r="R44">
        <f>'Res OLS Model'!$B$11*I44</f>
        <v>0</v>
      </c>
      <c r="S44">
        <f>'Res OLS Model'!$B$12*J44</f>
        <v>-548085.93906136637</v>
      </c>
      <c r="T44">
        <f t="shared" ca="1" si="34"/>
        <v>72962179.91492331</v>
      </c>
    </row>
    <row r="45" spans="1:20">
      <c r="A45" s="26">
        <f>'Monthly Data'!A45</f>
        <v>41122</v>
      </c>
      <c r="B45">
        <f t="shared" si="32"/>
        <v>2012</v>
      </c>
      <c r="C45">
        <f ca="1">'Monthly Data'!F45</f>
        <v>68538520.76983498</v>
      </c>
      <c r="D45">
        <f t="shared" ref="D45:E45" ca="1" si="36">D33</f>
        <v>1.51</v>
      </c>
      <c r="E45">
        <f t="shared" ca="1" si="36"/>
        <v>159.64000000000001</v>
      </c>
      <c r="F45">
        <f>'Monthly Data'!BZ45</f>
        <v>0</v>
      </c>
      <c r="G45">
        <f>'Monthly Data'!CA45</f>
        <v>0</v>
      </c>
      <c r="H45">
        <f>'Monthly Data'!CC45</f>
        <v>31</v>
      </c>
      <c r="I45">
        <f>'Monthly Data'!BV45</f>
        <v>0</v>
      </c>
      <c r="J45">
        <f>'Monthly Data'!BM45</f>
        <v>44</v>
      </c>
      <c r="L45">
        <f>'Res OLS Model'!$B$5</f>
        <v>-14695221.8516191</v>
      </c>
      <c r="M45">
        <f ca="1">'Res OLS Model'!$B$6*D45</f>
        <v>36454.650441452286</v>
      </c>
      <c r="N45">
        <f ca="1">'Res OLS Model'!$B$7*E45</f>
        <v>27809270.399489496</v>
      </c>
      <c r="O45">
        <f>'Res OLS Model'!$B$8*F45</f>
        <v>0</v>
      </c>
      <c r="P45">
        <f>'Res OLS Model'!$B$9*G45</f>
        <v>0</v>
      </c>
      <c r="Q45">
        <f>'Res OLS Model'!$B$10*H45</f>
        <v>55859933.6715082</v>
      </c>
      <c r="R45">
        <f>'Res OLS Model'!$B$11*I45</f>
        <v>0</v>
      </c>
      <c r="S45">
        <f>'Res OLS Model'!$B$12*J45</f>
        <v>-560832.12369070039</v>
      </c>
      <c r="T45">
        <f t="shared" ca="1" si="34"/>
        <v>68449604.746129349</v>
      </c>
    </row>
    <row r="46" spans="1:20">
      <c r="A46" s="26">
        <f>'Monthly Data'!A46</f>
        <v>41153</v>
      </c>
      <c r="B46">
        <f t="shared" si="32"/>
        <v>2012</v>
      </c>
      <c r="C46">
        <f ca="1">'Monthly Data'!F46</f>
        <v>50547782.282330975</v>
      </c>
      <c r="D46">
        <f t="shared" ref="D46:E46" ca="1" si="37">D34</f>
        <v>33.01</v>
      </c>
      <c r="E46">
        <f t="shared" ca="1" si="37"/>
        <v>72.989999999999981</v>
      </c>
      <c r="F46">
        <f>'Monthly Data'!BZ46</f>
        <v>0</v>
      </c>
      <c r="G46">
        <f>'Monthly Data'!CA46</f>
        <v>1</v>
      </c>
      <c r="H46">
        <f>'Monthly Data'!CC46</f>
        <v>30</v>
      </c>
      <c r="I46">
        <f>'Monthly Data'!BV46</f>
        <v>1</v>
      </c>
      <c r="J46">
        <f>'Monthly Data'!BM46</f>
        <v>45</v>
      </c>
      <c r="L46">
        <f>'Res OLS Model'!$B$5</f>
        <v>-14695221.8516191</v>
      </c>
      <c r="M46">
        <f ca="1">'Res OLS Model'!$B$6*D46</f>
        <v>796932.45766380127</v>
      </c>
      <c r="N46">
        <f ca="1">'Res OLS Model'!$B$7*E46</f>
        <v>12714849.952760821</v>
      </c>
      <c r="O46">
        <f>'Res OLS Model'!$B$8*F46</f>
        <v>0</v>
      </c>
      <c r="P46">
        <f>'Res OLS Model'!$B$9*G46</f>
        <v>-2399238.63510927</v>
      </c>
      <c r="Q46">
        <f>'Res OLS Model'!$B$10*H46</f>
        <v>54058000.327266</v>
      </c>
      <c r="R46">
        <f>'Res OLS Model'!$B$11*I46</f>
        <v>2497427.94615121</v>
      </c>
      <c r="S46">
        <f>'Res OLS Model'!$B$12*J46</f>
        <v>-573578.30832003453</v>
      </c>
      <c r="T46">
        <f t="shared" ca="1" si="34"/>
        <v>52399171.888793424</v>
      </c>
    </row>
    <row r="47" spans="1:20">
      <c r="A47" s="26">
        <f>'Monthly Data'!A47</f>
        <v>41183</v>
      </c>
      <c r="B47">
        <f t="shared" si="32"/>
        <v>2012</v>
      </c>
      <c r="C47">
        <f ca="1">'Monthly Data'!F47</f>
        <v>42873857.88398198</v>
      </c>
      <c r="D47">
        <f t="shared" ref="D47:E47" ca="1" si="38">D35</f>
        <v>177.83999999999997</v>
      </c>
      <c r="E47">
        <f t="shared" ca="1" si="38"/>
        <v>10.779999999999998</v>
      </c>
      <c r="F47">
        <f>'Monthly Data'!BZ47</f>
        <v>0</v>
      </c>
      <c r="G47">
        <f>'Monthly Data'!CA47</f>
        <v>1</v>
      </c>
      <c r="H47">
        <f>'Monthly Data'!CC47</f>
        <v>31</v>
      </c>
      <c r="I47">
        <f>'Monthly Data'!BV47</f>
        <v>0</v>
      </c>
      <c r="J47">
        <f>'Monthly Data'!BM47</f>
        <v>46</v>
      </c>
      <c r="L47">
        <f>'Res OLS Model'!$B$5</f>
        <v>-14695221.8516191</v>
      </c>
      <c r="M47">
        <f ca="1">'Res OLS Model'!$B$6*D47</f>
        <v>4293440.4202038897</v>
      </c>
      <c r="N47">
        <f ca="1">'Res OLS Model'!$B$7*E47</f>
        <v>1877874.8114914598</v>
      </c>
      <c r="O47">
        <f>'Res OLS Model'!$B$8*F47</f>
        <v>0</v>
      </c>
      <c r="P47">
        <f>'Res OLS Model'!$B$9*G47</f>
        <v>-2399238.63510927</v>
      </c>
      <c r="Q47">
        <f>'Res OLS Model'!$B$10*H47</f>
        <v>55859933.6715082</v>
      </c>
      <c r="R47">
        <f>'Res OLS Model'!$B$11*I47</f>
        <v>0</v>
      </c>
      <c r="S47">
        <f>'Res OLS Model'!$B$12*J47</f>
        <v>-586324.49294936866</v>
      </c>
      <c r="T47">
        <f t="shared" ca="1" si="34"/>
        <v>44350463.92352581</v>
      </c>
    </row>
    <row r="48" spans="1:20">
      <c r="A48" s="26">
        <f>'Monthly Data'!A48</f>
        <v>41214</v>
      </c>
      <c r="B48">
        <f t="shared" si="32"/>
        <v>2012</v>
      </c>
      <c r="C48">
        <f ca="1">'Monthly Data'!F48</f>
        <v>45641430.12196698</v>
      </c>
      <c r="D48">
        <f t="shared" ref="D48:E48" ca="1" si="39">D36</f>
        <v>361.94999999999993</v>
      </c>
      <c r="E48">
        <f t="shared" ca="1" si="39"/>
        <v>0.05</v>
      </c>
      <c r="F48">
        <f>'Monthly Data'!BZ48</f>
        <v>0</v>
      </c>
      <c r="G48">
        <f>'Monthly Data'!CA48</f>
        <v>1</v>
      </c>
      <c r="H48">
        <f>'Monthly Data'!CC48</f>
        <v>30</v>
      </c>
      <c r="I48">
        <f>'Monthly Data'!BV48</f>
        <v>0</v>
      </c>
      <c r="J48">
        <f>'Monthly Data'!BM48</f>
        <v>47</v>
      </c>
      <c r="L48">
        <f>'Res OLS Model'!$B$5</f>
        <v>-14695221.8516191</v>
      </c>
      <c r="M48">
        <f ca="1">'Res OLS Model'!$B$6*D48</f>
        <v>8738252.1372739412</v>
      </c>
      <c r="N48">
        <f ca="1">'Res OLS Model'!$B$7*E48</f>
        <v>8709.9944874371995</v>
      </c>
      <c r="O48">
        <f>'Res OLS Model'!$B$8*F48</f>
        <v>0</v>
      </c>
      <c r="P48">
        <f>'Res OLS Model'!$B$9*G48</f>
        <v>-2399238.63510927</v>
      </c>
      <c r="Q48">
        <f>'Res OLS Model'!$B$10*H48</f>
        <v>54058000.327266</v>
      </c>
      <c r="R48">
        <f>'Res OLS Model'!$B$11*I48</f>
        <v>0</v>
      </c>
      <c r="S48">
        <f>'Res OLS Model'!$B$12*J48</f>
        <v>-599070.67757870269</v>
      </c>
      <c r="T48">
        <f t="shared" ca="1" si="34"/>
        <v>45111431.294720307</v>
      </c>
    </row>
    <row r="49" spans="1:20">
      <c r="A49" s="26">
        <f>'Monthly Data'!A49</f>
        <v>41244</v>
      </c>
      <c r="B49">
        <f t="shared" si="32"/>
        <v>2012</v>
      </c>
      <c r="C49">
        <f ca="1">'Monthly Data'!F49</f>
        <v>52638100.62582498</v>
      </c>
      <c r="D49">
        <f t="shared" ref="D49:E49" ca="1" si="40">D37</f>
        <v>556.41000000000008</v>
      </c>
      <c r="E49">
        <f t="shared" ca="1" si="40"/>
        <v>0</v>
      </c>
      <c r="F49">
        <f>'Monthly Data'!BZ49</f>
        <v>0</v>
      </c>
      <c r="G49">
        <f>'Monthly Data'!CA49</f>
        <v>0</v>
      </c>
      <c r="H49">
        <f>'Monthly Data'!CC49</f>
        <v>31</v>
      </c>
      <c r="I49">
        <f>'Monthly Data'!BV49</f>
        <v>0</v>
      </c>
      <c r="J49">
        <f>'Monthly Data'!BM49</f>
        <v>48</v>
      </c>
      <c r="L49">
        <f>'Res OLS Model'!$B$5</f>
        <v>-14695221.8516191</v>
      </c>
      <c r="M49">
        <f ca="1">'Res OLS Model'!$B$6*D49</f>
        <v>13432935.133859914</v>
      </c>
      <c r="N49">
        <f ca="1">'Res OLS Model'!$B$7*E49</f>
        <v>0</v>
      </c>
      <c r="O49">
        <f>'Res OLS Model'!$B$8*F49</f>
        <v>0</v>
      </c>
      <c r="P49">
        <f>'Res OLS Model'!$B$9*G49</f>
        <v>0</v>
      </c>
      <c r="Q49">
        <f>'Res OLS Model'!$B$10*H49</f>
        <v>55859933.6715082</v>
      </c>
      <c r="R49">
        <f>'Res OLS Model'!$B$11*I49</f>
        <v>0</v>
      </c>
      <c r="S49">
        <f>'Res OLS Model'!$B$12*J49</f>
        <v>-611816.86220803682</v>
      </c>
      <c r="T49">
        <f t="shared" ca="1" si="34"/>
        <v>53985830.091540977</v>
      </c>
    </row>
    <row r="50" spans="1:20">
      <c r="A50" s="26">
        <f>'Monthly Data'!A50</f>
        <v>41275</v>
      </c>
      <c r="B50">
        <f t="shared" si="32"/>
        <v>2013</v>
      </c>
      <c r="C50">
        <f ca="1">'Monthly Data'!F50</f>
        <v>54911356.121163584</v>
      </c>
      <c r="D50">
        <f t="shared" ref="D50:E50" ca="1" si="41">D38</f>
        <v>659.42999999999984</v>
      </c>
      <c r="E50">
        <f t="shared" ca="1" si="41"/>
        <v>0</v>
      </c>
      <c r="F50">
        <f>'Monthly Data'!BZ50</f>
        <v>0</v>
      </c>
      <c r="G50">
        <f>'Monthly Data'!CA50</f>
        <v>0</v>
      </c>
      <c r="H50">
        <f>'Monthly Data'!CC50</f>
        <v>31</v>
      </c>
      <c r="I50">
        <f>'Monthly Data'!BV50</f>
        <v>0</v>
      </c>
      <c r="J50">
        <f>'Monthly Data'!BM50</f>
        <v>49</v>
      </c>
      <c r="L50">
        <f>'Res OLS Model'!$B$5</f>
        <v>-14695221.8516191</v>
      </c>
      <c r="M50">
        <f ca="1">'Res OLS Model'!$B$6*D50</f>
        <v>15920059.695766142</v>
      </c>
      <c r="N50">
        <f ca="1">'Res OLS Model'!$B$7*E50</f>
        <v>0</v>
      </c>
      <c r="O50">
        <f>'Res OLS Model'!$B$8*F50</f>
        <v>0</v>
      </c>
      <c r="P50">
        <f>'Res OLS Model'!$B$9*G50</f>
        <v>0</v>
      </c>
      <c r="Q50">
        <f>'Res OLS Model'!$B$10*H50</f>
        <v>55859933.6715082</v>
      </c>
      <c r="R50">
        <f>'Res OLS Model'!$B$11*I50</f>
        <v>0</v>
      </c>
      <c r="S50">
        <f>'Res OLS Model'!$B$12*J50</f>
        <v>-624563.04683737096</v>
      </c>
      <c r="T50">
        <f t="shared" ca="1" si="34"/>
        <v>56460208.468817867</v>
      </c>
    </row>
    <row r="51" spans="1:20">
      <c r="A51" s="26">
        <f>'Monthly Data'!A51</f>
        <v>41306</v>
      </c>
      <c r="B51">
        <f t="shared" si="32"/>
        <v>2013</v>
      </c>
      <c r="C51">
        <f ca="1">'Monthly Data'!F51</f>
        <v>48753761.194211587</v>
      </c>
      <c r="D51">
        <f t="shared" ref="D51:E51" ca="1" si="42">D39</f>
        <v>571.77</v>
      </c>
      <c r="E51">
        <f t="shared" ca="1" si="42"/>
        <v>0</v>
      </c>
      <c r="F51">
        <f>'Monthly Data'!BZ51</f>
        <v>0</v>
      </c>
      <c r="G51">
        <f>'Monthly Data'!CA51</f>
        <v>0</v>
      </c>
      <c r="H51">
        <f>'Monthly Data'!CC51</f>
        <v>28</v>
      </c>
      <c r="I51">
        <f>'Monthly Data'!BV51</f>
        <v>0</v>
      </c>
      <c r="J51">
        <f>'Monthly Data'!BM51</f>
        <v>50</v>
      </c>
      <c r="L51">
        <f>'Res OLS Model'!$B$5</f>
        <v>-14695221.8516191</v>
      </c>
      <c r="M51">
        <f ca="1">'Res OLS Model'!$B$6*D51</f>
        <v>13803758.597953094</v>
      </c>
      <c r="N51">
        <f ca="1">'Res OLS Model'!$B$7*E51</f>
        <v>0</v>
      </c>
      <c r="O51">
        <f>'Res OLS Model'!$B$8*F51</f>
        <v>0</v>
      </c>
      <c r="P51">
        <f>'Res OLS Model'!$B$9*G51</f>
        <v>0</v>
      </c>
      <c r="Q51">
        <f>'Res OLS Model'!$B$10*H51</f>
        <v>50454133.6387816</v>
      </c>
      <c r="R51">
        <f>'Res OLS Model'!$B$11*I51</f>
        <v>0</v>
      </c>
      <c r="S51">
        <f>'Res OLS Model'!$B$12*J51</f>
        <v>-637309.23146670498</v>
      </c>
      <c r="T51">
        <f t="shared" ca="1" si="34"/>
        <v>48925361.153648891</v>
      </c>
    </row>
    <row r="52" spans="1:20">
      <c r="A52" s="26">
        <f>'Monthly Data'!A52</f>
        <v>41334</v>
      </c>
      <c r="B52">
        <f t="shared" si="32"/>
        <v>2013</v>
      </c>
      <c r="C52">
        <f ca="1">'Monthly Data'!F52</f>
        <v>49889124.102056585</v>
      </c>
      <c r="D52">
        <f t="shared" ref="D52:E52" ca="1" si="43">D40</f>
        <v>456.53999999999996</v>
      </c>
      <c r="E52">
        <f t="shared" ca="1" si="43"/>
        <v>0.48</v>
      </c>
      <c r="F52">
        <f>'Monthly Data'!BZ52</f>
        <v>1</v>
      </c>
      <c r="G52">
        <f>'Monthly Data'!CA52</f>
        <v>0</v>
      </c>
      <c r="H52">
        <f>'Monthly Data'!CC52</f>
        <v>31</v>
      </c>
      <c r="I52">
        <f>'Monthly Data'!BV52</f>
        <v>0</v>
      </c>
      <c r="J52">
        <f>'Monthly Data'!BM52</f>
        <v>51</v>
      </c>
      <c r="L52">
        <f>'Res OLS Model'!$B$5</f>
        <v>-14695221.8516191</v>
      </c>
      <c r="M52">
        <f ca="1">'Res OLS Model'!$B$6*D52</f>
        <v>11021858.352675911</v>
      </c>
      <c r="N52">
        <f ca="1">'Res OLS Model'!$B$7*E52</f>
        <v>83615.947079397112</v>
      </c>
      <c r="O52">
        <f>'Res OLS Model'!$B$8*F52</f>
        <v>-4177006.7225933699</v>
      </c>
      <c r="P52">
        <f>'Res OLS Model'!$B$9*G52</f>
        <v>0</v>
      </c>
      <c r="Q52">
        <f>'Res OLS Model'!$B$10*H52</f>
        <v>55859933.6715082</v>
      </c>
      <c r="R52">
        <f>'Res OLS Model'!$B$11*I52</f>
        <v>0</v>
      </c>
      <c r="S52">
        <f>'Res OLS Model'!$B$12*J52</f>
        <v>-650055.41609603912</v>
      </c>
      <c r="T52">
        <f t="shared" ca="1" si="34"/>
        <v>47443123.980954997</v>
      </c>
    </row>
    <row r="53" spans="1:20">
      <c r="A53" s="26">
        <f>'Monthly Data'!A53</f>
        <v>41365</v>
      </c>
      <c r="B53">
        <f t="shared" si="32"/>
        <v>2013</v>
      </c>
      <c r="C53">
        <f ca="1">'Monthly Data'!F53</f>
        <v>43188284.981835589</v>
      </c>
      <c r="D53">
        <f t="shared" ref="D53:E53" ca="1" si="44">D41</f>
        <v>248.54999999999995</v>
      </c>
      <c r="E53">
        <f t="shared" ca="1" si="44"/>
        <v>2.63</v>
      </c>
      <c r="F53">
        <f>'Monthly Data'!BZ53</f>
        <v>1</v>
      </c>
      <c r="G53">
        <f>'Monthly Data'!CA53</f>
        <v>0</v>
      </c>
      <c r="H53">
        <f>'Monthly Data'!CC53</f>
        <v>30</v>
      </c>
      <c r="I53">
        <f>'Monthly Data'!BV53</f>
        <v>0</v>
      </c>
      <c r="J53">
        <f>'Monthly Data'!BM53</f>
        <v>52</v>
      </c>
      <c r="L53">
        <f>'Res OLS Model'!$B$5</f>
        <v>-14695221.8516191</v>
      </c>
      <c r="M53">
        <f ca="1">'Res OLS Model'!$B$6*D53</f>
        <v>6000532.0312734861</v>
      </c>
      <c r="N53">
        <f ca="1">'Res OLS Model'!$B$7*E53</f>
        <v>458145.71003919671</v>
      </c>
      <c r="O53">
        <f>'Res OLS Model'!$B$8*F53</f>
        <v>-4177006.7225933699</v>
      </c>
      <c r="P53">
        <f>'Res OLS Model'!$B$9*G53</f>
        <v>0</v>
      </c>
      <c r="Q53">
        <f>'Res OLS Model'!$B$10*H53</f>
        <v>54058000.327266</v>
      </c>
      <c r="R53">
        <f>'Res OLS Model'!$B$11*I53</f>
        <v>0</v>
      </c>
      <c r="S53">
        <f>'Res OLS Model'!$B$12*J53</f>
        <v>-662801.60072537325</v>
      </c>
      <c r="T53">
        <f t="shared" ca="1" si="34"/>
        <v>40981647.893640839</v>
      </c>
    </row>
    <row r="54" spans="1:20">
      <c r="A54" s="26">
        <f>'Monthly Data'!A54</f>
        <v>41395</v>
      </c>
      <c r="B54">
        <f t="shared" si="32"/>
        <v>2013</v>
      </c>
      <c r="C54">
        <f ca="1">'Monthly Data'!F54</f>
        <v>45290631.481890589</v>
      </c>
      <c r="D54">
        <f t="shared" ref="D54:E54" ca="1" si="45">D42</f>
        <v>92.740000000000009</v>
      </c>
      <c r="E54">
        <f t="shared" ca="1" si="45"/>
        <v>47.37</v>
      </c>
      <c r="F54">
        <f>'Monthly Data'!BZ54</f>
        <v>1</v>
      </c>
      <c r="G54">
        <f>'Monthly Data'!CA54</f>
        <v>0</v>
      </c>
      <c r="H54">
        <f>'Monthly Data'!CC54</f>
        <v>31</v>
      </c>
      <c r="I54">
        <f>'Monthly Data'!BV54</f>
        <v>0</v>
      </c>
      <c r="J54">
        <f>'Monthly Data'!BM54</f>
        <v>53</v>
      </c>
      <c r="L54">
        <f>'Res OLS Model'!$B$5</f>
        <v>-14695221.8516191</v>
      </c>
      <c r="M54">
        <f ca="1">'Res OLS Model'!$B$6*D54</f>
        <v>2238943.2330730367</v>
      </c>
      <c r="N54">
        <f ca="1">'Res OLS Model'!$B$7*E54</f>
        <v>8251848.7773980023</v>
      </c>
      <c r="O54">
        <f>'Res OLS Model'!$B$8*F54</f>
        <v>-4177006.7225933699</v>
      </c>
      <c r="P54">
        <f>'Res OLS Model'!$B$9*G54</f>
        <v>0</v>
      </c>
      <c r="Q54">
        <f>'Res OLS Model'!$B$10*H54</f>
        <v>55859933.6715082</v>
      </c>
      <c r="R54">
        <f>'Res OLS Model'!$B$11*I54</f>
        <v>0</v>
      </c>
      <c r="S54">
        <f>'Res OLS Model'!$B$12*J54</f>
        <v>-675547.78535470727</v>
      </c>
      <c r="T54">
        <f t="shared" ca="1" si="34"/>
        <v>46802949.322412066</v>
      </c>
    </row>
    <row r="55" spans="1:20">
      <c r="A55" s="26">
        <f>'Monthly Data'!A55</f>
        <v>41426</v>
      </c>
      <c r="B55">
        <f t="shared" si="32"/>
        <v>2013</v>
      </c>
      <c r="C55">
        <f ca="1">'Monthly Data'!F55</f>
        <v>56572380.058294587</v>
      </c>
      <c r="D55">
        <f t="shared" ref="D55:E55" ca="1" si="46">D43</f>
        <v>9.08</v>
      </c>
      <c r="E55">
        <f t="shared" ca="1" si="46"/>
        <v>117.23999999999997</v>
      </c>
      <c r="F55">
        <f>'Monthly Data'!BZ55</f>
        <v>0</v>
      </c>
      <c r="G55">
        <f>'Monthly Data'!CA55</f>
        <v>0</v>
      </c>
      <c r="H55">
        <f>'Monthly Data'!CC55</f>
        <v>30</v>
      </c>
      <c r="I55">
        <f>'Monthly Data'!BV55</f>
        <v>0</v>
      </c>
      <c r="J55">
        <f>'Monthly Data'!BM55</f>
        <v>54</v>
      </c>
      <c r="L55">
        <f>'Res OLS Model'!$B$5</f>
        <v>-14695221.8516191</v>
      </c>
      <c r="M55">
        <f ca="1">'Res OLS Model'!$B$6*D55</f>
        <v>219210.74570091837</v>
      </c>
      <c r="N55">
        <f ca="1">'Res OLS Model'!$B$7*E55</f>
        <v>20423195.074142739</v>
      </c>
      <c r="O55">
        <f>'Res OLS Model'!$B$8*F55</f>
        <v>0</v>
      </c>
      <c r="P55">
        <f>'Res OLS Model'!$B$9*G55</f>
        <v>0</v>
      </c>
      <c r="Q55">
        <f>'Res OLS Model'!$B$10*H55</f>
        <v>54058000.327266</v>
      </c>
      <c r="R55">
        <f>'Res OLS Model'!$B$11*I55</f>
        <v>0</v>
      </c>
      <c r="S55">
        <f>'Res OLS Model'!$B$12*J55</f>
        <v>-688293.96998404141</v>
      </c>
      <c r="T55">
        <f t="shared" ca="1" si="34"/>
        <v>59316890.325506516</v>
      </c>
    </row>
    <row r="56" spans="1:20">
      <c r="A56" s="26">
        <f>'Monthly Data'!A56</f>
        <v>41456</v>
      </c>
      <c r="B56">
        <f t="shared" si="32"/>
        <v>2013</v>
      </c>
      <c r="C56">
        <f ca="1">'Monthly Data'!F56</f>
        <v>69531972.104008585</v>
      </c>
      <c r="D56">
        <f t="shared" ref="D56:E56" ca="1" si="47">D44</f>
        <v>0.51</v>
      </c>
      <c r="E56">
        <f t="shared" ca="1" si="47"/>
        <v>185.60999999999999</v>
      </c>
      <c r="F56">
        <f>'Monthly Data'!BZ56</f>
        <v>0</v>
      </c>
      <c r="G56">
        <f>'Monthly Data'!CA56</f>
        <v>0</v>
      </c>
      <c r="H56">
        <f>'Monthly Data'!CC56</f>
        <v>31</v>
      </c>
      <c r="I56">
        <f>'Monthly Data'!BV56</f>
        <v>0</v>
      </c>
      <c r="J56">
        <f>'Monthly Data'!BM56</f>
        <v>55</v>
      </c>
      <c r="L56">
        <f>'Res OLS Model'!$B$5</f>
        <v>-14695221.8516191</v>
      </c>
      <c r="M56">
        <f ca="1">'Res OLS Model'!$B$6*D56</f>
        <v>12312.497831218983</v>
      </c>
      <c r="N56">
        <f ca="1">'Res OLS Model'!$B$7*E56</f>
        <v>32333241.536264371</v>
      </c>
      <c r="O56">
        <f>'Res OLS Model'!$B$8*F56</f>
        <v>0</v>
      </c>
      <c r="P56">
        <f>'Res OLS Model'!$B$9*G56</f>
        <v>0</v>
      </c>
      <c r="Q56">
        <f>'Res OLS Model'!$B$10*H56</f>
        <v>55859933.6715082</v>
      </c>
      <c r="R56">
        <f>'Res OLS Model'!$B$11*I56</f>
        <v>0</v>
      </c>
      <c r="S56">
        <f>'Res OLS Model'!$B$12*J56</f>
        <v>-701040.15461337555</v>
      </c>
      <c r="T56">
        <f t="shared" ca="1" si="34"/>
        <v>72809225.699371308</v>
      </c>
    </row>
    <row r="57" spans="1:20">
      <c r="A57" s="26">
        <f>'Monthly Data'!A57</f>
        <v>41487</v>
      </c>
      <c r="B57">
        <f t="shared" si="32"/>
        <v>2013</v>
      </c>
      <c r="C57">
        <f ca="1">'Monthly Data'!F57</f>
        <v>62627316.669716507</v>
      </c>
      <c r="D57">
        <f t="shared" ref="D57:E57" ca="1" si="48">D45</f>
        <v>1.51</v>
      </c>
      <c r="E57">
        <f t="shared" ca="1" si="48"/>
        <v>159.64000000000001</v>
      </c>
      <c r="F57">
        <f>'Monthly Data'!BZ57</f>
        <v>0</v>
      </c>
      <c r="G57">
        <f>'Monthly Data'!CA57</f>
        <v>0</v>
      </c>
      <c r="H57">
        <f>'Monthly Data'!CC57</f>
        <v>31</v>
      </c>
      <c r="I57">
        <f>'Monthly Data'!BV57</f>
        <v>0</v>
      </c>
      <c r="J57">
        <f>'Monthly Data'!BM57</f>
        <v>56</v>
      </c>
      <c r="L57">
        <f>'Res OLS Model'!$B$5</f>
        <v>-14695221.8516191</v>
      </c>
      <c r="M57">
        <f ca="1">'Res OLS Model'!$B$6*D57</f>
        <v>36454.650441452286</v>
      </c>
      <c r="N57">
        <f ca="1">'Res OLS Model'!$B$7*E57</f>
        <v>27809270.399489496</v>
      </c>
      <c r="O57">
        <f>'Res OLS Model'!$B$8*F57</f>
        <v>0</v>
      </c>
      <c r="P57">
        <f>'Res OLS Model'!$B$9*G57</f>
        <v>0</v>
      </c>
      <c r="Q57">
        <f>'Res OLS Model'!$B$10*H57</f>
        <v>55859933.6715082</v>
      </c>
      <c r="R57">
        <f>'Res OLS Model'!$B$11*I57</f>
        <v>0</v>
      </c>
      <c r="S57">
        <f>'Res OLS Model'!$B$12*J57</f>
        <v>-713786.33924270957</v>
      </c>
      <c r="T57">
        <f t="shared" ca="1" si="34"/>
        <v>68296650.530577332</v>
      </c>
    </row>
    <row r="58" spans="1:20">
      <c r="A58" s="26">
        <f>'Monthly Data'!A58</f>
        <v>41518</v>
      </c>
      <c r="B58">
        <f t="shared" si="32"/>
        <v>2013</v>
      </c>
      <c r="C58">
        <f ca="1">'Monthly Data'!F58</f>
        <v>52483630.869351625</v>
      </c>
      <c r="D58">
        <f t="shared" ref="D58:E58" ca="1" si="49">D46</f>
        <v>33.01</v>
      </c>
      <c r="E58">
        <f t="shared" ca="1" si="49"/>
        <v>72.989999999999981</v>
      </c>
      <c r="F58">
        <f>'Monthly Data'!BZ58</f>
        <v>0</v>
      </c>
      <c r="G58">
        <f>'Monthly Data'!CA58</f>
        <v>1</v>
      </c>
      <c r="H58">
        <f>'Monthly Data'!CC58</f>
        <v>30</v>
      </c>
      <c r="I58">
        <f>'Monthly Data'!BV58</f>
        <v>1</v>
      </c>
      <c r="J58">
        <f>'Monthly Data'!BM58</f>
        <v>57</v>
      </c>
      <c r="L58">
        <f>'Res OLS Model'!$B$5</f>
        <v>-14695221.8516191</v>
      </c>
      <c r="M58">
        <f ca="1">'Res OLS Model'!$B$6*D58</f>
        <v>796932.45766380127</v>
      </c>
      <c r="N58">
        <f ca="1">'Res OLS Model'!$B$7*E58</f>
        <v>12714849.952760821</v>
      </c>
      <c r="O58">
        <f>'Res OLS Model'!$B$8*F58</f>
        <v>0</v>
      </c>
      <c r="P58">
        <f>'Res OLS Model'!$B$9*G58</f>
        <v>-2399238.63510927</v>
      </c>
      <c r="Q58">
        <f>'Res OLS Model'!$B$10*H58</f>
        <v>54058000.327266</v>
      </c>
      <c r="R58">
        <f>'Res OLS Model'!$B$11*I58</f>
        <v>2497427.94615121</v>
      </c>
      <c r="S58">
        <f>'Res OLS Model'!$B$12*J58</f>
        <v>-726532.5238720437</v>
      </c>
      <c r="T58">
        <f t="shared" ca="1" si="34"/>
        <v>52246217.673241422</v>
      </c>
    </row>
    <row r="59" spans="1:20">
      <c r="A59" s="26">
        <f>'Monthly Data'!A59</f>
        <v>41548</v>
      </c>
      <c r="B59">
        <f t="shared" si="32"/>
        <v>2013</v>
      </c>
      <c r="C59">
        <f ca="1">'Monthly Data'!F59</f>
        <v>44313505.933738872</v>
      </c>
      <c r="D59">
        <f t="shared" ref="D59:E59" ca="1" si="50">D47</f>
        <v>177.83999999999997</v>
      </c>
      <c r="E59">
        <f t="shared" ca="1" si="50"/>
        <v>10.779999999999998</v>
      </c>
      <c r="F59">
        <f>'Monthly Data'!BZ59</f>
        <v>0</v>
      </c>
      <c r="G59">
        <f>'Monthly Data'!CA59</f>
        <v>1</v>
      </c>
      <c r="H59">
        <f>'Monthly Data'!CC59</f>
        <v>31</v>
      </c>
      <c r="I59">
        <f>'Monthly Data'!BV59</f>
        <v>0</v>
      </c>
      <c r="J59">
        <f>'Monthly Data'!BM59</f>
        <v>58</v>
      </c>
      <c r="L59">
        <f>'Res OLS Model'!$B$5</f>
        <v>-14695221.8516191</v>
      </c>
      <c r="M59">
        <f ca="1">'Res OLS Model'!$B$6*D59</f>
        <v>4293440.4202038897</v>
      </c>
      <c r="N59">
        <f ca="1">'Res OLS Model'!$B$7*E59</f>
        <v>1877874.8114914598</v>
      </c>
      <c r="O59">
        <f>'Res OLS Model'!$B$8*F59</f>
        <v>0</v>
      </c>
      <c r="P59">
        <f>'Res OLS Model'!$B$9*G59</f>
        <v>-2399238.63510927</v>
      </c>
      <c r="Q59">
        <f>'Res OLS Model'!$B$10*H59</f>
        <v>55859933.6715082</v>
      </c>
      <c r="R59">
        <f>'Res OLS Model'!$B$11*I59</f>
        <v>0</v>
      </c>
      <c r="S59">
        <f>'Res OLS Model'!$B$12*J59</f>
        <v>-739278.70850137784</v>
      </c>
      <c r="T59">
        <f t="shared" ca="1" si="34"/>
        <v>44197509.707973801</v>
      </c>
    </row>
    <row r="60" spans="1:20">
      <c r="A60" s="26">
        <f>'Monthly Data'!A60</f>
        <v>41579</v>
      </c>
      <c r="B60">
        <f t="shared" si="32"/>
        <v>2013</v>
      </c>
      <c r="C60">
        <f ca="1">'Monthly Data'!F60</f>
        <v>47268963.680705905</v>
      </c>
      <c r="D60">
        <f t="shared" ref="D60:E60" ca="1" si="51">D48</f>
        <v>361.94999999999993</v>
      </c>
      <c r="E60">
        <f t="shared" ca="1" si="51"/>
        <v>0.05</v>
      </c>
      <c r="F60">
        <f>'Monthly Data'!BZ60</f>
        <v>0</v>
      </c>
      <c r="G60">
        <f>'Monthly Data'!CA60</f>
        <v>1</v>
      </c>
      <c r="H60">
        <f>'Monthly Data'!CC60</f>
        <v>30</v>
      </c>
      <c r="I60">
        <f>'Monthly Data'!BV60</f>
        <v>0</v>
      </c>
      <c r="J60">
        <f>'Monthly Data'!BM60</f>
        <v>59</v>
      </c>
      <c r="L60">
        <f>'Res OLS Model'!$B$5</f>
        <v>-14695221.8516191</v>
      </c>
      <c r="M60">
        <f ca="1">'Res OLS Model'!$B$6*D60</f>
        <v>8738252.1372739412</v>
      </c>
      <c r="N60">
        <f ca="1">'Res OLS Model'!$B$7*E60</f>
        <v>8709.9944874371995</v>
      </c>
      <c r="O60">
        <f>'Res OLS Model'!$B$8*F60</f>
        <v>0</v>
      </c>
      <c r="P60">
        <f>'Res OLS Model'!$B$9*G60</f>
        <v>-2399238.63510927</v>
      </c>
      <c r="Q60">
        <f>'Res OLS Model'!$B$10*H60</f>
        <v>54058000.327266</v>
      </c>
      <c r="R60">
        <f>'Res OLS Model'!$B$11*I60</f>
        <v>0</v>
      </c>
      <c r="S60">
        <f>'Res OLS Model'!$B$12*J60</f>
        <v>-752024.89313071198</v>
      </c>
      <c r="T60">
        <f t="shared" ca="1" si="34"/>
        <v>44958477.079168297</v>
      </c>
    </row>
    <row r="61" spans="1:20">
      <c r="A61" s="26">
        <f>'Monthly Data'!A61</f>
        <v>41609</v>
      </c>
      <c r="B61">
        <f t="shared" si="32"/>
        <v>2013</v>
      </c>
      <c r="C61">
        <f ca="1">'Monthly Data'!F61</f>
        <v>57282294.93726933</v>
      </c>
      <c r="D61">
        <f t="shared" ref="D61:E61" ca="1" si="52">D49</f>
        <v>556.41000000000008</v>
      </c>
      <c r="E61">
        <f t="shared" ca="1" si="52"/>
        <v>0</v>
      </c>
      <c r="F61">
        <f>'Monthly Data'!BZ61</f>
        <v>0</v>
      </c>
      <c r="G61">
        <f>'Monthly Data'!CA61</f>
        <v>0</v>
      </c>
      <c r="H61">
        <f>'Monthly Data'!CC61</f>
        <v>31</v>
      </c>
      <c r="I61">
        <f>'Monthly Data'!BV61</f>
        <v>0</v>
      </c>
      <c r="J61">
        <f>'Monthly Data'!BM61</f>
        <v>60</v>
      </c>
      <c r="L61">
        <f>'Res OLS Model'!$B$5</f>
        <v>-14695221.8516191</v>
      </c>
      <c r="M61">
        <f ca="1">'Res OLS Model'!$B$6*D61</f>
        <v>13432935.133859914</v>
      </c>
      <c r="N61">
        <f ca="1">'Res OLS Model'!$B$7*E61</f>
        <v>0</v>
      </c>
      <c r="O61">
        <f>'Res OLS Model'!$B$8*F61</f>
        <v>0</v>
      </c>
      <c r="P61">
        <f>'Res OLS Model'!$B$9*G61</f>
        <v>0</v>
      </c>
      <c r="Q61">
        <f>'Res OLS Model'!$B$10*H61</f>
        <v>55859933.6715082</v>
      </c>
      <c r="R61">
        <f>'Res OLS Model'!$B$11*I61</f>
        <v>0</v>
      </c>
      <c r="S61">
        <f>'Res OLS Model'!$B$12*J61</f>
        <v>-764771.077760046</v>
      </c>
      <c r="T61">
        <f t="shared" ca="1" si="34"/>
        <v>53832875.875988968</v>
      </c>
    </row>
    <row r="62" spans="1:20">
      <c r="A62" s="26">
        <f>'Monthly Data'!A62</f>
        <v>41640</v>
      </c>
      <c r="B62">
        <f t="shared" si="32"/>
        <v>2014</v>
      </c>
      <c r="C62">
        <f ca="1">'Monthly Data'!F62</f>
        <v>61083284.63878455</v>
      </c>
      <c r="D62">
        <f t="shared" ref="D62:E62" ca="1" si="53">D50</f>
        <v>659.42999999999984</v>
      </c>
      <c r="E62">
        <f t="shared" ca="1" si="53"/>
        <v>0</v>
      </c>
      <c r="F62">
        <f>'Monthly Data'!BZ62</f>
        <v>0</v>
      </c>
      <c r="G62">
        <f>'Monthly Data'!CA62</f>
        <v>0</v>
      </c>
      <c r="H62">
        <f>'Monthly Data'!CC62</f>
        <v>31</v>
      </c>
      <c r="I62">
        <f>'Monthly Data'!BV62</f>
        <v>0</v>
      </c>
      <c r="J62">
        <f>'Monthly Data'!BM62</f>
        <v>61</v>
      </c>
      <c r="L62">
        <f>'Res OLS Model'!$B$5</f>
        <v>-14695221.8516191</v>
      </c>
      <c r="M62">
        <f ca="1">'Res OLS Model'!$B$6*D62</f>
        <v>15920059.695766142</v>
      </c>
      <c r="N62">
        <f ca="1">'Res OLS Model'!$B$7*E62</f>
        <v>0</v>
      </c>
      <c r="O62">
        <f>'Res OLS Model'!$B$8*F62</f>
        <v>0</v>
      </c>
      <c r="P62">
        <f>'Res OLS Model'!$B$9*G62</f>
        <v>0</v>
      </c>
      <c r="Q62">
        <f>'Res OLS Model'!$B$10*H62</f>
        <v>55859933.6715082</v>
      </c>
      <c r="R62">
        <f>'Res OLS Model'!$B$11*I62</f>
        <v>0</v>
      </c>
      <c r="S62">
        <f>'Res OLS Model'!$B$12*J62</f>
        <v>-777517.26238938014</v>
      </c>
      <c r="T62">
        <f t="shared" ca="1" si="34"/>
        <v>56307254.253265865</v>
      </c>
    </row>
    <row r="63" spans="1:20">
      <c r="A63" s="26">
        <f>'Monthly Data'!A63</f>
        <v>41671</v>
      </c>
      <c r="B63">
        <f t="shared" si="32"/>
        <v>2014</v>
      </c>
      <c r="C63">
        <f ca="1">'Monthly Data'!F63</f>
        <v>51952415.072566412</v>
      </c>
      <c r="D63">
        <f t="shared" ref="D63:E63" ca="1" si="54">D51</f>
        <v>571.77</v>
      </c>
      <c r="E63">
        <f t="shared" ca="1" si="54"/>
        <v>0</v>
      </c>
      <c r="F63">
        <f>'Monthly Data'!BZ63</f>
        <v>0</v>
      </c>
      <c r="G63">
        <f>'Monthly Data'!CA63</f>
        <v>0</v>
      </c>
      <c r="H63">
        <f>'Monthly Data'!CC63</f>
        <v>28</v>
      </c>
      <c r="I63">
        <f>'Monthly Data'!BV63</f>
        <v>0</v>
      </c>
      <c r="J63">
        <f>'Monthly Data'!BM63</f>
        <v>62</v>
      </c>
      <c r="L63">
        <f>'Res OLS Model'!$B$5</f>
        <v>-14695221.8516191</v>
      </c>
      <c r="M63">
        <f ca="1">'Res OLS Model'!$B$6*D63</f>
        <v>13803758.597953094</v>
      </c>
      <c r="N63">
        <f ca="1">'Res OLS Model'!$B$7*E63</f>
        <v>0</v>
      </c>
      <c r="O63">
        <f>'Res OLS Model'!$B$8*F63</f>
        <v>0</v>
      </c>
      <c r="P63">
        <f>'Res OLS Model'!$B$9*G63</f>
        <v>0</v>
      </c>
      <c r="Q63">
        <f>'Res OLS Model'!$B$10*H63</f>
        <v>50454133.6387816</v>
      </c>
      <c r="R63">
        <f>'Res OLS Model'!$B$11*I63</f>
        <v>0</v>
      </c>
      <c r="S63">
        <f>'Res OLS Model'!$B$12*J63</f>
        <v>-790263.44701871427</v>
      </c>
      <c r="T63">
        <f t="shared" ca="1" si="34"/>
        <v>48772406.938096881</v>
      </c>
    </row>
    <row r="64" spans="1:20">
      <c r="A64" s="26">
        <f>'Monthly Data'!A64</f>
        <v>41699</v>
      </c>
      <c r="B64">
        <f t="shared" si="32"/>
        <v>2014</v>
      </c>
      <c r="C64">
        <f ca="1">'Monthly Data'!F64</f>
        <v>51052991.482677959</v>
      </c>
      <c r="D64">
        <f t="shared" ref="D64:E64" ca="1" si="55">D52</f>
        <v>456.53999999999996</v>
      </c>
      <c r="E64">
        <f t="shared" ca="1" si="55"/>
        <v>0.48</v>
      </c>
      <c r="F64">
        <f>'Monthly Data'!BZ64</f>
        <v>1</v>
      </c>
      <c r="G64">
        <f>'Monthly Data'!CA64</f>
        <v>0</v>
      </c>
      <c r="H64">
        <f>'Monthly Data'!CC64</f>
        <v>31</v>
      </c>
      <c r="I64">
        <f>'Monthly Data'!BV64</f>
        <v>0</v>
      </c>
      <c r="J64">
        <f>'Monthly Data'!BM64</f>
        <v>63</v>
      </c>
      <c r="L64">
        <f>'Res OLS Model'!$B$5</f>
        <v>-14695221.8516191</v>
      </c>
      <c r="M64">
        <f ca="1">'Res OLS Model'!$B$6*D64</f>
        <v>11021858.352675911</v>
      </c>
      <c r="N64">
        <f ca="1">'Res OLS Model'!$B$7*E64</f>
        <v>83615.947079397112</v>
      </c>
      <c r="O64">
        <f>'Res OLS Model'!$B$8*F64</f>
        <v>-4177006.7225933699</v>
      </c>
      <c r="P64">
        <f>'Res OLS Model'!$B$9*G64</f>
        <v>0</v>
      </c>
      <c r="Q64">
        <f>'Res OLS Model'!$B$10*H64</f>
        <v>55859933.6715082</v>
      </c>
      <c r="R64">
        <f>'Res OLS Model'!$B$11*I64</f>
        <v>0</v>
      </c>
      <c r="S64">
        <f>'Res OLS Model'!$B$12*J64</f>
        <v>-803009.63164804829</v>
      </c>
      <c r="T64">
        <f t="shared" ca="1" si="34"/>
        <v>47290169.765402988</v>
      </c>
    </row>
    <row r="65" spans="1:20">
      <c r="A65" s="26">
        <f>'Monthly Data'!A65</f>
        <v>41730</v>
      </c>
      <c r="B65">
        <f t="shared" si="32"/>
        <v>2014</v>
      </c>
      <c r="C65">
        <f ca="1">'Monthly Data'!F65</f>
        <v>41360165.193640947</v>
      </c>
      <c r="D65">
        <f t="shared" ref="D65:E65" ca="1" si="56">D53</f>
        <v>248.54999999999995</v>
      </c>
      <c r="E65">
        <f t="shared" ca="1" si="56"/>
        <v>2.63</v>
      </c>
      <c r="F65">
        <f>'Monthly Data'!BZ65</f>
        <v>1</v>
      </c>
      <c r="G65">
        <f>'Monthly Data'!CA65</f>
        <v>0</v>
      </c>
      <c r="H65">
        <f>'Monthly Data'!CC65</f>
        <v>30</v>
      </c>
      <c r="I65">
        <f>'Monthly Data'!BV65</f>
        <v>0</v>
      </c>
      <c r="J65">
        <f>'Monthly Data'!BM65</f>
        <v>64</v>
      </c>
      <c r="L65">
        <f>'Res OLS Model'!$B$5</f>
        <v>-14695221.8516191</v>
      </c>
      <c r="M65">
        <f ca="1">'Res OLS Model'!$B$6*D65</f>
        <v>6000532.0312734861</v>
      </c>
      <c r="N65">
        <f ca="1">'Res OLS Model'!$B$7*E65</f>
        <v>458145.71003919671</v>
      </c>
      <c r="O65">
        <f>'Res OLS Model'!$B$8*F65</f>
        <v>-4177006.7225933699</v>
      </c>
      <c r="P65">
        <f>'Res OLS Model'!$B$9*G65</f>
        <v>0</v>
      </c>
      <c r="Q65">
        <f>'Res OLS Model'!$B$10*H65</f>
        <v>54058000.327266</v>
      </c>
      <c r="R65">
        <f>'Res OLS Model'!$B$11*I65</f>
        <v>0</v>
      </c>
      <c r="S65">
        <f>'Res OLS Model'!$B$12*J65</f>
        <v>-815755.81627738243</v>
      </c>
      <c r="T65">
        <f t="shared" ca="1" si="34"/>
        <v>40828693.678088829</v>
      </c>
    </row>
    <row r="66" spans="1:20">
      <c r="A66" s="26">
        <f>'Monthly Data'!A66</f>
        <v>41760</v>
      </c>
      <c r="B66">
        <f t="shared" si="32"/>
        <v>2014</v>
      </c>
      <c r="C66">
        <f ca="1">'Monthly Data'!F66</f>
        <v>43158849.921167485</v>
      </c>
      <c r="D66">
        <f t="shared" ref="D66:E66" ca="1" si="57">D54</f>
        <v>92.740000000000009</v>
      </c>
      <c r="E66">
        <f t="shared" ca="1" si="57"/>
        <v>47.37</v>
      </c>
      <c r="F66">
        <f>'Monthly Data'!BZ66</f>
        <v>1</v>
      </c>
      <c r="G66">
        <f>'Monthly Data'!CA66</f>
        <v>0</v>
      </c>
      <c r="H66">
        <f>'Monthly Data'!CC66</f>
        <v>31</v>
      </c>
      <c r="I66">
        <f>'Monthly Data'!BV66</f>
        <v>0</v>
      </c>
      <c r="J66">
        <f>'Monthly Data'!BM66</f>
        <v>65</v>
      </c>
      <c r="L66">
        <f>'Res OLS Model'!$B$5</f>
        <v>-14695221.8516191</v>
      </c>
      <c r="M66">
        <f ca="1">'Res OLS Model'!$B$6*D66</f>
        <v>2238943.2330730367</v>
      </c>
      <c r="N66">
        <f ca="1">'Res OLS Model'!$B$7*E66</f>
        <v>8251848.7773980023</v>
      </c>
      <c r="O66">
        <f>'Res OLS Model'!$B$8*F66</f>
        <v>-4177006.7225933699</v>
      </c>
      <c r="P66">
        <f>'Res OLS Model'!$B$9*G66</f>
        <v>0</v>
      </c>
      <c r="Q66">
        <f>'Res OLS Model'!$B$10*H66</f>
        <v>55859933.6715082</v>
      </c>
      <c r="R66">
        <f>'Res OLS Model'!$B$11*I66</f>
        <v>0</v>
      </c>
      <c r="S66">
        <f>'Res OLS Model'!$B$12*J66</f>
        <v>-828502.00090671657</v>
      </c>
      <c r="T66">
        <f t="shared" ca="1" si="34"/>
        <v>46649995.106860057</v>
      </c>
    </row>
    <row r="67" spans="1:20">
      <c r="A67" s="26">
        <f>'Monthly Data'!A67</f>
        <v>41791</v>
      </c>
      <c r="B67">
        <f t="shared" si="32"/>
        <v>2014</v>
      </c>
      <c r="C67">
        <f ca="1">'Monthly Data'!F67</f>
        <v>55440642.71470008</v>
      </c>
      <c r="D67">
        <f t="shared" ref="D67:E67" ca="1" si="58">D55</f>
        <v>9.08</v>
      </c>
      <c r="E67">
        <f t="shared" ca="1" si="58"/>
        <v>117.23999999999997</v>
      </c>
      <c r="F67">
        <f>'Monthly Data'!BZ67</f>
        <v>0</v>
      </c>
      <c r="G67">
        <f>'Monthly Data'!CA67</f>
        <v>0</v>
      </c>
      <c r="H67">
        <f>'Monthly Data'!CC67</f>
        <v>30</v>
      </c>
      <c r="I67">
        <f>'Monthly Data'!BV67</f>
        <v>0</v>
      </c>
      <c r="J67">
        <f>'Monthly Data'!BM67</f>
        <v>66</v>
      </c>
      <c r="L67">
        <f>'Res OLS Model'!$B$5</f>
        <v>-14695221.8516191</v>
      </c>
      <c r="M67">
        <f ca="1">'Res OLS Model'!$B$6*D67</f>
        <v>219210.74570091837</v>
      </c>
      <c r="N67">
        <f ca="1">'Res OLS Model'!$B$7*E67</f>
        <v>20423195.074142739</v>
      </c>
      <c r="O67">
        <f>'Res OLS Model'!$B$8*F67</f>
        <v>0</v>
      </c>
      <c r="P67">
        <f>'Res OLS Model'!$B$9*G67</f>
        <v>0</v>
      </c>
      <c r="Q67">
        <f>'Res OLS Model'!$B$10*H67</f>
        <v>54058000.327266</v>
      </c>
      <c r="R67">
        <f>'Res OLS Model'!$B$11*I67</f>
        <v>0</v>
      </c>
      <c r="S67">
        <f>'Res OLS Model'!$B$12*J67</f>
        <v>-841248.18553605059</v>
      </c>
      <c r="T67">
        <f t="shared" ca="1" si="34"/>
        <v>59163936.109954506</v>
      </c>
    </row>
    <row r="68" spans="1:20">
      <c r="A68" s="26">
        <f>'Monthly Data'!A68</f>
        <v>41821</v>
      </c>
      <c r="B68">
        <f t="shared" si="32"/>
        <v>2014</v>
      </c>
      <c r="C68">
        <f ca="1">'Monthly Data'!F68</f>
        <v>61454907.375045419</v>
      </c>
      <c r="D68">
        <f t="shared" ref="D68:E68" ca="1" si="59">D56</f>
        <v>0.51</v>
      </c>
      <c r="E68">
        <f t="shared" ca="1" si="59"/>
        <v>185.60999999999999</v>
      </c>
      <c r="F68">
        <f>'Monthly Data'!BZ68</f>
        <v>0</v>
      </c>
      <c r="G68">
        <f>'Monthly Data'!CA68</f>
        <v>0</v>
      </c>
      <c r="H68">
        <f>'Monthly Data'!CC68</f>
        <v>31</v>
      </c>
      <c r="I68">
        <f>'Monthly Data'!BV68</f>
        <v>0</v>
      </c>
      <c r="J68">
        <f>'Monthly Data'!BM68</f>
        <v>67</v>
      </c>
      <c r="L68">
        <f>'Res OLS Model'!$B$5</f>
        <v>-14695221.8516191</v>
      </c>
      <c r="M68">
        <f ca="1">'Res OLS Model'!$B$6*D68</f>
        <v>12312.497831218983</v>
      </c>
      <c r="N68">
        <f ca="1">'Res OLS Model'!$B$7*E68</f>
        <v>32333241.536264371</v>
      </c>
      <c r="O68">
        <f>'Res OLS Model'!$B$8*F68</f>
        <v>0</v>
      </c>
      <c r="P68">
        <f>'Res OLS Model'!$B$9*G68</f>
        <v>0</v>
      </c>
      <c r="Q68">
        <f>'Res OLS Model'!$B$10*H68</f>
        <v>55859933.6715082</v>
      </c>
      <c r="R68">
        <f>'Res OLS Model'!$B$11*I68</f>
        <v>0</v>
      </c>
      <c r="S68">
        <f>'Res OLS Model'!$B$12*J68</f>
        <v>-853994.37016538472</v>
      </c>
      <c r="T68">
        <f t="shared" ca="1" si="34"/>
        <v>72656271.483819306</v>
      </c>
    </row>
    <row r="69" spans="1:20">
      <c r="A69" s="26">
        <f>'Monthly Data'!A69</f>
        <v>41852</v>
      </c>
      <c r="B69">
        <f t="shared" si="32"/>
        <v>2014</v>
      </c>
      <c r="C69">
        <f ca="1">'Monthly Data'!F69</f>
        <v>60080885.539118305</v>
      </c>
      <c r="D69">
        <f t="shared" ref="D69:E69" ca="1" si="60">D57</f>
        <v>1.51</v>
      </c>
      <c r="E69">
        <f t="shared" ca="1" si="60"/>
        <v>159.64000000000001</v>
      </c>
      <c r="F69">
        <f>'Monthly Data'!BZ69</f>
        <v>0</v>
      </c>
      <c r="G69">
        <f>'Monthly Data'!CA69</f>
        <v>0</v>
      </c>
      <c r="H69">
        <f>'Monthly Data'!CC69</f>
        <v>31</v>
      </c>
      <c r="I69">
        <f>'Monthly Data'!BV69</f>
        <v>0</v>
      </c>
      <c r="J69">
        <f>'Monthly Data'!BM69</f>
        <v>68</v>
      </c>
      <c r="L69">
        <f>'Res OLS Model'!$B$5</f>
        <v>-14695221.8516191</v>
      </c>
      <c r="M69">
        <f ca="1">'Res OLS Model'!$B$6*D69</f>
        <v>36454.650441452286</v>
      </c>
      <c r="N69">
        <f ca="1">'Res OLS Model'!$B$7*E69</f>
        <v>27809270.399489496</v>
      </c>
      <c r="O69">
        <f>'Res OLS Model'!$B$8*F69</f>
        <v>0</v>
      </c>
      <c r="P69">
        <f>'Res OLS Model'!$B$9*G69</f>
        <v>0</v>
      </c>
      <c r="Q69">
        <f>'Res OLS Model'!$B$10*H69</f>
        <v>55859933.6715082</v>
      </c>
      <c r="R69">
        <f>'Res OLS Model'!$B$11*I69</f>
        <v>0</v>
      </c>
      <c r="S69">
        <f>'Res OLS Model'!$B$12*J69</f>
        <v>-866740.55479471886</v>
      </c>
      <c r="T69">
        <f t="shared" ca="1" si="34"/>
        <v>68143696.31502533</v>
      </c>
    </row>
    <row r="70" spans="1:20">
      <c r="A70" s="26">
        <f>'Monthly Data'!A70</f>
        <v>41883</v>
      </c>
      <c r="B70">
        <f t="shared" si="32"/>
        <v>2014</v>
      </c>
      <c r="C70">
        <f ca="1">'Monthly Data'!F70</f>
        <v>48273397.042750143</v>
      </c>
      <c r="D70">
        <f t="shared" ref="D70:E70" ca="1" si="61">D58</f>
        <v>33.01</v>
      </c>
      <c r="E70">
        <f t="shared" ca="1" si="61"/>
        <v>72.989999999999981</v>
      </c>
      <c r="F70">
        <f>'Monthly Data'!BZ70</f>
        <v>0</v>
      </c>
      <c r="G70">
        <f>'Monthly Data'!CA70</f>
        <v>1</v>
      </c>
      <c r="H70">
        <f>'Monthly Data'!CC70</f>
        <v>30</v>
      </c>
      <c r="I70">
        <f>'Monthly Data'!BV70</f>
        <v>1</v>
      </c>
      <c r="J70">
        <f>'Monthly Data'!BM70</f>
        <v>69</v>
      </c>
      <c r="L70">
        <f>'Res OLS Model'!$B$5</f>
        <v>-14695221.8516191</v>
      </c>
      <c r="M70">
        <f ca="1">'Res OLS Model'!$B$6*D70</f>
        <v>796932.45766380127</v>
      </c>
      <c r="N70">
        <f ca="1">'Res OLS Model'!$B$7*E70</f>
        <v>12714849.952760821</v>
      </c>
      <c r="O70">
        <f>'Res OLS Model'!$B$8*F70</f>
        <v>0</v>
      </c>
      <c r="P70">
        <f>'Res OLS Model'!$B$9*G70</f>
        <v>-2399238.63510927</v>
      </c>
      <c r="Q70">
        <f>'Res OLS Model'!$B$10*H70</f>
        <v>54058000.327266</v>
      </c>
      <c r="R70">
        <f>'Res OLS Model'!$B$11*I70</f>
        <v>2497427.94615121</v>
      </c>
      <c r="S70">
        <f>'Res OLS Model'!$B$12*J70</f>
        <v>-879486.73942405288</v>
      </c>
      <c r="T70">
        <f t="shared" ca="1" si="34"/>
        <v>52093263.457689412</v>
      </c>
    </row>
    <row r="71" spans="1:20">
      <c r="A71" s="26">
        <f>'Monthly Data'!A71</f>
        <v>41913</v>
      </c>
      <c r="B71">
        <f t="shared" si="32"/>
        <v>2014</v>
      </c>
      <c r="C71">
        <f ca="1">'Monthly Data'!F71</f>
        <v>41793076.89713157</v>
      </c>
      <c r="D71">
        <f t="shared" ref="D71:E71" ca="1" si="62">D59</f>
        <v>177.83999999999997</v>
      </c>
      <c r="E71">
        <f t="shared" ca="1" si="62"/>
        <v>10.779999999999998</v>
      </c>
      <c r="F71">
        <f>'Monthly Data'!BZ71</f>
        <v>0</v>
      </c>
      <c r="G71">
        <f>'Monthly Data'!CA71</f>
        <v>1</v>
      </c>
      <c r="H71">
        <f>'Monthly Data'!CC71</f>
        <v>31</v>
      </c>
      <c r="I71">
        <f>'Monthly Data'!BV71</f>
        <v>0</v>
      </c>
      <c r="J71">
        <f>'Monthly Data'!BM71</f>
        <v>70</v>
      </c>
      <c r="L71">
        <f>'Res OLS Model'!$B$5</f>
        <v>-14695221.8516191</v>
      </c>
      <c r="M71">
        <f ca="1">'Res OLS Model'!$B$6*D71</f>
        <v>4293440.4202038897</v>
      </c>
      <c r="N71">
        <f ca="1">'Res OLS Model'!$B$7*E71</f>
        <v>1877874.8114914598</v>
      </c>
      <c r="O71">
        <f>'Res OLS Model'!$B$8*F71</f>
        <v>0</v>
      </c>
      <c r="P71">
        <f>'Res OLS Model'!$B$9*G71</f>
        <v>-2399238.63510927</v>
      </c>
      <c r="Q71">
        <f>'Res OLS Model'!$B$10*H71</f>
        <v>55859933.6715082</v>
      </c>
      <c r="R71">
        <f>'Res OLS Model'!$B$11*I71</f>
        <v>0</v>
      </c>
      <c r="S71">
        <f>'Res OLS Model'!$B$12*J71</f>
        <v>-892232.92405338702</v>
      </c>
      <c r="T71">
        <f t="shared" ca="1" si="34"/>
        <v>44044555.492421791</v>
      </c>
    </row>
    <row r="72" spans="1:20">
      <c r="A72" s="26">
        <f>'Monthly Data'!A72</f>
        <v>41944</v>
      </c>
      <c r="B72">
        <f t="shared" si="32"/>
        <v>2014</v>
      </c>
      <c r="C72">
        <f ca="1">'Monthly Data'!F72</f>
        <v>46664422.649748906</v>
      </c>
      <c r="D72">
        <f t="shared" ref="D72:E72" ca="1" si="63">D60</f>
        <v>361.94999999999993</v>
      </c>
      <c r="E72">
        <f t="shared" ca="1" si="63"/>
        <v>0.05</v>
      </c>
      <c r="F72">
        <f>'Monthly Data'!BZ72</f>
        <v>0</v>
      </c>
      <c r="G72">
        <f>'Monthly Data'!CA72</f>
        <v>1</v>
      </c>
      <c r="H72">
        <f>'Monthly Data'!CC72</f>
        <v>30</v>
      </c>
      <c r="I72">
        <f>'Monthly Data'!BV72</f>
        <v>0</v>
      </c>
      <c r="J72">
        <f>'Monthly Data'!BM72</f>
        <v>71</v>
      </c>
      <c r="L72">
        <f>'Res OLS Model'!$B$5</f>
        <v>-14695221.8516191</v>
      </c>
      <c r="M72">
        <f ca="1">'Res OLS Model'!$B$6*D72</f>
        <v>8738252.1372739412</v>
      </c>
      <c r="N72">
        <f ca="1">'Res OLS Model'!$B$7*E72</f>
        <v>8709.9944874371995</v>
      </c>
      <c r="O72">
        <f>'Res OLS Model'!$B$8*F72</f>
        <v>0</v>
      </c>
      <c r="P72">
        <f>'Res OLS Model'!$B$9*G72</f>
        <v>-2399238.63510927</v>
      </c>
      <c r="Q72">
        <f>'Res OLS Model'!$B$10*H72</f>
        <v>54058000.327266</v>
      </c>
      <c r="R72">
        <f>'Res OLS Model'!$B$11*I72</f>
        <v>0</v>
      </c>
      <c r="S72">
        <f>'Res OLS Model'!$B$12*J72</f>
        <v>-904979.10868272115</v>
      </c>
      <c r="T72">
        <f t="shared" ca="1" si="34"/>
        <v>44805522.863616288</v>
      </c>
    </row>
    <row r="73" spans="1:20">
      <c r="A73" s="26">
        <f>'Monthly Data'!A73</f>
        <v>41974</v>
      </c>
      <c r="B73">
        <f t="shared" si="32"/>
        <v>2014</v>
      </c>
      <c r="C73">
        <f ca="1">'Monthly Data'!F73</f>
        <v>53245388.227849908</v>
      </c>
      <c r="D73">
        <f t="shared" ref="D73:E73" ca="1" si="64">D61</f>
        <v>556.41000000000008</v>
      </c>
      <c r="E73">
        <f t="shared" ca="1" si="64"/>
        <v>0</v>
      </c>
      <c r="F73">
        <f>'Monthly Data'!BZ73</f>
        <v>0</v>
      </c>
      <c r="G73">
        <f>'Monthly Data'!CA73</f>
        <v>0</v>
      </c>
      <c r="H73">
        <f>'Monthly Data'!CC73</f>
        <v>31</v>
      </c>
      <c r="I73">
        <f>'Monthly Data'!BV73</f>
        <v>0</v>
      </c>
      <c r="J73">
        <f>'Monthly Data'!BM73</f>
        <v>72</v>
      </c>
      <c r="L73">
        <f>'Res OLS Model'!$B$5</f>
        <v>-14695221.8516191</v>
      </c>
      <c r="M73">
        <f ca="1">'Res OLS Model'!$B$6*D73</f>
        <v>13432935.133859914</v>
      </c>
      <c r="N73">
        <f ca="1">'Res OLS Model'!$B$7*E73</f>
        <v>0</v>
      </c>
      <c r="O73">
        <f>'Res OLS Model'!$B$8*F73</f>
        <v>0</v>
      </c>
      <c r="P73">
        <f>'Res OLS Model'!$B$9*G73</f>
        <v>0</v>
      </c>
      <c r="Q73">
        <f>'Res OLS Model'!$B$10*H73</f>
        <v>55859933.6715082</v>
      </c>
      <c r="R73">
        <f>'Res OLS Model'!$B$11*I73</f>
        <v>0</v>
      </c>
      <c r="S73">
        <f>'Res OLS Model'!$B$12*J73</f>
        <v>-917725.29331205529</v>
      </c>
      <c r="T73">
        <f t="shared" ca="1" si="34"/>
        <v>53679921.660436958</v>
      </c>
    </row>
    <row r="74" spans="1:20">
      <c r="A74" s="26">
        <f>'Monthly Data'!A74</f>
        <v>42005</v>
      </c>
      <c r="B74">
        <f t="shared" si="32"/>
        <v>2015</v>
      </c>
      <c r="C74">
        <f ca="1">'Monthly Data'!F74</f>
        <v>55763896.18168027</v>
      </c>
      <c r="D74">
        <f t="shared" ref="D74:E74" ca="1" si="65">D62</f>
        <v>659.42999999999984</v>
      </c>
      <c r="E74">
        <f t="shared" ca="1" si="65"/>
        <v>0</v>
      </c>
      <c r="F74">
        <f>'Monthly Data'!BZ74</f>
        <v>0</v>
      </c>
      <c r="G74">
        <f>'Monthly Data'!CA74</f>
        <v>0</v>
      </c>
      <c r="H74">
        <f>'Monthly Data'!CC74</f>
        <v>31</v>
      </c>
      <c r="I74">
        <f>'Monthly Data'!BV74</f>
        <v>0</v>
      </c>
      <c r="J74">
        <f>'Monthly Data'!BM74</f>
        <v>73</v>
      </c>
      <c r="L74">
        <f>'Res OLS Model'!$B$5</f>
        <v>-14695221.8516191</v>
      </c>
      <c r="M74">
        <f ca="1">'Res OLS Model'!$B$6*D74</f>
        <v>15920059.695766142</v>
      </c>
      <c r="N74">
        <f ca="1">'Res OLS Model'!$B$7*E74</f>
        <v>0</v>
      </c>
      <c r="O74">
        <f>'Res OLS Model'!$B$8*F74</f>
        <v>0</v>
      </c>
      <c r="P74">
        <f>'Res OLS Model'!$B$9*G74</f>
        <v>0</v>
      </c>
      <c r="Q74">
        <f>'Res OLS Model'!$B$10*H74</f>
        <v>55859933.6715082</v>
      </c>
      <c r="R74">
        <f>'Res OLS Model'!$B$11*I74</f>
        <v>0</v>
      </c>
      <c r="S74">
        <f>'Res OLS Model'!$B$12*J74</f>
        <v>-930471.47794138931</v>
      </c>
      <c r="T74">
        <f t="shared" ca="1" si="34"/>
        <v>56154300.037713856</v>
      </c>
    </row>
    <row r="75" spans="1:20">
      <c r="A75" s="26">
        <f>'Monthly Data'!A75</f>
        <v>42036</v>
      </c>
      <c r="B75">
        <f t="shared" si="32"/>
        <v>2015</v>
      </c>
      <c r="C75">
        <f ca="1">'Monthly Data'!F75</f>
        <v>50700386.356609277</v>
      </c>
      <c r="D75">
        <f t="shared" ref="D75:E75" ca="1" si="66">D63</f>
        <v>571.77</v>
      </c>
      <c r="E75">
        <f t="shared" ca="1" si="66"/>
        <v>0</v>
      </c>
      <c r="F75">
        <f>'Monthly Data'!BZ75</f>
        <v>0</v>
      </c>
      <c r="G75">
        <f>'Monthly Data'!CA75</f>
        <v>0</v>
      </c>
      <c r="H75">
        <f>'Monthly Data'!CC75</f>
        <v>28</v>
      </c>
      <c r="I75">
        <f>'Monthly Data'!BV75</f>
        <v>0</v>
      </c>
      <c r="J75">
        <f>'Monthly Data'!BM75</f>
        <v>74</v>
      </c>
      <c r="L75">
        <f>'Res OLS Model'!$B$5</f>
        <v>-14695221.8516191</v>
      </c>
      <c r="M75">
        <f ca="1">'Res OLS Model'!$B$6*D75</f>
        <v>13803758.597953094</v>
      </c>
      <c r="N75">
        <f ca="1">'Res OLS Model'!$B$7*E75</f>
        <v>0</v>
      </c>
      <c r="O75">
        <f>'Res OLS Model'!$B$8*F75</f>
        <v>0</v>
      </c>
      <c r="P75">
        <f>'Res OLS Model'!$B$9*G75</f>
        <v>0</v>
      </c>
      <c r="Q75">
        <f>'Res OLS Model'!$B$10*H75</f>
        <v>50454133.6387816</v>
      </c>
      <c r="R75">
        <f>'Res OLS Model'!$B$11*I75</f>
        <v>0</v>
      </c>
      <c r="S75">
        <f>'Res OLS Model'!$B$12*J75</f>
        <v>-943217.66257072345</v>
      </c>
      <c r="T75">
        <f t="shared" ca="1" si="34"/>
        <v>48619452.722544871</v>
      </c>
    </row>
    <row r="76" spans="1:20">
      <c r="A76" s="26">
        <f>'Monthly Data'!A76</f>
        <v>42064</v>
      </c>
      <c r="B76">
        <f t="shared" si="32"/>
        <v>2015</v>
      </c>
      <c r="C76">
        <f ca="1">'Monthly Data'!F76</f>
        <v>48601161.77192767</v>
      </c>
      <c r="D76">
        <f t="shared" ref="D76:E76" ca="1" si="67">D64</f>
        <v>456.53999999999996</v>
      </c>
      <c r="E76">
        <f t="shared" ca="1" si="67"/>
        <v>0.48</v>
      </c>
      <c r="F76">
        <f>'Monthly Data'!BZ76</f>
        <v>1</v>
      </c>
      <c r="G76">
        <f>'Monthly Data'!CA76</f>
        <v>0</v>
      </c>
      <c r="H76">
        <f>'Monthly Data'!CC76</f>
        <v>31</v>
      </c>
      <c r="I76">
        <f>'Monthly Data'!BV76</f>
        <v>0</v>
      </c>
      <c r="J76">
        <f>'Monthly Data'!BM76</f>
        <v>75</v>
      </c>
      <c r="L76">
        <f>'Res OLS Model'!$B$5</f>
        <v>-14695221.8516191</v>
      </c>
      <c r="M76">
        <f ca="1">'Res OLS Model'!$B$6*D76</f>
        <v>11021858.352675911</v>
      </c>
      <c r="N76">
        <f ca="1">'Res OLS Model'!$B$7*E76</f>
        <v>83615.947079397112</v>
      </c>
      <c r="O76">
        <f>'Res OLS Model'!$B$8*F76</f>
        <v>-4177006.7225933699</v>
      </c>
      <c r="P76">
        <f>'Res OLS Model'!$B$9*G76</f>
        <v>0</v>
      </c>
      <c r="Q76">
        <f>'Res OLS Model'!$B$10*H76</f>
        <v>55859933.6715082</v>
      </c>
      <c r="R76">
        <f>'Res OLS Model'!$B$11*I76</f>
        <v>0</v>
      </c>
      <c r="S76">
        <f>'Res OLS Model'!$B$12*J76</f>
        <v>-955963.84720005759</v>
      </c>
      <c r="T76">
        <f t="shared" ca="1" si="34"/>
        <v>47137215.549850978</v>
      </c>
    </row>
    <row r="77" spans="1:20">
      <c r="A77" s="26">
        <f>'Monthly Data'!A77</f>
        <v>42095</v>
      </c>
      <c r="B77">
        <f t="shared" si="32"/>
        <v>2015</v>
      </c>
      <c r="C77">
        <f ca="1">'Monthly Data'!F77</f>
        <v>40903456.917285234</v>
      </c>
      <c r="D77">
        <f t="shared" ref="D77:E77" ca="1" si="68">D65</f>
        <v>248.54999999999995</v>
      </c>
      <c r="E77">
        <f t="shared" ca="1" si="68"/>
        <v>2.63</v>
      </c>
      <c r="F77">
        <f>'Monthly Data'!BZ77</f>
        <v>1</v>
      </c>
      <c r="G77">
        <f>'Monthly Data'!CA77</f>
        <v>0</v>
      </c>
      <c r="H77">
        <f>'Monthly Data'!CC77</f>
        <v>30</v>
      </c>
      <c r="I77">
        <f>'Monthly Data'!BV77</f>
        <v>0</v>
      </c>
      <c r="J77">
        <f>'Monthly Data'!BM77</f>
        <v>76</v>
      </c>
      <c r="L77">
        <f>'Res OLS Model'!$B$5</f>
        <v>-14695221.8516191</v>
      </c>
      <c r="M77">
        <f ca="1">'Res OLS Model'!$B$6*D77</f>
        <v>6000532.0312734861</v>
      </c>
      <c r="N77">
        <f ca="1">'Res OLS Model'!$B$7*E77</f>
        <v>458145.71003919671</v>
      </c>
      <c r="O77">
        <f>'Res OLS Model'!$B$8*F77</f>
        <v>-4177006.7225933699</v>
      </c>
      <c r="P77">
        <f>'Res OLS Model'!$B$9*G77</f>
        <v>0</v>
      </c>
      <c r="Q77">
        <f>'Res OLS Model'!$B$10*H77</f>
        <v>54058000.327266</v>
      </c>
      <c r="R77">
        <f>'Res OLS Model'!$B$11*I77</f>
        <v>0</v>
      </c>
      <c r="S77">
        <f>'Res OLS Model'!$B$12*J77</f>
        <v>-968710.03182939161</v>
      </c>
      <c r="T77">
        <f t="shared" ca="1" si="34"/>
        <v>40675739.462536819</v>
      </c>
    </row>
    <row r="78" spans="1:20">
      <c r="A78" s="26">
        <f>'Monthly Data'!A78</f>
        <v>42125</v>
      </c>
      <c r="B78">
        <f t="shared" si="32"/>
        <v>2015</v>
      </c>
      <c r="C78">
        <f ca="1">'Monthly Data'!F78</f>
        <v>44255377.816204593</v>
      </c>
      <c r="D78">
        <f t="shared" ref="D78:E78" ca="1" si="69">D66</f>
        <v>92.740000000000009</v>
      </c>
      <c r="E78">
        <f t="shared" ca="1" si="69"/>
        <v>47.37</v>
      </c>
      <c r="F78">
        <f>'Monthly Data'!BZ78</f>
        <v>1</v>
      </c>
      <c r="G78">
        <f>'Monthly Data'!CA78</f>
        <v>0</v>
      </c>
      <c r="H78">
        <f>'Monthly Data'!CC78</f>
        <v>31</v>
      </c>
      <c r="I78">
        <f>'Monthly Data'!BV78</f>
        <v>0</v>
      </c>
      <c r="J78">
        <f>'Monthly Data'!BM78</f>
        <v>77</v>
      </c>
      <c r="L78">
        <f>'Res OLS Model'!$B$5</f>
        <v>-14695221.8516191</v>
      </c>
      <c r="M78">
        <f ca="1">'Res OLS Model'!$B$6*D78</f>
        <v>2238943.2330730367</v>
      </c>
      <c r="N78">
        <f ca="1">'Res OLS Model'!$B$7*E78</f>
        <v>8251848.7773980023</v>
      </c>
      <c r="O78">
        <f>'Res OLS Model'!$B$8*F78</f>
        <v>-4177006.7225933699</v>
      </c>
      <c r="P78">
        <f>'Res OLS Model'!$B$9*G78</f>
        <v>0</v>
      </c>
      <c r="Q78">
        <f>'Res OLS Model'!$B$10*H78</f>
        <v>55859933.6715082</v>
      </c>
      <c r="R78">
        <f>'Res OLS Model'!$B$11*I78</f>
        <v>0</v>
      </c>
      <c r="S78">
        <f>'Res OLS Model'!$B$12*J78</f>
        <v>-981456.21645872574</v>
      </c>
      <c r="T78">
        <f t="shared" ca="1" si="34"/>
        <v>46497040.891308047</v>
      </c>
    </row>
    <row r="79" spans="1:20">
      <c r="A79" s="26">
        <f>'Monthly Data'!A79</f>
        <v>42156</v>
      </c>
      <c r="B79">
        <f t="shared" si="32"/>
        <v>2015</v>
      </c>
      <c r="C79">
        <f ca="1">'Monthly Data'!F79</f>
        <v>52472039.303485408</v>
      </c>
      <c r="D79">
        <f t="shared" ref="D79:E79" ca="1" si="70">D67</f>
        <v>9.08</v>
      </c>
      <c r="E79">
        <f t="shared" ca="1" si="70"/>
        <v>117.23999999999997</v>
      </c>
      <c r="F79">
        <f>'Monthly Data'!BZ79</f>
        <v>0</v>
      </c>
      <c r="G79">
        <f>'Monthly Data'!CA79</f>
        <v>0</v>
      </c>
      <c r="H79">
        <f>'Monthly Data'!CC79</f>
        <v>30</v>
      </c>
      <c r="I79">
        <f>'Monthly Data'!BV79</f>
        <v>0</v>
      </c>
      <c r="J79">
        <f>'Monthly Data'!BM79</f>
        <v>78</v>
      </c>
      <c r="L79">
        <f>'Res OLS Model'!$B$5</f>
        <v>-14695221.8516191</v>
      </c>
      <c r="M79">
        <f ca="1">'Res OLS Model'!$B$6*D79</f>
        <v>219210.74570091837</v>
      </c>
      <c r="N79">
        <f ca="1">'Res OLS Model'!$B$7*E79</f>
        <v>20423195.074142739</v>
      </c>
      <c r="O79">
        <f>'Res OLS Model'!$B$8*F79</f>
        <v>0</v>
      </c>
      <c r="P79">
        <f>'Res OLS Model'!$B$9*G79</f>
        <v>0</v>
      </c>
      <c r="Q79">
        <f>'Res OLS Model'!$B$10*H79</f>
        <v>54058000.327266</v>
      </c>
      <c r="R79">
        <f>'Res OLS Model'!$B$11*I79</f>
        <v>0</v>
      </c>
      <c r="S79">
        <f>'Res OLS Model'!$B$12*J79</f>
        <v>-994202.40108805988</v>
      </c>
      <c r="T79">
        <f t="shared" ca="1" si="34"/>
        <v>59010981.894402497</v>
      </c>
    </row>
    <row r="80" spans="1:20">
      <c r="A80" s="26">
        <f>'Monthly Data'!A80</f>
        <v>42186</v>
      </c>
      <c r="B80">
        <f t="shared" si="32"/>
        <v>2015</v>
      </c>
      <c r="C80">
        <f ca="1">'Monthly Data'!F80</f>
        <v>65255972.638263904</v>
      </c>
      <c r="D80">
        <f t="shared" ref="D80:E80" ca="1" si="71">D68</f>
        <v>0.51</v>
      </c>
      <c r="E80">
        <f t="shared" ca="1" si="71"/>
        <v>185.60999999999999</v>
      </c>
      <c r="F80">
        <f>'Monthly Data'!BZ80</f>
        <v>0</v>
      </c>
      <c r="G80">
        <f>'Monthly Data'!CA80</f>
        <v>0</v>
      </c>
      <c r="H80">
        <f>'Monthly Data'!CC80</f>
        <v>31</v>
      </c>
      <c r="I80">
        <f>'Monthly Data'!BV80</f>
        <v>0</v>
      </c>
      <c r="J80">
        <f>'Monthly Data'!BM80</f>
        <v>79</v>
      </c>
      <c r="L80">
        <f>'Res OLS Model'!$B$5</f>
        <v>-14695221.8516191</v>
      </c>
      <c r="M80">
        <f ca="1">'Res OLS Model'!$B$6*D80</f>
        <v>12312.497831218983</v>
      </c>
      <c r="N80">
        <f ca="1">'Res OLS Model'!$B$7*E80</f>
        <v>32333241.536264371</v>
      </c>
      <c r="O80">
        <f>'Res OLS Model'!$B$8*F80</f>
        <v>0</v>
      </c>
      <c r="P80">
        <f>'Res OLS Model'!$B$9*G80</f>
        <v>0</v>
      </c>
      <c r="Q80">
        <f>'Res OLS Model'!$B$10*H80</f>
        <v>55859933.6715082</v>
      </c>
      <c r="R80">
        <f>'Res OLS Model'!$B$11*I80</f>
        <v>0</v>
      </c>
      <c r="S80">
        <f>'Res OLS Model'!$B$12*J80</f>
        <v>-1006948.5857173939</v>
      </c>
      <c r="T80">
        <f t="shared" ca="1" si="34"/>
        <v>72503317.268267289</v>
      </c>
    </row>
    <row r="81" spans="1:20">
      <c r="A81" s="26">
        <f>'Monthly Data'!A81</f>
        <v>42217</v>
      </c>
      <c r="B81">
        <f t="shared" si="32"/>
        <v>2015</v>
      </c>
      <c r="C81">
        <f ca="1">'Monthly Data'!F81</f>
        <v>67807607.144169539</v>
      </c>
      <c r="D81">
        <f t="shared" ref="D81:E81" ca="1" si="72">D69</f>
        <v>1.51</v>
      </c>
      <c r="E81">
        <f t="shared" ca="1" si="72"/>
        <v>159.64000000000001</v>
      </c>
      <c r="F81">
        <f>'Monthly Data'!BZ81</f>
        <v>0</v>
      </c>
      <c r="G81">
        <f>'Monthly Data'!CA81</f>
        <v>0</v>
      </c>
      <c r="H81">
        <f>'Monthly Data'!CC81</f>
        <v>31</v>
      </c>
      <c r="I81">
        <f>'Monthly Data'!BV81</f>
        <v>0</v>
      </c>
      <c r="J81">
        <f>'Monthly Data'!BM81</f>
        <v>80</v>
      </c>
      <c r="L81">
        <f>'Res OLS Model'!$B$5</f>
        <v>-14695221.8516191</v>
      </c>
      <c r="M81">
        <f ca="1">'Res OLS Model'!$B$6*D81</f>
        <v>36454.650441452286</v>
      </c>
      <c r="N81">
        <f ca="1">'Res OLS Model'!$B$7*E81</f>
        <v>27809270.399489496</v>
      </c>
      <c r="O81">
        <f>'Res OLS Model'!$B$8*F81</f>
        <v>0</v>
      </c>
      <c r="P81">
        <f>'Res OLS Model'!$B$9*G81</f>
        <v>0</v>
      </c>
      <c r="Q81">
        <f>'Res OLS Model'!$B$10*H81</f>
        <v>55859933.6715082</v>
      </c>
      <c r="R81">
        <f>'Res OLS Model'!$B$11*I81</f>
        <v>0</v>
      </c>
      <c r="S81">
        <f>'Res OLS Model'!$B$12*J81</f>
        <v>-1019694.770346728</v>
      </c>
      <c r="T81">
        <f t="shared" ca="1" si="34"/>
        <v>67990742.099473312</v>
      </c>
    </row>
    <row r="82" spans="1:20">
      <c r="A82" s="26">
        <f>'Monthly Data'!A82</f>
        <v>42248</v>
      </c>
      <c r="B82">
        <f t="shared" si="32"/>
        <v>2015</v>
      </c>
      <c r="C82">
        <f ca="1">'Monthly Data'!F82</f>
        <v>53044043.734858684</v>
      </c>
      <c r="D82">
        <f t="shared" ref="D82:E82" ca="1" si="73">D70</f>
        <v>33.01</v>
      </c>
      <c r="E82">
        <f t="shared" ca="1" si="73"/>
        <v>72.989999999999981</v>
      </c>
      <c r="F82">
        <f>'Monthly Data'!BZ82</f>
        <v>0</v>
      </c>
      <c r="G82">
        <f>'Monthly Data'!CA82</f>
        <v>1</v>
      </c>
      <c r="H82">
        <f>'Monthly Data'!CC82</f>
        <v>30</v>
      </c>
      <c r="I82">
        <f>'Monthly Data'!BV82</f>
        <v>1</v>
      </c>
      <c r="J82">
        <f>'Monthly Data'!BM82</f>
        <v>81</v>
      </c>
      <c r="L82">
        <f>'Res OLS Model'!$B$5</f>
        <v>-14695221.8516191</v>
      </c>
      <c r="M82">
        <f ca="1">'Res OLS Model'!$B$6*D82</f>
        <v>796932.45766380127</v>
      </c>
      <c r="N82">
        <f ca="1">'Res OLS Model'!$B$7*E82</f>
        <v>12714849.952760821</v>
      </c>
      <c r="O82">
        <f>'Res OLS Model'!$B$8*F82</f>
        <v>0</v>
      </c>
      <c r="P82">
        <f>'Res OLS Model'!$B$9*G82</f>
        <v>-2399238.63510927</v>
      </c>
      <c r="Q82">
        <f>'Res OLS Model'!$B$10*H82</f>
        <v>54058000.327266</v>
      </c>
      <c r="R82">
        <f>'Res OLS Model'!$B$11*I82</f>
        <v>2497427.94615121</v>
      </c>
      <c r="S82">
        <f>'Res OLS Model'!$B$12*J82</f>
        <v>-1032440.9549760622</v>
      </c>
      <c r="T82">
        <f t="shared" ca="1" si="34"/>
        <v>51940309.242137402</v>
      </c>
    </row>
    <row r="83" spans="1:20">
      <c r="A83" s="26">
        <f>'Monthly Data'!A83</f>
        <v>42278</v>
      </c>
      <c r="B83">
        <f t="shared" si="32"/>
        <v>2015</v>
      </c>
      <c r="C83">
        <f ca="1">'Monthly Data'!F83</f>
        <v>41411011.439795353</v>
      </c>
      <c r="D83">
        <f t="shared" ref="D83:E83" ca="1" si="74">D71</f>
        <v>177.83999999999997</v>
      </c>
      <c r="E83">
        <f t="shared" ca="1" si="74"/>
        <v>10.779999999999998</v>
      </c>
      <c r="F83">
        <f>'Monthly Data'!BZ83</f>
        <v>0</v>
      </c>
      <c r="G83">
        <f>'Monthly Data'!CA83</f>
        <v>1</v>
      </c>
      <c r="H83">
        <f>'Monthly Data'!CC83</f>
        <v>31</v>
      </c>
      <c r="I83">
        <f>'Monthly Data'!BV83</f>
        <v>0</v>
      </c>
      <c r="J83">
        <f>'Monthly Data'!BM83</f>
        <v>82</v>
      </c>
      <c r="L83">
        <f>'Res OLS Model'!$B$5</f>
        <v>-14695221.8516191</v>
      </c>
      <c r="M83">
        <f ca="1">'Res OLS Model'!$B$6*D83</f>
        <v>4293440.4202038897</v>
      </c>
      <c r="N83">
        <f ca="1">'Res OLS Model'!$B$7*E83</f>
        <v>1877874.8114914598</v>
      </c>
      <c r="O83">
        <f>'Res OLS Model'!$B$8*F83</f>
        <v>0</v>
      </c>
      <c r="P83">
        <f>'Res OLS Model'!$B$9*G83</f>
        <v>-2399238.63510927</v>
      </c>
      <c r="Q83">
        <f>'Res OLS Model'!$B$10*H83</f>
        <v>55859933.6715082</v>
      </c>
      <c r="R83">
        <f>'Res OLS Model'!$B$11*I83</f>
        <v>0</v>
      </c>
      <c r="S83">
        <f>'Res OLS Model'!$B$12*J83</f>
        <v>-1045187.1396053962</v>
      </c>
      <c r="T83">
        <f t="shared" ca="1" si="34"/>
        <v>43891601.276869781</v>
      </c>
    </row>
    <row r="84" spans="1:20">
      <c r="A84" s="26">
        <f>'Monthly Data'!A84</f>
        <v>42309</v>
      </c>
      <c r="B84">
        <f t="shared" si="32"/>
        <v>2015</v>
      </c>
      <c r="C84">
        <f ca="1">'Monthly Data'!F84</f>
        <v>42304554.515398659</v>
      </c>
      <c r="D84">
        <f t="shared" ref="D84:E84" ca="1" si="75">D72</f>
        <v>361.94999999999993</v>
      </c>
      <c r="E84">
        <f t="shared" ca="1" si="75"/>
        <v>0.05</v>
      </c>
      <c r="F84">
        <f>'Monthly Data'!BZ84</f>
        <v>0</v>
      </c>
      <c r="G84">
        <f>'Monthly Data'!CA84</f>
        <v>1</v>
      </c>
      <c r="H84">
        <f>'Monthly Data'!CC84</f>
        <v>30</v>
      </c>
      <c r="I84">
        <f>'Monthly Data'!BV84</f>
        <v>0</v>
      </c>
      <c r="J84">
        <f>'Monthly Data'!BM84</f>
        <v>83</v>
      </c>
      <c r="L84">
        <f>'Res OLS Model'!$B$5</f>
        <v>-14695221.8516191</v>
      </c>
      <c r="M84">
        <f ca="1">'Res OLS Model'!$B$6*D84</f>
        <v>8738252.1372739412</v>
      </c>
      <c r="N84">
        <f ca="1">'Res OLS Model'!$B$7*E84</f>
        <v>8709.9944874371995</v>
      </c>
      <c r="O84">
        <f>'Res OLS Model'!$B$8*F84</f>
        <v>0</v>
      </c>
      <c r="P84">
        <f>'Res OLS Model'!$B$9*G84</f>
        <v>-2399238.63510927</v>
      </c>
      <c r="Q84">
        <f>'Res OLS Model'!$B$10*H84</f>
        <v>54058000.327266</v>
      </c>
      <c r="R84">
        <f>'Res OLS Model'!$B$11*I84</f>
        <v>0</v>
      </c>
      <c r="S84">
        <f>'Res OLS Model'!$B$12*J84</f>
        <v>-1057933.3242347303</v>
      </c>
      <c r="T84">
        <f t="shared" ca="1" si="34"/>
        <v>44652568.648064278</v>
      </c>
    </row>
    <row r="85" spans="1:20">
      <c r="A85" s="26">
        <f>'Monthly Data'!A85</f>
        <v>42339</v>
      </c>
      <c r="B85">
        <f t="shared" si="32"/>
        <v>2015</v>
      </c>
      <c r="C85">
        <f ca="1">'Monthly Data'!F85</f>
        <v>49135427.22282929</v>
      </c>
      <c r="D85">
        <f t="shared" ref="D85:E85" ca="1" si="76">D73</f>
        <v>556.41000000000008</v>
      </c>
      <c r="E85">
        <f t="shared" ca="1" si="76"/>
        <v>0</v>
      </c>
      <c r="F85">
        <f>'Monthly Data'!BZ85</f>
        <v>0</v>
      </c>
      <c r="G85">
        <f>'Monthly Data'!CA85</f>
        <v>0</v>
      </c>
      <c r="H85">
        <f>'Monthly Data'!CC85</f>
        <v>31</v>
      </c>
      <c r="I85">
        <f>'Monthly Data'!BV85</f>
        <v>0</v>
      </c>
      <c r="J85">
        <f>'Monthly Data'!BM85</f>
        <v>84</v>
      </c>
      <c r="L85">
        <f>'Res OLS Model'!$B$5</f>
        <v>-14695221.8516191</v>
      </c>
      <c r="M85">
        <f ca="1">'Res OLS Model'!$B$6*D85</f>
        <v>13432935.133859914</v>
      </c>
      <c r="N85">
        <f ca="1">'Res OLS Model'!$B$7*E85</f>
        <v>0</v>
      </c>
      <c r="O85">
        <f>'Res OLS Model'!$B$8*F85</f>
        <v>0</v>
      </c>
      <c r="P85">
        <f>'Res OLS Model'!$B$9*G85</f>
        <v>0</v>
      </c>
      <c r="Q85">
        <f>'Res OLS Model'!$B$10*H85</f>
        <v>55859933.6715082</v>
      </c>
      <c r="R85">
        <f>'Res OLS Model'!$B$11*I85</f>
        <v>0</v>
      </c>
      <c r="S85">
        <f>'Res OLS Model'!$B$12*J85</f>
        <v>-1070679.5088640645</v>
      </c>
      <c r="T85">
        <f t="shared" ca="1" si="34"/>
        <v>53526967.444884948</v>
      </c>
    </row>
    <row r="86" spans="1:20">
      <c r="A86" s="26">
        <f>'Monthly Data'!A86</f>
        <v>42370</v>
      </c>
      <c r="B86">
        <f t="shared" si="32"/>
        <v>2016</v>
      </c>
      <c r="C86">
        <f ca="1">'Monthly Data'!F86</f>
        <v>52102836.708981939</v>
      </c>
      <c r="D86">
        <f t="shared" ref="D86:E86" ca="1" si="77">D74</f>
        <v>659.42999999999984</v>
      </c>
      <c r="E86">
        <f t="shared" ca="1" si="77"/>
        <v>0</v>
      </c>
      <c r="F86">
        <f>'Monthly Data'!BZ86</f>
        <v>0</v>
      </c>
      <c r="G86">
        <f>'Monthly Data'!CA86</f>
        <v>0</v>
      </c>
      <c r="H86">
        <f>'Monthly Data'!CC86</f>
        <v>31</v>
      </c>
      <c r="I86">
        <f>'Monthly Data'!BV86</f>
        <v>0</v>
      </c>
      <c r="J86">
        <f>'Monthly Data'!BM86</f>
        <v>85</v>
      </c>
      <c r="L86">
        <f>'Res OLS Model'!$B$5</f>
        <v>-14695221.8516191</v>
      </c>
      <c r="M86">
        <f ca="1">'Res OLS Model'!$B$6*D86</f>
        <v>15920059.695766142</v>
      </c>
      <c r="N86">
        <f ca="1">'Res OLS Model'!$B$7*E86</f>
        <v>0</v>
      </c>
      <c r="O86">
        <f>'Res OLS Model'!$B$8*F86</f>
        <v>0</v>
      </c>
      <c r="P86">
        <f>'Res OLS Model'!$B$9*G86</f>
        <v>0</v>
      </c>
      <c r="Q86">
        <f>'Res OLS Model'!$B$10*H86</f>
        <v>55859933.6715082</v>
      </c>
      <c r="R86">
        <f>'Res OLS Model'!$B$11*I86</f>
        <v>0</v>
      </c>
      <c r="S86">
        <f>'Res OLS Model'!$B$12*J86</f>
        <v>-1083425.6934933986</v>
      </c>
      <c r="T86">
        <f t="shared" ca="1" si="34"/>
        <v>56001345.822161846</v>
      </c>
    </row>
    <row r="87" spans="1:20">
      <c r="A87" s="26">
        <f>'Monthly Data'!A87</f>
        <v>42401</v>
      </c>
      <c r="B87">
        <f t="shared" si="32"/>
        <v>2016</v>
      </c>
      <c r="C87">
        <f ca="1">'Monthly Data'!F87</f>
        <v>46904127.650017522</v>
      </c>
      <c r="D87">
        <f t="shared" ref="D87:E87" ca="1" si="78">D75</f>
        <v>571.77</v>
      </c>
      <c r="E87">
        <f t="shared" ca="1" si="78"/>
        <v>0</v>
      </c>
      <c r="F87">
        <f>'Monthly Data'!BZ87</f>
        <v>0</v>
      </c>
      <c r="G87">
        <f>'Monthly Data'!CA87</f>
        <v>0</v>
      </c>
      <c r="H87">
        <f>'Monthly Data'!CC87</f>
        <v>29</v>
      </c>
      <c r="I87">
        <f>'Monthly Data'!BV87</f>
        <v>0</v>
      </c>
      <c r="J87">
        <f>'Monthly Data'!BM87</f>
        <v>86</v>
      </c>
      <c r="L87">
        <f>'Res OLS Model'!$B$5</f>
        <v>-14695221.8516191</v>
      </c>
      <c r="M87">
        <f ca="1">'Res OLS Model'!$B$6*D87</f>
        <v>13803758.597953094</v>
      </c>
      <c r="N87">
        <f ca="1">'Res OLS Model'!$B$7*E87</f>
        <v>0</v>
      </c>
      <c r="O87">
        <f>'Res OLS Model'!$B$8*F87</f>
        <v>0</v>
      </c>
      <c r="P87">
        <f>'Res OLS Model'!$B$9*G87</f>
        <v>0</v>
      </c>
      <c r="Q87">
        <f>'Res OLS Model'!$B$10*H87</f>
        <v>52256066.9830238</v>
      </c>
      <c r="R87">
        <f>'Res OLS Model'!$B$11*I87</f>
        <v>0</v>
      </c>
      <c r="S87">
        <f>'Res OLS Model'!$B$12*J87</f>
        <v>-1096171.8781227327</v>
      </c>
      <c r="T87">
        <f t="shared" ca="1" si="34"/>
        <v>50268431.851235062</v>
      </c>
    </row>
    <row r="88" spans="1:20">
      <c r="A88" s="26">
        <f>'Monthly Data'!A88</f>
        <v>42430</v>
      </c>
      <c r="B88">
        <f t="shared" si="32"/>
        <v>2016</v>
      </c>
      <c r="C88">
        <f ca="1">'Monthly Data'!F88</f>
        <v>45175173.087262981</v>
      </c>
      <c r="D88">
        <f t="shared" ref="D88:E88" ca="1" si="79">D76</f>
        <v>456.53999999999996</v>
      </c>
      <c r="E88">
        <f t="shared" ca="1" si="79"/>
        <v>0.48</v>
      </c>
      <c r="F88">
        <f>'Monthly Data'!BZ88</f>
        <v>1</v>
      </c>
      <c r="G88">
        <f>'Monthly Data'!CA88</f>
        <v>0</v>
      </c>
      <c r="H88">
        <f>'Monthly Data'!CC88</f>
        <v>31</v>
      </c>
      <c r="I88">
        <f>'Monthly Data'!BV88</f>
        <v>0</v>
      </c>
      <c r="J88">
        <f>'Monthly Data'!BM88</f>
        <v>87</v>
      </c>
      <c r="L88">
        <f>'Res OLS Model'!$B$5</f>
        <v>-14695221.8516191</v>
      </c>
      <c r="M88">
        <f ca="1">'Res OLS Model'!$B$6*D88</f>
        <v>11021858.352675911</v>
      </c>
      <c r="N88">
        <f ca="1">'Res OLS Model'!$B$7*E88</f>
        <v>83615.947079397112</v>
      </c>
      <c r="O88">
        <f>'Res OLS Model'!$B$8*F88</f>
        <v>-4177006.7225933699</v>
      </c>
      <c r="P88">
        <f>'Res OLS Model'!$B$9*G88</f>
        <v>0</v>
      </c>
      <c r="Q88">
        <f>'Res OLS Model'!$B$10*H88</f>
        <v>55859933.6715082</v>
      </c>
      <c r="R88">
        <f>'Res OLS Model'!$B$11*I88</f>
        <v>0</v>
      </c>
      <c r="S88">
        <f>'Res OLS Model'!$B$12*J88</f>
        <v>-1108918.0627520666</v>
      </c>
      <c r="T88">
        <f t="shared" ca="1" si="34"/>
        <v>46984261.334298968</v>
      </c>
    </row>
    <row r="89" spans="1:20">
      <c r="A89" s="26">
        <f>'Monthly Data'!A89</f>
        <v>42461</v>
      </c>
      <c r="B89">
        <f t="shared" si="32"/>
        <v>2016</v>
      </c>
      <c r="C89">
        <f ca="1">'Monthly Data'!F89</f>
        <v>40065253.610994443</v>
      </c>
      <c r="D89">
        <f t="shared" ref="D89:E89" ca="1" si="80">D77</f>
        <v>248.54999999999995</v>
      </c>
      <c r="E89">
        <f t="shared" ca="1" si="80"/>
        <v>2.63</v>
      </c>
      <c r="F89">
        <f>'Monthly Data'!BZ89</f>
        <v>1</v>
      </c>
      <c r="G89">
        <f>'Monthly Data'!CA89</f>
        <v>0</v>
      </c>
      <c r="H89">
        <f>'Monthly Data'!CC89</f>
        <v>30</v>
      </c>
      <c r="I89">
        <f>'Monthly Data'!BV89</f>
        <v>0</v>
      </c>
      <c r="J89">
        <f>'Monthly Data'!BM89</f>
        <v>88</v>
      </c>
      <c r="L89">
        <f>'Res OLS Model'!$B$5</f>
        <v>-14695221.8516191</v>
      </c>
      <c r="M89">
        <f ca="1">'Res OLS Model'!$B$6*D89</f>
        <v>6000532.0312734861</v>
      </c>
      <c r="N89">
        <f ca="1">'Res OLS Model'!$B$7*E89</f>
        <v>458145.71003919671</v>
      </c>
      <c r="O89">
        <f>'Res OLS Model'!$B$8*F89</f>
        <v>-4177006.7225933699</v>
      </c>
      <c r="P89">
        <f>'Res OLS Model'!$B$9*G89</f>
        <v>0</v>
      </c>
      <c r="Q89">
        <f>'Res OLS Model'!$B$10*H89</f>
        <v>54058000.327266</v>
      </c>
      <c r="R89">
        <f>'Res OLS Model'!$B$11*I89</f>
        <v>0</v>
      </c>
      <c r="S89">
        <f>'Res OLS Model'!$B$12*J89</f>
        <v>-1121664.2473814008</v>
      </c>
      <c r="T89">
        <f t="shared" ca="1" si="34"/>
        <v>40522785.24698481</v>
      </c>
    </row>
    <row r="90" spans="1:20">
      <c r="A90" s="26">
        <f>'Monthly Data'!A90</f>
        <v>42491</v>
      </c>
      <c r="B90">
        <f t="shared" si="32"/>
        <v>2016</v>
      </c>
      <c r="C90">
        <f ca="1">'Monthly Data'!F90</f>
        <v>45621730.560541235</v>
      </c>
      <c r="D90">
        <f t="shared" ref="D90:E90" ca="1" si="81">D78</f>
        <v>92.740000000000009</v>
      </c>
      <c r="E90">
        <f t="shared" ca="1" si="81"/>
        <v>47.37</v>
      </c>
      <c r="F90">
        <f>'Monthly Data'!BZ90</f>
        <v>1</v>
      </c>
      <c r="G90">
        <f>'Monthly Data'!CA90</f>
        <v>0</v>
      </c>
      <c r="H90">
        <f>'Monthly Data'!CC90</f>
        <v>31</v>
      </c>
      <c r="I90">
        <f>'Monthly Data'!BV90</f>
        <v>0</v>
      </c>
      <c r="J90">
        <f>'Monthly Data'!BM90</f>
        <v>89</v>
      </c>
      <c r="L90">
        <f>'Res OLS Model'!$B$5</f>
        <v>-14695221.8516191</v>
      </c>
      <c r="M90">
        <f ca="1">'Res OLS Model'!$B$6*D90</f>
        <v>2238943.2330730367</v>
      </c>
      <c r="N90">
        <f ca="1">'Res OLS Model'!$B$7*E90</f>
        <v>8251848.7773980023</v>
      </c>
      <c r="O90">
        <f>'Res OLS Model'!$B$8*F90</f>
        <v>-4177006.7225933699</v>
      </c>
      <c r="P90">
        <f>'Res OLS Model'!$B$9*G90</f>
        <v>0</v>
      </c>
      <c r="Q90">
        <f>'Res OLS Model'!$B$10*H90</f>
        <v>55859933.6715082</v>
      </c>
      <c r="R90">
        <f>'Res OLS Model'!$B$11*I90</f>
        <v>0</v>
      </c>
      <c r="S90">
        <f>'Res OLS Model'!$B$12*J90</f>
        <v>-1134410.4320107349</v>
      </c>
      <c r="T90">
        <f t="shared" ca="1" si="34"/>
        <v>46344086.675756037</v>
      </c>
    </row>
    <row r="91" spans="1:20">
      <c r="A91" s="26">
        <f>'Monthly Data'!A91</f>
        <v>42522</v>
      </c>
      <c r="B91">
        <f t="shared" si="32"/>
        <v>2016</v>
      </c>
      <c r="C91">
        <f ca="1">'Monthly Data'!F91</f>
        <v>62219414.444204442</v>
      </c>
      <c r="D91">
        <f t="shared" ref="D91:E91" ca="1" si="82">D79</f>
        <v>9.08</v>
      </c>
      <c r="E91">
        <f t="shared" ca="1" si="82"/>
        <v>117.23999999999997</v>
      </c>
      <c r="F91">
        <f>'Monthly Data'!BZ91</f>
        <v>0</v>
      </c>
      <c r="G91">
        <f>'Monthly Data'!CA91</f>
        <v>0</v>
      </c>
      <c r="H91">
        <f>'Monthly Data'!CC91</f>
        <v>30</v>
      </c>
      <c r="I91">
        <f>'Monthly Data'!BV91</f>
        <v>0</v>
      </c>
      <c r="J91">
        <f>'Monthly Data'!BM91</f>
        <v>90</v>
      </c>
      <c r="L91">
        <f>'Res OLS Model'!$B$5</f>
        <v>-14695221.8516191</v>
      </c>
      <c r="M91">
        <f ca="1">'Res OLS Model'!$B$6*D91</f>
        <v>219210.74570091837</v>
      </c>
      <c r="N91">
        <f ca="1">'Res OLS Model'!$B$7*E91</f>
        <v>20423195.074142739</v>
      </c>
      <c r="O91">
        <f>'Res OLS Model'!$B$8*F91</f>
        <v>0</v>
      </c>
      <c r="P91">
        <f>'Res OLS Model'!$B$9*G91</f>
        <v>0</v>
      </c>
      <c r="Q91">
        <f>'Res OLS Model'!$B$10*H91</f>
        <v>54058000.327266</v>
      </c>
      <c r="R91">
        <f>'Res OLS Model'!$B$11*I91</f>
        <v>0</v>
      </c>
      <c r="S91">
        <f>'Res OLS Model'!$B$12*J91</f>
        <v>-1147156.6166400691</v>
      </c>
      <c r="T91">
        <f t="shared" ca="1" si="34"/>
        <v>58858027.678850487</v>
      </c>
    </row>
    <row r="92" spans="1:20">
      <c r="A92" s="26">
        <f>'Monthly Data'!A92</f>
        <v>42552</v>
      </c>
      <c r="B92">
        <f t="shared" si="32"/>
        <v>2016</v>
      </c>
      <c r="C92">
        <f ca="1">'Monthly Data'!F92</f>
        <v>78540515.183203891</v>
      </c>
      <c r="D92">
        <f t="shared" ref="D92:E92" ca="1" si="83">D80</f>
        <v>0.51</v>
      </c>
      <c r="E92">
        <f t="shared" ca="1" si="83"/>
        <v>185.60999999999999</v>
      </c>
      <c r="F92">
        <f>'Monthly Data'!BZ92</f>
        <v>0</v>
      </c>
      <c r="G92">
        <f>'Monthly Data'!CA92</f>
        <v>0</v>
      </c>
      <c r="H92">
        <f>'Monthly Data'!CC92</f>
        <v>31</v>
      </c>
      <c r="I92">
        <f>'Monthly Data'!BV92</f>
        <v>0</v>
      </c>
      <c r="J92">
        <f>'Monthly Data'!BM92</f>
        <v>91</v>
      </c>
      <c r="L92">
        <f>'Res OLS Model'!$B$5</f>
        <v>-14695221.8516191</v>
      </c>
      <c r="M92">
        <f ca="1">'Res OLS Model'!$B$6*D92</f>
        <v>12312.497831218983</v>
      </c>
      <c r="N92">
        <f ca="1">'Res OLS Model'!$B$7*E92</f>
        <v>32333241.536264371</v>
      </c>
      <c r="O92">
        <f>'Res OLS Model'!$B$8*F92</f>
        <v>0</v>
      </c>
      <c r="P92">
        <f>'Res OLS Model'!$B$9*G92</f>
        <v>0</v>
      </c>
      <c r="Q92">
        <f>'Res OLS Model'!$B$10*H92</f>
        <v>55859933.6715082</v>
      </c>
      <c r="R92">
        <f>'Res OLS Model'!$B$11*I92</f>
        <v>0</v>
      </c>
      <c r="S92">
        <f>'Res OLS Model'!$B$12*J92</f>
        <v>-1159902.8012694032</v>
      </c>
      <c r="T92">
        <f t="shared" ca="1" si="34"/>
        <v>72350363.052715287</v>
      </c>
    </row>
    <row r="93" spans="1:20">
      <c r="A93" s="26">
        <f>'Monthly Data'!A93</f>
        <v>42583</v>
      </c>
      <c r="B93">
        <f t="shared" si="32"/>
        <v>2016</v>
      </c>
      <c r="C93">
        <f ca="1">'Monthly Data'!F93</f>
        <v>76966973.631195873</v>
      </c>
      <c r="D93">
        <f t="shared" ref="D93:E93" ca="1" si="84">D81</f>
        <v>1.51</v>
      </c>
      <c r="E93">
        <f t="shared" ca="1" si="84"/>
        <v>159.64000000000001</v>
      </c>
      <c r="F93">
        <f>'Monthly Data'!BZ93</f>
        <v>0</v>
      </c>
      <c r="G93">
        <f>'Monthly Data'!CA93</f>
        <v>0</v>
      </c>
      <c r="H93">
        <f>'Monthly Data'!CC93</f>
        <v>31</v>
      </c>
      <c r="I93">
        <f>'Monthly Data'!BV93</f>
        <v>0</v>
      </c>
      <c r="J93">
        <f>'Monthly Data'!BM93</f>
        <v>92</v>
      </c>
      <c r="L93">
        <f>'Res OLS Model'!$B$5</f>
        <v>-14695221.8516191</v>
      </c>
      <c r="M93">
        <f ca="1">'Res OLS Model'!$B$6*D93</f>
        <v>36454.650441452286</v>
      </c>
      <c r="N93">
        <f ca="1">'Res OLS Model'!$B$7*E93</f>
        <v>27809270.399489496</v>
      </c>
      <c r="O93">
        <f>'Res OLS Model'!$B$8*F93</f>
        <v>0</v>
      </c>
      <c r="P93">
        <f>'Res OLS Model'!$B$9*G93</f>
        <v>0</v>
      </c>
      <c r="Q93">
        <f>'Res OLS Model'!$B$10*H93</f>
        <v>55859933.6715082</v>
      </c>
      <c r="R93">
        <f>'Res OLS Model'!$B$11*I93</f>
        <v>0</v>
      </c>
      <c r="S93">
        <f>'Res OLS Model'!$B$12*J93</f>
        <v>-1172648.9858987373</v>
      </c>
      <c r="T93">
        <f t="shared" ca="1" si="34"/>
        <v>67837787.88392131</v>
      </c>
    </row>
    <row r="94" spans="1:20">
      <c r="A94" s="26">
        <f>'Monthly Data'!A94</f>
        <v>42614</v>
      </c>
      <c r="B94">
        <f t="shared" si="32"/>
        <v>2016</v>
      </c>
      <c r="C94">
        <f ca="1">'Monthly Data'!F94</f>
        <v>56086414.527406082</v>
      </c>
      <c r="D94">
        <f t="shared" ref="D94:E94" ca="1" si="85">D82</f>
        <v>33.01</v>
      </c>
      <c r="E94">
        <f t="shared" ca="1" si="85"/>
        <v>72.989999999999981</v>
      </c>
      <c r="F94">
        <f>'Monthly Data'!BZ94</f>
        <v>0</v>
      </c>
      <c r="G94">
        <f>'Monthly Data'!CA94</f>
        <v>1</v>
      </c>
      <c r="H94">
        <f>'Monthly Data'!CC94</f>
        <v>30</v>
      </c>
      <c r="I94">
        <f>'Monthly Data'!BV94</f>
        <v>1</v>
      </c>
      <c r="J94">
        <f>'Monthly Data'!BM94</f>
        <v>93</v>
      </c>
      <c r="L94">
        <f>'Res OLS Model'!$B$5</f>
        <v>-14695221.8516191</v>
      </c>
      <c r="M94">
        <f ca="1">'Res OLS Model'!$B$6*D94</f>
        <v>796932.45766380127</v>
      </c>
      <c r="N94">
        <f ca="1">'Res OLS Model'!$B$7*E94</f>
        <v>12714849.952760821</v>
      </c>
      <c r="O94">
        <f>'Res OLS Model'!$B$8*F94</f>
        <v>0</v>
      </c>
      <c r="P94">
        <f>'Res OLS Model'!$B$9*G94</f>
        <v>-2399238.63510927</v>
      </c>
      <c r="Q94">
        <f>'Res OLS Model'!$B$10*H94</f>
        <v>54058000.327266</v>
      </c>
      <c r="R94">
        <f>'Res OLS Model'!$B$11*I94</f>
        <v>2497427.94615121</v>
      </c>
      <c r="S94">
        <f>'Res OLS Model'!$B$12*J94</f>
        <v>-1185395.1705280712</v>
      </c>
      <c r="T94">
        <f t="shared" ca="1" si="34"/>
        <v>51787355.026585393</v>
      </c>
    </row>
    <row r="95" spans="1:20">
      <c r="A95" s="26">
        <f>'Monthly Data'!A95</f>
        <v>42644</v>
      </c>
      <c r="B95">
        <f t="shared" si="32"/>
        <v>2016</v>
      </c>
      <c r="C95">
        <f ca="1">'Monthly Data'!F95</f>
        <v>42624018.777550466</v>
      </c>
      <c r="D95">
        <f t="shared" ref="D95:E95" ca="1" si="86">D83</f>
        <v>177.83999999999997</v>
      </c>
      <c r="E95">
        <f t="shared" ca="1" si="86"/>
        <v>10.779999999999998</v>
      </c>
      <c r="F95">
        <f>'Monthly Data'!BZ95</f>
        <v>0</v>
      </c>
      <c r="G95">
        <f>'Monthly Data'!CA95</f>
        <v>1</v>
      </c>
      <c r="H95">
        <f>'Monthly Data'!CC95</f>
        <v>31</v>
      </c>
      <c r="I95">
        <f>'Monthly Data'!BV95</f>
        <v>0</v>
      </c>
      <c r="J95">
        <f>'Monthly Data'!BM95</f>
        <v>94</v>
      </c>
      <c r="L95">
        <f>'Res OLS Model'!$B$5</f>
        <v>-14695221.8516191</v>
      </c>
      <c r="M95">
        <f ca="1">'Res OLS Model'!$B$6*D95</f>
        <v>4293440.4202038897</v>
      </c>
      <c r="N95">
        <f ca="1">'Res OLS Model'!$B$7*E95</f>
        <v>1877874.8114914598</v>
      </c>
      <c r="O95">
        <f>'Res OLS Model'!$B$8*F95</f>
        <v>0</v>
      </c>
      <c r="P95">
        <f>'Res OLS Model'!$B$9*G95</f>
        <v>-2399238.63510927</v>
      </c>
      <c r="Q95">
        <f>'Res OLS Model'!$B$10*H95</f>
        <v>55859933.6715082</v>
      </c>
      <c r="R95">
        <f>'Res OLS Model'!$B$11*I95</f>
        <v>0</v>
      </c>
      <c r="S95">
        <f>'Res OLS Model'!$B$12*J95</f>
        <v>-1198141.3551574054</v>
      </c>
      <c r="T95">
        <f t="shared" ca="1" si="34"/>
        <v>43738647.061317772</v>
      </c>
    </row>
    <row r="96" spans="1:20">
      <c r="A96" s="26">
        <f>'Monthly Data'!A96</f>
        <v>42675</v>
      </c>
      <c r="B96">
        <f t="shared" si="32"/>
        <v>2016</v>
      </c>
      <c r="C96">
        <f ca="1">'Monthly Data'!F96</f>
        <v>42697547.749490358</v>
      </c>
      <c r="D96">
        <f t="shared" ref="D96:E96" ca="1" si="87">D84</f>
        <v>361.94999999999993</v>
      </c>
      <c r="E96">
        <f t="shared" ca="1" si="87"/>
        <v>0.05</v>
      </c>
      <c r="F96">
        <f>'Monthly Data'!BZ96</f>
        <v>0</v>
      </c>
      <c r="G96">
        <f>'Monthly Data'!CA96</f>
        <v>1</v>
      </c>
      <c r="H96">
        <f>'Monthly Data'!CC96</f>
        <v>30</v>
      </c>
      <c r="I96">
        <f>'Monthly Data'!BV96</f>
        <v>0</v>
      </c>
      <c r="J96">
        <f>'Monthly Data'!BM96</f>
        <v>95</v>
      </c>
      <c r="L96">
        <f>'Res OLS Model'!$B$5</f>
        <v>-14695221.8516191</v>
      </c>
      <c r="M96">
        <f ca="1">'Res OLS Model'!$B$6*D96</f>
        <v>8738252.1372739412</v>
      </c>
      <c r="N96">
        <f ca="1">'Res OLS Model'!$B$7*E96</f>
        <v>8709.9944874371995</v>
      </c>
      <c r="O96">
        <f>'Res OLS Model'!$B$8*F96</f>
        <v>0</v>
      </c>
      <c r="P96">
        <f>'Res OLS Model'!$B$9*G96</f>
        <v>-2399238.63510927</v>
      </c>
      <c r="Q96">
        <f>'Res OLS Model'!$B$10*H96</f>
        <v>54058000.327266</v>
      </c>
      <c r="R96">
        <f>'Res OLS Model'!$B$11*I96</f>
        <v>0</v>
      </c>
      <c r="S96">
        <f>'Res OLS Model'!$B$12*J96</f>
        <v>-1210887.5397867395</v>
      </c>
      <c r="T96">
        <f t="shared" ca="1" si="34"/>
        <v>44499614.432512268</v>
      </c>
    </row>
    <row r="97" spans="1:20">
      <c r="A97" s="26">
        <f>'Monthly Data'!A97</f>
        <v>42705</v>
      </c>
      <c r="B97">
        <f t="shared" si="32"/>
        <v>2016</v>
      </c>
      <c r="C97">
        <f ca="1">'Monthly Data'!F97</f>
        <v>51929745.792119883</v>
      </c>
      <c r="D97">
        <f t="shared" ref="D97:E97" ca="1" si="88">D85</f>
        <v>556.41000000000008</v>
      </c>
      <c r="E97">
        <f t="shared" ca="1" si="88"/>
        <v>0</v>
      </c>
      <c r="F97">
        <f>'Monthly Data'!BZ97</f>
        <v>0</v>
      </c>
      <c r="G97">
        <f>'Monthly Data'!CA97</f>
        <v>0</v>
      </c>
      <c r="H97">
        <f>'Monthly Data'!CC97</f>
        <v>31</v>
      </c>
      <c r="I97">
        <f>'Monthly Data'!BV97</f>
        <v>0</v>
      </c>
      <c r="J97">
        <f>'Monthly Data'!BM97</f>
        <v>96</v>
      </c>
      <c r="L97">
        <f>'Res OLS Model'!$B$5</f>
        <v>-14695221.8516191</v>
      </c>
      <c r="M97">
        <f ca="1">'Res OLS Model'!$B$6*D97</f>
        <v>13432935.133859914</v>
      </c>
      <c r="N97">
        <f ca="1">'Res OLS Model'!$B$7*E97</f>
        <v>0</v>
      </c>
      <c r="O97">
        <f>'Res OLS Model'!$B$8*F97</f>
        <v>0</v>
      </c>
      <c r="P97">
        <f>'Res OLS Model'!$B$9*G97</f>
        <v>0</v>
      </c>
      <c r="Q97">
        <f>'Res OLS Model'!$B$10*H97</f>
        <v>55859933.6715082</v>
      </c>
      <c r="R97">
        <f>'Res OLS Model'!$B$11*I97</f>
        <v>0</v>
      </c>
      <c r="S97">
        <f>'Res OLS Model'!$B$12*J97</f>
        <v>-1223633.7244160736</v>
      </c>
      <c r="T97">
        <f t="shared" ca="1" si="34"/>
        <v>53374013.229332939</v>
      </c>
    </row>
    <row r="98" spans="1:20">
      <c r="A98" s="26">
        <v>42736</v>
      </c>
      <c r="B98">
        <f t="shared" si="32"/>
        <v>2017</v>
      </c>
      <c r="C98" s="127">
        <f ca="1">'Monthly Data'!F98</f>
        <v>52235221.996710055</v>
      </c>
      <c r="D98">
        <f t="shared" ref="D98:E98" ca="1" si="89">D86</f>
        <v>659.42999999999984</v>
      </c>
      <c r="E98">
        <f t="shared" ca="1" si="89"/>
        <v>0</v>
      </c>
      <c r="F98">
        <f t="shared" ref="F98:I98" si="90">F86</f>
        <v>0</v>
      </c>
      <c r="G98">
        <f t="shared" si="90"/>
        <v>0</v>
      </c>
      <c r="H98">
        <f>H50</f>
        <v>31</v>
      </c>
      <c r="I98">
        <f t="shared" si="90"/>
        <v>0</v>
      </c>
      <c r="J98">
        <f>J97+1</f>
        <v>97</v>
      </c>
      <c r="L98">
        <f>'Res OLS Model'!$B$5</f>
        <v>-14695221.8516191</v>
      </c>
      <c r="M98">
        <f ca="1">'Res OLS Model'!$B$6*D98</f>
        <v>15920059.695766142</v>
      </c>
      <c r="N98">
        <f ca="1">'Res OLS Model'!$B$7*E98</f>
        <v>0</v>
      </c>
      <c r="O98">
        <f>'Res OLS Model'!$B$8*F98</f>
        <v>0</v>
      </c>
      <c r="P98">
        <f>'Res OLS Model'!$B$9*G98</f>
        <v>0</v>
      </c>
      <c r="Q98">
        <f>'Res OLS Model'!$B$10*H98</f>
        <v>55859933.6715082</v>
      </c>
      <c r="R98">
        <f>'Res OLS Model'!$B$11*I98</f>
        <v>0</v>
      </c>
      <c r="S98">
        <f>'Res OLS Model'!$B$12*J98</f>
        <v>-1236379.9090454078</v>
      </c>
      <c r="T98">
        <f t="shared" ref="T98:T133" ca="1" si="91">SUM(L98:S98)</f>
        <v>55848391.606609836</v>
      </c>
    </row>
    <row r="99" spans="1:20">
      <c r="A99" s="26">
        <v>42767</v>
      </c>
      <c r="B99">
        <f t="shared" si="32"/>
        <v>2017</v>
      </c>
      <c r="C99" s="127">
        <f ca="1">'Monthly Data'!F99</f>
        <v>43740261.306710057</v>
      </c>
      <c r="D99">
        <f t="shared" ref="D99:E99" ca="1" si="92">D87</f>
        <v>571.77</v>
      </c>
      <c r="E99">
        <f t="shared" ca="1" si="92"/>
        <v>0</v>
      </c>
      <c r="F99">
        <f t="shared" ref="F99:I99" si="93">F87</f>
        <v>0</v>
      </c>
      <c r="G99">
        <f t="shared" si="93"/>
        <v>0</v>
      </c>
      <c r="H99" s="127">
        <f t="shared" ref="H99:H145" si="94">H51</f>
        <v>28</v>
      </c>
      <c r="I99">
        <f t="shared" si="93"/>
        <v>0</v>
      </c>
      <c r="J99">
        <f t="shared" ref="J99:J145" si="95">J98+1</f>
        <v>98</v>
      </c>
      <c r="L99">
        <f>'Res OLS Model'!$B$5</f>
        <v>-14695221.8516191</v>
      </c>
      <c r="M99">
        <f ca="1">'Res OLS Model'!$B$6*D99</f>
        <v>13803758.597953094</v>
      </c>
      <c r="N99">
        <f ca="1">'Res OLS Model'!$B$7*E99</f>
        <v>0</v>
      </c>
      <c r="O99">
        <f>'Res OLS Model'!$B$8*F99</f>
        <v>0</v>
      </c>
      <c r="P99">
        <f>'Res OLS Model'!$B$9*G99</f>
        <v>0</v>
      </c>
      <c r="Q99">
        <f>'Res OLS Model'!$B$10*H99</f>
        <v>50454133.6387816</v>
      </c>
      <c r="R99">
        <f>'Res OLS Model'!$B$11*I99</f>
        <v>0</v>
      </c>
      <c r="S99">
        <f>'Res OLS Model'!$B$12*J99</f>
        <v>-1249126.0936747419</v>
      </c>
      <c r="T99">
        <f t="shared" ca="1" si="91"/>
        <v>48313544.291440852</v>
      </c>
    </row>
    <row r="100" spans="1:20">
      <c r="A100" s="26">
        <v>42795</v>
      </c>
      <c r="B100">
        <f t="shared" si="32"/>
        <v>2017</v>
      </c>
      <c r="C100" s="127">
        <f ca="1">'Monthly Data'!F100</f>
        <v>45837850.07671006</v>
      </c>
      <c r="D100">
        <f t="shared" ref="D100:E100" ca="1" si="96">D88</f>
        <v>456.53999999999996</v>
      </c>
      <c r="E100">
        <f t="shared" ca="1" si="96"/>
        <v>0.48</v>
      </c>
      <c r="F100">
        <f t="shared" ref="F100:I100" si="97">F88</f>
        <v>1</v>
      </c>
      <c r="G100">
        <f t="shared" si="97"/>
        <v>0</v>
      </c>
      <c r="H100" s="127">
        <f t="shared" si="94"/>
        <v>31</v>
      </c>
      <c r="I100">
        <f t="shared" si="97"/>
        <v>0</v>
      </c>
      <c r="J100">
        <f t="shared" si="95"/>
        <v>99</v>
      </c>
      <c r="L100">
        <f>'Res OLS Model'!$B$5</f>
        <v>-14695221.8516191</v>
      </c>
      <c r="M100">
        <f ca="1">'Res OLS Model'!$B$6*D100</f>
        <v>11021858.352675911</v>
      </c>
      <c r="N100">
        <f ca="1">'Res OLS Model'!$B$7*E100</f>
        <v>83615.947079397112</v>
      </c>
      <c r="O100">
        <f>'Res OLS Model'!$B$8*F100</f>
        <v>-4177006.7225933699</v>
      </c>
      <c r="P100">
        <f>'Res OLS Model'!$B$9*G100</f>
        <v>0</v>
      </c>
      <c r="Q100">
        <f>'Res OLS Model'!$B$10*H100</f>
        <v>55859933.6715082</v>
      </c>
      <c r="R100">
        <f>'Res OLS Model'!$B$11*I100</f>
        <v>0</v>
      </c>
      <c r="S100">
        <f>'Res OLS Model'!$B$12*J100</f>
        <v>-1261872.2783040761</v>
      </c>
      <c r="T100">
        <f t="shared" ca="1" si="91"/>
        <v>46831307.118746959</v>
      </c>
    </row>
    <row r="101" spans="1:20">
      <c r="A101" s="26">
        <v>42826</v>
      </c>
      <c r="B101">
        <f t="shared" si="32"/>
        <v>2017</v>
      </c>
      <c r="C101" s="127">
        <f ca="1">'Monthly Data'!F101</f>
        <v>39739104.176710062</v>
      </c>
      <c r="D101">
        <f t="shared" ref="D101:E101" ca="1" si="98">D89</f>
        <v>248.54999999999995</v>
      </c>
      <c r="E101">
        <f t="shared" ca="1" si="98"/>
        <v>2.63</v>
      </c>
      <c r="F101">
        <f t="shared" ref="F101:I101" si="99">F89</f>
        <v>1</v>
      </c>
      <c r="G101">
        <f t="shared" si="99"/>
        <v>0</v>
      </c>
      <c r="H101" s="127">
        <f t="shared" si="94"/>
        <v>30</v>
      </c>
      <c r="I101">
        <f t="shared" si="99"/>
        <v>0</v>
      </c>
      <c r="J101">
        <f t="shared" si="95"/>
        <v>100</v>
      </c>
      <c r="L101">
        <f>'Res OLS Model'!$B$5</f>
        <v>-14695221.8516191</v>
      </c>
      <c r="M101">
        <f ca="1">'Res OLS Model'!$B$6*D101</f>
        <v>6000532.0312734861</v>
      </c>
      <c r="N101">
        <f ca="1">'Res OLS Model'!$B$7*E101</f>
        <v>458145.71003919671</v>
      </c>
      <c r="O101">
        <f>'Res OLS Model'!$B$8*F101</f>
        <v>-4177006.7225933699</v>
      </c>
      <c r="P101">
        <f>'Res OLS Model'!$B$9*G101</f>
        <v>0</v>
      </c>
      <c r="Q101">
        <f>'Res OLS Model'!$B$10*H101</f>
        <v>54058000.327266</v>
      </c>
      <c r="R101">
        <f>'Res OLS Model'!$B$11*I101</f>
        <v>0</v>
      </c>
      <c r="S101">
        <f>'Res OLS Model'!$B$12*J101</f>
        <v>-1274618.46293341</v>
      </c>
      <c r="T101">
        <f t="shared" ca="1" si="91"/>
        <v>40369831.031432807</v>
      </c>
    </row>
    <row r="102" spans="1:20">
      <c r="A102" s="26">
        <v>42856</v>
      </c>
      <c r="B102">
        <f t="shared" si="32"/>
        <v>2017</v>
      </c>
      <c r="C102" s="127">
        <f ca="1">'Monthly Data'!F102</f>
        <v>43383845.156710058</v>
      </c>
      <c r="D102">
        <f t="shared" ref="D102:E102" ca="1" si="100">D90</f>
        <v>92.740000000000009</v>
      </c>
      <c r="E102">
        <f t="shared" ca="1" si="100"/>
        <v>47.37</v>
      </c>
      <c r="F102">
        <f t="shared" ref="F102:I102" si="101">F90</f>
        <v>1</v>
      </c>
      <c r="G102">
        <f t="shared" si="101"/>
        <v>0</v>
      </c>
      <c r="H102" s="127">
        <f t="shared" si="94"/>
        <v>31</v>
      </c>
      <c r="I102">
        <f t="shared" si="101"/>
        <v>0</v>
      </c>
      <c r="J102">
        <f t="shared" si="95"/>
        <v>101</v>
      </c>
      <c r="L102">
        <f>'Res OLS Model'!$B$5</f>
        <v>-14695221.8516191</v>
      </c>
      <c r="M102">
        <f ca="1">'Res OLS Model'!$B$6*D102</f>
        <v>2238943.2330730367</v>
      </c>
      <c r="N102">
        <f ca="1">'Res OLS Model'!$B$7*E102</f>
        <v>8251848.7773980023</v>
      </c>
      <c r="O102">
        <f>'Res OLS Model'!$B$8*F102</f>
        <v>-4177006.7225933699</v>
      </c>
      <c r="P102">
        <f>'Res OLS Model'!$B$9*G102</f>
        <v>0</v>
      </c>
      <c r="Q102">
        <f>'Res OLS Model'!$B$10*H102</f>
        <v>55859933.6715082</v>
      </c>
      <c r="R102">
        <f>'Res OLS Model'!$B$11*I102</f>
        <v>0</v>
      </c>
      <c r="S102">
        <f>'Res OLS Model'!$B$12*J102</f>
        <v>-1287364.6475627441</v>
      </c>
      <c r="T102">
        <f t="shared" ca="1" si="91"/>
        <v>46191132.460204028</v>
      </c>
    </row>
    <row r="103" spans="1:20">
      <c r="A103" s="26">
        <v>42887</v>
      </c>
      <c r="B103">
        <f t="shared" si="32"/>
        <v>2017</v>
      </c>
      <c r="C103" s="127">
        <f ca="1">'Monthly Data'!F103</f>
        <v>58319622.406710058</v>
      </c>
      <c r="D103">
        <f t="shared" ref="D103:E103" ca="1" si="102">D91</f>
        <v>9.08</v>
      </c>
      <c r="E103">
        <f t="shared" ca="1" si="102"/>
        <v>117.23999999999997</v>
      </c>
      <c r="F103">
        <f t="shared" ref="F103:I103" si="103">F91</f>
        <v>0</v>
      </c>
      <c r="G103">
        <f t="shared" si="103"/>
        <v>0</v>
      </c>
      <c r="H103" s="127">
        <f t="shared" si="94"/>
        <v>30</v>
      </c>
      <c r="I103">
        <f t="shared" si="103"/>
        <v>0</v>
      </c>
      <c r="J103">
        <f t="shared" si="95"/>
        <v>102</v>
      </c>
      <c r="L103">
        <f>'Res OLS Model'!$B$5</f>
        <v>-14695221.8516191</v>
      </c>
      <c r="M103">
        <f ca="1">'Res OLS Model'!$B$6*D103</f>
        <v>219210.74570091837</v>
      </c>
      <c r="N103">
        <f ca="1">'Res OLS Model'!$B$7*E103</f>
        <v>20423195.074142739</v>
      </c>
      <c r="O103">
        <f>'Res OLS Model'!$B$8*F103</f>
        <v>0</v>
      </c>
      <c r="P103">
        <f>'Res OLS Model'!$B$9*G103</f>
        <v>0</v>
      </c>
      <c r="Q103">
        <f>'Res OLS Model'!$B$10*H103</f>
        <v>54058000.327266</v>
      </c>
      <c r="R103">
        <f>'Res OLS Model'!$B$11*I103</f>
        <v>0</v>
      </c>
      <c r="S103">
        <f>'Res OLS Model'!$B$12*J103</f>
        <v>-1300110.8321920782</v>
      </c>
      <c r="T103">
        <f t="shared" ca="1" si="91"/>
        <v>58705073.463298477</v>
      </c>
    </row>
    <row r="104" spans="1:20">
      <c r="A104" s="26">
        <v>42917</v>
      </c>
      <c r="B104">
        <f t="shared" si="32"/>
        <v>2017</v>
      </c>
      <c r="C104" s="127">
        <f ca="1">'Monthly Data'!F104</f>
        <v>70157146.256710052</v>
      </c>
      <c r="D104">
        <f t="shared" ref="D104:E104" ca="1" si="104">D92</f>
        <v>0.51</v>
      </c>
      <c r="E104">
        <f t="shared" ca="1" si="104"/>
        <v>185.60999999999999</v>
      </c>
      <c r="F104">
        <f t="shared" ref="F104:I104" si="105">F92</f>
        <v>0</v>
      </c>
      <c r="G104">
        <f t="shared" si="105"/>
        <v>0</v>
      </c>
      <c r="H104" s="127">
        <f t="shared" si="94"/>
        <v>31</v>
      </c>
      <c r="I104">
        <f t="shared" si="105"/>
        <v>0</v>
      </c>
      <c r="J104">
        <f t="shared" si="95"/>
        <v>103</v>
      </c>
      <c r="L104">
        <f>'Res OLS Model'!$B$5</f>
        <v>-14695221.8516191</v>
      </c>
      <c r="M104">
        <f ca="1">'Res OLS Model'!$B$6*D104</f>
        <v>12312.497831218983</v>
      </c>
      <c r="N104">
        <f ca="1">'Res OLS Model'!$B$7*E104</f>
        <v>32333241.536264371</v>
      </c>
      <c r="O104">
        <f>'Res OLS Model'!$B$8*F104</f>
        <v>0</v>
      </c>
      <c r="P104">
        <f>'Res OLS Model'!$B$9*G104</f>
        <v>0</v>
      </c>
      <c r="Q104">
        <f>'Res OLS Model'!$B$10*H104</f>
        <v>55859933.6715082</v>
      </c>
      <c r="R104">
        <f>'Res OLS Model'!$B$11*I104</f>
        <v>0</v>
      </c>
      <c r="S104">
        <f>'Res OLS Model'!$B$12*J104</f>
        <v>-1312857.0168214124</v>
      </c>
      <c r="T104">
        <f t="shared" ca="1" si="91"/>
        <v>72197408.83716327</v>
      </c>
    </row>
    <row r="105" spans="1:20">
      <c r="A105" s="26">
        <v>42948</v>
      </c>
      <c r="B105">
        <f t="shared" si="32"/>
        <v>2017</v>
      </c>
      <c r="C105" s="127">
        <f ca="1">'Monthly Data'!F105</f>
        <v>62635034.536710061</v>
      </c>
      <c r="D105">
        <f t="shared" ref="D105:E105" ca="1" si="106">D93</f>
        <v>1.51</v>
      </c>
      <c r="E105">
        <f t="shared" ca="1" si="106"/>
        <v>159.64000000000001</v>
      </c>
      <c r="F105">
        <f t="shared" ref="F105:I105" si="107">F93</f>
        <v>0</v>
      </c>
      <c r="G105">
        <f t="shared" si="107"/>
        <v>0</v>
      </c>
      <c r="H105" s="127">
        <f t="shared" si="94"/>
        <v>31</v>
      </c>
      <c r="I105">
        <f t="shared" si="107"/>
        <v>0</v>
      </c>
      <c r="J105">
        <f t="shared" si="95"/>
        <v>104</v>
      </c>
      <c r="L105">
        <f>'Res OLS Model'!$B$5</f>
        <v>-14695221.8516191</v>
      </c>
      <c r="M105">
        <f ca="1">'Res OLS Model'!$B$6*D105</f>
        <v>36454.650441452286</v>
      </c>
      <c r="N105">
        <f ca="1">'Res OLS Model'!$B$7*E105</f>
        <v>27809270.399489496</v>
      </c>
      <c r="O105">
        <f>'Res OLS Model'!$B$8*F105</f>
        <v>0</v>
      </c>
      <c r="P105">
        <f>'Res OLS Model'!$B$9*G105</f>
        <v>0</v>
      </c>
      <c r="Q105">
        <f>'Res OLS Model'!$B$10*H105</f>
        <v>55859933.6715082</v>
      </c>
      <c r="R105">
        <f>'Res OLS Model'!$B$11*I105</f>
        <v>0</v>
      </c>
      <c r="S105">
        <f>'Res OLS Model'!$B$12*J105</f>
        <v>-1325603.2014507465</v>
      </c>
      <c r="T105">
        <f t="shared" ca="1" si="91"/>
        <v>67684833.668369293</v>
      </c>
    </row>
    <row r="106" spans="1:20">
      <c r="A106" s="26">
        <v>42979</v>
      </c>
      <c r="B106">
        <f t="shared" si="32"/>
        <v>2017</v>
      </c>
      <c r="C106" s="127">
        <f ca="1">'Monthly Data'!F106</f>
        <v>53098958.586710058</v>
      </c>
      <c r="D106">
        <f t="shared" ref="D106:E106" ca="1" si="108">D94</f>
        <v>33.01</v>
      </c>
      <c r="E106">
        <f t="shared" ca="1" si="108"/>
        <v>72.989999999999981</v>
      </c>
      <c r="F106">
        <f t="shared" ref="F106:I106" si="109">F94</f>
        <v>0</v>
      </c>
      <c r="G106">
        <f t="shared" si="109"/>
        <v>1</v>
      </c>
      <c r="H106" s="127">
        <f t="shared" si="94"/>
        <v>30</v>
      </c>
      <c r="I106">
        <f t="shared" si="109"/>
        <v>1</v>
      </c>
      <c r="J106">
        <f t="shared" si="95"/>
        <v>105</v>
      </c>
      <c r="L106">
        <f>'Res OLS Model'!$B$5</f>
        <v>-14695221.8516191</v>
      </c>
      <c r="M106">
        <f ca="1">'Res OLS Model'!$B$6*D106</f>
        <v>796932.45766380127</v>
      </c>
      <c r="N106">
        <f ca="1">'Res OLS Model'!$B$7*E106</f>
        <v>12714849.952760821</v>
      </c>
      <c r="O106">
        <f>'Res OLS Model'!$B$8*F106</f>
        <v>0</v>
      </c>
      <c r="P106">
        <f>'Res OLS Model'!$B$9*G106</f>
        <v>-2399238.63510927</v>
      </c>
      <c r="Q106">
        <f>'Res OLS Model'!$B$10*H106</f>
        <v>54058000.327266</v>
      </c>
      <c r="R106">
        <f>'Res OLS Model'!$B$11*I106</f>
        <v>2497427.94615121</v>
      </c>
      <c r="S106">
        <f>'Res OLS Model'!$B$12*J106</f>
        <v>-1338349.3860800806</v>
      </c>
      <c r="T106">
        <f t="shared" ca="1" si="91"/>
        <v>51634400.811033383</v>
      </c>
    </row>
    <row r="107" spans="1:20">
      <c r="A107" s="26">
        <v>43009</v>
      </c>
      <c r="B107">
        <f t="shared" ref="B107:B133" si="110">YEAR(A107)</f>
        <v>2017</v>
      </c>
      <c r="C107" s="127">
        <f ca="1">'Monthly Data'!F107</f>
        <v>46118064.906710058</v>
      </c>
      <c r="D107">
        <f t="shared" ref="D107:E107" ca="1" si="111">D95</f>
        <v>177.83999999999997</v>
      </c>
      <c r="E107">
        <f t="shared" ca="1" si="111"/>
        <v>10.779999999999998</v>
      </c>
      <c r="F107">
        <f t="shared" ref="F107:I107" si="112">F95</f>
        <v>0</v>
      </c>
      <c r="G107">
        <f t="shared" si="112"/>
        <v>1</v>
      </c>
      <c r="H107" s="127">
        <f t="shared" si="94"/>
        <v>31</v>
      </c>
      <c r="I107">
        <f t="shared" si="112"/>
        <v>0</v>
      </c>
      <c r="J107">
        <f t="shared" si="95"/>
        <v>106</v>
      </c>
      <c r="L107">
        <f>'Res OLS Model'!$B$5</f>
        <v>-14695221.8516191</v>
      </c>
      <c r="M107">
        <f ca="1">'Res OLS Model'!$B$6*D107</f>
        <v>4293440.4202038897</v>
      </c>
      <c r="N107">
        <f ca="1">'Res OLS Model'!$B$7*E107</f>
        <v>1877874.8114914598</v>
      </c>
      <c r="O107">
        <f>'Res OLS Model'!$B$8*F107</f>
        <v>0</v>
      </c>
      <c r="P107">
        <f>'Res OLS Model'!$B$9*G107</f>
        <v>-2399238.63510927</v>
      </c>
      <c r="Q107">
        <f>'Res OLS Model'!$B$10*H107</f>
        <v>55859933.6715082</v>
      </c>
      <c r="R107">
        <f>'Res OLS Model'!$B$11*I107</f>
        <v>0</v>
      </c>
      <c r="S107">
        <f>'Res OLS Model'!$B$12*J107</f>
        <v>-1351095.5707094145</v>
      </c>
      <c r="T107">
        <f t="shared" ca="1" si="91"/>
        <v>43585692.845765762</v>
      </c>
    </row>
    <row r="108" spans="1:20">
      <c r="A108" s="26">
        <v>43040</v>
      </c>
      <c r="B108">
        <f t="shared" si="110"/>
        <v>2017</v>
      </c>
      <c r="C108" s="127">
        <f ca="1">'Monthly Data'!F108</f>
        <v>45341675.606710061</v>
      </c>
      <c r="D108">
        <f t="shared" ref="D108:E108" ca="1" si="113">D96</f>
        <v>361.94999999999993</v>
      </c>
      <c r="E108">
        <f t="shared" ca="1" si="113"/>
        <v>0.05</v>
      </c>
      <c r="F108">
        <f t="shared" ref="F108:I108" si="114">F96</f>
        <v>0</v>
      </c>
      <c r="G108">
        <f t="shared" si="114"/>
        <v>1</v>
      </c>
      <c r="H108" s="127">
        <f t="shared" si="94"/>
        <v>30</v>
      </c>
      <c r="I108">
        <f t="shared" si="114"/>
        <v>0</v>
      </c>
      <c r="J108">
        <f t="shared" si="95"/>
        <v>107</v>
      </c>
      <c r="L108">
        <f>'Res OLS Model'!$B$5</f>
        <v>-14695221.8516191</v>
      </c>
      <c r="M108">
        <f ca="1">'Res OLS Model'!$B$6*D108</f>
        <v>8738252.1372739412</v>
      </c>
      <c r="N108">
        <f ca="1">'Res OLS Model'!$B$7*E108</f>
        <v>8709.9944874371995</v>
      </c>
      <c r="O108">
        <f>'Res OLS Model'!$B$8*F108</f>
        <v>0</v>
      </c>
      <c r="P108">
        <f>'Res OLS Model'!$B$9*G108</f>
        <v>-2399238.63510927</v>
      </c>
      <c r="Q108">
        <f>'Res OLS Model'!$B$10*H108</f>
        <v>54058000.327266</v>
      </c>
      <c r="R108">
        <f>'Res OLS Model'!$B$11*I108</f>
        <v>0</v>
      </c>
      <c r="S108">
        <f>'Res OLS Model'!$B$12*J108</f>
        <v>-1363841.7553387487</v>
      </c>
      <c r="T108">
        <f t="shared" ca="1" si="91"/>
        <v>44346660.216960259</v>
      </c>
    </row>
    <row r="109" spans="1:20">
      <c r="A109" s="26">
        <v>43070</v>
      </c>
      <c r="B109">
        <f t="shared" si="110"/>
        <v>2017</v>
      </c>
      <c r="C109" s="127">
        <f ca="1">'Monthly Data'!F109</f>
        <v>54565027.176710062</v>
      </c>
      <c r="D109">
        <f t="shared" ref="D109:E109" ca="1" si="115">D97</f>
        <v>556.41000000000008</v>
      </c>
      <c r="E109">
        <f t="shared" ca="1" si="115"/>
        <v>0</v>
      </c>
      <c r="F109">
        <f t="shared" ref="F109:I109" si="116">F97</f>
        <v>0</v>
      </c>
      <c r="G109">
        <f t="shared" si="116"/>
        <v>0</v>
      </c>
      <c r="H109" s="127">
        <f t="shared" si="94"/>
        <v>31</v>
      </c>
      <c r="I109">
        <f t="shared" si="116"/>
        <v>0</v>
      </c>
      <c r="J109">
        <f t="shared" si="95"/>
        <v>108</v>
      </c>
      <c r="L109">
        <f>'Res OLS Model'!$B$5</f>
        <v>-14695221.8516191</v>
      </c>
      <c r="M109">
        <f ca="1">'Res OLS Model'!$B$6*D109</f>
        <v>13432935.133859914</v>
      </c>
      <c r="N109">
        <f ca="1">'Res OLS Model'!$B$7*E109</f>
        <v>0</v>
      </c>
      <c r="O109">
        <f>'Res OLS Model'!$B$8*F109</f>
        <v>0</v>
      </c>
      <c r="P109">
        <f>'Res OLS Model'!$B$9*G109</f>
        <v>0</v>
      </c>
      <c r="Q109">
        <f>'Res OLS Model'!$B$10*H109</f>
        <v>55859933.6715082</v>
      </c>
      <c r="R109">
        <f>'Res OLS Model'!$B$11*I109</f>
        <v>0</v>
      </c>
      <c r="S109">
        <f>'Res OLS Model'!$B$12*J109</f>
        <v>-1376587.9399680828</v>
      </c>
      <c r="T109">
        <f t="shared" ca="1" si="91"/>
        <v>53221059.013780937</v>
      </c>
    </row>
    <row r="110" spans="1:20">
      <c r="A110" s="128">
        <v>43101</v>
      </c>
      <c r="B110" s="186">
        <f t="shared" si="110"/>
        <v>2018</v>
      </c>
      <c r="C110" s="186">
        <f ca="1">'Monthly Data'!F110</f>
        <v>56225086.293307021</v>
      </c>
      <c r="D110" s="186">
        <f t="shared" ref="D110:G110" ca="1" si="117">D98</f>
        <v>659.42999999999984</v>
      </c>
      <c r="E110" s="186">
        <f t="shared" ca="1" si="117"/>
        <v>0</v>
      </c>
      <c r="F110" s="186">
        <f t="shared" si="117"/>
        <v>0</v>
      </c>
      <c r="G110" s="186">
        <f t="shared" si="117"/>
        <v>0</v>
      </c>
      <c r="H110" s="186">
        <f t="shared" si="94"/>
        <v>31</v>
      </c>
      <c r="I110" s="186">
        <f t="shared" ref="I110" si="118">I98</f>
        <v>0</v>
      </c>
      <c r="J110" s="186">
        <f t="shared" si="95"/>
        <v>109</v>
      </c>
      <c r="K110" s="186"/>
      <c r="L110" s="186">
        <f>'Res OLS Model'!$B$5</f>
        <v>-14695221.8516191</v>
      </c>
      <c r="M110" s="186">
        <f ca="1">'Res OLS Model'!$B$6*D110</f>
        <v>15920059.695766142</v>
      </c>
      <c r="N110" s="186">
        <f ca="1">'Res OLS Model'!$B$7*E110</f>
        <v>0</v>
      </c>
      <c r="O110" s="186">
        <f>'Res OLS Model'!$B$8*F110</f>
        <v>0</v>
      </c>
      <c r="P110" s="186">
        <f>'Res OLS Model'!$B$9*G110</f>
        <v>0</v>
      </c>
      <c r="Q110" s="186">
        <f>'Res OLS Model'!$B$10*H110</f>
        <v>55859933.6715082</v>
      </c>
      <c r="R110" s="186">
        <f>'Res OLS Model'!$B$11*I110</f>
        <v>0</v>
      </c>
      <c r="S110" s="186">
        <f>'Res OLS Model'!$B$12*J110</f>
        <v>-1389334.124597417</v>
      </c>
      <c r="T110" s="186">
        <f t="shared" ref="T110:T121" ca="1" si="119">SUM(L110:S110)</f>
        <v>55695437.391057827</v>
      </c>
    </row>
    <row r="111" spans="1:20">
      <c r="A111" s="128">
        <v>43132</v>
      </c>
      <c r="B111" s="186">
        <f t="shared" si="110"/>
        <v>2018</v>
      </c>
      <c r="C111" s="186">
        <f ca="1">'Monthly Data'!F111</f>
        <v>47139422.787842415</v>
      </c>
      <c r="D111" s="186">
        <f t="shared" ref="D111:G111" ca="1" si="120">D99</f>
        <v>571.77</v>
      </c>
      <c r="E111" s="186">
        <f t="shared" ca="1" si="120"/>
        <v>0</v>
      </c>
      <c r="F111" s="186">
        <f t="shared" si="120"/>
        <v>0</v>
      </c>
      <c r="G111" s="186">
        <f t="shared" si="120"/>
        <v>0</v>
      </c>
      <c r="H111" s="186">
        <f t="shared" si="94"/>
        <v>28</v>
      </c>
      <c r="I111" s="186">
        <f t="shared" ref="I111" si="121">I99</f>
        <v>0</v>
      </c>
      <c r="J111" s="186">
        <f t="shared" si="95"/>
        <v>110</v>
      </c>
      <c r="K111" s="186"/>
      <c r="L111" s="186">
        <f>'Res OLS Model'!$B$5</f>
        <v>-14695221.8516191</v>
      </c>
      <c r="M111" s="186">
        <f ca="1">'Res OLS Model'!$B$6*D111</f>
        <v>13803758.597953094</v>
      </c>
      <c r="N111" s="186">
        <f ca="1">'Res OLS Model'!$B$7*E111</f>
        <v>0</v>
      </c>
      <c r="O111" s="186">
        <f>'Res OLS Model'!$B$8*F111</f>
        <v>0</v>
      </c>
      <c r="P111" s="186">
        <f>'Res OLS Model'!$B$9*G111</f>
        <v>0</v>
      </c>
      <c r="Q111" s="186">
        <f>'Res OLS Model'!$B$10*H111</f>
        <v>50454133.6387816</v>
      </c>
      <c r="R111" s="186">
        <f>'Res OLS Model'!$B$11*I111</f>
        <v>0</v>
      </c>
      <c r="S111" s="186">
        <f>'Res OLS Model'!$B$12*J111</f>
        <v>-1402080.3092267511</v>
      </c>
      <c r="T111" s="186">
        <f t="shared" ca="1" si="119"/>
        <v>48160590.075888842</v>
      </c>
    </row>
    <row r="112" spans="1:20">
      <c r="A112" s="128">
        <v>43160</v>
      </c>
      <c r="B112" s="186">
        <f t="shared" si="110"/>
        <v>2018</v>
      </c>
      <c r="C112" s="186">
        <f ca="1">'Monthly Data'!F112</f>
        <v>48575569.512237363</v>
      </c>
      <c r="D112" s="186">
        <f t="shared" ref="D112:G112" ca="1" si="122">D100</f>
        <v>456.53999999999996</v>
      </c>
      <c r="E112" s="186">
        <f t="shared" ca="1" si="122"/>
        <v>0.48</v>
      </c>
      <c r="F112" s="186">
        <f t="shared" si="122"/>
        <v>1</v>
      </c>
      <c r="G112" s="186">
        <f t="shared" si="122"/>
        <v>0</v>
      </c>
      <c r="H112" s="186">
        <f t="shared" si="94"/>
        <v>31</v>
      </c>
      <c r="I112" s="186">
        <f t="shared" ref="I112" si="123">I100</f>
        <v>0</v>
      </c>
      <c r="J112" s="186">
        <f t="shared" si="95"/>
        <v>111</v>
      </c>
      <c r="K112" s="186"/>
      <c r="L112" s="186">
        <f>'Res OLS Model'!$B$5</f>
        <v>-14695221.8516191</v>
      </c>
      <c r="M112" s="186">
        <f ca="1">'Res OLS Model'!$B$6*D112</f>
        <v>11021858.352675911</v>
      </c>
      <c r="N112" s="186">
        <f ca="1">'Res OLS Model'!$B$7*E112</f>
        <v>83615.947079397112</v>
      </c>
      <c r="O112" s="186">
        <f>'Res OLS Model'!$B$8*F112</f>
        <v>-4177006.7225933699</v>
      </c>
      <c r="P112" s="186">
        <f>'Res OLS Model'!$B$9*G112</f>
        <v>0</v>
      </c>
      <c r="Q112" s="186">
        <f>'Res OLS Model'!$B$10*H112</f>
        <v>55859933.6715082</v>
      </c>
      <c r="R112" s="186">
        <f>'Res OLS Model'!$B$11*I112</f>
        <v>0</v>
      </c>
      <c r="S112" s="186">
        <f>'Res OLS Model'!$B$12*J112</f>
        <v>-1414826.4938560852</v>
      </c>
      <c r="T112" s="186">
        <f t="shared" ca="1" si="119"/>
        <v>46678352.903194949</v>
      </c>
    </row>
    <row r="113" spans="1:20">
      <c r="A113" s="128">
        <v>43191</v>
      </c>
      <c r="B113" s="186">
        <f t="shared" si="110"/>
        <v>2018</v>
      </c>
      <c r="C113" s="186">
        <f ca="1">'Monthly Data'!F113</f>
        <v>43821696.032611214</v>
      </c>
      <c r="D113" s="186">
        <f t="shared" ref="D113:G113" ca="1" si="124">D101</f>
        <v>248.54999999999995</v>
      </c>
      <c r="E113" s="186">
        <f t="shared" ca="1" si="124"/>
        <v>2.63</v>
      </c>
      <c r="F113" s="186">
        <f t="shared" si="124"/>
        <v>1</v>
      </c>
      <c r="G113" s="186">
        <f t="shared" si="124"/>
        <v>0</v>
      </c>
      <c r="H113" s="186">
        <f t="shared" si="94"/>
        <v>30</v>
      </c>
      <c r="I113" s="186">
        <f t="shared" ref="I113" si="125">I101</f>
        <v>0</v>
      </c>
      <c r="J113" s="186">
        <f t="shared" si="95"/>
        <v>112</v>
      </c>
      <c r="K113" s="186"/>
      <c r="L113" s="186">
        <f>'Res OLS Model'!$B$5</f>
        <v>-14695221.8516191</v>
      </c>
      <c r="M113" s="186">
        <f ca="1">'Res OLS Model'!$B$6*D113</f>
        <v>6000532.0312734861</v>
      </c>
      <c r="N113" s="186">
        <f ca="1">'Res OLS Model'!$B$7*E113</f>
        <v>458145.71003919671</v>
      </c>
      <c r="O113" s="186">
        <f>'Res OLS Model'!$B$8*F113</f>
        <v>-4177006.7225933699</v>
      </c>
      <c r="P113" s="186">
        <f>'Res OLS Model'!$B$9*G113</f>
        <v>0</v>
      </c>
      <c r="Q113" s="186">
        <f>'Res OLS Model'!$B$10*H113</f>
        <v>54058000.327266</v>
      </c>
      <c r="R113" s="186">
        <f>'Res OLS Model'!$B$11*I113</f>
        <v>0</v>
      </c>
      <c r="S113" s="186">
        <f>'Res OLS Model'!$B$12*J113</f>
        <v>-1427572.6784854191</v>
      </c>
      <c r="T113" s="186">
        <f t="shared" ca="1" si="119"/>
        <v>40216876.815880798</v>
      </c>
    </row>
    <row r="114" spans="1:20">
      <c r="A114" s="128">
        <v>43221</v>
      </c>
      <c r="B114" s="186">
        <f t="shared" ref="B114:B121" si="126">YEAR(A114)</f>
        <v>2018</v>
      </c>
      <c r="C114" s="186">
        <f ca="1">'Monthly Data'!F114</f>
        <v>48899921.933677331</v>
      </c>
      <c r="D114" s="186">
        <f t="shared" ref="D114:G114" ca="1" si="127">D102</f>
        <v>92.740000000000009</v>
      </c>
      <c r="E114" s="186">
        <f t="shared" ca="1" si="127"/>
        <v>47.37</v>
      </c>
      <c r="F114" s="186">
        <f t="shared" si="127"/>
        <v>1</v>
      </c>
      <c r="G114" s="186">
        <f t="shared" si="127"/>
        <v>0</v>
      </c>
      <c r="H114" s="186">
        <f t="shared" si="94"/>
        <v>31</v>
      </c>
      <c r="I114" s="186">
        <f t="shared" ref="I114" si="128">I102</f>
        <v>0</v>
      </c>
      <c r="J114" s="186">
        <f t="shared" si="95"/>
        <v>113</v>
      </c>
      <c r="K114" s="186"/>
      <c r="L114" s="186">
        <f>'Res OLS Model'!$B$5</f>
        <v>-14695221.8516191</v>
      </c>
      <c r="M114" s="186">
        <f ca="1">'Res OLS Model'!$B$6*D114</f>
        <v>2238943.2330730367</v>
      </c>
      <c r="N114" s="186">
        <f ca="1">'Res OLS Model'!$B$7*E114</f>
        <v>8251848.7773980023</v>
      </c>
      <c r="O114" s="186">
        <f>'Res OLS Model'!$B$8*F114</f>
        <v>-4177006.7225933699</v>
      </c>
      <c r="P114" s="186">
        <f>'Res OLS Model'!$B$9*G114</f>
        <v>0</v>
      </c>
      <c r="Q114" s="186">
        <f>'Res OLS Model'!$B$10*H114</f>
        <v>55859933.6715082</v>
      </c>
      <c r="R114" s="186">
        <f>'Res OLS Model'!$B$11*I114</f>
        <v>0</v>
      </c>
      <c r="S114" s="186">
        <f>'Res OLS Model'!$B$12*J114</f>
        <v>-1440318.8631147533</v>
      </c>
      <c r="T114" s="186">
        <f t="shared" ca="1" si="119"/>
        <v>46038178.244652018</v>
      </c>
    </row>
    <row r="115" spans="1:20">
      <c r="A115" s="128">
        <v>43252</v>
      </c>
      <c r="B115" s="186">
        <f t="shared" si="126"/>
        <v>2018</v>
      </c>
      <c r="C115" s="186">
        <f ca="1">'Monthly Data'!F115</f>
        <v>66010052.584332302</v>
      </c>
      <c r="D115" s="186">
        <f t="shared" ref="D115:G115" ca="1" si="129">D103</f>
        <v>9.08</v>
      </c>
      <c r="E115" s="186">
        <f t="shared" ca="1" si="129"/>
        <v>117.23999999999997</v>
      </c>
      <c r="F115" s="186">
        <f t="shared" si="129"/>
        <v>0</v>
      </c>
      <c r="G115" s="186">
        <f t="shared" si="129"/>
        <v>0</v>
      </c>
      <c r="H115" s="186">
        <f t="shared" si="94"/>
        <v>30</v>
      </c>
      <c r="I115" s="186">
        <f t="shared" ref="I115" si="130">I103</f>
        <v>0</v>
      </c>
      <c r="J115" s="186">
        <f t="shared" si="95"/>
        <v>114</v>
      </c>
      <c r="K115" s="186"/>
      <c r="L115" s="186">
        <f>'Res OLS Model'!$B$5</f>
        <v>-14695221.8516191</v>
      </c>
      <c r="M115" s="186">
        <f ca="1">'Res OLS Model'!$B$6*D115</f>
        <v>219210.74570091837</v>
      </c>
      <c r="N115" s="186">
        <f ca="1">'Res OLS Model'!$B$7*E115</f>
        <v>20423195.074142739</v>
      </c>
      <c r="O115" s="186">
        <f>'Res OLS Model'!$B$8*F115</f>
        <v>0</v>
      </c>
      <c r="P115" s="186">
        <f>'Res OLS Model'!$B$9*G115</f>
        <v>0</v>
      </c>
      <c r="Q115" s="186">
        <f>'Res OLS Model'!$B$10*H115</f>
        <v>54058000.327266</v>
      </c>
      <c r="R115" s="186">
        <f>'Res OLS Model'!$B$11*I115</f>
        <v>0</v>
      </c>
      <c r="S115" s="186">
        <f>'Res OLS Model'!$B$12*J115</f>
        <v>-1453065.0477440874</v>
      </c>
      <c r="T115" s="186">
        <f t="shared" ca="1" si="119"/>
        <v>58552119.247746468</v>
      </c>
    </row>
    <row r="116" spans="1:20">
      <c r="A116" s="128">
        <v>43282</v>
      </c>
      <c r="B116" s="186">
        <f t="shared" si="126"/>
        <v>2018</v>
      </c>
      <c r="C116" s="186">
        <f ca="1">'Monthly Data'!F116</f>
        <v>78572912.328857943</v>
      </c>
      <c r="D116" s="186">
        <f t="shared" ref="D116:G116" ca="1" si="131">D104</f>
        <v>0.51</v>
      </c>
      <c r="E116" s="186">
        <f t="shared" ca="1" si="131"/>
        <v>185.60999999999999</v>
      </c>
      <c r="F116" s="186">
        <f t="shared" si="131"/>
        <v>0</v>
      </c>
      <c r="G116" s="186">
        <f t="shared" si="131"/>
        <v>0</v>
      </c>
      <c r="H116" s="186">
        <f t="shared" si="94"/>
        <v>31</v>
      </c>
      <c r="I116" s="186">
        <f t="shared" ref="I116" si="132">I104</f>
        <v>0</v>
      </c>
      <c r="J116" s="186">
        <f t="shared" si="95"/>
        <v>115</v>
      </c>
      <c r="K116" s="186"/>
      <c r="L116" s="186">
        <f>'Res OLS Model'!$B$5</f>
        <v>-14695221.8516191</v>
      </c>
      <c r="M116" s="186">
        <f ca="1">'Res OLS Model'!$B$6*D116</f>
        <v>12312.497831218983</v>
      </c>
      <c r="N116" s="186">
        <f ca="1">'Res OLS Model'!$B$7*E116</f>
        <v>32333241.536264371</v>
      </c>
      <c r="O116" s="186">
        <f>'Res OLS Model'!$B$8*F116</f>
        <v>0</v>
      </c>
      <c r="P116" s="186">
        <f>'Res OLS Model'!$B$9*G116</f>
        <v>0</v>
      </c>
      <c r="Q116" s="186">
        <f>'Res OLS Model'!$B$10*H116</f>
        <v>55859933.6715082</v>
      </c>
      <c r="R116" s="186">
        <f>'Res OLS Model'!$B$11*I116</f>
        <v>0</v>
      </c>
      <c r="S116" s="186">
        <f>'Res OLS Model'!$B$12*J116</f>
        <v>-1465811.2323734215</v>
      </c>
      <c r="T116" s="186">
        <f t="shared" ca="1" si="119"/>
        <v>72044454.621611267</v>
      </c>
    </row>
    <row r="117" spans="1:20">
      <c r="A117" s="128">
        <v>43313</v>
      </c>
      <c r="B117" s="186">
        <f t="shared" si="126"/>
        <v>2018</v>
      </c>
      <c r="C117" s="186">
        <f ca="1">'Monthly Data'!F117</f>
        <v>75820147.472080186</v>
      </c>
      <c r="D117" s="186">
        <f t="shared" ref="D117:G117" ca="1" si="133">D105</f>
        <v>1.51</v>
      </c>
      <c r="E117" s="186">
        <f t="shared" ca="1" si="133"/>
        <v>159.64000000000001</v>
      </c>
      <c r="F117" s="186">
        <f t="shared" si="133"/>
        <v>0</v>
      </c>
      <c r="G117" s="186">
        <f t="shared" si="133"/>
        <v>0</v>
      </c>
      <c r="H117" s="186">
        <f t="shared" si="94"/>
        <v>31</v>
      </c>
      <c r="I117" s="186">
        <f t="shared" ref="I117" si="134">I105</f>
        <v>0</v>
      </c>
      <c r="J117" s="186">
        <f t="shared" si="95"/>
        <v>116</v>
      </c>
      <c r="K117" s="186"/>
      <c r="L117" s="186">
        <f>'Res OLS Model'!$B$5</f>
        <v>-14695221.8516191</v>
      </c>
      <c r="M117" s="186">
        <f ca="1">'Res OLS Model'!$B$6*D117</f>
        <v>36454.650441452286</v>
      </c>
      <c r="N117" s="186">
        <f ca="1">'Res OLS Model'!$B$7*E117</f>
        <v>27809270.399489496</v>
      </c>
      <c r="O117" s="186">
        <f>'Res OLS Model'!$B$8*F117</f>
        <v>0</v>
      </c>
      <c r="P117" s="186">
        <f>'Res OLS Model'!$B$9*G117</f>
        <v>0</v>
      </c>
      <c r="Q117" s="186">
        <f>'Res OLS Model'!$B$10*H117</f>
        <v>55859933.6715082</v>
      </c>
      <c r="R117" s="186">
        <f>'Res OLS Model'!$B$11*I117</f>
        <v>0</v>
      </c>
      <c r="S117" s="186">
        <f>'Res OLS Model'!$B$12*J117</f>
        <v>-1478557.4170027557</v>
      </c>
      <c r="T117" s="186">
        <f t="shared" ca="1" si="119"/>
        <v>67531879.452817291</v>
      </c>
    </row>
    <row r="118" spans="1:20">
      <c r="A118" s="128">
        <v>43344</v>
      </c>
      <c r="B118" s="186">
        <f t="shared" si="126"/>
        <v>2018</v>
      </c>
      <c r="C118" s="186">
        <f ca="1">'Monthly Data'!F118</f>
        <v>59545277.389431417</v>
      </c>
      <c r="D118" s="186">
        <f t="shared" ref="D118:G118" ca="1" si="135">D106</f>
        <v>33.01</v>
      </c>
      <c r="E118" s="186">
        <f t="shared" ca="1" si="135"/>
        <v>72.989999999999981</v>
      </c>
      <c r="F118" s="186">
        <f t="shared" si="135"/>
        <v>0</v>
      </c>
      <c r="G118" s="186">
        <f t="shared" si="135"/>
        <v>1</v>
      </c>
      <c r="H118" s="186">
        <f t="shared" si="94"/>
        <v>30</v>
      </c>
      <c r="I118" s="186">
        <f t="shared" ref="I118" si="136">I106</f>
        <v>1</v>
      </c>
      <c r="J118" s="186">
        <f t="shared" si="95"/>
        <v>117</v>
      </c>
      <c r="K118" s="186"/>
      <c r="L118" s="186">
        <f>'Res OLS Model'!$B$5</f>
        <v>-14695221.8516191</v>
      </c>
      <c r="M118" s="186">
        <f ca="1">'Res OLS Model'!$B$6*D118</f>
        <v>796932.45766380127</v>
      </c>
      <c r="N118" s="186">
        <f ca="1">'Res OLS Model'!$B$7*E118</f>
        <v>12714849.952760821</v>
      </c>
      <c r="O118" s="186">
        <f>'Res OLS Model'!$B$8*F118</f>
        <v>0</v>
      </c>
      <c r="P118" s="186">
        <f>'Res OLS Model'!$B$9*G118</f>
        <v>-2399238.63510927</v>
      </c>
      <c r="Q118" s="186">
        <f>'Res OLS Model'!$B$10*H118</f>
        <v>54058000.327266</v>
      </c>
      <c r="R118" s="186">
        <f>'Res OLS Model'!$B$11*I118</f>
        <v>2497427.94615121</v>
      </c>
      <c r="S118" s="186">
        <f>'Res OLS Model'!$B$12*J118</f>
        <v>-1491303.6016320898</v>
      </c>
      <c r="T118" s="186">
        <f t="shared" ca="1" si="119"/>
        <v>51481446.595481373</v>
      </c>
    </row>
    <row r="119" spans="1:20">
      <c r="A119" s="128">
        <v>43374</v>
      </c>
      <c r="B119" s="186">
        <f t="shared" si="126"/>
        <v>2018</v>
      </c>
      <c r="C119" s="186">
        <f ca="1">'Monthly Data'!F119</f>
        <v>46605104.794214346</v>
      </c>
      <c r="D119" s="186">
        <f t="shared" ref="D119:G119" ca="1" si="137">D107</f>
        <v>177.83999999999997</v>
      </c>
      <c r="E119" s="186">
        <f t="shared" ca="1" si="137"/>
        <v>10.779999999999998</v>
      </c>
      <c r="F119" s="186">
        <f t="shared" si="137"/>
        <v>0</v>
      </c>
      <c r="G119" s="186">
        <f t="shared" si="137"/>
        <v>1</v>
      </c>
      <c r="H119" s="186">
        <f t="shared" si="94"/>
        <v>31</v>
      </c>
      <c r="I119" s="186">
        <f t="shared" ref="I119" si="138">I107</f>
        <v>0</v>
      </c>
      <c r="J119" s="186">
        <f t="shared" si="95"/>
        <v>118</v>
      </c>
      <c r="K119" s="186"/>
      <c r="L119" s="186">
        <f>'Res OLS Model'!$B$5</f>
        <v>-14695221.8516191</v>
      </c>
      <c r="M119" s="186">
        <f ca="1">'Res OLS Model'!$B$6*D119</f>
        <v>4293440.4202038897</v>
      </c>
      <c r="N119" s="186">
        <f ca="1">'Res OLS Model'!$B$7*E119</f>
        <v>1877874.8114914598</v>
      </c>
      <c r="O119" s="186">
        <f>'Res OLS Model'!$B$8*F119</f>
        <v>0</v>
      </c>
      <c r="P119" s="186">
        <f>'Res OLS Model'!$B$9*G119</f>
        <v>-2399238.63510927</v>
      </c>
      <c r="Q119" s="186">
        <f>'Res OLS Model'!$B$10*H119</f>
        <v>55859933.6715082</v>
      </c>
      <c r="R119" s="186">
        <f>'Res OLS Model'!$B$11*I119</f>
        <v>0</v>
      </c>
      <c r="S119" s="186">
        <f>'Res OLS Model'!$B$12*J119</f>
        <v>-1504049.786261424</v>
      </c>
      <c r="T119" s="186">
        <f t="shared" ca="1" si="119"/>
        <v>43432738.630213752</v>
      </c>
    </row>
    <row r="120" spans="1:20">
      <c r="A120" s="128">
        <v>43405</v>
      </c>
      <c r="B120" s="186">
        <f t="shared" si="126"/>
        <v>2018</v>
      </c>
      <c r="C120" s="186">
        <f ca="1">'Monthly Data'!F120</f>
        <v>47874988.187957972</v>
      </c>
      <c r="D120" s="186">
        <f t="shared" ref="D120:G120" ca="1" si="139">D108</f>
        <v>361.94999999999993</v>
      </c>
      <c r="E120" s="186">
        <f t="shared" ca="1" si="139"/>
        <v>0.05</v>
      </c>
      <c r="F120" s="186">
        <f t="shared" si="139"/>
        <v>0</v>
      </c>
      <c r="G120" s="186">
        <f t="shared" si="139"/>
        <v>1</v>
      </c>
      <c r="H120" s="186">
        <f t="shared" si="94"/>
        <v>30</v>
      </c>
      <c r="I120" s="186">
        <f t="shared" ref="I120" si="140">I108</f>
        <v>0</v>
      </c>
      <c r="J120" s="186">
        <f t="shared" si="95"/>
        <v>119</v>
      </c>
      <c r="K120" s="186"/>
      <c r="L120" s="186">
        <f>'Res OLS Model'!$B$5</f>
        <v>-14695221.8516191</v>
      </c>
      <c r="M120" s="186">
        <f ca="1">'Res OLS Model'!$B$6*D120</f>
        <v>8738252.1372739412</v>
      </c>
      <c r="N120" s="186">
        <f ca="1">'Res OLS Model'!$B$7*E120</f>
        <v>8709.9944874371995</v>
      </c>
      <c r="O120" s="186">
        <f>'Res OLS Model'!$B$8*F120</f>
        <v>0</v>
      </c>
      <c r="P120" s="186">
        <f>'Res OLS Model'!$B$9*G120</f>
        <v>-2399238.63510927</v>
      </c>
      <c r="Q120" s="186">
        <f>'Res OLS Model'!$B$10*H120</f>
        <v>54058000.327266</v>
      </c>
      <c r="R120" s="186">
        <f>'Res OLS Model'!$B$11*I120</f>
        <v>0</v>
      </c>
      <c r="S120" s="186">
        <f>'Res OLS Model'!$B$12*J120</f>
        <v>-1516795.9708907579</v>
      </c>
      <c r="T120" s="186">
        <f t="shared" ca="1" si="119"/>
        <v>44193706.001408249</v>
      </c>
    </row>
    <row r="121" spans="1:20">
      <c r="A121" s="128">
        <v>43435</v>
      </c>
      <c r="B121" s="186">
        <f t="shared" si="126"/>
        <v>2018</v>
      </c>
      <c r="C121" s="186">
        <f ca="1">'Monthly Data'!F121</f>
        <v>52725596.952190973</v>
      </c>
      <c r="D121" s="186">
        <f t="shared" ref="D121:G121" ca="1" si="141">D109</f>
        <v>556.41000000000008</v>
      </c>
      <c r="E121" s="186">
        <f t="shared" ca="1" si="141"/>
        <v>0</v>
      </c>
      <c r="F121" s="186">
        <f t="shared" si="141"/>
        <v>0</v>
      </c>
      <c r="G121" s="186">
        <f t="shared" si="141"/>
        <v>0</v>
      </c>
      <c r="H121" s="186">
        <f t="shared" si="94"/>
        <v>31</v>
      </c>
      <c r="I121" s="186">
        <f t="shared" ref="I121" si="142">I109</f>
        <v>0</v>
      </c>
      <c r="J121" s="186">
        <f t="shared" si="95"/>
        <v>120</v>
      </c>
      <c r="K121" s="186"/>
      <c r="L121" s="186">
        <f>'Res OLS Model'!$B$5</f>
        <v>-14695221.8516191</v>
      </c>
      <c r="M121" s="186">
        <f ca="1">'Res OLS Model'!$B$6*D121</f>
        <v>13432935.133859914</v>
      </c>
      <c r="N121" s="186">
        <f ca="1">'Res OLS Model'!$B$7*E121</f>
        <v>0</v>
      </c>
      <c r="O121" s="186">
        <f>'Res OLS Model'!$B$8*F121</f>
        <v>0</v>
      </c>
      <c r="P121" s="186">
        <f>'Res OLS Model'!$B$9*G121</f>
        <v>0</v>
      </c>
      <c r="Q121" s="186">
        <f>'Res OLS Model'!$B$10*H121</f>
        <v>55859933.6715082</v>
      </c>
      <c r="R121" s="186">
        <f>'Res OLS Model'!$B$11*I121</f>
        <v>0</v>
      </c>
      <c r="S121" s="186">
        <f>'Res OLS Model'!$B$12*J121</f>
        <v>-1529542.155520092</v>
      </c>
      <c r="T121" s="186">
        <f t="shared" ca="1" si="119"/>
        <v>53068104.798228927</v>
      </c>
    </row>
    <row r="122" spans="1:20">
      <c r="A122" s="26">
        <v>43466</v>
      </c>
      <c r="B122">
        <f t="shared" si="110"/>
        <v>2019</v>
      </c>
      <c r="D122">
        <f t="shared" ref="D122:E122" ca="1" si="143">D110</f>
        <v>659.42999999999984</v>
      </c>
      <c r="E122">
        <f t="shared" ca="1" si="143"/>
        <v>0</v>
      </c>
      <c r="F122">
        <f t="shared" ref="F122:I122" si="144">F110</f>
        <v>0</v>
      </c>
      <c r="G122">
        <f t="shared" si="144"/>
        <v>0</v>
      </c>
      <c r="H122" s="127">
        <f t="shared" si="94"/>
        <v>31</v>
      </c>
      <c r="I122">
        <f t="shared" si="144"/>
        <v>0</v>
      </c>
      <c r="J122">
        <f t="shared" si="95"/>
        <v>121</v>
      </c>
      <c r="L122">
        <f>'Res OLS Model'!$B$5</f>
        <v>-14695221.8516191</v>
      </c>
      <c r="M122">
        <f ca="1">'Res OLS Model'!$B$6*D122</f>
        <v>15920059.695766142</v>
      </c>
      <c r="N122">
        <f ca="1">'Res OLS Model'!$B$7*E122</f>
        <v>0</v>
      </c>
      <c r="O122">
        <f>'Res OLS Model'!$B$8*F122</f>
        <v>0</v>
      </c>
      <c r="P122">
        <f>'Res OLS Model'!$B$9*G122</f>
        <v>0</v>
      </c>
      <c r="Q122">
        <f>'Res OLS Model'!$B$10*H122</f>
        <v>55859933.6715082</v>
      </c>
      <c r="R122">
        <f>'Res OLS Model'!$B$11*I122</f>
        <v>0</v>
      </c>
      <c r="S122">
        <f>'Res OLS Model'!$B$12*J122</f>
        <v>-1542288.3401494261</v>
      </c>
      <c r="T122">
        <f t="shared" ca="1" si="91"/>
        <v>55542483.175505817</v>
      </c>
    </row>
    <row r="123" spans="1:20">
      <c r="A123" s="26">
        <v>43497</v>
      </c>
      <c r="B123">
        <f t="shared" si="110"/>
        <v>2019</v>
      </c>
      <c r="D123">
        <f t="shared" ref="D123:E123" ca="1" si="145">D111</f>
        <v>571.77</v>
      </c>
      <c r="E123">
        <f t="shared" ca="1" si="145"/>
        <v>0</v>
      </c>
      <c r="F123">
        <f t="shared" ref="F123:I123" si="146">F111</f>
        <v>0</v>
      </c>
      <c r="G123">
        <f t="shared" si="146"/>
        <v>0</v>
      </c>
      <c r="H123" s="127">
        <f t="shared" si="94"/>
        <v>28</v>
      </c>
      <c r="I123">
        <f t="shared" si="146"/>
        <v>0</v>
      </c>
      <c r="J123">
        <f t="shared" si="95"/>
        <v>122</v>
      </c>
      <c r="L123">
        <f>'Res OLS Model'!$B$5</f>
        <v>-14695221.8516191</v>
      </c>
      <c r="M123">
        <f ca="1">'Res OLS Model'!$B$6*D123</f>
        <v>13803758.597953094</v>
      </c>
      <c r="N123">
        <f ca="1">'Res OLS Model'!$B$7*E123</f>
        <v>0</v>
      </c>
      <c r="O123">
        <f>'Res OLS Model'!$B$8*F123</f>
        <v>0</v>
      </c>
      <c r="P123">
        <f>'Res OLS Model'!$B$9*G123</f>
        <v>0</v>
      </c>
      <c r="Q123">
        <f>'Res OLS Model'!$B$10*H123</f>
        <v>50454133.6387816</v>
      </c>
      <c r="R123">
        <f>'Res OLS Model'!$B$11*I123</f>
        <v>0</v>
      </c>
      <c r="S123">
        <f>'Res OLS Model'!$B$12*J123</f>
        <v>-1555034.5247787603</v>
      </c>
      <c r="T123">
        <f t="shared" ca="1" si="91"/>
        <v>48007635.860336833</v>
      </c>
    </row>
    <row r="124" spans="1:20">
      <c r="A124" s="26">
        <v>43525</v>
      </c>
      <c r="B124">
        <f t="shared" si="110"/>
        <v>2019</v>
      </c>
      <c r="D124">
        <f t="shared" ref="D124:E124" ca="1" si="147">D112</f>
        <v>456.53999999999996</v>
      </c>
      <c r="E124">
        <f t="shared" ca="1" si="147"/>
        <v>0.48</v>
      </c>
      <c r="F124">
        <f t="shared" ref="F124:I124" si="148">F112</f>
        <v>1</v>
      </c>
      <c r="G124">
        <f t="shared" si="148"/>
        <v>0</v>
      </c>
      <c r="H124" s="127">
        <f t="shared" si="94"/>
        <v>31</v>
      </c>
      <c r="I124">
        <f t="shared" si="148"/>
        <v>0</v>
      </c>
      <c r="J124">
        <f t="shared" si="95"/>
        <v>123</v>
      </c>
      <c r="L124">
        <f>'Res OLS Model'!$B$5</f>
        <v>-14695221.8516191</v>
      </c>
      <c r="M124">
        <f ca="1">'Res OLS Model'!$B$6*D124</f>
        <v>11021858.352675911</v>
      </c>
      <c r="N124">
        <f ca="1">'Res OLS Model'!$B$7*E124</f>
        <v>83615.947079397112</v>
      </c>
      <c r="O124">
        <f>'Res OLS Model'!$B$8*F124</f>
        <v>-4177006.7225933699</v>
      </c>
      <c r="P124">
        <f>'Res OLS Model'!$B$9*G124</f>
        <v>0</v>
      </c>
      <c r="Q124">
        <f>'Res OLS Model'!$B$10*H124</f>
        <v>55859933.6715082</v>
      </c>
      <c r="R124">
        <f>'Res OLS Model'!$B$11*I124</f>
        <v>0</v>
      </c>
      <c r="S124">
        <f>'Res OLS Model'!$B$12*J124</f>
        <v>-1567780.7094080944</v>
      </c>
      <c r="T124">
        <f t="shared" ca="1" si="91"/>
        <v>46525398.687642939</v>
      </c>
    </row>
    <row r="125" spans="1:20">
      <c r="A125" s="26">
        <v>43556</v>
      </c>
      <c r="B125">
        <f t="shared" si="110"/>
        <v>2019</v>
      </c>
      <c r="D125">
        <f t="shared" ref="D125:E125" ca="1" si="149">D113</f>
        <v>248.54999999999995</v>
      </c>
      <c r="E125">
        <f t="shared" ca="1" si="149"/>
        <v>2.63</v>
      </c>
      <c r="F125">
        <f t="shared" ref="F125:I125" si="150">F113</f>
        <v>1</v>
      </c>
      <c r="G125">
        <f t="shared" si="150"/>
        <v>0</v>
      </c>
      <c r="H125" s="127">
        <f t="shared" si="94"/>
        <v>30</v>
      </c>
      <c r="I125">
        <f t="shared" si="150"/>
        <v>0</v>
      </c>
      <c r="J125">
        <f t="shared" si="95"/>
        <v>124</v>
      </c>
      <c r="L125">
        <f>'Res OLS Model'!$B$5</f>
        <v>-14695221.8516191</v>
      </c>
      <c r="M125">
        <f ca="1">'Res OLS Model'!$B$6*D125</f>
        <v>6000532.0312734861</v>
      </c>
      <c r="N125">
        <f ca="1">'Res OLS Model'!$B$7*E125</f>
        <v>458145.71003919671</v>
      </c>
      <c r="O125">
        <f>'Res OLS Model'!$B$8*F125</f>
        <v>-4177006.7225933699</v>
      </c>
      <c r="P125">
        <f>'Res OLS Model'!$B$9*G125</f>
        <v>0</v>
      </c>
      <c r="Q125">
        <f>'Res OLS Model'!$B$10*H125</f>
        <v>54058000.327266</v>
      </c>
      <c r="R125">
        <f>'Res OLS Model'!$B$11*I125</f>
        <v>0</v>
      </c>
      <c r="S125">
        <f>'Res OLS Model'!$B$12*J125</f>
        <v>-1580526.8940374285</v>
      </c>
      <c r="T125">
        <f t="shared" ca="1" si="91"/>
        <v>40063922.600328788</v>
      </c>
    </row>
    <row r="126" spans="1:20">
      <c r="A126" s="26">
        <v>43586</v>
      </c>
      <c r="B126">
        <f t="shared" si="110"/>
        <v>2019</v>
      </c>
      <c r="D126">
        <f t="shared" ref="D126:E126" ca="1" si="151">D114</f>
        <v>92.740000000000009</v>
      </c>
      <c r="E126">
        <f t="shared" ca="1" si="151"/>
        <v>47.37</v>
      </c>
      <c r="F126">
        <f t="shared" ref="F126:I126" si="152">F114</f>
        <v>1</v>
      </c>
      <c r="G126">
        <f t="shared" si="152"/>
        <v>0</v>
      </c>
      <c r="H126" s="127">
        <f t="shared" si="94"/>
        <v>31</v>
      </c>
      <c r="I126">
        <f t="shared" si="152"/>
        <v>0</v>
      </c>
      <c r="J126">
        <f t="shared" si="95"/>
        <v>125</v>
      </c>
      <c r="L126">
        <f>'Res OLS Model'!$B$5</f>
        <v>-14695221.8516191</v>
      </c>
      <c r="M126">
        <f ca="1">'Res OLS Model'!$B$6*D126</f>
        <v>2238943.2330730367</v>
      </c>
      <c r="N126">
        <f ca="1">'Res OLS Model'!$B$7*E126</f>
        <v>8251848.7773980023</v>
      </c>
      <c r="O126">
        <f>'Res OLS Model'!$B$8*F126</f>
        <v>-4177006.7225933699</v>
      </c>
      <c r="P126">
        <f>'Res OLS Model'!$B$9*G126</f>
        <v>0</v>
      </c>
      <c r="Q126">
        <f>'Res OLS Model'!$B$10*H126</f>
        <v>55859933.6715082</v>
      </c>
      <c r="R126">
        <f>'Res OLS Model'!$B$11*I126</f>
        <v>0</v>
      </c>
      <c r="S126">
        <f>'Res OLS Model'!$B$12*J126</f>
        <v>-1593273.0786667624</v>
      </c>
      <c r="T126">
        <f t="shared" ca="1" si="91"/>
        <v>45885224.029100008</v>
      </c>
    </row>
    <row r="127" spans="1:20">
      <c r="A127" s="26">
        <v>43617</v>
      </c>
      <c r="B127">
        <f t="shared" si="110"/>
        <v>2019</v>
      </c>
      <c r="D127">
        <f t="shared" ref="D127:E127" ca="1" si="153">D115</f>
        <v>9.08</v>
      </c>
      <c r="E127">
        <f t="shared" ca="1" si="153"/>
        <v>117.23999999999997</v>
      </c>
      <c r="F127">
        <f t="shared" ref="F127:I127" si="154">F115</f>
        <v>0</v>
      </c>
      <c r="G127">
        <f t="shared" si="154"/>
        <v>0</v>
      </c>
      <c r="H127" s="127">
        <f t="shared" si="94"/>
        <v>30</v>
      </c>
      <c r="I127">
        <f t="shared" si="154"/>
        <v>0</v>
      </c>
      <c r="J127">
        <f t="shared" si="95"/>
        <v>126</v>
      </c>
      <c r="L127">
        <f>'Res OLS Model'!$B$5</f>
        <v>-14695221.8516191</v>
      </c>
      <c r="M127">
        <f ca="1">'Res OLS Model'!$B$6*D127</f>
        <v>219210.74570091837</v>
      </c>
      <c r="N127">
        <f ca="1">'Res OLS Model'!$B$7*E127</f>
        <v>20423195.074142739</v>
      </c>
      <c r="O127">
        <f>'Res OLS Model'!$B$8*F127</f>
        <v>0</v>
      </c>
      <c r="P127">
        <f>'Res OLS Model'!$B$9*G127</f>
        <v>0</v>
      </c>
      <c r="Q127">
        <f>'Res OLS Model'!$B$10*H127</f>
        <v>54058000.327266</v>
      </c>
      <c r="R127">
        <f>'Res OLS Model'!$B$11*I127</f>
        <v>0</v>
      </c>
      <c r="S127">
        <f>'Res OLS Model'!$B$12*J127</f>
        <v>-1606019.2632960966</v>
      </c>
      <c r="T127">
        <f t="shared" ca="1" si="91"/>
        <v>58399165.032194458</v>
      </c>
    </row>
    <row r="128" spans="1:20">
      <c r="A128" s="26">
        <v>43647</v>
      </c>
      <c r="B128">
        <f t="shared" si="110"/>
        <v>2019</v>
      </c>
      <c r="D128">
        <f t="shared" ref="D128:E128" ca="1" si="155">D116</f>
        <v>0.51</v>
      </c>
      <c r="E128">
        <f t="shared" ca="1" si="155"/>
        <v>185.60999999999999</v>
      </c>
      <c r="F128">
        <f t="shared" ref="F128:I128" si="156">F116</f>
        <v>0</v>
      </c>
      <c r="G128">
        <f t="shared" si="156"/>
        <v>0</v>
      </c>
      <c r="H128" s="127">
        <f t="shared" si="94"/>
        <v>31</v>
      </c>
      <c r="I128">
        <f t="shared" si="156"/>
        <v>0</v>
      </c>
      <c r="J128">
        <f t="shared" si="95"/>
        <v>127</v>
      </c>
      <c r="L128">
        <f>'Res OLS Model'!$B$5</f>
        <v>-14695221.8516191</v>
      </c>
      <c r="M128">
        <f ca="1">'Res OLS Model'!$B$6*D128</f>
        <v>12312.497831218983</v>
      </c>
      <c r="N128">
        <f ca="1">'Res OLS Model'!$B$7*E128</f>
        <v>32333241.536264371</v>
      </c>
      <c r="O128">
        <f>'Res OLS Model'!$B$8*F128</f>
        <v>0</v>
      </c>
      <c r="P128">
        <f>'Res OLS Model'!$B$9*G128</f>
        <v>0</v>
      </c>
      <c r="Q128">
        <f>'Res OLS Model'!$B$10*H128</f>
        <v>55859933.6715082</v>
      </c>
      <c r="R128">
        <f>'Res OLS Model'!$B$11*I128</f>
        <v>0</v>
      </c>
      <c r="S128">
        <f>'Res OLS Model'!$B$12*J128</f>
        <v>-1618765.4479254307</v>
      </c>
      <c r="T128">
        <f t="shared" ca="1" si="91"/>
        <v>71891500.40605925</v>
      </c>
    </row>
    <row r="129" spans="1:20">
      <c r="A129" s="26">
        <v>43678</v>
      </c>
      <c r="B129">
        <f t="shared" si="110"/>
        <v>2019</v>
      </c>
      <c r="D129">
        <f t="shared" ref="D129:E129" ca="1" si="157">D117</f>
        <v>1.51</v>
      </c>
      <c r="E129">
        <f t="shared" ca="1" si="157"/>
        <v>159.64000000000001</v>
      </c>
      <c r="F129">
        <f t="shared" ref="F129:I129" si="158">F117</f>
        <v>0</v>
      </c>
      <c r="G129">
        <f t="shared" si="158"/>
        <v>0</v>
      </c>
      <c r="H129" s="127">
        <f t="shared" si="94"/>
        <v>31</v>
      </c>
      <c r="I129">
        <f t="shared" si="158"/>
        <v>0</v>
      </c>
      <c r="J129">
        <f t="shared" si="95"/>
        <v>128</v>
      </c>
      <c r="L129">
        <f>'Res OLS Model'!$B$5</f>
        <v>-14695221.8516191</v>
      </c>
      <c r="M129">
        <f ca="1">'Res OLS Model'!$B$6*D129</f>
        <v>36454.650441452286</v>
      </c>
      <c r="N129">
        <f ca="1">'Res OLS Model'!$B$7*E129</f>
        <v>27809270.399489496</v>
      </c>
      <c r="O129">
        <f>'Res OLS Model'!$B$8*F129</f>
        <v>0</v>
      </c>
      <c r="P129">
        <f>'Res OLS Model'!$B$9*G129</f>
        <v>0</v>
      </c>
      <c r="Q129">
        <f>'Res OLS Model'!$B$10*H129</f>
        <v>55859933.6715082</v>
      </c>
      <c r="R129">
        <f>'Res OLS Model'!$B$11*I129</f>
        <v>0</v>
      </c>
      <c r="S129">
        <f>'Res OLS Model'!$B$12*J129</f>
        <v>-1631511.6325547649</v>
      </c>
      <c r="T129">
        <f t="shared" ca="1" si="91"/>
        <v>67378925.237265274</v>
      </c>
    </row>
    <row r="130" spans="1:20">
      <c r="A130" s="26">
        <v>43709</v>
      </c>
      <c r="B130">
        <f t="shared" si="110"/>
        <v>2019</v>
      </c>
      <c r="D130">
        <f t="shared" ref="D130:E130" ca="1" si="159">D118</f>
        <v>33.01</v>
      </c>
      <c r="E130">
        <f t="shared" ca="1" si="159"/>
        <v>72.989999999999981</v>
      </c>
      <c r="F130">
        <f t="shared" ref="F130:I130" si="160">F118</f>
        <v>0</v>
      </c>
      <c r="G130">
        <f t="shared" si="160"/>
        <v>1</v>
      </c>
      <c r="H130" s="127">
        <f t="shared" si="94"/>
        <v>30</v>
      </c>
      <c r="I130">
        <f t="shared" si="160"/>
        <v>1</v>
      </c>
      <c r="J130">
        <f t="shared" si="95"/>
        <v>129</v>
      </c>
      <c r="L130">
        <f>'Res OLS Model'!$B$5</f>
        <v>-14695221.8516191</v>
      </c>
      <c r="M130">
        <f ca="1">'Res OLS Model'!$B$6*D130</f>
        <v>796932.45766380127</v>
      </c>
      <c r="N130">
        <f ca="1">'Res OLS Model'!$B$7*E130</f>
        <v>12714849.952760821</v>
      </c>
      <c r="O130">
        <f>'Res OLS Model'!$B$8*F130</f>
        <v>0</v>
      </c>
      <c r="P130">
        <f>'Res OLS Model'!$B$9*G130</f>
        <v>-2399238.63510927</v>
      </c>
      <c r="Q130">
        <f>'Res OLS Model'!$B$10*H130</f>
        <v>54058000.327266</v>
      </c>
      <c r="R130">
        <f>'Res OLS Model'!$B$11*I130</f>
        <v>2497427.94615121</v>
      </c>
      <c r="S130">
        <f>'Res OLS Model'!$B$12*J130</f>
        <v>-1644257.817184099</v>
      </c>
      <c r="T130">
        <f t="shared" ca="1" si="91"/>
        <v>51328492.379929364</v>
      </c>
    </row>
    <row r="131" spans="1:20">
      <c r="A131" s="26">
        <v>43739</v>
      </c>
      <c r="B131">
        <f t="shared" si="110"/>
        <v>2019</v>
      </c>
      <c r="D131">
        <f t="shared" ref="D131:E131" ca="1" si="161">D119</f>
        <v>177.83999999999997</v>
      </c>
      <c r="E131">
        <f t="shared" ca="1" si="161"/>
        <v>10.779999999999998</v>
      </c>
      <c r="F131">
        <f t="shared" ref="F131:I131" si="162">F119</f>
        <v>0</v>
      </c>
      <c r="G131">
        <f t="shared" si="162"/>
        <v>1</v>
      </c>
      <c r="H131" s="127">
        <f t="shared" si="94"/>
        <v>31</v>
      </c>
      <c r="I131">
        <f t="shared" si="162"/>
        <v>0</v>
      </c>
      <c r="J131">
        <f t="shared" si="95"/>
        <v>130</v>
      </c>
      <c r="L131">
        <f>'Res OLS Model'!$B$5</f>
        <v>-14695221.8516191</v>
      </c>
      <c r="M131">
        <f ca="1">'Res OLS Model'!$B$6*D131</f>
        <v>4293440.4202038897</v>
      </c>
      <c r="N131">
        <f ca="1">'Res OLS Model'!$B$7*E131</f>
        <v>1877874.8114914598</v>
      </c>
      <c r="O131">
        <f>'Res OLS Model'!$B$8*F131</f>
        <v>0</v>
      </c>
      <c r="P131">
        <f>'Res OLS Model'!$B$9*G131</f>
        <v>-2399238.63510927</v>
      </c>
      <c r="Q131">
        <f>'Res OLS Model'!$B$10*H131</f>
        <v>55859933.6715082</v>
      </c>
      <c r="R131">
        <f>'Res OLS Model'!$B$11*I131</f>
        <v>0</v>
      </c>
      <c r="S131">
        <f>'Res OLS Model'!$B$12*J131</f>
        <v>-1657004.0018134331</v>
      </c>
      <c r="T131">
        <f t="shared" ca="1" si="91"/>
        <v>43279784.414661743</v>
      </c>
    </row>
    <row r="132" spans="1:20">
      <c r="A132" s="26">
        <v>43770</v>
      </c>
      <c r="B132">
        <f t="shared" si="110"/>
        <v>2019</v>
      </c>
      <c r="D132">
        <f t="shared" ref="D132:E132" ca="1" si="163">D120</f>
        <v>361.94999999999993</v>
      </c>
      <c r="E132">
        <f t="shared" ca="1" si="163"/>
        <v>0.05</v>
      </c>
      <c r="F132">
        <f t="shared" ref="F132:I132" si="164">F120</f>
        <v>0</v>
      </c>
      <c r="G132">
        <f t="shared" si="164"/>
        <v>1</v>
      </c>
      <c r="H132" s="127">
        <f t="shared" si="94"/>
        <v>30</v>
      </c>
      <c r="I132">
        <f t="shared" si="164"/>
        <v>0</v>
      </c>
      <c r="J132">
        <f t="shared" si="95"/>
        <v>131</v>
      </c>
      <c r="L132">
        <f>'Res OLS Model'!$B$5</f>
        <v>-14695221.8516191</v>
      </c>
      <c r="M132">
        <f ca="1">'Res OLS Model'!$B$6*D132</f>
        <v>8738252.1372739412</v>
      </c>
      <c r="N132">
        <f ca="1">'Res OLS Model'!$B$7*E132</f>
        <v>8709.9944874371995</v>
      </c>
      <c r="O132">
        <f>'Res OLS Model'!$B$8*F132</f>
        <v>0</v>
      </c>
      <c r="P132">
        <f>'Res OLS Model'!$B$9*G132</f>
        <v>-2399238.63510927</v>
      </c>
      <c r="Q132">
        <f>'Res OLS Model'!$B$10*H132</f>
        <v>54058000.327266</v>
      </c>
      <c r="R132">
        <f>'Res OLS Model'!$B$11*I132</f>
        <v>0</v>
      </c>
      <c r="S132">
        <f>'Res OLS Model'!$B$12*J132</f>
        <v>-1669750.1864427673</v>
      </c>
      <c r="T132">
        <f t="shared" ca="1" si="91"/>
        <v>44040751.785856239</v>
      </c>
    </row>
    <row r="133" spans="1:20">
      <c r="A133" s="26">
        <v>43800</v>
      </c>
      <c r="B133">
        <f t="shared" si="110"/>
        <v>2019</v>
      </c>
      <c r="D133">
        <f t="shared" ref="D133:E133" ca="1" si="165">D121</f>
        <v>556.41000000000008</v>
      </c>
      <c r="E133">
        <f t="shared" ca="1" si="165"/>
        <v>0</v>
      </c>
      <c r="F133">
        <f t="shared" ref="F133:I133" si="166">F121</f>
        <v>0</v>
      </c>
      <c r="G133">
        <f t="shared" si="166"/>
        <v>0</v>
      </c>
      <c r="H133" s="127">
        <f t="shared" si="94"/>
        <v>31</v>
      </c>
      <c r="I133">
        <f t="shared" si="166"/>
        <v>0</v>
      </c>
      <c r="J133">
        <f t="shared" si="95"/>
        <v>132</v>
      </c>
      <c r="L133">
        <f>'Res OLS Model'!$B$5</f>
        <v>-14695221.8516191</v>
      </c>
      <c r="M133">
        <f ca="1">'Res OLS Model'!$B$6*D133</f>
        <v>13432935.133859914</v>
      </c>
      <c r="N133">
        <f ca="1">'Res OLS Model'!$B$7*E133</f>
        <v>0</v>
      </c>
      <c r="O133">
        <f>'Res OLS Model'!$B$8*F133</f>
        <v>0</v>
      </c>
      <c r="P133">
        <f>'Res OLS Model'!$B$9*G133</f>
        <v>0</v>
      </c>
      <c r="Q133">
        <f>'Res OLS Model'!$B$10*H133</f>
        <v>55859933.6715082</v>
      </c>
      <c r="R133">
        <f>'Res OLS Model'!$B$11*I133</f>
        <v>0</v>
      </c>
      <c r="S133">
        <f>'Res OLS Model'!$B$12*J133</f>
        <v>-1682496.3710721012</v>
      </c>
      <c r="T133">
        <f t="shared" ca="1" si="91"/>
        <v>52915150.582676917</v>
      </c>
    </row>
    <row r="134" spans="1:20">
      <c r="A134" s="128">
        <v>43831</v>
      </c>
      <c r="B134" s="127">
        <f t="shared" ref="B134:B145" si="167">YEAR(A134)</f>
        <v>2020</v>
      </c>
      <c r="C134" s="127"/>
      <c r="D134" s="127">
        <f t="shared" ref="D134:I134" ca="1" si="168">D122</f>
        <v>659.42999999999984</v>
      </c>
      <c r="E134" s="127">
        <f t="shared" ca="1" si="168"/>
        <v>0</v>
      </c>
      <c r="F134" s="127">
        <f t="shared" si="168"/>
        <v>0</v>
      </c>
      <c r="G134" s="127">
        <f t="shared" si="168"/>
        <v>0</v>
      </c>
      <c r="H134" s="127">
        <f t="shared" si="94"/>
        <v>31</v>
      </c>
      <c r="I134" s="127">
        <f t="shared" si="168"/>
        <v>0</v>
      </c>
      <c r="J134" s="127">
        <f t="shared" si="95"/>
        <v>133</v>
      </c>
      <c r="K134" s="127"/>
      <c r="L134" s="127">
        <f>'Res OLS Model'!$B$5</f>
        <v>-14695221.8516191</v>
      </c>
      <c r="M134" s="127">
        <f ca="1">'Res OLS Model'!$B$6*D134</f>
        <v>15920059.695766142</v>
      </c>
      <c r="N134" s="127">
        <f ca="1">'Res OLS Model'!$B$7*E134</f>
        <v>0</v>
      </c>
      <c r="O134" s="127">
        <f>'Res OLS Model'!$B$8*F134</f>
        <v>0</v>
      </c>
      <c r="P134" s="127">
        <f>'Res OLS Model'!$B$9*G134</f>
        <v>0</v>
      </c>
      <c r="Q134" s="127">
        <f>'Res OLS Model'!$B$10*H134</f>
        <v>55859933.6715082</v>
      </c>
      <c r="R134" s="127">
        <f>'Res OLS Model'!$B$11*I134</f>
        <v>0</v>
      </c>
      <c r="S134" s="127">
        <f>'Res OLS Model'!$B$12*J134</f>
        <v>-1695242.5557014353</v>
      </c>
      <c r="T134" s="127">
        <f t="shared" ref="T134:T145" ca="1" si="169">SUM(L134:S134)</f>
        <v>55389528.959953807</v>
      </c>
    </row>
    <row r="135" spans="1:20">
      <c r="A135" s="128">
        <v>43862</v>
      </c>
      <c r="B135" s="127">
        <f t="shared" si="167"/>
        <v>2020</v>
      </c>
      <c r="C135" s="127"/>
      <c r="D135" s="127">
        <f t="shared" ref="D135:I135" ca="1" si="170">D123</f>
        <v>571.77</v>
      </c>
      <c r="E135" s="127">
        <f t="shared" ca="1" si="170"/>
        <v>0</v>
      </c>
      <c r="F135" s="127">
        <f t="shared" si="170"/>
        <v>0</v>
      </c>
      <c r="G135" s="127">
        <f t="shared" si="170"/>
        <v>0</v>
      </c>
      <c r="H135" s="127">
        <f t="shared" si="94"/>
        <v>29</v>
      </c>
      <c r="I135" s="127">
        <f t="shared" si="170"/>
        <v>0</v>
      </c>
      <c r="J135" s="127">
        <f t="shared" si="95"/>
        <v>134</v>
      </c>
      <c r="K135" s="127"/>
      <c r="L135" s="127">
        <f>'Res OLS Model'!$B$5</f>
        <v>-14695221.8516191</v>
      </c>
      <c r="M135" s="127">
        <f ca="1">'Res OLS Model'!$B$6*D135</f>
        <v>13803758.597953094</v>
      </c>
      <c r="N135" s="127">
        <f ca="1">'Res OLS Model'!$B$7*E135</f>
        <v>0</v>
      </c>
      <c r="O135" s="127">
        <f>'Res OLS Model'!$B$8*F135</f>
        <v>0</v>
      </c>
      <c r="P135" s="127">
        <f>'Res OLS Model'!$B$9*G135</f>
        <v>0</v>
      </c>
      <c r="Q135" s="127">
        <f>'Res OLS Model'!$B$10*H135</f>
        <v>52256066.9830238</v>
      </c>
      <c r="R135" s="127">
        <f>'Res OLS Model'!$B$11*I135</f>
        <v>0</v>
      </c>
      <c r="S135" s="127">
        <f>'Res OLS Model'!$B$12*J135</f>
        <v>-1707988.7403307694</v>
      </c>
      <c r="T135" s="127">
        <f t="shared" ca="1" si="169"/>
        <v>49656614.989027023</v>
      </c>
    </row>
    <row r="136" spans="1:20">
      <c r="A136" s="128">
        <v>43891</v>
      </c>
      <c r="B136" s="127">
        <f t="shared" si="167"/>
        <v>2020</v>
      </c>
      <c r="C136" s="127"/>
      <c r="D136" s="127">
        <f t="shared" ref="D136:I136" ca="1" si="171">D124</f>
        <v>456.53999999999996</v>
      </c>
      <c r="E136" s="127">
        <f t="shared" ca="1" si="171"/>
        <v>0.48</v>
      </c>
      <c r="F136" s="127">
        <f t="shared" si="171"/>
        <v>1</v>
      </c>
      <c r="G136" s="127">
        <f t="shared" si="171"/>
        <v>0</v>
      </c>
      <c r="H136" s="127">
        <f t="shared" si="94"/>
        <v>31</v>
      </c>
      <c r="I136" s="127">
        <f t="shared" si="171"/>
        <v>0</v>
      </c>
      <c r="J136" s="127">
        <f t="shared" si="95"/>
        <v>135</v>
      </c>
      <c r="K136" s="127"/>
      <c r="L136" s="127">
        <f>'Res OLS Model'!$B$5</f>
        <v>-14695221.8516191</v>
      </c>
      <c r="M136" s="127">
        <f ca="1">'Res OLS Model'!$B$6*D136</f>
        <v>11021858.352675911</v>
      </c>
      <c r="N136" s="127">
        <f ca="1">'Res OLS Model'!$B$7*E136</f>
        <v>83615.947079397112</v>
      </c>
      <c r="O136" s="127">
        <f>'Res OLS Model'!$B$8*F136</f>
        <v>-4177006.7225933699</v>
      </c>
      <c r="P136" s="127">
        <f>'Res OLS Model'!$B$9*G136</f>
        <v>0</v>
      </c>
      <c r="Q136" s="127">
        <f>'Res OLS Model'!$B$10*H136</f>
        <v>55859933.6715082</v>
      </c>
      <c r="R136" s="127">
        <f>'Res OLS Model'!$B$11*I136</f>
        <v>0</v>
      </c>
      <c r="S136" s="127">
        <f>'Res OLS Model'!$B$12*J136</f>
        <v>-1720734.9249601036</v>
      </c>
      <c r="T136" s="127">
        <f t="shared" ca="1" si="169"/>
        <v>46372444.47209093</v>
      </c>
    </row>
    <row r="137" spans="1:20">
      <c r="A137" s="128">
        <v>43922</v>
      </c>
      <c r="B137" s="127">
        <f t="shared" si="167"/>
        <v>2020</v>
      </c>
      <c r="C137" s="127"/>
      <c r="D137" s="127">
        <f t="shared" ref="D137:I137" ca="1" si="172">D125</f>
        <v>248.54999999999995</v>
      </c>
      <c r="E137" s="127">
        <f t="shared" ca="1" si="172"/>
        <v>2.63</v>
      </c>
      <c r="F137" s="127">
        <f t="shared" si="172"/>
        <v>1</v>
      </c>
      <c r="G137" s="127">
        <f t="shared" si="172"/>
        <v>0</v>
      </c>
      <c r="H137" s="127">
        <f t="shared" si="94"/>
        <v>30</v>
      </c>
      <c r="I137" s="127">
        <f t="shared" si="172"/>
        <v>0</v>
      </c>
      <c r="J137" s="127">
        <f t="shared" si="95"/>
        <v>136</v>
      </c>
      <c r="K137" s="127"/>
      <c r="L137" s="127">
        <f>'Res OLS Model'!$B$5</f>
        <v>-14695221.8516191</v>
      </c>
      <c r="M137" s="127">
        <f ca="1">'Res OLS Model'!$B$6*D137</f>
        <v>6000532.0312734861</v>
      </c>
      <c r="N137" s="127">
        <f ca="1">'Res OLS Model'!$B$7*E137</f>
        <v>458145.71003919671</v>
      </c>
      <c r="O137" s="127">
        <f>'Res OLS Model'!$B$8*F137</f>
        <v>-4177006.7225933699</v>
      </c>
      <c r="P137" s="127">
        <f>'Res OLS Model'!$B$9*G137</f>
        <v>0</v>
      </c>
      <c r="Q137" s="127">
        <f>'Res OLS Model'!$B$10*H137</f>
        <v>54058000.327266</v>
      </c>
      <c r="R137" s="127">
        <f>'Res OLS Model'!$B$11*I137</f>
        <v>0</v>
      </c>
      <c r="S137" s="127">
        <f>'Res OLS Model'!$B$12*J137</f>
        <v>-1733481.1095894377</v>
      </c>
      <c r="T137" s="127">
        <f t="shared" ca="1" si="169"/>
        <v>39910968.384776779</v>
      </c>
    </row>
    <row r="138" spans="1:20">
      <c r="A138" s="128">
        <v>43952</v>
      </c>
      <c r="B138" s="127">
        <f t="shared" si="167"/>
        <v>2020</v>
      </c>
      <c r="C138" s="127"/>
      <c r="D138" s="127">
        <f t="shared" ref="D138:I138" ca="1" si="173">D126</f>
        <v>92.740000000000009</v>
      </c>
      <c r="E138" s="127">
        <f t="shared" ca="1" si="173"/>
        <v>47.37</v>
      </c>
      <c r="F138" s="127">
        <f t="shared" si="173"/>
        <v>1</v>
      </c>
      <c r="G138" s="127">
        <f t="shared" si="173"/>
        <v>0</v>
      </c>
      <c r="H138" s="127">
        <f t="shared" si="94"/>
        <v>31</v>
      </c>
      <c r="I138" s="127">
        <f t="shared" si="173"/>
        <v>0</v>
      </c>
      <c r="J138" s="127">
        <f t="shared" si="95"/>
        <v>137</v>
      </c>
      <c r="K138" s="127"/>
      <c r="L138" s="127">
        <f>'Res OLS Model'!$B$5</f>
        <v>-14695221.8516191</v>
      </c>
      <c r="M138" s="127">
        <f ca="1">'Res OLS Model'!$B$6*D138</f>
        <v>2238943.2330730367</v>
      </c>
      <c r="N138" s="127">
        <f ca="1">'Res OLS Model'!$B$7*E138</f>
        <v>8251848.7773980023</v>
      </c>
      <c r="O138" s="127">
        <f>'Res OLS Model'!$B$8*F138</f>
        <v>-4177006.7225933699</v>
      </c>
      <c r="P138" s="127">
        <f>'Res OLS Model'!$B$9*G138</f>
        <v>0</v>
      </c>
      <c r="Q138" s="127">
        <f>'Res OLS Model'!$B$10*H138</f>
        <v>55859933.6715082</v>
      </c>
      <c r="R138" s="127">
        <f>'Res OLS Model'!$B$11*I138</f>
        <v>0</v>
      </c>
      <c r="S138" s="127">
        <f>'Res OLS Model'!$B$12*J138</f>
        <v>-1746227.2942187719</v>
      </c>
      <c r="T138" s="127">
        <f t="shared" ca="1" si="169"/>
        <v>45732269.813547999</v>
      </c>
    </row>
    <row r="139" spans="1:20">
      <c r="A139" s="128">
        <v>43983</v>
      </c>
      <c r="B139" s="127">
        <f t="shared" si="167"/>
        <v>2020</v>
      </c>
      <c r="C139" s="127"/>
      <c r="D139" s="127">
        <f t="shared" ref="D139:I139" ca="1" si="174">D127</f>
        <v>9.08</v>
      </c>
      <c r="E139" s="127">
        <f t="shared" ca="1" si="174"/>
        <v>117.23999999999997</v>
      </c>
      <c r="F139" s="127">
        <f t="shared" si="174"/>
        <v>0</v>
      </c>
      <c r="G139" s="127">
        <f t="shared" si="174"/>
        <v>0</v>
      </c>
      <c r="H139" s="127">
        <f t="shared" si="94"/>
        <v>30</v>
      </c>
      <c r="I139" s="127">
        <f t="shared" si="174"/>
        <v>0</v>
      </c>
      <c r="J139" s="127">
        <f t="shared" si="95"/>
        <v>138</v>
      </c>
      <c r="K139" s="127"/>
      <c r="L139" s="127">
        <f>'Res OLS Model'!$B$5</f>
        <v>-14695221.8516191</v>
      </c>
      <c r="M139" s="127">
        <f ca="1">'Res OLS Model'!$B$6*D139</f>
        <v>219210.74570091837</v>
      </c>
      <c r="N139" s="127">
        <f ca="1">'Res OLS Model'!$B$7*E139</f>
        <v>20423195.074142739</v>
      </c>
      <c r="O139" s="127">
        <f>'Res OLS Model'!$B$8*F139</f>
        <v>0</v>
      </c>
      <c r="P139" s="127">
        <f>'Res OLS Model'!$B$9*G139</f>
        <v>0</v>
      </c>
      <c r="Q139" s="127">
        <f>'Res OLS Model'!$B$10*H139</f>
        <v>54058000.327266</v>
      </c>
      <c r="R139" s="127">
        <f>'Res OLS Model'!$B$11*I139</f>
        <v>0</v>
      </c>
      <c r="S139" s="127">
        <f>'Res OLS Model'!$B$12*J139</f>
        <v>-1758973.4788481058</v>
      </c>
      <c r="T139" s="127">
        <f t="shared" ca="1" si="169"/>
        <v>58246210.816642448</v>
      </c>
    </row>
    <row r="140" spans="1:20">
      <c r="A140" s="128">
        <v>44013</v>
      </c>
      <c r="B140" s="127">
        <f t="shared" si="167"/>
        <v>2020</v>
      </c>
      <c r="C140" s="127"/>
      <c r="D140" s="127">
        <f t="shared" ref="D140:I140" ca="1" si="175">D128</f>
        <v>0.51</v>
      </c>
      <c r="E140" s="127">
        <f t="shared" ca="1" si="175"/>
        <v>185.60999999999999</v>
      </c>
      <c r="F140" s="127">
        <f t="shared" si="175"/>
        <v>0</v>
      </c>
      <c r="G140" s="127">
        <f t="shared" si="175"/>
        <v>0</v>
      </c>
      <c r="H140" s="127">
        <f t="shared" si="94"/>
        <v>31</v>
      </c>
      <c r="I140" s="127">
        <f t="shared" si="175"/>
        <v>0</v>
      </c>
      <c r="J140" s="127">
        <f t="shared" si="95"/>
        <v>139</v>
      </c>
      <c r="K140" s="127"/>
      <c r="L140" s="127">
        <f>'Res OLS Model'!$B$5</f>
        <v>-14695221.8516191</v>
      </c>
      <c r="M140" s="127">
        <f ca="1">'Res OLS Model'!$B$6*D140</f>
        <v>12312.497831218983</v>
      </c>
      <c r="N140" s="127">
        <f ca="1">'Res OLS Model'!$B$7*E140</f>
        <v>32333241.536264371</v>
      </c>
      <c r="O140" s="127">
        <f>'Res OLS Model'!$B$8*F140</f>
        <v>0</v>
      </c>
      <c r="P140" s="127">
        <f>'Res OLS Model'!$B$9*G140</f>
        <v>0</v>
      </c>
      <c r="Q140" s="127">
        <f>'Res OLS Model'!$B$10*H140</f>
        <v>55859933.6715082</v>
      </c>
      <c r="R140" s="127">
        <f>'Res OLS Model'!$B$11*I140</f>
        <v>0</v>
      </c>
      <c r="S140" s="127">
        <f>'Res OLS Model'!$B$12*J140</f>
        <v>-1771719.6634774399</v>
      </c>
      <c r="T140" s="127">
        <f t="shared" ca="1" si="169"/>
        <v>71738546.190507248</v>
      </c>
    </row>
    <row r="141" spans="1:20">
      <c r="A141" s="128">
        <v>44044</v>
      </c>
      <c r="B141" s="127">
        <f t="shared" si="167"/>
        <v>2020</v>
      </c>
      <c r="C141" s="127"/>
      <c r="D141" s="127">
        <f t="shared" ref="D141:I141" ca="1" si="176">D129</f>
        <v>1.51</v>
      </c>
      <c r="E141" s="127">
        <f t="shared" ca="1" si="176"/>
        <v>159.64000000000001</v>
      </c>
      <c r="F141" s="127">
        <f t="shared" si="176"/>
        <v>0</v>
      </c>
      <c r="G141" s="127">
        <f t="shared" si="176"/>
        <v>0</v>
      </c>
      <c r="H141" s="127">
        <f t="shared" si="94"/>
        <v>31</v>
      </c>
      <c r="I141" s="127">
        <f t="shared" si="176"/>
        <v>0</v>
      </c>
      <c r="J141" s="127">
        <f t="shared" si="95"/>
        <v>140</v>
      </c>
      <c r="K141" s="127"/>
      <c r="L141" s="127">
        <f>'Res OLS Model'!$B$5</f>
        <v>-14695221.8516191</v>
      </c>
      <c r="M141" s="127">
        <f ca="1">'Res OLS Model'!$B$6*D141</f>
        <v>36454.650441452286</v>
      </c>
      <c r="N141" s="127">
        <f ca="1">'Res OLS Model'!$B$7*E141</f>
        <v>27809270.399489496</v>
      </c>
      <c r="O141" s="127">
        <f>'Res OLS Model'!$B$8*F141</f>
        <v>0</v>
      </c>
      <c r="P141" s="127">
        <f>'Res OLS Model'!$B$9*G141</f>
        <v>0</v>
      </c>
      <c r="Q141" s="127">
        <f>'Res OLS Model'!$B$10*H141</f>
        <v>55859933.6715082</v>
      </c>
      <c r="R141" s="127">
        <f>'Res OLS Model'!$B$11*I141</f>
        <v>0</v>
      </c>
      <c r="S141" s="127">
        <f>'Res OLS Model'!$B$12*J141</f>
        <v>-1784465.848106774</v>
      </c>
      <c r="T141" s="127">
        <f t="shared" ca="1" si="169"/>
        <v>67225971.021713272</v>
      </c>
    </row>
    <row r="142" spans="1:20">
      <c r="A142" s="128">
        <v>44075</v>
      </c>
      <c r="B142" s="127">
        <f t="shared" si="167"/>
        <v>2020</v>
      </c>
      <c r="C142" s="127"/>
      <c r="D142" s="127">
        <f t="shared" ref="D142:I142" ca="1" si="177">D130</f>
        <v>33.01</v>
      </c>
      <c r="E142" s="127">
        <f t="shared" ca="1" si="177"/>
        <v>72.989999999999981</v>
      </c>
      <c r="F142" s="127">
        <f t="shared" si="177"/>
        <v>0</v>
      </c>
      <c r="G142" s="127">
        <f t="shared" si="177"/>
        <v>1</v>
      </c>
      <c r="H142" s="127">
        <f t="shared" si="94"/>
        <v>30</v>
      </c>
      <c r="I142" s="127">
        <f t="shared" si="177"/>
        <v>1</v>
      </c>
      <c r="J142" s="127">
        <f t="shared" si="95"/>
        <v>141</v>
      </c>
      <c r="K142" s="127"/>
      <c r="L142" s="127">
        <f>'Res OLS Model'!$B$5</f>
        <v>-14695221.8516191</v>
      </c>
      <c r="M142" s="127">
        <f ca="1">'Res OLS Model'!$B$6*D142</f>
        <v>796932.45766380127</v>
      </c>
      <c r="N142" s="127">
        <f ca="1">'Res OLS Model'!$B$7*E142</f>
        <v>12714849.952760821</v>
      </c>
      <c r="O142" s="127">
        <f>'Res OLS Model'!$B$8*F142</f>
        <v>0</v>
      </c>
      <c r="P142" s="127">
        <f>'Res OLS Model'!$B$9*G142</f>
        <v>-2399238.63510927</v>
      </c>
      <c r="Q142" s="127">
        <f>'Res OLS Model'!$B$10*H142</f>
        <v>54058000.327266</v>
      </c>
      <c r="R142" s="127">
        <f>'Res OLS Model'!$B$11*I142</f>
        <v>2497427.94615121</v>
      </c>
      <c r="S142" s="127">
        <f>'Res OLS Model'!$B$12*J142</f>
        <v>-1797212.0327361082</v>
      </c>
      <c r="T142" s="127">
        <f t="shared" ca="1" si="169"/>
        <v>51175538.164377354</v>
      </c>
    </row>
    <row r="143" spans="1:20">
      <c r="A143" s="128">
        <v>44105</v>
      </c>
      <c r="B143" s="127">
        <f t="shared" si="167"/>
        <v>2020</v>
      </c>
      <c r="C143" s="127"/>
      <c r="D143" s="127">
        <f t="shared" ref="D143:I143" ca="1" si="178">D131</f>
        <v>177.83999999999997</v>
      </c>
      <c r="E143" s="127">
        <f t="shared" ca="1" si="178"/>
        <v>10.779999999999998</v>
      </c>
      <c r="F143" s="127">
        <f t="shared" si="178"/>
        <v>0</v>
      </c>
      <c r="G143" s="127">
        <f t="shared" si="178"/>
        <v>1</v>
      </c>
      <c r="H143" s="127">
        <f t="shared" si="94"/>
        <v>31</v>
      </c>
      <c r="I143" s="127">
        <f t="shared" si="178"/>
        <v>0</v>
      </c>
      <c r="J143" s="127">
        <f t="shared" si="95"/>
        <v>142</v>
      </c>
      <c r="K143" s="127"/>
      <c r="L143" s="127">
        <f>'Res OLS Model'!$B$5</f>
        <v>-14695221.8516191</v>
      </c>
      <c r="M143" s="127">
        <f ca="1">'Res OLS Model'!$B$6*D143</f>
        <v>4293440.4202038897</v>
      </c>
      <c r="N143" s="127">
        <f ca="1">'Res OLS Model'!$B$7*E143</f>
        <v>1877874.8114914598</v>
      </c>
      <c r="O143" s="127">
        <f>'Res OLS Model'!$B$8*F143</f>
        <v>0</v>
      </c>
      <c r="P143" s="127">
        <f>'Res OLS Model'!$B$9*G143</f>
        <v>-2399238.63510927</v>
      </c>
      <c r="Q143" s="127">
        <f>'Res OLS Model'!$B$10*H143</f>
        <v>55859933.6715082</v>
      </c>
      <c r="R143" s="127">
        <f>'Res OLS Model'!$B$11*I143</f>
        <v>0</v>
      </c>
      <c r="S143" s="127">
        <f>'Res OLS Model'!$B$12*J143</f>
        <v>-1809958.2173654423</v>
      </c>
      <c r="T143" s="127">
        <f t="shared" ca="1" si="169"/>
        <v>43126830.199109733</v>
      </c>
    </row>
    <row r="144" spans="1:20">
      <c r="A144" s="128">
        <v>44136</v>
      </c>
      <c r="B144" s="127">
        <f t="shared" si="167"/>
        <v>2020</v>
      </c>
      <c r="C144" s="127"/>
      <c r="D144" s="127">
        <f t="shared" ref="D144:I145" ca="1" si="179">D132</f>
        <v>361.94999999999993</v>
      </c>
      <c r="E144" s="127">
        <f t="shared" ca="1" si="179"/>
        <v>0.05</v>
      </c>
      <c r="F144" s="127">
        <f t="shared" si="179"/>
        <v>0</v>
      </c>
      <c r="G144" s="127">
        <f t="shared" si="179"/>
        <v>1</v>
      </c>
      <c r="H144" s="127">
        <f t="shared" si="94"/>
        <v>30</v>
      </c>
      <c r="I144" s="127">
        <f t="shared" si="179"/>
        <v>0</v>
      </c>
      <c r="J144" s="127">
        <f t="shared" si="95"/>
        <v>143</v>
      </c>
      <c r="K144" s="127"/>
      <c r="L144" s="127">
        <f>'Res OLS Model'!$B$5</f>
        <v>-14695221.8516191</v>
      </c>
      <c r="M144" s="127">
        <f ca="1">'Res OLS Model'!$B$6*D144</f>
        <v>8738252.1372739412</v>
      </c>
      <c r="N144" s="127">
        <f ca="1">'Res OLS Model'!$B$7*E144</f>
        <v>8709.9944874371995</v>
      </c>
      <c r="O144" s="127">
        <f>'Res OLS Model'!$B$8*F144</f>
        <v>0</v>
      </c>
      <c r="P144" s="127">
        <f>'Res OLS Model'!$B$9*G144</f>
        <v>-2399238.63510927</v>
      </c>
      <c r="Q144" s="127">
        <f>'Res OLS Model'!$B$10*H144</f>
        <v>54058000.327266</v>
      </c>
      <c r="R144" s="127">
        <f>'Res OLS Model'!$B$11*I144</f>
        <v>0</v>
      </c>
      <c r="S144" s="127">
        <f>'Res OLS Model'!$B$12*J144</f>
        <v>-1822704.4019947764</v>
      </c>
      <c r="T144" s="127">
        <f t="shared" ca="1" si="169"/>
        <v>43887797.57030423</v>
      </c>
    </row>
    <row r="145" spans="1:20">
      <c r="A145" s="128">
        <v>44166</v>
      </c>
      <c r="B145" s="127">
        <f t="shared" si="167"/>
        <v>2020</v>
      </c>
      <c r="C145" s="127"/>
      <c r="D145" s="127">
        <f t="shared" ca="1" si="179"/>
        <v>556.41000000000008</v>
      </c>
      <c r="E145" s="127">
        <f t="shared" ca="1" si="179"/>
        <v>0</v>
      </c>
      <c r="F145" s="127">
        <f t="shared" si="179"/>
        <v>0</v>
      </c>
      <c r="G145" s="127">
        <f t="shared" si="179"/>
        <v>0</v>
      </c>
      <c r="H145" s="127">
        <f t="shared" si="94"/>
        <v>31</v>
      </c>
      <c r="I145" s="127">
        <f t="shared" si="179"/>
        <v>0</v>
      </c>
      <c r="J145" s="127">
        <f t="shared" si="95"/>
        <v>144</v>
      </c>
      <c r="K145" s="127"/>
      <c r="L145" s="127">
        <f>'Res OLS Model'!$B$5</f>
        <v>-14695221.8516191</v>
      </c>
      <c r="M145" s="127">
        <f ca="1">'Res OLS Model'!$B$6*D145</f>
        <v>13432935.133859914</v>
      </c>
      <c r="N145" s="127">
        <f ca="1">'Res OLS Model'!$B$7*E145</f>
        <v>0</v>
      </c>
      <c r="O145" s="127">
        <f>'Res OLS Model'!$B$8*F145</f>
        <v>0</v>
      </c>
      <c r="P145" s="127">
        <f>'Res OLS Model'!$B$9*G145</f>
        <v>0</v>
      </c>
      <c r="Q145" s="127">
        <f>'Res OLS Model'!$B$10*H145</f>
        <v>55859933.6715082</v>
      </c>
      <c r="R145" s="127">
        <f>'Res OLS Model'!$B$11*I145</f>
        <v>0</v>
      </c>
      <c r="S145" s="127">
        <f>'Res OLS Model'!$B$12*J145</f>
        <v>-1835450.5866241106</v>
      </c>
      <c r="T145" s="127">
        <f t="shared" ca="1" si="169"/>
        <v>52762196.367124908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V145"/>
  <sheetViews>
    <sheetView topLeftCell="G1" workbookViewId="0">
      <selection activeCell="S2" sqref="S2"/>
    </sheetView>
  </sheetViews>
  <sheetFormatPr defaultRowHeight="12.75"/>
  <cols>
    <col min="1" max="1" width="10.33203125" bestFit="1" customWidth="1"/>
    <col min="2" max="2" width="5" bestFit="1" customWidth="1"/>
    <col min="3" max="3" width="17.1640625" bestFit="1" customWidth="1"/>
    <col min="4" max="5" width="6" bestFit="1" customWidth="1"/>
    <col min="6" max="6" width="8.83203125" bestFit="1" customWidth="1"/>
    <col min="7" max="7" width="5.33203125" bestFit="1" customWidth="1"/>
    <col min="8" max="8" width="4.1640625" bestFit="1" customWidth="1"/>
    <col min="9" max="9" width="4.33203125" bestFit="1" customWidth="1"/>
    <col min="10" max="10" width="7.83203125" bestFit="1" customWidth="1"/>
    <col min="11" max="11" width="10.1640625" bestFit="1" customWidth="1"/>
    <col min="13" max="13" width="12.6640625" bestFit="1" customWidth="1"/>
    <col min="14" max="15" width="12" bestFit="1" customWidth="1"/>
    <col min="16" max="16" width="14.6640625" bestFit="1" customWidth="1"/>
    <col min="17" max="17" width="12.6640625" bestFit="1" customWidth="1"/>
    <col min="18" max="19" width="12" bestFit="1" customWidth="1"/>
    <col min="20" max="20" width="12.6640625" bestFit="1" customWidth="1"/>
    <col min="21" max="22" width="12" bestFit="1" customWidth="1"/>
  </cols>
  <sheetData>
    <row r="1" spans="1:22">
      <c r="A1" t="s">
        <v>123</v>
      </c>
      <c r="B1" t="s">
        <v>124</v>
      </c>
      <c r="C1" t="str">
        <f>'Monthly Data'!J1</f>
        <v>GS_lt_50_No_CDM</v>
      </c>
      <c r="D1" t="str">
        <f>'Monthly Data'!BH1</f>
        <v>HDD</v>
      </c>
      <c r="E1" t="str">
        <f>'Monthly Data'!BI1</f>
        <v>CDD</v>
      </c>
      <c r="F1" s="124" t="str">
        <f>'Monthly Data'!BK1</f>
        <v>Windsor_Empl</v>
      </c>
      <c r="G1" t="str">
        <f>'Monthly Data'!BM1</f>
        <v>Trend</v>
      </c>
      <c r="H1" t="str">
        <f>'Monthly Data'!BP1</f>
        <v>Mar</v>
      </c>
      <c r="I1" t="str">
        <f>'Monthly Data'!BV1</f>
        <v>Sept</v>
      </c>
      <c r="J1" t="str">
        <f>'Monthly Data'!CB1</f>
        <v>Shoulder</v>
      </c>
      <c r="K1" t="str">
        <f>'Monthly Data'!CC1</f>
        <v>Month Days</v>
      </c>
      <c r="M1" t="s">
        <v>91</v>
      </c>
      <c r="N1" t="str">
        <f t="shared" ref="N1:U1" si="0">D1</f>
        <v>HDD</v>
      </c>
      <c r="O1" t="str">
        <f t="shared" si="0"/>
        <v>CDD</v>
      </c>
      <c r="P1" t="str">
        <f t="shared" si="0"/>
        <v>Windsor_Empl</v>
      </c>
      <c r="Q1" t="str">
        <f t="shared" si="0"/>
        <v>Trend</v>
      </c>
      <c r="R1" t="str">
        <f t="shared" si="0"/>
        <v>Mar</v>
      </c>
      <c r="S1" t="str">
        <f t="shared" si="0"/>
        <v>Sept</v>
      </c>
      <c r="T1" t="str">
        <f t="shared" si="0"/>
        <v>Shoulder</v>
      </c>
      <c r="U1" t="str">
        <f t="shared" si="0"/>
        <v>Month Days</v>
      </c>
      <c r="V1" t="s">
        <v>125</v>
      </c>
    </row>
    <row r="2" spans="1:22">
      <c r="A2" s="26">
        <f>'Monthly Data'!A2</f>
        <v>39814</v>
      </c>
      <c r="B2">
        <f t="shared" ref="B2:B42" si="1">YEAR(A2)</f>
        <v>2009</v>
      </c>
      <c r="C2">
        <f ca="1">'Monthly Data'!J2</f>
        <v>20997000.576903876</v>
      </c>
      <c r="D2">
        <f ca="1">Weather!G69</f>
        <v>659.42999999999984</v>
      </c>
      <c r="E2" s="186">
        <f ca="1">Weather!H69</f>
        <v>0</v>
      </c>
      <c r="F2" s="124">
        <f>'Monthly Data'!BK2</f>
        <v>151.5</v>
      </c>
      <c r="G2">
        <f>'Monthly Data'!BM2</f>
        <v>1</v>
      </c>
      <c r="H2">
        <f>'Monthly Data'!BP2</f>
        <v>0</v>
      </c>
      <c r="I2">
        <f>'Monthly Data'!BV2</f>
        <v>0</v>
      </c>
      <c r="J2">
        <f>'Monthly Data'!CB2</f>
        <v>0</v>
      </c>
      <c r="K2">
        <f>'Monthly Data'!CC2</f>
        <v>31</v>
      </c>
      <c r="M2">
        <f>'GS &lt; 50 OLS Model'!$B$5</f>
        <v>-2510760.1679547098</v>
      </c>
      <c r="N2">
        <f ca="1">'GS &lt; 50 OLS Model'!$B$6*D2</f>
        <v>2872620.3494459833</v>
      </c>
      <c r="O2">
        <f ca="1">'GS &lt; 50 OLS Model'!$B$7*E2</f>
        <v>0</v>
      </c>
      <c r="P2" s="124">
        <f>'GS &lt; 50 OLS Model'!$B$8*F2</f>
        <v>6202406.5237341914</v>
      </c>
      <c r="Q2">
        <f>'GS &lt; 50 OLS Model'!$B$9*G2</f>
        <v>-20492.655304657099</v>
      </c>
      <c r="R2">
        <f>'GS &lt; 50 OLS Model'!$B$10*H2</f>
        <v>0</v>
      </c>
      <c r="S2">
        <f>'GS &lt; 50 OLS Model'!$B$11*I2</f>
        <v>0</v>
      </c>
      <c r="T2">
        <f>'GS &lt; 50 OLS Model'!$B$12*J2</f>
        <v>0</v>
      </c>
      <c r="U2">
        <f>'GS &lt; 50 OLS Model'!$B$13*K2</f>
        <v>14235755.378578186</v>
      </c>
      <c r="V2">
        <f t="shared" ref="V2:V42" ca="1" si="2">SUM(M2:U2)</f>
        <v>20779529.428498995</v>
      </c>
    </row>
    <row r="3" spans="1:22">
      <c r="A3" s="26">
        <f>'Monthly Data'!A3</f>
        <v>39845</v>
      </c>
      <c r="B3">
        <f t="shared" si="1"/>
        <v>2009</v>
      </c>
      <c r="C3">
        <f ca="1">'Monthly Data'!J3</f>
        <v>18534901.320222881</v>
      </c>
      <c r="D3" s="186">
        <f ca="1">Weather!G70</f>
        <v>571.77</v>
      </c>
      <c r="E3" s="186">
        <f ca="1">Weather!H70</f>
        <v>0</v>
      </c>
      <c r="F3" s="124">
        <f>'Monthly Data'!BK3</f>
        <v>149.69999999999999</v>
      </c>
      <c r="G3">
        <f>'Monthly Data'!BM3</f>
        <v>2</v>
      </c>
      <c r="H3">
        <f>'Monthly Data'!BP3</f>
        <v>0</v>
      </c>
      <c r="I3">
        <f>'Monthly Data'!BV3</f>
        <v>0</v>
      </c>
      <c r="J3">
        <f>'Monthly Data'!CB3</f>
        <v>0</v>
      </c>
      <c r="K3">
        <f>'Monthly Data'!CC3</f>
        <v>28</v>
      </c>
      <c r="M3">
        <f>'GS &lt; 50 OLS Model'!$B$5</f>
        <v>-2510760.1679547098</v>
      </c>
      <c r="N3">
        <f ca="1">'GS &lt; 50 OLS Model'!$B$6*D3</f>
        <v>2490754.3442105004</v>
      </c>
      <c r="O3">
        <f ca="1">'GS &lt; 50 OLS Model'!$B$7*E3</f>
        <v>0</v>
      </c>
      <c r="P3" s="124">
        <f>'GS &lt; 50 OLS Model'!$B$8*F3</f>
        <v>6128714.5650363583</v>
      </c>
      <c r="Q3">
        <f>'GS &lt; 50 OLS Model'!$B$9*G3</f>
        <v>-40985.310609314198</v>
      </c>
      <c r="R3">
        <f>'GS &lt; 50 OLS Model'!$B$10*H3</f>
        <v>0</v>
      </c>
      <c r="S3">
        <f>'GS &lt; 50 OLS Model'!$B$11*I3</f>
        <v>0</v>
      </c>
      <c r="T3">
        <f>'GS &lt; 50 OLS Model'!$B$12*J3</f>
        <v>0</v>
      </c>
      <c r="U3">
        <f>'GS &lt; 50 OLS Model'!$B$13*K3</f>
        <v>12858101.632264167</v>
      </c>
      <c r="V3">
        <f t="shared" ca="1" si="2"/>
        <v>18925825.062947001</v>
      </c>
    </row>
    <row r="4" spans="1:22">
      <c r="A4" s="26">
        <f>'Monthly Data'!A4</f>
        <v>39873</v>
      </c>
      <c r="B4">
        <f t="shared" si="1"/>
        <v>2009</v>
      </c>
      <c r="C4">
        <f ca="1">'Monthly Data'!J4</f>
        <v>18954018.30274988</v>
      </c>
      <c r="D4" s="186">
        <f ca="1">Weather!G71</f>
        <v>456.53999999999996</v>
      </c>
      <c r="E4" s="186">
        <f ca="1">Weather!H71</f>
        <v>0.48</v>
      </c>
      <c r="F4" s="124">
        <f>'Monthly Data'!BK4</f>
        <v>147.19999999999999</v>
      </c>
      <c r="G4">
        <f>'Monthly Data'!BM4</f>
        <v>3</v>
      </c>
      <c r="H4">
        <f>'Monthly Data'!BP4</f>
        <v>1</v>
      </c>
      <c r="I4">
        <f>'Monthly Data'!BV4</f>
        <v>0</v>
      </c>
      <c r="J4">
        <f>'Monthly Data'!CB4</f>
        <v>1</v>
      </c>
      <c r="K4">
        <f>'Monthly Data'!CC4</f>
        <v>31</v>
      </c>
      <c r="M4">
        <f>'GS &lt; 50 OLS Model'!$B$5</f>
        <v>-2510760.1679547098</v>
      </c>
      <c r="N4">
        <f ca="1">'GS &lt; 50 OLS Model'!$B$6*D4</f>
        <v>1988787.4290464029</v>
      </c>
      <c r="O4">
        <f ca="1">'GS &lt; 50 OLS Model'!$B$7*E4</f>
        <v>11397.790981013664</v>
      </c>
      <c r="P4" s="124">
        <f>'GS &lt; 50 OLS Model'!$B$8*F4</f>
        <v>6026364.6224004813</v>
      </c>
      <c r="Q4">
        <f>'GS &lt; 50 OLS Model'!$B$9*G4</f>
        <v>-61477.965913971297</v>
      </c>
      <c r="R4">
        <f>'GS &lt; 50 OLS Model'!$B$10*H4</f>
        <v>419453.43275174301</v>
      </c>
      <c r="S4">
        <f>'GS &lt; 50 OLS Model'!$B$11*I4</f>
        <v>0</v>
      </c>
      <c r="T4">
        <f>'GS &lt; 50 OLS Model'!$B$12*J4</f>
        <v>-782960.312499544</v>
      </c>
      <c r="U4">
        <f>'GS &lt; 50 OLS Model'!$B$13*K4</f>
        <v>14235755.378578186</v>
      </c>
      <c r="V4">
        <f t="shared" ca="1" si="2"/>
        <v>19326560.207389601</v>
      </c>
    </row>
    <row r="5" spans="1:22">
      <c r="A5" s="26">
        <f>'Monthly Data'!A5</f>
        <v>39904</v>
      </c>
      <c r="B5">
        <f t="shared" si="1"/>
        <v>2009</v>
      </c>
      <c r="C5">
        <f ca="1">'Monthly Data'!J5</f>
        <v>16925516.165353876</v>
      </c>
      <c r="D5" s="186">
        <f ca="1">Weather!G72</f>
        <v>248.54999999999995</v>
      </c>
      <c r="E5" s="186">
        <f ca="1">Weather!H72</f>
        <v>2.63</v>
      </c>
      <c r="F5" s="124">
        <f>'Monthly Data'!BK5</f>
        <v>147.4</v>
      </c>
      <c r="G5">
        <f>'Monthly Data'!BM5</f>
        <v>4</v>
      </c>
      <c r="H5">
        <f>'Monthly Data'!BP5</f>
        <v>0</v>
      </c>
      <c r="I5">
        <f>'Monthly Data'!BV5</f>
        <v>0</v>
      </c>
      <c r="J5">
        <f>'Monthly Data'!CB5</f>
        <v>1</v>
      </c>
      <c r="K5">
        <f>'Monthly Data'!CC5</f>
        <v>30</v>
      </c>
      <c r="M5">
        <f>'GS &lt; 50 OLS Model'!$B$5</f>
        <v>-2510760.1679547098</v>
      </c>
      <c r="N5">
        <f ca="1">'GS &lt; 50 OLS Model'!$B$6*D5</f>
        <v>1082737.8006077965</v>
      </c>
      <c r="O5">
        <f ca="1">'GS &lt; 50 OLS Model'!$B$7*E5</f>
        <v>62450.396416804033</v>
      </c>
      <c r="P5" s="124">
        <f>'GS &lt; 50 OLS Model'!$B$8*F5</f>
        <v>6034552.617811352</v>
      </c>
      <c r="Q5">
        <f>'GS &lt; 50 OLS Model'!$B$9*G5</f>
        <v>-81970.621218628396</v>
      </c>
      <c r="R5">
        <f>'GS &lt; 50 OLS Model'!$B$10*H5</f>
        <v>0</v>
      </c>
      <c r="S5">
        <f>'GS &lt; 50 OLS Model'!$B$11*I5</f>
        <v>0</v>
      </c>
      <c r="T5">
        <f>'GS &lt; 50 OLS Model'!$B$12*J5</f>
        <v>-782960.312499544</v>
      </c>
      <c r="U5">
        <f>'GS &lt; 50 OLS Model'!$B$13*K5</f>
        <v>13776537.46314018</v>
      </c>
      <c r="V5">
        <f t="shared" ca="1" si="2"/>
        <v>17580587.176303253</v>
      </c>
    </row>
    <row r="6" spans="1:22">
      <c r="A6" s="26">
        <f>'Monthly Data'!A6</f>
        <v>39934</v>
      </c>
      <c r="B6">
        <f t="shared" si="1"/>
        <v>2009</v>
      </c>
      <c r="C6">
        <f ca="1">'Monthly Data'!J6</f>
        <v>17278203.842076879</v>
      </c>
      <c r="D6" s="186">
        <f ca="1">Weather!G73</f>
        <v>92.740000000000009</v>
      </c>
      <c r="E6" s="186">
        <f ca="1">Weather!H73</f>
        <v>47.37</v>
      </c>
      <c r="F6" s="124">
        <f>'Monthly Data'!BK6</f>
        <v>147</v>
      </c>
      <c r="G6">
        <f>'Monthly Data'!BM6</f>
        <v>5</v>
      </c>
      <c r="H6">
        <f>'Monthly Data'!BP6</f>
        <v>0</v>
      </c>
      <c r="I6">
        <f>'Monthly Data'!BV6</f>
        <v>0</v>
      </c>
      <c r="J6">
        <f>'Monthly Data'!CB6</f>
        <v>1</v>
      </c>
      <c r="K6">
        <f>'Monthly Data'!CC6</f>
        <v>31</v>
      </c>
      <c r="M6">
        <f>'GS &lt; 50 OLS Model'!$B$5</f>
        <v>-2510760.1679547098</v>
      </c>
      <c r="N6">
        <f ca="1">'GS &lt; 50 OLS Model'!$B$6*D6</f>
        <v>403995.588929258</v>
      </c>
      <c r="O6">
        <f ca="1">'GS &lt; 50 OLS Model'!$B$7*E6</f>
        <v>1124819.4974387861</v>
      </c>
      <c r="P6" s="124">
        <f>'GS &lt; 50 OLS Model'!$B$8*F6</f>
        <v>6018176.6269896114</v>
      </c>
      <c r="Q6">
        <f>'GS &lt; 50 OLS Model'!$B$9*G6</f>
        <v>-102463.27652328549</v>
      </c>
      <c r="R6">
        <f>'GS &lt; 50 OLS Model'!$B$10*H6</f>
        <v>0</v>
      </c>
      <c r="S6">
        <f>'GS &lt; 50 OLS Model'!$B$11*I6</f>
        <v>0</v>
      </c>
      <c r="T6">
        <f>'GS &lt; 50 OLS Model'!$B$12*J6</f>
        <v>-782960.312499544</v>
      </c>
      <c r="U6">
        <f>'GS &lt; 50 OLS Model'!$B$13*K6</f>
        <v>14235755.378578186</v>
      </c>
      <c r="V6">
        <f t="shared" ca="1" si="2"/>
        <v>18386563.334958304</v>
      </c>
    </row>
    <row r="7" spans="1:22">
      <c r="A7" s="26">
        <f>'Monthly Data'!A7</f>
        <v>39965</v>
      </c>
      <c r="B7">
        <f t="shared" si="1"/>
        <v>2009</v>
      </c>
      <c r="C7">
        <f ca="1">'Monthly Data'!J7</f>
        <v>18191454.642888878</v>
      </c>
      <c r="D7" s="186">
        <f ca="1">Weather!G74</f>
        <v>9.08</v>
      </c>
      <c r="E7" s="186">
        <f ca="1">Weather!H74</f>
        <v>117.23999999999997</v>
      </c>
      <c r="F7" s="124">
        <f>'Monthly Data'!BK7</f>
        <v>146.4</v>
      </c>
      <c r="G7">
        <f>'Monthly Data'!BM7</f>
        <v>6</v>
      </c>
      <c r="H7">
        <f>'Monthly Data'!BP7</f>
        <v>0</v>
      </c>
      <c r="I7">
        <f>'Monthly Data'!BV7</f>
        <v>0</v>
      </c>
      <c r="J7">
        <f>'Monthly Data'!CB7</f>
        <v>0</v>
      </c>
      <c r="K7">
        <f>'Monthly Data'!CC7</f>
        <v>30</v>
      </c>
      <c r="M7">
        <f>'GS &lt; 50 OLS Model'!$B$5</f>
        <v>-2510760.1679547098</v>
      </c>
      <c r="N7">
        <f ca="1">'GS &lt; 50 OLS Model'!$B$6*D7</f>
        <v>39554.452743990318</v>
      </c>
      <c r="O7">
        <f ca="1">'GS &lt; 50 OLS Model'!$B$7*E7</f>
        <v>2783910.4471125868</v>
      </c>
      <c r="P7" s="124">
        <f>'GS &lt; 50 OLS Model'!$B$8*F7</f>
        <v>5993612.640757001</v>
      </c>
      <c r="Q7">
        <f>'GS &lt; 50 OLS Model'!$B$9*G7</f>
        <v>-122955.93182794259</v>
      </c>
      <c r="R7">
        <f>'GS &lt; 50 OLS Model'!$B$10*H7</f>
        <v>0</v>
      </c>
      <c r="S7">
        <f>'GS &lt; 50 OLS Model'!$B$11*I7</f>
        <v>0</v>
      </c>
      <c r="T7">
        <f>'GS &lt; 50 OLS Model'!$B$12*J7</f>
        <v>0</v>
      </c>
      <c r="U7">
        <f>'GS &lt; 50 OLS Model'!$B$13*K7</f>
        <v>13776537.46314018</v>
      </c>
      <c r="V7">
        <f t="shared" ca="1" si="2"/>
        <v>19959898.903971106</v>
      </c>
    </row>
    <row r="8" spans="1:22">
      <c r="A8" s="26">
        <f>'Monthly Data'!A8</f>
        <v>39995</v>
      </c>
      <c r="B8">
        <f t="shared" si="1"/>
        <v>2009</v>
      </c>
      <c r="C8">
        <f ca="1">'Monthly Data'!J8</f>
        <v>20105262.722413879</v>
      </c>
      <c r="D8" s="186">
        <f ca="1">Weather!G75</f>
        <v>0.51</v>
      </c>
      <c r="E8" s="186">
        <f ca="1">Weather!H75</f>
        <v>185.60999999999999</v>
      </c>
      <c r="F8" s="124">
        <f>'Monthly Data'!BK8</f>
        <v>145.19999999999999</v>
      </c>
      <c r="G8">
        <f>'Monthly Data'!BM8</f>
        <v>7</v>
      </c>
      <c r="H8">
        <f>'Monthly Data'!BP8</f>
        <v>0</v>
      </c>
      <c r="I8">
        <f>'Monthly Data'!BV8</f>
        <v>0</v>
      </c>
      <c r="J8">
        <f>'Monthly Data'!CB8</f>
        <v>0</v>
      </c>
      <c r="K8">
        <f>'Monthly Data'!CC8</f>
        <v>31</v>
      </c>
      <c r="M8">
        <f>'GS &lt; 50 OLS Model'!$B$5</f>
        <v>-2510760.1679547098</v>
      </c>
      <c r="N8">
        <f ca="1">'GS &lt; 50 OLS Model'!$B$6*D8</f>
        <v>2221.6708039025398</v>
      </c>
      <c r="O8">
        <f ca="1">'GS &lt; 50 OLS Model'!$B$7*E8</f>
        <v>4407383.2999707209</v>
      </c>
      <c r="P8" s="124">
        <f>'GS &lt; 50 OLS Model'!$B$8*F8</f>
        <v>5944484.6682917792</v>
      </c>
      <c r="Q8">
        <f>'GS &lt; 50 OLS Model'!$B$9*G8</f>
        <v>-143448.5871325997</v>
      </c>
      <c r="R8">
        <f>'GS &lt; 50 OLS Model'!$B$10*H8</f>
        <v>0</v>
      </c>
      <c r="S8">
        <f>'GS &lt; 50 OLS Model'!$B$11*I8</f>
        <v>0</v>
      </c>
      <c r="T8">
        <f>'GS &lt; 50 OLS Model'!$B$12*J8</f>
        <v>0</v>
      </c>
      <c r="U8">
        <f>'GS &lt; 50 OLS Model'!$B$13*K8</f>
        <v>14235755.378578186</v>
      </c>
      <c r="V8">
        <f t="shared" ca="1" si="2"/>
        <v>21935636.262557279</v>
      </c>
    </row>
    <row r="9" spans="1:22">
      <c r="A9" s="26">
        <f>'Monthly Data'!A9</f>
        <v>40026</v>
      </c>
      <c r="B9">
        <f t="shared" si="1"/>
        <v>2009</v>
      </c>
      <c r="C9">
        <f ca="1">'Monthly Data'!J9</f>
        <v>20523724.411321878</v>
      </c>
      <c r="D9" s="186">
        <f ca="1">Weather!G76</f>
        <v>1.51</v>
      </c>
      <c r="E9" s="186">
        <f ca="1">Weather!H76</f>
        <v>159.64000000000001</v>
      </c>
      <c r="F9" s="124">
        <f>'Monthly Data'!BK9</f>
        <v>145.30000000000001</v>
      </c>
      <c r="G9">
        <f>'Monthly Data'!BM9</f>
        <v>8</v>
      </c>
      <c r="H9">
        <f>'Monthly Data'!BP9</f>
        <v>0</v>
      </c>
      <c r="I9">
        <f>'Monthly Data'!BV9</f>
        <v>0</v>
      </c>
      <c r="J9">
        <f>'Monthly Data'!CB9</f>
        <v>0</v>
      </c>
      <c r="K9">
        <f>'Monthly Data'!CC9</f>
        <v>31</v>
      </c>
      <c r="M9">
        <f>'GS &lt; 50 OLS Model'!$B$5</f>
        <v>-2510760.1679547098</v>
      </c>
      <c r="N9">
        <f ca="1">'GS &lt; 50 OLS Model'!$B$6*D9</f>
        <v>6577.8880664565395</v>
      </c>
      <c r="O9">
        <f ca="1">'GS &lt; 50 OLS Model'!$B$7*E9</f>
        <v>3790715.3171021282</v>
      </c>
      <c r="P9" s="124">
        <f>'GS &lt; 50 OLS Model'!$B$8*F9</f>
        <v>5948578.6659972146</v>
      </c>
      <c r="Q9">
        <f>'GS &lt; 50 OLS Model'!$B$9*G9</f>
        <v>-163941.24243725679</v>
      </c>
      <c r="R9">
        <f>'GS &lt; 50 OLS Model'!$B$10*H9</f>
        <v>0</v>
      </c>
      <c r="S9">
        <f>'GS &lt; 50 OLS Model'!$B$11*I9</f>
        <v>0</v>
      </c>
      <c r="T9">
        <f>'GS &lt; 50 OLS Model'!$B$12*J9</f>
        <v>0</v>
      </c>
      <c r="U9">
        <f>'GS &lt; 50 OLS Model'!$B$13*K9</f>
        <v>14235755.378578186</v>
      </c>
      <c r="V9">
        <f t="shared" ca="1" si="2"/>
        <v>21306925.839352019</v>
      </c>
    </row>
    <row r="10" spans="1:22">
      <c r="A10" s="26">
        <f>'Monthly Data'!A10</f>
        <v>40057</v>
      </c>
      <c r="B10">
        <f t="shared" si="1"/>
        <v>2009</v>
      </c>
      <c r="C10">
        <f ca="1">'Monthly Data'!J10</f>
        <v>18157087.066119879</v>
      </c>
      <c r="D10" s="186">
        <f ca="1">Weather!G77</f>
        <v>33.01</v>
      </c>
      <c r="E10" s="186">
        <f ca="1">Weather!H77</f>
        <v>72.989999999999981</v>
      </c>
      <c r="F10" s="124">
        <f>'Monthly Data'!BK10</f>
        <v>145.6</v>
      </c>
      <c r="G10">
        <f>'Monthly Data'!BM10</f>
        <v>9</v>
      </c>
      <c r="H10">
        <f>'Monthly Data'!BP10</f>
        <v>0</v>
      </c>
      <c r="I10">
        <f>'Monthly Data'!BV10</f>
        <v>1</v>
      </c>
      <c r="J10">
        <f>'Monthly Data'!CB10</f>
        <v>1</v>
      </c>
      <c r="K10">
        <f>'Monthly Data'!CC10</f>
        <v>30</v>
      </c>
      <c r="M10">
        <f>'GS &lt; 50 OLS Model'!$B$5</f>
        <v>-2510760.1679547098</v>
      </c>
      <c r="N10">
        <f ca="1">'GS &lt; 50 OLS Model'!$B$6*D10</f>
        <v>143798.73183690754</v>
      </c>
      <c r="O10">
        <f ca="1">'GS &lt; 50 OLS Model'!$B$7*E10</f>
        <v>1733176.5910503899</v>
      </c>
      <c r="P10" s="124">
        <f>'GS &lt; 50 OLS Model'!$B$8*F10</f>
        <v>5960860.6591135198</v>
      </c>
      <c r="Q10">
        <f>'GS &lt; 50 OLS Model'!$B$9*G10</f>
        <v>-184433.89774191388</v>
      </c>
      <c r="R10">
        <f>'GS &lt; 50 OLS Model'!$B$10*H10</f>
        <v>0</v>
      </c>
      <c r="S10">
        <f>'GS &lt; 50 OLS Model'!$B$11*I10</f>
        <v>697390.17362184904</v>
      </c>
      <c r="T10">
        <f>'GS &lt; 50 OLS Model'!$B$12*J10</f>
        <v>-782960.312499544</v>
      </c>
      <c r="U10">
        <f>'GS &lt; 50 OLS Model'!$B$13*K10</f>
        <v>13776537.46314018</v>
      </c>
      <c r="V10">
        <f t="shared" ca="1" si="2"/>
        <v>18833609.240566678</v>
      </c>
    </row>
    <row r="11" spans="1:22">
      <c r="A11" s="26">
        <f>'Monthly Data'!A11</f>
        <v>40087</v>
      </c>
      <c r="B11">
        <f t="shared" si="1"/>
        <v>2009</v>
      </c>
      <c r="C11">
        <f ca="1">'Monthly Data'!J11</f>
        <v>17337285.180696879</v>
      </c>
      <c r="D11" s="186">
        <f ca="1">Weather!G78</f>
        <v>177.83999999999997</v>
      </c>
      <c r="E11" s="186">
        <f ca="1">Weather!H78</f>
        <v>10.779999999999998</v>
      </c>
      <c r="F11" s="124">
        <f>'Monthly Data'!BK11</f>
        <v>146.30000000000001</v>
      </c>
      <c r="G11">
        <f>'Monthly Data'!BM11</f>
        <v>10</v>
      </c>
      <c r="H11">
        <f>'Monthly Data'!BP11</f>
        <v>0</v>
      </c>
      <c r="I11">
        <f>'Monthly Data'!BV11</f>
        <v>0</v>
      </c>
      <c r="J11">
        <f>'Monthly Data'!CB11</f>
        <v>1</v>
      </c>
      <c r="K11">
        <f>'Monthly Data'!CC11</f>
        <v>31</v>
      </c>
      <c r="M11">
        <f>'GS &lt; 50 OLS Model'!$B$5</f>
        <v>-2510760.1679547098</v>
      </c>
      <c r="N11">
        <f ca="1">'GS &lt; 50 OLS Model'!$B$6*D11</f>
        <v>774709.67797260324</v>
      </c>
      <c r="O11">
        <f ca="1">'GS &lt; 50 OLS Model'!$B$7*E11</f>
        <v>255975.38911526516</v>
      </c>
      <c r="P11" s="124">
        <f>'GS &lt; 50 OLS Model'!$B$8*F11</f>
        <v>5989518.6430515656</v>
      </c>
      <c r="Q11">
        <f>'GS &lt; 50 OLS Model'!$B$9*G11</f>
        <v>-204926.55304657097</v>
      </c>
      <c r="R11">
        <f>'GS &lt; 50 OLS Model'!$B$10*H11</f>
        <v>0</v>
      </c>
      <c r="S11">
        <f>'GS &lt; 50 OLS Model'!$B$11*I11</f>
        <v>0</v>
      </c>
      <c r="T11">
        <f>'GS &lt; 50 OLS Model'!$B$12*J11</f>
        <v>-782960.312499544</v>
      </c>
      <c r="U11">
        <f>'GS &lt; 50 OLS Model'!$B$13*K11</f>
        <v>14235755.378578186</v>
      </c>
      <c r="V11">
        <f t="shared" ca="1" si="2"/>
        <v>17757312.055216793</v>
      </c>
    </row>
    <row r="12" spans="1:22">
      <c r="A12" s="26">
        <f>'Monthly Data'!A12</f>
        <v>40118</v>
      </c>
      <c r="B12">
        <f t="shared" si="1"/>
        <v>2009</v>
      </c>
      <c r="C12">
        <f ca="1">'Monthly Data'!J12</f>
        <v>17481165.503934875</v>
      </c>
      <c r="D12" s="186">
        <f ca="1">Weather!G79</f>
        <v>361.94999999999993</v>
      </c>
      <c r="E12" s="186">
        <f ca="1">Weather!H79</f>
        <v>0.05</v>
      </c>
      <c r="F12" s="124">
        <f>'Monthly Data'!BK12</f>
        <v>146.4</v>
      </c>
      <c r="G12">
        <f>'Monthly Data'!BM12</f>
        <v>11</v>
      </c>
      <c r="H12">
        <f>'Monthly Data'!BP12</f>
        <v>0</v>
      </c>
      <c r="I12">
        <f>'Monthly Data'!BV12</f>
        <v>0</v>
      </c>
      <c r="J12">
        <f>'Monthly Data'!CB12</f>
        <v>1</v>
      </c>
      <c r="K12">
        <f>'Monthly Data'!CC12</f>
        <v>30</v>
      </c>
      <c r="M12">
        <f>'GS &lt; 50 OLS Model'!$B$5</f>
        <v>-2510760.1679547098</v>
      </c>
      <c r="N12">
        <f ca="1">'GS &lt; 50 OLS Model'!$B$6*D12</f>
        <v>1576732.83818142</v>
      </c>
      <c r="O12">
        <f ca="1">'GS &lt; 50 OLS Model'!$B$7*E12</f>
        <v>1187.2698938555902</v>
      </c>
      <c r="P12" s="124">
        <f>'GS &lt; 50 OLS Model'!$B$8*F12</f>
        <v>5993612.640757001</v>
      </c>
      <c r="Q12">
        <f>'GS &lt; 50 OLS Model'!$B$9*G12</f>
        <v>-225419.2083512281</v>
      </c>
      <c r="R12">
        <f>'GS &lt; 50 OLS Model'!$B$10*H12</f>
        <v>0</v>
      </c>
      <c r="S12">
        <f>'GS &lt; 50 OLS Model'!$B$11*I12</f>
        <v>0</v>
      </c>
      <c r="T12">
        <f>'GS &lt; 50 OLS Model'!$B$12*J12</f>
        <v>-782960.312499544</v>
      </c>
      <c r="U12">
        <f>'GS &lt; 50 OLS Model'!$B$13*K12</f>
        <v>13776537.46314018</v>
      </c>
      <c r="V12">
        <f t="shared" ca="1" si="2"/>
        <v>17828930.523166973</v>
      </c>
    </row>
    <row r="13" spans="1:22">
      <c r="A13" s="26">
        <f>'Monthly Data'!A13</f>
        <v>40148</v>
      </c>
      <c r="B13">
        <f t="shared" si="1"/>
        <v>2009</v>
      </c>
      <c r="C13">
        <f ca="1">'Monthly Data'!J13</f>
        <v>19459671.383054875</v>
      </c>
      <c r="D13" s="186">
        <f ca="1">Weather!G80</f>
        <v>556.41000000000008</v>
      </c>
      <c r="E13" s="186">
        <f ca="1">Weather!H80</f>
        <v>0</v>
      </c>
      <c r="F13" s="124">
        <f>'Monthly Data'!BK13</f>
        <v>147.1</v>
      </c>
      <c r="G13">
        <f>'Monthly Data'!BM13</f>
        <v>12</v>
      </c>
      <c r="H13">
        <f>'Monthly Data'!BP13</f>
        <v>0</v>
      </c>
      <c r="I13">
        <f>'Monthly Data'!BV13</f>
        <v>0</v>
      </c>
      <c r="J13">
        <f>'Monthly Data'!CB13</f>
        <v>0</v>
      </c>
      <c r="K13">
        <f>'Monthly Data'!CC13</f>
        <v>31</v>
      </c>
      <c r="M13">
        <f>'GS &lt; 50 OLS Model'!$B$5</f>
        <v>-2510760.1679547098</v>
      </c>
      <c r="N13">
        <f ca="1">'GS &lt; 50 OLS Model'!$B$6*D13</f>
        <v>2423842.8470576713</v>
      </c>
      <c r="O13">
        <f ca="1">'GS &lt; 50 OLS Model'!$B$7*E13</f>
        <v>0</v>
      </c>
      <c r="P13" s="124">
        <f>'GS &lt; 50 OLS Model'!$B$8*F13</f>
        <v>6022270.6246950459</v>
      </c>
      <c r="Q13">
        <f>'GS &lt; 50 OLS Model'!$B$9*G13</f>
        <v>-245911.86365588519</v>
      </c>
      <c r="R13">
        <f>'GS &lt; 50 OLS Model'!$B$10*H13</f>
        <v>0</v>
      </c>
      <c r="S13">
        <f>'GS &lt; 50 OLS Model'!$B$11*I13</f>
        <v>0</v>
      </c>
      <c r="T13">
        <f>'GS &lt; 50 OLS Model'!$B$12*J13</f>
        <v>0</v>
      </c>
      <c r="U13">
        <f>'GS &lt; 50 OLS Model'!$B$13*K13</f>
        <v>14235755.378578186</v>
      </c>
      <c r="V13">
        <f t="shared" ca="1" si="2"/>
        <v>19925196.818720307</v>
      </c>
    </row>
    <row r="14" spans="1:22">
      <c r="A14" s="26">
        <f>'Monthly Data'!A14</f>
        <v>40179</v>
      </c>
      <c r="B14">
        <f t="shared" si="1"/>
        <v>2010</v>
      </c>
      <c r="C14">
        <f ca="1">'Monthly Data'!J14</f>
        <v>20364989.12032054</v>
      </c>
      <c r="D14">
        <f t="shared" ref="D14:E22" ca="1" si="3">D2</f>
        <v>659.42999999999984</v>
      </c>
      <c r="E14">
        <f t="shared" ca="1" si="3"/>
        <v>0</v>
      </c>
      <c r="F14" s="124">
        <f>'Monthly Data'!BK14</f>
        <v>146.9</v>
      </c>
      <c r="G14">
        <f>'Monthly Data'!BM14</f>
        <v>13</v>
      </c>
      <c r="H14">
        <f>'Monthly Data'!BP14</f>
        <v>0</v>
      </c>
      <c r="I14">
        <f>'Monthly Data'!BV14</f>
        <v>0</v>
      </c>
      <c r="J14">
        <f>'Monthly Data'!CB14</f>
        <v>0</v>
      </c>
      <c r="K14">
        <f>'Monthly Data'!CC14</f>
        <v>31</v>
      </c>
      <c r="M14">
        <f>'GS &lt; 50 OLS Model'!$B$5</f>
        <v>-2510760.1679547098</v>
      </c>
      <c r="N14">
        <f ca="1">'GS &lt; 50 OLS Model'!$B$6*D14</f>
        <v>2872620.3494459833</v>
      </c>
      <c r="O14">
        <f ca="1">'GS &lt; 50 OLS Model'!$B$7*E14</f>
        <v>0</v>
      </c>
      <c r="P14" s="124">
        <f>'GS &lt; 50 OLS Model'!$B$8*F14</f>
        <v>6014082.629284176</v>
      </c>
      <c r="Q14">
        <f>'GS &lt; 50 OLS Model'!$B$9*G14</f>
        <v>-266404.51896054228</v>
      </c>
      <c r="R14">
        <f>'GS &lt; 50 OLS Model'!$B$10*H14</f>
        <v>0</v>
      </c>
      <c r="S14">
        <f>'GS &lt; 50 OLS Model'!$B$11*I14</f>
        <v>0</v>
      </c>
      <c r="T14">
        <f>'GS &lt; 50 OLS Model'!$B$12*J14</f>
        <v>0</v>
      </c>
      <c r="U14">
        <f>'GS &lt; 50 OLS Model'!$B$13*K14</f>
        <v>14235755.378578186</v>
      </c>
      <c r="V14">
        <f t="shared" ca="1" si="2"/>
        <v>20345293.670393094</v>
      </c>
    </row>
    <row r="15" spans="1:22">
      <c r="A15" s="26">
        <f>'Monthly Data'!A15</f>
        <v>40210</v>
      </c>
      <c r="B15">
        <f t="shared" si="1"/>
        <v>2010</v>
      </c>
      <c r="C15">
        <f ca="1">'Monthly Data'!J15</f>
        <v>18205145.489051539</v>
      </c>
      <c r="D15">
        <f t="shared" ca="1" si="3"/>
        <v>571.77</v>
      </c>
      <c r="E15">
        <f t="shared" ca="1" si="3"/>
        <v>0</v>
      </c>
      <c r="F15" s="124">
        <f>'Monthly Data'!BK15</f>
        <v>147.6</v>
      </c>
      <c r="G15">
        <f>'Monthly Data'!BM15</f>
        <v>14</v>
      </c>
      <c r="H15">
        <f>'Monthly Data'!BP15</f>
        <v>0</v>
      </c>
      <c r="I15">
        <f>'Monthly Data'!BV15</f>
        <v>0</v>
      </c>
      <c r="J15">
        <f>'Monthly Data'!CB15</f>
        <v>0</v>
      </c>
      <c r="K15">
        <f>'Monthly Data'!CC15</f>
        <v>28</v>
      </c>
      <c r="M15">
        <f>'GS &lt; 50 OLS Model'!$B$5</f>
        <v>-2510760.1679547098</v>
      </c>
      <c r="N15">
        <f ca="1">'GS &lt; 50 OLS Model'!$B$6*D15</f>
        <v>2490754.3442105004</v>
      </c>
      <c r="O15">
        <f ca="1">'GS &lt; 50 OLS Model'!$B$7*E15</f>
        <v>0</v>
      </c>
      <c r="P15" s="124">
        <f>'GS &lt; 50 OLS Model'!$B$8*F15</f>
        <v>6042740.6132222218</v>
      </c>
      <c r="Q15">
        <f>'GS &lt; 50 OLS Model'!$B$9*G15</f>
        <v>-286897.1742651994</v>
      </c>
      <c r="R15">
        <f>'GS &lt; 50 OLS Model'!$B$10*H15</f>
        <v>0</v>
      </c>
      <c r="S15">
        <f>'GS &lt; 50 OLS Model'!$B$11*I15</f>
        <v>0</v>
      </c>
      <c r="T15">
        <f>'GS &lt; 50 OLS Model'!$B$12*J15</f>
        <v>0</v>
      </c>
      <c r="U15">
        <f>'GS &lt; 50 OLS Model'!$B$13*K15</f>
        <v>12858101.632264167</v>
      </c>
      <c r="V15">
        <f t="shared" ca="1" si="2"/>
        <v>18593939.24747698</v>
      </c>
    </row>
    <row r="16" spans="1:22">
      <c r="A16" s="26">
        <f>'Monthly Data'!A16</f>
        <v>40238</v>
      </c>
      <c r="B16">
        <f t="shared" si="1"/>
        <v>2010</v>
      </c>
      <c r="C16">
        <f ca="1">'Monthly Data'!J16</f>
        <v>18513709.375034541</v>
      </c>
      <c r="D16">
        <f t="shared" ca="1" si="3"/>
        <v>456.53999999999996</v>
      </c>
      <c r="E16">
        <f t="shared" ca="1" si="3"/>
        <v>0.48</v>
      </c>
      <c r="F16" s="124">
        <f>'Monthly Data'!BK16</f>
        <v>147.4</v>
      </c>
      <c r="G16">
        <f>'Monthly Data'!BM16</f>
        <v>15</v>
      </c>
      <c r="H16">
        <f>'Monthly Data'!BP16</f>
        <v>1</v>
      </c>
      <c r="I16">
        <f>'Monthly Data'!BV16</f>
        <v>0</v>
      </c>
      <c r="J16">
        <f>'Monthly Data'!CB16</f>
        <v>1</v>
      </c>
      <c r="K16">
        <f>'Monthly Data'!CC16</f>
        <v>31</v>
      </c>
      <c r="M16">
        <f>'GS &lt; 50 OLS Model'!$B$5</f>
        <v>-2510760.1679547098</v>
      </c>
      <c r="N16">
        <f ca="1">'GS &lt; 50 OLS Model'!$B$6*D16</f>
        <v>1988787.4290464029</v>
      </c>
      <c r="O16">
        <f ca="1">'GS &lt; 50 OLS Model'!$B$7*E16</f>
        <v>11397.790981013664</v>
      </c>
      <c r="P16" s="124">
        <f>'GS &lt; 50 OLS Model'!$B$8*F16</f>
        <v>6034552.617811352</v>
      </c>
      <c r="Q16">
        <f>'GS &lt; 50 OLS Model'!$B$9*G16</f>
        <v>-307389.82956985646</v>
      </c>
      <c r="R16">
        <f>'GS &lt; 50 OLS Model'!$B$10*H16</f>
        <v>419453.43275174301</v>
      </c>
      <c r="S16">
        <f>'GS &lt; 50 OLS Model'!$B$11*I16</f>
        <v>0</v>
      </c>
      <c r="T16">
        <f>'GS &lt; 50 OLS Model'!$B$12*J16</f>
        <v>-782960.312499544</v>
      </c>
      <c r="U16">
        <f>'GS &lt; 50 OLS Model'!$B$13*K16</f>
        <v>14235755.378578186</v>
      </c>
      <c r="V16">
        <f t="shared" ca="1" si="2"/>
        <v>19088836.339144588</v>
      </c>
    </row>
    <row r="17" spans="1:22">
      <c r="A17" s="26">
        <f>'Monthly Data'!A17</f>
        <v>40269</v>
      </c>
      <c r="B17">
        <f t="shared" si="1"/>
        <v>2010</v>
      </c>
      <c r="C17">
        <f ca="1">'Monthly Data'!J17</f>
        <v>16824162.846801538</v>
      </c>
      <c r="D17">
        <f t="shared" ca="1" si="3"/>
        <v>248.54999999999995</v>
      </c>
      <c r="E17">
        <f t="shared" ca="1" si="3"/>
        <v>2.63</v>
      </c>
      <c r="F17" s="124">
        <f>'Monthly Data'!BK17</f>
        <v>149</v>
      </c>
      <c r="G17">
        <f>'Monthly Data'!BM17</f>
        <v>16</v>
      </c>
      <c r="H17">
        <f>'Monthly Data'!BP17</f>
        <v>0</v>
      </c>
      <c r="I17">
        <f>'Monthly Data'!BV17</f>
        <v>0</v>
      </c>
      <c r="J17">
        <f>'Monthly Data'!CB17</f>
        <v>1</v>
      </c>
      <c r="K17">
        <f>'Monthly Data'!CC17</f>
        <v>30</v>
      </c>
      <c r="M17">
        <f>'GS &lt; 50 OLS Model'!$B$5</f>
        <v>-2510760.1679547098</v>
      </c>
      <c r="N17">
        <f ca="1">'GS &lt; 50 OLS Model'!$B$6*D17</f>
        <v>1082737.8006077965</v>
      </c>
      <c r="O17">
        <f ca="1">'GS &lt; 50 OLS Model'!$B$7*E17</f>
        <v>62450.396416804033</v>
      </c>
      <c r="P17" s="124">
        <f>'GS &lt; 50 OLS Model'!$B$8*F17</f>
        <v>6100056.5810983134</v>
      </c>
      <c r="Q17">
        <f>'GS &lt; 50 OLS Model'!$B$9*G17</f>
        <v>-327882.48487451358</v>
      </c>
      <c r="R17">
        <f>'GS &lt; 50 OLS Model'!$B$10*H17</f>
        <v>0</v>
      </c>
      <c r="S17">
        <f>'GS &lt; 50 OLS Model'!$B$11*I17</f>
        <v>0</v>
      </c>
      <c r="T17">
        <f>'GS &lt; 50 OLS Model'!$B$12*J17</f>
        <v>-782960.312499544</v>
      </c>
      <c r="U17">
        <f>'GS &lt; 50 OLS Model'!$B$13*K17</f>
        <v>13776537.46314018</v>
      </c>
      <c r="V17">
        <f t="shared" ca="1" si="2"/>
        <v>17400179.275934327</v>
      </c>
    </row>
    <row r="18" spans="1:22">
      <c r="A18" s="26">
        <f>'Monthly Data'!A18</f>
        <v>40299</v>
      </c>
      <c r="B18">
        <f t="shared" si="1"/>
        <v>2010</v>
      </c>
      <c r="C18">
        <f ca="1">'Monthly Data'!J18</f>
        <v>18405787.843161542</v>
      </c>
      <c r="D18">
        <f t="shared" ca="1" si="3"/>
        <v>92.740000000000009</v>
      </c>
      <c r="E18">
        <f t="shared" ca="1" si="3"/>
        <v>47.37</v>
      </c>
      <c r="F18" s="124">
        <f>'Monthly Data'!BK18</f>
        <v>149.6</v>
      </c>
      <c r="G18">
        <f>'Monthly Data'!BM18</f>
        <v>17</v>
      </c>
      <c r="H18">
        <f>'Monthly Data'!BP18</f>
        <v>0</v>
      </c>
      <c r="I18">
        <f>'Monthly Data'!BV18</f>
        <v>0</v>
      </c>
      <c r="J18">
        <f>'Monthly Data'!CB18</f>
        <v>1</v>
      </c>
      <c r="K18">
        <f>'Monthly Data'!CC18</f>
        <v>31</v>
      </c>
      <c r="M18">
        <f>'GS &lt; 50 OLS Model'!$B$5</f>
        <v>-2510760.1679547098</v>
      </c>
      <c r="N18">
        <f ca="1">'GS &lt; 50 OLS Model'!$B$6*D18</f>
        <v>403995.588929258</v>
      </c>
      <c r="O18">
        <f ca="1">'GS &lt; 50 OLS Model'!$B$7*E18</f>
        <v>1124819.4974387861</v>
      </c>
      <c r="P18" s="124">
        <f>'GS &lt; 50 OLS Model'!$B$8*F18</f>
        <v>6124620.5673309239</v>
      </c>
      <c r="Q18">
        <f>'GS &lt; 50 OLS Model'!$B$9*G18</f>
        <v>-348375.1401791707</v>
      </c>
      <c r="R18">
        <f>'GS &lt; 50 OLS Model'!$B$10*H18</f>
        <v>0</v>
      </c>
      <c r="S18">
        <f>'GS &lt; 50 OLS Model'!$B$11*I18</f>
        <v>0</v>
      </c>
      <c r="T18">
        <f>'GS &lt; 50 OLS Model'!$B$12*J18</f>
        <v>-782960.312499544</v>
      </c>
      <c r="U18">
        <f>'GS &lt; 50 OLS Model'!$B$13*K18</f>
        <v>14235755.378578186</v>
      </c>
      <c r="V18">
        <f t="shared" ca="1" si="2"/>
        <v>18247095.411643729</v>
      </c>
    </row>
    <row r="19" spans="1:22">
      <c r="A19" s="26">
        <f>'Monthly Data'!A19</f>
        <v>40330</v>
      </c>
      <c r="B19">
        <f t="shared" si="1"/>
        <v>2010</v>
      </c>
      <c r="C19">
        <f ca="1">'Monthly Data'!J19</f>
        <v>20461415.969543539</v>
      </c>
      <c r="D19">
        <f t="shared" ca="1" si="3"/>
        <v>9.08</v>
      </c>
      <c r="E19">
        <f t="shared" ca="1" si="3"/>
        <v>117.23999999999997</v>
      </c>
      <c r="F19" s="124">
        <f>'Monthly Data'!BK19</f>
        <v>150.5</v>
      </c>
      <c r="G19">
        <f>'Monthly Data'!BM19</f>
        <v>18</v>
      </c>
      <c r="H19">
        <f>'Monthly Data'!BP19</f>
        <v>0</v>
      </c>
      <c r="I19">
        <f>'Monthly Data'!BV19</f>
        <v>0</v>
      </c>
      <c r="J19">
        <f>'Monthly Data'!CB19</f>
        <v>0</v>
      </c>
      <c r="K19">
        <f>'Monthly Data'!CC19</f>
        <v>30</v>
      </c>
      <c r="M19">
        <f>'GS &lt; 50 OLS Model'!$B$5</f>
        <v>-2510760.1679547098</v>
      </c>
      <c r="N19">
        <f ca="1">'GS &lt; 50 OLS Model'!$B$6*D19</f>
        <v>39554.452743990318</v>
      </c>
      <c r="O19">
        <f ca="1">'GS &lt; 50 OLS Model'!$B$7*E19</f>
        <v>2783910.4471125868</v>
      </c>
      <c r="P19" s="124">
        <f>'GS &lt; 50 OLS Model'!$B$8*F19</f>
        <v>6161466.5466798404</v>
      </c>
      <c r="Q19">
        <f>'GS &lt; 50 OLS Model'!$B$9*G19</f>
        <v>-368867.79548382777</v>
      </c>
      <c r="R19">
        <f>'GS &lt; 50 OLS Model'!$B$10*H19</f>
        <v>0</v>
      </c>
      <c r="S19">
        <f>'GS &lt; 50 OLS Model'!$B$11*I19</f>
        <v>0</v>
      </c>
      <c r="T19">
        <f>'GS &lt; 50 OLS Model'!$B$12*J19</f>
        <v>0</v>
      </c>
      <c r="U19">
        <f>'GS &lt; 50 OLS Model'!$B$13*K19</f>
        <v>13776537.46314018</v>
      </c>
      <c r="V19">
        <f t="shared" ca="1" si="2"/>
        <v>19881840.94623806</v>
      </c>
    </row>
    <row r="20" spans="1:22">
      <c r="A20" s="26">
        <f>'Monthly Data'!A20</f>
        <v>40360</v>
      </c>
      <c r="B20">
        <f t="shared" si="1"/>
        <v>2010</v>
      </c>
      <c r="C20">
        <f ca="1">'Monthly Data'!J20</f>
        <v>22795593.036033537</v>
      </c>
      <c r="D20">
        <f t="shared" ca="1" si="3"/>
        <v>0.51</v>
      </c>
      <c r="E20">
        <f t="shared" ca="1" si="3"/>
        <v>185.60999999999999</v>
      </c>
      <c r="F20" s="124">
        <f>'Monthly Data'!BK20</f>
        <v>148.69999999999999</v>
      </c>
      <c r="G20">
        <f>'Monthly Data'!BM20</f>
        <v>19</v>
      </c>
      <c r="H20">
        <f>'Monthly Data'!BP20</f>
        <v>0</v>
      </c>
      <c r="I20">
        <f>'Monthly Data'!BV20</f>
        <v>0</v>
      </c>
      <c r="J20">
        <f>'Monthly Data'!CB20</f>
        <v>0</v>
      </c>
      <c r="K20">
        <f>'Monthly Data'!CC20</f>
        <v>31</v>
      </c>
      <c r="M20">
        <f>'GS &lt; 50 OLS Model'!$B$5</f>
        <v>-2510760.1679547098</v>
      </c>
      <c r="N20">
        <f ca="1">'GS &lt; 50 OLS Model'!$B$6*D20</f>
        <v>2221.6708039025398</v>
      </c>
      <c r="O20">
        <f ca="1">'GS &lt; 50 OLS Model'!$B$7*E20</f>
        <v>4407383.2999707209</v>
      </c>
      <c r="P20" s="124">
        <f>'GS &lt; 50 OLS Model'!$B$8*F20</f>
        <v>6087774.5879820073</v>
      </c>
      <c r="Q20">
        <f>'GS &lt; 50 OLS Model'!$B$9*G20</f>
        <v>-389360.45078848489</v>
      </c>
      <c r="R20">
        <f>'GS &lt; 50 OLS Model'!$B$10*H20</f>
        <v>0</v>
      </c>
      <c r="S20">
        <f>'GS &lt; 50 OLS Model'!$B$11*I20</f>
        <v>0</v>
      </c>
      <c r="T20">
        <f>'GS &lt; 50 OLS Model'!$B$12*J20</f>
        <v>0</v>
      </c>
      <c r="U20">
        <f>'GS &lt; 50 OLS Model'!$B$13*K20</f>
        <v>14235755.378578186</v>
      </c>
      <c r="V20">
        <f t="shared" ca="1" si="2"/>
        <v>21833014.318591624</v>
      </c>
    </row>
    <row r="21" spans="1:22">
      <c r="A21" s="26">
        <f>'Monthly Data'!A21</f>
        <v>40391</v>
      </c>
      <c r="B21">
        <f t="shared" si="1"/>
        <v>2010</v>
      </c>
      <c r="C21">
        <f ca="1">'Monthly Data'!J21</f>
        <v>22116079.594250541</v>
      </c>
      <c r="D21">
        <f t="shared" ca="1" si="3"/>
        <v>1.51</v>
      </c>
      <c r="E21">
        <f t="shared" ca="1" si="3"/>
        <v>159.64000000000001</v>
      </c>
      <c r="F21" s="124">
        <f>'Monthly Data'!BK21</f>
        <v>148</v>
      </c>
      <c r="G21">
        <f>'Monthly Data'!BM21</f>
        <v>20</v>
      </c>
      <c r="H21">
        <f>'Monthly Data'!BP21</f>
        <v>0</v>
      </c>
      <c r="I21">
        <f>'Monthly Data'!BV21</f>
        <v>0</v>
      </c>
      <c r="J21">
        <f>'Monthly Data'!CB21</f>
        <v>0</v>
      </c>
      <c r="K21">
        <f>'Monthly Data'!CC21</f>
        <v>31</v>
      </c>
      <c r="M21">
        <f>'GS &lt; 50 OLS Model'!$B$5</f>
        <v>-2510760.1679547098</v>
      </c>
      <c r="N21">
        <f ca="1">'GS &lt; 50 OLS Model'!$B$6*D21</f>
        <v>6577.8880664565395</v>
      </c>
      <c r="O21">
        <f ca="1">'GS &lt; 50 OLS Model'!$B$7*E21</f>
        <v>3790715.3171021282</v>
      </c>
      <c r="P21" s="124">
        <f>'GS &lt; 50 OLS Model'!$B$8*F21</f>
        <v>6059116.6040439624</v>
      </c>
      <c r="Q21">
        <f>'GS &lt; 50 OLS Model'!$B$9*G21</f>
        <v>-409853.10609314195</v>
      </c>
      <c r="R21">
        <f>'GS &lt; 50 OLS Model'!$B$10*H21</f>
        <v>0</v>
      </c>
      <c r="S21">
        <f>'GS &lt; 50 OLS Model'!$B$11*I21</f>
        <v>0</v>
      </c>
      <c r="T21">
        <f>'GS &lt; 50 OLS Model'!$B$12*J21</f>
        <v>0</v>
      </c>
      <c r="U21">
        <f>'GS &lt; 50 OLS Model'!$B$13*K21</f>
        <v>14235755.378578186</v>
      </c>
      <c r="V21">
        <f t="shared" ca="1" si="2"/>
        <v>21171551.913742881</v>
      </c>
    </row>
    <row r="22" spans="1:22">
      <c r="A22" s="26">
        <f>'Monthly Data'!A22</f>
        <v>40422</v>
      </c>
      <c r="B22">
        <f t="shared" si="1"/>
        <v>2010</v>
      </c>
      <c r="C22">
        <f ca="1">'Monthly Data'!J22</f>
        <v>18334763.226206541</v>
      </c>
      <c r="D22">
        <f t="shared" ca="1" si="3"/>
        <v>33.01</v>
      </c>
      <c r="E22">
        <f t="shared" ca="1" si="3"/>
        <v>72.989999999999981</v>
      </c>
      <c r="F22" s="124">
        <f>'Monthly Data'!BK22</f>
        <v>146.9</v>
      </c>
      <c r="G22">
        <f>'Monthly Data'!BM22</f>
        <v>21</v>
      </c>
      <c r="H22">
        <f>'Monthly Data'!BP22</f>
        <v>0</v>
      </c>
      <c r="I22">
        <f>'Monthly Data'!BV22</f>
        <v>1</v>
      </c>
      <c r="J22">
        <f>'Monthly Data'!CB22</f>
        <v>1</v>
      </c>
      <c r="K22">
        <f>'Monthly Data'!CC22</f>
        <v>30</v>
      </c>
      <c r="M22">
        <f>'GS &lt; 50 OLS Model'!$B$5</f>
        <v>-2510760.1679547098</v>
      </c>
      <c r="N22">
        <f ca="1">'GS &lt; 50 OLS Model'!$B$6*D22</f>
        <v>143798.73183690754</v>
      </c>
      <c r="O22">
        <f ca="1">'GS &lt; 50 OLS Model'!$B$7*E22</f>
        <v>1733176.5910503899</v>
      </c>
      <c r="P22" s="124">
        <f>'GS &lt; 50 OLS Model'!$B$8*F22</f>
        <v>6014082.629284176</v>
      </c>
      <c r="Q22">
        <f>'GS &lt; 50 OLS Model'!$B$9*G22</f>
        <v>-430345.76139779907</v>
      </c>
      <c r="R22">
        <f>'GS &lt; 50 OLS Model'!$B$10*H22</f>
        <v>0</v>
      </c>
      <c r="S22">
        <f>'GS &lt; 50 OLS Model'!$B$11*I22</f>
        <v>697390.17362184904</v>
      </c>
      <c r="T22">
        <f>'GS &lt; 50 OLS Model'!$B$12*J22</f>
        <v>-782960.312499544</v>
      </c>
      <c r="U22">
        <f>'GS &lt; 50 OLS Model'!$B$13*K22</f>
        <v>13776537.46314018</v>
      </c>
      <c r="V22">
        <f t="shared" ca="1" si="2"/>
        <v>18640919.347081449</v>
      </c>
    </row>
    <row r="23" spans="1:22">
      <c r="A23" s="26">
        <f>'Monthly Data'!A23</f>
        <v>40452</v>
      </c>
      <c r="B23">
        <f t="shared" si="1"/>
        <v>2010</v>
      </c>
      <c r="C23">
        <f ca="1">'Monthly Data'!J23</f>
        <v>17072567.952336539</v>
      </c>
      <c r="D23">
        <f t="shared" ref="D23:E38" ca="1" si="4">D11</f>
        <v>177.83999999999997</v>
      </c>
      <c r="E23">
        <f t="shared" ca="1" si="4"/>
        <v>10.779999999999998</v>
      </c>
      <c r="F23" s="124">
        <f>'Monthly Data'!BK23</f>
        <v>146.4</v>
      </c>
      <c r="G23">
        <f>'Monthly Data'!BM23</f>
        <v>22</v>
      </c>
      <c r="H23">
        <f>'Monthly Data'!BP23</f>
        <v>0</v>
      </c>
      <c r="I23">
        <f>'Monthly Data'!BV23</f>
        <v>0</v>
      </c>
      <c r="J23">
        <f>'Monthly Data'!CB23</f>
        <v>1</v>
      </c>
      <c r="K23">
        <f>'Monthly Data'!CC23</f>
        <v>31</v>
      </c>
      <c r="M23">
        <f>'GS &lt; 50 OLS Model'!$B$5</f>
        <v>-2510760.1679547098</v>
      </c>
      <c r="N23">
        <f ca="1">'GS &lt; 50 OLS Model'!$B$6*D23</f>
        <v>774709.67797260324</v>
      </c>
      <c r="O23">
        <f ca="1">'GS &lt; 50 OLS Model'!$B$7*E23</f>
        <v>255975.38911526516</v>
      </c>
      <c r="P23" s="124">
        <f>'GS &lt; 50 OLS Model'!$B$8*F23</f>
        <v>5993612.640757001</v>
      </c>
      <c r="Q23">
        <f>'GS &lt; 50 OLS Model'!$B$9*G23</f>
        <v>-450838.41670245619</v>
      </c>
      <c r="R23">
        <f>'GS &lt; 50 OLS Model'!$B$10*H23</f>
        <v>0</v>
      </c>
      <c r="S23">
        <f>'GS &lt; 50 OLS Model'!$B$11*I23</f>
        <v>0</v>
      </c>
      <c r="T23">
        <f>'GS &lt; 50 OLS Model'!$B$12*J23</f>
        <v>-782960.312499544</v>
      </c>
      <c r="U23">
        <f>'GS &lt; 50 OLS Model'!$B$13*K23</f>
        <v>14235755.378578186</v>
      </c>
      <c r="V23">
        <f t="shared" ca="1" si="2"/>
        <v>17515494.189266346</v>
      </c>
    </row>
    <row r="24" spans="1:22">
      <c r="A24" s="26">
        <f>'Monthly Data'!A24</f>
        <v>40483</v>
      </c>
      <c r="B24">
        <f t="shared" si="1"/>
        <v>2010</v>
      </c>
      <c r="C24">
        <f ca="1">'Monthly Data'!J24</f>
        <v>17395857.750683539</v>
      </c>
      <c r="D24">
        <f t="shared" ca="1" si="4"/>
        <v>361.94999999999993</v>
      </c>
      <c r="E24">
        <f t="shared" ca="1" si="4"/>
        <v>0.05</v>
      </c>
      <c r="F24" s="124">
        <f>'Monthly Data'!BK24</f>
        <v>145.4</v>
      </c>
      <c r="G24">
        <f>'Monthly Data'!BM24</f>
        <v>23</v>
      </c>
      <c r="H24">
        <f>'Monthly Data'!BP24</f>
        <v>0</v>
      </c>
      <c r="I24">
        <f>'Monthly Data'!BV24</f>
        <v>0</v>
      </c>
      <c r="J24">
        <f>'Monthly Data'!CB24</f>
        <v>1</v>
      </c>
      <c r="K24">
        <f>'Monthly Data'!CC24</f>
        <v>30</v>
      </c>
      <c r="M24">
        <f>'GS &lt; 50 OLS Model'!$B$5</f>
        <v>-2510760.1679547098</v>
      </c>
      <c r="N24">
        <f ca="1">'GS &lt; 50 OLS Model'!$B$6*D24</f>
        <v>1576732.83818142</v>
      </c>
      <c r="O24">
        <f ca="1">'GS &lt; 50 OLS Model'!$B$7*E24</f>
        <v>1187.2698938555902</v>
      </c>
      <c r="P24" s="124">
        <f>'GS &lt; 50 OLS Model'!$B$8*F24</f>
        <v>5952672.66370265</v>
      </c>
      <c r="Q24">
        <f>'GS &lt; 50 OLS Model'!$B$9*G24</f>
        <v>-471331.07200711325</v>
      </c>
      <c r="R24">
        <f>'GS &lt; 50 OLS Model'!$B$10*H24</f>
        <v>0</v>
      </c>
      <c r="S24">
        <f>'GS &lt; 50 OLS Model'!$B$11*I24</f>
        <v>0</v>
      </c>
      <c r="T24">
        <f>'GS &lt; 50 OLS Model'!$B$12*J24</f>
        <v>-782960.312499544</v>
      </c>
      <c r="U24">
        <f>'GS &lt; 50 OLS Model'!$B$13*K24</f>
        <v>13776537.46314018</v>
      </c>
      <c r="V24">
        <f t="shared" ca="1" si="2"/>
        <v>17542078.682456739</v>
      </c>
    </row>
    <row r="25" spans="1:22">
      <c r="A25" s="26">
        <f>'Monthly Data'!A25</f>
        <v>40513</v>
      </c>
      <c r="B25">
        <f t="shared" si="1"/>
        <v>2010</v>
      </c>
      <c r="C25">
        <f ca="1">'Monthly Data'!J25</f>
        <v>19655364.768977538</v>
      </c>
      <c r="D25">
        <f t="shared" ca="1" si="4"/>
        <v>556.41000000000008</v>
      </c>
      <c r="E25">
        <f t="shared" ca="1" si="4"/>
        <v>0</v>
      </c>
      <c r="F25" s="124">
        <f>'Monthly Data'!BK25</f>
        <v>145.30000000000001</v>
      </c>
      <c r="G25">
        <f>'Monthly Data'!BM25</f>
        <v>24</v>
      </c>
      <c r="H25">
        <f>'Monthly Data'!BP25</f>
        <v>0</v>
      </c>
      <c r="I25">
        <f>'Monthly Data'!BV25</f>
        <v>0</v>
      </c>
      <c r="J25">
        <f>'Monthly Data'!CB25</f>
        <v>0</v>
      </c>
      <c r="K25">
        <f>'Monthly Data'!CC25</f>
        <v>31</v>
      </c>
      <c r="M25">
        <f>'GS &lt; 50 OLS Model'!$B$5</f>
        <v>-2510760.1679547098</v>
      </c>
      <c r="N25">
        <f ca="1">'GS &lt; 50 OLS Model'!$B$6*D25</f>
        <v>2423842.8470576713</v>
      </c>
      <c r="O25">
        <f ca="1">'GS &lt; 50 OLS Model'!$B$7*E25</f>
        <v>0</v>
      </c>
      <c r="P25" s="124">
        <f>'GS &lt; 50 OLS Model'!$B$8*F25</f>
        <v>5948578.6659972146</v>
      </c>
      <c r="Q25">
        <f>'GS &lt; 50 OLS Model'!$B$9*G25</f>
        <v>-491823.72731177037</v>
      </c>
      <c r="R25">
        <f>'GS &lt; 50 OLS Model'!$B$10*H25</f>
        <v>0</v>
      </c>
      <c r="S25">
        <f>'GS &lt; 50 OLS Model'!$B$11*I25</f>
        <v>0</v>
      </c>
      <c r="T25">
        <f>'GS &lt; 50 OLS Model'!$B$12*J25</f>
        <v>0</v>
      </c>
      <c r="U25">
        <f>'GS &lt; 50 OLS Model'!$B$13*K25</f>
        <v>14235755.378578186</v>
      </c>
      <c r="V25">
        <f t="shared" ca="1" si="2"/>
        <v>19605592.99636659</v>
      </c>
    </row>
    <row r="26" spans="1:22">
      <c r="A26" s="26">
        <f>'Monthly Data'!A26</f>
        <v>40544</v>
      </c>
      <c r="B26">
        <f t="shared" si="1"/>
        <v>2011</v>
      </c>
      <c r="C26">
        <f ca="1">'Monthly Data'!J26</f>
        <v>20433168.712788858</v>
      </c>
      <c r="D26">
        <f t="shared" ca="1" si="4"/>
        <v>659.42999999999984</v>
      </c>
      <c r="E26">
        <f t="shared" ca="1" si="4"/>
        <v>0</v>
      </c>
      <c r="F26" s="124">
        <f>'Monthly Data'!BK26</f>
        <v>148.9</v>
      </c>
      <c r="G26">
        <f>'Monthly Data'!BM26</f>
        <v>25</v>
      </c>
      <c r="H26">
        <f>'Monthly Data'!BP26</f>
        <v>0</v>
      </c>
      <c r="I26">
        <f>'Monthly Data'!BV26</f>
        <v>0</v>
      </c>
      <c r="J26">
        <f>'Monthly Data'!CB26</f>
        <v>0</v>
      </c>
      <c r="K26">
        <f>'Monthly Data'!CC26</f>
        <v>31</v>
      </c>
      <c r="M26">
        <f>'GS &lt; 50 OLS Model'!$B$5</f>
        <v>-2510760.1679547098</v>
      </c>
      <c r="N26">
        <f ca="1">'GS &lt; 50 OLS Model'!$B$6*D26</f>
        <v>2872620.3494459833</v>
      </c>
      <c r="O26">
        <f ca="1">'GS &lt; 50 OLS Model'!$B$7*E26</f>
        <v>0</v>
      </c>
      <c r="P26" s="124">
        <f>'GS &lt; 50 OLS Model'!$B$8*F26</f>
        <v>6095962.583392879</v>
      </c>
      <c r="Q26">
        <f>'GS &lt; 50 OLS Model'!$B$9*G26</f>
        <v>-512316.38261642749</v>
      </c>
      <c r="R26">
        <f>'GS &lt; 50 OLS Model'!$B$10*H26</f>
        <v>0</v>
      </c>
      <c r="S26">
        <f>'GS &lt; 50 OLS Model'!$B$11*I26</f>
        <v>0</v>
      </c>
      <c r="T26">
        <f>'GS &lt; 50 OLS Model'!$B$12*J26</f>
        <v>0</v>
      </c>
      <c r="U26">
        <f>'GS &lt; 50 OLS Model'!$B$13*K26</f>
        <v>14235755.378578186</v>
      </c>
      <c r="V26">
        <f t="shared" ca="1" si="2"/>
        <v>20181261.760845911</v>
      </c>
    </row>
    <row r="27" spans="1:22">
      <c r="A27" s="26">
        <f>'Monthly Data'!A27</f>
        <v>40575</v>
      </c>
      <c r="B27">
        <f t="shared" si="1"/>
        <v>2011</v>
      </c>
      <c r="C27">
        <f ca="1">'Monthly Data'!J27</f>
        <v>18248985.66093586</v>
      </c>
      <c r="D27">
        <f t="shared" ca="1" si="4"/>
        <v>571.77</v>
      </c>
      <c r="E27">
        <f t="shared" ca="1" si="4"/>
        <v>0</v>
      </c>
      <c r="F27" s="124">
        <f>'Monthly Data'!BK27</f>
        <v>148.69999999999999</v>
      </c>
      <c r="G27">
        <f>'Monthly Data'!BM27</f>
        <v>26</v>
      </c>
      <c r="H27">
        <f>'Monthly Data'!BP27</f>
        <v>0</v>
      </c>
      <c r="I27">
        <f>'Monthly Data'!BV27</f>
        <v>0</v>
      </c>
      <c r="J27">
        <f>'Monthly Data'!CB27</f>
        <v>0</v>
      </c>
      <c r="K27">
        <f>'Monthly Data'!CC27</f>
        <v>28</v>
      </c>
      <c r="M27">
        <f>'GS &lt; 50 OLS Model'!$B$5</f>
        <v>-2510760.1679547098</v>
      </c>
      <c r="N27">
        <f ca="1">'GS &lt; 50 OLS Model'!$B$6*D27</f>
        <v>2490754.3442105004</v>
      </c>
      <c r="O27">
        <f ca="1">'GS &lt; 50 OLS Model'!$B$7*E27</f>
        <v>0</v>
      </c>
      <c r="P27" s="124">
        <f>'GS &lt; 50 OLS Model'!$B$8*F27</f>
        <v>6087774.5879820073</v>
      </c>
      <c r="Q27">
        <f>'GS &lt; 50 OLS Model'!$B$9*G27</f>
        <v>-532809.03792108456</v>
      </c>
      <c r="R27">
        <f>'GS &lt; 50 OLS Model'!$B$10*H27</f>
        <v>0</v>
      </c>
      <c r="S27">
        <f>'GS &lt; 50 OLS Model'!$B$11*I27</f>
        <v>0</v>
      </c>
      <c r="T27">
        <f>'GS &lt; 50 OLS Model'!$B$12*J27</f>
        <v>0</v>
      </c>
      <c r="U27">
        <f>'GS &lt; 50 OLS Model'!$B$13*K27</f>
        <v>12858101.632264167</v>
      </c>
      <c r="V27">
        <f t="shared" ca="1" si="2"/>
        <v>18393061.35858088</v>
      </c>
    </row>
    <row r="28" spans="1:22">
      <c r="A28" s="26">
        <f>'Monthly Data'!A28</f>
        <v>40603</v>
      </c>
      <c r="B28">
        <f t="shared" si="1"/>
        <v>2011</v>
      </c>
      <c r="C28">
        <f ca="1">'Monthly Data'!J28</f>
        <v>18891983.127054855</v>
      </c>
      <c r="D28">
        <f t="shared" ca="1" si="4"/>
        <v>456.53999999999996</v>
      </c>
      <c r="E28">
        <f t="shared" ca="1" si="4"/>
        <v>0.48</v>
      </c>
      <c r="F28" s="124">
        <f>'Monthly Data'!BK28</f>
        <v>149.1</v>
      </c>
      <c r="G28">
        <f>'Monthly Data'!BM28</f>
        <v>27</v>
      </c>
      <c r="H28">
        <f>'Monthly Data'!BP28</f>
        <v>1</v>
      </c>
      <c r="I28">
        <f>'Monthly Data'!BV28</f>
        <v>0</v>
      </c>
      <c r="J28">
        <f>'Monthly Data'!CB28</f>
        <v>1</v>
      </c>
      <c r="K28">
        <f>'Monthly Data'!CC28</f>
        <v>31</v>
      </c>
      <c r="M28">
        <f>'GS &lt; 50 OLS Model'!$B$5</f>
        <v>-2510760.1679547098</v>
      </c>
      <c r="N28">
        <f ca="1">'GS &lt; 50 OLS Model'!$B$6*D28</f>
        <v>1988787.4290464029</v>
      </c>
      <c r="O28">
        <f ca="1">'GS &lt; 50 OLS Model'!$B$7*E28</f>
        <v>11397.790981013664</v>
      </c>
      <c r="P28" s="124">
        <f>'GS &lt; 50 OLS Model'!$B$8*F28</f>
        <v>6104150.5788037479</v>
      </c>
      <c r="Q28">
        <f>'GS &lt; 50 OLS Model'!$B$9*G28</f>
        <v>-553301.69322574162</v>
      </c>
      <c r="R28">
        <f>'GS &lt; 50 OLS Model'!$B$10*H28</f>
        <v>419453.43275174301</v>
      </c>
      <c r="S28">
        <f>'GS &lt; 50 OLS Model'!$B$11*I28</f>
        <v>0</v>
      </c>
      <c r="T28">
        <f>'GS &lt; 50 OLS Model'!$B$12*J28</f>
        <v>-782960.312499544</v>
      </c>
      <c r="U28">
        <f>'GS &lt; 50 OLS Model'!$B$13*K28</f>
        <v>14235755.378578186</v>
      </c>
      <c r="V28">
        <f t="shared" ca="1" si="2"/>
        <v>18912522.4364811</v>
      </c>
    </row>
    <row r="29" spans="1:22">
      <c r="A29" s="26">
        <f>'Monthly Data'!A29</f>
        <v>40634</v>
      </c>
      <c r="B29">
        <f t="shared" si="1"/>
        <v>2011</v>
      </c>
      <c r="C29">
        <f ca="1">'Monthly Data'!J29</f>
        <v>17089616.625273857</v>
      </c>
      <c r="D29">
        <f t="shared" ca="1" si="4"/>
        <v>248.54999999999995</v>
      </c>
      <c r="E29">
        <f t="shared" ca="1" si="4"/>
        <v>2.63</v>
      </c>
      <c r="F29" s="124">
        <f>'Monthly Data'!BK29</f>
        <v>146.30000000000001</v>
      </c>
      <c r="G29">
        <f>'Monthly Data'!BM29</f>
        <v>28</v>
      </c>
      <c r="H29">
        <f>'Monthly Data'!BP29</f>
        <v>0</v>
      </c>
      <c r="I29">
        <f>'Monthly Data'!BV29</f>
        <v>0</v>
      </c>
      <c r="J29">
        <f>'Monthly Data'!CB29</f>
        <v>1</v>
      </c>
      <c r="K29">
        <f>'Monthly Data'!CC29</f>
        <v>30</v>
      </c>
      <c r="M29">
        <f>'GS &lt; 50 OLS Model'!$B$5</f>
        <v>-2510760.1679547098</v>
      </c>
      <c r="N29">
        <f ca="1">'GS &lt; 50 OLS Model'!$B$6*D29</f>
        <v>1082737.8006077965</v>
      </c>
      <c r="O29">
        <f ca="1">'GS &lt; 50 OLS Model'!$B$7*E29</f>
        <v>62450.396416804033</v>
      </c>
      <c r="P29" s="124">
        <f>'GS &lt; 50 OLS Model'!$B$8*F29</f>
        <v>5989518.6430515656</v>
      </c>
      <c r="Q29">
        <f>'GS &lt; 50 OLS Model'!$B$9*G29</f>
        <v>-573794.3485303988</v>
      </c>
      <c r="R29">
        <f>'GS &lt; 50 OLS Model'!$B$10*H29</f>
        <v>0</v>
      </c>
      <c r="S29">
        <f>'GS &lt; 50 OLS Model'!$B$11*I29</f>
        <v>0</v>
      </c>
      <c r="T29">
        <f>'GS &lt; 50 OLS Model'!$B$12*J29</f>
        <v>-782960.312499544</v>
      </c>
      <c r="U29">
        <f>'GS &lt; 50 OLS Model'!$B$13*K29</f>
        <v>13776537.46314018</v>
      </c>
      <c r="V29">
        <f t="shared" ca="1" si="2"/>
        <v>17043729.474231694</v>
      </c>
    </row>
    <row r="30" spans="1:22">
      <c r="A30" s="26">
        <f>'Monthly Data'!A30</f>
        <v>40664</v>
      </c>
      <c r="B30">
        <f t="shared" si="1"/>
        <v>2011</v>
      </c>
      <c r="C30">
        <f ca="1">'Monthly Data'!J30</f>
        <v>17878369.437173858</v>
      </c>
      <c r="D30">
        <f t="shared" ca="1" si="4"/>
        <v>92.740000000000009</v>
      </c>
      <c r="E30">
        <f t="shared" ca="1" si="4"/>
        <v>47.37</v>
      </c>
      <c r="F30" s="124">
        <f>'Monthly Data'!BK30</f>
        <v>146.9</v>
      </c>
      <c r="G30">
        <f>'Monthly Data'!BM30</f>
        <v>29</v>
      </c>
      <c r="H30">
        <f>'Monthly Data'!BP30</f>
        <v>0</v>
      </c>
      <c r="I30">
        <f>'Monthly Data'!BV30</f>
        <v>0</v>
      </c>
      <c r="J30">
        <f>'Monthly Data'!CB30</f>
        <v>1</v>
      </c>
      <c r="K30">
        <f>'Monthly Data'!CC30</f>
        <v>31</v>
      </c>
      <c r="M30">
        <f>'GS &lt; 50 OLS Model'!$B$5</f>
        <v>-2510760.1679547098</v>
      </c>
      <c r="N30">
        <f ca="1">'GS &lt; 50 OLS Model'!$B$6*D30</f>
        <v>403995.588929258</v>
      </c>
      <c r="O30">
        <f ca="1">'GS &lt; 50 OLS Model'!$B$7*E30</f>
        <v>1124819.4974387861</v>
      </c>
      <c r="P30" s="124">
        <f>'GS &lt; 50 OLS Model'!$B$8*F30</f>
        <v>6014082.629284176</v>
      </c>
      <c r="Q30">
        <f>'GS &lt; 50 OLS Model'!$B$9*G30</f>
        <v>-594287.00383505586</v>
      </c>
      <c r="R30">
        <f>'GS &lt; 50 OLS Model'!$B$10*H30</f>
        <v>0</v>
      </c>
      <c r="S30">
        <f>'GS &lt; 50 OLS Model'!$B$11*I30</f>
        <v>0</v>
      </c>
      <c r="T30">
        <f>'GS &lt; 50 OLS Model'!$B$12*J30</f>
        <v>-782960.312499544</v>
      </c>
      <c r="U30">
        <f>'GS &lt; 50 OLS Model'!$B$13*K30</f>
        <v>14235755.378578186</v>
      </c>
      <c r="V30">
        <f t="shared" ca="1" si="2"/>
        <v>17890645.609941095</v>
      </c>
    </row>
    <row r="31" spans="1:22">
      <c r="A31" s="26">
        <f>'Monthly Data'!A31</f>
        <v>40695</v>
      </c>
      <c r="B31">
        <f t="shared" si="1"/>
        <v>2011</v>
      </c>
      <c r="C31">
        <f ca="1">'Monthly Data'!J31</f>
        <v>19789305.953011855</v>
      </c>
      <c r="D31">
        <f t="shared" ca="1" si="4"/>
        <v>9.08</v>
      </c>
      <c r="E31">
        <f t="shared" ca="1" si="4"/>
        <v>117.23999999999997</v>
      </c>
      <c r="F31" s="124">
        <f>'Monthly Data'!BK31</f>
        <v>147.1</v>
      </c>
      <c r="G31">
        <f>'Monthly Data'!BM31</f>
        <v>30</v>
      </c>
      <c r="H31">
        <f>'Monthly Data'!BP31</f>
        <v>0</v>
      </c>
      <c r="I31">
        <f>'Monthly Data'!BV31</f>
        <v>0</v>
      </c>
      <c r="J31">
        <f>'Monthly Data'!CB31</f>
        <v>0</v>
      </c>
      <c r="K31">
        <f>'Monthly Data'!CC31</f>
        <v>30</v>
      </c>
      <c r="M31">
        <f>'GS &lt; 50 OLS Model'!$B$5</f>
        <v>-2510760.1679547098</v>
      </c>
      <c r="N31">
        <f ca="1">'GS &lt; 50 OLS Model'!$B$6*D31</f>
        <v>39554.452743990318</v>
      </c>
      <c r="O31">
        <f ca="1">'GS &lt; 50 OLS Model'!$B$7*E31</f>
        <v>2783910.4471125868</v>
      </c>
      <c r="P31" s="124">
        <f>'GS &lt; 50 OLS Model'!$B$8*F31</f>
        <v>6022270.6246950459</v>
      </c>
      <c r="Q31">
        <f>'GS &lt; 50 OLS Model'!$B$9*G31</f>
        <v>-614779.65913971292</v>
      </c>
      <c r="R31">
        <f>'GS &lt; 50 OLS Model'!$B$10*H31</f>
        <v>0</v>
      </c>
      <c r="S31">
        <f>'GS &lt; 50 OLS Model'!$B$11*I31</f>
        <v>0</v>
      </c>
      <c r="T31">
        <f>'GS &lt; 50 OLS Model'!$B$12*J31</f>
        <v>0</v>
      </c>
      <c r="U31">
        <f>'GS &lt; 50 OLS Model'!$B$13*K31</f>
        <v>13776537.46314018</v>
      </c>
      <c r="V31">
        <f t="shared" ca="1" si="2"/>
        <v>19496733.16059738</v>
      </c>
    </row>
    <row r="32" spans="1:22">
      <c r="A32" s="26">
        <f>'Monthly Data'!A32</f>
        <v>40725</v>
      </c>
      <c r="B32">
        <f t="shared" si="1"/>
        <v>2011</v>
      </c>
      <c r="C32">
        <f ca="1">'Monthly Data'!J32</f>
        <v>22703572.420684855</v>
      </c>
      <c r="D32">
        <f t="shared" ca="1" si="4"/>
        <v>0.51</v>
      </c>
      <c r="E32">
        <f t="shared" ca="1" si="4"/>
        <v>185.60999999999999</v>
      </c>
      <c r="F32" s="124">
        <f>'Monthly Data'!BK32</f>
        <v>148</v>
      </c>
      <c r="G32">
        <f>'Monthly Data'!BM32</f>
        <v>31</v>
      </c>
      <c r="H32">
        <f>'Monthly Data'!BP32</f>
        <v>0</v>
      </c>
      <c r="I32">
        <f>'Monthly Data'!BV32</f>
        <v>0</v>
      </c>
      <c r="J32">
        <f>'Monthly Data'!CB32</f>
        <v>0</v>
      </c>
      <c r="K32">
        <f>'Monthly Data'!CC32</f>
        <v>31</v>
      </c>
      <c r="M32">
        <f>'GS &lt; 50 OLS Model'!$B$5</f>
        <v>-2510760.1679547098</v>
      </c>
      <c r="N32">
        <f ca="1">'GS &lt; 50 OLS Model'!$B$6*D32</f>
        <v>2221.6708039025398</v>
      </c>
      <c r="O32">
        <f ca="1">'GS &lt; 50 OLS Model'!$B$7*E32</f>
        <v>4407383.2999707209</v>
      </c>
      <c r="P32" s="124">
        <f>'GS &lt; 50 OLS Model'!$B$8*F32</f>
        <v>6059116.6040439624</v>
      </c>
      <c r="Q32">
        <f>'GS &lt; 50 OLS Model'!$B$9*G32</f>
        <v>-635272.3144443701</v>
      </c>
      <c r="R32">
        <f>'GS &lt; 50 OLS Model'!$B$10*H32</f>
        <v>0</v>
      </c>
      <c r="S32">
        <f>'GS &lt; 50 OLS Model'!$B$11*I32</f>
        <v>0</v>
      </c>
      <c r="T32">
        <f>'GS &lt; 50 OLS Model'!$B$12*J32</f>
        <v>0</v>
      </c>
      <c r="U32">
        <f>'GS &lt; 50 OLS Model'!$B$13*K32</f>
        <v>14235755.378578186</v>
      </c>
      <c r="V32">
        <f t="shared" ca="1" si="2"/>
        <v>21558444.470997691</v>
      </c>
    </row>
    <row r="33" spans="1:22">
      <c r="A33" s="26">
        <f>'Monthly Data'!A33</f>
        <v>40756</v>
      </c>
      <c r="B33">
        <f t="shared" si="1"/>
        <v>2011</v>
      </c>
      <c r="C33">
        <f ca="1">'Monthly Data'!J33</f>
        <v>21542109.43368886</v>
      </c>
      <c r="D33">
        <f t="shared" ca="1" si="4"/>
        <v>1.51</v>
      </c>
      <c r="E33">
        <f t="shared" ca="1" si="4"/>
        <v>159.64000000000001</v>
      </c>
      <c r="F33" s="124">
        <f>'Monthly Data'!BK33</f>
        <v>147.9</v>
      </c>
      <c r="G33">
        <f>'Monthly Data'!BM33</f>
        <v>32</v>
      </c>
      <c r="H33">
        <f>'Monthly Data'!BP33</f>
        <v>0</v>
      </c>
      <c r="I33">
        <f>'Monthly Data'!BV33</f>
        <v>0</v>
      </c>
      <c r="J33">
        <f>'Monthly Data'!CB33</f>
        <v>0</v>
      </c>
      <c r="K33">
        <f>'Monthly Data'!CC33</f>
        <v>31</v>
      </c>
      <c r="M33">
        <f>'GS &lt; 50 OLS Model'!$B$5</f>
        <v>-2510760.1679547098</v>
      </c>
      <c r="N33">
        <f ca="1">'GS &lt; 50 OLS Model'!$B$6*D33</f>
        <v>6577.8880664565395</v>
      </c>
      <c r="O33">
        <f ca="1">'GS &lt; 50 OLS Model'!$B$7*E33</f>
        <v>3790715.3171021282</v>
      </c>
      <c r="P33" s="124">
        <f>'GS &lt; 50 OLS Model'!$B$8*F33</f>
        <v>6055022.6063385271</v>
      </c>
      <c r="Q33">
        <f>'GS &lt; 50 OLS Model'!$B$9*G33</f>
        <v>-655764.96974902716</v>
      </c>
      <c r="R33">
        <f>'GS &lt; 50 OLS Model'!$B$10*H33</f>
        <v>0</v>
      </c>
      <c r="S33">
        <f>'GS &lt; 50 OLS Model'!$B$11*I33</f>
        <v>0</v>
      </c>
      <c r="T33">
        <f>'GS &lt; 50 OLS Model'!$B$12*J33</f>
        <v>0</v>
      </c>
      <c r="U33">
        <f>'GS &lt; 50 OLS Model'!$B$13*K33</f>
        <v>14235755.378578186</v>
      </c>
      <c r="V33">
        <f t="shared" ca="1" si="2"/>
        <v>20921546.05238156</v>
      </c>
    </row>
    <row r="34" spans="1:22">
      <c r="A34" s="26">
        <f>'Monthly Data'!A34</f>
        <v>40787</v>
      </c>
      <c r="B34">
        <f t="shared" si="1"/>
        <v>2011</v>
      </c>
      <c r="C34">
        <f ca="1">'Monthly Data'!J34</f>
        <v>18050834.514007859</v>
      </c>
      <c r="D34">
        <f t="shared" ca="1" si="4"/>
        <v>33.01</v>
      </c>
      <c r="E34">
        <f t="shared" ca="1" si="4"/>
        <v>72.989999999999981</v>
      </c>
      <c r="F34" s="124">
        <f>'Monthly Data'!BK34</f>
        <v>146</v>
      </c>
      <c r="G34">
        <f>'Monthly Data'!BM34</f>
        <v>33</v>
      </c>
      <c r="H34">
        <f>'Monthly Data'!BP34</f>
        <v>0</v>
      </c>
      <c r="I34">
        <f>'Monthly Data'!BV34</f>
        <v>1</v>
      </c>
      <c r="J34">
        <f>'Monthly Data'!CB34</f>
        <v>1</v>
      </c>
      <c r="K34">
        <f>'Monthly Data'!CC34</f>
        <v>30</v>
      </c>
      <c r="M34">
        <f>'GS &lt; 50 OLS Model'!$B$5</f>
        <v>-2510760.1679547098</v>
      </c>
      <c r="N34">
        <f ca="1">'GS &lt; 50 OLS Model'!$B$6*D34</f>
        <v>143798.73183690754</v>
      </c>
      <c r="O34">
        <f ca="1">'GS &lt; 50 OLS Model'!$B$7*E34</f>
        <v>1733176.5910503899</v>
      </c>
      <c r="P34" s="124">
        <f>'GS &lt; 50 OLS Model'!$B$8*F34</f>
        <v>5977236.6499352604</v>
      </c>
      <c r="Q34">
        <f>'GS &lt; 50 OLS Model'!$B$9*G34</f>
        <v>-676257.62505368423</v>
      </c>
      <c r="R34">
        <f>'GS &lt; 50 OLS Model'!$B$10*H34</f>
        <v>0</v>
      </c>
      <c r="S34">
        <f>'GS &lt; 50 OLS Model'!$B$11*I34</f>
        <v>697390.17362184904</v>
      </c>
      <c r="T34">
        <f>'GS &lt; 50 OLS Model'!$B$12*J34</f>
        <v>-782960.312499544</v>
      </c>
      <c r="U34">
        <f>'GS &lt; 50 OLS Model'!$B$13*K34</f>
        <v>13776537.46314018</v>
      </c>
      <c r="V34">
        <f t="shared" ca="1" si="2"/>
        <v>18358161.504076649</v>
      </c>
    </row>
    <row r="35" spans="1:22">
      <c r="A35" s="26">
        <f>'Monthly Data'!A35</f>
        <v>40817</v>
      </c>
      <c r="B35">
        <f t="shared" si="1"/>
        <v>2011</v>
      </c>
      <c r="C35">
        <f ca="1">'Monthly Data'!J35</f>
        <v>17206685.452281859</v>
      </c>
      <c r="D35">
        <f t="shared" ca="1" si="4"/>
        <v>177.83999999999997</v>
      </c>
      <c r="E35">
        <f t="shared" ca="1" si="4"/>
        <v>10.779999999999998</v>
      </c>
      <c r="F35" s="124">
        <f>'Monthly Data'!BK35</f>
        <v>146</v>
      </c>
      <c r="G35">
        <f>'Monthly Data'!BM35</f>
        <v>34</v>
      </c>
      <c r="H35">
        <f>'Monthly Data'!BP35</f>
        <v>0</v>
      </c>
      <c r="I35">
        <f>'Monthly Data'!BV35</f>
        <v>0</v>
      </c>
      <c r="J35">
        <f>'Monthly Data'!CB35</f>
        <v>1</v>
      </c>
      <c r="K35">
        <f>'Monthly Data'!CC35</f>
        <v>31</v>
      </c>
      <c r="M35">
        <f>'GS &lt; 50 OLS Model'!$B$5</f>
        <v>-2510760.1679547098</v>
      </c>
      <c r="N35">
        <f ca="1">'GS &lt; 50 OLS Model'!$B$6*D35</f>
        <v>774709.67797260324</v>
      </c>
      <c r="O35">
        <f ca="1">'GS &lt; 50 OLS Model'!$B$7*E35</f>
        <v>255975.38911526516</v>
      </c>
      <c r="P35" s="124">
        <f>'GS &lt; 50 OLS Model'!$B$8*F35</f>
        <v>5977236.6499352604</v>
      </c>
      <c r="Q35">
        <f>'GS &lt; 50 OLS Model'!$B$9*G35</f>
        <v>-696750.28035834141</v>
      </c>
      <c r="R35">
        <f>'GS &lt; 50 OLS Model'!$B$10*H35</f>
        <v>0</v>
      </c>
      <c r="S35">
        <f>'GS &lt; 50 OLS Model'!$B$11*I35</f>
        <v>0</v>
      </c>
      <c r="T35">
        <f>'GS &lt; 50 OLS Model'!$B$12*J35</f>
        <v>-782960.312499544</v>
      </c>
      <c r="U35">
        <f>'GS &lt; 50 OLS Model'!$B$13*K35</f>
        <v>14235755.378578186</v>
      </c>
      <c r="V35">
        <f t="shared" ca="1" si="2"/>
        <v>17253206.334788721</v>
      </c>
    </row>
    <row r="36" spans="1:22">
      <c r="A36" s="26">
        <f>'Monthly Data'!A36</f>
        <v>40848</v>
      </c>
      <c r="B36">
        <f t="shared" si="1"/>
        <v>2011</v>
      </c>
      <c r="C36">
        <f ca="1">'Monthly Data'!J36</f>
        <v>17348028.408182859</v>
      </c>
      <c r="D36">
        <f t="shared" ca="1" si="4"/>
        <v>361.94999999999993</v>
      </c>
      <c r="E36">
        <f t="shared" ca="1" si="4"/>
        <v>0.05</v>
      </c>
      <c r="F36" s="124">
        <f>'Monthly Data'!BK36</f>
        <v>147.30000000000001</v>
      </c>
      <c r="G36">
        <f>'Monthly Data'!BM36</f>
        <v>35</v>
      </c>
      <c r="H36">
        <f>'Monthly Data'!BP36</f>
        <v>0</v>
      </c>
      <c r="I36">
        <f>'Monthly Data'!BV36</f>
        <v>0</v>
      </c>
      <c r="J36">
        <f>'Monthly Data'!CB36</f>
        <v>1</v>
      </c>
      <c r="K36">
        <f>'Monthly Data'!CC36</f>
        <v>30</v>
      </c>
      <c r="M36">
        <f>'GS &lt; 50 OLS Model'!$B$5</f>
        <v>-2510760.1679547098</v>
      </c>
      <c r="N36">
        <f ca="1">'GS &lt; 50 OLS Model'!$B$6*D36</f>
        <v>1576732.83818142</v>
      </c>
      <c r="O36">
        <f ca="1">'GS &lt; 50 OLS Model'!$B$7*E36</f>
        <v>1187.2698938555902</v>
      </c>
      <c r="P36" s="124">
        <f>'GS &lt; 50 OLS Model'!$B$8*F36</f>
        <v>6030458.6201059166</v>
      </c>
      <c r="Q36">
        <f>'GS &lt; 50 OLS Model'!$B$9*G36</f>
        <v>-717242.93566299847</v>
      </c>
      <c r="R36">
        <f>'GS &lt; 50 OLS Model'!$B$10*H36</f>
        <v>0</v>
      </c>
      <c r="S36">
        <f>'GS &lt; 50 OLS Model'!$B$11*I36</f>
        <v>0</v>
      </c>
      <c r="T36">
        <f>'GS &lt; 50 OLS Model'!$B$12*J36</f>
        <v>-782960.312499544</v>
      </c>
      <c r="U36">
        <f>'GS &lt; 50 OLS Model'!$B$13*K36</f>
        <v>13776537.46314018</v>
      </c>
      <c r="V36">
        <f t="shared" ca="1" si="2"/>
        <v>17373952.775204118</v>
      </c>
    </row>
    <row r="37" spans="1:22">
      <c r="A37" s="26">
        <f>'Monthly Data'!A37</f>
        <v>40878</v>
      </c>
      <c r="B37">
        <f t="shared" si="1"/>
        <v>2011</v>
      </c>
      <c r="C37">
        <f ca="1">'Monthly Data'!J37</f>
        <v>18974962.525991857</v>
      </c>
      <c r="D37">
        <f t="shared" ca="1" si="4"/>
        <v>556.41000000000008</v>
      </c>
      <c r="E37">
        <f t="shared" ca="1" si="4"/>
        <v>0</v>
      </c>
      <c r="F37" s="124">
        <f>'Monthly Data'!BK37</f>
        <v>149.30000000000001</v>
      </c>
      <c r="G37">
        <f>'Monthly Data'!BM37</f>
        <v>36</v>
      </c>
      <c r="H37">
        <f>'Monthly Data'!BP37</f>
        <v>0</v>
      </c>
      <c r="I37">
        <f>'Monthly Data'!BV37</f>
        <v>0</v>
      </c>
      <c r="J37">
        <f>'Monthly Data'!CB37</f>
        <v>0</v>
      </c>
      <c r="K37">
        <f>'Monthly Data'!CC37</f>
        <v>31</v>
      </c>
      <c r="M37">
        <f>'GS &lt; 50 OLS Model'!$B$5</f>
        <v>-2510760.1679547098</v>
      </c>
      <c r="N37">
        <f ca="1">'GS &lt; 50 OLS Model'!$B$6*D37</f>
        <v>2423842.8470576713</v>
      </c>
      <c r="O37">
        <f ca="1">'GS &lt; 50 OLS Model'!$B$7*E37</f>
        <v>0</v>
      </c>
      <c r="P37" s="124">
        <f>'GS &lt; 50 OLS Model'!$B$8*F37</f>
        <v>6112338.5742146196</v>
      </c>
      <c r="Q37">
        <f>'GS &lt; 50 OLS Model'!$B$9*G37</f>
        <v>-737735.59096765553</v>
      </c>
      <c r="R37">
        <f>'GS &lt; 50 OLS Model'!$B$10*H37</f>
        <v>0</v>
      </c>
      <c r="S37">
        <f>'GS &lt; 50 OLS Model'!$B$11*I37</f>
        <v>0</v>
      </c>
      <c r="T37">
        <f>'GS &lt; 50 OLS Model'!$B$12*J37</f>
        <v>0</v>
      </c>
      <c r="U37">
        <f>'GS &lt; 50 OLS Model'!$B$13*K37</f>
        <v>14235755.378578186</v>
      </c>
      <c r="V37">
        <f t="shared" ca="1" si="2"/>
        <v>19523441.04092811</v>
      </c>
    </row>
    <row r="38" spans="1:22">
      <c r="A38" s="26">
        <f>'Monthly Data'!A38</f>
        <v>40909</v>
      </c>
      <c r="B38">
        <f t="shared" si="1"/>
        <v>2012</v>
      </c>
      <c r="C38">
        <f ca="1">'Monthly Data'!J38</f>
        <v>19511148.082728777</v>
      </c>
      <c r="D38">
        <f t="shared" ca="1" si="4"/>
        <v>659.42999999999984</v>
      </c>
      <c r="E38">
        <f t="shared" ca="1" si="4"/>
        <v>0</v>
      </c>
      <c r="F38" s="124">
        <f>'Monthly Data'!BK38</f>
        <v>149.5</v>
      </c>
      <c r="G38">
        <f>'Monthly Data'!BM38</f>
        <v>37</v>
      </c>
      <c r="H38">
        <f>'Monthly Data'!BP38</f>
        <v>0</v>
      </c>
      <c r="I38">
        <f>'Monthly Data'!BV38</f>
        <v>0</v>
      </c>
      <c r="J38">
        <f>'Monthly Data'!CB38</f>
        <v>0</v>
      </c>
      <c r="K38">
        <f>'Monthly Data'!CC38</f>
        <v>31</v>
      </c>
      <c r="M38">
        <f>'GS &lt; 50 OLS Model'!$B$5</f>
        <v>-2510760.1679547098</v>
      </c>
      <c r="N38">
        <f ca="1">'GS &lt; 50 OLS Model'!$B$6*D38</f>
        <v>2872620.3494459833</v>
      </c>
      <c r="O38">
        <f ca="1">'GS &lt; 50 OLS Model'!$B$7*E38</f>
        <v>0</v>
      </c>
      <c r="P38" s="124">
        <f>'GS &lt; 50 OLS Model'!$B$8*F38</f>
        <v>6120526.5696254894</v>
      </c>
      <c r="Q38">
        <f>'GS &lt; 50 OLS Model'!$B$9*G38</f>
        <v>-758228.24627231271</v>
      </c>
      <c r="R38">
        <f>'GS &lt; 50 OLS Model'!$B$10*H38</f>
        <v>0</v>
      </c>
      <c r="S38">
        <f>'GS &lt; 50 OLS Model'!$B$11*I38</f>
        <v>0</v>
      </c>
      <c r="T38">
        <f>'GS &lt; 50 OLS Model'!$B$12*J38</f>
        <v>0</v>
      </c>
      <c r="U38">
        <f>'GS &lt; 50 OLS Model'!$B$13*K38</f>
        <v>14235755.378578186</v>
      </c>
      <c r="V38">
        <f t="shared" ca="1" si="2"/>
        <v>19959913.883422635</v>
      </c>
    </row>
    <row r="39" spans="1:22">
      <c r="A39" s="26">
        <f>'Monthly Data'!A39</f>
        <v>40940</v>
      </c>
      <c r="B39">
        <f t="shared" si="1"/>
        <v>2012</v>
      </c>
      <c r="C39">
        <f ca="1">'Monthly Data'!J39</f>
        <v>18256163.68848278</v>
      </c>
      <c r="D39">
        <f t="shared" ref="D39:E54" ca="1" si="5">D27</f>
        <v>571.77</v>
      </c>
      <c r="E39">
        <f t="shared" ca="1" si="5"/>
        <v>0</v>
      </c>
      <c r="F39" s="124">
        <f>'Monthly Data'!BK39</f>
        <v>150.19999999999999</v>
      </c>
      <c r="G39">
        <f>'Monthly Data'!BM39</f>
        <v>38</v>
      </c>
      <c r="H39">
        <f>'Monthly Data'!BP39</f>
        <v>0</v>
      </c>
      <c r="I39">
        <f>'Monthly Data'!BV39</f>
        <v>0</v>
      </c>
      <c r="J39">
        <f>'Monthly Data'!CB39</f>
        <v>0</v>
      </c>
      <c r="K39">
        <f>'Monthly Data'!CC39</f>
        <v>29</v>
      </c>
      <c r="M39">
        <f>'GS &lt; 50 OLS Model'!$B$5</f>
        <v>-2510760.1679547098</v>
      </c>
      <c r="N39">
        <f ca="1">'GS &lt; 50 OLS Model'!$B$6*D39</f>
        <v>2490754.3442105004</v>
      </c>
      <c r="O39">
        <f ca="1">'GS &lt; 50 OLS Model'!$B$7*E39</f>
        <v>0</v>
      </c>
      <c r="P39" s="124">
        <f>'GS &lt; 50 OLS Model'!$B$8*F39</f>
        <v>6149184.5535635343</v>
      </c>
      <c r="Q39">
        <f>'GS &lt; 50 OLS Model'!$B$9*G39</f>
        <v>-778720.90157696977</v>
      </c>
      <c r="R39">
        <f>'GS &lt; 50 OLS Model'!$B$10*H39</f>
        <v>0</v>
      </c>
      <c r="S39">
        <f>'GS &lt; 50 OLS Model'!$B$11*I39</f>
        <v>0</v>
      </c>
      <c r="T39">
        <f>'GS &lt; 50 OLS Model'!$B$12*J39</f>
        <v>0</v>
      </c>
      <c r="U39">
        <f>'GS &lt; 50 OLS Model'!$B$13*K39</f>
        <v>13317319.547702175</v>
      </c>
      <c r="V39">
        <f t="shared" ca="1" si="2"/>
        <v>18667777.375944529</v>
      </c>
    </row>
    <row r="40" spans="1:22">
      <c r="A40" s="26">
        <f>'Monthly Data'!A40</f>
        <v>40969</v>
      </c>
      <c r="B40">
        <f t="shared" si="1"/>
        <v>2012</v>
      </c>
      <c r="C40">
        <f ca="1">'Monthly Data'!J40</f>
        <v>18096668.85844278</v>
      </c>
      <c r="D40">
        <f t="shared" ca="1" si="5"/>
        <v>456.53999999999996</v>
      </c>
      <c r="E40">
        <f t="shared" ca="1" si="5"/>
        <v>0.48</v>
      </c>
      <c r="F40" s="124">
        <f>'Monthly Data'!BK40</f>
        <v>151.80000000000001</v>
      </c>
      <c r="G40">
        <f>'Monthly Data'!BM40</f>
        <v>39</v>
      </c>
      <c r="H40">
        <f>'Monthly Data'!BP40</f>
        <v>1</v>
      </c>
      <c r="I40">
        <f>'Monthly Data'!BV40</f>
        <v>0</v>
      </c>
      <c r="J40">
        <f>'Monthly Data'!CB40</f>
        <v>1</v>
      </c>
      <c r="K40">
        <f>'Monthly Data'!CC40</f>
        <v>31</v>
      </c>
      <c r="M40">
        <f>'GS &lt; 50 OLS Model'!$B$5</f>
        <v>-2510760.1679547098</v>
      </c>
      <c r="N40">
        <f ca="1">'GS &lt; 50 OLS Model'!$B$6*D40</f>
        <v>1988787.4290464029</v>
      </c>
      <c r="O40">
        <f ca="1">'GS &lt; 50 OLS Model'!$B$7*E40</f>
        <v>11397.790981013664</v>
      </c>
      <c r="P40" s="124">
        <f>'GS &lt; 50 OLS Model'!$B$8*F40</f>
        <v>6214688.5168504966</v>
      </c>
      <c r="Q40">
        <f>'GS &lt; 50 OLS Model'!$B$9*G40</f>
        <v>-799213.55688162684</v>
      </c>
      <c r="R40">
        <f>'GS &lt; 50 OLS Model'!$B$10*H40</f>
        <v>419453.43275174301</v>
      </c>
      <c r="S40">
        <f>'GS &lt; 50 OLS Model'!$B$11*I40</f>
        <v>0</v>
      </c>
      <c r="T40">
        <f>'GS &lt; 50 OLS Model'!$B$12*J40</f>
        <v>-782960.312499544</v>
      </c>
      <c r="U40">
        <f>'GS &lt; 50 OLS Model'!$B$13*K40</f>
        <v>14235755.378578186</v>
      </c>
      <c r="V40">
        <f t="shared" ca="1" si="2"/>
        <v>18777148.510871962</v>
      </c>
    </row>
    <row r="41" spans="1:22">
      <c r="A41" s="26">
        <f>'Monthly Data'!A41</f>
        <v>41000</v>
      </c>
      <c r="B41">
        <f t="shared" si="1"/>
        <v>2012</v>
      </c>
      <c r="C41">
        <f ca="1">'Monthly Data'!J41</f>
        <v>16541459.767637776</v>
      </c>
      <c r="D41">
        <f t="shared" ca="1" si="5"/>
        <v>248.54999999999995</v>
      </c>
      <c r="E41">
        <f t="shared" ca="1" si="5"/>
        <v>2.63</v>
      </c>
      <c r="F41" s="124">
        <f>'Monthly Data'!BK41</f>
        <v>152.5</v>
      </c>
      <c r="G41">
        <f>'Monthly Data'!BM41</f>
        <v>40</v>
      </c>
      <c r="H41">
        <f>'Monthly Data'!BP41</f>
        <v>0</v>
      </c>
      <c r="I41">
        <f>'Monthly Data'!BV41</f>
        <v>0</v>
      </c>
      <c r="J41">
        <f>'Monthly Data'!CB41</f>
        <v>1</v>
      </c>
      <c r="K41">
        <f>'Monthly Data'!CC41</f>
        <v>30</v>
      </c>
      <c r="M41">
        <f>'GS &lt; 50 OLS Model'!$B$5</f>
        <v>-2510760.1679547098</v>
      </c>
      <c r="N41">
        <f ca="1">'GS &lt; 50 OLS Model'!$B$6*D41</f>
        <v>1082737.8006077965</v>
      </c>
      <c r="O41">
        <f ca="1">'GS &lt; 50 OLS Model'!$B$7*E41</f>
        <v>62450.396416804033</v>
      </c>
      <c r="P41" s="124">
        <f>'GS &lt; 50 OLS Model'!$B$8*F41</f>
        <v>6243346.5007885424</v>
      </c>
      <c r="Q41">
        <f>'GS &lt; 50 OLS Model'!$B$9*G41</f>
        <v>-819706.2121862839</v>
      </c>
      <c r="R41">
        <f>'GS &lt; 50 OLS Model'!$B$10*H41</f>
        <v>0</v>
      </c>
      <c r="S41">
        <f>'GS &lt; 50 OLS Model'!$B$11*I41</f>
        <v>0</v>
      </c>
      <c r="T41">
        <f>'GS &lt; 50 OLS Model'!$B$12*J41</f>
        <v>-782960.312499544</v>
      </c>
      <c r="U41">
        <f>'GS &lt; 50 OLS Model'!$B$13*K41</f>
        <v>13776537.46314018</v>
      </c>
      <c r="V41">
        <f t="shared" ca="1" si="2"/>
        <v>17051645.468312785</v>
      </c>
    </row>
    <row r="42" spans="1:22">
      <c r="A42" s="26">
        <f>'Monthly Data'!A42</f>
        <v>41030</v>
      </c>
      <c r="B42">
        <f t="shared" si="1"/>
        <v>2012</v>
      </c>
      <c r="C42">
        <f ca="1">'Monthly Data'!J42</f>
        <v>18171949.748051777</v>
      </c>
      <c r="D42">
        <f t="shared" ca="1" si="5"/>
        <v>92.740000000000009</v>
      </c>
      <c r="E42">
        <f t="shared" ca="1" si="5"/>
        <v>47.37</v>
      </c>
      <c r="F42" s="124">
        <f>'Monthly Data'!BK42</f>
        <v>152.69999999999999</v>
      </c>
      <c r="G42">
        <f>'Monthly Data'!BM42</f>
        <v>41</v>
      </c>
      <c r="H42">
        <f>'Monthly Data'!BP42</f>
        <v>0</v>
      </c>
      <c r="I42">
        <f>'Monthly Data'!BV42</f>
        <v>0</v>
      </c>
      <c r="J42">
        <f>'Monthly Data'!CB42</f>
        <v>1</v>
      </c>
      <c r="K42">
        <f>'Monthly Data'!CC42</f>
        <v>31</v>
      </c>
      <c r="M42">
        <f>'GS &lt; 50 OLS Model'!$B$5</f>
        <v>-2510760.1679547098</v>
      </c>
      <c r="N42">
        <f ca="1">'GS &lt; 50 OLS Model'!$B$6*D42</f>
        <v>403995.588929258</v>
      </c>
      <c r="O42">
        <f ca="1">'GS &lt; 50 OLS Model'!$B$7*E42</f>
        <v>1124819.4974387861</v>
      </c>
      <c r="P42" s="124">
        <f>'GS &lt; 50 OLS Model'!$B$8*F42</f>
        <v>6251534.4961994123</v>
      </c>
      <c r="Q42">
        <f>'GS &lt; 50 OLS Model'!$B$9*G42</f>
        <v>-840198.86749094108</v>
      </c>
      <c r="R42">
        <f>'GS &lt; 50 OLS Model'!$B$10*H42</f>
        <v>0</v>
      </c>
      <c r="S42">
        <f>'GS &lt; 50 OLS Model'!$B$11*I42</f>
        <v>0</v>
      </c>
      <c r="T42">
        <f>'GS &lt; 50 OLS Model'!$B$12*J42</f>
        <v>-782960.312499544</v>
      </c>
      <c r="U42">
        <f>'GS &lt; 50 OLS Model'!$B$13*K42</f>
        <v>14235755.378578186</v>
      </c>
      <c r="V42">
        <f t="shared" ca="1" si="2"/>
        <v>17882185.613200448</v>
      </c>
    </row>
    <row r="43" spans="1:22">
      <c r="A43" s="26">
        <f>'Monthly Data'!A43</f>
        <v>41061</v>
      </c>
      <c r="B43">
        <f t="shared" ref="B43:B106" si="6">YEAR(A43)</f>
        <v>2012</v>
      </c>
      <c r="C43">
        <f ca="1">'Monthly Data'!J43</f>
        <v>20403300.909939777</v>
      </c>
      <c r="D43">
        <f t="shared" ca="1" si="5"/>
        <v>9.08</v>
      </c>
      <c r="E43">
        <f t="shared" ca="1" si="5"/>
        <v>117.23999999999997</v>
      </c>
      <c r="F43" s="124">
        <f>'Monthly Data'!BK43</f>
        <v>152.6</v>
      </c>
      <c r="G43">
        <f>'Monthly Data'!BM43</f>
        <v>42</v>
      </c>
      <c r="H43">
        <f>'Monthly Data'!BP43</f>
        <v>0</v>
      </c>
      <c r="I43">
        <f>'Monthly Data'!BV43</f>
        <v>0</v>
      </c>
      <c r="J43">
        <f>'Monthly Data'!CB43</f>
        <v>0</v>
      </c>
      <c r="K43">
        <f>'Monthly Data'!CC43</f>
        <v>30</v>
      </c>
      <c r="M43">
        <f>'GS &lt; 50 OLS Model'!$B$5</f>
        <v>-2510760.1679547098</v>
      </c>
      <c r="N43">
        <f ca="1">'GS &lt; 50 OLS Model'!$B$6*D43</f>
        <v>39554.452743990318</v>
      </c>
      <c r="O43">
        <f ca="1">'GS &lt; 50 OLS Model'!$B$7*E43</f>
        <v>2783910.4471125868</v>
      </c>
      <c r="P43" s="124">
        <f>'GS &lt; 50 OLS Model'!$B$8*F43</f>
        <v>6247440.4984939769</v>
      </c>
      <c r="Q43">
        <f>'GS &lt; 50 OLS Model'!$B$9*G43</f>
        <v>-860691.52279559814</v>
      </c>
      <c r="R43">
        <f>'GS &lt; 50 OLS Model'!$B$10*H43</f>
        <v>0</v>
      </c>
      <c r="S43">
        <f>'GS &lt; 50 OLS Model'!$B$11*I43</f>
        <v>0</v>
      </c>
      <c r="T43">
        <f>'GS &lt; 50 OLS Model'!$B$12*J43</f>
        <v>0</v>
      </c>
      <c r="U43">
        <f>'GS &lt; 50 OLS Model'!$B$13*K43</f>
        <v>13776537.46314018</v>
      </c>
      <c r="V43">
        <f t="shared" ref="V43:V97" ca="1" si="7">SUM(M43:U43)</f>
        <v>19475991.170740426</v>
      </c>
    </row>
    <row r="44" spans="1:22">
      <c r="A44" s="26">
        <f>'Monthly Data'!A44</f>
        <v>41091</v>
      </c>
      <c r="B44">
        <f t="shared" si="6"/>
        <v>2012</v>
      </c>
      <c r="C44">
        <f ca="1">'Monthly Data'!J44</f>
        <v>22861363.392034773</v>
      </c>
      <c r="D44">
        <f t="shared" ca="1" si="5"/>
        <v>0.51</v>
      </c>
      <c r="E44">
        <f t="shared" ca="1" si="5"/>
        <v>185.60999999999999</v>
      </c>
      <c r="F44" s="124">
        <f>'Monthly Data'!BK44</f>
        <v>153.80000000000001</v>
      </c>
      <c r="G44">
        <f>'Monthly Data'!BM44</f>
        <v>43</v>
      </c>
      <c r="H44">
        <f>'Monthly Data'!BP44</f>
        <v>0</v>
      </c>
      <c r="I44">
        <f>'Monthly Data'!BV44</f>
        <v>0</v>
      </c>
      <c r="J44">
        <f>'Monthly Data'!CB44</f>
        <v>0</v>
      </c>
      <c r="K44">
        <f>'Monthly Data'!CC44</f>
        <v>31</v>
      </c>
      <c r="M44">
        <f>'GS &lt; 50 OLS Model'!$B$5</f>
        <v>-2510760.1679547098</v>
      </c>
      <c r="N44">
        <f ca="1">'GS &lt; 50 OLS Model'!$B$6*D44</f>
        <v>2221.6708039025398</v>
      </c>
      <c r="O44">
        <f ca="1">'GS &lt; 50 OLS Model'!$B$7*E44</f>
        <v>4407383.2999707209</v>
      </c>
      <c r="P44" s="124">
        <f>'GS &lt; 50 OLS Model'!$B$8*F44</f>
        <v>6296568.4709591996</v>
      </c>
      <c r="Q44">
        <f>'GS &lt; 50 OLS Model'!$B$9*G44</f>
        <v>-881184.1781002552</v>
      </c>
      <c r="R44">
        <f>'GS &lt; 50 OLS Model'!$B$10*H44</f>
        <v>0</v>
      </c>
      <c r="S44">
        <f>'GS &lt; 50 OLS Model'!$B$11*I44</f>
        <v>0</v>
      </c>
      <c r="T44">
        <f>'GS &lt; 50 OLS Model'!$B$12*J44</f>
        <v>0</v>
      </c>
      <c r="U44">
        <f>'GS &lt; 50 OLS Model'!$B$13*K44</f>
        <v>14235755.378578186</v>
      </c>
      <c r="V44">
        <f t="shared" ca="1" si="7"/>
        <v>21549984.474257044</v>
      </c>
    </row>
    <row r="45" spans="1:22">
      <c r="A45" s="26">
        <f>'Monthly Data'!A45</f>
        <v>41122</v>
      </c>
      <c r="B45">
        <f t="shared" si="6"/>
        <v>2012</v>
      </c>
      <c r="C45">
        <f ca="1">'Monthly Data'!J45</f>
        <v>21118978.986886777</v>
      </c>
      <c r="D45">
        <f t="shared" ca="1" si="5"/>
        <v>1.51</v>
      </c>
      <c r="E45">
        <f t="shared" ca="1" si="5"/>
        <v>159.64000000000001</v>
      </c>
      <c r="F45" s="124">
        <f>'Monthly Data'!BK45</f>
        <v>154.5</v>
      </c>
      <c r="G45">
        <f>'Monthly Data'!BM45</f>
        <v>44</v>
      </c>
      <c r="H45">
        <f>'Monthly Data'!BP45</f>
        <v>0</v>
      </c>
      <c r="I45">
        <f>'Monthly Data'!BV45</f>
        <v>0</v>
      </c>
      <c r="J45">
        <f>'Monthly Data'!CB45</f>
        <v>0</v>
      </c>
      <c r="K45">
        <f>'Monthly Data'!CC45</f>
        <v>31</v>
      </c>
      <c r="M45">
        <f>'GS &lt; 50 OLS Model'!$B$5</f>
        <v>-2510760.1679547098</v>
      </c>
      <c r="N45">
        <f ca="1">'GS &lt; 50 OLS Model'!$B$6*D45</f>
        <v>6577.8880664565395</v>
      </c>
      <c r="O45">
        <f ca="1">'GS &lt; 50 OLS Model'!$B$7*E45</f>
        <v>3790715.3171021282</v>
      </c>
      <c r="P45" s="124">
        <f>'GS &lt; 50 OLS Model'!$B$8*F45</f>
        <v>6325226.4548972445</v>
      </c>
      <c r="Q45">
        <f>'GS &lt; 50 OLS Model'!$B$9*G45</f>
        <v>-901676.83340491238</v>
      </c>
      <c r="R45">
        <f>'GS &lt; 50 OLS Model'!$B$10*H45</f>
        <v>0</v>
      </c>
      <c r="S45">
        <f>'GS &lt; 50 OLS Model'!$B$11*I45</f>
        <v>0</v>
      </c>
      <c r="T45">
        <f>'GS &lt; 50 OLS Model'!$B$12*J45</f>
        <v>0</v>
      </c>
      <c r="U45">
        <f>'GS &lt; 50 OLS Model'!$B$13*K45</f>
        <v>14235755.378578186</v>
      </c>
      <c r="V45">
        <f t="shared" ca="1" si="7"/>
        <v>20945838.037284393</v>
      </c>
    </row>
    <row r="46" spans="1:22">
      <c r="A46" s="26">
        <f>'Monthly Data'!A46</f>
        <v>41153</v>
      </c>
      <c r="B46">
        <f t="shared" si="6"/>
        <v>2012</v>
      </c>
      <c r="C46">
        <f ca="1">'Monthly Data'!J46</f>
        <v>18170205.46941378</v>
      </c>
      <c r="D46">
        <f t="shared" ca="1" si="5"/>
        <v>33.01</v>
      </c>
      <c r="E46">
        <f t="shared" ca="1" si="5"/>
        <v>72.989999999999981</v>
      </c>
      <c r="F46" s="124">
        <f>'Monthly Data'!BK46</f>
        <v>155.1</v>
      </c>
      <c r="G46">
        <f>'Monthly Data'!BM46</f>
        <v>45</v>
      </c>
      <c r="H46">
        <f>'Monthly Data'!BP46</f>
        <v>0</v>
      </c>
      <c r="I46">
        <f>'Monthly Data'!BV46</f>
        <v>1</v>
      </c>
      <c r="J46">
        <f>'Monthly Data'!CB46</f>
        <v>1</v>
      </c>
      <c r="K46">
        <f>'Monthly Data'!CC46</f>
        <v>30</v>
      </c>
      <c r="M46">
        <f>'GS &lt; 50 OLS Model'!$B$5</f>
        <v>-2510760.1679547098</v>
      </c>
      <c r="N46">
        <f ca="1">'GS &lt; 50 OLS Model'!$B$6*D46</f>
        <v>143798.73183690754</v>
      </c>
      <c r="O46">
        <f ca="1">'GS &lt; 50 OLS Model'!$B$7*E46</f>
        <v>1733176.5910503899</v>
      </c>
      <c r="P46" s="124">
        <f>'GS &lt; 50 OLS Model'!$B$8*F46</f>
        <v>6349790.4411298549</v>
      </c>
      <c r="Q46">
        <f>'GS &lt; 50 OLS Model'!$B$9*G46</f>
        <v>-922169.48870956944</v>
      </c>
      <c r="R46">
        <f>'GS &lt; 50 OLS Model'!$B$10*H46</f>
        <v>0</v>
      </c>
      <c r="S46">
        <f>'GS &lt; 50 OLS Model'!$B$11*I46</f>
        <v>697390.17362184904</v>
      </c>
      <c r="T46">
        <f>'GS &lt; 50 OLS Model'!$B$12*J46</f>
        <v>-782960.312499544</v>
      </c>
      <c r="U46">
        <f>'GS &lt; 50 OLS Model'!$B$13*K46</f>
        <v>13776537.46314018</v>
      </c>
      <c r="V46">
        <f t="shared" ca="1" si="7"/>
        <v>18484803.43161536</v>
      </c>
    </row>
    <row r="47" spans="1:22">
      <c r="A47" s="26">
        <f>'Monthly Data'!A47</f>
        <v>41183</v>
      </c>
      <c r="B47">
        <f t="shared" si="6"/>
        <v>2012</v>
      </c>
      <c r="C47">
        <f ca="1">'Monthly Data'!J47</f>
        <v>17220595.803868778</v>
      </c>
      <c r="D47">
        <f t="shared" ca="1" si="5"/>
        <v>177.83999999999997</v>
      </c>
      <c r="E47">
        <f t="shared" ca="1" si="5"/>
        <v>10.779999999999998</v>
      </c>
      <c r="F47" s="124">
        <f>'Monthly Data'!BK47</f>
        <v>154.30000000000001</v>
      </c>
      <c r="G47">
        <f>'Monthly Data'!BM47</f>
        <v>46</v>
      </c>
      <c r="H47">
        <f>'Monthly Data'!BP47</f>
        <v>0</v>
      </c>
      <c r="I47">
        <f>'Monthly Data'!BV47</f>
        <v>0</v>
      </c>
      <c r="J47">
        <f>'Monthly Data'!CB47</f>
        <v>1</v>
      </c>
      <c r="K47">
        <f>'Monthly Data'!CC47</f>
        <v>31</v>
      </c>
      <c r="M47">
        <f>'GS &lt; 50 OLS Model'!$B$5</f>
        <v>-2510760.1679547098</v>
      </c>
      <c r="N47">
        <f ca="1">'GS &lt; 50 OLS Model'!$B$6*D47</f>
        <v>774709.67797260324</v>
      </c>
      <c r="O47">
        <f ca="1">'GS &lt; 50 OLS Model'!$B$7*E47</f>
        <v>255975.38911526516</v>
      </c>
      <c r="P47" s="124">
        <f>'GS &lt; 50 OLS Model'!$B$8*F47</f>
        <v>6317038.4594863746</v>
      </c>
      <c r="Q47">
        <f>'GS &lt; 50 OLS Model'!$B$9*G47</f>
        <v>-942662.14401422651</v>
      </c>
      <c r="R47">
        <f>'GS &lt; 50 OLS Model'!$B$10*H47</f>
        <v>0</v>
      </c>
      <c r="S47">
        <f>'GS &lt; 50 OLS Model'!$B$11*I47</f>
        <v>0</v>
      </c>
      <c r="T47">
        <f>'GS &lt; 50 OLS Model'!$B$12*J47</f>
        <v>-782960.312499544</v>
      </c>
      <c r="U47">
        <f>'GS &lt; 50 OLS Model'!$B$13*K47</f>
        <v>14235755.378578186</v>
      </c>
      <c r="V47">
        <f t="shared" ca="1" si="7"/>
        <v>17347096.28068395</v>
      </c>
    </row>
    <row r="48" spans="1:22">
      <c r="A48" s="26">
        <f>'Monthly Data'!A48</f>
        <v>41214</v>
      </c>
      <c r="B48">
        <f t="shared" si="6"/>
        <v>2012</v>
      </c>
      <c r="C48">
        <f ca="1">'Monthly Data'!J48</f>
        <v>17668478.376731779</v>
      </c>
      <c r="D48">
        <f t="shared" ca="1" si="5"/>
        <v>361.94999999999993</v>
      </c>
      <c r="E48">
        <f t="shared" ca="1" si="5"/>
        <v>0.05</v>
      </c>
      <c r="F48" s="124">
        <f>'Monthly Data'!BK48</f>
        <v>153.80000000000001</v>
      </c>
      <c r="G48">
        <f>'Monthly Data'!BM48</f>
        <v>47</v>
      </c>
      <c r="H48">
        <f>'Monthly Data'!BP48</f>
        <v>0</v>
      </c>
      <c r="I48">
        <f>'Monthly Data'!BV48</f>
        <v>0</v>
      </c>
      <c r="J48">
        <f>'Monthly Data'!CB48</f>
        <v>1</v>
      </c>
      <c r="K48">
        <f>'Monthly Data'!CC48</f>
        <v>30</v>
      </c>
      <c r="M48">
        <f>'GS &lt; 50 OLS Model'!$B$5</f>
        <v>-2510760.1679547098</v>
      </c>
      <c r="N48">
        <f ca="1">'GS &lt; 50 OLS Model'!$B$6*D48</f>
        <v>1576732.83818142</v>
      </c>
      <c r="O48">
        <f ca="1">'GS &lt; 50 OLS Model'!$B$7*E48</f>
        <v>1187.2698938555902</v>
      </c>
      <c r="P48" s="124">
        <f>'GS &lt; 50 OLS Model'!$B$8*F48</f>
        <v>6296568.4709591996</v>
      </c>
      <c r="Q48">
        <f>'GS &lt; 50 OLS Model'!$B$9*G48</f>
        <v>-963154.79931888368</v>
      </c>
      <c r="R48">
        <f>'GS &lt; 50 OLS Model'!$B$10*H48</f>
        <v>0</v>
      </c>
      <c r="S48">
        <f>'GS &lt; 50 OLS Model'!$B$11*I48</f>
        <v>0</v>
      </c>
      <c r="T48">
        <f>'GS &lt; 50 OLS Model'!$B$12*J48</f>
        <v>-782960.312499544</v>
      </c>
      <c r="U48">
        <f>'GS &lt; 50 OLS Model'!$B$13*K48</f>
        <v>13776537.46314018</v>
      </c>
      <c r="V48">
        <f t="shared" ca="1" si="7"/>
        <v>17394150.762401517</v>
      </c>
    </row>
    <row r="49" spans="1:22">
      <c r="A49" s="26">
        <f>'Monthly Data'!A49</f>
        <v>41244</v>
      </c>
      <c r="B49">
        <f t="shared" si="6"/>
        <v>2012</v>
      </c>
      <c r="C49">
        <f ca="1">'Monthly Data'!J49</f>
        <v>19040828.537305772</v>
      </c>
      <c r="D49">
        <f t="shared" ca="1" si="5"/>
        <v>556.41000000000008</v>
      </c>
      <c r="E49">
        <f t="shared" ca="1" si="5"/>
        <v>0</v>
      </c>
      <c r="F49" s="124">
        <f>'Monthly Data'!BK49</f>
        <v>152.9</v>
      </c>
      <c r="G49">
        <f>'Monthly Data'!BM49</f>
        <v>48</v>
      </c>
      <c r="H49">
        <f>'Monthly Data'!BP49</f>
        <v>0</v>
      </c>
      <c r="I49">
        <f>'Monthly Data'!BV49</f>
        <v>0</v>
      </c>
      <c r="J49">
        <f>'Monthly Data'!CB49</f>
        <v>0</v>
      </c>
      <c r="K49">
        <f>'Monthly Data'!CC49</f>
        <v>31</v>
      </c>
      <c r="M49">
        <f>'GS &lt; 50 OLS Model'!$B$5</f>
        <v>-2510760.1679547098</v>
      </c>
      <c r="N49">
        <f ca="1">'GS &lt; 50 OLS Model'!$B$6*D49</f>
        <v>2423842.8470576713</v>
      </c>
      <c r="O49">
        <f ca="1">'GS &lt; 50 OLS Model'!$B$7*E49</f>
        <v>0</v>
      </c>
      <c r="P49" s="124">
        <f>'GS &lt; 50 OLS Model'!$B$8*F49</f>
        <v>6259722.491610283</v>
      </c>
      <c r="Q49">
        <f>'GS &lt; 50 OLS Model'!$B$9*G49</f>
        <v>-983647.45462354075</v>
      </c>
      <c r="R49">
        <f>'GS &lt; 50 OLS Model'!$B$10*H49</f>
        <v>0</v>
      </c>
      <c r="S49">
        <f>'GS &lt; 50 OLS Model'!$B$11*I49</f>
        <v>0</v>
      </c>
      <c r="T49">
        <f>'GS &lt; 50 OLS Model'!$B$12*J49</f>
        <v>0</v>
      </c>
      <c r="U49">
        <f>'GS &lt; 50 OLS Model'!$B$13*K49</f>
        <v>14235755.378578186</v>
      </c>
      <c r="V49">
        <f t="shared" ca="1" si="7"/>
        <v>19424913.094667889</v>
      </c>
    </row>
    <row r="50" spans="1:22">
      <c r="A50" s="26">
        <f>'Monthly Data'!A50</f>
        <v>41275</v>
      </c>
      <c r="B50">
        <f t="shared" si="6"/>
        <v>2013</v>
      </c>
      <c r="C50">
        <f ca="1">'Monthly Data'!J50</f>
        <v>19918645.038127154</v>
      </c>
      <c r="D50">
        <f t="shared" ca="1" si="5"/>
        <v>659.42999999999984</v>
      </c>
      <c r="E50">
        <f t="shared" ca="1" si="5"/>
        <v>0</v>
      </c>
      <c r="F50" s="124">
        <f>'Monthly Data'!BK50</f>
        <v>151.4</v>
      </c>
      <c r="G50">
        <f>'Monthly Data'!BM50</f>
        <v>49</v>
      </c>
      <c r="H50">
        <f>'Monthly Data'!BP50</f>
        <v>0</v>
      </c>
      <c r="I50">
        <f>'Monthly Data'!BV50</f>
        <v>0</v>
      </c>
      <c r="J50">
        <f>'Monthly Data'!CB50</f>
        <v>0</v>
      </c>
      <c r="K50">
        <f>'Monthly Data'!CC50</f>
        <v>31</v>
      </c>
      <c r="M50">
        <f>'GS &lt; 50 OLS Model'!$B$5</f>
        <v>-2510760.1679547098</v>
      </c>
      <c r="N50">
        <f ca="1">'GS &lt; 50 OLS Model'!$B$6*D50</f>
        <v>2872620.3494459833</v>
      </c>
      <c r="O50">
        <f ca="1">'GS &lt; 50 OLS Model'!$B$7*E50</f>
        <v>0</v>
      </c>
      <c r="P50" s="124">
        <f>'GS &lt; 50 OLS Model'!$B$8*F50</f>
        <v>6198312.5260287561</v>
      </c>
      <c r="Q50">
        <f>'GS &lt; 50 OLS Model'!$B$9*G50</f>
        <v>-1004140.1099281978</v>
      </c>
      <c r="R50">
        <f>'GS &lt; 50 OLS Model'!$B$10*H50</f>
        <v>0</v>
      </c>
      <c r="S50">
        <f>'GS &lt; 50 OLS Model'!$B$11*I50</f>
        <v>0</v>
      </c>
      <c r="T50">
        <f>'GS &lt; 50 OLS Model'!$B$12*J50</f>
        <v>0</v>
      </c>
      <c r="U50">
        <f>'GS &lt; 50 OLS Model'!$B$13*K50</f>
        <v>14235755.378578186</v>
      </c>
      <c r="V50">
        <f t="shared" ca="1" si="7"/>
        <v>19791787.976170018</v>
      </c>
    </row>
    <row r="51" spans="1:22">
      <c r="A51" s="26">
        <f>'Monthly Data'!A51</f>
        <v>41306</v>
      </c>
      <c r="B51">
        <f t="shared" si="6"/>
        <v>2013</v>
      </c>
      <c r="C51">
        <f ca="1">'Monthly Data'!J51</f>
        <v>18479022.427723158</v>
      </c>
      <c r="D51">
        <f t="shared" ca="1" si="5"/>
        <v>571.77</v>
      </c>
      <c r="E51">
        <f t="shared" ca="1" si="5"/>
        <v>0</v>
      </c>
      <c r="F51" s="124">
        <f>'Monthly Data'!BK51</f>
        <v>151.9</v>
      </c>
      <c r="G51">
        <f>'Monthly Data'!BM51</f>
        <v>50</v>
      </c>
      <c r="H51">
        <f>'Monthly Data'!BP51</f>
        <v>0</v>
      </c>
      <c r="I51">
        <f>'Monthly Data'!BV51</f>
        <v>0</v>
      </c>
      <c r="J51">
        <f>'Monthly Data'!CB51</f>
        <v>0</v>
      </c>
      <c r="K51">
        <f>'Monthly Data'!CC51</f>
        <v>28</v>
      </c>
      <c r="M51">
        <f>'GS &lt; 50 OLS Model'!$B$5</f>
        <v>-2510760.1679547098</v>
      </c>
      <c r="N51">
        <f ca="1">'GS &lt; 50 OLS Model'!$B$6*D51</f>
        <v>2490754.3442105004</v>
      </c>
      <c r="O51">
        <f ca="1">'GS &lt; 50 OLS Model'!$B$7*E51</f>
        <v>0</v>
      </c>
      <c r="P51" s="124">
        <f>'GS &lt; 50 OLS Model'!$B$8*F51</f>
        <v>6218782.514555932</v>
      </c>
      <c r="Q51">
        <f>'GS &lt; 50 OLS Model'!$B$9*G51</f>
        <v>-1024632.765232855</v>
      </c>
      <c r="R51">
        <f>'GS &lt; 50 OLS Model'!$B$10*H51</f>
        <v>0</v>
      </c>
      <c r="S51">
        <f>'GS &lt; 50 OLS Model'!$B$11*I51</f>
        <v>0</v>
      </c>
      <c r="T51">
        <f>'GS &lt; 50 OLS Model'!$B$12*J51</f>
        <v>0</v>
      </c>
      <c r="U51">
        <f>'GS &lt; 50 OLS Model'!$B$13*K51</f>
        <v>12858101.632264167</v>
      </c>
      <c r="V51">
        <f t="shared" ca="1" si="7"/>
        <v>18032245.557843037</v>
      </c>
    </row>
    <row r="52" spans="1:22">
      <c r="A52" s="26">
        <f>'Monthly Data'!A52</f>
        <v>41334</v>
      </c>
      <c r="B52">
        <f t="shared" si="6"/>
        <v>2013</v>
      </c>
      <c r="C52">
        <f ca="1">'Monthly Data'!J52</f>
        <v>19344536.573703159</v>
      </c>
      <c r="D52">
        <f t="shared" ca="1" si="5"/>
        <v>456.53999999999996</v>
      </c>
      <c r="E52">
        <f t="shared" ca="1" si="5"/>
        <v>0.48</v>
      </c>
      <c r="F52" s="124">
        <f>'Monthly Data'!BK52</f>
        <v>152.4</v>
      </c>
      <c r="G52">
        <f>'Monthly Data'!BM52</f>
        <v>51</v>
      </c>
      <c r="H52">
        <f>'Monthly Data'!BP52</f>
        <v>1</v>
      </c>
      <c r="I52">
        <f>'Monthly Data'!BV52</f>
        <v>0</v>
      </c>
      <c r="J52">
        <f>'Monthly Data'!CB52</f>
        <v>1</v>
      </c>
      <c r="K52">
        <f>'Monthly Data'!CC52</f>
        <v>31</v>
      </c>
      <c r="M52">
        <f>'GS &lt; 50 OLS Model'!$B$5</f>
        <v>-2510760.1679547098</v>
      </c>
      <c r="N52">
        <f ca="1">'GS &lt; 50 OLS Model'!$B$6*D52</f>
        <v>1988787.4290464029</v>
      </c>
      <c r="O52">
        <f ca="1">'GS &lt; 50 OLS Model'!$B$7*E52</f>
        <v>11397.790981013664</v>
      </c>
      <c r="P52" s="124">
        <f>'GS &lt; 50 OLS Model'!$B$8*F52</f>
        <v>6239252.5030831071</v>
      </c>
      <c r="Q52">
        <f>'GS &lt; 50 OLS Model'!$B$9*G52</f>
        <v>-1045125.4205375121</v>
      </c>
      <c r="R52">
        <f>'GS &lt; 50 OLS Model'!$B$10*H52</f>
        <v>419453.43275174301</v>
      </c>
      <c r="S52">
        <f>'GS &lt; 50 OLS Model'!$B$11*I52</f>
        <v>0</v>
      </c>
      <c r="T52">
        <f>'GS &lt; 50 OLS Model'!$B$12*J52</f>
        <v>-782960.312499544</v>
      </c>
      <c r="U52">
        <f>'GS &lt; 50 OLS Model'!$B$13*K52</f>
        <v>14235755.378578186</v>
      </c>
      <c r="V52">
        <f t="shared" ca="1" si="7"/>
        <v>18555800.633448686</v>
      </c>
    </row>
    <row r="53" spans="1:22">
      <c r="A53" s="26">
        <f>'Monthly Data'!A53</f>
        <v>41365</v>
      </c>
      <c r="B53">
        <f t="shared" si="6"/>
        <v>2013</v>
      </c>
      <c r="C53">
        <f ca="1">'Monthly Data'!J53</f>
        <v>17496135.743099157</v>
      </c>
      <c r="D53">
        <f t="shared" ca="1" si="5"/>
        <v>248.54999999999995</v>
      </c>
      <c r="E53">
        <f t="shared" ca="1" si="5"/>
        <v>2.63</v>
      </c>
      <c r="F53" s="124">
        <f>'Monthly Data'!BK53</f>
        <v>154.4</v>
      </c>
      <c r="G53">
        <f>'Monthly Data'!BM53</f>
        <v>52</v>
      </c>
      <c r="H53">
        <f>'Monthly Data'!BP53</f>
        <v>0</v>
      </c>
      <c r="I53">
        <f>'Monthly Data'!BV53</f>
        <v>0</v>
      </c>
      <c r="J53">
        <f>'Monthly Data'!CB53</f>
        <v>1</v>
      </c>
      <c r="K53">
        <f>'Monthly Data'!CC53</f>
        <v>30</v>
      </c>
      <c r="M53">
        <f>'GS &lt; 50 OLS Model'!$B$5</f>
        <v>-2510760.1679547098</v>
      </c>
      <c r="N53">
        <f ca="1">'GS &lt; 50 OLS Model'!$B$6*D53</f>
        <v>1082737.8006077965</v>
      </c>
      <c r="O53">
        <f ca="1">'GS &lt; 50 OLS Model'!$B$7*E53</f>
        <v>62450.396416804033</v>
      </c>
      <c r="P53" s="124">
        <f>'GS &lt; 50 OLS Model'!$B$8*F53</f>
        <v>6321132.45719181</v>
      </c>
      <c r="Q53">
        <f>'GS &lt; 50 OLS Model'!$B$9*G53</f>
        <v>-1065618.0758421691</v>
      </c>
      <c r="R53">
        <f>'GS &lt; 50 OLS Model'!$B$10*H53</f>
        <v>0</v>
      </c>
      <c r="S53">
        <f>'GS &lt; 50 OLS Model'!$B$11*I53</f>
        <v>0</v>
      </c>
      <c r="T53">
        <f>'GS &lt; 50 OLS Model'!$B$12*J53</f>
        <v>-782960.312499544</v>
      </c>
      <c r="U53">
        <f>'GS &lt; 50 OLS Model'!$B$13*K53</f>
        <v>13776537.46314018</v>
      </c>
      <c r="V53">
        <f t="shared" ca="1" si="7"/>
        <v>16883519.561060168</v>
      </c>
    </row>
    <row r="54" spans="1:22">
      <c r="A54" s="26">
        <f>'Monthly Data'!A54</f>
        <v>41395</v>
      </c>
      <c r="B54">
        <f t="shared" si="6"/>
        <v>2013</v>
      </c>
      <c r="C54">
        <f ca="1">'Monthly Data'!J54</f>
        <v>18053028.241128158</v>
      </c>
      <c r="D54">
        <f t="shared" ca="1" si="5"/>
        <v>92.740000000000009</v>
      </c>
      <c r="E54">
        <f t="shared" ca="1" si="5"/>
        <v>47.37</v>
      </c>
      <c r="F54" s="124">
        <f>'Monthly Data'!BK54</f>
        <v>155.30000000000001</v>
      </c>
      <c r="G54">
        <f>'Monthly Data'!BM54</f>
        <v>53</v>
      </c>
      <c r="H54">
        <f>'Monthly Data'!BP54</f>
        <v>0</v>
      </c>
      <c r="I54">
        <f>'Monthly Data'!BV54</f>
        <v>0</v>
      </c>
      <c r="J54">
        <f>'Monthly Data'!CB54</f>
        <v>1</v>
      </c>
      <c r="K54">
        <f>'Monthly Data'!CC54</f>
        <v>31</v>
      </c>
      <c r="M54">
        <f>'GS &lt; 50 OLS Model'!$B$5</f>
        <v>-2510760.1679547098</v>
      </c>
      <c r="N54">
        <f ca="1">'GS &lt; 50 OLS Model'!$B$6*D54</f>
        <v>403995.588929258</v>
      </c>
      <c r="O54">
        <f ca="1">'GS &lt; 50 OLS Model'!$B$7*E54</f>
        <v>1124819.4974387861</v>
      </c>
      <c r="P54" s="124">
        <f>'GS &lt; 50 OLS Model'!$B$8*F54</f>
        <v>6357978.4365407256</v>
      </c>
      <c r="Q54">
        <f>'GS &lt; 50 OLS Model'!$B$9*G54</f>
        <v>-1086110.7311468262</v>
      </c>
      <c r="R54">
        <f>'GS &lt; 50 OLS Model'!$B$10*H54</f>
        <v>0</v>
      </c>
      <c r="S54">
        <f>'GS &lt; 50 OLS Model'!$B$11*I54</f>
        <v>0</v>
      </c>
      <c r="T54">
        <f>'GS &lt; 50 OLS Model'!$B$12*J54</f>
        <v>-782960.312499544</v>
      </c>
      <c r="U54">
        <f>'GS &lt; 50 OLS Model'!$B$13*K54</f>
        <v>14235755.378578186</v>
      </c>
      <c r="V54">
        <f t="shared" ca="1" si="7"/>
        <v>17742717.689885877</v>
      </c>
    </row>
    <row r="55" spans="1:22">
      <c r="A55" s="26">
        <f>'Monthly Data'!A55</f>
        <v>41426</v>
      </c>
      <c r="B55">
        <f t="shared" si="6"/>
        <v>2013</v>
      </c>
      <c r="C55">
        <f ca="1">'Monthly Data'!J55</f>
        <v>19266723.806833159</v>
      </c>
      <c r="D55">
        <f t="shared" ref="D55:E70" ca="1" si="8">D43</f>
        <v>9.08</v>
      </c>
      <c r="E55">
        <f t="shared" ca="1" si="8"/>
        <v>117.23999999999997</v>
      </c>
      <c r="F55" s="124">
        <f>'Monthly Data'!BK55</f>
        <v>156.1</v>
      </c>
      <c r="G55">
        <f>'Monthly Data'!BM55</f>
        <v>54</v>
      </c>
      <c r="H55">
        <f>'Monthly Data'!BP55</f>
        <v>0</v>
      </c>
      <c r="I55">
        <f>'Monthly Data'!BV55</f>
        <v>0</v>
      </c>
      <c r="J55">
        <f>'Monthly Data'!CB55</f>
        <v>0</v>
      </c>
      <c r="K55">
        <f>'Monthly Data'!CC55</f>
        <v>30</v>
      </c>
      <c r="M55">
        <f>'GS &lt; 50 OLS Model'!$B$5</f>
        <v>-2510760.1679547098</v>
      </c>
      <c r="N55">
        <f ca="1">'GS &lt; 50 OLS Model'!$B$6*D55</f>
        <v>39554.452743990318</v>
      </c>
      <c r="O55">
        <f ca="1">'GS &lt; 50 OLS Model'!$B$7*E55</f>
        <v>2783910.4471125868</v>
      </c>
      <c r="P55" s="124">
        <f>'GS &lt; 50 OLS Model'!$B$8*F55</f>
        <v>6390730.4181842059</v>
      </c>
      <c r="Q55">
        <f>'GS &lt; 50 OLS Model'!$B$9*G55</f>
        <v>-1106603.3864514832</v>
      </c>
      <c r="R55">
        <f>'GS &lt; 50 OLS Model'!$B$10*H55</f>
        <v>0</v>
      </c>
      <c r="S55">
        <f>'GS &lt; 50 OLS Model'!$B$11*I55</f>
        <v>0</v>
      </c>
      <c r="T55">
        <f>'GS &lt; 50 OLS Model'!$B$12*J55</f>
        <v>0</v>
      </c>
      <c r="U55">
        <f>'GS &lt; 50 OLS Model'!$B$13*K55</f>
        <v>13776537.46314018</v>
      </c>
      <c r="V55">
        <f t="shared" ca="1" si="7"/>
        <v>19373369.226774771</v>
      </c>
    </row>
    <row r="56" spans="1:22">
      <c r="A56" s="26">
        <f>'Monthly Data'!A56</f>
        <v>41456</v>
      </c>
      <c r="B56">
        <f t="shared" si="6"/>
        <v>2013</v>
      </c>
      <c r="C56">
        <f ca="1">'Monthly Data'!J56</f>
        <v>21311982.975834161</v>
      </c>
      <c r="D56">
        <f t="shared" ca="1" si="8"/>
        <v>0.51</v>
      </c>
      <c r="E56">
        <f t="shared" ca="1" si="8"/>
        <v>185.60999999999999</v>
      </c>
      <c r="F56" s="124">
        <f>'Monthly Data'!BK56</f>
        <v>156</v>
      </c>
      <c r="G56">
        <f>'Monthly Data'!BM56</f>
        <v>55</v>
      </c>
      <c r="H56">
        <f>'Monthly Data'!BP56</f>
        <v>0</v>
      </c>
      <c r="I56">
        <f>'Monthly Data'!BV56</f>
        <v>0</v>
      </c>
      <c r="J56">
        <f>'Monthly Data'!CB56</f>
        <v>0</v>
      </c>
      <c r="K56">
        <f>'Monthly Data'!CC56</f>
        <v>31</v>
      </c>
      <c r="M56">
        <f>'GS &lt; 50 OLS Model'!$B$5</f>
        <v>-2510760.1679547098</v>
      </c>
      <c r="N56">
        <f ca="1">'GS &lt; 50 OLS Model'!$B$6*D56</f>
        <v>2221.6708039025398</v>
      </c>
      <c r="O56">
        <f ca="1">'GS &lt; 50 OLS Model'!$B$7*E56</f>
        <v>4407383.2999707209</v>
      </c>
      <c r="P56" s="124">
        <f>'GS &lt; 50 OLS Model'!$B$8*F56</f>
        <v>6386636.4204787714</v>
      </c>
      <c r="Q56">
        <f>'GS &lt; 50 OLS Model'!$B$9*G56</f>
        <v>-1127096.0417561405</v>
      </c>
      <c r="R56">
        <f>'GS &lt; 50 OLS Model'!$B$10*H56</f>
        <v>0</v>
      </c>
      <c r="S56">
        <f>'GS &lt; 50 OLS Model'!$B$11*I56</f>
        <v>0</v>
      </c>
      <c r="T56">
        <f>'GS &lt; 50 OLS Model'!$B$12*J56</f>
        <v>0</v>
      </c>
      <c r="U56">
        <f>'GS &lt; 50 OLS Model'!$B$13*K56</f>
        <v>14235755.378578186</v>
      </c>
      <c r="V56">
        <f t="shared" ca="1" si="7"/>
        <v>21394140.560120732</v>
      </c>
    </row>
    <row r="57" spans="1:22">
      <c r="A57" s="26">
        <f>'Monthly Data'!A57</f>
        <v>41487</v>
      </c>
      <c r="B57">
        <f t="shared" si="6"/>
        <v>2013</v>
      </c>
      <c r="C57">
        <f ca="1">'Monthly Data'!J57</f>
        <v>20411785.122910541</v>
      </c>
      <c r="D57">
        <f t="shared" ca="1" si="8"/>
        <v>1.51</v>
      </c>
      <c r="E57">
        <f t="shared" ca="1" si="8"/>
        <v>159.64000000000001</v>
      </c>
      <c r="F57" s="124">
        <f>'Monthly Data'!BK57</f>
        <v>155.80000000000001</v>
      </c>
      <c r="G57">
        <f>'Monthly Data'!BM57</f>
        <v>56</v>
      </c>
      <c r="H57">
        <f>'Monthly Data'!BP57</f>
        <v>0</v>
      </c>
      <c r="I57">
        <f>'Monthly Data'!BV57</f>
        <v>0</v>
      </c>
      <c r="J57">
        <f>'Monthly Data'!CB57</f>
        <v>0</v>
      </c>
      <c r="K57">
        <f>'Monthly Data'!CC57</f>
        <v>31</v>
      </c>
      <c r="M57">
        <f>'GS &lt; 50 OLS Model'!$B$5</f>
        <v>-2510760.1679547098</v>
      </c>
      <c r="N57">
        <f ca="1">'GS &lt; 50 OLS Model'!$B$6*D57</f>
        <v>6577.8880664565395</v>
      </c>
      <c r="O57">
        <f ca="1">'GS &lt; 50 OLS Model'!$B$7*E57</f>
        <v>3790715.3171021282</v>
      </c>
      <c r="P57" s="124">
        <f>'GS &lt; 50 OLS Model'!$B$8*F57</f>
        <v>6378448.4250679016</v>
      </c>
      <c r="Q57">
        <f>'GS &lt; 50 OLS Model'!$B$9*G57</f>
        <v>-1147588.6970607976</v>
      </c>
      <c r="R57">
        <f>'GS &lt; 50 OLS Model'!$B$10*H57</f>
        <v>0</v>
      </c>
      <c r="S57">
        <f>'GS &lt; 50 OLS Model'!$B$11*I57</f>
        <v>0</v>
      </c>
      <c r="T57">
        <f>'GS &lt; 50 OLS Model'!$B$12*J57</f>
        <v>0</v>
      </c>
      <c r="U57">
        <f>'GS &lt; 50 OLS Model'!$B$13*K57</f>
        <v>14235755.378578186</v>
      </c>
      <c r="V57">
        <f t="shared" ca="1" si="7"/>
        <v>20753148.143799163</v>
      </c>
    </row>
    <row r="58" spans="1:22">
      <c r="A58" s="26">
        <f>'Monthly Data'!A58</f>
        <v>41518</v>
      </c>
      <c r="B58">
        <f t="shared" si="6"/>
        <v>2013</v>
      </c>
      <c r="C58">
        <f ca="1">'Monthly Data'!J58</f>
        <v>18727336.210364576</v>
      </c>
      <c r="D58">
        <f t="shared" ca="1" si="8"/>
        <v>33.01</v>
      </c>
      <c r="E58">
        <f t="shared" ca="1" si="8"/>
        <v>72.989999999999981</v>
      </c>
      <c r="F58" s="124">
        <f>'Monthly Data'!BK58</f>
        <v>154</v>
      </c>
      <c r="G58">
        <f>'Monthly Data'!BM58</f>
        <v>57</v>
      </c>
      <c r="H58">
        <f>'Monthly Data'!BP58</f>
        <v>0</v>
      </c>
      <c r="I58">
        <f>'Monthly Data'!BV58</f>
        <v>1</v>
      </c>
      <c r="J58">
        <f>'Monthly Data'!CB58</f>
        <v>1</v>
      </c>
      <c r="K58">
        <f>'Monthly Data'!CC58</f>
        <v>30</v>
      </c>
      <c r="M58">
        <f>'GS &lt; 50 OLS Model'!$B$5</f>
        <v>-2510760.1679547098</v>
      </c>
      <c r="N58">
        <f ca="1">'GS &lt; 50 OLS Model'!$B$6*D58</f>
        <v>143798.73183690754</v>
      </c>
      <c r="O58">
        <f ca="1">'GS &lt; 50 OLS Model'!$B$7*E58</f>
        <v>1733176.5910503899</v>
      </c>
      <c r="P58" s="124">
        <f>'GS &lt; 50 OLS Model'!$B$8*F58</f>
        <v>6304756.4663700685</v>
      </c>
      <c r="Q58">
        <f>'GS &lt; 50 OLS Model'!$B$9*G58</f>
        <v>-1168081.3523654547</v>
      </c>
      <c r="R58">
        <f>'GS &lt; 50 OLS Model'!$B$10*H58</f>
        <v>0</v>
      </c>
      <c r="S58">
        <f>'GS &lt; 50 OLS Model'!$B$11*I58</f>
        <v>697390.17362184904</v>
      </c>
      <c r="T58">
        <f>'GS &lt; 50 OLS Model'!$B$12*J58</f>
        <v>-782960.312499544</v>
      </c>
      <c r="U58">
        <f>'GS &lt; 50 OLS Model'!$B$13*K58</f>
        <v>13776537.46314018</v>
      </c>
      <c r="V58">
        <f t="shared" ca="1" si="7"/>
        <v>18193857.593199685</v>
      </c>
    </row>
    <row r="59" spans="1:22">
      <c r="A59" s="26">
        <f>'Monthly Data'!A59</f>
        <v>41548</v>
      </c>
      <c r="B59">
        <f t="shared" si="6"/>
        <v>2013</v>
      </c>
      <c r="C59">
        <f ca="1">'Monthly Data'!J59</f>
        <v>17638387.428440351</v>
      </c>
      <c r="D59">
        <f t="shared" ca="1" si="8"/>
        <v>177.83999999999997</v>
      </c>
      <c r="E59">
        <f t="shared" ca="1" si="8"/>
        <v>10.779999999999998</v>
      </c>
      <c r="F59" s="124">
        <f>'Monthly Data'!BK59</f>
        <v>154.5</v>
      </c>
      <c r="G59">
        <f>'Monthly Data'!BM59</f>
        <v>58</v>
      </c>
      <c r="H59">
        <f>'Monthly Data'!BP59</f>
        <v>0</v>
      </c>
      <c r="I59">
        <f>'Monthly Data'!BV59</f>
        <v>0</v>
      </c>
      <c r="J59">
        <f>'Monthly Data'!CB59</f>
        <v>1</v>
      </c>
      <c r="K59">
        <f>'Monthly Data'!CC59</f>
        <v>31</v>
      </c>
      <c r="M59">
        <f>'GS &lt; 50 OLS Model'!$B$5</f>
        <v>-2510760.1679547098</v>
      </c>
      <c r="N59">
        <f ca="1">'GS &lt; 50 OLS Model'!$B$6*D59</f>
        <v>774709.67797260324</v>
      </c>
      <c r="O59">
        <f ca="1">'GS &lt; 50 OLS Model'!$B$7*E59</f>
        <v>255975.38911526516</v>
      </c>
      <c r="P59" s="124">
        <f>'GS &lt; 50 OLS Model'!$B$8*F59</f>
        <v>6325226.4548972445</v>
      </c>
      <c r="Q59">
        <f>'GS &lt; 50 OLS Model'!$B$9*G59</f>
        <v>-1188574.0076701117</v>
      </c>
      <c r="R59">
        <f>'GS &lt; 50 OLS Model'!$B$10*H59</f>
        <v>0</v>
      </c>
      <c r="S59">
        <f>'GS &lt; 50 OLS Model'!$B$11*I59</f>
        <v>0</v>
      </c>
      <c r="T59">
        <f>'GS &lt; 50 OLS Model'!$B$12*J59</f>
        <v>-782960.312499544</v>
      </c>
      <c r="U59">
        <f>'GS &lt; 50 OLS Model'!$B$13*K59</f>
        <v>14235755.378578186</v>
      </c>
      <c r="V59">
        <f t="shared" ca="1" si="7"/>
        <v>17109372.412438933</v>
      </c>
    </row>
    <row r="60" spans="1:22">
      <c r="A60" s="26">
        <f>'Monthly Data'!A60</f>
        <v>41579</v>
      </c>
      <c r="B60">
        <f t="shared" si="6"/>
        <v>2013</v>
      </c>
      <c r="C60">
        <f ca="1">'Monthly Data'!J60</f>
        <v>18020884.044720925</v>
      </c>
      <c r="D60">
        <f t="shared" ca="1" si="8"/>
        <v>361.94999999999993</v>
      </c>
      <c r="E60">
        <f t="shared" ca="1" si="8"/>
        <v>0.05</v>
      </c>
      <c r="F60" s="124">
        <f>'Monthly Data'!BK60</f>
        <v>155</v>
      </c>
      <c r="G60">
        <f>'Monthly Data'!BM60</f>
        <v>59</v>
      </c>
      <c r="H60">
        <f>'Monthly Data'!BP60</f>
        <v>0</v>
      </c>
      <c r="I60">
        <f>'Monthly Data'!BV60</f>
        <v>0</v>
      </c>
      <c r="J60">
        <f>'Monthly Data'!CB60</f>
        <v>1</v>
      </c>
      <c r="K60">
        <f>'Monthly Data'!CC60</f>
        <v>30</v>
      </c>
      <c r="M60">
        <f>'GS &lt; 50 OLS Model'!$B$5</f>
        <v>-2510760.1679547098</v>
      </c>
      <c r="N60">
        <f ca="1">'GS &lt; 50 OLS Model'!$B$6*D60</f>
        <v>1576732.83818142</v>
      </c>
      <c r="O60">
        <f ca="1">'GS &lt; 50 OLS Model'!$B$7*E60</f>
        <v>1187.2698938555902</v>
      </c>
      <c r="P60" s="124">
        <f>'GS &lt; 50 OLS Model'!$B$8*F60</f>
        <v>6345696.4434244204</v>
      </c>
      <c r="Q60">
        <f>'GS &lt; 50 OLS Model'!$B$9*G60</f>
        <v>-1209066.6629747688</v>
      </c>
      <c r="R60">
        <f>'GS &lt; 50 OLS Model'!$B$10*H60</f>
        <v>0</v>
      </c>
      <c r="S60">
        <f>'GS &lt; 50 OLS Model'!$B$11*I60</f>
        <v>0</v>
      </c>
      <c r="T60">
        <f>'GS &lt; 50 OLS Model'!$B$12*J60</f>
        <v>-782960.312499544</v>
      </c>
      <c r="U60">
        <f>'GS &lt; 50 OLS Model'!$B$13*K60</f>
        <v>13776537.46314018</v>
      </c>
      <c r="V60">
        <f t="shared" ca="1" si="7"/>
        <v>17197366.871210855</v>
      </c>
    </row>
    <row r="61" spans="1:22">
      <c r="A61" s="26">
        <f>'Monthly Data'!A61</f>
        <v>41609</v>
      </c>
      <c r="B61">
        <f t="shared" si="6"/>
        <v>2013</v>
      </c>
      <c r="C61">
        <f ca="1">'Monthly Data'!J61</f>
        <v>20066633.254348345</v>
      </c>
      <c r="D61">
        <f t="shared" ca="1" si="8"/>
        <v>556.41000000000008</v>
      </c>
      <c r="E61">
        <f t="shared" ca="1" si="8"/>
        <v>0</v>
      </c>
      <c r="F61" s="124">
        <f>'Monthly Data'!BK61</f>
        <v>157</v>
      </c>
      <c r="G61">
        <f>'Monthly Data'!BM61</f>
        <v>60</v>
      </c>
      <c r="H61">
        <f>'Monthly Data'!BP61</f>
        <v>0</v>
      </c>
      <c r="I61">
        <f>'Monthly Data'!BV61</f>
        <v>0</v>
      </c>
      <c r="J61">
        <f>'Monthly Data'!CB61</f>
        <v>0</v>
      </c>
      <c r="K61">
        <f>'Monthly Data'!CC61</f>
        <v>31</v>
      </c>
      <c r="M61">
        <f>'GS &lt; 50 OLS Model'!$B$5</f>
        <v>-2510760.1679547098</v>
      </c>
      <c r="N61">
        <f ca="1">'GS &lt; 50 OLS Model'!$B$6*D61</f>
        <v>2423842.8470576713</v>
      </c>
      <c r="O61">
        <f ca="1">'GS &lt; 50 OLS Model'!$B$7*E61</f>
        <v>0</v>
      </c>
      <c r="P61" s="124">
        <f>'GS &lt; 50 OLS Model'!$B$8*F61</f>
        <v>6427576.3975331225</v>
      </c>
      <c r="Q61">
        <f>'GS &lt; 50 OLS Model'!$B$9*G61</f>
        <v>-1229559.3182794258</v>
      </c>
      <c r="R61">
        <f>'GS &lt; 50 OLS Model'!$B$10*H61</f>
        <v>0</v>
      </c>
      <c r="S61">
        <f>'GS &lt; 50 OLS Model'!$B$11*I61</f>
        <v>0</v>
      </c>
      <c r="T61">
        <f>'GS &lt; 50 OLS Model'!$B$12*J61</f>
        <v>0</v>
      </c>
      <c r="U61">
        <f>'GS &lt; 50 OLS Model'!$B$13*K61</f>
        <v>14235755.378578186</v>
      </c>
      <c r="V61">
        <f t="shared" ca="1" si="7"/>
        <v>19346855.136934843</v>
      </c>
    </row>
    <row r="62" spans="1:22">
      <c r="A62" s="26">
        <f>'Monthly Data'!A62</f>
        <v>41640</v>
      </c>
      <c r="B62">
        <f t="shared" si="6"/>
        <v>2014</v>
      </c>
      <c r="C62">
        <f ca="1">'Monthly Data'!J62</f>
        <v>21303777.783872336</v>
      </c>
      <c r="D62">
        <f t="shared" ca="1" si="8"/>
        <v>659.42999999999984</v>
      </c>
      <c r="E62">
        <f t="shared" ca="1" si="8"/>
        <v>0</v>
      </c>
      <c r="F62" s="124">
        <f>'Monthly Data'!BK62</f>
        <v>157.6</v>
      </c>
      <c r="G62">
        <f>'Monthly Data'!BM62</f>
        <v>61</v>
      </c>
      <c r="H62">
        <f>'Monthly Data'!BP62</f>
        <v>0</v>
      </c>
      <c r="I62">
        <f>'Monthly Data'!BV62</f>
        <v>0</v>
      </c>
      <c r="J62">
        <f>'Monthly Data'!CB62</f>
        <v>0</v>
      </c>
      <c r="K62">
        <f>'Monthly Data'!CC62</f>
        <v>31</v>
      </c>
      <c r="M62">
        <f>'GS &lt; 50 OLS Model'!$B$5</f>
        <v>-2510760.1679547098</v>
      </c>
      <c r="N62">
        <f ca="1">'GS &lt; 50 OLS Model'!$B$6*D62</f>
        <v>2872620.3494459833</v>
      </c>
      <c r="O62">
        <f ca="1">'GS &lt; 50 OLS Model'!$B$7*E62</f>
        <v>0</v>
      </c>
      <c r="P62" s="124">
        <f>'GS &lt; 50 OLS Model'!$B$8*F62</f>
        <v>6452140.3837657329</v>
      </c>
      <c r="Q62">
        <f>'GS &lt; 50 OLS Model'!$B$9*G62</f>
        <v>-1250051.9735840831</v>
      </c>
      <c r="R62">
        <f>'GS &lt; 50 OLS Model'!$B$10*H62</f>
        <v>0</v>
      </c>
      <c r="S62">
        <f>'GS &lt; 50 OLS Model'!$B$11*I62</f>
        <v>0</v>
      </c>
      <c r="T62">
        <f>'GS &lt; 50 OLS Model'!$B$12*J62</f>
        <v>0</v>
      </c>
      <c r="U62">
        <f>'GS &lt; 50 OLS Model'!$B$13*K62</f>
        <v>14235755.378578186</v>
      </c>
      <c r="V62">
        <f t="shared" ca="1" si="7"/>
        <v>19799703.970251109</v>
      </c>
    </row>
    <row r="63" spans="1:22">
      <c r="A63" s="26">
        <f>'Monthly Data'!A63</f>
        <v>41671</v>
      </c>
      <c r="B63">
        <f t="shared" si="6"/>
        <v>2014</v>
      </c>
      <c r="C63">
        <f ca="1">'Monthly Data'!J63</f>
        <v>19099984.13925432</v>
      </c>
      <c r="D63">
        <f t="shared" ca="1" si="8"/>
        <v>571.77</v>
      </c>
      <c r="E63">
        <f t="shared" ca="1" si="8"/>
        <v>0</v>
      </c>
      <c r="F63" s="124">
        <f>'Monthly Data'!BK63</f>
        <v>156.4</v>
      </c>
      <c r="G63">
        <f>'Monthly Data'!BM63</f>
        <v>62</v>
      </c>
      <c r="H63">
        <f>'Monthly Data'!BP63</f>
        <v>0</v>
      </c>
      <c r="I63">
        <f>'Monthly Data'!BV63</f>
        <v>0</v>
      </c>
      <c r="J63">
        <f>'Monthly Data'!CB63</f>
        <v>0</v>
      </c>
      <c r="K63">
        <f>'Monthly Data'!CC63</f>
        <v>28</v>
      </c>
      <c r="M63">
        <f>'GS &lt; 50 OLS Model'!$B$5</f>
        <v>-2510760.1679547098</v>
      </c>
      <c r="N63">
        <f ca="1">'GS &lt; 50 OLS Model'!$B$6*D63</f>
        <v>2490754.3442105004</v>
      </c>
      <c r="O63">
        <f ca="1">'GS &lt; 50 OLS Model'!$B$7*E63</f>
        <v>0</v>
      </c>
      <c r="P63" s="124">
        <f>'GS &lt; 50 OLS Model'!$B$8*F63</f>
        <v>6403012.411300512</v>
      </c>
      <c r="Q63">
        <f>'GS &lt; 50 OLS Model'!$B$9*G63</f>
        <v>-1270544.6288887402</v>
      </c>
      <c r="R63">
        <f>'GS &lt; 50 OLS Model'!$B$10*H63</f>
        <v>0</v>
      </c>
      <c r="S63">
        <f>'GS &lt; 50 OLS Model'!$B$11*I63</f>
        <v>0</v>
      </c>
      <c r="T63">
        <f>'GS &lt; 50 OLS Model'!$B$12*J63</f>
        <v>0</v>
      </c>
      <c r="U63">
        <f>'GS &lt; 50 OLS Model'!$B$13*K63</f>
        <v>12858101.632264167</v>
      </c>
      <c r="V63">
        <f t="shared" ca="1" si="7"/>
        <v>17970563.590931728</v>
      </c>
    </row>
    <row r="64" spans="1:22">
      <c r="A64" s="26">
        <f>'Monthly Data'!A64</f>
        <v>41699</v>
      </c>
      <c r="B64">
        <f t="shared" si="6"/>
        <v>2014</v>
      </c>
      <c r="C64">
        <f ca="1">'Monthly Data'!J64</f>
        <v>19585691.607345648</v>
      </c>
      <c r="D64">
        <f t="shared" ca="1" si="8"/>
        <v>456.53999999999996</v>
      </c>
      <c r="E64">
        <f t="shared" ca="1" si="8"/>
        <v>0.48</v>
      </c>
      <c r="F64" s="124">
        <f>'Monthly Data'!BK64</f>
        <v>155.30000000000001</v>
      </c>
      <c r="G64">
        <f>'Monthly Data'!BM64</f>
        <v>63</v>
      </c>
      <c r="H64">
        <f>'Monthly Data'!BP64</f>
        <v>1</v>
      </c>
      <c r="I64">
        <f>'Monthly Data'!BV64</f>
        <v>0</v>
      </c>
      <c r="J64">
        <f>'Monthly Data'!CB64</f>
        <v>1</v>
      </c>
      <c r="K64">
        <f>'Monthly Data'!CC64</f>
        <v>31</v>
      </c>
      <c r="M64">
        <f>'GS &lt; 50 OLS Model'!$B$5</f>
        <v>-2510760.1679547098</v>
      </c>
      <c r="N64">
        <f ca="1">'GS &lt; 50 OLS Model'!$B$6*D64</f>
        <v>1988787.4290464029</v>
      </c>
      <c r="O64">
        <f ca="1">'GS &lt; 50 OLS Model'!$B$7*E64</f>
        <v>11397.790981013664</v>
      </c>
      <c r="P64" s="124">
        <f>'GS &lt; 50 OLS Model'!$B$8*F64</f>
        <v>6357978.4365407256</v>
      </c>
      <c r="Q64">
        <f>'GS &lt; 50 OLS Model'!$B$9*G64</f>
        <v>-1291037.2841933973</v>
      </c>
      <c r="R64">
        <f>'GS &lt; 50 OLS Model'!$B$10*H64</f>
        <v>419453.43275174301</v>
      </c>
      <c r="S64">
        <f>'GS &lt; 50 OLS Model'!$B$11*I64</f>
        <v>0</v>
      </c>
      <c r="T64">
        <f>'GS &lt; 50 OLS Model'!$B$12*J64</f>
        <v>-782960.312499544</v>
      </c>
      <c r="U64">
        <f>'GS &lt; 50 OLS Model'!$B$13*K64</f>
        <v>14235755.378578186</v>
      </c>
      <c r="V64">
        <f t="shared" ca="1" si="7"/>
        <v>18428614.703250419</v>
      </c>
    </row>
    <row r="65" spans="1:22">
      <c r="A65" s="26">
        <f>'Monthly Data'!A65</f>
        <v>41730</v>
      </c>
      <c r="B65">
        <f t="shared" si="6"/>
        <v>2014</v>
      </c>
      <c r="C65">
        <f ca="1">'Monthly Data'!J65</f>
        <v>16922663.676998418</v>
      </c>
      <c r="D65">
        <f t="shared" ca="1" si="8"/>
        <v>248.54999999999995</v>
      </c>
      <c r="E65">
        <f t="shared" ca="1" si="8"/>
        <v>2.63</v>
      </c>
      <c r="F65" s="124">
        <f>'Monthly Data'!BK65</f>
        <v>152.9</v>
      </c>
      <c r="G65">
        <f>'Monthly Data'!BM65</f>
        <v>64</v>
      </c>
      <c r="H65">
        <f>'Monthly Data'!BP65</f>
        <v>0</v>
      </c>
      <c r="I65">
        <f>'Monthly Data'!BV65</f>
        <v>0</v>
      </c>
      <c r="J65">
        <f>'Monthly Data'!CB65</f>
        <v>1</v>
      </c>
      <c r="K65">
        <f>'Monthly Data'!CC65</f>
        <v>30</v>
      </c>
      <c r="M65">
        <f>'GS &lt; 50 OLS Model'!$B$5</f>
        <v>-2510760.1679547098</v>
      </c>
      <c r="N65">
        <f ca="1">'GS &lt; 50 OLS Model'!$B$6*D65</f>
        <v>1082737.8006077965</v>
      </c>
      <c r="O65">
        <f ca="1">'GS &lt; 50 OLS Model'!$B$7*E65</f>
        <v>62450.396416804033</v>
      </c>
      <c r="P65" s="124">
        <f>'GS &lt; 50 OLS Model'!$B$8*F65</f>
        <v>6259722.491610283</v>
      </c>
      <c r="Q65">
        <f>'GS &lt; 50 OLS Model'!$B$9*G65</f>
        <v>-1311529.9394980543</v>
      </c>
      <c r="R65">
        <f>'GS &lt; 50 OLS Model'!$B$10*H65</f>
        <v>0</v>
      </c>
      <c r="S65">
        <f>'GS &lt; 50 OLS Model'!$B$11*I65</f>
        <v>0</v>
      </c>
      <c r="T65">
        <f>'GS &lt; 50 OLS Model'!$B$12*J65</f>
        <v>-782960.312499544</v>
      </c>
      <c r="U65">
        <f>'GS &lt; 50 OLS Model'!$B$13*K65</f>
        <v>13776537.46314018</v>
      </c>
      <c r="V65">
        <f t="shared" ca="1" si="7"/>
        <v>16576197.731822755</v>
      </c>
    </row>
    <row r="66" spans="1:22">
      <c r="A66" s="26">
        <f>'Monthly Data'!A66</f>
        <v>41760</v>
      </c>
      <c r="B66">
        <f t="shared" si="6"/>
        <v>2014</v>
      </c>
      <c r="C66">
        <f ca="1">'Monthly Data'!J66</f>
        <v>17613446.724568356</v>
      </c>
      <c r="D66">
        <f t="shared" ca="1" si="8"/>
        <v>92.740000000000009</v>
      </c>
      <c r="E66">
        <f t="shared" ca="1" si="8"/>
        <v>47.37</v>
      </c>
      <c r="F66" s="124">
        <f>'Monthly Data'!BK66</f>
        <v>152.1</v>
      </c>
      <c r="G66">
        <f>'Monthly Data'!BM66</f>
        <v>65</v>
      </c>
      <c r="H66">
        <f>'Monthly Data'!BP66</f>
        <v>0</v>
      </c>
      <c r="I66">
        <f>'Monthly Data'!BV66</f>
        <v>0</v>
      </c>
      <c r="J66">
        <f>'Monthly Data'!CB66</f>
        <v>1</v>
      </c>
      <c r="K66">
        <f>'Monthly Data'!CC66</f>
        <v>31</v>
      </c>
      <c r="M66">
        <f>'GS &lt; 50 OLS Model'!$B$5</f>
        <v>-2510760.1679547098</v>
      </c>
      <c r="N66">
        <f ca="1">'GS &lt; 50 OLS Model'!$B$6*D66</f>
        <v>403995.588929258</v>
      </c>
      <c r="O66">
        <f ca="1">'GS &lt; 50 OLS Model'!$B$7*E66</f>
        <v>1124819.4974387861</v>
      </c>
      <c r="P66" s="124">
        <f>'GS &lt; 50 OLS Model'!$B$8*F66</f>
        <v>6226970.5099668019</v>
      </c>
      <c r="Q66">
        <f>'GS &lt; 50 OLS Model'!$B$9*G66</f>
        <v>-1332022.5948027114</v>
      </c>
      <c r="R66">
        <f>'GS &lt; 50 OLS Model'!$B$10*H66</f>
        <v>0</v>
      </c>
      <c r="S66">
        <f>'GS &lt; 50 OLS Model'!$B$11*I66</f>
        <v>0</v>
      </c>
      <c r="T66">
        <f>'GS &lt; 50 OLS Model'!$B$12*J66</f>
        <v>-782960.312499544</v>
      </c>
      <c r="U66">
        <f>'GS &lt; 50 OLS Model'!$B$13*K66</f>
        <v>14235755.378578186</v>
      </c>
      <c r="V66">
        <f t="shared" ca="1" si="7"/>
        <v>17365797.899656065</v>
      </c>
    </row>
    <row r="67" spans="1:22">
      <c r="A67" s="26">
        <f>'Monthly Data'!A67</f>
        <v>41791</v>
      </c>
      <c r="B67">
        <f t="shared" si="6"/>
        <v>2014</v>
      </c>
      <c r="C67">
        <f ca="1">'Monthly Data'!J67</f>
        <v>18970931.054170139</v>
      </c>
      <c r="D67">
        <f t="shared" ca="1" si="8"/>
        <v>9.08</v>
      </c>
      <c r="E67">
        <f t="shared" ca="1" si="8"/>
        <v>117.23999999999997</v>
      </c>
      <c r="F67" s="124">
        <f>'Monthly Data'!BK67</f>
        <v>150.80000000000001</v>
      </c>
      <c r="G67">
        <f>'Monthly Data'!BM67</f>
        <v>66</v>
      </c>
      <c r="H67">
        <f>'Monthly Data'!BP67</f>
        <v>0</v>
      </c>
      <c r="I67">
        <f>'Monthly Data'!BV67</f>
        <v>0</v>
      </c>
      <c r="J67">
        <f>'Monthly Data'!CB67</f>
        <v>0</v>
      </c>
      <c r="K67">
        <f>'Monthly Data'!CC67</f>
        <v>30</v>
      </c>
      <c r="M67">
        <f>'GS &lt; 50 OLS Model'!$B$5</f>
        <v>-2510760.1679547098</v>
      </c>
      <c r="N67">
        <f ca="1">'GS &lt; 50 OLS Model'!$B$6*D67</f>
        <v>39554.452743990318</v>
      </c>
      <c r="O67">
        <f ca="1">'GS &lt; 50 OLS Model'!$B$7*E67</f>
        <v>2783910.4471125868</v>
      </c>
      <c r="P67" s="124">
        <f>'GS &lt; 50 OLS Model'!$B$8*F67</f>
        <v>6173748.5397961456</v>
      </c>
      <c r="Q67">
        <f>'GS &lt; 50 OLS Model'!$B$9*G67</f>
        <v>-1352515.2501073685</v>
      </c>
      <c r="R67">
        <f>'GS &lt; 50 OLS Model'!$B$10*H67</f>
        <v>0</v>
      </c>
      <c r="S67">
        <f>'GS &lt; 50 OLS Model'!$B$11*I67</f>
        <v>0</v>
      </c>
      <c r="T67">
        <f>'GS &lt; 50 OLS Model'!$B$12*J67</f>
        <v>0</v>
      </c>
      <c r="U67">
        <f>'GS &lt; 50 OLS Model'!$B$13*K67</f>
        <v>13776537.46314018</v>
      </c>
      <c r="V67">
        <f t="shared" ca="1" si="7"/>
        <v>18910475.484730825</v>
      </c>
    </row>
    <row r="68" spans="1:22">
      <c r="A68" s="26">
        <f>'Monthly Data'!A68</f>
        <v>41821</v>
      </c>
      <c r="B68">
        <f t="shared" si="6"/>
        <v>2014</v>
      </c>
      <c r="C68">
        <f ca="1">'Monthly Data'!J68</f>
        <v>19855708.900343191</v>
      </c>
      <c r="D68">
        <f t="shared" ca="1" si="8"/>
        <v>0.51</v>
      </c>
      <c r="E68">
        <f t="shared" ca="1" si="8"/>
        <v>185.60999999999999</v>
      </c>
      <c r="F68" s="124">
        <f>'Monthly Data'!BK68</f>
        <v>152.1</v>
      </c>
      <c r="G68">
        <f>'Monthly Data'!BM68</f>
        <v>67</v>
      </c>
      <c r="H68">
        <f>'Monthly Data'!BP68</f>
        <v>0</v>
      </c>
      <c r="I68">
        <f>'Monthly Data'!BV68</f>
        <v>0</v>
      </c>
      <c r="J68">
        <f>'Monthly Data'!CB68</f>
        <v>0</v>
      </c>
      <c r="K68">
        <f>'Monthly Data'!CC68</f>
        <v>31</v>
      </c>
      <c r="M68">
        <f>'GS &lt; 50 OLS Model'!$B$5</f>
        <v>-2510760.1679547098</v>
      </c>
      <c r="N68">
        <f ca="1">'GS &lt; 50 OLS Model'!$B$6*D68</f>
        <v>2221.6708039025398</v>
      </c>
      <c r="O68">
        <f ca="1">'GS &lt; 50 OLS Model'!$B$7*E68</f>
        <v>4407383.2999707209</v>
      </c>
      <c r="P68" s="124">
        <f>'GS &lt; 50 OLS Model'!$B$8*F68</f>
        <v>6226970.5099668019</v>
      </c>
      <c r="Q68">
        <f>'GS &lt; 50 OLS Model'!$B$9*G68</f>
        <v>-1373007.9054120255</v>
      </c>
      <c r="R68">
        <f>'GS &lt; 50 OLS Model'!$B$10*H68</f>
        <v>0</v>
      </c>
      <c r="S68">
        <f>'GS &lt; 50 OLS Model'!$B$11*I68</f>
        <v>0</v>
      </c>
      <c r="T68">
        <f>'GS &lt; 50 OLS Model'!$B$12*J68</f>
        <v>0</v>
      </c>
      <c r="U68">
        <f>'GS &lt; 50 OLS Model'!$B$13*K68</f>
        <v>14235755.378578186</v>
      </c>
      <c r="V68">
        <f t="shared" ca="1" si="7"/>
        <v>20988562.785952874</v>
      </c>
    </row>
    <row r="69" spans="1:22">
      <c r="A69" s="26">
        <f>'Monthly Data'!A69</f>
        <v>41852</v>
      </c>
      <c r="B69">
        <f t="shared" si="6"/>
        <v>2014</v>
      </c>
      <c r="C69">
        <f ca="1">'Monthly Data'!J69</f>
        <v>19611045.207169671</v>
      </c>
      <c r="D69">
        <f t="shared" ca="1" si="8"/>
        <v>1.51</v>
      </c>
      <c r="E69">
        <f t="shared" ca="1" si="8"/>
        <v>159.64000000000001</v>
      </c>
      <c r="F69" s="124">
        <f>'Monthly Data'!BK69</f>
        <v>153.30000000000001</v>
      </c>
      <c r="G69">
        <f>'Monthly Data'!BM69</f>
        <v>68</v>
      </c>
      <c r="H69">
        <f>'Monthly Data'!BP69</f>
        <v>0</v>
      </c>
      <c r="I69">
        <f>'Monthly Data'!BV69</f>
        <v>0</v>
      </c>
      <c r="J69">
        <f>'Monthly Data'!CB69</f>
        <v>0</v>
      </c>
      <c r="K69">
        <f>'Monthly Data'!CC69</f>
        <v>31</v>
      </c>
      <c r="M69">
        <f>'GS &lt; 50 OLS Model'!$B$5</f>
        <v>-2510760.1679547098</v>
      </c>
      <c r="N69">
        <f ca="1">'GS &lt; 50 OLS Model'!$B$6*D69</f>
        <v>6577.8880664565395</v>
      </c>
      <c r="O69">
        <f ca="1">'GS &lt; 50 OLS Model'!$B$7*E69</f>
        <v>3790715.3171021282</v>
      </c>
      <c r="P69" s="124">
        <f>'GS &lt; 50 OLS Model'!$B$8*F69</f>
        <v>6276098.4824320236</v>
      </c>
      <c r="Q69">
        <f>'GS &lt; 50 OLS Model'!$B$9*G69</f>
        <v>-1393500.5607166828</v>
      </c>
      <c r="R69">
        <f>'GS &lt; 50 OLS Model'!$B$10*H69</f>
        <v>0</v>
      </c>
      <c r="S69">
        <f>'GS &lt; 50 OLS Model'!$B$11*I69</f>
        <v>0</v>
      </c>
      <c r="T69">
        <f>'GS &lt; 50 OLS Model'!$B$12*J69</f>
        <v>0</v>
      </c>
      <c r="U69">
        <f>'GS &lt; 50 OLS Model'!$B$13*K69</f>
        <v>14235755.378578186</v>
      </c>
      <c r="V69">
        <f t="shared" ca="1" si="7"/>
        <v>20404886.337507401</v>
      </c>
    </row>
    <row r="70" spans="1:22">
      <c r="A70" s="26">
        <f>'Monthly Data'!A70</f>
        <v>41883</v>
      </c>
      <c r="B70">
        <f t="shared" si="6"/>
        <v>2014</v>
      </c>
      <c r="C70">
        <f ca="1">'Monthly Data'!J70</f>
        <v>17643769.2377556</v>
      </c>
      <c r="D70">
        <f t="shared" ca="1" si="8"/>
        <v>33.01</v>
      </c>
      <c r="E70">
        <f t="shared" ca="1" si="8"/>
        <v>72.989999999999981</v>
      </c>
      <c r="F70" s="124">
        <f>'Monthly Data'!BK70</f>
        <v>155.30000000000001</v>
      </c>
      <c r="G70">
        <f>'Monthly Data'!BM70</f>
        <v>69</v>
      </c>
      <c r="H70">
        <f>'Monthly Data'!BP70</f>
        <v>0</v>
      </c>
      <c r="I70">
        <f>'Monthly Data'!BV70</f>
        <v>1</v>
      </c>
      <c r="J70">
        <f>'Monthly Data'!CB70</f>
        <v>1</v>
      </c>
      <c r="K70">
        <f>'Monthly Data'!CC70</f>
        <v>30</v>
      </c>
      <c r="M70">
        <f>'GS &lt; 50 OLS Model'!$B$5</f>
        <v>-2510760.1679547098</v>
      </c>
      <c r="N70">
        <f ca="1">'GS &lt; 50 OLS Model'!$B$6*D70</f>
        <v>143798.73183690754</v>
      </c>
      <c r="O70">
        <f ca="1">'GS &lt; 50 OLS Model'!$B$7*E70</f>
        <v>1733176.5910503899</v>
      </c>
      <c r="P70" s="124">
        <f>'GS &lt; 50 OLS Model'!$B$8*F70</f>
        <v>6357978.4365407256</v>
      </c>
      <c r="Q70">
        <f>'GS &lt; 50 OLS Model'!$B$9*G70</f>
        <v>-1413993.2160213399</v>
      </c>
      <c r="R70">
        <f>'GS &lt; 50 OLS Model'!$B$10*H70</f>
        <v>0</v>
      </c>
      <c r="S70">
        <f>'GS &lt; 50 OLS Model'!$B$11*I70</f>
        <v>697390.17362184904</v>
      </c>
      <c r="T70">
        <f>'GS &lt; 50 OLS Model'!$B$12*J70</f>
        <v>-782960.312499544</v>
      </c>
      <c r="U70">
        <f>'GS &lt; 50 OLS Model'!$B$13*K70</f>
        <v>13776537.46314018</v>
      </c>
      <c r="V70">
        <f t="shared" ca="1" si="7"/>
        <v>18001167.699714459</v>
      </c>
    </row>
    <row r="71" spans="1:22">
      <c r="A71" s="26">
        <f>'Monthly Data'!A71</f>
        <v>41913</v>
      </c>
      <c r="B71">
        <f t="shared" si="6"/>
        <v>2014</v>
      </c>
      <c r="C71">
        <f ca="1">'Monthly Data'!J71</f>
        <v>16849179.511326332</v>
      </c>
      <c r="D71">
        <f t="shared" ref="D71:E86" ca="1" si="9">D59</f>
        <v>177.83999999999997</v>
      </c>
      <c r="E71">
        <f t="shared" ca="1" si="9"/>
        <v>10.779999999999998</v>
      </c>
      <c r="F71" s="124">
        <f>'Monthly Data'!BK71</f>
        <v>156.9</v>
      </c>
      <c r="G71">
        <f>'Monthly Data'!BM71</f>
        <v>70</v>
      </c>
      <c r="H71">
        <f>'Monthly Data'!BP71</f>
        <v>0</v>
      </c>
      <c r="I71">
        <f>'Monthly Data'!BV71</f>
        <v>0</v>
      </c>
      <c r="J71">
        <f>'Monthly Data'!CB71</f>
        <v>1</v>
      </c>
      <c r="K71">
        <f>'Monthly Data'!CC71</f>
        <v>31</v>
      </c>
      <c r="M71">
        <f>'GS &lt; 50 OLS Model'!$B$5</f>
        <v>-2510760.1679547098</v>
      </c>
      <c r="N71">
        <f ca="1">'GS &lt; 50 OLS Model'!$B$6*D71</f>
        <v>774709.67797260324</v>
      </c>
      <c r="O71">
        <f ca="1">'GS &lt; 50 OLS Model'!$B$7*E71</f>
        <v>255975.38911526516</v>
      </c>
      <c r="P71" s="124">
        <f>'GS &lt; 50 OLS Model'!$B$8*F71</f>
        <v>6423482.3998276871</v>
      </c>
      <c r="Q71">
        <f>'GS &lt; 50 OLS Model'!$B$9*G71</f>
        <v>-1434485.8713259969</v>
      </c>
      <c r="R71">
        <f>'GS &lt; 50 OLS Model'!$B$10*H71</f>
        <v>0</v>
      </c>
      <c r="S71">
        <f>'GS &lt; 50 OLS Model'!$B$11*I71</f>
        <v>0</v>
      </c>
      <c r="T71">
        <f>'GS &lt; 50 OLS Model'!$B$12*J71</f>
        <v>-782960.312499544</v>
      </c>
      <c r="U71">
        <f>'GS &lt; 50 OLS Model'!$B$13*K71</f>
        <v>14235755.378578186</v>
      </c>
      <c r="V71">
        <f t="shared" ca="1" si="7"/>
        <v>16961716.493713491</v>
      </c>
    </row>
    <row r="72" spans="1:22">
      <c r="A72" s="26">
        <f>'Monthly Data'!A72</f>
        <v>41944</v>
      </c>
      <c r="B72">
        <f t="shared" si="6"/>
        <v>2014</v>
      </c>
      <c r="C72">
        <f ca="1">'Monthly Data'!J72</f>
        <v>17791302.050130848</v>
      </c>
      <c r="D72">
        <f t="shared" ca="1" si="9"/>
        <v>361.94999999999993</v>
      </c>
      <c r="E72">
        <f t="shared" ca="1" si="9"/>
        <v>0.05</v>
      </c>
      <c r="F72" s="124">
        <f>'Monthly Data'!BK72</f>
        <v>157.9</v>
      </c>
      <c r="G72">
        <f>'Monthly Data'!BM72</f>
        <v>71</v>
      </c>
      <c r="H72">
        <f>'Monthly Data'!BP72</f>
        <v>0</v>
      </c>
      <c r="I72">
        <f>'Monthly Data'!BV72</f>
        <v>0</v>
      </c>
      <c r="J72">
        <f>'Monthly Data'!CB72</f>
        <v>1</v>
      </c>
      <c r="K72">
        <f>'Monthly Data'!CC72</f>
        <v>30</v>
      </c>
      <c r="M72">
        <f>'GS &lt; 50 OLS Model'!$B$5</f>
        <v>-2510760.1679547098</v>
      </c>
      <c r="N72">
        <f ca="1">'GS &lt; 50 OLS Model'!$B$6*D72</f>
        <v>1576732.83818142</v>
      </c>
      <c r="O72">
        <f ca="1">'GS &lt; 50 OLS Model'!$B$7*E72</f>
        <v>1187.2698938555902</v>
      </c>
      <c r="P72" s="124">
        <f>'GS &lt; 50 OLS Model'!$B$8*F72</f>
        <v>6464422.3768820381</v>
      </c>
      <c r="Q72">
        <f>'GS &lt; 50 OLS Model'!$B$9*G72</f>
        <v>-1454978.526630654</v>
      </c>
      <c r="R72">
        <f>'GS &lt; 50 OLS Model'!$B$10*H72</f>
        <v>0</v>
      </c>
      <c r="S72">
        <f>'GS &lt; 50 OLS Model'!$B$11*I72</f>
        <v>0</v>
      </c>
      <c r="T72">
        <f>'GS &lt; 50 OLS Model'!$B$12*J72</f>
        <v>-782960.312499544</v>
      </c>
      <c r="U72">
        <f>'GS &lt; 50 OLS Model'!$B$13*K72</f>
        <v>13776537.46314018</v>
      </c>
      <c r="V72">
        <f t="shared" ca="1" si="7"/>
        <v>17070180.941012587</v>
      </c>
    </row>
    <row r="73" spans="1:22">
      <c r="A73" s="26">
        <f>'Monthly Data'!A73</f>
        <v>41974</v>
      </c>
      <c r="B73">
        <f t="shared" si="6"/>
        <v>2014</v>
      </c>
      <c r="C73">
        <f ca="1">'Monthly Data'!J73</f>
        <v>19279930.467506785</v>
      </c>
      <c r="D73">
        <f t="shared" ca="1" si="9"/>
        <v>556.41000000000008</v>
      </c>
      <c r="E73">
        <f t="shared" ca="1" si="9"/>
        <v>0</v>
      </c>
      <c r="F73" s="124">
        <f>'Monthly Data'!BK73</f>
        <v>159.9</v>
      </c>
      <c r="G73">
        <f>'Monthly Data'!BM73</f>
        <v>72</v>
      </c>
      <c r="H73">
        <f>'Monthly Data'!BP73</f>
        <v>0</v>
      </c>
      <c r="I73">
        <f>'Monthly Data'!BV73</f>
        <v>0</v>
      </c>
      <c r="J73">
        <f>'Monthly Data'!CB73</f>
        <v>0</v>
      </c>
      <c r="K73">
        <f>'Monthly Data'!CC73</f>
        <v>31</v>
      </c>
      <c r="M73">
        <f>'GS &lt; 50 OLS Model'!$B$5</f>
        <v>-2510760.1679547098</v>
      </c>
      <c r="N73">
        <f ca="1">'GS &lt; 50 OLS Model'!$B$6*D73</f>
        <v>2423842.8470576713</v>
      </c>
      <c r="O73">
        <f ca="1">'GS &lt; 50 OLS Model'!$B$7*E73</f>
        <v>0</v>
      </c>
      <c r="P73" s="124">
        <f>'GS &lt; 50 OLS Model'!$B$8*F73</f>
        <v>6546302.330990741</v>
      </c>
      <c r="Q73">
        <f>'GS &lt; 50 OLS Model'!$B$9*G73</f>
        <v>-1475471.1819353111</v>
      </c>
      <c r="R73">
        <f>'GS &lt; 50 OLS Model'!$B$10*H73</f>
        <v>0</v>
      </c>
      <c r="S73">
        <f>'GS &lt; 50 OLS Model'!$B$11*I73</f>
        <v>0</v>
      </c>
      <c r="T73">
        <f>'GS &lt; 50 OLS Model'!$B$12*J73</f>
        <v>0</v>
      </c>
      <c r="U73">
        <f>'GS &lt; 50 OLS Model'!$B$13*K73</f>
        <v>14235755.378578186</v>
      </c>
      <c r="V73">
        <f t="shared" ca="1" si="7"/>
        <v>19219669.206736576</v>
      </c>
    </row>
    <row r="74" spans="1:22">
      <c r="A74" s="26">
        <f>'Monthly Data'!A74</f>
        <v>42005</v>
      </c>
      <c r="B74">
        <f t="shared" si="6"/>
        <v>2015</v>
      </c>
      <c r="C74">
        <f ca="1">'Monthly Data'!J74</f>
        <v>20206900.384172045</v>
      </c>
      <c r="D74">
        <f t="shared" ca="1" si="9"/>
        <v>659.42999999999984</v>
      </c>
      <c r="E74">
        <f t="shared" ca="1" si="9"/>
        <v>0</v>
      </c>
      <c r="F74" s="124">
        <f>'Monthly Data'!BK74</f>
        <v>160.4</v>
      </c>
      <c r="G74">
        <f>'Monthly Data'!BM74</f>
        <v>73</v>
      </c>
      <c r="H74">
        <f>'Monthly Data'!BP74</f>
        <v>0</v>
      </c>
      <c r="I74">
        <f>'Monthly Data'!BV74</f>
        <v>0</v>
      </c>
      <c r="J74">
        <f>'Monthly Data'!CB74</f>
        <v>0</v>
      </c>
      <c r="K74">
        <f>'Monthly Data'!CC74</f>
        <v>31</v>
      </c>
      <c r="M74">
        <f>'GS &lt; 50 OLS Model'!$B$5</f>
        <v>-2510760.1679547098</v>
      </c>
      <c r="N74">
        <f ca="1">'GS &lt; 50 OLS Model'!$B$6*D74</f>
        <v>2872620.3494459833</v>
      </c>
      <c r="O74">
        <f ca="1">'GS &lt; 50 OLS Model'!$B$7*E74</f>
        <v>0</v>
      </c>
      <c r="P74" s="124">
        <f>'GS &lt; 50 OLS Model'!$B$8*F74</f>
        <v>6566772.3195179161</v>
      </c>
      <c r="Q74">
        <f>'GS &lt; 50 OLS Model'!$B$9*G74</f>
        <v>-1495963.8372399681</v>
      </c>
      <c r="R74">
        <f>'GS &lt; 50 OLS Model'!$B$10*H74</f>
        <v>0</v>
      </c>
      <c r="S74">
        <f>'GS &lt; 50 OLS Model'!$B$11*I74</f>
        <v>0</v>
      </c>
      <c r="T74">
        <f>'GS &lt; 50 OLS Model'!$B$12*J74</f>
        <v>0</v>
      </c>
      <c r="U74">
        <f>'GS &lt; 50 OLS Model'!$B$13*K74</f>
        <v>14235755.378578186</v>
      </c>
      <c r="V74">
        <f t="shared" ca="1" si="7"/>
        <v>19668424.042347409</v>
      </c>
    </row>
    <row r="75" spans="1:22">
      <c r="A75" s="26">
        <f>'Monthly Data'!A75</f>
        <v>42036</v>
      </c>
      <c r="B75">
        <f t="shared" si="6"/>
        <v>2015</v>
      </c>
      <c r="C75">
        <f ca="1">'Monthly Data'!J75</f>
        <v>18912952.911405765</v>
      </c>
      <c r="D75">
        <f t="shared" ca="1" si="9"/>
        <v>571.77</v>
      </c>
      <c r="E75">
        <f t="shared" ca="1" si="9"/>
        <v>0</v>
      </c>
      <c r="F75" s="124">
        <f>'Monthly Data'!BK75</f>
        <v>161.69999999999999</v>
      </c>
      <c r="G75">
        <f>'Monthly Data'!BM75</f>
        <v>74</v>
      </c>
      <c r="H75">
        <f>'Monthly Data'!BP75</f>
        <v>0</v>
      </c>
      <c r="I75">
        <f>'Monthly Data'!BV75</f>
        <v>0</v>
      </c>
      <c r="J75">
        <f>'Monthly Data'!CB75</f>
        <v>0</v>
      </c>
      <c r="K75">
        <f>'Monthly Data'!CC75</f>
        <v>28</v>
      </c>
      <c r="M75">
        <f>'GS &lt; 50 OLS Model'!$B$5</f>
        <v>-2510760.1679547098</v>
      </c>
      <c r="N75">
        <f ca="1">'GS &lt; 50 OLS Model'!$B$6*D75</f>
        <v>2490754.3442105004</v>
      </c>
      <c r="O75">
        <f ca="1">'GS &lt; 50 OLS Model'!$B$7*E75</f>
        <v>0</v>
      </c>
      <c r="P75" s="124">
        <f>'GS &lt; 50 OLS Model'!$B$8*F75</f>
        <v>6619994.2896885723</v>
      </c>
      <c r="Q75">
        <f>'GS &lt; 50 OLS Model'!$B$9*G75</f>
        <v>-1516456.4925446254</v>
      </c>
      <c r="R75">
        <f>'GS &lt; 50 OLS Model'!$B$10*H75</f>
        <v>0</v>
      </c>
      <c r="S75">
        <f>'GS &lt; 50 OLS Model'!$B$11*I75</f>
        <v>0</v>
      </c>
      <c r="T75">
        <f>'GS &lt; 50 OLS Model'!$B$12*J75</f>
        <v>0</v>
      </c>
      <c r="U75">
        <f>'GS &lt; 50 OLS Model'!$B$13*K75</f>
        <v>12858101.632264167</v>
      </c>
      <c r="V75">
        <f t="shared" ca="1" si="7"/>
        <v>17941633.605663903</v>
      </c>
    </row>
    <row r="76" spans="1:22">
      <c r="A76" s="26">
        <f>'Monthly Data'!A76</f>
        <v>42064</v>
      </c>
      <c r="B76">
        <f t="shared" si="6"/>
        <v>2015</v>
      </c>
      <c r="C76">
        <f ca="1">'Monthly Data'!J76</f>
        <v>19087194.693129994</v>
      </c>
      <c r="D76">
        <f t="shared" ca="1" si="9"/>
        <v>456.53999999999996</v>
      </c>
      <c r="E76">
        <f t="shared" ca="1" si="9"/>
        <v>0.48</v>
      </c>
      <c r="F76" s="124">
        <f>'Monthly Data'!BK76</f>
        <v>160.5</v>
      </c>
      <c r="G76">
        <f>'Monthly Data'!BM76</f>
        <v>75</v>
      </c>
      <c r="H76">
        <f>'Monthly Data'!BP76</f>
        <v>1</v>
      </c>
      <c r="I76">
        <f>'Monthly Data'!BV76</f>
        <v>0</v>
      </c>
      <c r="J76">
        <f>'Monthly Data'!CB76</f>
        <v>1</v>
      </c>
      <c r="K76">
        <f>'Monthly Data'!CC76</f>
        <v>31</v>
      </c>
      <c r="M76">
        <f>'GS &lt; 50 OLS Model'!$B$5</f>
        <v>-2510760.1679547098</v>
      </c>
      <c r="N76">
        <f ca="1">'GS &lt; 50 OLS Model'!$B$6*D76</f>
        <v>1988787.4290464029</v>
      </c>
      <c r="O76">
        <f ca="1">'GS &lt; 50 OLS Model'!$B$7*E76</f>
        <v>11397.790981013664</v>
      </c>
      <c r="P76" s="124">
        <f>'GS &lt; 50 OLS Model'!$B$8*F76</f>
        <v>6570866.3172233514</v>
      </c>
      <c r="Q76">
        <f>'GS &lt; 50 OLS Model'!$B$9*G76</f>
        <v>-1536949.1478492825</v>
      </c>
      <c r="R76">
        <f>'GS &lt; 50 OLS Model'!$B$10*H76</f>
        <v>419453.43275174301</v>
      </c>
      <c r="S76">
        <f>'GS &lt; 50 OLS Model'!$B$11*I76</f>
        <v>0</v>
      </c>
      <c r="T76">
        <f>'GS &lt; 50 OLS Model'!$B$12*J76</f>
        <v>-782960.312499544</v>
      </c>
      <c r="U76">
        <f>'GS &lt; 50 OLS Model'!$B$13*K76</f>
        <v>14235755.378578186</v>
      </c>
      <c r="V76">
        <f t="shared" ca="1" si="7"/>
        <v>18395590.72027716</v>
      </c>
    </row>
    <row r="77" spans="1:22">
      <c r="A77" s="26">
        <f>'Monthly Data'!A77</f>
        <v>42095</v>
      </c>
      <c r="B77">
        <f t="shared" si="6"/>
        <v>2015</v>
      </c>
      <c r="C77">
        <f ca="1">'Monthly Data'!J77</f>
        <v>16822886.277402826</v>
      </c>
      <c r="D77">
        <f t="shared" ca="1" si="9"/>
        <v>248.54999999999995</v>
      </c>
      <c r="E77">
        <f t="shared" ca="1" si="9"/>
        <v>2.63</v>
      </c>
      <c r="F77" s="124">
        <f>'Monthly Data'!BK77</f>
        <v>160.19999999999999</v>
      </c>
      <c r="G77">
        <f>'Monthly Data'!BM77</f>
        <v>76</v>
      </c>
      <c r="H77">
        <f>'Monthly Data'!BP77</f>
        <v>0</v>
      </c>
      <c r="I77">
        <f>'Monthly Data'!BV77</f>
        <v>0</v>
      </c>
      <c r="J77">
        <f>'Monthly Data'!CB77</f>
        <v>1</v>
      </c>
      <c r="K77">
        <f>'Monthly Data'!CC77</f>
        <v>30</v>
      </c>
      <c r="M77">
        <f>'GS &lt; 50 OLS Model'!$B$5</f>
        <v>-2510760.1679547098</v>
      </c>
      <c r="N77">
        <f ca="1">'GS &lt; 50 OLS Model'!$B$6*D77</f>
        <v>1082737.8006077965</v>
      </c>
      <c r="O77">
        <f ca="1">'GS &lt; 50 OLS Model'!$B$7*E77</f>
        <v>62450.396416804033</v>
      </c>
      <c r="P77" s="124">
        <f>'GS &lt; 50 OLS Model'!$B$8*F77</f>
        <v>6558584.3241070453</v>
      </c>
      <c r="Q77">
        <f>'GS &lt; 50 OLS Model'!$B$9*G77</f>
        <v>-1557441.8031539395</v>
      </c>
      <c r="R77">
        <f>'GS &lt; 50 OLS Model'!$B$10*H77</f>
        <v>0</v>
      </c>
      <c r="S77">
        <f>'GS &lt; 50 OLS Model'!$B$11*I77</f>
        <v>0</v>
      </c>
      <c r="T77">
        <f>'GS &lt; 50 OLS Model'!$B$12*J77</f>
        <v>-782960.312499544</v>
      </c>
      <c r="U77">
        <f>'GS &lt; 50 OLS Model'!$B$13*K77</f>
        <v>13776537.46314018</v>
      </c>
      <c r="V77">
        <f t="shared" ca="1" si="7"/>
        <v>16629147.700663634</v>
      </c>
    </row>
    <row r="78" spans="1:22">
      <c r="A78" s="26">
        <f>'Monthly Data'!A78</f>
        <v>42125</v>
      </c>
      <c r="B78">
        <f t="shared" si="6"/>
        <v>2015</v>
      </c>
      <c r="C78">
        <f ca="1">'Monthly Data'!J78</f>
        <v>17571335.804700233</v>
      </c>
      <c r="D78">
        <f t="shared" ca="1" si="9"/>
        <v>92.740000000000009</v>
      </c>
      <c r="E78">
        <f t="shared" ca="1" si="9"/>
        <v>47.37</v>
      </c>
      <c r="F78" s="124">
        <f>'Monthly Data'!BK78</f>
        <v>160.80000000000001</v>
      </c>
      <c r="G78">
        <f>'Monthly Data'!BM78</f>
        <v>77</v>
      </c>
      <c r="H78">
        <f>'Monthly Data'!BP78</f>
        <v>0</v>
      </c>
      <c r="I78">
        <f>'Monthly Data'!BV78</f>
        <v>0</v>
      </c>
      <c r="J78">
        <f>'Monthly Data'!CB78</f>
        <v>1</v>
      </c>
      <c r="K78">
        <f>'Monthly Data'!CC78</f>
        <v>31</v>
      </c>
      <c r="M78">
        <f>'GS &lt; 50 OLS Model'!$B$5</f>
        <v>-2510760.1679547098</v>
      </c>
      <c r="N78">
        <f ca="1">'GS &lt; 50 OLS Model'!$B$6*D78</f>
        <v>403995.588929258</v>
      </c>
      <c r="O78">
        <f ca="1">'GS &lt; 50 OLS Model'!$B$7*E78</f>
        <v>1124819.4974387861</v>
      </c>
      <c r="P78" s="124">
        <f>'GS &lt; 50 OLS Model'!$B$8*F78</f>
        <v>6583148.3103396567</v>
      </c>
      <c r="Q78">
        <f>'GS &lt; 50 OLS Model'!$B$9*G78</f>
        <v>-1577934.4584585966</v>
      </c>
      <c r="R78">
        <f>'GS &lt; 50 OLS Model'!$B$10*H78</f>
        <v>0</v>
      </c>
      <c r="S78">
        <f>'GS &lt; 50 OLS Model'!$B$11*I78</f>
        <v>0</v>
      </c>
      <c r="T78">
        <f>'GS &lt; 50 OLS Model'!$B$12*J78</f>
        <v>-782960.312499544</v>
      </c>
      <c r="U78">
        <f>'GS &lt; 50 OLS Model'!$B$13*K78</f>
        <v>14235755.378578186</v>
      </c>
      <c r="V78">
        <f t="shared" ca="1" si="7"/>
        <v>17476063.836373035</v>
      </c>
    </row>
    <row r="79" spans="1:22">
      <c r="A79" s="26">
        <f>'Monthly Data'!A79</f>
        <v>42156</v>
      </c>
      <c r="B79">
        <f t="shared" si="6"/>
        <v>2015</v>
      </c>
      <c r="C79">
        <f ca="1">'Monthly Data'!J79</f>
        <v>18388369.415220134</v>
      </c>
      <c r="D79">
        <f t="shared" ca="1" si="9"/>
        <v>9.08</v>
      </c>
      <c r="E79">
        <f t="shared" ca="1" si="9"/>
        <v>117.23999999999997</v>
      </c>
      <c r="F79" s="124">
        <f>'Monthly Data'!BK79</f>
        <v>163</v>
      </c>
      <c r="G79">
        <f>'Monthly Data'!BM79</f>
        <v>78</v>
      </c>
      <c r="H79">
        <f>'Monthly Data'!BP79</f>
        <v>0</v>
      </c>
      <c r="I79">
        <f>'Monthly Data'!BV79</f>
        <v>0</v>
      </c>
      <c r="J79">
        <f>'Monthly Data'!CB79</f>
        <v>0</v>
      </c>
      <c r="K79">
        <f>'Monthly Data'!CC79</f>
        <v>30</v>
      </c>
      <c r="M79">
        <f>'GS &lt; 50 OLS Model'!$B$5</f>
        <v>-2510760.1679547098</v>
      </c>
      <c r="N79">
        <f ca="1">'GS &lt; 50 OLS Model'!$B$6*D79</f>
        <v>39554.452743990318</v>
      </c>
      <c r="O79">
        <f ca="1">'GS &lt; 50 OLS Model'!$B$7*E79</f>
        <v>2783910.4471125868</v>
      </c>
      <c r="P79" s="124">
        <f>'GS &lt; 50 OLS Model'!$B$8*F79</f>
        <v>6673216.2598592285</v>
      </c>
      <c r="Q79">
        <f>'GS &lt; 50 OLS Model'!$B$9*G79</f>
        <v>-1598427.1137632537</v>
      </c>
      <c r="R79">
        <f>'GS &lt; 50 OLS Model'!$B$10*H79</f>
        <v>0</v>
      </c>
      <c r="S79">
        <f>'GS &lt; 50 OLS Model'!$B$11*I79</f>
        <v>0</v>
      </c>
      <c r="T79">
        <f>'GS &lt; 50 OLS Model'!$B$12*J79</f>
        <v>0</v>
      </c>
      <c r="U79">
        <f>'GS &lt; 50 OLS Model'!$B$13*K79</f>
        <v>13776537.46314018</v>
      </c>
      <c r="V79">
        <f t="shared" ca="1" si="7"/>
        <v>19164031.34113802</v>
      </c>
    </row>
    <row r="80" spans="1:22">
      <c r="A80" s="26">
        <f>'Monthly Data'!A80</f>
        <v>42186</v>
      </c>
      <c r="B80">
        <f t="shared" si="6"/>
        <v>2015</v>
      </c>
      <c r="C80">
        <f ca="1">'Monthly Data'!J80</f>
        <v>20279519.473623894</v>
      </c>
      <c r="D80">
        <f t="shared" ca="1" si="9"/>
        <v>0.51</v>
      </c>
      <c r="E80">
        <f t="shared" ca="1" si="9"/>
        <v>185.60999999999999</v>
      </c>
      <c r="F80" s="124">
        <f>'Monthly Data'!BK80</f>
        <v>162.19999999999999</v>
      </c>
      <c r="G80">
        <f>'Monthly Data'!BM80</f>
        <v>79</v>
      </c>
      <c r="H80">
        <f>'Monthly Data'!BP80</f>
        <v>0</v>
      </c>
      <c r="I80">
        <f>'Monthly Data'!BV80</f>
        <v>0</v>
      </c>
      <c r="J80">
        <f>'Monthly Data'!CB80</f>
        <v>0</v>
      </c>
      <c r="K80">
        <f>'Monthly Data'!CC80</f>
        <v>31</v>
      </c>
      <c r="M80">
        <f>'GS &lt; 50 OLS Model'!$B$5</f>
        <v>-2510760.1679547098</v>
      </c>
      <c r="N80">
        <f ca="1">'GS &lt; 50 OLS Model'!$B$6*D80</f>
        <v>2221.6708039025398</v>
      </c>
      <c r="O80">
        <f ca="1">'GS &lt; 50 OLS Model'!$B$7*E80</f>
        <v>4407383.2999707209</v>
      </c>
      <c r="P80" s="124">
        <f>'GS &lt; 50 OLS Model'!$B$8*F80</f>
        <v>6640464.2782157473</v>
      </c>
      <c r="Q80">
        <f>'GS &lt; 50 OLS Model'!$B$9*G80</f>
        <v>-1618919.7690679107</v>
      </c>
      <c r="R80">
        <f>'GS &lt; 50 OLS Model'!$B$10*H80</f>
        <v>0</v>
      </c>
      <c r="S80">
        <f>'GS &lt; 50 OLS Model'!$B$11*I80</f>
        <v>0</v>
      </c>
      <c r="T80">
        <f>'GS &lt; 50 OLS Model'!$B$12*J80</f>
        <v>0</v>
      </c>
      <c r="U80">
        <f>'GS &lt; 50 OLS Model'!$B$13*K80</f>
        <v>14235755.378578186</v>
      </c>
      <c r="V80">
        <f t="shared" ca="1" si="7"/>
        <v>21156144.690545935</v>
      </c>
    </row>
    <row r="81" spans="1:22">
      <c r="A81" s="26">
        <f>'Monthly Data'!A81</f>
        <v>42217</v>
      </c>
      <c r="B81">
        <f t="shared" si="6"/>
        <v>2015</v>
      </c>
      <c r="C81">
        <f ca="1">'Monthly Data'!J81</f>
        <v>20702927.092459753</v>
      </c>
      <c r="D81">
        <f t="shared" ca="1" si="9"/>
        <v>1.51</v>
      </c>
      <c r="E81">
        <f t="shared" ca="1" si="9"/>
        <v>159.64000000000001</v>
      </c>
      <c r="F81" s="124">
        <f>'Monthly Data'!BK81</f>
        <v>158.69999999999999</v>
      </c>
      <c r="G81">
        <f>'Monthly Data'!BM81</f>
        <v>80</v>
      </c>
      <c r="H81">
        <f>'Monthly Data'!BP81</f>
        <v>0</v>
      </c>
      <c r="I81">
        <f>'Monthly Data'!BV81</f>
        <v>0</v>
      </c>
      <c r="J81">
        <f>'Monthly Data'!CB81</f>
        <v>0</v>
      </c>
      <c r="K81">
        <f>'Monthly Data'!CC81</f>
        <v>31</v>
      </c>
      <c r="M81">
        <f>'GS &lt; 50 OLS Model'!$B$5</f>
        <v>-2510760.1679547098</v>
      </c>
      <c r="N81">
        <f ca="1">'GS &lt; 50 OLS Model'!$B$6*D81</f>
        <v>6577.8880664565395</v>
      </c>
      <c r="O81">
        <f ca="1">'GS &lt; 50 OLS Model'!$B$7*E81</f>
        <v>3790715.3171021282</v>
      </c>
      <c r="P81" s="124">
        <f>'GS &lt; 50 OLS Model'!$B$8*F81</f>
        <v>6497174.3585255183</v>
      </c>
      <c r="Q81">
        <f>'GS &lt; 50 OLS Model'!$B$9*G81</f>
        <v>-1639412.4243725678</v>
      </c>
      <c r="R81">
        <f>'GS &lt; 50 OLS Model'!$B$10*H81</f>
        <v>0</v>
      </c>
      <c r="S81">
        <f>'GS &lt; 50 OLS Model'!$B$11*I81</f>
        <v>0</v>
      </c>
      <c r="T81">
        <f>'GS &lt; 50 OLS Model'!$B$12*J81</f>
        <v>0</v>
      </c>
      <c r="U81">
        <f>'GS &lt; 50 OLS Model'!$B$13*K81</f>
        <v>14235755.378578186</v>
      </c>
      <c r="V81">
        <f t="shared" ca="1" si="7"/>
        <v>20380050.349945012</v>
      </c>
    </row>
    <row r="82" spans="1:22">
      <c r="A82" s="26">
        <f>'Monthly Data'!A82</f>
        <v>42248</v>
      </c>
      <c r="B82">
        <f t="shared" si="6"/>
        <v>2015</v>
      </c>
      <c r="C82">
        <f ca="1">'Monthly Data'!J82</f>
        <v>18321540.160444587</v>
      </c>
      <c r="D82">
        <f t="shared" ca="1" si="9"/>
        <v>33.01</v>
      </c>
      <c r="E82">
        <f t="shared" ca="1" si="9"/>
        <v>72.989999999999981</v>
      </c>
      <c r="F82" s="124">
        <f>'Monthly Data'!BK82</f>
        <v>155.5</v>
      </c>
      <c r="G82">
        <f>'Monthly Data'!BM82</f>
        <v>81</v>
      </c>
      <c r="H82">
        <f>'Monthly Data'!BP82</f>
        <v>0</v>
      </c>
      <c r="I82">
        <f>'Monthly Data'!BV82</f>
        <v>1</v>
      </c>
      <c r="J82">
        <f>'Monthly Data'!CB82</f>
        <v>1</v>
      </c>
      <c r="K82">
        <f>'Monthly Data'!CC82</f>
        <v>30</v>
      </c>
      <c r="M82">
        <f>'GS &lt; 50 OLS Model'!$B$5</f>
        <v>-2510760.1679547098</v>
      </c>
      <c r="N82">
        <f ca="1">'GS &lt; 50 OLS Model'!$B$6*D82</f>
        <v>143798.73183690754</v>
      </c>
      <c r="O82">
        <f ca="1">'GS &lt; 50 OLS Model'!$B$7*E82</f>
        <v>1733176.5910503899</v>
      </c>
      <c r="P82" s="124">
        <f>'GS &lt; 50 OLS Model'!$B$8*F82</f>
        <v>6366166.4319515955</v>
      </c>
      <c r="Q82">
        <f>'GS &lt; 50 OLS Model'!$B$9*G82</f>
        <v>-1659905.0796772251</v>
      </c>
      <c r="R82">
        <f>'GS &lt; 50 OLS Model'!$B$10*H82</f>
        <v>0</v>
      </c>
      <c r="S82">
        <f>'GS &lt; 50 OLS Model'!$B$11*I82</f>
        <v>697390.17362184904</v>
      </c>
      <c r="T82">
        <f>'GS &lt; 50 OLS Model'!$B$12*J82</f>
        <v>-782960.312499544</v>
      </c>
      <c r="U82">
        <f>'GS &lt; 50 OLS Model'!$B$13*K82</f>
        <v>13776537.46314018</v>
      </c>
      <c r="V82">
        <f t="shared" ca="1" si="7"/>
        <v>17763443.831469443</v>
      </c>
    </row>
    <row r="83" spans="1:22">
      <c r="A83" s="26">
        <f>'Monthly Data'!A83</f>
        <v>42278</v>
      </c>
      <c r="B83">
        <f t="shared" si="6"/>
        <v>2015</v>
      </c>
      <c r="C83">
        <f ca="1">'Monthly Data'!J83</f>
        <v>16809498.477666974</v>
      </c>
      <c r="D83">
        <f t="shared" ca="1" si="9"/>
        <v>177.83999999999997</v>
      </c>
      <c r="E83">
        <f t="shared" ca="1" si="9"/>
        <v>10.779999999999998</v>
      </c>
      <c r="F83" s="124">
        <f>'Monthly Data'!BK83</f>
        <v>153.9</v>
      </c>
      <c r="G83">
        <f>'Monthly Data'!BM83</f>
        <v>82</v>
      </c>
      <c r="H83">
        <f>'Monthly Data'!BP83</f>
        <v>0</v>
      </c>
      <c r="I83">
        <f>'Monthly Data'!BV83</f>
        <v>0</v>
      </c>
      <c r="J83">
        <f>'Monthly Data'!CB83</f>
        <v>1</v>
      </c>
      <c r="K83">
        <f>'Monthly Data'!CC83</f>
        <v>31</v>
      </c>
      <c r="M83">
        <f>'GS &lt; 50 OLS Model'!$B$5</f>
        <v>-2510760.1679547098</v>
      </c>
      <c r="N83">
        <f ca="1">'GS &lt; 50 OLS Model'!$B$6*D83</f>
        <v>774709.67797260324</v>
      </c>
      <c r="O83">
        <f ca="1">'GS &lt; 50 OLS Model'!$B$7*E83</f>
        <v>255975.38911526516</v>
      </c>
      <c r="P83" s="124">
        <f>'GS &lt; 50 OLS Model'!$B$8*F83</f>
        <v>6300662.468664634</v>
      </c>
      <c r="Q83">
        <f>'GS &lt; 50 OLS Model'!$B$9*G83</f>
        <v>-1680397.7349818822</v>
      </c>
      <c r="R83">
        <f>'GS &lt; 50 OLS Model'!$B$10*H83</f>
        <v>0</v>
      </c>
      <c r="S83">
        <f>'GS &lt; 50 OLS Model'!$B$11*I83</f>
        <v>0</v>
      </c>
      <c r="T83">
        <f>'GS &lt; 50 OLS Model'!$B$12*J83</f>
        <v>-782960.312499544</v>
      </c>
      <c r="U83">
        <f>'GS &lt; 50 OLS Model'!$B$13*K83</f>
        <v>14235755.378578186</v>
      </c>
      <c r="V83">
        <f t="shared" ca="1" si="7"/>
        <v>16592984.698894551</v>
      </c>
    </row>
    <row r="84" spans="1:22">
      <c r="A84" s="26">
        <f>'Monthly Data'!A84</f>
        <v>42309</v>
      </c>
      <c r="B84">
        <f t="shared" si="6"/>
        <v>2015</v>
      </c>
      <c r="C84">
        <f ca="1">'Monthly Data'!J84</f>
        <v>16699458.042118514</v>
      </c>
      <c r="D84">
        <f t="shared" ca="1" si="9"/>
        <v>361.94999999999993</v>
      </c>
      <c r="E84">
        <f t="shared" ca="1" si="9"/>
        <v>0.05</v>
      </c>
      <c r="F84" s="124">
        <f>'Monthly Data'!BK84</f>
        <v>154.19999999999999</v>
      </c>
      <c r="G84">
        <f>'Monthly Data'!BM84</f>
        <v>83</v>
      </c>
      <c r="H84">
        <f>'Monthly Data'!BP84</f>
        <v>0</v>
      </c>
      <c r="I84">
        <f>'Monthly Data'!BV84</f>
        <v>0</v>
      </c>
      <c r="J84">
        <f>'Monthly Data'!CB84</f>
        <v>1</v>
      </c>
      <c r="K84">
        <f>'Monthly Data'!CC84</f>
        <v>30</v>
      </c>
      <c r="M84">
        <f>'GS &lt; 50 OLS Model'!$B$5</f>
        <v>-2510760.1679547098</v>
      </c>
      <c r="N84">
        <f ca="1">'GS &lt; 50 OLS Model'!$B$6*D84</f>
        <v>1576732.83818142</v>
      </c>
      <c r="O84">
        <f ca="1">'GS &lt; 50 OLS Model'!$B$7*E84</f>
        <v>1187.2698938555902</v>
      </c>
      <c r="P84" s="124">
        <f>'GS &lt; 50 OLS Model'!$B$8*F84</f>
        <v>6312944.4617809383</v>
      </c>
      <c r="Q84">
        <f>'GS &lt; 50 OLS Model'!$B$9*G84</f>
        <v>-1700890.3902865392</v>
      </c>
      <c r="R84">
        <f>'GS &lt; 50 OLS Model'!$B$10*H84</f>
        <v>0</v>
      </c>
      <c r="S84">
        <f>'GS &lt; 50 OLS Model'!$B$11*I84</f>
        <v>0</v>
      </c>
      <c r="T84">
        <f>'GS &lt; 50 OLS Model'!$B$12*J84</f>
        <v>-782960.312499544</v>
      </c>
      <c r="U84">
        <f>'GS &lt; 50 OLS Model'!$B$13*K84</f>
        <v>13776537.46314018</v>
      </c>
      <c r="V84">
        <f t="shared" ca="1" si="7"/>
        <v>16672791.1622556</v>
      </c>
    </row>
    <row r="85" spans="1:22">
      <c r="A85" s="26">
        <f>'Monthly Data'!A85</f>
        <v>42339</v>
      </c>
      <c r="B85">
        <f t="shared" si="6"/>
        <v>2015</v>
      </c>
      <c r="C85">
        <f ca="1">'Monthly Data'!J85</f>
        <v>18067085.348473221</v>
      </c>
      <c r="D85">
        <f t="shared" ca="1" si="9"/>
        <v>556.41000000000008</v>
      </c>
      <c r="E85">
        <f t="shared" ca="1" si="9"/>
        <v>0</v>
      </c>
      <c r="F85" s="124">
        <f>'Monthly Data'!BK85</f>
        <v>154.4</v>
      </c>
      <c r="G85">
        <f>'Monthly Data'!BM85</f>
        <v>84</v>
      </c>
      <c r="H85">
        <f>'Monthly Data'!BP85</f>
        <v>0</v>
      </c>
      <c r="I85">
        <f>'Monthly Data'!BV85</f>
        <v>0</v>
      </c>
      <c r="J85">
        <f>'Monthly Data'!CB85</f>
        <v>0</v>
      </c>
      <c r="K85">
        <f>'Monthly Data'!CC85</f>
        <v>31</v>
      </c>
      <c r="M85">
        <f>'GS &lt; 50 OLS Model'!$B$5</f>
        <v>-2510760.1679547098</v>
      </c>
      <c r="N85">
        <f ca="1">'GS &lt; 50 OLS Model'!$B$6*D85</f>
        <v>2423842.8470576713</v>
      </c>
      <c r="O85">
        <f ca="1">'GS &lt; 50 OLS Model'!$B$7*E85</f>
        <v>0</v>
      </c>
      <c r="P85" s="124">
        <f>'GS &lt; 50 OLS Model'!$B$8*F85</f>
        <v>6321132.45719181</v>
      </c>
      <c r="Q85">
        <f>'GS &lt; 50 OLS Model'!$B$9*G85</f>
        <v>-1721383.0455911963</v>
      </c>
      <c r="R85">
        <f>'GS &lt; 50 OLS Model'!$B$10*H85</f>
        <v>0</v>
      </c>
      <c r="S85">
        <f>'GS &lt; 50 OLS Model'!$B$11*I85</f>
        <v>0</v>
      </c>
      <c r="T85">
        <f>'GS &lt; 50 OLS Model'!$B$12*J85</f>
        <v>0</v>
      </c>
      <c r="U85">
        <f>'GS &lt; 50 OLS Model'!$B$13*K85</f>
        <v>14235755.378578186</v>
      </c>
      <c r="V85">
        <f t="shared" ca="1" si="7"/>
        <v>18748587.469281763</v>
      </c>
    </row>
    <row r="86" spans="1:22">
      <c r="A86" s="26">
        <f>'Monthly Data'!A86</f>
        <v>42370</v>
      </c>
      <c r="B86">
        <f t="shared" si="6"/>
        <v>2016</v>
      </c>
      <c r="C86">
        <f ca="1">'Monthly Data'!J86</f>
        <v>19133061.760733683</v>
      </c>
      <c r="D86">
        <f t="shared" ca="1" si="9"/>
        <v>659.42999999999984</v>
      </c>
      <c r="E86">
        <f t="shared" ca="1" si="9"/>
        <v>0</v>
      </c>
      <c r="F86" s="124">
        <f>'Monthly Data'!BK86</f>
        <v>156.19999999999999</v>
      </c>
      <c r="G86">
        <f>'Monthly Data'!BM86</f>
        <v>85</v>
      </c>
      <c r="H86">
        <f>'Monthly Data'!BP86</f>
        <v>0</v>
      </c>
      <c r="I86">
        <f>'Monthly Data'!BV86</f>
        <v>0</v>
      </c>
      <c r="J86">
        <f>'Monthly Data'!CB86</f>
        <v>0</v>
      </c>
      <c r="K86">
        <f>'Monthly Data'!CC86</f>
        <v>31</v>
      </c>
      <c r="M86">
        <f>'GS &lt; 50 OLS Model'!$B$5</f>
        <v>-2510760.1679547098</v>
      </c>
      <c r="N86">
        <f ca="1">'GS &lt; 50 OLS Model'!$B$6*D86</f>
        <v>2872620.3494459833</v>
      </c>
      <c r="O86">
        <f ca="1">'GS &lt; 50 OLS Model'!$B$7*E86</f>
        <v>0</v>
      </c>
      <c r="P86" s="124">
        <f>'GS &lt; 50 OLS Model'!$B$8*F86</f>
        <v>6394824.4158896413</v>
      </c>
      <c r="Q86">
        <f>'GS &lt; 50 OLS Model'!$B$9*G86</f>
        <v>-1741875.7008958533</v>
      </c>
      <c r="R86">
        <f>'GS &lt; 50 OLS Model'!$B$10*H86</f>
        <v>0</v>
      </c>
      <c r="S86">
        <f>'GS &lt; 50 OLS Model'!$B$11*I86</f>
        <v>0</v>
      </c>
      <c r="T86">
        <f>'GS &lt; 50 OLS Model'!$B$12*J86</f>
        <v>0</v>
      </c>
      <c r="U86">
        <f>'GS &lt; 50 OLS Model'!$B$13*K86</f>
        <v>14235755.378578186</v>
      </c>
      <c r="V86">
        <f t="shared" ca="1" si="7"/>
        <v>19250564.275063246</v>
      </c>
    </row>
    <row r="87" spans="1:22">
      <c r="A87" s="26">
        <f>'Monthly Data'!A87</f>
        <v>42401</v>
      </c>
      <c r="B87">
        <f t="shared" si="6"/>
        <v>2016</v>
      </c>
      <c r="C87">
        <f ca="1">'Monthly Data'!J87</f>
        <v>18058710.330862306</v>
      </c>
      <c r="D87">
        <f t="shared" ref="D87:E102" ca="1" si="10">D75</f>
        <v>571.77</v>
      </c>
      <c r="E87">
        <f t="shared" ca="1" si="10"/>
        <v>0</v>
      </c>
      <c r="F87" s="124">
        <f>'Monthly Data'!BK87</f>
        <v>158.5</v>
      </c>
      <c r="G87">
        <f>'Monthly Data'!BM87</f>
        <v>86</v>
      </c>
      <c r="H87">
        <f>'Monthly Data'!BP87</f>
        <v>0</v>
      </c>
      <c r="I87">
        <f>'Monthly Data'!BV87</f>
        <v>0</v>
      </c>
      <c r="J87">
        <f>'Monthly Data'!CB87</f>
        <v>0</v>
      </c>
      <c r="K87">
        <f>'Monthly Data'!CC87</f>
        <v>29</v>
      </c>
      <c r="M87">
        <f>'GS &lt; 50 OLS Model'!$B$5</f>
        <v>-2510760.1679547098</v>
      </c>
      <c r="N87">
        <f ca="1">'GS &lt; 50 OLS Model'!$B$6*D87</f>
        <v>2490754.3442105004</v>
      </c>
      <c r="O87">
        <f ca="1">'GS &lt; 50 OLS Model'!$B$7*E87</f>
        <v>0</v>
      </c>
      <c r="P87" s="124">
        <f>'GS &lt; 50 OLS Model'!$B$8*F87</f>
        <v>6488986.3631146485</v>
      </c>
      <c r="Q87">
        <f>'GS &lt; 50 OLS Model'!$B$9*G87</f>
        <v>-1762368.3562005104</v>
      </c>
      <c r="R87">
        <f>'GS &lt; 50 OLS Model'!$B$10*H87</f>
        <v>0</v>
      </c>
      <c r="S87">
        <f>'GS &lt; 50 OLS Model'!$B$11*I87</f>
        <v>0</v>
      </c>
      <c r="T87">
        <f>'GS &lt; 50 OLS Model'!$B$12*J87</f>
        <v>0</v>
      </c>
      <c r="U87">
        <f>'GS &lt; 50 OLS Model'!$B$13*K87</f>
        <v>13317319.547702175</v>
      </c>
      <c r="V87">
        <f t="shared" ca="1" si="7"/>
        <v>18023931.730872102</v>
      </c>
    </row>
    <row r="88" spans="1:22">
      <c r="A88" s="26">
        <f>'Monthly Data'!A88</f>
        <v>42430</v>
      </c>
      <c r="B88">
        <f t="shared" si="6"/>
        <v>2016</v>
      </c>
      <c r="C88">
        <f ca="1">'Monthly Data'!J88</f>
        <v>17926685.621340387</v>
      </c>
      <c r="D88">
        <f t="shared" ca="1" si="10"/>
        <v>456.53999999999996</v>
      </c>
      <c r="E88">
        <f t="shared" ca="1" si="10"/>
        <v>0.48</v>
      </c>
      <c r="F88" s="124">
        <f>'Monthly Data'!BK88</f>
        <v>161</v>
      </c>
      <c r="G88">
        <f>'Monthly Data'!BM88</f>
        <v>87</v>
      </c>
      <c r="H88">
        <f>'Monthly Data'!BP88</f>
        <v>1</v>
      </c>
      <c r="I88">
        <f>'Monthly Data'!BV88</f>
        <v>0</v>
      </c>
      <c r="J88">
        <f>'Monthly Data'!CB88</f>
        <v>1</v>
      </c>
      <c r="K88">
        <f>'Monthly Data'!CC88</f>
        <v>31</v>
      </c>
      <c r="M88">
        <f>'GS &lt; 50 OLS Model'!$B$5</f>
        <v>-2510760.1679547098</v>
      </c>
      <c r="N88">
        <f ca="1">'GS &lt; 50 OLS Model'!$B$6*D88</f>
        <v>1988787.4290464029</v>
      </c>
      <c r="O88">
        <f ca="1">'GS &lt; 50 OLS Model'!$B$7*E88</f>
        <v>11397.790981013664</v>
      </c>
      <c r="P88" s="124">
        <f>'GS &lt; 50 OLS Model'!$B$8*F88</f>
        <v>6591336.3057505265</v>
      </c>
      <c r="Q88">
        <f>'GS &lt; 50 OLS Model'!$B$9*G88</f>
        <v>-1782861.0115051677</v>
      </c>
      <c r="R88">
        <f>'GS &lt; 50 OLS Model'!$B$10*H88</f>
        <v>419453.43275174301</v>
      </c>
      <c r="S88">
        <f>'GS &lt; 50 OLS Model'!$B$11*I88</f>
        <v>0</v>
      </c>
      <c r="T88">
        <f>'GS &lt; 50 OLS Model'!$B$12*J88</f>
        <v>-782960.312499544</v>
      </c>
      <c r="U88">
        <f>'GS &lt; 50 OLS Model'!$B$13*K88</f>
        <v>14235755.378578186</v>
      </c>
      <c r="V88">
        <f t="shared" ca="1" si="7"/>
        <v>18170148.845148452</v>
      </c>
    </row>
    <row r="89" spans="1:22">
      <c r="A89" s="26">
        <f>'Monthly Data'!A89</f>
        <v>42461</v>
      </c>
      <c r="B89">
        <f t="shared" si="6"/>
        <v>2016</v>
      </c>
      <c r="C89">
        <f ca="1">'Monthly Data'!J89</f>
        <v>16527168.639966492</v>
      </c>
      <c r="D89">
        <f t="shared" ca="1" si="10"/>
        <v>248.54999999999995</v>
      </c>
      <c r="E89">
        <f t="shared" ca="1" si="10"/>
        <v>2.63</v>
      </c>
      <c r="F89" s="124">
        <f>'Monthly Data'!BK89</f>
        <v>163.1</v>
      </c>
      <c r="G89">
        <f>'Monthly Data'!BM89</f>
        <v>88</v>
      </c>
      <c r="H89">
        <f>'Monthly Data'!BP89</f>
        <v>0</v>
      </c>
      <c r="I89">
        <f>'Monthly Data'!BV89</f>
        <v>0</v>
      </c>
      <c r="J89">
        <f>'Monthly Data'!CB89</f>
        <v>1</v>
      </c>
      <c r="K89">
        <f>'Monthly Data'!CC89</f>
        <v>30</v>
      </c>
      <c r="M89">
        <f>'GS &lt; 50 OLS Model'!$B$5</f>
        <v>-2510760.1679547098</v>
      </c>
      <c r="N89">
        <f ca="1">'GS &lt; 50 OLS Model'!$B$6*D89</f>
        <v>1082737.8006077965</v>
      </c>
      <c r="O89">
        <f ca="1">'GS &lt; 50 OLS Model'!$B$7*E89</f>
        <v>62450.396416804033</v>
      </c>
      <c r="P89" s="124">
        <f>'GS &lt; 50 OLS Model'!$B$8*F89</f>
        <v>6677310.2575646639</v>
      </c>
      <c r="Q89">
        <f>'GS &lt; 50 OLS Model'!$B$9*G89</f>
        <v>-1803353.6668098248</v>
      </c>
      <c r="R89">
        <f>'GS &lt; 50 OLS Model'!$B$10*H89</f>
        <v>0</v>
      </c>
      <c r="S89">
        <f>'GS &lt; 50 OLS Model'!$B$11*I89</f>
        <v>0</v>
      </c>
      <c r="T89">
        <f>'GS &lt; 50 OLS Model'!$B$12*J89</f>
        <v>-782960.312499544</v>
      </c>
      <c r="U89">
        <f>'GS &lt; 50 OLS Model'!$B$13*K89</f>
        <v>13776537.46314018</v>
      </c>
      <c r="V89">
        <f t="shared" ca="1" si="7"/>
        <v>16501961.770465367</v>
      </c>
    </row>
    <row r="90" spans="1:22">
      <c r="A90" s="26">
        <f>'Monthly Data'!A90</f>
        <v>42491</v>
      </c>
      <c r="B90">
        <f t="shared" si="6"/>
        <v>2016</v>
      </c>
      <c r="C90">
        <f ca="1">'Monthly Data'!J90</f>
        <v>17576723.658702593</v>
      </c>
      <c r="D90">
        <f t="shared" ca="1" si="10"/>
        <v>92.740000000000009</v>
      </c>
      <c r="E90">
        <f t="shared" ca="1" si="10"/>
        <v>47.37</v>
      </c>
      <c r="F90" s="124">
        <f>'Monthly Data'!BK90</f>
        <v>164.8</v>
      </c>
      <c r="G90">
        <f>'Monthly Data'!BM90</f>
        <v>89</v>
      </c>
      <c r="H90">
        <f>'Monthly Data'!BP90</f>
        <v>0</v>
      </c>
      <c r="I90">
        <f>'Monthly Data'!BV90</f>
        <v>0</v>
      </c>
      <c r="J90">
        <f>'Monthly Data'!CB90</f>
        <v>1</v>
      </c>
      <c r="K90">
        <f>'Monthly Data'!CC90</f>
        <v>31</v>
      </c>
      <c r="M90">
        <f>'GS &lt; 50 OLS Model'!$B$5</f>
        <v>-2510760.1679547098</v>
      </c>
      <c r="N90">
        <f ca="1">'GS &lt; 50 OLS Model'!$B$6*D90</f>
        <v>403995.588929258</v>
      </c>
      <c r="O90">
        <f ca="1">'GS &lt; 50 OLS Model'!$B$7*E90</f>
        <v>1124819.4974387861</v>
      </c>
      <c r="P90" s="124">
        <f>'GS &lt; 50 OLS Model'!$B$8*F90</f>
        <v>6746908.2185570616</v>
      </c>
      <c r="Q90">
        <f>'GS &lt; 50 OLS Model'!$B$9*G90</f>
        <v>-1823846.3221144818</v>
      </c>
      <c r="R90">
        <f>'GS &lt; 50 OLS Model'!$B$10*H90</f>
        <v>0</v>
      </c>
      <c r="S90">
        <f>'GS &lt; 50 OLS Model'!$B$11*I90</f>
        <v>0</v>
      </c>
      <c r="T90">
        <f>'GS &lt; 50 OLS Model'!$B$12*J90</f>
        <v>-782960.312499544</v>
      </c>
      <c r="U90">
        <f>'GS &lt; 50 OLS Model'!$B$13*K90</f>
        <v>14235755.378578186</v>
      </c>
      <c r="V90">
        <f t="shared" ca="1" si="7"/>
        <v>17393911.880934555</v>
      </c>
    </row>
    <row r="91" spans="1:22">
      <c r="A91" s="26">
        <f>'Monthly Data'!A91</f>
        <v>42522</v>
      </c>
      <c r="B91">
        <f t="shared" si="6"/>
        <v>2016</v>
      </c>
      <c r="C91">
        <f ca="1">'Monthly Data'!J91</f>
        <v>19532905.229509365</v>
      </c>
      <c r="D91">
        <f t="shared" ca="1" si="10"/>
        <v>9.08</v>
      </c>
      <c r="E91">
        <f t="shared" ca="1" si="10"/>
        <v>117.23999999999997</v>
      </c>
      <c r="F91" s="124">
        <f>'Monthly Data'!BK91</f>
        <v>166.3</v>
      </c>
      <c r="G91">
        <f>'Monthly Data'!BM91</f>
        <v>90</v>
      </c>
      <c r="H91">
        <f>'Monthly Data'!BP91</f>
        <v>0</v>
      </c>
      <c r="I91">
        <f>'Monthly Data'!BV91</f>
        <v>0</v>
      </c>
      <c r="J91">
        <f>'Monthly Data'!CB91</f>
        <v>0</v>
      </c>
      <c r="K91">
        <f>'Monthly Data'!CC91</f>
        <v>30</v>
      </c>
      <c r="M91">
        <f>'GS &lt; 50 OLS Model'!$B$5</f>
        <v>-2510760.1679547098</v>
      </c>
      <c r="N91">
        <f ca="1">'GS &lt; 50 OLS Model'!$B$6*D91</f>
        <v>39554.452743990318</v>
      </c>
      <c r="O91">
        <f ca="1">'GS &lt; 50 OLS Model'!$B$7*E91</f>
        <v>2783910.4471125868</v>
      </c>
      <c r="P91" s="124">
        <f>'GS &lt; 50 OLS Model'!$B$8*F91</f>
        <v>6808318.1841385877</v>
      </c>
      <c r="Q91">
        <f>'GS &lt; 50 OLS Model'!$B$9*G91</f>
        <v>-1844338.9774191389</v>
      </c>
      <c r="R91">
        <f>'GS &lt; 50 OLS Model'!$B$10*H91</f>
        <v>0</v>
      </c>
      <c r="S91">
        <f>'GS &lt; 50 OLS Model'!$B$11*I91</f>
        <v>0</v>
      </c>
      <c r="T91">
        <f>'GS &lt; 50 OLS Model'!$B$12*J91</f>
        <v>0</v>
      </c>
      <c r="U91">
        <f>'GS &lt; 50 OLS Model'!$B$13*K91</f>
        <v>13776537.46314018</v>
      </c>
      <c r="V91">
        <f t="shared" ca="1" si="7"/>
        <v>19053221.401761495</v>
      </c>
    </row>
    <row r="92" spans="1:22">
      <c r="A92" s="26">
        <f>'Monthly Data'!A92</f>
        <v>42552</v>
      </c>
      <c r="B92">
        <f t="shared" si="6"/>
        <v>2016</v>
      </c>
      <c r="C92">
        <f ca="1">'Monthly Data'!J92</f>
        <v>21956762.489117898</v>
      </c>
      <c r="D92">
        <f t="shared" ca="1" si="10"/>
        <v>0.51</v>
      </c>
      <c r="E92">
        <f t="shared" ca="1" si="10"/>
        <v>185.60999999999999</v>
      </c>
      <c r="F92" s="124">
        <f>'Monthly Data'!BK92</f>
        <v>167.5</v>
      </c>
      <c r="G92">
        <f>'Monthly Data'!BM92</f>
        <v>91</v>
      </c>
      <c r="H92">
        <f>'Monthly Data'!BP92</f>
        <v>0</v>
      </c>
      <c r="I92">
        <f>'Monthly Data'!BV92</f>
        <v>0</v>
      </c>
      <c r="J92">
        <f>'Monthly Data'!CB92</f>
        <v>0</v>
      </c>
      <c r="K92">
        <f>'Monthly Data'!CC92</f>
        <v>31</v>
      </c>
      <c r="M92">
        <f>'GS &lt; 50 OLS Model'!$B$5</f>
        <v>-2510760.1679547098</v>
      </c>
      <c r="N92">
        <f ca="1">'GS &lt; 50 OLS Model'!$B$6*D92</f>
        <v>2221.6708039025398</v>
      </c>
      <c r="O92">
        <f ca="1">'GS &lt; 50 OLS Model'!$B$7*E92</f>
        <v>4407383.2999707209</v>
      </c>
      <c r="P92" s="124">
        <f>'GS &lt; 50 OLS Model'!$B$8*F92</f>
        <v>6857446.1566038085</v>
      </c>
      <c r="Q92">
        <f>'GS &lt; 50 OLS Model'!$B$9*G92</f>
        <v>-1864831.6327237959</v>
      </c>
      <c r="R92">
        <f>'GS &lt; 50 OLS Model'!$B$10*H92</f>
        <v>0</v>
      </c>
      <c r="S92">
        <f>'GS &lt; 50 OLS Model'!$B$11*I92</f>
        <v>0</v>
      </c>
      <c r="T92">
        <f>'GS &lt; 50 OLS Model'!$B$12*J92</f>
        <v>0</v>
      </c>
      <c r="U92">
        <f>'GS &lt; 50 OLS Model'!$B$13*K92</f>
        <v>14235755.378578186</v>
      </c>
      <c r="V92">
        <f t="shared" ca="1" si="7"/>
        <v>21127214.705278113</v>
      </c>
    </row>
    <row r="93" spans="1:22">
      <c r="A93" s="26">
        <f>'Monthly Data'!A93</f>
        <v>42583</v>
      </c>
      <c r="B93">
        <f t="shared" si="6"/>
        <v>2016</v>
      </c>
      <c r="C93">
        <f ca="1">'Monthly Data'!J93</f>
        <v>21900969.806323256</v>
      </c>
      <c r="D93">
        <f t="shared" ca="1" si="10"/>
        <v>1.51</v>
      </c>
      <c r="E93">
        <f t="shared" ca="1" si="10"/>
        <v>159.64000000000001</v>
      </c>
      <c r="F93" s="124">
        <f>'Monthly Data'!BK93</f>
        <v>167.9</v>
      </c>
      <c r="G93">
        <f>'Monthly Data'!BM93</f>
        <v>92</v>
      </c>
      <c r="H93">
        <f>'Monthly Data'!BP93</f>
        <v>0</v>
      </c>
      <c r="I93">
        <f>'Monthly Data'!BV93</f>
        <v>0</v>
      </c>
      <c r="J93">
        <f>'Monthly Data'!CB93</f>
        <v>0</v>
      </c>
      <c r="K93">
        <f>'Monthly Data'!CC93</f>
        <v>31</v>
      </c>
      <c r="M93">
        <f>'GS &lt; 50 OLS Model'!$B$5</f>
        <v>-2510760.1679547098</v>
      </c>
      <c r="N93">
        <f ca="1">'GS &lt; 50 OLS Model'!$B$6*D93</f>
        <v>6577.8880664565395</v>
      </c>
      <c r="O93">
        <f ca="1">'GS &lt; 50 OLS Model'!$B$7*E93</f>
        <v>3790715.3171021282</v>
      </c>
      <c r="P93" s="124">
        <f>'GS &lt; 50 OLS Model'!$B$8*F93</f>
        <v>6873822.1474255491</v>
      </c>
      <c r="Q93">
        <f>'GS &lt; 50 OLS Model'!$B$9*G93</f>
        <v>-1885324.288028453</v>
      </c>
      <c r="R93">
        <f>'GS &lt; 50 OLS Model'!$B$10*H93</f>
        <v>0</v>
      </c>
      <c r="S93">
        <f>'GS &lt; 50 OLS Model'!$B$11*I93</f>
        <v>0</v>
      </c>
      <c r="T93">
        <f>'GS &lt; 50 OLS Model'!$B$12*J93</f>
        <v>0</v>
      </c>
      <c r="U93">
        <f>'GS &lt; 50 OLS Model'!$B$13*K93</f>
        <v>14235755.378578186</v>
      </c>
      <c r="V93">
        <f t="shared" ca="1" si="7"/>
        <v>20510786.275189158</v>
      </c>
    </row>
    <row r="94" spans="1:22">
      <c r="A94" s="26">
        <f>'Monthly Data'!A94</f>
        <v>42614</v>
      </c>
      <c r="B94">
        <f t="shared" si="6"/>
        <v>2016</v>
      </c>
      <c r="C94">
        <f ca="1">'Monthly Data'!J94</f>
        <v>18789309.137700778</v>
      </c>
      <c r="D94">
        <f t="shared" ca="1" si="10"/>
        <v>33.01</v>
      </c>
      <c r="E94">
        <f t="shared" ca="1" si="10"/>
        <v>72.989999999999981</v>
      </c>
      <c r="F94" s="124">
        <f>'Monthly Data'!BK94</f>
        <v>167.5</v>
      </c>
      <c r="G94">
        <f>'Monthly Data'!BM94</f>
        <v>93</v>
      </c>
      <c r="H94">
        <f>'Monthly Data'!BP94</f>
        <v>0</v>
      </c>
      <c r="I94">
        <f>'Monthly Data'!BV94</f>
        <v>1</v>
      </c>
      <c r="J94">
        <f>'Monthly Data'!CB94</f>
        <v>1</v>
      </c>
      <c r="K94">
        <f>'Monthly Data'!CC94</f>
        <v>30</v>
      </c>
      <c r="M94">
        <f>'GS &lt; 50 OLS Model'!$B$5</f>
        <v>-2510760.1679547098</v>
      </c>
      <c r="N94">
        <f ca="1">'GS &lt; 50 OLS Model'!$B$6*D94</f>
        <v>143798.73183690754</v>
      </c>
      <c r="O94">
        <f ca="1">'GS &lt; 50 OLS Model'!$B$7*E94</f>
        <v>1733176.5910503899</v>
      </c>
      <c r="P94" s="124">
        <f>'GS &lt; 50 OLS Model'!$B$8*F94</f>
        <v>6857446.1566038085</v>
      </c>
      <c r="Q94">
        <f>'GS &lt; 50 OLS Model'!$B$9*G94</f>
        <v>-1905816.9433331103</v>
      </c>
      <c r="R94">
        <f>'GS &lt; 50 OLS Model'!$B$10*H94</f>
        <v>0</v>
      </c>
      <c r="S94">
        <f>'GS &lt; 50 OLS Model'!$B$11*I94</f>
        <v>697390.17362184904</v>
      </c>
      <c r="T94">
        <f>'GS &lt; 50 OLS Model'!$B$12*J94</f>
        <v>-782960.312499544</v>
      </c>
      <c r="U94">
        <f>'GS &lt; 50 OLS Model'!$B$13*K94</f>
        <v>13776537.46314018</v>
      </c>
      <c r="V94">
        <f t="shared" ca="1" si="7"/>
        <v>18008811.692465771</v>
      </c>
    </row>
    <row r="95" spans="1:22">
      <c r="A95" s="26">
        <f>'Monthly Data'!A95</f>
        <v>42644</v>
      </c>
      <c r="B95">
        <f t="shared" si="6"/>
        <v>2016</v>
      </c>
      <c r="C95">
        <f ca="1">'Monthly Data'!J95</f>
        <v>16955472.071180869</v>
      </c>
      <c r="D95">
        <f t="shared" ca="1" si="10"/>
        <v>177.83999999999997</v>
      </c>
      <c r="E95">
        <f t="shared" ca="1" si="10"/>
        <v>10.779999999999998</v>
      </c>
      <c r="F95" s="124">
        <f>'Monthly Data'!BK95</f>
        <v>166.4</v>
      </c>
      <c r="G95">
        <f>'Monthly Data'!BM95</f>
        <v>94</v>
      </c>
      <c r="H95">
        <f>'Monthly Data'!BP95</f>
        <v>0</v>
      </c>
      <c r="I95">
        <f>'Monthly Data'!BV95</f>
        <v>0</v>
      </c>
      <c r="J95">
        <f>'Monthly Data'!CB95</f>
        <v>1</v>
      </c>
      <c r="K95">
        <f>'Monthly Data'!CC95</f>
        <v>31</v>
      </c>
      <c r="M95">
        <f>'GS &lt; 50 OLS Model'!$B$5</f>
        <v>-2510760.1679547098</v>
      </c>
      <c r="N95">
        <f ca="1">'GS &lt; 50 OLS Model'!$B$6*D95</f>
        <v>774709.67797260324</v>
      </c>
      <c r="O95">
        <f ca="1">'GS &lt; 50 OLS Model'!$B$7*E95</f>
        <v>255975.38911526516</v>
      </c>
      <c r="P95" s="124">
        <f>'GS &lt; 50 OLS Model'!$B$8*F95</f>
        <v>6812412.1818440231</v>
      </c>
      <c r="Q95">
        <f>'GS &lt; 50 OLS Model'!$B$9*G95</f>
        <v>-1926309.5986377674</v>
      </c>
      <c r="R95">
        <f>'GS &lt; 50 OLS Model'!$B$10*H95</f>
        <v>0</v>
      </c>
      <c r="S95">
        <f>'GS &lt; 50 OLS Model'!$B$11*I95</f>
        <v>0</v>
      </c>
      <c r="T95">
        <f>'GS &lt; 50 OLS Model'!$B$12*J95</f>
        <v>-782960.312499544</v>
      </c>
      <c r="U95">
        <f>'GS &lt; 50 OLS Model'!$B$13*K95</f>
        <v>14235755.378578186</v>
      </c>
      <c r="V95">
        <f t="shared" ca="1" si="7"/>
        <v>16858822.548418056</v>
      </c>
    </row>
    <row r="96" spans="1:22">
      <c r="A96" s="26">
        <f>'Monthly Data'!A96</f>
        <v>42675</v>
      </c>
      <c r="B96">
        <f t="shared" si="6"/>
        <v>2016</v>
      </c>
      <c r="C96">
        <f ca="1">'Monthly Data'!J96</f>
        <v>16751612.589217924</v>
      </c>
      <c r="D96">
        <f t="shared" ca="1" si="10"/>
        <v>361.94999999999993</v>
      </c>
      <c r="E96">
        <f t="shared" ca="1" si="10"/>
        <v>0.05</v>
      </c>
      <c r="F96" s="124">
        <f>'Monthly Data'!BK96</f>
        <v>163.9</v>
      </c>
      <c r="G96">
        <f>'Monthly Data'!BM96</f>
        <v>95</v>
      </c>
      <c r="H96">
        <f>'Monthly Data'!BP96</f>
        <v>0</v>
      </c>
      <c r="I96">
        <f>'Monthly Data'!BV96</f>
        <v>0</v>
      </c>
      <c r="J96">
        <f>'Monthly Data'!CB96</f>
        <v>1</v>
      </c>
      <c r="K96">
        <f>'Monthly Data'!CC96</f>
        <v>30</v>
      </c>
      <c r="M96">
        <f>'GS &lt; 50 OLS Model'!$B$5</f>
        <v>-2510760.1679547098</v>
      </c>
      <c r="N96">
        <f ca="1">'GS &lt; 50 OLS Model'!$B$6*D96</f>
        <v>1576732.83818142</v>
      </c>
      <c r="O96">
        <f ca="1">'GS &lt; 50 OLS Model'!$B$7*E96</f>
        <v>1187.2698938555902</v>
      </c>
      <c r="P96" s="124">
        <f>'GS &lt; 50 OLS Model'!$B$8*F96</f>
        <v>6710062.2392081451</v>
      </c>
      <c r="Q96">
        <f>'GS &lt; 50 OLS Model'!$B$9*G96</f>
        <v>-1946802.2539424244</v>
      </c>
      <c r="R96">
        <f>'GS &lt; 50 OLS Model'!$B$10*H96</f>
        <v>0</v>
      </c>
      <c r="S96">
        <f>'GS &lt; 50 OLS Model'!$B$11*I96</f>
        <v>0</v>
      </c>
      <c r="T96">
        <f>'GS &lt; 50 OLS Model'!$B$12*J96</f>
        <v>-782960.312499544</v>
      </c>
      <c r="U96">
        <f>'GS &lt; 50 OLS Model'!$B$13*K96</f>
        <v>13776537.46314018</v>
      </c>
      <c r="V96">
        <f t="shared" ca="1" si="7"/>
        <v>16823997.076026924</v>
      </c>
    </row>
    <row r="97" spans="1:22">
      <c r="A97" s="26">
        <f>'Monthly Data'!A97</f>
        <v>42705</v>
      </c>
      <c r="B97">
        <f t="shared" si="6"/>
        <v>2016</v>
      </c>
      <c r="C97">
        <f ca="1">'Monthly Data'!J97</f>
        <v>18774069.716664497</v>
      </c>
      <c r="D97">
        <f t="shared" ca="1" si="10"/>
        <v>556.41000000000008</v>
      </c>
      <c r="E97">
        <f t="shared" ca="1" si="10"/>
        <v>0</v>
      </c>
      <c r="F97" s="124">
        <f>'Monthly Data'!BK97</f>
        <v>161.80000000000001</v>
      </c>
      <c r="G97">
        <f>'Monthly Data'!BM97</f>
        <v>96</v>
      </c>
      <c r="H97">
        <f>'Monthly Data'!BP97</f>
        <v>0</v>
      </c>
      <c r="I97">
        <f>'Monthly Data'!BV97</f>
        <v>0</v>
      </c>
      <c r="J97">
        <f>'Monthly Data'!CB97</f>
        <v>0</v>
      </c>
      <c r="K97">
        <f>'Monthly Data'!CC97</f>
        <v>31</v>
      </c>
      <c r="M97">
        <f>'GS &lt; 50 OLS Model'!$B$5</f>
        <v>-2510760.1679547098</v>
      </c>
      <c r="N97">
        <f ca="1">'GS &lt; 50 OLS Model'!$B$6*D97</f>
        <v>2423842.8470576713</v>
      </c>
      <c r="O97">
        <f ca="1">'GS &lt; 50 OLS Model'!$B$7*E97</f>
        <v>0</v>
      </c>
      <c r="P97" s="124">
        <f>'GS &lt; 50 OLS Model'!$B$8*F97</f>
        <v>6624088.2873940077</v>
      </c>
      <c r="Q97">
        <f>'GS &lt; 50 OLS Model'!$B$9*G97</f>
        <v>-1967294.9092470815</v>
      </c>
      <c r="R97">
        <f>'GS &lt; 50 OLS Model'!$B$10*H97</f>
        <v>0</v>
      </c>
      <c r="S97">
        <f>'GS &lt; 50 OLS Model'!$B$11*I97</f>
        <v>0</v>
      </c>
      <c r="T97">
        <f>'GS &lt; 50 OLS Model'!$B$12*J97</f>
        <v>0</v>
      </c>
      <c r="U97">
        <f>'GS &lt; 50 OLS Model'!$B$13*K97</f>
        <v>14235755.378578186</v>
      </c>
      <c r="V97">
        <f t="shared" ca="1" si="7"/>
        <v>18805631.435828075</v>
      </c>
    </row>
    <row r="98" spans="1:22">
      <c r="A98" s="26">
        <v>42736</v>
      </c>
      <c r="B98">
        <f t="shared" si="6"/>
        <v>2017</v>
      </c>
      <c r="C98" s="127">
        <f ca="1">'Monthly Data'!J98</f>
        <v>18732513.136596769</v>
      </c>
      <c r="D98">
        <f t="shared" ca="1" si="10"/>
        <v>659.42999999999984</v>
      </c>
      <c r="E98">
        <f t="shared" ca="1" si="10"/>
        <v>0</v>
      </c>
      <c r="F98" s="124">
        <f>'Monthly Data'!BK98</f>
        <v>162</v>
      </c>
      <c r="G98">
        <f>G97+1</f>
        <v>97</v>
      </c>
      <c r="H98">
        <f>H86</f>
        <v>0</v>
      </c>
      <c r="I98">
        <f t="shared" ref="I98:J98" si="11">I86</f>
        <v>0</v>
      </c>
      <c r="J98">
        <f t="shared" si="11"/>
        <v>0</v>
      </c>
      <c r="K98">
        <f>K50</f>
        <v>31</v>
      </c>
      <c r="M98">
        <f>'GS &lt; 50 OLS Model'!$B$5</f>
        <v>-2510760.1679547098</v>
      </c>
      <c r="N98">
        <f ca="1">'GS &lt; 50 OLS Model'!$B$6*D98</f>
        <v>2872620.3494459833</v>
      </c>
      <c r="O98">
        <f ca="1">'GS &lt; 50 OLS Model'!$B$7*E98</f>
        <v>0</v>
      </c>
      <c r="P98" s="124">
        <f>'GS &lt; 50 OLS Model'!$B$8*F98</f>
        <v>6632276.2828048775</v>
      </c>
      <c r="Q98">
        <f>'GS &lt; 50 OLS Model'!$B$9*G98</f>
        <v>-1987787.5645517386</v>
      </c>
      <c r="R98">
        <f>'GS &lt; 50 OLS Model'!$B$10*H98</f>
        <v>0</v>
      </c>
      <c r="S98">
        <f>'GS &lt; 50 OLS Model'!$B$11*I98</f>
        <v>0</v>
      </c>
      <c r="T98">
        <f>'GS &lt; 50 OLS Model'!$B$12*J98</f>
        <v>0</v>
      </c>
      <c r="U98">
        <f>'GS &lt; 50 OLS Model'!$B$13*K98</f>
        <v>14235755.378578186</v>
      </c>
      <c r="V98">
        <f t="shared" ref="V98:V133" ca="1" si="12">SUM(M98:U98)</f>
        <v>19242104.2783226</v>
      </c>
    </row>
    <row r="99" spans="1:22">
      <c r="A99" s="26">
        <v>42767</v>
      </c>
      <c r="B99">
        <f t="shared" si="6"/>
        <v>2017</v>
      </c>
      <c r="C99" s="127">
        <f ca="1">'Monthly Data'!J99</f>
        <v>16467205.256596768</v>
      </c>
      <c r="D99">
        <f t="shared" ca="1" si="10"/>
        <v>571.77</v>
      </c>
      <c r="E99">
        <f t="shared" ca="1" si="10"/>
        <v>0</v>
      </c>
      <c r="F99" s="124">
        <f>'Monthly Data'!BK99</f>
        <v>161.19999999999999</v>
      </c>
      <c r="G99">
        <f t="shared" ref="G99:G145" si="13">G98+1</f>
        <v>98</v>
      </c>
      <c r="H99">
        <f t="shared" ref="H99:J99" si="14">H87</f>
        <v>0</v>
      </c>
      <c r="I99">
        <f t="shared" si="14"/>
        <v>0</v>
      </c>
      <c r="J99">
        <f t="shared" si="14"/>
        <v>0</v>
      </c>
      <c r="K99" s="127">
        <f t="shared" ref="K99:K145" si="15">K51</f>
        <v>28</v>
      </c>
      <c r="M99">
        <f>'GS &lt; 50 OLS Model'!$B$5</f>
        <v>-2510760.1679547098</v>
      </c>
      <c r="N99">
        <f ca="1">'GS &lt; 50 OLS Model'!$B$6*D99</f>
        <v>2490754.3442105004</v>
      </c>
      <c r="O99">
        <f ca="1">'GS &lt; 50 OLS Model'!$B$7*E99</f>
        <v>0</v>
      </c>
      <c r="P99" s="124">
        <f>'GS &lt; 50 OLS Model'!$B$8*F99</f>
        <v>6599524.3011613963</v>
      </c>
      <c r="Q99">
        <f>'GS &lt; 50 OLS Model'!$B$9*G99</f>
        <v>-2008280.2198563956</v>
      </c>
      <c r="R99">
        <f>'GS &lt; 50 OLS Model'!$B$10*H99</f>
        <v>0</v>
      </c>
      <c r="S99">
        <f>'GS &lt; 50 OLS Model'!$B$11*I99</f>
        <v>0</v>
      </c>
      <c r="T99">
        <f>'GS &lt; 50 OLS Model'!$B$12*J99</f>
        <v>0</v>
      </c>
      <c r="U99">
        <f>'GS &lt; 50 OLS Model'!$B$13*K99</f>
        <v>12858101.632264167</v>
      </c>
      <c r="V99">
        <f t="shared" ca="1" si="12"/>
        <v>17429339.889824957</v>
      </c>
    </row>
    <row r="100" spans="1:22">
      <c r="A100" s="26">
        <v>42795</v>
      </c>
      <c r="B100">
        <f t="shared" si="6"/>
        <v>2017</v>
      </c>
      <c r="C100" s="127">
        <f ca="1">'Monthly Data'!J100</f>
        <v>17473640.656596765</v>
      </c>
      <c r="D100">
        <f t="shared" ca="1" si="10"/>
        <v>456.53999999999996</v>
      </c>
      <c r="E100">
        <f t="shared" ca="1" si="10"/>
        <v>0.48</v>
      </c>
      <c r="F100" s="124">
        <f>'Monthly Data'!BK100</f>
        <v>161.30000000000001</v>
      </c>
      <c r="G100">
        <f t="shared" si="13"/>
        <v>99</v>
      </c>
      <c r="H100">
        <f t="shared" ref="H100:J100" si="16">H88</f>
        <v>1</v>
      </c>
      <c r="I100">
        <f t="shared" si="16"/>
        <v>0</v>
      </c>
      <c r="J100">
        <f t="shared" si="16"/>
        <v>1</v>
      </c>
      <c r="K100" s="127">
        <f t="shared" si="15"/>
        <v>31</v>
      </c>
      <c r="M100">
        <f>'GS &lt; 50 OLS Model'!$B$5</f>
        <v>-2510760.1679547098</v>
      </c>
      <c r="N100">
        <f ca="1">'GS &lt; 50 OLS Model'!$B$6*D100</f>
        <v>1988787.4290464029</v>
      </c>
      <c r="O100">
        <f ca="1">'GS &lt; 50 OLS Model'!$B$7*E100</f>
        <v>11397.790981013664</v>
      </c>
      <c r="P100" s="124">
        <f>'GS &lt; 50 OLS Model'!$B$8*F100</f>
        <v>6603618.2988668326</v>
      </c>
      <c r="Q100">
        <f>'GS &lt; 50 OLS Model'!$B$9*G100</f>
        <v>-2028772.8751610527</v>
      </c>
      <c r="R100">
        <f>'GS &lt; 50 OLS Model'!$B$10*H100</f>
        <v>419453.43275174301</v>
      </c>
      <c r="S100">
        <f>'GS &lt; 50 OLS Model'!$B$11*I100</f>
        <v>0</v>
      </c>
      <c r="T100">
        <f>'GS &lt; 50 OLS Model'!$B$12*J100</f>
        <v>-782960.312499544</v>
      </c>
      <c r="U100">
        <f>'GS &lt; 50 OLS Model'!$B$13*K100</f>
        <v>14235755.378578186</v>
      </c>
      <c r="V100">
        <f t="shared" ca="1" si="12"/>
        <v>17936518.974608872</v>
      </c>
    </row>
    <row r="101" spans="1:22">
      <c r="A101" s="26">
        <v>42826</v>
      </c>
      <c r="B101">
        <f t="shared" si="6"/>
        <v>2017</v>
      </c>
      <c r="C101" s="127">
        <f ca="1">'Monthly Data'!J101</f>
        <v>15740126.976596767</v>
      </c>
      <c r="D101">
        <f t="shared" ca="1" si="10"/>
        <v>248.54999999999995</v>
      </c>
      <c r="E101">
        <f t="shared" ca="1" si="10"/>
        <v>2.63</v>
      </c>
      <c r="F101" s="124">
        <f>'Monthly Data'!BK101</f>
        <v>160.19999999999999</v>
      </c>
      <c r="G101">
        <f t="shared" si="13"/>
        <v>100</v>
      </c>
      <c r="H101">
        <f t="shared" ref="H101:J101" si="17">H89</f>
        <v>0</v>
      </c>
      <c r="I101">
        <f t="shared" si="17"/>
        <v>0</v>
      </c>
      <c r="J101">
        <f t="shared" si="17"/>
        <v>1</v>
      </c>
      <c r="K101" s="127">
        <f t="shared" si="15"/>
        <v>30</v>
      </c>
      <c r="M101">
        <f>'GS &lt; 50 OLS Model'!$B$5</f>
        <v>-2510760.1679547098</v>
      </c>
      <c r="N101">
        <f ca="1">'GS &lt; 50 OLS Model'!$B$6*D101</f>
        <v>1082737.8006077965</v>
      </c>
      <c r="O101">
        <f ca="1">'GS &lt; 50 OLS Model'!$B$7*E101</f>
        <v>62450.396416804033</v>
      </c>
      <c r="P101" s="124">
        <f>'GS &lt; 50 OLS Model'!$B$8*F101</f>
        <v>6558584.3241070453</v>
      </c>
      <c r="Q101">
        <f>'GS &lt; 50 OLS Model'!$B$9*G101</f>
        <v>-2049265.53046571</v>
      </c>
      <c r="R101">
        <f>'GS &lt; 50 OLS Model'!$B$10*H101</f>
        <v>0</v>
      </c>
      <c r="S101">
        <f>'GS &lt; 50 OLS Model'!$B$11*I101</f>
        <v>0</v>
      </c>
      <c r="T101">
        <f>'GS &lt; 50 OLS Model'!$B$12*J101</f>
        <v>-782960.312499544</v>
      </c>
      <c r="U101">
        <f>'GS &lt; 50 OLS Model'!$B$13*K101</f>
        <v>13776537.46314018</v>
      </c>
      <c r="V101">
        <f t="shared" ca="1" si="12"/>
        <v>16137323.973351862</v>
      </c>
    </row>
    <row r="102" spans="1:22">
      <c r="A102" s="26">
        <v>42856</v>
      </c>
      <c r="B102">
        <f t="shared" si="6"/>
        <v>2017</v>
      </c>
      <c r="C102" s="127">
        <f ca="1">'Monthly Data'!J102</f>
        <v>16539773.226596767</v>
      </c>
      <c r="D102">
        <f t="shared" ca="1" si="10"/>
        <v>92.740000000000009</v>
      </c>
      <c r="E102">
        <f t="shared" ca="1" si="10"/>
        <v>47.37</v>
      </c>
      <c r="F102" s="124">
        <f>'Monthly Data'!BK102</f>
        <v>160</v>
      </c>
      <c r="G102">
        <f t="shared" si="13"/>
        <v>101</v>
      </c>
      <c r="H102">
        <f t="shared" ref="H102:J102" si="18">H90</f>
        <v>0</v>
      </c>
      <c r="I102">
        <f t="shared" si="18"/>
        <v>0</v>
      </c>
      <c r="J102">
        <f t="shared" si="18"/>
        <v>1</v>
      </c>
      <c r="K102" s="127">
        <f t="shared" si="15"/>
        <v>31</v>
      </c>
      <c r="M102">
        <f>'GS &lt; 50 OLS Model'!$B$5</f>
        <v>-2510760.1679547098</v>
      </c>
      <c r="N102">
        <f ca="1">'GS &lt; 50 OLS Model'!$B$6*D102</f>
        <v>403995.588929258</v>
      </c>
      <c r="O102">
        <f ca="1">'GS &lt; 50 OLS Model'!$B$7*E102</f>
        <v>1124819.4974387861</v>
      </c>
      <c r="P102" s="124">
        <f>'GS &lt; 50 OLS Model'!$B$8*F102</f>
        <v>6550396.3286961755</v>
      </c>
      <c r="Q102">
        <f>'GS &lt; 50 OLS Model'!$B$9*G102</f>
        <v>-2069758.185770367</v>
      </c>
      <c r="R102">
        <f>'GS &lt; 50 OLS Model'!$B$10*H102</f>
        <v>0</v>
      </c>
      <c r="S102">
        <f>'GS &lt; 50 OLS Model'!$B$11*I102</f>
        <v>0</v>
      </c>
      <c r="T102">
        <f>'GS &lt; 50 OLS Model'!$B$12*J102</f>
        <v>-782960.312499544</v>
      </c>
      <c r="U102">
        <f>'GS &lt; 50 OLS Model'!$B$13*K102</f>
        <v>14235755.378578186</v>
      </c>
      <c r="V102">
        <f t="shared" ca="1" si="12"/>
        <v>16951488.127417784</v>
      </c>
    </row>
    <row r="103" spans="1:22">
      <c r="A103" s="26">
        <v>42887</v>
      </c>
      <c r="B103">
        <f t="shared" si="6"/>
        <v>2017</v>
      </c>
      <c r="C103" s="127">
        <f ca="1">'Monthly Data'!J103</f>
        <v>18287536.646596767</v>
      </c>
      <c r="D103">
        <f t="shared" ref="D103:E109" ca="1" si="19">D91</f>
        <v>9.08</v>
      </c>
      <c r="E103">
        <f t="shared" ca="1" si="19"/>
        <v>117.23999999999997</v>
      </c>
      <c r="F103" s="124">
        <f>'Monthly Data'!BK103</f>
        <v>160.5</v>
      </c>
      <c r="G103">
        <f t="shared" si="13"/>
        <v>102</v>
      </c>
      <c r="H103">
        <f t="shared" ref="H103:J103" si="20">H91</f>
        <v>0</v>
      </c>
      <c r="I103">
        <f t="shared" si="20"/>
        <v>0</v>
      </c>
      <c r="J103">
        <f t="shared" si="20"/>
        <v>0</v>
      </c>
      <c r="K103" s="127">
        <f t="shared" si="15"/>
        <v>30</v>
      </c>
      <c r="M103">
        <f>'GS &lt; 50 OLS Model'!$B$5</f>
        <v>-2510760.1679547098</v>
      </c>
      <c r="N103">
        <f ca="1">'GS &lt; 50 OLS Model'!$B$6*D103</f>
        <v>39554.452743990318</v>
      </c>
      <c r="O103">
        <f ca="1">'GS &lt; 50 OLS Model'!$B$7*E103</f>
        <v>2783910.4471125868</v>
      </c>
      <c r="P103" s="124">
        <f>'GS &lt; 50 OLS Model'!$B$8*F103</f>
        <v>6570866.3172233514</v>
      </c>
      <c r="Q103">
        <f>'GS &lt; 50 OLS Model'!$B$9*G103</f>
        <v>-2090250.8410750241</v>
      </c>
      <c r="R103">
        <f>'GS &lt; 50 OLS Model'!$B$10*H103</f>
        <v>0</v>
      </c>
      <c r="S103">
        <f>'GS &lt; 50 OLS Model'!$B$11*I103</f>
        <v>0</v>
      </c>
      <c r="T103">
        <f>'GS &lt; 50 OLS Model'!$B$12*J103</f>
        <v>0</v>
      </c>
      <c r="U103">
        <f>'GS &lt; 50 OLS Model'!$B$13*K103</f>
        <v>13776537.46314018</v>
      </c>
      <c r="V103">
        <f t="shared" ca="1" si="12"/>
        <v>18569857.671190374</v>
      </c>
    </row>
    <row r="104" spans="1:22">
      <c r="A104" s="26">
        <v>42917</v>
      </c>
      <c r="B104">
        <f t="shared" si="6"/>
        <v>2017</v>
      </c>
      <c r="C104" s="127">
        <f ca="1">'Monthly Data'!J104</f>
        <v>20148670.466596767</v>
      </c>
      <c r="D104">
        <f t="shared" ca="1" si="19"/>
        <v>0.51</v>
      </c>
      <c r="E104">
        <f t="shared" ca="1" si="19"/>
        <v>185.60999999999999</v>
      </c>
      <c r="F104" s="124">
        <f>'Monthly Data'!BK104</f>
        <v>160.5</v>
      </c>
      <c r="G104">
        <f t="shared" si="13"/>
        <v>103</v>
      </c>
      <c r="H104">
        <f t="shared" ref="H104:J104" si="21">H92</f>
        <v>0</v>
      </c>
      <c r="I104">
        <f t="shared" si="21"/>
        <v>0</v>
      </c>
      <c r="J104">
        <f t="shared" si="21"/>
        <v>0</v>
      </c>
      <c r="K104" s="127">
        <f t="shared" si="15"/>
        <v>31</v>
      </c>
      <c r="M104">
        <f>'GS &lt; 50 OLS Model'!$B$5</f>
        <v>-2510760.1679547098</v>
      </c>
      <c r="N104">
        <f ca="1">'GS &lt; 50 OLS Model'!$B$6*D104</f>
        <v>2221.6708039025398</v>
      </c>
      <c r="O104">
        <f ca="1">'GS &lt; 50 OLS Model'!$B$7*E104</f>
        <v>4407383.2999707209</v>
      </c>
      <c r="P104" s="124">
        <f>'GS &lt; 50 OLS Model'!$B$8*F104</f>
        <v>6570866.3172233514</v>
      </c>
      <c r="Q104">
        <f>'GS &lt; 50 OLS Model'!$B$9*G104</f>
        <v>-2110743.4963796814</v>
      </c>
      <c r="R104">
        <f>'GS &lt; 50 OLS Model'!$B$10*H104</f>
        <v>0</v>
      </c>
      <c r="S104">
        <f>'GS &lt; 50 OLS Model'!$B$11*I104</f>
        <v>0</v>
      </c>
      <c r="T104">
        <f>'GS &lt; 50 OLS Model'!$B$12*J104</f>
        <v>0</v>
      </c>
      <c r="U104">
        <f>'GS &lt; 50 OLS Model'!$B$13*K104</f>
        <v>14235755.378578186</v>
      </c>
      <c r="V104">
        <f t="shared" ca="1" si="12"/>
        <v>20594723.002241768</v>
      </c>
    </row>
    <row r="105" spans="1:22">
      <c r="A105" s="26">
        <v>42948</v>
      </c>
      <c r="B105">
        <f t="shared" si="6"/>
        <v>2017</v>
      </c>
      <c r="C105" s="127">
        <f ca="1">'Monthly Data'!J105</f>
        <v>19087552.926596768</v>
      </c>
      <c r="D105">
        <f t="shared" ca="1" si="19"/>
        <v>1.51</v>
      </c>
      <c r="E105">
        <f t="shared" ca="1" si="19"/>
        <v>159.64000000000001</v>
      </c>
      <c r="F105" s="124">
        <f>'Monthly Data'!BK105</f>
        <v>163.69999999999999</v>
      </c>
      <c r="G105">
        <f t="shared" si="13"/>
        <v>104</v>
      </c>
      <c r="H105">
        <f t="shared" ref="H105:J105" si="22">H93</f>
        <v>0</v>
      </c>
      <c r="I105">
        <f t="shared" si="22"/>
        <v>0</v>
      </c>
      <c r="J105">
        <f t="shared" si="22"/>
        <v>0</v>
      </c>
      <c r="K105" s="127">
        <f t="shared" si="15"/>
        <v>31</v>
      </c>
      <c r="M105">
        <f>'GS &lt; 50 OLS Model'!$B$5</f>
        <v>-2510760.1679547098</v>
      </c>
      <c r="N105">
        <f ca="1">'GS &lt; 50 OLS Model'!$B$6*D105</f>
        <v>6577.8880664565395</v>
      </c>
      <c r="O105">
        <f ca="1">'GS &lt; 50 OLS Model'!$B$7*E105</f>
        <v>3790715.3171021282</v>
      </c>
      <c r="P105" s="124">
        <f>'GS &lt; 50 OLS Model'!$B$8*F105</f>
        <v>6701874.2437972743</v>
      </c>
      <c r="Q105">
        <f>'GS &lt; 50 OLS Model'!$B$9*G105</f>
        <v>-2131236.1516843382</v>
      </c>
      <c r="R105">
        <f>'GS &lt; 50 OLS Model'!$B$10*H105</f>
        <v>0</v>
      </c>
      <c r="S105">
        <f>'GS &lt; 50 OLS Model'!$B$11*I105</f>
        <v>0</v>
      </c>
      <c r="T105">
        <f>'GS &lt; 50 OLS Model'!$B$12*J105</f>
        <v>0</v>
      </c>
      <c r="U105">
        <f>'GS &lt; 50 OLS Model'!$B$13*K105</f>
        <v>14235755.378578186</v>
      </c>
      <c r="V105">
        <f t="shared" ca="1" si="12"/>
        <v>20092926.507904999</v>
      </c>
    </row>
    <row r="106" spans="1:22">
      <c r="A106" s="26">
        <v>42979</v>
      </c>
      <c r="B106">
        <f t="shared" si="6"/>
        <v>2017</v>
      </c>
      <c r="C106" s="127">
        <f ca="1">'Monthly Data'!J106</f>
        <v>17404207.736596767</v>
      </c>
      <c r="D106">
        <f t="shared" ca="1" si="19"/>
        <v>33.01</v>
      </c>
      <c r="E106">
        <f t="shared" ca="1" si="19"/>
        <v>72.989999999999981</v>
      </c>
      <c r="F106" s="124">
        <f>'Monthly Data'!BK106</f>
        <v>164.7</v>
      </c>
      <c r="G106">
        <f t="shared" si="13"/>
        <v>105</v>
      </c>
      <c r="H106">
        <f t="shared" ref="H106:J106" si="23">H94</f>
        <v>0</v>
      </c>
      <c r="I106">
        <f t="shared" si="23"/>
        <v>1</v>
      </c>
      <c r="J106">
        <f t="shared" si="23"/>
        <v>1</v>
      </c>
      <c r="K106" s="127">
        <f t="shared" si="15"/>
        <v>30</v>
      </c>
      <c r="M106">
        <f>'GS &lt; 50 OLS Model'!$B$5</f>
        <v>-2510760.1679547098</v>
      </c>
      <c r="N106">
        <f ca="1">'GS &lt; 50 OLS Model'!$B$6*D106</f>
        <v>143798.73183690754</v>
      </c>
      <c r="O106">
        <f ca="1">'GS &lt; 50 OLS Model'!$B$7*E106</f>
        <v>1733176.5910503899</v>
      </c>
      <c r="P106" s="124">
        <f>'GS &lt; 50 OLS Model'!$B$8*F106</f>
        <v>6742814.2208516253</v>
      </c>
      <c r="Q106">
        <f>'GS &lt; 50 OLS Model'!$B$9*G106</f>
        <v>-2151728.8069889955</v>
      </c>
      <c r="R106">
        <f>'GS &lt; 50 OLS Model'!$B$10*H106</f>
        <v>0</v>
      </c>
      <c r="S106">
        <f>'GS &lt; 50 OLS Model'!$B$11*I106</f>
        <v>697390.17362184904</v>
      </c>
      <c r="T106">
        <f>'GS &lt; 50 OLS Model'!$B$12*J106</f>
        <v>-782960.312499544</v>
      </c>
      <c r="U106">
        <f>'GS &lt; 50 OLS Model'!$B$13*K106</f>
        <v>13776537.46314018</v>
      </c>
      <c r="V106">
        <f t="shared" ca="1" si="12"/>
        <v>17648267.893057704</v>
      </c>
    </row>
    <row r="107" spans="1:22">
      <c r="A107" s="26">
        <v>43009</v>
      </c>
      <c r="B107">
        <f t="shared" ref="B107:B133" si="24">YEAR(A107)</f>
        <v>2017</v>
      </c>
      <c r="C107" s="127">
        <f ca="1">'Monthly Data'!J107</f>
        <v>16833839.906596765</v>
      </c>
      <c r="D107">
        <f t="shared" ca="1" si="19"/>
        <v>177.83999999999997</v>
      </c>
      <c r="E107">
        <f t="shared" ca="1" si="19"/>
        <v>10.779999999999998</v>
      </c>
      <c r="F107" s="124">
        <f>'Monthly Data'!BK107</f>
        <v>162.1</v>
      </c>
      <c r="G107">
        <f t="shared" si="13"/>
        <v>106</v>
      </c>
      <c r="H107">
        <f t="shared" ref="H107:J107" si="25">H95</f>
        <v>0</v>
      </c>
      <c r="I107">
        <f t="shared" si="25"/>
        <v>0</v>
      </c>
      <c r="J107">
        <f t="shared" si="25"/>
        <v>1</v>
      </c>
      <c r="K107" s="127">
        <f t="shared" si="15"/>
        <v>31</v>
      </c>
      <c r="M107">
        <f>'GS &lt; 50 OLS Model'!$B$5</f>
        <v>-2510760.1679547098</v>
      </c>
      <c r="N107">
        <f ca="1">'GS &lt; 50 OLS Model'!$B$6*D107</f>
        <v>774709.67797260324</v>
      </c>
      <c r="O107">
        <f ca="1">'GS &lt; 50 OLS Model'!$B$7*E107</f>
        <v>255975.38911526516</v>
      </c>
      <c r="P107" s="124">
        <f>'GS &lt; 50 OLS Model'!$B$8*F107</f>
        <v>6636370.2805103129</v>
      </c>
      <c r="Q107">
        <f>'GS &lt; 50 OLS Model'!$B$9*G107</f>
        <v>-2172221.4622936524</v>
      </c>
      <c r="R107">
        <f>'GS &lt; 50 OLS Model'!$B$10*H107</f>
        <v>0</v>
      </c>
      <c r="S107">
        <f>'GS &lt; 50 OLS Model'!$B$11*I107</f>
        <v>0</v>
      </c>
      <c r="T107">
        <f>'GS &lt; 50 OLS Model'!$B$12*J107</f>
        <v>-782960.312499544</v>
      </c>
      <c r="U107">
        <f>'GS &lt; 50 OLS Model'!$B$13*K107</f>
        <v>14235755.378578186</v>
      </c>
      <c r="V107">
        <f t="shared" ca="1" si="12"/>
        <v>16436868.78342846</v>
      </c>
    </row>
    <row r="108" spans="1:22">
      <c r="A108" s="26">
        <v>43040</v>
      </c>
      <c r="B108">
        <f t="shared" si="24"/>
        <v>2017</v>
      </c>
      <c r="C108" s="127">
        <f ca="1">'Monthly Data'!J108</f>
        <v>16525687.126596767</v>
      </c>
      <c r="D108">
        <f t="shared" ca="1" si="19"/>
        <v>361.94999999999993</v>
      </c>
      <c r="E108">
        <f t="shared" ca="1" si="19"/>
        <v>0.05</v>
      </c>
      <c r="F108" s="124">
        <f>'Monthly Data'!BK108</f>
        <v>162.9</v>
      </c>
      <c r="G108">
        <f t="shared" si="13"/>
        <v>107</v>
      </c>
      <c r="H108">
        <f t="shared" ref="H108:J108" si="26">H96</f>
        <v>0</v>
      </c>
      <c r="I108">
        <f t="shared" si="26"/>
        <v>0</v>
      </c>
      <c r="J108">
        <f t="shared" si="26"/>
        <v>1</v>
      </c>
      <c r="K108" s="127">
        <f t="shared" si="15"/>
        <v>30</v>
      </c>
      <c r="M108">
        <f>'GS &lt; 50 OLS Model'!$B$5</f>
        <v>-2510760.1679547098</v>
      </c>
      <c r="N108">
        <f ca="1">'GS &lt; 50 OLS Model'!$B$6*D108</f>
        <v>1576732.83818142</v>
      </c>
      <c r="O108">
        <f ca="1">'GS &lt; 50 OLS Model'!$B$7*E108</f>
        <v>1187.2698938555902</v>
      </c>
      <c r="P108" s="124">
        <f>'GS &lt; 50 OLS Model'!$B$8*F108</f>
        <v>6669122.2621537941</v>
      </c>
      <c r="Q108">
        <f>'GS &lt; 50 OLS Model'!$B$9*G108</f>
        <v>-2192714.1175983096</v>
      </c>
      <c r="R108">
        <f>'GS &lt; 50 OLS Model'!$B$10*H108</f>
        <v>0</v>
      </c>
      <c r="S108">
        <f>'GS &lt; 50 OLS Model'!$B$11*I108</f>
        <v>0</v>
      </c>
      <c r="T108">
        <f>'GS &lt; 50 OLS Model'!$B$12*J108</f>
        <v>-782960.312499544</v>
      </c>
      <c r="U108">
        <f>'GS &lt; 50 OLS Model'!$B$13*K108</f>
        <v>13776537.46314018</v>
      </c>
      <c r="V108">
        <f t="shared" ca="1" si="12"/>
        <v>16537145.235316686</v>
      </c>
    </row>
    <row r="109" spans="1:22">
      <c r="A109" s="26">
        <v>43070</v>
      </c>
      <c r="B109">
        <f t="shared" si="24"/>
        <v>2017</v>
      </c>
      <c r="C109" s="127">
        <f ca="1">'Monthly Data'!J109</f>
        <v>18537220.016596768</v>
      </c>
      <c r="D109">
        <f t="shared" ca="1" si="19"/>
        <v>556.41000000000008</v>
      </c>
      <c r="E109">
        <f t="shared" ca="1" si="19"/>
        <v>0</v>
      </c>
      <c r="F109" s="124">
        <f>'Monthly Data'!BK109</f>
        <v>163.9</v>
      </c>
      <c r="G109">
        <f t="shared" si="13"/>
        <v>108</v>
      </c>
      <c r="H109">
        <f t="shared" ref="H109:J109" si="27">H97</f>
        <v>0</v>
      </c>
      <c r="I109">
        <f t="shared" si="27"/>
        <v>0</v>
      </c>
      <c r="J109">
        <f t="shared" si="27"/>
        <v>0</v>
      </c>
      <c r="K109" s="127">
        <f t="shared" si="15"/>
        <v>31</v>
      </c>
      <c r="M109">
        <f>'GS &lt; 50 OLS Model'!$B$5</f>
        <v>-2510760.1679547098</v>
      </c>
      <c r="N109">
        <f ca="1">'GS &lt; 50 OLS Model'!$B$6*D109</f>
        <v>2423842.8470576713</v>
      </c>
      <c r="O109">
        <f ca="1">'GS &lt; 50 OLS Model'!$B$7*E109</f>
        <v>0</v>
      </c>
      <c r="P109" s="124">
        <f>'GS &lt; 50 OLS Model'!$B$8*F109</f>
        <v>6710062.2392081451</v>
      </c>
      <c r="Q109">
        <f>'GS &lt; 50 OLS Model'!$B$9*G109</f>
        <v>-2213206.7729029665</v>
      </c>
      <c r="R109">
        <f>'GS &lt; 50 OLS Model'!$B$10*H109</f>
        <v>0</v>
      </c>
      <c r="S109">
        <f>'GS &lt; 50 OLS Model'!$B$11*I109</f>
        <v>0</v>
      </c>
      <c r="T109">
        <f>'GS &lt; 50 OLS Model'!$B$12*J109</f>
        <v>0</v>
      </c>
      <c r="U109">
        <f>'GS &lt; 50 OLS Model'!$B$13*K109</f>
        <v>14235755.378578186</v>
      </c>
      <c r="V109">
        <f t="shared" ca="1" si="12"/>
        <v>18645693.523986325</v>
      </c>
    </row>
    <row r="110" spans="1:22">
      <c r="A110" s="128">
        <v>43101</v>
      </c>
      <c r="B110" s="186">
        <f t="shared" si="24"/>
        <v>2018</v>
      </c>
      <c r="C110" s="186">
        <f ca="1">'Monthly Data'!J110</f>
        <v>19001303.515027311</v>
      </c>
      <c r="D110" s="186">
        <f t="shared" ref="D110:E110" ca="1" si="28">D98</f>
        <v>659.42999999999984</v>
      </c>
      <c r="E110" s="186">
        <f t="shared" ca="1" si="28"/>
        <v>0</v>
      </c>
      <c r="F110" s="124">
        <f>'Monthly Data'!BK110</f>
        <v>165.3963481436397</v>
      </c>
      <c r="G110" s="186">
        <f t="shared" si="13"/>
        <v>109</v>
      </c>
      <c r="H110" s="186">
        <f t="shared" ref="H110:J110" si="29">H98</f>
        <v>0</v>
      </c>
      <c r="I110" s="186">
        <f t="shared" si="29"/>
        <v>0</v>
      </c>
      <c r="J110" s="186">
        <f t="shared" si="29"/>
        <v>0</v>
      </c>
      <c r="K110" s="186">
        <f t="shared" si="15"/>
        <v>31</v>
      </c>
      <c r="L110" s="186"/>
      <c r="M110" s="186">
        <f>'GS &lt; 50 OLS Model'!$B$5</f>
        <v>-2510760.1679547098</v>
      </c>
      <c r="N110" s="186">
        <f ca="1">'GS &lt; 50 OLS Model'!$B$6*D110</f>
        <v>2872620.3494459833</v>
      </c>
      <c r="O110" s="186">
        <f ca="1">'GS &lt; 50 OLS Model'!$B$7*E110</f>
        <v>0</v>
      </c>
      <c r="P110" s="124">
        <f>'GS &lt; 50 OLS Model'!$B$8*F110</f>
        <v>6771322.6978740748</v>
      </c>
      <c r="Q110" s="186">
        <f>'GS &lt; 50 OLS Model'!$B$9*G110</f>
        <v>-2233699.4282076238</v>
      </c>
      <c r="R110" s="186">
        <f>'GS &lt; 50 OLS Model'!$B$10*H110</f>
        <v>0</v>
      </c>
      <c r="S110" s="186">
        <f>'GS &lt; 50 OLS Model'!$B$11*I110</f>
        <v>0</v>
      </c>
      <c r="T110" s="186">
        <f>'GS &lt; 50 OLS Model'!$B$12*J110</f>
        <v>0</v>
      </c>
      <c r="U110" s="186">
        <f>'GS &lt; 50 OLS Model'!$B$13*K110</f>
        <v>14235755.378578186</v>
      </c>
      <c r="V110" s="186">
        <f t="shared" ref="V110:V121" ca="1" si="30">SUM(M110:U110)</f>
        <v>19135238.829735912</v>
      </c>
    </row>
    <row r="111" spans="1:22">
      <c r="A111" s="128">
        <v>43132</v>
      </c>
      <c r="B111" s="186">
        <f t="shared" si="24"/>
        <v>2018</v>
      </c>
      <c r="C111" s="186">
        <f ca="1">'Monthly Data'!J111</f>
        <v>16610806.131532103</v>
      </c>
      <c r="D111" s="186">
        <f t="shared" ref="D111:E111" ca="1" si="31">D99</f>
        <v>571.77</v>
      </c>
      <c r="E111" s="186">
        <f t="shared" ca="1" si="31"/>
        <v>0</v>
      </c>
      <c r="F111" s="124">
        <f>'Monthly Data'!BK111</f>
        <v>161.90486914181378</v>
      </c>
      <c r="G111" s="186">
        <f t="shared" si="13"/>
        <v>110</v>
      </c>
      <c r="H111" s="186">
        <f t="shared" ref="H111:J111" si="32">H99</f>
        <v>0</v>
      </c>
      <c r="I111" s="186">
        <f t="shared" si="32"/>
        <v>0</v>
      </c>
      <c r="J111" s="186">
        <f t="shared" si="32"/>
        <v>0</v>
      </c>
      <c r="K111" s="186">
        <f t="shared" si="15"/>
        <v>28</v>
      </c>
      <c r="L111" s="186"/>
      <c r="M111" s="186">
        <f>'GS &lt; 50 OLS Model'!$B$5</f>
        <v>-2510760.1679547098</v>
      </c>
      <c r="N111" s="186">
        <f ca="1">'GS &lt; 50 OLS Model'!$B$6*D111</f>
        <v>2490754.3442105004</v>
      </c>
      <c r="O111" s="186">
        <f ca="1">'GS &lt; 50 OLS Model'!$B$7*E111</f>
        <v>0</v>
      </c>
      <c r="P111" s="124">
        <f>'GS &lt; 50 OLS Model'!$B$8*F111</f>
        <v>6628381.6276535727</v>
      </c>
      <c r="Q111" s="186">
        <f>'GS &lt; 50 OLS Model'!$B$9*G111</f>
        <v>-2254192.0835122811</v>
      </c>
      <c r="R111" s="186">
        <f>'GS &lt; 50 OLS Model'!$B$10*H111</f>
        <v>0</v>
      </c>
      <c r="S111" s="186">
        <f>'GS &lt; 50 OLS Model'!$B$11*I111</f>
        <v>0</v>
      </c>
      <c r="T111" s="186">
        <f>'GS &lt; 50 OLS Model'!$B$12*J111</f>
        <v>0</v>
      </c>
      <c r="U111" s="186">
        <f>'GS &lt; 50 OLS Model'!$B$13*K111</f>
        <v>12858101.632264167</v>
      </c>
      <c r="V111" s="186">
        <f t="shared" ca="1" si="30"/>
        <v>17212285.352661248</v>
      </c>
    </row>
    <row r="112" spans="1:22">
      <c r="A112" s="128">
        <v>43160</v>
      </c>
      <c r="B112" s="186">
        <f t="shared" si="24"/>
        <v>2018</v>
      </c>
      <c r="C112" s="186">
        <f ca="1">'Monthly Data'!J112</f>
        <v>17318740.120735005</v>
      </c>
      <c r="D112" s="186">
        <f t="shared" ref="D112:E112" ca="1" si="33">D100</f>
        <v>456.53999999999996</v>
      </c>
      <c r="E112" s="186">
        <f t="shared" ca="1" si="33"/>
        <v>0.48</v>
      </c>
      <c r="F112" s="124">
        <f>'Monthly Data'!BK112</f>
        <v>160.5082775410834</v>
      </c>
      <c r="G112" s="186">
        <f t="shared" si="13"/>
        <v>111</v>
      </c>
      <c r="H112" s="186">
        <f t="shared" ref="H112:J112" si="34">H100</f>
        <v>1</v>
      </c>
      <c r="I112" s="186">
        <f t="shared" si="34"/>
        <v>0</v>
      </c>
      <c r="J112" s="186">
        <f t="shared" si="34"/>
        <v>1</v>
      </c>
      <c r="K112" s="186">
        <f t="shared" si="15"/>
        <v>31</v>
      </c>
      <c r="L112" s="186"/>
      <c r="M112" s="186">
        <f>'GS &lt; 50 OLS Model'!$B$5</f>
        <v>-2510760.1679547098</v>
      </c>
      <c r="N112" s="186">
        <f ca="1">'GS &lt; 50 OLS Model'!$B$6*D112</f>
        <v>1988787.4290464029</v>
      </c>
      <c r="O112" s="186">
        <f ca="1">'GS &lt; 50 OLS Model'!$B$7*E112</f>
        <v>11397.790981013664</v>
      </c>
      <c r="P112" s="124">
        <f>'GS &lt; 50 OLS Model'!$B$8*F112</f>
        <v>6571205.1995653715</v>
      </c>
      <c r="Q112" s="186">
        <f>'GS &lt; 50 OLS Model'!$B$9*G112</f>
        <v>-2274684.7388169379</v>
      </c>
      <c r="R112" s="186">
        <f>'GS &lt; 50 OLS Model'!$B$10*H112</f>
        <v>419453.43275174301</v>
      </c>
      <c r="S112" s="186">
        <f>'GS &lt; 50 OLS Model'!$B$11*I112</f>
        <v>0</v>
      </c>
      <c r="T112" s="186">
        <f>'GS &lt; 50 OLS Model'!$B$12*J112</f>
        <v>-782960.312499544</v>
      </c>
      <c r="U112" s="186">
        <f>'GS &lt; 50 OLS Model'!$B$13*K112</f>
        <v>14235755.378578186</v>
      </c>
      <c r="V112" s="186">
        <f t="shared" ca="1" si="30"/>
        <v>17658194.011651523</v>
      </c>
    </row>
    <row r="113" spans="1:22">
      <c r="A113" s="128">
        <v>43191</v>
      </c>
      <c r="B113" s="186">
        <f t="shared" si="24"/>
        <v>2018</v>
      </c>
      <c r="C113" s="186">
        <f ca="1">'Monthly Data'!J113</f>
        <v>16017226.272302017</v>
      </c>
      <c r="D113" s="186">
        <f t="shared" ref="D113:E113" ca="1" si="35">D101</f>
        <v>248.54999999999995</v>
      </c>
      <c r="E113" s="186">
        <f t="shared" ca="1" si="35"/>
        <v>2.63</v>
      </c>
      <c r="F113" s="124">
        <f>'Monthly Data'!BK113</f>
        <v>161.50584297017653</v>
      </c>
      <c r="G113" s="186">
        <f t="shared" si="13"/>
        <v>112</v>
      </c>
      <c r="H113" s="186">
        <f t="shared" ref="H113:J113" si="36">H101</f>
        <v>0</v>
      </c>
      <c r="I113" s="186">
        <f t="shared" si="36"/>
        <v>0</v>
      </c>
      <c r="J113" s="186">
        <f t="shared" si="36"/>
        <v>1</v>
      </c>
      <c r="K113" s="186">
        <f t="shared" si="15"/>
        <v>30</v>
      </c>
      <c r="L113" s="186"/>
      <c r="M113" s="186">
        <f>'GS &lt; 50 OLS Model'!$B$5</f>
        <v>-2510760.1679547098</v>
      </c>
      <c r="N113" s="186">
        <f ca="1">'GS &lt; 50 OLS Model'!$B$6*D113</f>
        <v>1082737.8006077965</v>
      </c>
      <c r="O113" s="186">
        <f ca="1">'GS &lt; 50 OLS Model'!$B$7*E113</f>
        <v>62450.396416804033</v>
      </c>
      <c r="P113" s="124">
        <f>'GS &lt; 50 OLS Model'!$B$8*F113</f>
        <v>6612045.5053426586</v>
      </c>
      <c r="Q113" s="186">
        <f>'GS &lt; 50 OLS Model'!$B$9*G113</f>
        <v>-2295177.3941215952</v>
      </c>
      <c r="R113" s="186">
        <f>'GS &lt; 50 OLS Model'!$B$10*H113</f>
        <v>0</v>
      </c>
      <c r="S113" s="186">
        <f>'GS &lt; 50 OLS Model'!$B$11*I113</f>
        <v>0</v>
      </c>
      <c r="T113" s="186">
        <f>'GS &lt; 50 OLS Model'!$B$12*J113</f>
        <v>-782960.312499544</v>
      </c>
      <c r="U113" s="186">
        <f>'GS &lt; 50 OLS Model'!$B$13*K113</f>
        <v>13776537.46314018</v>
      </c>
      <c r="V113" s="186">
        <f t="shared" ca="1" si="30"/>
        <v>15944873.29093159</v>
      </c>
    </row>
    <row r="114" spans="1:22">
      <c r="A114" s="128">
        <v>43221</v>
      </c>
      <c r="B114" s="186">
        <f t="shared" ref="B114:B121" si="37">YEAR(A114)</f>
        <v>2018</v>
      </c>
      <c r="C114" s="186">
        <f ca="1">'Monthly Data'!J114</f>
        <v>16921821.134000421</v>
      </c>
      <c r="D114" s="186">
        <f t="shared" ref="D114:E114" ca="1" si="38">D102</f>
        <v>92.740000000000009</v>
      </c>
      <c r="E114" s="186">
        <f t="shared" ca="1" si="38"/>
        <v>47.37</v>
      </c>
      <c r="F114" s="124">
        <f>'Monthly Data'!BK114</f>
        <v>162.90243457090693</v>
      </c>
      <c r="G114" s="186">
        <f t="shared" si="13"/>
        <v>113</v>
      </c>
      <c r="H114" s="186">
        <f t="shared" ref="H114:J114" si="39">H102</f>
        <v>0</v>
      </c>
      <c r="I114" s="186">
        <f t="shared" si="39"/>
        <v>0</v>
      </c>
      <c r="J114" s="186">
        <f t="shared" si="39"/>
        <v>1</v>
      </c>
      <c r="K114" s="186">
        <f t="shared" si="15"/>
        <v>31</v>
      </c>
      <c r="L114" s="186"/>
      <c r="M114" s="186">
        <f>'GS &lt; 50 OLS Model'!$B$5</f>
        <v>-2510760.1679547098</v>
      </c>
      <c r="N114" s="186">
        <f ca="1">'GS &lt; 50 OLS Model'!$B$6*D114</f>
        <v>403995.588929258</v>
      </c>
      <c r="O114" s="186">
        <f ca="1">'GS &lt; 50 OLS Model'!$B$7*E114</f>
        <v>1124819.4974387861</v>
      </c>
      <c r="P114" s="124">
        <f>'GS &lt; 50 OLS Model'!$B$8*F114</f>
        <v>6669221.9334308608</v>
      </c>
      <c r="Q114" s="186">
        <f>'GS &lt; 50 OLS Model'!$B$9*G114</f>
        <v>-2315670.049426252</v>
      </c>
      <c r="R114" s="186">
        <f>'GS &lt; 50 OLS Model'!$B$10*H114</f>
        <v>0</v>
      </c>
      <c r="S114" s="186">
        <f>'GS &lt; 50 OLS Model'!$B$11*I114</f>
        <v>0</v>
      </c>
      <c r="T114" s="186">
        <f>'GS &lt; 50 OLS Model'!$B$12*J114</f>
        <v>-782960.312499544</v>
      </c>
      <c r="U114" s="186">
        <f>'GS &lt; 50 OLS Model'!$B$13*K114</f>
        <v>14235755.378578186</v>
      </c>
      <c r="V114" s="186">
        <f t="shared" ca="1" si="30"/>
        <v>16824401.868496586</v>
      </c>
    </row>
    <row r="115" spans="1:22">
      <c r="A115" s="128">
        <v>43252</v>
      </c>
      <c r="B115" s="186">
        <f t="shared" si="37"/>
        <v>2018</v>
      </c>
      <c r="C115" s="186">
        <f ca="1">'Monthly Data'!J115</f>
        <v>18917894.230369061</v>
      </c>
      <c r="D115" s="186">
        <f t="shared" ref="D115:E115" ca="1" si="40">D103</f>
        <v>9.08</v>
      </c>
      <c r="E115" s="186">
        <f t="shared" ca="1" si="40"/>
        <v>117.23999999999997</v>
      </c>
      <c r="F115" s="124">
        <f>'Monthly Data'!BK115</f>
        <v>163.80024345709072</v>
      </c>
      <c r="G115" s="186">
        <f t="shared" si="13"/>
        <v>114</v>
      </c>
      <c r="H115" s="186">
        <f t="shared" ref="H115:J115" si="41">H103</f>
        <v>0</v>
      </c>
      <c r="I115" s="186">
        <f t="shared" si="41"/>
        <v>0</v>
      </c>
      <c r="J115" s="186">
        <f t="shared" si="41"/>
        <v>0</v>
      </c>
      <c r="K115" s="186">
        <f t="shared" si="15"/>
        <v>30</v>
      </c>
      <c r="L115" s="186"/>
      <c r="M115" s="186">
        <f>'GS &lt; 50 OLS Model'!$B$5</f>
        <v>-2510760.1679547098</v>
      </c>
      <c r="N115" s="186">
        <f ca="1">'GS &lt; 50 OLS Model'!$B$6*D115</f>
        <v>39554.452743990318</v>
      </c>
      <c r="O115" s="186">
        <f ca="1">'GS &lt; 50 OLS Model'!$B$7*E115</f>
        <v>2783910.4471125868</v>
      </c>
      <c r="P115" s="124">
        <f>'GS &lt; 50 OLS Model'!$B$8*F115</f>
        <v>6705978.2086304175</v>
      </c>
      <c r="Q115" s="186">
        <f>'GS &lt; 50 OLS Model'!$B$9*G115</f>
        <v>-2336162.7047309093</v>
      </c>
      <c r="R115" s="186">
        <f>'GS &lt; 50 OLS Model'!$B$10*H115</f>
        <v>0</v>
      </c>
      <c r="S115" s="186">
        <f>'GS &lt; 50 OLS Model'!$B$11*I115</f>
        <v>0</v>
      </c>
      <c r="T115" s="186">
        <f>'GS &lt; 50 OLS Model'!$B$12*J115</f>
        <v>0</v>
      </c>
      <c r="U115" s="186">
        <f>'GS &lt; 50 OLS Model'!$B$13*K115</f>
        <v>13776537.46314018</v>
      </c>
      <c r="V115" s="186">
        <f t="shared" ca="1" si="30"/>
        <v>18459057.698941555</v>
      </c>
    </row>
    <row r="116" spans="1:22">
      <c r="A116" s="128">
        <v>43282</v>
      </c>
      <c r="B116" s="186">
        <f t="shared" si="37"/>
        <v>2018</v>
      </c>
      <c r="C116" s="186">
        <f ca="1">'Monthly Data'!J116</f>
        <v>20639533.873314146</v>
      </c>
      <c r="D116" s="186">
        <f t="shared" ref="D116:E116" ca="1" si="42">D104</f>
        <v>0.51</v>
      </c>
      <c r="E116" s="186">
        <f t="shared" ca="1" si="42"/>
        <v>185.60999999999999</v>
      </c>
      <c r="F116" s="124">
        <f>'Monthly Data'!BK116</f>
        <v>163.20170419963483</v>
      </c>
      <c r="G116" s="186">
        <f t="shared" si="13"/>
        <v>115</v>
      </c>
      <c r="H116" s="186">
        <f t="shared" ref="H116:J116" si="43">H104</f>
        <v>0</v>
      </c>
      <c r="I116" s="186">
        <f t="shared" si="43"/>
        <v>0</v>
      </c>
      <c r="J116" s="186">
        <f t="shared" si="43"/>
        <v>0</v>
      </c>
      <c r="K116" s="186">
        <f t="shared" si="15"/>
        <v>31</v>
      </c>
      <c r="L116" s="186"/>
      <c r="M116" s="186">
        <f>'GS &lt; 50 OLS Model'!$B$5</f>
        <v>-2510760.1679547098</v>
      </c>
      <c r="N116" s="186">
        <f ca="1">'GS &lt; 50 OLS Model'!$B$6*D116</f>
        <v>2221.6708039025398</v>
      </c>
      <c r="O116" s="186">
        <f ca="1">'GS &lt; 50 OLS Model'!$B$7*E116</f>
        <v>4407383.2999707209</v>
      </c>
      <c r="P116" s="124">
        <f>'GS &lt; 50 OLS Model'!$B$8*F116</f>
        <v>6681474.0251640454</v>
      </c>
      <c r="Q116" s="186">
        <f>'GS &lt; 50 OLS Model'!$B$9*G116</f>
        <v>-2356655.3600355661</v>
      </c>
      <c r="R116" s="186">
        <f>'GS &lt; 50 OLS Model'!$B$10*H116</f>
        <v>0</v>
      </c>
      <c r="S116" s="186">
        <f>'GS &lt; 50 OLS Model'!$B$11*I116</f>
        <v>0</v>
      </c>
      <c r="T116" s="186">
        <f>'GS &lt; 50 OLS Model'!$B$12*J116</f>
        <v>0</v>
      </c>
      <c r="U116" s="186">
        <f>'GS &lt; 50 OLS Model'!$B$13*K116</f>
        <v>14235755.378578186</v>
      </c>
      <c r="V116" s="186">
        <f t="shared" ca="1" si="30"/>
        <v>20459418.846526578</v>
      </c>
    </row>
    <row r="117" spans="1:22">
      <c r="A117" s="128">
        <v>43313</v>
      </c>
      <c r="B117" s="186">
        <f t="shared" si="37"/>
        <v>2018</v>
      </c>
      <c r="C117" s="186">
        <f ca="1">'Monthly Data'!J117</f>
        <v>20163539.185281534</v>
      </c>
      <c r="D117" s="186">
        <f t="shared" ref="D117:E117" ca="1" si="44">D105</f>
        <v>1.51</v>
      </c>
      <c r="E117" s="186">
        <f t="shared" ca="1" si="44"/>
        <v>159.64000000000001</v>
      </c>
      <c r="F117" s="124">
        <f>'Monthly Data'!BK117</f>
        <v>162.90243457090691</v>
      </c>
      <c r="G117" s="186">
        <f t="shared" si="13"/>
        <v>116</v>
      </c>
      <c r="H117" s="186">
        <f t="shared" ref="H117:J117" si="45">H105</f>
        <v>0</v>
      </c>
      <c r="I117" s="186">
        <f t="shared" si="45"/>
        <v>0</v>
      </c>
      <c r="J117" s="186">
        <f t="shared" si="45"/>
        <v>0</v>
      </c>
      <c r="K117" s="186">
        <f t="shared" si="15"/>
        <v>31</v>
      </c>
      <c r="L117" s="186"/>
      <c r="M117" s="186">
        <f>'GS &lt; 50 OLS Model'!$B$5</f>
        <v>-2510760.1679547098</v>
      </c>
      <c r="N117" s="186">
        <f ca="1">'GS &lt; 50 OLS Model'!$B$6*D117</f>
        <v>6577.8880664565395</v>
      </c>
      <c r="O117" s="186">
        <f ca="1">'GS &lt; 50 OLS Model'!$B$7*E117</f>
        <v>3790715.3171021282</v>
      </c>
      <c r="P117" s="124">
        <f>'GS &lt; 50 OLS Model'!$B$8*F117</f>
        <v>6669221.9334308598</v>
      </c>
      <c r="Q117" s="186">
        <f>'GS &lt; 50 OLS Model'!$B$9*G117</f>
        <v>-2377148.0153402234</v>
      </c>
      <c r="R117" s="186">
        <f>'GS &lt; 50 OLS Model'!$B$10*H117</f>
        <v>0</v>
      </c>
      <c r="S117" s="186">
        <f>'GS &lt; 50 OLS Model'!$B$11*I117</f>
        <v>0</v>
      </c>
      <c r="T117" s="186">
        <f>'GS &lt; 50 OLS Model'!$B$12*J117</f>
        <v>0</v>
      </c>
      <c r="U117" s="186">
        <f>'GS &lt; 50 OLS Model'!$B$13*K117</f>
        <v>14235755.378578186</v>
      </c>
      <c r="V117" s="186">
        <f t="shared" ca="1" si="30"/>
        <v>19814362.333882697</v>
      </c>
    </row>
    <row r="118" spans="1:22">
      <c r="A118" s="128">
        <v>43344</v>
      </c>
      <c r="B118" s="186">
        <f t="shared" si="37"/>
        <v>2018</v>
      </c>
      <c r="C118" s="186">
        <f ca="1">'Monthly Data'!J118</f>
        <v>17735720.163342077</v>
      </c>
      <c r="D118" s="186">
        <f t="shared" ref="D118:E118" ca="1" si="46">D106</f>
        <v>33.01</v>
      </c>
      <c r="E118" s="186">
        <f t="shared" ca="1" si="46"/>
        <v>72.989999999999981</v>
      </c>
      <c r="F118" s="124">
        <f>'Monthly Data'!BK118</f>
        <v>163.30146074254412</v>
      </c>
      <c r="G118" s="186">
        <f t="shared" si="13"/>
        <v>117</v>
      </c>
      <c r="H118" s="186">
        <f t="shared" ref="H118:J118" si="47">H106</f>
        <v>0</v>
      </c>
      <c r="I118" s="186">
        <f t="shared" si="47"/>
        <v>1</v>
      </c>
      <c r="J118" s="186">
        <f t="shared" si="47"/>
        <v>1</v>
      </c>
      <c r="K118" s="186">
        <f t="shared" si="15"/>
        <v>30</v>
      </c>
      <c r="L118" s="186"/>
      <c r="M118" s="186">
        <f>'GS &lt; 50 OLS Model'!$B$5</f>
        <v>-2510760.1679547098</v>
      </c>
      <c r="N118" s="186">
        <f ca="1">'GS &lt; 50 OLS Model'!$B$6*D118</f>
        <v>143798.73183690754</v>
      </c>
      <c r="O118" s="186">
        <f ca="1">'GS &lt; 50 OLS Model'!$B$7*E118</f>
        <v>1733176.5910503899</v>
      </c>
      <c r="P118" s="124">
        <f>'GS &lt; 50 OLS Model'!$B$8*F118</f>
        <v>6685558.055741773</v>
      </c>
      <c r="Q118" s="186">
        <f>'GS &lt; 50 OLS Model'!$B$9*G118</f>
        <v>-2397640.6706448807</v>
      </c>
      <c r="R118" s="186">
        <f>'GS &lt; 50 OLS Model'!$B$10*H118</f>
        <v>0</v>
      </c>
      <c r="S118" s="186">
        <f>'GS &lt; 50 OLS Model'!$B$11*I118</f>
        <v>697390.17362184904</v>
      </c>
      <c r="T118" s="186">
        <f>'GS &lt; 50 OLS Model'!$B$12*J118</f>
        <v>-782960.312499544</v>
      </c>
      <c r="U118" s="186">
        <f>'GS &lt; 50 OLS Model'!$B$13*K118</f>
        <v>13776537.46314018</v>
      </c>
      <c r="V118" s="186">
        <f t="shared" ca="1" si="30"/>
        <v>17345099.864291966</v>
      </c>
    </row>
    <row r="119" spans="1:22">
      <c r="A119" s="128">
        <v>43374</v>
      </c>
      <c r="B119" s="186">
        <f t="shared" si="37"/>
        <v>2018</v>
      </c>
      <c r="C119" s="186">
        <f ca="1">'Monthly Data'!J119</f>
        <v>16132772.491475061</v>
      </c>
      <c r="D119" s="186">
        <f t="shared" ref="D119:E119" ca="1" si="48">D107</f>
        <v>177.83999999999997</v>
      </c>
      <c r="E119" s="186">
        <f t="shared" ca="1" si="48"/>
        <v>10.779999999999998</v>
      </c>
      <c r="F119" s="124">
        <f>'Monthly Data'!BK119</f>
        <v>164.59829580036518</v>
      </c>
      <c r="G119" s="186">
        <f t="shared" si="13"/>
        <v>118</v>
      </c>
      <c r="H119" s="186">
        <f t="shared" ref="H119:J119" si="49">H107</f>
        <v>0</v>
      </c>
      <c r="I119" s="186">
        <f t="shared" si="49"/>
        <v>0</v>
      </c>
      <c r="J119" s="186">
        <f t="shared" si="49"/>
        <v>1</v>
      </c>
      <c r="K119" s="186">
        <f t="shared" si="15"/>
        <v>31</v>
      </c>
      <c r="L119" s="186"/>
      <c r="M119" s="186">
        <f>'GS &lt; 50 OLS Model'!$B$5</f>
        <v>-2510760.1679547098</v>
      </c>
      <c r="N119" s="186">
        <f ca="1">'GS &lt; 50 OLS Model'!$B$6*D119</f>
        <v>774709.67797260324</v>
      </c>
      <c r="O119" s="186">
        <f ca="1">'GS &lt; 50 OLS Model'!$B$7*E119</f>
        <v>255975.38911526516</v>
      </c>
      <c r="P119" s="124">
        <f>'GS &lt; 50 OLS Model'!$B$8*F119</f>
        <v>6738650.4532522447</v>
      </c>
      <c r="Q119" s="186">
        <f>'GS &lt; 50 OLS Model'!$B$9*G119</f>
        <v>-2418133.3259495376</v>
      </c>
      <c r="R119" s="186">
        <f>'GS &lt; 50 OLS Model'!$B$10*H119</f>
        <v>0</v>
      </c>
      <c r="S119" s="186">
        <f>'GS &lt; 50 OLS Model'!$B$11*I119</f>
        <v>0</v>
      </c>
      <c r="T119" s="186">
        <f>'GS &lt; 50 OLS Model'!$B$12*J119</f>
        <v>-782960.312499544</v>
      </c>
      <c r="U119" s="186">
        <f>'GS &lt; 50 OLS Model'!$B$13*K119</f>
        <v>14235755.378578186</v>
      </c>
      <c r="V119" s="186">
        <f t="shared" ca="1" si="30"/>
        <v>16293237.092514507</v>
      </c>
    </row>
    <row r="120" spans="1:22">
      <c r="A120" s="128">
        <v>43405</v>
      </c>
      <c r="B120" s="186">
        <f t="shared" si="37"/>
        <v>2018</v>
      </c>
      <c r="C120" s="186">
        <f ca="1">'Monthly Data'!J120</f>
        <v>16564637.253296278</v>
      </c>
      <c r="D120" s="186">
        <f t="shared" ref="D120:E120" ca="1" si="50">D108</f>
        <v>361.94999999999993</v>
      </c>
      <c r="E120" s="186">
        <f t="shared" ca="1" si="50"/>
        <v>0.05</v>
      </c>
      <c r="F120" s="124">
        <f>'Monthly Data'!BK120</f>
        <v>167.49123554473525</v>
      </c>
      <c r="G120" s="186">
        <f t="shared" si="13"/>
        <v>119</v>
      </c>
      <c r="H120" s="186">
        <f t="shared" ref="H120:J120" si="51">H108</f>
        <v>0</v>
      </c>
      <c r="I120" s="186">
        <f t="shared" si="51"/>
        <v>0</v>
      </c>
      <c r="J120" s="186">
        <f t="shared" si="51"/>
        <v>1</v>
      </c>
      <c r="K120" s="186">
        <f t="shared" si="15"/>
        <v>30</v>
      </c>
      <c r="L120" s="186"/>
      <c r="M120" s="186">
        <f>'GS &lt; 50 OLS Model'!$B$5</f>
        <v>-2510760.1679547098</v>
      </c>
      <c r="N120" s="186">
        <f ca="1">'GS &lt; 50 OLS Model'!$B$6*D120</f>
        <v>1576732.83818142</v>
      </c>
      <c r="O120" s="186">
        <f ca="1">'GS &lt; 50 OLS Model'!$B$7*E120</f>
        <v>1187.2698938555902</v>
      </c>
      <c r="P120" s="124">
        <f>'GS &lt; 50 OLS Model'!$B$8*F120</f>
        <v>6857087.3400063757</v>
      </c>
      <c r="Q120" s="186">
        <f>'GS &lt; 50 OLS Model'!$B$9*G120</f>
        <v>-2438625.9812541949</v>
      </c>
      <c r="R120" s="186">
        <f>'GS &lt; 50 OLS Model'!$B$10*H120</f>
        <v>0</v>
      </c>
      <c r="S120" s="186">
        <f>'GS &lt; 50 OLS Model'!$B$11*I120</f>
        <v>0</v>
      </c>
      <c r="T120" s="186">
        <f>'GS &lt; 50 OLS Model'!$B$12*J120</f>
        <v>-782960.312499544</v>
      </c>
      <c r="U120" s="186">
        <f>'GS &lt; 50 OLS Model'!$B$13*K120</f>
        <v>13776537.46314018</v>
      </c>
      <c r="V120" s="186">
        <f t="shared" ca="1" si="30"/>
        <v>16479198.449513383</v>
      </c>
    </row>
    <row r="121" spans="1:22">
      <c r="A121" s="128">
        <v>43435</v>
      </c>
      <c r="B121" s="186">
        <f t="shared" si="37"/>
        <v>2018</v>
      </c>
      <c r="C121" s="186">
        <f ca="1">'Monthly Data'!J121</f>
        <v>17253745.033177346</v>
      </c>
      <c r="D121" s="186">
        <f t="shared" ref="D121:E121" ca="1" si="52">D109</f>
        <v>556.41000000000008</v>
      </c>
      <c r="E121" s="186">
        <f t="shared" ca="1" si="52"/>
        <v>0</v>
      </c>
      <c r="F121" s="124">
        <f>'Monthly Data'!BK121</f>
        <v>168.68831405964698</v>
      </c>
      <c r="G121" s="186">
        <f t="shared" si="13"/>
        <v>120</v>
      </c>
      <c r="H121" s="186">
        <f t="shared" ref="H121:J121" si="53">H109</f>
        <v>0</v>
      </c>
      <c r="I121" s="186">
        <f t="shared" si="53"/>
        <v>0</v>
      </c>
      <c r="J121" s="186">
        <f t="shared" si="53"/>
        <v>0</v>
      </c>
      <c r="K121" s="186">
        <f t="shared" si="15"/>
        <v>31</v>
      </c>
      <c r="L121" s="186"/>
      <c r="M121" s="186">
        <f>'GS &lt; 50 OLS Model'!$B$5</f>
        <v>-2510760.1679547098</v>
      </c>
      <c r="N121" s="186">
        <f ca="1">'GS &lt; 50 OLS Model'!$B$6*D121</f>
        <v>2423842.8470576713</v>
      </c>
      <c r="O121" s="186">
        <f ca="1">'GS &lt; 50 OLS Model'!$B$7*E121</f>
        <v>0</v>
      </c>
      <c r="P121" s="124">
        <f>'GS &lt; 50 OLS Model'!$B$8*F121</f>
        <v>6906095.7069391189</v>
      </c>
      <c r="Q121" s="186">
        <f>'GS &lt; 50 OLS Model'!$B$9*G121</f>
        <v>-2459118.6365588517</v>
      </c>
      <c r="R121" s="186">
        <f>'GS &lt; 50 OLS Model'!$B$10*H121</f>
        <v>0</v>
      </c>
      <c r="S121" s="186">
        <f>'GS &lt; 50 OLS Model'!$B$11*I121</f>
        <v>0</v>
      </c>
      <c r="T121" s="186">
        <f>'GS &lt; 50 OLS Model'!$B$12*J121</f>
        <v>0</v>
      </c>
      <c r="U121" s="186">
        <f>'GS &lt; 50 OLS Model'!$B$13*K121</f>
        <v>14235755.378578186</v>
      </c>
      <c r="V121" s="186">
        <f t="shared" ca="1" si="30"/>
        <v>18595815.128061414</v>
      </c>
    </row>
    <row r="122" spans="1:22">
      <c r="A122" s="26">
        <v>43466</v>
      </c>
      <c r="B122">
        <f t="shared" si="24"/>
        <v>2019</v>
      </c>
      <c r="D122">
        <f t="shared" ref="D122:E133" ca="1" si="54">D110</f>
        <v>659.42999999999984</v>
      </c>
      <c r="E122">
        <f t="shared" ca="1" si="54"/>
        <v>0</v>
      </c>
      <c r="F122" s="124">
        <f>F110*(1+Employment!$L$4)</f>
        <v>169.43201903834449</v>
      </c>
      <c r="G122">
        <f t="shared" si="13"/>
        <v>121</v>
      </c>
      <c r="H122">
        <f t="shared" ref="H122:J122" si="55">H110</f>
        <v>0</v>
      </c>
      <c r="I122">
        <f t="shared" si="55"/>
        <v>0</v>
      </c>
      <c r="J122">
        <f t="shared" si="55"/>
        <v>0</v>
      </c>
      <c r="K122" s="127">
        <f t="shared" si="15"/>
        <v>31</v>
      </c>
      <c r="M122">
        <f>'GS &lt; 50 OLS Model'!$B$5</f>
        <v>-2510760.1679547098</v>
      </c>
      <c r="N122">
        <f ca="1">'GS &lt; 50 OLS Model'!$B$6*D122</f>
        <v>2872620.3494459833</v>
      </c>
      <c r="O122">
        <f ca="1">'GS &lt; 50 OLS Model'!$B$7*E122</f>
        <v>0</v>
      </c>
      <c r="P122" s="124">
        <f>'GS &lt; 50 OLS Model'!$B$8*F122</f>
        <v>6936542.9717022013</v>
      </c>
      <c r="Q122">
        <f>'GS &lt; 50 OLS Model'!$B$9*G122</f>
        <v>-2479611.291863509</v>
      </c>
      <c r="R122">
        <f>'GS &lt; 50 OLS Model'!$B$10*H122</f>
        <v>0</v>
      </c>
      <c r="S122">
        <f>'GS &lt; 50 OLS Model'!$B$11*I122</f>
        <v>0</v>
      </c>
      <c r="T122">
        <f>'GS &lt; 50 OLS Model'!$B$12*J122</f>
        <v>0</v>
      </c>
      <c r="U122">
        <f>'GS &lt; 50 OLS Model'!$B$13*K122</f>
        <v>14235755.378578186</v>
      </c>
      <c r="V122">
        <f t="shared" ca="1" si="12"/>
        <v>19054547.239908151</v>
      </c>
    </row>
    <row r="123" spans="1:22">
      <c r="A123" s="26">
        <v>43497</v>
      </c>
      <c r="B123">
        <f t="shared" si="24"/>
        <v>2019</v>
      </c>
      <c r="D123">
        <f t="shared" ca="1" si="54"/>
        <v>571.77</v>
      </c>
      <c r="E123">
        <f t="shared" ca="1" si="54"/>
        <v>0</v>
      </c>
      <c r="F123" s="124">
        <f>F111*(1+Employment!$L$4)</f>
        <v>165.85534794887403</v>
      </c>
      <c r="G123">
        <f t="shared" si="13"/>
        <v>122</v>
      </c>
      <c r="H123">
        <f t="shared" ref="H123:J123" si="56">H111</f>
        <v>0</v>
      </c>
      <c r="I123">
        <f t="shared" si="56"/>
        <v>0</v>
      </c>
      <c r="J123">
        <f t="shared" si="56"/>
        <v>0</v>
      </c>
      <c r="K123" s="127">
        <f t="shared" si="15"/>
        <v>28</v>
      </c>
      <c r="M123">
        <f>'GS &lt; 50 OLS Model'!$B$5</f>
        <v>-2510760.1679547098</v>
      </c>
      <c r="N123">
        <f ca="1">'GS &lt; 50 OLS Model'!$B$6*D123</f>
        <v>2490754.3442105004</v>
      </c>
      <c r="O123">
        <f ca="1">'GS &lt; 50 OLS Model'!$B$7*E123</f>
        <v>0</v>
      </c>
      <c r="P123" s="124">
        <f>'GS &lt; 50 OLS Model'!$B$8*F123</f>
        <v>6790114.1393683199</v>
      </c>
      <c r="Q123">
        <f>'GS &lt; 50 OLS Model'!$B$9*G123</f>
        <v>-2500103.9471681663</v>
      </c>
      <c r="R123">
        <f>'GS &lt; 50 OLS Model'!$B$10*H123</f>
        <v>0</v>
      </c>
      <c r="S123">
        <f>'GS &lt; 50 OLS Model'!$B$11*I123</f>
        <v>0</v>
      </c>
      <c r="T123">
        <f>'GS &lt; 50 OLS Model'!$B$12*J123</f>
        <v>0</v>
      </c>
      <c r="U123">
        <f>'GS &lt; 50 OLS Model'!$B$13*K123</f>
        <v>12858101.632264167</v>
      </c>
      <c r="V123">
        <f t="shared" ca="1" si="12"/>
        <v>17128106.000720114</v>
      </c>
    </row>
    <row r="124" spans="1:22">
      <c r="A124" s="26">
        <v>43525</v>
      </c>
      <c r="B124">
        <f t="shared" si="24"/>
        <v>2019</v>
      </c>
      <c r="D124">
        <f t="shared" ca="1" si="54"/>
        <v>456.53999999999996</v>
      </c>
      <c r="E124">
        <f t="shared" ca="1" si="54"/>
        <v>0.48</v>
      </c>
      <c r="F124" s="124">
        <f>F112*(1+Employment!$L$4)</f>
        <v>164.42467951308583</v>
      </c>
      <c r="G124">
        <f t="shared" si="13"/>
        <v>123</v>
      </c>
      <c r="H124">
        <f t="shared" ref="H124:J124" si="57">H112</f>
        <v>1</v>
      </c>
      <c r="I124">
        <f t="shared" si="57"/>
        <v>0</v>
      </c>
      <c r="J124">
        <f t="shared" si="57"/>
        <v>1</v>
      </c>
      <c r="K124" s="127">
        <f t="shared" si="15"/>
        <v>31</v>
      </c>
      <c r="M124">
        <f>'GS &lt; 50 OLS Model'!$B$5</f>
        <v>-2510760.1679547098</v>
      </c>
      <c r="N124">
        <f ca="1">'GS &lt; 50 OLS Model'!$B$6*D124</f>
        <v>1988787.4290464029</v>
      </c>
      <c r="O124">
        <f ca="1">'GS &lt; 50 OLS Model'!$B$7*E124</f>
        <v>11397.790981013664</v>
      </c>
      <c r="P124" s="124">
        <f>'GS &lt; 50 OLS Model'!$B$8*F124</f>
        <v>6731542.6064347671</v>
      </c>
      <c r="Q124">
        <f>'GS &lt; 50 OLS Model'!$B$9*G124</f>
        <v>-2520596.6024728231</v>
      </c>
      <c r="R124">
        <f>'GS &lt; 50 OLS Model'!$B$10*H124</f>
        <v>419453.43275174301</v>
      </c>
      <c r="S124">
        <f>'GS &lt; 50 OLS Model'!$B$11*I124</f>
        <v>0</v>
      </c>
      <c r="T124">
        <f>'GS &lt; 50 OLS Model'!$B$12*J124</f>
        <v>-782960.312499544</v>
      </c>
      <c r="U124">
        <f>'GS &lt; 50 OLS Model'!$B$13*K124</f>
        <v>14235755.378578186</v>
      </c>
      <c r="V124">
        <f t="shared" ca="1" si="12"/>
        <v>17572619.554865036</v>
      </c>
    </row>
    <row r="125" spans="1:22">
      <c r="A125" s="26">
        <v>43556</v>
      </c>
      <c r="B125">
        <f t="shared" si="24"/>
        <v>2019</v>
      </c>
      <c r="D125">
        <f t="shared" ca="1" si="54"/>
        <v>248.54999999999995</v>
      </c>
      <c r="E125">
        <f t="shared" ca="1" si="54"/>
        <v>2.63</v>
      </c>
      <c r="F125" s="124">
        <f>F113*(1+Employment!$L$4)</f>
        <v>165.44658553864883</v>
      </c>
      <c r="G125">
        <f t="shared" si="13"/>
        <v>124</v>
      </c>
      <c r="H125">
        <f t="shared" ref="H125:J125" si="58">H113</f>
        <v>0</v>
      </c>
      <c r="I125">
        <f t="shared" si="58"/>
        <v>0</v>
      </c>
      <c r="J125">
        <f t="shared" si="58"/>
        <v>1</v>
      </c>
      <c r="K125" s="127">
        <f t="shared" si="15"/>
        <v>30</v>
      </c>
      <c r="M125">
        <f>'GS &lt; 50 OLS Model'!$B$5</f>
        <v>-2510760.1679547098</v>
      </c>
      <c r="N125">
        <f ca="1">'GS &lt; 50 OLS Model'!$B$6*D125</f>
        <v>1082737.8006077965</v>
      </c>
      <c r="O125">
        <f ca="1">'GS &lt; 50 OLS Model'!$B$7*E125</f>
        <v>62450.396416804033</v>
      </c>
      <c r="P125" s="124">
        <f>'GS &lt; 50 OLS Model'!$B$8*F125</f>
        <v>6773379.4156730194</v>
      </c>
      <c r="Q125">
        <f>'GS &lt; 50 OLS Model'!$B$9*G125</f>
        <v>-2541089.2577774804</v>
      </c>
      <c r="R125">
        <f>'GS &lt; 50 OLS Model'!$B$10*H125</f>
        <v>0</v>
      </c>
      <c r="S125">
        <f>'GS &lt; 50 OLS Model'!$B$11*I125</f>
        <v>0</v>
      </c>
      <c r="T125">
        <f>'GS &lt; 50 OLS Model'!$B$12*J125</f>
        <v>-782960.312499544</v>
      </c>
      <c r="U125">
        <f>'GS &lt; 50 OLS Model'!$B$13*K125</f>
        <v>13776537.46314018</v>
      </c>
      <c r="V125">
        <f t="shared" ca="1" si="12"/>
        <v>15860295.337606067</v>
      </c>
    </row>
    <row r="126" spans="1:22">
      <c r="A126" s="26">
        <v>43586</v>
      </c>
      <c r="B126">
        <f t="shared" si="24"/>
        <v>2019</v>
      </c>
      <c r="D126">
        <f t="shared" ca="1" si="54"/>
        <v>92.740000000000009</v>
      </c>
      <c r="E126">
        <f t="shared" ca="1" si="54"/>
        <v>47.37</v>
      </c>
      <c r="F126" s="124">
        <f>F114*(1+Employment!$L$4)</f>
        <v>166.87725397443705</v>
      </c>
      <c r="G126">
        <f t="shared" si="13"/>
        <v>125</v>
      </c>
      <c r="H126">
        <f t="shared" ref="H126:J126" si="59">H114</f>
        <v>0</v>
      </c>
      <c r="I126">
        <f t="shared" si="59"/>
        <v>0</v>
      </c>
      <c r="J126">
        <f t="shared" si="59"/>
        <v>1</v>
      </c>
      <c r="K126" s="127">
        <f t="shared" si="15"/>
        <v>31</v>
      </c>
      <c r="M126">
        <f>'GS &lt; 50 OLS Model'!$B$5</f>
        <v>-2510760.1679547098</v>
      </c>
      <c r="N126">
        <f ca="1">'GS &lt; 50 OLS Model'!$B$6*D126</f>
        <v>403995.588929258</v>
      </c>
      <c r="O126">
        <f ca="1">'GS &lt; 50 OLS Model'!$B$7*E126</f>
        <v>1124819.4974387861</v>
      </c>
      <c r="P126" s="124">
        <f>'GS &lt; 50 OLS Model'!$B$8*F126</f>
        <v>6831950.948606573</v>
      </c>
      <c r="Q126">
        <f>'GS &lt; 50 OLS Model'!$B$9*G126</f>
        <v>-2561581.9130821372</v>
      </c>
      <c r="R126">
        <f>'GS &lt; 50 OLS Model'!$B$10*H126</f>
        <v>0</v>
      </c>
      <c r="S126">
        <f>'GS &lt; 50 OLS Model'!$B$11*I126</f>
        <v>0</v>
      </c>
      <c r="T126">
        <f>'GS &lt; 50 OLS Model'!$B$12*J126</f>
        <v>-782960.312499544</v>
      </c>
      <c r="U126">
        <f>'GS &lt; 50 OLS Model'!$B$13*K126</f>
        <v>14235755.378578186</v>
      </c>
      <c r="V126">
        <f t="shared" ca="1" si="12"/>
        <v>16741219.020016411</v>
      </c>
    </row>
    <row r="127" spans="1:22">
      <c r="A127" s="26">
        <v>43617</v>
      </c>
      <c r="B127">
        <f t="shared" si="24"/>
        <v>2019</v>
      </c>
      <c r="D127">
        <f t="shared" ca="1" si="54"/>
        <v>9.08</v>
      </c>
      <c r="E127">
        <f t="shared" ca="1" si="54"/>
        <v>117.23999999999997</v>
      </c>
      <c r="F127" s="124">
        <f>F115*(1+Employment!$L$4)</f>
        <v>167.79696939744372</v>
      </c>
      <c r="G127">
        <f t="shared" si="13"/>
        <v>126</v>
      </c>
      <c r="H127">
        <f t="shared" ref="H127:J127" si="60">H115</f>
        <v>0</v>
      </c>
      <c r="I127">
        <f t="shared" si="60"/>
        <v>0</v>
      </c>
      <c r="J127">
        <f t="shared" si="60"/>
        <v>0</v>
      </c>
      <c r="K127" s="127">
        <f t="shared" si="15"/>
        <v>30</v>
      </c>
      <c r="M127">
        <f>'GS &lt; 50 OLS Model'!$B$5</f>
        <v>-2510760.1679547098</v>
      </c>
      <c r="N127">
        <f ca="1">'GS &lt; 50 OLS Model'!$B$6*D127</f>
        <v>39554.452743990318</v>
      </c>
      <c r="O127">
        <f ca="1">'GS &lt; 50 OLS Model'!$B$7*E127</f>
        <v>2783910.4471125868</v>
      </c>
      <c r="P127" s="124">
        <f>'GS &lt; 50 OLS Model'!$B$8*F127</f>
        <v>6869604.0769209992</v>
      </c>
      <c r="Q127">
        <f>'GS &lt; 50 OLS Model'!$B$9*G127</f>
        <v>-2582074.5683867945</v>
      </c>
      <c r="R127">
        <f>'GS &lt; 50 OLS Model'!$B$10*H127</f>
        <v>0</v>
      </c>
      <c r="S127">
        <f>'GS &lt; 50 OLS Model'!$B$11*I127</f>
        <v>0</v>
      </c>
      <c r="T127">
        <f>'GS &lt; 50 OLS Model'!$B$12*J127</f>
        <v>0</v>
      </c>
      <c r="U127">
        <f>'GS &lt; 50 OLS Model'!$B$13*K127</f>
        <v>13776537.46314018</v>
      </c>
      <c r="V127">
        <f t="shared" ca="1" si="12"/>
        <v>18376771.703576252</v>
      </c>
    </row>
    <row r="128" spans="1:22">
      <c r="A128" s="26">
        <v>43647</v>
      </c>
      <c r="B128">
        <f t="shared" si="24"/>
        <v>2019</v>
      </c>
      <c r="D128">
        <f t="shared" ca="1" si="54"/>
        <v>0.51</v>
      </c>
      <c r="E128">
        <f t="shared" ca="1" si="54"/>
        <v>185.60999999999999</v>
      </c>
      <c r="F128" s="124">
        <f>F116*(1+Employment!$L$4)</f>
        <v>167.18382578210591</v>
      </c>
      <c r="G128">
        <f t="shared" si="13"/>
        <v>127</v>
      </c>
      <c r="H128">
        <f t="shared" ref="H128:J128" si="61">H116</f>
        <v>0</v>
      </c>
      <c r="I128">
        <f t="shared" si="61"/>
        <v>0</v>
      </c>
      <c r="J128">
        <f t="shared" si="61"/>
        <v>0</v>
      </c>
      <c r="K128" s="127">
        <f t="shared" si="15"/>
        <v>31</v>
      </c>
      <c r="M128">
        <f>'GS &lt; 50 OLS Model'!$B$5</f>
        <v>-2510760.1679547098</v>
      </c>
      <c r="N128">
        <f ca="1">'GS &lt; 50 OLS Model'!$B$6*D128</f>
        <v>2221.6708039025398</v>
      </c>
      <c r="O128">
        <f ca="1">'GS &lt; 50 OLS Model'!$B$7*E128</f>
        <v>4407383.2999707209</v>
      </c>
      <c r="P128" s="124">
        <f>'GS &lt; 50 OLS Model'!$B$8*F128</f>
        <v>6844501.9913780475</v>
      </c>
      <c r="Q128">
        <f>'GS &lt; 50 OLS Model'!$B$9*G128</f>
        <v>-2602567.2236914514</v>
      </c>
      <c r="R128">
        <f>'GS &lt; 50 OLS Model'!$B$10*H128</f>
        <v>0</v>
      </c>
      <c r="S128">
        <f>'GS &lt; 50 OLS Model'!$B$11*I128</f>
        <v>0</v>
      </c>
      <c r="T128">
        <f>'GS &lt; 50 OLS Model'!$B$12*J128</f>
        <v>0</v>
      </c>
      <c r="U128">
        <f>'GS &lt; 50 OLS Model'!$B$13*K128</f>
        <v>14235755.378578186</v>
      </c>
      <c r="V128">
        <f t="shared" ca="1" si="12"/>
        <v>20376534.949084695</v>
      </c>
    </row>
    <row r="129" spans="1:22">
      <c r="A129" s="26">
        <v>43678</v>
      </c>
      <c r="B129">
        <f t="shared" si="24"/>
        <v>2019</v>
      </c>
      <c r="D129">
        <f t="shared" ca="1" si="54"/>
        <v>1.51</v>
      </c>
      <c r="E129">
        <f t="shared" ca="1" si="54"/>
        <v>159.64000000000001</v>
      </c>
      <c r="F129" s="124">
        <f>F117*(1+Employment!$L$4)</f>
        <v>166.87725397443702</v>
      </c>
      <c r="G129">
        <f t="shared" si="13"/>
        <v>128</v>
      </c>
      <c r="H129">
        <f t="shared" ref="H129:J129" si="62">H117</f>
        <v>0</v>
      </c>
      <c r="I129">
        <f t="shared" si="62"/>
        <v>0</v>
      </c>
      <c r="J129">
        <f t="shared" si="62"/>
        <v>0</v>
      </c>
      <c r="K129" s="127">
        <f t="shared" si="15"/>
        <v>31</v>
      </c>
      <c r="M129">
        <f>'GS &lt; 50 OLS Model'!$B$5</f>
        <v>-2510760.1679547098</v>
      </c>
      <c r="N129">
        <f ca="1">'GS &lt; 50 OLS Model'!$B$6*D129</f>
        <v>6577.8880664565395</v>
      </c>
      <c r="O129">
        <f ca="1">'GS &lt; 50 OLS Model'!$B$7*E129</f>
        <v>3790715.3171021282</v>
      </c>
      <c r="P129" s="124">
        <f>'GS &lt; 50 OLS Model'!$B$8*F129</f>
        <v>6831950.9486065721</v>
      </c>
      <c r="Q129">
        <f>'GS &lt; 50 OLS Model'!$B$9*G129</f>
        <v>-2623059.8789961087</v>
      </c>
      <c r="R129">
        <f>'GS &lt; 50 OLS Model'!$B$10*H129</f>
        <v>0</v>
      </c>
      <c r="S129">
        <f>'GS &lt; 50 OLS Model'!$B$11*I129</f>
        <v>0</v>
      </c>
      <c r="T129">
        <f>'GS &lt; 50 OLS Model'!$B$12*J129</f>
        <v>0</v>
      </c>
      <c r="U129">
        <f>'GS &lt; 50 OLS Model'!$B$13*K129</f>
        <v>14235755.378578186</v>
      </c>
      <c r="V129">
        <f t="shared" ca="1" si="12"/>
        <v>19731179.485402524</v>
      </c>
    </row>
    <row r="130" spans="1:22">
      <c r="A130" s="26">
        <v>43709</v>
      </c>
      <c r="B130">
        <f t="shared" si="24"/>
        <v>2019</v>
      </c>
      <c r="D130">
        <f t="shared" ca="1" si="54"/>
        <v>33.01</v>
      </c>
      <c r="E130">
        <f t="shared" ca="1" si="54"/>
        <v>72.989999999999981</v>
      </c>
      <c r="F130" s="124">
        <f>F118*(1+Employment!$L$4)</f>
        <v>167.28601638466219</v>
      </c>
      <c r="G130">
        <f t="shared" si="13"/>
        <v>129</v>
      </c>
      <c r="H130">
        <f t="shared" ref="H130:J130" si="63">H118</f>
        <v>0</v>
      </c>
      <c r="I130">
        <f t="shared" si="63"/>
        <v>1</v>
      </c>
      <c r="J130">
        <f t="shared" si="63"/>
        <v>1</v>
      </c>
      <c r="K130" s="127">
        <f t="shared" si="15"/>
        <v>30</v>
      </c>
      <c r="M130">
        <f>'GS &lt; 50 OLS Model'!$B$5</f>
        <v>-2510760.1679547098</v>
      </c>
      <c r="N130">
        <f ca="1">'GS &lt; 50 OLS Model'!$B$6*D130</f>
        <v>143798.73183690754</v>
      </c>
      <c r="O130">
        <f ca="1">'GS &lt; 50 OLS Model'!$B$7*E130</f>
        <v>1733176.5910503899</v>
      </c>
      <c r="P130" s="124">
        <f>'GS &lt; 50 OLS Model'!$B$8*F130</f>
        <v>6848685.6723018717</v>
      </c>
      <c r="Q130">
        <f>'GS &lt; 50 OLS Model'!$B$9*G130</f>
        <v>-2643552.534300766</v>
      </c>
      <c r="R130">
        <f>'GS &lt; 50 OLS Model'!$B$10*H130</f>
        <v>0</v>
      </c>
      <c r="S130">
        <f>'GS &lt; 50 OLS Model'!$B$11*I130</f>
        <v>697390.17362184904</v>
      </c>
      <c r="T130">
        <f>'GS &lt; 50 OLS Model'!$B$12*J130</f>
        <v>-782960.312499544</v>
      </c>
      <c r="U130">
        <f>'GS &lt; 50 OLS Model'!$B$13*K130</f>
        <v>13776537.46314018</v>
      </c>
      <c r="V130">
        <f t="shared" ca="1" si="12"/>
        <v>17262315.61719618</v>
      </c>
    </row>
    <row r="131" spans="1:22">
      <c r="A131" s="26">
        <v>43739</v>
      </c>
      <c r="B131">
        <f t="shared" si="24"/>
        <v>2019</v>
      </c>
      <c r="D131">
        <f t="shared" ca="1" si="54"/>
        <v>177.83999999999997</v>
      </c>
      <c r="E131">
        <f t="shared" ca="1" si="54"/>
        <v>10.779999999999998</v>
      </c>
      <c r="F131" s="124">
        <f>F119*(1+Employment!$L$4)</f>
        <v>168.61449421789408</v>
      </c>
      <c r="G131">
        <f t="shared" si="13"/>
        <v>130</v>
      </c>
      <c r="H131">
        <f t="shared" ref="H131:J131" si="64">H119</f>
        <v>0</v>
      </c>
      <c r="I131">
        <f t="shared" si="64"/>
        <v>0</v>
      </c>
      <c r="J131">
        <f t="shared" si="64"/>
        <v>1</v>
      </c>
      <c r="K131" s="127">
        <f t="shared" si="15"/>
        <v>31</v>
      </c>
      <c r="M131">
        <f>'GS &lt; 50 OLS Model'!$B$5</f>
        <v>-2510760.1679547098</v>
      </c>
      <c r="N131">
        <f ca="1">'GS &lt; 50 OLS Model'!$B$6*D131</f>
        <v>774709.67797260324</v>
      </c>
      <c r="O131">
        <f ca="1">'GS &lt; 50 OLS Model'!$B$7*E131</f>
        <v>255975.38911526516</v>
      </c>
      <c r="P131" s="124">
        <f>'GS &lt; 50 OLS Model'!$B$8*F131</f>
        <v>6903073.5243115993</v>
      </c>
      <c r="Q131">
        <f>'GS &lt; 50 OLS Model'!$B$9*G131</f>
        <v>-2664045.1896054228</v>
      </c>
      <c r="R131">
        <f>'GS &lt; 50 OLS Model'!$B$10*H131</f>
        <v>0</v>
      </c>
      <c r="S131">
        <f>'GS &lt; 50 OLS Model'!$B$11*I131</f>
        <v>0</v>
      </c>
      <c r="T131">
        <f>'GS &lt; 50 OLS Model'!$B$12*J131</f>
        <v>-782960.312499544</v>
      </c>
      <c r="U131">
        <f>'GS &lt; 50 OLS Model'!$B$13*K131</f>
        <v>14235755.378578186</v>
      </c>
      <c r="V131">
        <f t="shared" ca="1" si="12"/>
        <v>16211748.299917977</v>
      </c>
    </row>
    <row r="132" spans="1:22">
      <c r="A132" s="26">
        <v>43770</v>
      </c>
      <c r="B132">
        <f t="shared" si="24"/>
        <v>2019</v>
      </c>
      <c r="D132">
        <f t="shared" ca="1" si="54"/>
        <v>361.94999999999993</v>
      </c>
      <c r="E132">
        <f t="shared" ca="1" si="54"/>
        <v>0.05</v>
      </c>
      <c r="F132" s="124">
        <f>F120*(1+Employment!$L$4)</f>
        <v>171.57802169202679</v>
      </c>
      <c r="G132">
        <f t="shared" si="13"/>
        <v>131</v>
      </c>
      <c r="H132">
        <f t="shared" ref="H132:J132" si="65">H120</f>
        <v>0</v>
      </c>
      <c r="I132">
        <f t="shared" si="65"/>
        <v>0</v>
      </c>
      <c r="J132">
        <f t="shared" si="65"/>
        <v>1</v>
      </c>
      <c r="K132" s="127">
        <f t="shared" si="15"/>
        <v>30</v>
      </c>
      <c r="M132">
        <f>'GS &lt; 50 OLS Model'!$B$5</f>
        <v>-2510760.1679547098</v>
      </c>
      <c r="N132">
        <f ca="1">'GS &lt; 50 OLS Model'!$B$6*D132</f>
        <v>1576732.83818142</v>
      </c>
      <c r="O132">
        <f ca="1">'GS &lt; 50 OLS Model'!$B$7*E132</f>
        <v>1187.2698938555902</v>
      </c>
      <c r="P132" s="124">
        <f>'GS &lt; 50 OLS Model'!$B$8*F132</f>
        <v>7024400.2711025318</v>
      </c>
      <c r="Q132">
        <f>'GS &lt; 50 OLS Model'!$B$9*G132</f>
        <v>-2684537.8449100801</v>
      </c>
      <c r="R132">
        <f>'GS &lt; 50 OLS Model'!$B$10*H132</f>
        <v>0</v>
      </c>
      <c r="S132">
        <f>'GS &lt; 50 OLS Model'!$B$11*I132</f>
        <v>0</v>
      </c>
      <c r="T132">
        <f>'GS &lt; 50 OLS Model'!$B$12*J132</f>
        <v>-782960.312499544</v>
      </c>
      <c r="U132">
        <f>'GS &lt; 50 OLS Model'!$B$13*K132</f>
        <v>13776537.46314018</v>
      </c>
      <c r="V132">
        <f t="shared" ca="1" si="12"/>
        <v>16400599.516953655</v>
      </c>
    </row>
    <row r="133" spans="1:22">
      <c r="A133" s="26">
        <v>43800</v>
      </c>
      <c r="B133">
        <f t="shared" si="24"/>
        <v>2019</v>
      </c>
      <c r="D133">
        <f t="shared" ca="1" si="54"/>
        <v>556.41000000000008</v>
      </c>
      <c r="E133">
        <f t="shared" ca="1" si="54"/>
        <v>0</v>
      </c>
      <c r="F133" s="124">
        <f>F121*(1+Employment!$L$4)</f>
        <v>172.80430892270238</v>
      </c>
      <c r="G133">
        <f t="shared" si="13"/>
        <v>132</v>
      </c>
      <c r="H133">
        <f t="shared" ref="H133:J133" si="66">H121</f>
        <v>0</v>
      </c>
      <c r="I133">
        <f t="shared" si="66"/>
        <v>0</v>
      </c>
      <c r="J133">
        <f t="shared" si="66"/>
        <v>0</v>
      </c>
      <c r="K133" s="127">
        <f t="shared" si="15"/>
        <v>31</v>
      </c>
      <c r="M133">
        <f>'GS &lt; 50 OLS Model'!$B$5</f>
        <v>-2510760.1679547098</v>
      </c>
      <c r="N133">
        <f ca="1">'GS &lt; 50 OLS Model'!$B$6*D133</f>
        <v>2423842.8470576713</v>
      </c>
      <c r="O133">
        <f ca="1">'GS &lt; 50 OLS Model'!$B$7*E133</f>
        <v>0</v>
      </c>
      <c r="P133" s="124">
        <f>'GS &lt; 50 OLS Model'!$B$8*F133</f>
        <v>7074604.4421884334</v>
      </c>
      <c r="Q133">
        <f>'GS &lt; 50 OLS Model'!$B$9*G133</f>
        <v>-2705030.5002147369</v>
      </c>
      <c r="R133">
        <f>'GS &lt; 50 OLS Model'!$B$10*H133</f>
        <v>0</v>
      </c>
      <c r="S133">
        <f>'GS &lt; 50 OLS Model'!$B$11*I133</f>
        <v>0</v>
      </c>
      <c r="T133">
        <f>'GS &lt; 50 OLS Model'!$B$12*J133</f>
        <v>0</v>
      </c>
      <c r="U133">
        <f>'GS &lt; 50 OLS Model'!$B$13*K133</f>
        <v>14235755.378578186</v>
      </c>
      <c r="V133">
        <f t="shared" ca="1" si="12"/>
        <v>18518411.999654844</v>
      </c>
    </row>
    <row r="134" spans="1:22">
      <c r="A134" s="128">
        <v>43831</v>
      </c>
      <c r="B134" s="127">
        <f t="shared" ref="B134:B145" si="67">YEAR(A134)</f>
        <v>2020</v>
      </c>
      <c r="C134" s="127"/>
      <c r="D134" s="127">
        <f t="shared" ref="D134:E134" ca="1" si="68">D122</f>
        <v>659.42999999999984</v>
      </c>
      <c r="E134" s="127">
        <f t="shared" ca="1" si="68"/>
        <v>0</v>
      </c>
      <c r="F134" s="124">
        <f>F122*(1+Employment!$L$5)</f>
        <v>171.19411203634326</v>
      </c>
      <c r="G134" s="127">
        <f t="shared" si="13"/>
        <v>133</v>
      </c>
      <c r="H134" s="127">
        <f t="shared" ref="H134:J134" si="69">H122</f>
        <v>0</v>
      </c>
      <c r="I134" s="127">
        <f t="shared" si="69"/>
        <v>0</v>
      </c>
      <c r="J134" s="127">
        <f t="shared" si="69"/>
        <v>0</v>
      </c>
      <c r="K134" s="127">
        <f t="shared" si="15"/>
        <v>31</v>
      </c>
      <c r="L134" s="127"/>
      <c r="M134" s="127">
        <f>'GS &lt; 50 OLS Model'!$B$5</f>
        <v>-2510760.1679547098</v>
      </c>
      <c r="N134" s="127">
        <f ca="1">'GS &lt; 50 OLS Model'!$B$6*D134</f>
        <v>2872620.3494459833</v>
      </c>
      <c r="O134" s="127">
        <f ca="1">'GS &lt; 50 OLS Model'!$B$7*E134</f>
        <v>0</v>
      </c>
      <c r="P134" s="124">
        <f>'GS &lt; 50 OLS Model'!$B$8*F134</f>
        <v>7008683.0186079042</v>
      </c>
      <c r="Q134" s="127">
        <f>'GS &lt; 50 OLS Model'!$B$9*G134</f>
        <v>-2725523.1555193942</v>
      </c>
      <c r="R134" s="127">
        <f>'GS &lt; 50 OLS Model'!$B$10*H134</f>
        <v>0</v>
      </c>
      <c r="S134" s="127">
        <f>'GS &lt; 50 OLS Model'!$B$11*I134</f>
        <v>0</v>
      </c>
      <c r="T134" s="127">
        <f>'GS &lt; 50 OLS Model'!$B$12*J134</f>
        <v>0</v>
      </c>
      <c r="U134" s="127">
        <f>'GS &lt; 50 OLS Model'!$B$13*K134</f>
        <v>14235755.378578186</v>
      </c>
      <c r="V134" s="127">
        <f t="shared" ref="V134:V145" ca="1" si="70">SUM(M134:U134)</f>
        <v>18880775.423157968</v>
      </c>
    </row>
    <row r="135" spans="1:22">
      <c r="A135" s="128">
        <v>43862</v>
      </c>
      <c r="B135" s="127">
        <f t="shared" si="67"/>
        <v>2020</v>
      </c>
      <c r="C135" s="127"/>
      <c r="D135" s="127">
        <f t="shared" ref="D135:E135" ca="1" si="71">D123</f>
        <v>571.77</v>
      </c>
      <c r="E135" s="127">
        <f t="shared" ca="1" si="71"/>
        <v>0</v>
      </c>
      <c r="F135" s="124">
        <f>F123*(1+Employment!$L$5)</f>
        <v>167.58024356754231</v>
      </c>
      <c r="G135" s="127">
        <f t="shared" si="13"/>
        <v>134</v>
      </c>
      <c r="H135" s="127">
        <f t="shared" ref="H135:J135" si="72">H123</f>
        <v>0</v>
      </c>
      <c r="I135" s="127">
        <f t="shared" si="72"/>
        <v>0</v>
      </c>
      <c r="J135" s="127">
        <f t="shared" si="72"/>
        <v>0</v>
      </c>
      <c r="K135" s="127">
        <f t="shared" si="15"/>
        <v>29</v>
      </c>
      <c r="L135" s="127"/>
      <c r="M135" s="127">
        <f>'GS &lt; 50 OLS Model'!$B$5</f>
        <v>-2510760.1679547098</v>
      </c>
      <c r="N135" s="127">
        <f ca="1">'GS &lt; 50 OLS Model'!$B$6*D135</f>
        <v>2490754.3442105004</v>
      </c>
      <c r="O135" s="127">
        <f ca="1">'GS &lt; 50 OLS Model'!$B$7*E135</f>
        <v>0</v>
      </c>
      <c r="P135" s="124">
        <f>'GS &lt; 50 OLS Model'!$B$8*F135</f>
        <v>6860731.3264177497</v>
      </c>
      <c r="Q135" s="127">
        <f>'GS &lt; 50 OLS Model'!$B$9*G135</f>
        <v>-2746015.810824051</v>
      </c>
      <c r="R135" s="127">
        <f>'GS &lt; 50 OLS Model'!$B$10*H135</f>
        <v>0</v>
      </c>
      <c r="S135" s="127">
        <f>'GS &lt; 50 OLS Model'!$B$11*I135</f>
        <v>0</v>
      </c>
      <c r="T135" s="127">
        <f>'GS &lt; 50 OLS Model'!$B$12*J135</f>
        <v>0</v>
      </c>
      <c r="U135" s="127">
        <f>'GS &lt; 50 OLS Model'!$B$13*K135</f>
        <v>13317319.547702175</v>
      </c>
      <c r="V135" s="127">
        <f t="shared" ca="1" si="70"/>
        <v>17412029.239551663</v>
      </c>
    </row>
    <row r="136" spans="1:22">
      <c r="A136" s="128">
        <v>43891</v>
      </c>
      <c r="B136" s="127">
        <f t="shared" si="67"/>
        <v>2020</v>
      </c>
      <c r="C136" s="127"/>
      <c r="D136" s="127">
        <f t="shared" ref="D136:E136" ca="1" si="73">D124</f>
        <v>456.53999999999996</v>
      </c>
      <c r="E136" s="127">
        <f t="shared" ca="1" si="73"/>
        <v>0.48</v>
      </c>
      <c r="F136" s="124">
        <f>F124*(1+Employment!$L$5)</f>
        <v>166.13469618002193</v>
      </c>
      <c r="G136" s="127">
        <f t="shared" si="13"/>
        <v>135</v>
      </c>
      <c r="H136" s="127">
        <f t="shared" ref="H136:J136" si="74">H124</f>
        <v>1</v>
      </c>
      <c r="I136" s="127">
        <f t="shared" si="74"/>
        <v>0</v>
      </c>
      <c r="J136" s="127">
        <f t="shared" si="74"/>
        <v>1</v>
      </c>
      <c r="K136" s="127">
        <f t="shared" si="15"/>
        <v>31</v>
      </c>
      <c r="L136" s="127"/>
      <c r="M136" s="127">
        <f>'GS &lt; 50 OLS Model'!$B$5</f>
        <v>-2510760.1679547098</v>
      </c>
      <c r="N136" s="127">
        <f ca="1">'GS &lt; 50 OLS Model'!$B$6*D136</f>
        <v>1988787.4290464029</v>
      </c>
      <c r="O136" s="127">
        <f ca="1">'GS &lt; 50 OLS Model'!$B$7*E136</f>
        <v>11397.790981013664</v>
      </c>
      <c r="P136" s="124">
        <f>'GS &lt; 50 OLS Model'!$B$8*F136</f>
        <v>6801550.6495416891</v>
      </c>
      <c r="Q136" s="127">
        <f>'GS &lt; 50 OLS Model'!$B$9*G136</f>
        <v>-2766508.4661287083</v>
      </c>
      <c r="R136" s="127">
        <f>'GS &lt; 50 OLS Model'!$B$10*H136</f>
        <v>419453.43275174301</v>
      </c>
      <c r="S136" s="127">
        <f>'GS &lt; 50 OLS Model'!$B$11*I136</f>
        <v>0</v>
      </c>
      <c r="T136" s="127">
        <f>'GS &lt; 50 OLS Model'!$B$12*J136</f>
        <v>-782960.312499544</v>
      </c>
      <c r="U136" s="127">
        <f>'GS &lt; 50 OLS Model'!$B$13*K136</f>
        <v>14235755.378578186</v>
      </c>
      <c r="V136" s="127">
        <f t="shared" ca="1" si="70"/>
        <v>17396715.734316073</v>
      </c>
    </row>
    <row r="137" spans="1:22">
      <c r="A137" s="128">
        <v>43922</v>
      </c>
      <c r="B137" s="127">
        <f t="shared" si="67"/>
        <v>2020</v>
      </c>
      <c r="C137" s="127"/>
      <c r="D137" s="127">
        <f t="shared" ref="D137:E137" ca="1" si="75">D125</f>
        <v>248.54999999999995</v>
      </c>
      <c r="E137" s="127">
        <f t="shared" ca="1" si="75"/>
        <v>2.63</v>
      </c>
      <c r="F137" s="124">
        <f>F125*(1+Employment!$L$5)</f>
        <v>167.16723002825077</v>
      </c>
      <c r="G137" s="127">
        <f t="shared" si="13"/>
        <v>136</v>
      </c>
      <c r="H137" s="127">
        <f t="shared" ref="H137:J137" si="76">H125</f>
        <v>0</v>
      </c>
      <c r="I137" s="127">
        <f t="shared" si="76"/>
        <v>0</v>
      </c>
      <c r="J137" s="127">
        <f t="shared" si="76"/>
        <v>1</v>
      </c>
      <c r="K137" s="127">
        <f t="shared" si="15"/>
        <v>30</v>
      </c>
      <c r="L137" s="127"/>
      <c r="M137" s="127">
        <f>'GS &lt; 50 OLS Model'!$B$5</f>
        <v>-2510760.1679547098</v>
      </c>
      <c r="N137" s="127">
        <f ca="1">'GS &lt; 50 OLS Model'!$B$6*D137</f>
        <v>1082737.8006077965</v>
      </c>
      <c r="O137" s="127">
        <f ca="1">'GS &lt; 50 OLS Model'!$B$7*E137</f>
        <v>62450.396416804033</v>
      </c>
      <c r="P137" s="124">
        <f>'GS &lt; 50 OLS Model'!$B$8*F137</f>
        <v>6843822.5615960183</v>
      </c>
      <c r="Q137" s="127">
        <f>'GS &lt; 50 OLS Model'!$B$9*G137</f>
        <v>-2787001.1214333656</v>
      </c>
      <c r="R137" s="127">
        <f>'GS &lt; 50 OLS Model'!$B$10*H137</f>
        <v>0</v>
      </c>
      <c r="S137" s="127">
        <f>'GS &lt; 50 OLS Model'!$B$11*I137</f>
        <v>0</v>
      </c>
      <c r="T137" s="127">
        <f>'GS &lt; 50 OLS Model'!$B$12*J137</f>
        <v>-782960.312499544</v>
      </c>
      <c r="U137" s="127">
        <f>'GS &lt; 50 OLS Model'!$B$13*K137</f>
        <v>13776537.46314018</v>
      </c>
      <c r="V137" s="127">
        <f t="shared" ca="1" si="70"/>
        <v>15684826.619873179</v>
      </c>
    </row>
    <row r="138" spans="1:22">
      <c r="A138" s="128">
        <v>43952</v>
      </c>
      <c r="B138" s="127">
        <f t="shared" si="67"/>
        <v>2020</v>
      </c>
      <c r="C138" s="127"/>
      <c r="D138" s="127">
        <f t="shared" ref="D138:E138" ca="1" si="77">D126</f>
        <v>92.740000000000009</v>
      </c>
      <c r="E138" s="127">
        <f t="shared" ca="1" si="77"/>
        <v>47.37</v>
      </c>
      <c r="F138" s="124">
        <f>F126*(1+Employment!$L$5)</f>
        <v>168.61277741577121</v>
      </c>
      <c r="G138" s="127">
        <f t="shared" si="13"/>
        <v>137</v>
      </c>
      <c r="H138" s="127">
        <f t="shared" ref="H138:J138" si="78">H126</f>
        <v>0</v>
      </c>
      <c r="I138" s="127">
        <f t="shared" si="78"/>
        <v>0</v>
      </c>
      <c r="J138" s="127">
        <f t="shared" si="78"/>
        <v>1</v>
      </c>
      <c r="K138" s="127">
        <f t="shared" si="15"/>
        <v>31</v>
      </c>
      <c r="L138" s="127"/>
      <c r="M138" s="127">
        <f>'GS &lt; 50 OLS Model'!$B$5</f>
        <v>-2510760.1679547098</v>
      </c>
      <c r="N138" s="127">
        <f ca="1">'GS &lt; 50 OLS Model'!$B$6*D138</f>
        <v>403995.588929258</v>
      </c>
      <c r="O138" s="127">
        <f ca="1">'GS &lt; 50 OLS Model'!$B$7*E138</f>
        <v>1124819.4974387861</v>
      </c>
      <c r="P138" s="124">
        <f>'GS &lt; 50 OLS Model'!$B$8*F138</f>
        <v>6903003.2384720817</v>
      </c>
      <c r="Q138" s="127">
        <f>'GS &lt; 50 OLS Model'!$B$9*G138</f>
        <v>-2807493.7767380225</v>
      </c>
      <c r="R138" s="127">
        <f>'GS &lt; 50 OLS Model'!$B$10*H138</f>
        <v>0</v>
      </c>
      <c r="S138" s="127">
        <f>'GS &lt; 50 OLS Model'!$B$11*I138</f>
        <v>0</v>
      </c>
      <c r="T138" s="127">
        <f>'GS &lt; 50 OLS Model'!$B$12*J138</f>
        <v>-782960.312499544</v>
      </c>
      <c r="U138" s="127">
        <f>'GS &lt; 50 OLS Model'!$B$13*K138</f>
        <v>14235755.378578186</v>
      </c>
      <c r="V138" s="127">
        <f t="shared" ca="1" si="70"/>
        <v>16566359.446226034</v>
      </c>
    </row>
    <row r="139" spans="1:22">
      <c r="A139" s="128">
        <v>43983</v>
      </c>
      <c r="B139" s="127">
        <f t="shared" si="67"/>
        <v>2020</v>
      </c>
      <c r="C139" s="127"/>
      <c r="D139" s="127">
        <f t="shared" ref="D139:E139" ca="1" si="79">D127</f>
        <v>9.08</v>
      </c>
      <c r="E139" s="127">
        <f t="shared" ca="1" si="79"/>
        <v>117.23999999999997</v>
      </c>
      <c r="F139" s="124">
        <f>F127*(1+Employment!$L$5)</f>
        <v>169.54205787917712</v>
      </c>
      <c r="G139" s="127">
        <f t="shared" si="13"/>
        <v>138</v>
      </c>
      <c r="H139" s="127">
        <f t="shared" ref="H139:J139" si="80">H127</f>
        <v>0</v>
      </c>
      <c r="I139" s="127">
        <f t="shared" si="80"/>
        <v>0</v>
      </c>
      <c r="J139" s="127">
        <f t="shared" si="80"/>
        <v>0</v>
      </c>
      <c r="K139" s="127">
        <f t="shared" si="15"/>
        <v>30</v>
      </c>
      <c r="L139" s="127"/>
      <c r="M139" s="127">
        <f>'GS &lt; 50 OLS Model'!$B$5</f>
        <v>-2510760.1679547098</v>
      </c>
      <c r="N139" s="127">
        <f ca="1">'GS &lt; 50 OLS Model'!$B$6*D139</f>
        <v>39554.452743990318</v>
      </c>
      <c r="O139" s="127">
        <f ca="1">'GS &lt; 50 OLS Model'!$B$7*E139</f>
        <v>2783910.4471125868</v>
      </c>
      <c r="P139" s="124">
        <f>'GS &lt; 50 OLS Model'!$B$8*F139</f>
        <v>6941047.9593209773</v>
      </c>
      <c r="Q139" s="127">
        <f>'GS &lt; 50 OLS Model'!$B$9*G139</f>
        <v>-2827986.4320426797</v>
      </c>
      <c r="R139" s="127">
        <f>'GS &lt; 50 OLS Model'!$B$10*H139</f>
        <v>0</v>
      </c>
      <c r="S139" s="127">
        <f>'GS &lt; 50 OLS Model'!$B$11*I139</f>
        <v>0</v>
      </c>
      <c r="T139" s="127">
        <f>'GS &lt; 50 OLS Model'!$B$12*J139</f>
        <v>0</v>
      </c>
      <c r="U139" s="127">
        <f>'GS &lt; 50 OLS Model'!$B$13*K139</f>
        <v>13776537.46314018</v>
      </c>
      <c r="V139" s="127">
        <f t="shared" ca="1" si="70"/>
        <v>18202303.722320344</v>
      </c>
    </row>
    <row r="140" spans="1:22">
      <c r="A140" s="128">
        <v>44013</v>
      </c>
      <c r="B140" s="127">
        <f t="shared" si="67"/>
        <v>2020</v>
      </c>
      <c r="C140" s="127"/>
      <c r="D140" s="127">
        <f t="shared" ref="D140:E140" ca="1" si="81">D128</f>
        <v>0.51</v>
      </c>
      <c r="E140" s="127">
        <f t="shared" ca="1" si="81"/>
        <v>185.60999999999999</v>
      </c>
      <c r="F140" s="124">
        <f>F128*(1+Employment!$L$5)</f>
        <v>168.9225375702398</v>
      </c>
      <c r="G140" s="127">
        <f t="shared" si="13"/>
        <v>139</v>
      </c>
      <c r="H140" s="127">
        <f t="shared" ref="H140:J140" si="82">H128</f>
        <v>0</v>
      </c>
      <c r="I140" s="127">
        <f t="shared" si="82"/>
        <v>0</v>
      </c>
      <c r="J140" s="127">
        <f t="shared" si="82"/>
        <v>0</v>
      </c>
      <c r="K140" s="127">
        <f t="shared" si="15"/>
        <v>31</v>
      </c>
      <c r="L140" s="127"/>
      <c r="M140" s="127">
        <f>'GS &lt; 50 OLS Model'!$B$5</f>
        <v>-2510760.1679547098</v>
      </c>
      <c r="N140" s="127">
        <f ca="1">'GS &lt; 50 OLS Model'!$B$6*D140</f>
        <v>2221.6708039025398</v>
      </c>
      <c r="O140" s="127">
        <f ca="1">'GS &lt; 50 OLS Model'!$B$7*E140</f>
        <v>4407383.2999707209</v>
      </c>
      <c r="P140" s="124">
        <f>'GS &lt; 50 OLS Model'!$B$8*F140</f>
        <v>6915684.8120883787</v>
      </c>
      <c r="Q140" s="127">
        <f>'GS &lt; 50 OLS Model'!$B$9*G140</f>
        <v>-2848479.0873473366</v>
      </c>
      <c r="R140" s="127">
        <f>'GS &lt; 50 OLS Model'!$B$10*H140</f>
        <v>0</v>
      </c>
      <c r="S140" s="127">
        <f>'GS &lt; 50 OLS Model'!$B$11*I140</f>
        <v>0</v>
      </c>
      <c r="T140" s="127">
        <f>'GS &lt; 50 OLS Model'!$B$12*J140</f>
        <v>0</v>
      </c>
      <c r="U140" s="127">
        <f>'GS &lt; 50 OLS Model'!$B$13*K140</f>
        <v>14235755.378578186</v>
      </c>
      <c r="V140" s="127">
        <f t="shared" ca="1" si="70"/>
        <v>20201805.906139143</v>
      </c>
    </row>
    <row r="141" spans="1:22">
      <c r="A141" s="128">
        <v>44044</v>
      </c>
      <c r="B141" s="127">
        <f t="shared" si="67"/>
        <v>2020</v>
      </c>
      <c r="C141" s="127"/>
      <c r="D141" s="127">
        <f t="shared" ref="D141:E141" ca="1" si="83">D129</f>
        <v>1.51</v>
      </c>
      <c r="E141" s="127">
        <f t="shared" ca="1" si="83"/>
        <v>159.64000000000001</v>
      </c>
      <c r="F141" s="124">
        <f>F129*(1+Employment!$L$5)</f>
        <v>168.61277741577118</v>
      </c>
      <c r="G141" s="127">
        <f t="shared" si="13"/>
        <v>140</v>
      </c>
      <c r="H141" s="127">
        <f t="shared" ref="H141:J141" si="84">H129</f>
        <v>0</v>
      </c>
      <c r="I141" s="127">
        <f t="shared" si="84"/>
        <v>0</v>
      </c>
      <c r="J141" s="127">
        <f t="shared" si="84"/>
        <v>0</v>
      </c>
      <c r="K141" s="127">
        <f t="shared" si="15"/>
        <v>31</v>
      </c>
      <c r="L141" s="127"/>
      <c r="M141" s="127">
        <f>'GS &lt; 50 OLS Model'!$B$5</f>
        <v>-2510760.1679547098</v>
      </c>
      <c r="N141" s="127">
        <f ca="1">'GS &lt; 50 OLS Model'!$B$6*D141</f>
        <v>6577.8880664565395</v>
      </c>
      <c r="O141" s="127">
        <f ca="1">'GS &lt; 50 OLS Model'!$B$7*E141</f>
        <v>3790715.3171021282</v>
      </c>
      <c r="P141" s="124">
        <f>'GS &lt; 50 OLS Model'!$B$8*F141</f>
        <v>6903003.2384720808</v>
      </c>
      <c r="Q141" s="127">
        <f>'GS &lt; 50 OLS Model'!$B$9*G141</f>
        <v>-2868971.7426519939</v>
      </c>
      <c r="R141" s="127">
        <f>'GS &lt; 50 OLS Model'!$B$10*H141</f>
        <v>0</v>
      </c>
      <c r="S141" s="127">
        <f>'GS &lt; 50 OLS Model'!$B$11*I141</f>
        <v>0</v>
      </c>
      <c r="T141" s="127">
        <f>'GS &lt; 50 OLS Model'!$B$12*J141</f>
        <v>0</v>
      </c>
      <c r="U141" s="127">
        <f>'GS &lt; 50 OLS Model'!$B$13*K141</f>
        <v>14235755.378578186</v>
      </c>
      <c r="V141" s="127">
        <f t="shared" ca="1" si="70"/>
        <v>19556319.911612146</v>
      </c>
    </row>
    <row r="142" spans="1:22">
      <c r="A142" s="128">
        <v>44075</v>
      </c>
      <c r="B142" s="127">
        <f t="shared" si="67"/>
        <v>2020</v>
      </c>
      <c r="C142" s="127"/>
      <c r="D142" s="127">
        <f t="shared" ref="D142:E142" ca="1" si="85">D130</f>
        <v>33.01</v>
      </c>
      <c r="E142" s="127">
        <f t="shared" ca="1" si="85"/>
        <v>72.989999999999981</v>
      </c>
      <c r="F142" s="124">
        <f>F130*(1+Employment!$L$5)</f>
        <v>169.02579095506266</v>
      </c>
      <c r="G142" s="127">
        <f t="shared" si="13"/>
        <v>141</v>
      </c>
      <c r="H142" s="127">
        <f t="shared" ref="H142:J142" si="86">H130</f>
        <v>0</v>
      </c>
      <c r="I142" s="127">
        <f t="shared" si="86"/>
        <v>1</v>
      </c>
      <c r="J142" s="127">
        <f t="shared" si="86"/>
        <v>1</v>
      </c>
      <c r="K142" s="127">
        <f t="shared" si="15"/>
        <v>30</v>
      </c>
      <c r="L142" s="127"/>
      <c r="M142" s="127">
        <f>'GS &lt; 50 OLS Model'!$B$5</f>
        <v>-2510760.1679547098</v>
      </c>
      <c r="N142" s="127">
        <f ca="1">'GS &lt; 50 OLS Model'!$B$6*D142</f>
        <v>143798.73183690754</v>
      </c>
      <c r="O142" s="127">
        <f ca="1">'GS &lt; 50 OLS Model'!$B$7*E142</f>
        <v>1733176.5910503899</v>
      </c>
      <c r="P142" s="124">
        <f>'GS &lt; 50 OLS Model'!$B$8*F142</f>
        <v>6919912.0032938104</v>
      </c>
      <c r="Q142" s="127">
        <f>'GS &lt; 50 OLS Model'!$B$9*G142</f>
        <v>-2889464.3979566512</v>
      </c>
      <c r="R142" s="127">
        <f>'GS &lt; 50 OLS Model'!$B$10*H142</f>
        <v>0</v>
      </c>
      <c r="S142" s="127">
        <f>'GS &lt; 50 OLS Model'!$B$11*I142</f>
        <v>697390.17362184904</v>
      </c>
      <c r="T142" s="127">
        <f>'GS &lt; 50 OLS Model'!$B$12*J142</f>
        <v>-782960.312499544</v>
      </c>
      <c r="U142" s="127">
        <f>'GS &lt; 50 OLS Model'!$B$13*K142</f>
        <v>13776537.46314018</v>
      </c>
      <c r="V142" s="127">
        <f t="shared" ca="1" si="70"/>
        <v>17087630.084532231</v>
      </c>
    </row>
    <row r="143" spans="1:22">
      <c r="A143" s="128">
        <v>44105</v>
      </c>
      <c r="B143" s="127">
        <f t="shared" si="67"/>
        <v>2020</v>
      </c>
      <c r="C143" s="127"/>
      <c r="D143" s="127">
        <f t="shared" ref="D143:E143" ca="1" si="87">D131</f>
        <v>177.83999999999997</v>
      </c>
      <c r="E143" s="127">
        <f t="shared" ca="1" si="87"/>
        <v>10.779999999999998</v>
      </c>
      <c r="F143" s="124">
        <f>F131*(1+Employment!$L$5)</f>
        <v>170.36808495776017</v>
      </c>
      <c r="G143" s="127">
        <f t="shared" si="13"/>
        <v>142</v>
      </c>
      <c r="H143" s="127">
        <f t="shared" ref="H143:J143" si="88">H131</f>
        <v>0</v>
      </c>
      <c r="I143" s="127">
        <f t="shared" si="88"/>
        <v>0</v>
      </c>
      <c r="J143" s="127">
        <f t="shared" si="88"/>
        <v>1</v>
      </c>
      <c r="K143" s="127">
        <f t="shared" si="15"/>
        <v>31</v>
      </c>
      <c r="L143" s="127"/>
      <c r="M143" s="127">
        <f>'GS &lt; 50 OLS Model'!$B$5</f>
        <v>-2510760.1679547098</v>
      </c>
      <c r="N143" s="127">
        <f ca="1">'GS &lt; 50 OLS Model'!$B$6*D143</f>
        <v>774709.67797260324</v>
      </c>
      <c r="O143" s="127">
        <f ca="1">'GS &lt; 50 OLS Model'!$B$7*E143</f>
        <v>255975.38911526516</v>
      </c>
      <c r="P143" s="124">
        <f>'GS &lt; 50 OLS Model'!$B$8*F143</f>
        <v>6974865.4889644394</v>
      </c>
      <c r="Q143" s="127">
        <f>'GS &lt; 50 OLS Model'!$B$9*G143</f>
        <v>-2909957.053261308</v>
      </c>
      <c r="R143" s="127">
        <f>'GS &lt; 50 OLS Model'!$B$10*H143</f>
        <v>0</v>
      </c>
      <c r="S143" s="127">
        <f>'GS &lt; 50 OLS Model'!$B$11*I143</f>
        <v>0</v>
      </c>
      <c r="T143" s="127">
        <f>'GS &lt; 50 OLS Model'!$B$12*J143</f>
        <v>-782960.312499544</v>
      </c>
      <c r="U143" s="127">
        <f>'GS &lt; 50 OLS Model'!$B$13*K143</f>
        <v>14235755.378578186</v>
      </c>
      <c r="V143" s="127">
        <f t="shared" ca="1" si="70"/>
        <v>16037628.400914932</v>
      </c>
    </row>
    <row r="144" spans="1:22">
      <c r="A144" s="128">
        <v>44136</v>
      </c>
      <c r="B144" s="127">
        <f t="shared" si="67"/>
        <v>2020</v>
      </c>
      <c r="C144" s="127"/>
      <c r="D144" s="127">
        <f t="shared" ref="D144:E144" ca="1" si="89">D132</f>
        <v>361.94999999999993</v>
      </c>
      <c r="E144" s="127">
        <f t="shared" ca="1" si="89"/>
        <v>0.05</v>
      </c>
      <c r="F144" s="124">
        <f>F132*(1+Employment!$L$5)</f>
        <v>173.36243311762388</v>
      </c>
      <c r="G144" s="127">
        <f t="shared" si="13"/>
        <v>143</v>
      </c>
      <c r="H144" s="127">
        <f t="shared" ref="H144:J144" si="90">H132</f>
        <v>0</v>
      </c>
      <c r="I144" s="127">
        <f t="shared" si="90"/>
        <v>0</v>
      </c>
      <c r="J144" s="127">
        <f t="shared" si="90"/>
        <v>1</v>
      </c>
      <c r="K144" s="127">
        <f t="shared" si="15"/>
        <v>30</v>
      </c>
      <c r="L144" s="127"/>
      <c r="M144" s="127">
        <f>'GS &lt; 50 OLS Model'!$B$5</f>
        <v>-2510760.1679547098</v>
      </c>
      <c r="N144" s="127">
        <f ca="1">'GS &lt; 50 OLS Model'!$B$6*D144</f>
        <v>1576732.83818142</v>
      </c>
      <c r="O144" s="127">
        <f ca="1">'GS &lt; 50 OLS Model'!$B$7*E144</f>
        <v>1187.2698938555902</v>
      </c>
      <c r="P144" s="124">
        <f>'GS &lt; 50 OLS Model'!$B$8*F144</f>
        <v>7097454.033921998</v>
      </c>
      <c r="Q144" s="127">
        <f>'GS &lt; 50 OLS Model'!$B$9*G144</f>
        <v>-2930449.7085659653</v>
      </c>
      <c r="R144" s="127">
        <f>'GS &lt; 50 OLS Model'!$B$10*H144</f>
        <v>0</v>
      </c>
      <c r="S144" s="127">
        <f>'GS &lt; 50 OLS Model'!$B$11*I144</f>
        <v>0</v>
      </c>
      <c r="T144" s="127">
        <f>'GS &lt; 50 OLS Model'!$B$12*J144</f>
        <v>-782960.312499544</v>
      </c>
      <c r="U144" s="127">
        <f>'GS &lt; 50 OLS Model'!$B$13*K144</f>
        <v>13776537.46314018</v>
      </c>
      <c r="V144" s="127">
        <f t="shared" ca="1" si="70"/>
        <v>16227741.416117234</v>
      </c>
    </row>
    <row r="145" spans="1:22">
      <c r="A145" s="128">
        <v>44166</v>
      </c>
      <c r="B145" s="127">
        <f t="shared" si="67"/>
        <v>2020</v>
      </c>
      <c r="C145" s="127"/>
      <c r="D145" s="127">
        <f t="shared" ref="D145:E145" ca="1" si="91">D133</f>
        <v>556.41000000000008</v>
      </c>
      <c r="E145" s="127">
        <f t="shared" ca="1" si="91"/>
        <v>0</v>
      </c>
      <c r="F145" s="124">
        <f>F133*(1+Employment!$L$5)</f>
        <v>174.60147373549847</v>
      </c>
      <c r="G145" s="127">
        <f t="shared" si="13"/>
        <v>144</v>
      </c>
      <c r="H145" s="127">
        <f t="shared" ref="H145:J145" si="92">H133</f>
        <v>0</v>
      </c>
      <c r="I145" s="127">
        <f t="shared" si="92"/>
        <v>0</v>
      </c>
      <c r="J145" s="127">
        <f t="shared" si="92"/>
        <v>0</v>
      </c>
      <c r="K145" s="127">
        <f t="shared" si="15"/>
        <v>31</v>
      </c>
      <c r="L145" s="127"/>
      <c r="M145" s="127">
        <f>'GS &lt; 50 OLS Model'!$B$5</f>
        <v>-2510760.1679547098</v>
      </c>
      <c r="N145" s="127">
        <f ca="1">'GS &lt; 50 OLS Model'!$B$6*D145</f>
        <v>2423842.8470576713</v>
      </c>
      <c r="O145" s="127">
        <f ca="1">'GS &lt; 50 OLS Model'!$B$7*E145</f>
        <v>0</v>
      </c>
      <c r="P145" s="124">
        <f>'GS &lt; 50 OLS Model'!$B$8*F145</f>
        <v>7148180.3283871934</v>
      </c>
      <c r="Q145" s="127">
        <f>'GS &lt; 50 OLS Model'!$B$9*G145</f>
        <v>-2950942.3638706221</v>
      </c>
      <c r="R145" s="127">
        <f>'GS &lt; 50 OLS Model'!$B$10*H145</f>
        <v>0</v>
      </c>
      <c r="S145" s="127">
        <f>'GS &lt; 50 OLS Model'!$B$11*I145</f>
        <v>0</v>
      </c>
      <c r="T145" s="127">
        <f>'GS &lt; 50 OLS Model'!$B$12*J145</f>
        <v>0</v>
      </c>
      <c r="U145" s="127">
        <f>'GS &lt; 50 OLS Model'!$B$13*K145</f>
        <v>14235755.378578186</v>
      </c>
      <c r="V145" s="127">
        <f t="shared" ca="1" si="70"/>
        <v>18346076.02219772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AB145"/>
  <sheetViews>
    <sheetView topLeftCell="O1" workbookViewId="0">
      <selection activeCell="AE37" sqref="AE37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5" width="6" bestFit="1" customWidth="1"/>
    <col min="6" max="6" width="9" bestFit="1" customWidth="1"/>
    <col min="7" max="7" width="3.83203125" bestFit="1" customWidth="1"/>
    <col min="8" max="8" width="10.1640625" bestFit="1" customWidth="1"/>
    <col min="9" max="9" width="4.33203125" bestFit="1" customWidth="1"/>
    <col min="10" max="10" width="5.33203125" bestFit="1" customWidth="1"/>
    <col min="16" max="16" width="12.6640625" bestFit="1" customWidth="1"/>
    <col min="17" max="18" width="12" bestFit="1" customWidth="1"/>
    <col min="19" max="20" width="12.6640625" bestFit="1" customWidth="1"/>
    <col min="21" max="22" width="12" bestFit="1" customWidth="1"/>
    <col min="23" max="23" width="12.6640625" bestFit="1" customWidth="1"/>
    <col min="24" max="27" width="12.6640625" customWidth="1"/>
    <col min="28" max="28" width="12" bestFit="1" customWidth="1"/>
  </cols>
  <sheetData>
    <row r="1" spans="1:28">
      <c r="A1" t="s">
        <v>123</v>
      </c>
      <c r="B1" t="s">
        <v>124</v>
      </c>
      <c r="C1" t="str">
        <f>'Monthly Data'!O1</f>
        <v>GS_gt_50_NO_CDM</v>
      </c>
      <c r="D1" t="str">
        <f>'Monthly Data'!BH1</f>
        <v>HDD</v>
      </c>
      <c r="E1" t="str">
        <f>'Monthly Data'!BI1</f>
        <v>CDD</v>
      </c>
      <c r="F1" t="str">
        <f>'Monthly Data'!BL1</f>
        <v>Ont_GDP</v>
      </c>
      <c r="G1" t="str">
        <f>'Monthly Data'!BM1</f>
        <v>Trend</v>
      </c>
      <c r="H1" t="str">
        <f>'Monthly Data'!BQ1</f>
        <v>Apr</v>
      </c>
      <c r="I1" t="str">
        <f>'Monthly Data'!BS1</f>
        <v>Jun</v>
      </c>
      <c r="J1" t="str">
        <f>'Monthly Data'!BU1</f>
        <v>Aug</v>
      </c>
      <c r="K1" t="str">
        <f>'Monthly Data'!BV1</f>
        <v>Sept</v>
      </c>
      <c r="L1" t="str">
        <f>'Monthly Data'!BW1</f>
        <v>Oct</v>
      </c>
      <c r="M1" t="str">
        <f>'Monthly Data'!CC1</f>
        <v>Month Days</v>
      </c>
      <c r="N1" t="str">
        <f>'Monthly Data'!CD1</f>
        <v>Peak Days</v>
      </c>
      <c r="P1" t="s">
        <v>91</v>
      </c>
      <c r="Q1" t="str">
        <f t="shared" ref="Q1:AA1" si="0">D1</f>
        <v>HDD</v>
      </c>
      <c r="R1" t="str">
        <f t="shared" si="0"/>
        <v>CDD</v>
      </c>
      <c r="S1" t="str">
        <f t="shared" si="0"/>
        <v>Ont_GDP</v>
      </c>
      <c r="T1" t="str">
        <f t="shared" si="0"/>
        <v>Trend</v>
      </c>
      <c r="U1" t="str">
        <f t="shared" si="0"/>
        <v>Apr</v>
      </c>
      <c r="V1" t="str">
        <f t="shared" si="0"/>
        <v>Jun</v>
      </c>
      <c r="W1" t="str">
        <f t="shared" si="0"/>
        <v>Aug</v>
      </c>
      <c r="X1" t="str">
        <f t="shared" si="0"/>
        <v>Sept</v>
      </c>
      <c r="Y1" t="str">
        <f t="shared" si="0"/>
        <v>Oct</v>
      </c>
      <c r="Z1" t="str">
        <f t="shared" si="0"/>
        <v>Month Days</v>
      </c>
      <c r="AA1" t="str">
        <f t="shared" si="0"/>
        <v>Peak Days</v>
      </c>
      <c r="AB1" t="s">
        <v>125</v>
      </c>
    </row>
    <row r="2" spans="1:28">
      <c r="A2" s="26">
        <f>'Monthly Data'!A2</f>
        <v>39814</v>
      </c>
      <c r="B2">
        <f t="shared" ref="B2:B42" si="1">YEAR(A2)</f>
        <v>2009</v>
      </c>
      <c r="C2">
        <f ca="1">'Monthly Data'!O2</f>
        <v>85381791.869069844</v>
      </c>
      <c r="D2">
        <f ca="1">Weather!G69</f>
        <v>659.42999999999984</v>
      </c>
      <c r="E2" s="186">
        <f ca="1">Weather!H69</f>
        <v>0</v>
      </c>
      <c r="F2">
        <f>'Monthly Data'!BL2</f>
        <v>539388</v>
      </c>
      <c r="G2">
        <f>'Monthly Data'!BM2</f>
        <v>1</v>
      </c>
      <c r="H2">
        <f>'Monthly Data'!BQ2</f>
        <v>0</v>
      </c>
      <c r="I2">
        <f>'Monthly Data'!BS2</f>
        <v>0</v>
      </c>
      <c r="J2">
        <f>'Monthly Data'!BU2</f>
        <v>0</v>
      </c>
      <c r="K2">
        <f>'Monthly Data'!BV2</f>
        <v>0</v>
      </c>
      <c r="L2">
        <f>'Monthly Data'!BW2</f>
        <v>0</v>
      </c>
      <c r="M2">
        <f>'Monthly Data'!CC2</f>
        <v>31</v>
      </c>
      <c r="N2">
        <f>'Monthly Data'!CD2</f>
        <v>21</v>
      </c>
      <c r="P2">
        <f>'GS &gt; 50 OLS Model'!$B$5</f>
        <v>-8508488.8174217809</v>
      </c>
      <c r="Q2">
        <f ca="1">'GS &gt; 50 OLS Model'!$B$6*D2</f>
        <v>15988430.112762274</v>
      </c>
      <c r="R2">
        <f ca="1">'GS &gt; 50 OLS Model'!$B$7*E2</f>
        <v>0</v>
      </c>
      <c r="S2">
        <f>'GS &gt; 50 OLS Model'!$B$8*F2</f>
        <v>28244636.365604453</v>
      </c>
      <c r="T2">
        <v>0</v>
      </c>
      <c r="U2">
        <f>'GS &gt; 50 OLS Model'!$B$9*H2</f>
        <v>0</v>
      </c>
      <c r="V2">
        <f>'GS &gt; 50 OLS Model'!$B$10*I2</f>
        <v>0</v>
      </c>
      <c r="W2">
        <f>'GS &gt; 50 OLS Model'!$B$11*J2</f>
        <v>0</v>
      </c>
      <c r="X2">
        <f>'GS &gt; 50 OLS Model'!$B$12*K2</f>
        <v>0</v>
      </c>
      <c r="Y2">
        <v>0</v>
      </c>
      <c r="Z2">
        <f>'GS &gt; 50 OLS Model'!$B$13*M2</f>
        <v>34669572.13485463</v>
      </c>
      <c r="AA2">
        <f>'GS &gt; 50 OLS Model'!$B$14*N2</f>
        <v>13737248.956340911</v>
      </c>
      <c r="AB2">
        <f t="shared" ref="AB2:AB42" ca="1" si="2">SUM(P2:AA2)</f>
        <v>84131398.752140492</v>
      </c>
    </row>
    <row r="3" spans="1:28">
      <c r="A3" s="26">
        <f>'Monthly Data'!A3</f>
        <v>39845</v>
      </c>
      <c r="B3">
        <f t="shared" si="1"/>
        <v>2009</v>
      </c>
      <c r="C3">
        <f ca="1">'Monthly Data'!O3</f>
        <v>77417193.552256852</v>
      </c>
      <c r="D3" s="186">
        <f ca="1">Weather!G70</f>
        <v>571.77</v>
      </c>
      <c r="E3" s="186">
        <f ca="1">Weather!H70</f>
        <v>0</v>
      </c>
      <c r="F3">
        <f>'Monthly Data'!BL3</f>
        <v>539388</v>
      </c>
      <c r="G3">
        <f>'Monthly Data'!BM3</f>
        <v>2</v>
      </c>
      <c r="H3">
        <f>'Monthly Data'!BQ3</f>
        <v>0</v>
      </c>
      <c r="I3">
        <f>'Monthly Data'!BS3</f>
        <v>0</v>
      </c>
      <c r="J3">
        <f>'Monthly Data'!BU3</f>
        <v>0</v>
      </c>
      <c r="K3">
        <f>'Monthly Data'!BV3</f>
        <v>0</v>
      </c>
      <c r="L3">
        <f>'Monthly Data'!BW3</f>
        <v>0</v>
      </c>
      <c r="M3">
        <f>'Monthly Data'!CC3</f>
        <v>28</v>
      </c>
      <c r="N3">
        <f>'Monthly Data'!CD3</f>
        <v>19</v>
      </c>
      <c r="P3">
        <f>'GS &gt; 50 OLS Model'!$B$5</f>
        <v>-8508488.8174217809</v>
      </c>
      <c r="Q3" s="186">
        <f ca="1">'GS &gt; 50 OLS Model'!$B$6*D3</f>
        <v>13863040.331155827</v>
      </c>
      <c r="R3" s="186">
        <f ca="1">'GS &gt; 50 OLS Model'!$B$7*E3</f>
        <v>0</v>
      </c>
      <c r="S3" s="186">
        <f>'GS &gt; 50 OLS Model'!$B$8*F3</f>
        <v>28244636.365604453</v>
      </c>
      <c r="T3" s="186">
        <v>0</v>
      </c>
      <c r="U3" s="186">
        <f>'GS &gt; 50 OLS Model'!$B$9*H3</f>
        <v>0</v>
      </c>
      <c r="V3" s="186">
        <f>'GS &gt; 50 OLS Model'!$B$10*I3</f>
        <v>0</v>
      </c>
      <c r="W3" s="186">
        <f>'GS &gt; 50 OLS Model'!$B$11*J3</f>
        <v>0</v>
      </c>
      <c r="X3" s="186">
        <f>'GS &gt; 50 OLS Model'!$B$12*K3</f>
        <v>0</v>
      </c>
      <c r="Y3" s="186">
        <v>0</v>
      </c>
      <c r="Z3" s="186">
        <f>'GS &gt; 50 OLS Model'!$B$13*M3</f>
        <v>31314452.250836439</v>
      </c>
      <c r="AA3" s="186">
        <f>'GS &gt; 50 OLS Model'!$B$14*N3</f>
        <v>12428939.531927491</v>
      </c>
      <c r="AB3">
        <f t="shared" ca="1" si="2"/>
        <v>77342579.662102431</v>
      </c>
    </row>
    <row r="4" spans="1:28">
      <c r="A4" s="26">
        <f>'Monthly Data'!A4</f>
        <v>39873</v>
      </c>
      <c r="B4">
        <f t="shared" si="1"/>
        <v>2009</v>
      </c>
      <c r="C4">
        <f ca="1">'Monthly Data'!O4</f>
        <v>79227713.989697844</v>
      </c>
      <c r="D4" s="186">
        <f ca="1">Weather!G71</f>
        <v>456.53999999999996</v>
      </c>
      <c r="E4" s="186">
        <f ca="1">Weather!H71</f>
        <v>0.48</v>
      </c>
      <c r="F4">
        <f>'Monthly Data'!BL4</f>
        <v>539388</v>
      </c>
      <c r="G4">
        <f>'Monthly Data'!BM4</f>
        <v>3</v>
      </c>
      <c r="H4">
        <f>'Monthly Data'!BQ4</f>
        <v>0</v>
      </c>
      <c r="I4">
        <f>'Monthly Data'!BS4</f>
        <v>0</v>
      </c>
      <c r="J4">
        <f>'Monthly Data'!BU4</f>
        <v>0</v>
      </c>
      <c r="K4">
        <f>'Monthly Data'!BV4</f>
        <v>0</v>
      </c>
      <c r="L4">
        <f>'Monthly Data'!BW4</f>
        <v>0</v>
      </c>
      <c r="M4">
        <f>'Monthly Data'!CC4</f>
        <v>31</v>
      </c>
      <c r="N4">
        <f>'Monthly Data'!CD4</f>
        <v>22</v>
      </c>
      <c r="P4">
        <f>'GS &gt; 50 OLS Model'!$B$5</f>
        <v>-8508488.8174217809</v>
      </c>
      <c r="Q4" s="186">
        <f ca="1">'GS &gt; 50 OLS Model'!$B$6*D4</f>
        <v>11069192.914608814</v>
      </c>
      <c r="R4" s="186">
        <f ca="1">'GS &gt; 50 OLS Model'!$B$7*E4</f>
        <v>34266.051374105278</v>
      </c>
      <c r="S4" s="186">
        <f>'GS &gt; 50 OLS Model'!$B$8*F4</f>
        <v>28244636.365604453</v>
      </c>
      <c r="T4" s="186">
        <v>0</v>
      </c>
      <c r="U4" s="186">
        <f>'GS &gt; 50 OLS Model'!$B$9*H4</f>
        <v>0</v>
      </c>
      <c r="V4" s="186">
        <f>'GS &gt; 50 OLS Model'!$B$10*I4</f>
        <v>0</v>
      </c>
      <c r="W4" s="186">
        <f>'GS &gt; 50 OLS Model'!$B$11*J4</f>
        <v>0</v>
      </c>
      <c r="X4" s="186">
        <f>'GS &gt; 50 OLS Model'!$B$12*K4</f>
        <v>0</v>
      </c>
      <c r="Y4" s="186">
        <v>0</v>
      </c>
      <c r="Z4" s="186">
        <f>'GS &gt; 50 OLS Model'!$B$13*M4</f>
        <v>34669572.13485463</v>
      </c>
      <c r="AA4" s="186">
        <f>'GS &gt; 50 OLS Model'!$B$14*N4</f>
        <v>14391403.668547621</v>
      </c>
      <c r="AB4">
        <f t="shared" ca="1" si="2"/>
        <v>79900582.31756784</v>
      </c>
    </row>
    <row r="5" spans="1:28">
      <c r="A5" s="26">
        <f>'Monthly Data'!A5</f>
        <v>39904</v>
      </c>
      <c r="B5">
        <f t="shared" si="1"/>
        <v>2009</v>
      </c>
      <c r="C5">
        <f ca="1">'Monthly Data'!O5</f>
        <v>71027811.664813846</v>
      </c>
      <c r="D5" s="186">
        <f ca="1">Weather!G72</f>
        <v>248.54999999999995</v>
      </c>
      <c r="E5" s="186">
        <f ca="1">Weather!H72</f>
        <v>2.63</v>
      </c>
      <c r="F5">
        <f>'Monthly Data'!BL5</f>
        <v>539388</v>
      </c>
      <c r="G5">
        <f>'Monthly Data'!BM5</f>
        <v>4</v>
      </c>
      <c r="H5">
        <f>'Monthly Data'!BQ5</f>
        <v>1</v>
      </c>
      <c r="I5">
        <f>'Monthly Data'!BS5</f>
        <v>0</v>
      </c>
      <c r="J5">
        <f>'Monthly Data'!BU5</f>
        <v>0</v>
      </c>
      <c r="K5">
        <f>'Monthly Data'!BV5</f>
        <v>0</v>
      </c>
      <c r="L5">
        <f>'Monthly Data'!BW5</f>
        <v>0</v>
      </c>
      <c r="M5">
        <f>'Monthly Data'!CC5</f>
        <v>30</v>
      </c>
      <c r="N5">
        <f>'Monthly Data'!CD5</f>
        <v>20</v>
      </c>
      <c r="P5">
        <f>'GS &gt; 50 OLS Model'!$B$5</f>
        <v>-8508488.8174217809</v>
      </c>
      <c r="Q5" s="186">
        <f ca="1">'GS &gt; 50 OLS Model'!$B$6*D5</f>
        <v>6026301.9646165073</v>
      </c>
      <c r="R5" s="186">
        <f ca="1">'GS &gt; 50 OLS Model'!$B$7*E5</f>
        <v>187749.40648728516</v>
      </c>
      <c r="S5" s="186">
        <f>'GS &gt; 50 OLS Model'!$B$8*F5</f>
        <v>28244636.365604453</v>
      </c>
      <c r="T5" s="186">
        <v>0</v>
      </c>
      <c r="U5" s="186">
        <f>'GS &gt; 50 OLS Model'!$B$9*H5</f>
        <v>-1670359.8066300801</v>
      </c>
      <c r="V5" s="186">
        <f>'GS &gt; 50 OLS Model'!$B$10*I5</f>
        <v>0</v>
      </c>
      <c r="W5" s="186">
        <f>'GS &gt; 50 OLS Model'!$B$11*J5</f>
        <v>0</v>
      </c>
      <c r="X5" s="186">
        <f>'GS &gt; 50 OLS Model'!$B$12*K5</f>
        <v>0</v>
      </c>
      <c r="Y5" s="186">
        <v>0</v>
      </c>
      <c r="Z5" s="186">
        <f>'GS &gt; 50 OLS Model'!$B$13*M5</f>
        <v>33551198.840181898</v>
      </c>
      <c r="AA5" s="186">
        <f>'GS &gt; 50 OLS Model'!$B$14*N5</f>
        <v>13083094.244134201</v>
      </c>
      <c r="AB5">
        <f t="shared" ca="1" si="2"/>
        <v>70914132.196972489</v>
      </c>
    </row>
    <row r="6" spans="1:28">
      <c r="A6" s="26">
        <f>'Monthly Data'!A6</f>
        <v>39934</v>
      </c>
      <c r="B6">
        <f t="shared" si="1"/>
        <v>2009</v>
      </c>
      <c r="C6">
        <f ca="1">'Monthly Data'!O6</f>
        <v>68182291.644476846</v>
      </c>
      <c r="D6" s="186">
        <f ca="1">Weather!G73</f>
        <v>92.740000000000009</v>
      </c>
      <c r="E6" s="186">
        <f ca="1">Weather!H73</f>
        <v>47.37</v>
      </c>
      <c r="F6">
        <f>'Monthly Data'!BL6</f>
        <v>539388</v>
      </c>
      <c r="G6">
        <f>'Monthly Data'!BM6</f>
        <v>5</v>
      </c>
      <c r="H6">
        <f>'Monthly Data'!BQ6</f>
        <v>0</v>
      </c>
      <c r="I6">
        <f>'Monthly Data'!BS6</f>
        <v>0</v>
      </c>
      <c r="J6">
        <f>'Monthly Data'!BU6</f>
        <v>0</v>
      </c>
      <c r="K6">
        <f>'Monthly Data'!BV6</f>
        <v>0</v>
      </c>
      <c r="L6">
        <f>'Monthly Data'!BW6</f>
        <v>0</v>
      </c>
      <c r="M6">
        <f>'Monthly Data'!CC6</f>
        <v>31</v>
      </c>
      <c r="N6">
        <f>'Monthly Data'!CD6</f>
        <v>20</v>
      </c>
      <c r="P6">
        <f>'GS &gt; 50 OLS Model'!$B$5</f>
        <v>-8508488.8174217809</v>
      </c>
      <c r="Q6" s="186">
        <f ca="1">'GS &gt; 50 OLS Model'!$B$6*D6</f>
        <v>2248558.6167714144</v>
      </c>
      <c r="R6" s="186">
        <f ca="1">'GS &gt; 50 OLS Model'!$B$7*E6</f>
        <v>3381630.9449820146</v>
      </c>
      <c r="S6" s="186">
        <f>'GS &gt; 50 OLS Model'!$B$8*F6</f>
        <v>28244636.365604453</v>
      </c>
      <c r="T6" s="186">
        <v>0</v>
      </c>
      <c r="U6" s="186">
        <f>'GS &gt; 50 OLS Model'!$B$9*H6</f>
        <v>0</v>
      </c>
      <c r="V6" s="186">
        <f>'GS &gt; 50 OLS Model'!$B$10*I6</f>
        <v>0</v>
      </c>
      <c r="W6" s="186">
        <f>'GS &gt; 50 OLS Model'!$B$11*J6</f>
        <v>0</v>
      </c>
      <c r="X6" s="186">
        <f>'GS &gt; 50 OLS Model'!$B$12*K6</f>
        <v>0</v>
      </c>
      <c r="Y6" s="186">
        <v>0</v>
      </c>
      <c r="Z6" s="186">
        <f>'GS &gt; 50 OLS Model'!$B$13*M6</f>
        <v>34669572.13485463</v>
      </c>
      <c r="AA6" s="186">
        <f>'GS &gt; 50 OLS Model'!$B$14*N6</f>
        <v>13083094.244134201</v>
      </c>
      <c r="AB6">
        <f t="shared" ca="1" si="2"/>
        <v>73119003.488924935</v>
      </c>
    </row>
    <row r="7" spans="1:28">
      <c r="A7" s="26">
        <f>'Monthly Data'!A7</f>
        <v>39965</v>
      </c>
      <c r="B7">
        <f t="shared" si="1"/>
        <v>2009</v>
      </c>
      <c r="C7">
        <f ca="1">'Monthly Data'!O7</f>
        <v>70571023.231205851</v>
      </c>
      <c r="D7" s="186">
        <f ca="1">Weather!G74</f>
        <v>9.08</v>
      </c>
      <c r="E7" s="186">
        <f ca="1">Weather!H74</f>
        <v>117.23999999999997</v>
      </c>
      <c r="F7">
        <f>'Monthly Data'!BL7</f>
        <v>539388</v>
      </c>
      <c r="G7">
        <f>'Monthly Data'!BM7</f>
        <v>6</v>
      </c>
      <c r="H7">
        <f>'Monthly Data'!BQ7</f>
        <v>0</v>
      </c>
      <c r="I7">
        <f>'Monthly Data'!BS7</f>
        <v>1</v>
      </c>
      <c r="J7">
        <f>'Monthly Data'!BU7</f>
        <v>0</v>
      </c>
      <c r="K7">
        <f>'Monthly Data'!BV7</f>
        <v>0</v>
      </c>
      <c r="L7">
        <f>'Monthly Data'!BW7</f>
        <v>0</v>
      </c>
      <c r="M7">
        <f>'Monthly Data'!CC7</f>
        <v>30</v>
      </c>
      <c r="N7">
        <f>'Monthly Data'!CD7</f>
        <v>22</v>
      </c>
      <c r="P7">
        <f>'GS &gt; 50 OLS Model'!$B$5</f>
        <v>-8508488.8174217809</v>
      </c>
      <c r="Q7" s="186">
        <f ca="1">'GS &gt; 50 OLS Model'!$B$6*D7</f>
        <v>220152.16994052666</v>
      </c>
      <c r="R7" s="186">
        <f ca="1">'GS &gt; 50 OLS Model'!$B$7*E7</f>
        <v>8369483.0481252121</v>
      </c>
      <c r="S7" s="186">
        <f>'GS &gt; 50 OLS Model'!$B$8*F7</f>
        <v>28244636.365604453</v>
      </c>
      <c r="T7" s="186">
        <v>0</v>
      </c>
      <c r="U7" s="186">
        <f>'GS &gt; 50 OLS Model'!$B$9*H7</f>
        <v>0</v>
      </c>
      <c r="V7" s="186">
        <f>'GS &gt; 50 OLS Model'!$B$10*I7</f>
        <v>1244451.2383117899</v>
      </c>
      <c r="W7" s="186">
        <f>'GS &gt; 50 OLS Model'!$B$11*J7</f>
        <v>0</v>
      </c>
      <c r="X7" s="186">
        <f>'GS &gt; 50 OLS Model'!$B$12*K7</f>
        <v>0</v>
      </c>
      <c r="Y7" s="186">
        <v>0</v>
      </c>
      <c r="Z7" s="186">
        <f>'GS &gt; 50 OLS Model'!$B$13*M7</f>
        <v>33551198.840181898</v>
      </c>
      <c r="AA7" s="186">
        <f>'GS &gt; 50 OLS Model'!$B$14*N7</f>
        <v>14391403.668547621</v>
      </c>
      <c r="AB7">
        <f t="shared" ca="1" si="2"/>
        <v>77512836.51328972</v>
      </c>
    </row>
    <row r="8" spans="1:28">
      <c r="A8" s="26">
        <f>'Monthly Data'!A8</f>
        <v>39995</v>
      </c>
      <c r="B8">
        <f t="shared" si="1"/>
        <v>2009</v>
      </c>
      <c r="C8">
        <f ca="1">'Monthly Data'!O8</f>
        <v>74557299.569310844</v>
      </c>
      <c r="D8" s="186">
        <f ca="1">Weather!G75</f>
        <v>0.51</v>
      </c>
      <c r="E8" s="186">
        <f ca="1">Weather!H75</f>
        <v>185.60999999999999</v>
      </c>
      <c r="F8">
        <f>'Monthly Data'!BL8</f>
        <v>539388</v>
      </c>
      <c r="G8">
        <f>'Monthly Data'!BM8</f>
        <v>7</v>
      </c>
      <c r="H8">
        <f>'Monthly Data'!BQ8</f>
        <v>0</v>
      </c>
      <c r="I8">
        <f>'Monthly Data'!BS8</f>
        <v>0</v>
      </c>
      <c r="J8">
        <f>'Monthly Data'!BU8</f>
        <v>0</v>
      </c>
      <c r="K8">
        <f>'Monthly Data'!BV8</f>
        <v>0</v>
      </c>
      <c r="L8">
        <f>'Monthly Data'!BW8</f>
        <v>0</v>
      </c>
      <c r="M8">
        <f>'Monthly Data'!CC8</f>
        <v>31</v>
      </c>
      <c r="N8">
        <f>'Monthly Data'!CD8</f>
        <v>22</v>
      </c>
      <c r="P8">
        <f>'GS &gt; 50 OLS Model'!$B$5</f>
        <v>-8508488.8174217809</v>
      </c>
      <c r="Q8" s="186">
        <f ca="1">'GS &gt; 50 OLS Model'!$B$6*D8</f>
        <v>12365.375183884205</v>
      </c>
      <c r="R8" s="186">
        <f ca="1">'GS &gt; 50 OLS Model'!$B$7*E8</f>
        <v>13250253.740724334</v>
      </c>
      <c r="S8" s="186">
        <f>'GS &gt; 50 OLS Model'!$B$8*F8</f>
        <v>28244636.365604453</v>
      </c>
      <c r="T8" s="186">
        <v>0</v>
      </c>
      <c r="U8" s="186">
        <f>'GS &gt; 50 OLS Model'!$B$9*H8</f>
        <v>0</v>
      </c>
      <c r="V8" s="186">
        <f>'GS &gt; 50 OLS Model'!$B$10*I8</f>
        <v>0</v>
      </c>
      <c r="W8" s="186">
        <f>'GS &gt; 50 OLS Model'!$B$11*J8</f>
        <v>0</v>
      </c>
      <c r="X8" s="186">
        <f>'GS &gt; 50 OLS Model'!$B$12*K8</f>
        <v>0</v>
      </c>
      <c r="Y8" s="186">
        <v>0</v>
      </c>
      <c r="Z8" s="186">
        <f>'GS &gt; 50 OLS Model'!$B$13*M8</f>
        <v>34669572.13485463</v>
      </c>
      <c r="AA8" s="186">
        <f>'GS &gt; 50 OLS Model'!$B$14*N8</f>
        <v>14391403.668547621</v>
      </c>
      <c r="AB8">
        <f t="shared" ca="1" si="2"/>
        <v>82059742.467493132</v>
      </c>
    </row>
    <row r="9" spans="1:28">
      <c r="A9" s="26">
        <f>'Monthly Data'!A9</f>
        <v>40026</v>
      </c>
      <c r="B9">
        <f t="shared" si="1"/>
        <v>2009</v>
      </c>
      <c r="C9">
        <f ca="1">'Monthly Data'!O9</f>
        <v>79205277.562828839</v>
      </c>
      <c r="D9" s="186">
        <f ca="1">Weather!G76</f>
        <v>1.51</v>
      </c>
      <c r="E9" s="186">
        <f ca="1">Weather!H76</f>
        <v>159.64000000000001</v>
      </c>
      <c r="F9">
        <f>'Monthly Data'!BL9</f>
        <v>539388</v>
      </c>
      <c r="G9">
        <f>'Monthly Data'!BM9</f>
        <v>8</v>
      </c>
      <c r="H9">
        <f>'Monthly Data'!BQ9</f>
        <v>0</v>
      </c>
      <c r="I9">
        <f>'Monthly Data'!BS9</f>
        <v>0</v>
      </c>
      <c r="J9">
        <f>'Monthly Data'!BU9</f>
        <v>1</v>
      </c>
      <c r="K9">
        <f>'Monthly Data'!BV9</f>
        <v>0</v>
      </c>
      <c r="L9">
        <f>'Monthly Data'!BW9</f>
        <v>0</v>
      </c>
      <c r="M9">
        <f>'Monthly Data'!CC9</f>
        <v>31</v>
      </c>
      <c r="N9">
        <f>'Monthly Data'!CD9</f>
        <v>20</v>
      </c>
      <c r="P9">
        <f>'GS &gt; 50 OLS Model'!$B$5</f>
        <v>-8508488.8174217809</v>
      </c>
      <c r="Q9" s="186">
        <f ca="1">'GS &gt; 50 OLS Model'!$B$6*D9</f>
        <v>36611.208877774807</v>
      </c>
      <c r="R9" s="186">
        <f ca="1">'GS &gt; 50 OLS Model'!$B$7*E9</f>
        <v>11396317.586171182</v>
      </c>
      <c r="S9" s="186">
        <f>'GS &gt; 50 OLS Model'!$B$8*F9</f>
        <v>28244636.365604453</v>
      </c>
      <c r="T9" s="186">
        <v>0</v>
      </c>
      <c r="U9" s="186">
        <f>'GS &gt; 50 OLS Model'!$B$9*H9</f>
        <v>0</v>
      </c>
      <c r="V9" s="186">
        <f>'GS &gt; 50 OLS Model'!$B$10*I9</f>
        <v>0</v>
      </c>
      <c r="W9" s="186">
        <f>'GS &gt; 50 OLS Model'!$B$11*J9</f>
        <v>2505717.0713192602</v>
      </c>
      <c r="X9" s="186">
        <f>'GS &gt; 50 OLS Model'!$B$12*K9</f>
        <v>0</v>
      </c>
      <c r="Y9" s="186">
        <v>0</v>
      </c>
      <c r="Z9" s="186">
        <f>'GS &gt; 50 OLS Model'!$B$13*M9</f>
        <v>34669572.13485463</v>
      </c>
      <c r="AA9" s="186">
        <f>'GS &gt; 50 OLS Model'!$B$14*N9</f>
        <v>13083094.244134201</v>
      </c>
      <c r="AB9">
        <f t="shared" ca="1" si="2"/>
        <v>81427459.793539718</v>
      </c>
    </row>
    <row r="10" spans="1:28">
      <c r="A10" s="26">
        <f>'Monthly Data'!A10</f>
        <v>40057</v>
      </c>
      <c r="B10">
        <f t="shared" si="1"/>
        <v>2009</v>
      </c>
      <c r="C10">
        <f ca="1">'Monthly Data'!O10</f>
        <v>75059365.060484841</v>
      </c>
      <c r="D10" s="186">
        <f ca="1">Weather!G77</f>
        <v>33.01</v>
      </c>
      <c r="E10" s="186">
        <f ca="1">Weather!H77</f>
        <v>72.989999999999981</v>
      </c>
      <c r="F10">
        <f>'Monthly Data'!BL10</f>
        <v>539388</v>
      </c>
      <c r="G10">
        <f>'Monthly Data'!BM10</f>
        <v>9</v>
      </c>
      <c r="H10">
        <f>'Monthly Data'!BQ10</f>
        <v>0</v>
      </c>
      <c r="I10">
        <f>'Monthly Data'!BS10</f>
        <v>0</v>
      </c>
      <c r="J10">
        <f>'Monthly Data'!BU10</f>
        <v>0</v>
      </c>
      <c r="K10">
        <f>'Monthly Data'!BV10</f>
        <v>1</v>
      </c>
      <c r="L10">
        <f>'Monthly Data'!BW10</f>
        <v>0</v>
      </c>
      <c r="M10">
        <f>'Monthly Data'!CC10</f>
        <v>30</v>
      </c>
      <c r="N10">
        <f>'Monthly Data'!CD10</f>
        <v>21</v>
      </c>
      <c r="P10">
        <f>'GS &gt; 50 OLS Model'!$B$5</f>
        <v>-8508488.8174217809</v>
      </c>
      <c r="Q10" s="186">
        <f ca="1">'GS &gt; 50 OLS Model'!$B$6*D10</f>
        <v>800354.97023532866</v>
      </c>
      <c r="R10" s="186">
        <f ca="1">'GS &gt; 50 OLS Model'!$B$7*E10</f>
        <v>5210581.4370748829</v>
      </c>
      <c r="S10" s="186">
        <f>'GS &gt; 50 OLS Model'!$B$8*F10</f>
        <v>28244636.365604453</v>
      </c>
      <c r="T10" s="186">
        <v>0</v>
      </c>
      <c r="U10" s="186">
        <f>'GS &gt; 50 OLS Model'!$B$9*H10</f>
        <v>0</v>
      </c>
      <c r="V10" s="186">
        <f>'GS &gt; 50 OLS Model'!$B$10*I10</f>
        <v>0</v>
      </c>
      <c r="W10" s="186">
        <f>'GS &gt; 50 OLS Model'!$B$11*J10</f>
        <v>0</v>
      </c>
      <c r="X10" s="186">
        <f>'GS &gt; 50 OLS Model'!$B$12*K10</f>
        <v>2345350.8919449002</v>
      </c>
      <c r="Y10" s="186">
        <v>0</v>
      </c>
      <c r="Z10" s="186">
        <f>'GS &gt; 50 OLS Model'!$B$13*M10</f>
        <v>33551198.840181898</v>
      </c>
      <c r="AA10" s="186">
        <f>'GS &gt; 50 OLS Model'!$B$14*N10</f>
        <v>13737248.956340911</v>
      </c>
      <c r="AB10">
        <f t="shared" ca="1" si="2"/>
        <v>75380882.643960595</v>
      </c>
    </row>
    <row r="11" spans="1:28">
      <c r="A11" s="26">
        <f>'Monthly Data'!A11</f>
        <v>40087</v>
      </c>
      <c r="B11">
        <f t="shared" si="1"/>
        <v>2009</v>
      </c>
      <c r="C11">
        <f ca="1">'Monthly Data'!O11</f>
        <v>74478609.626164854</v>
      </c>
      <c r="D11" s="186">
        <f ca="1">Weather!G78</f>
        <v>177.83999999999997</v>
      </c>
      <c r="E11" s="186">
        <f ca="1">Weather!H78</f>
        <v>10.779999999999998</v>
      </c>
      <c r="F11">
        <f>'Monthly Data'!BL11</f>
        <v>539388</v>
      </c>
      <c r="G11">
        <f>'Monthly Data'!BM11</f>
        <v>10</v>
      </c>
      <c r="H11">
        <f>'Monthly Data'!BQ11</f>
        <v>0</v>
      </c>
      <c r="I11">
        <f>'Monthly Data'!BS11</f>
        <v>0</v>
      </c>
      <c r="J11">
        <f>'Monthly Data'!BU11</f>
        <v>0</v>
      </c>
      <c r="K11">
        <f>'Monthly Data'!BV11</f>
        <v>0</v>
      </c>
      <c r="L11">
        <f>'Monthly Data'!BW11</f>
        <v>1</v>
      </c>
      <c r="M11">
        <f>'Monthly Data'!CC11</f>
        <v>31</v>
      </c>
      <c r="N11">
        <f>'Monthly Data'!CD11</f>
        <v>21</v>
      </c>
      <c r="P11">
        <f>'GS &gt; 50 OLS Model'!$B$5</f>
        <v>-8508488.8174217809</v>
      </c>
      <c r="Q11" s="186">
        <f ca="1">'GS &gt; 50 OLS Model'!$B$6*D11</f>
        <v>4311879.0641215034</v>
      </c>
      <c r="R11" s="186">
        <f ca="1">'GS &gt; 50 OLS Model'!$B$7*E11</f>
        <v>769558.40377678082</v>
      </c>
      <c r="S11" s="186">
        <f>'GS &gt; 50 OLS Model'!$B$8*F11</f>
        <v>28244636.365604453</v>
      </c>
      <c r="T11" s="186">
        <v>0</v>
      </c>
      <c r="U11" s="186">
        <f>'GS &gt; 50 OLS Model'!$B$9*H11</f>
        <v>0</v>
      </c>
      <c r="V11" s="186">
        <f>'GS &gt; 50 OLS Model'!$B$10*I11</f>
        <v>0</v>
      </c>
      <c r="W11" s="186">
        <f>'GS &gt; 50 OLS Model'!$B$11*J11</f>
        <v>0</v>
      </c>
      <c r="X11" s="186">
        <f>'GS &gt; 50 OLS Model'!$B$12*K11</f>
        <v>0</v>
      </c>
      <c r="Y11" s="186">
        <v>0</v>
      </c>
      <c r="Z11" s="186">
        <f>'GS &gt; 50 OLS Model'!$B$13*M11</f>
        <v>34669572.13485463</v>
      </c>
      <c r="AA11" s="186">
        <f>'GS &gt; 50 OLS Model'!$B$14*N11</f>
        <v>13737248.956340911</v>
      </c>
      <c r="AB11">
        <f t="shared" ca="1" si="2"/>
        <v>73224406.107276499</v>
      </c>
    </row>
    <row r="12" spans="1:28">
      <c r="A12" s="26">
        <f>'Monthly Data'!A12</f>
        <v>40118</v>
      </c>
      <c r="B12">
        <f t="shared" si="1"/>
        <v>2009</v>
      </c>
      <c r="C12">
        <f ca="1">'Monthly Data'!O12</f>
        <v>74097028.329366833</v>
      </c>
      <c r="D12" s="186">
        <f ca="1">Weather!G79</f>
        <v>361.94999999999993</v>
      </c>
      <c r="E12" s="186">
        <f ca="1">Weather!H79</f>
        <v>0.05</v>
      </c>
      <c r="F12">
        <f>'Monthly Data'!BL12</f>
        <v>539388</v>
      </c>
      <c r="G12">
        <f>'Monthly Data'!BM12</f>
        <v>11</v>
      </c>
      <c r="H12">
        <f>'Monthly Data'!BQ12</f>
        <v>0</v>
      </c>
      <c r="I12">
        <f>'Monthly Data'!BS12</f>
        <v>0</v>
      </c>
      <c r="J12">
        <f>'Monthly Data'!BU12</f>
        <v>0</v>
      </c>
      <c r="K12">
        <f>'Monthly Data'!BV12</f>
        <v>0</v>
      </c>
      <c r="L12">
        <f>'Monthly Data'!BW12</f>
        <v>0</v>
      </c>
      <c r="M12">
        <f>'Monthly Data'!CC12</f>
        <v>30</v>
      </c>
      <c r="N12">
        <f>'Monthly Data'!CD12</f>
        <v>21</v>
      </c>
      <c r="P12">
        <f>'GS &gt; 50 OLS Model'!$B$5</f>
        <v>-8508488.8174217809</v>
      </c>
      <c r="Q12" s="186">
        <f ca="1">'GS &gt; 50 OLS Model'!$B$6*D12</f>
        <v>8775779.505503701</v>
      </c>
      <c r="R12" s="186">
        <f ca="1">'GS &gt; 50 OLS Model'!$B$7*E12</f>
        <v>3569.3803514693</v>
      </c>
      <c r="S12" s="186">
        <f>'GS &gt; 50 OLS Model'!$B$8*F12</f>
        <v>28244636.365604453</v>
      </c>
      <c r="T12" s="186">
        <v>0</v>
      </c>
      <c r="U12" s="186">
        <f>'GS &gt; 50 OLS Model'!$B$9*H12</f>
        <v>0</v>
      </c>
      <c r="V12" s="186">
        <f>'GS &gt; 50 OLS Model'!$B$10*I12</f>
        <v>0</v>
      </c>
      <c r="W12" s="186">
        <f>'GS &gt; 50 OLS Model'!$B$11*J12</f>
        <v>0</v>
      </c>
      <c r="X12" s="186">
        <f>'GS &gt; 50 OLS Model'!$B$12*K12</f>
        <v>0</v>
      </c>
      <c r="Y12" s="186">
        <v>0</v>
      </c>
      <c r="Z12" s="186">
        <f>'GS &gt; 50 OLS Model'!$B$13*M12</f>
        <v>33551198.840181898</v>
      </c>
      <c r="AA12" s="186">
        <f>'GS &gt; 50 OLS Model'!$B$14*N12</f>
        <v>13737248.956340911</v>
      </c>
      <c r="AB12">
        <f t="shared" ca="1" si="2"/>
        <v>75803944.230560645</v>
      </c>
    </row>
    <row r="13" spans="1:28">
      <c r="A13" s="26">
        <f>'Monthly Data'!A13</f>
        <v>40148</v>
      </c>
      <c r="B13">
        <f t="shared" si="1"/>
        <v>2009</v>
      </c>
      <c r="C13">
        <f ca="1">'Monthly Data'!O13</f>
        <v>80736283.954950839</v>
      </c>
      <c r="D13" s="186">
        <f ca="1">Weather!G80</f>
        <v>556.41000000000008</v>
      </c>
      <c r="E13" s="186">
        <f ca="1">Weather!H80</f>
        <v>0</v>
      </c>
      <c r="F13">
        <f>'Monthly Data'!BL13</f>
        <v>539388</v>
      </c>
      <c r="G13">
        <f>'Monthly Data'!BM13</f>
        <v>12</v>
      </c>
      <c r="H13">
        <f>'Monthly Data'!BQ13</f>
        <v>0</v>
      </c>
      <c r="I13">
        <f>'Monthly Data'!BS13</f>
        <v>0</v>
      </c>
      <c r="J13">
        <f>'Monthly Data'!BU13</f>
        <v>0</v>
      </c>
      <c r="K13">
        <f>'Monthly Data'!BV13</f>
        <v>0</v>
      </c>
      <c r="L13">
        <f>'Monthly Data'!BW13</f>
        <v>0</v>
      </c>
      <c r="M13">
        <f>'Monthly Data'!CC13</f>
        <v>31</v>
      </c>
      <c r="N13">
        <f>'Monthly Data'!CD13</f>
        <v>21</v>
      </c>
      <c r="P13">
        <f>'GS &gt; 50 OLS Model'!$B$5</f>
        <v>-8508488.8174217809</v>
      </c>
      <c r="Q13" s="186">
        <f ca="1">'GS &gt; 50 OLS Model'!$B$6*D13</f>
        <v>13490624.325617671</v>
      </c>
      <c r="R13" s="186">
        <f ca="1">'GS &gt; 50 OLS Model'!$B$7*E13</f>
        <v>0</v>
      </c>
      <c r="S13" s="186">
        <f>'GS &gt; 50 OLS Model'!$B$8*F13</f>
        <v>28244636.365604453</v>
      </c>
      <c r="T13" s="186">
        <v>0</v>
      </c>
      <c r="U13" s="186">
        <f>'GS &gt; 50 OLS Model'!$B$9*H13</f>
        <v>0</v>
      </c>
      <c r="V13" s="186">
        <f>'GS &gt; 50 OLS Model'!$B$10*I13</f>
        <v>0</v>
      </c>
      <c r="W13" s="186">
        <f>'GS &gt; 50 OLS Model'!$B$11*J13</f>
        <v>0</v>
      </c>
      <c r="X13" s="186">
        <f>'GS &gt; 50 OLS Model'!$B$12*K13</f>
        <v>0</v>
      </c>
      <c r="Y13" s="186">
        <v>0</v>
      </c>
      <c r="Z13" s="186">
        <f>'GS &gt; 50 OLS Model'!$B$13*M13</f>
        <v>34669572.13485463</v>
      </c>
      <c r="AA13" s="186">
        <f>'GS &gt; 50 OLS Model'!$B$14*N13</f>
        <v>13737248.956340911</v>
      </c>
      <c r="AB13">
        <f t="shared" ca="1" si="2"/>
        <v>81633592.964995891</v>
      </c>
    </row>
    <row r="14" spans="1:28">
      <c r="A14" s="26">
        <f>'Monthly Data'!A14</f>
        <v>40179</v>
      </c>
      <c r="B14">
        <f t="shared" si="1"/>
        <v>2010</v>
      </c>
      <c r="C14">
        <f ca="1">'Monthly Data'!O14</f>
        <v>85427036.528221235</v>
      </c>
      <c r="D14">
        <f t="shared" ref="D14:E22" ca="1" si="3">D2</f>
        <v>659.42999999999984</v>
      </c>
      <c r="E14">
        <f t="shared" ca="1" si="3"/>
        <v>0</v>
      </c>
      <c r="F14">
        <f>'Monthly Data'!BL14</f>
        <v>555907.5</v>
      </c>
      <c r="G14">
        <f>'Monthly Data'!BM14</f>
        <v>13</v>
      </c>
      <c r="H14">
        <f>'Monthly Data'!BQ14</f>
        <v>0</v>
      </c>
      <c r="I14">
        <f>'Monthly Data'!BS14</f>
        <v>0</v>
      </c>
      <c r="J14">
        <f>'Monthly Data'!BU14</f>
        <v>0</v>
      </c>
      <c r="K14">
        <f>'Monthly Data'!BV14</f>
        <v>0</v>
      </c>
      <c r="L14">
        <f>'Monthly Data'!BW14</f>
        <v>0</v>
      </c>
      <c r="M14">
        <f>'Monthly Data'!CC14</f>
        <v>31</v>
      </c>
      <c r="N14">
        <f>'Monthly Data'!CD14</f>
        <v>20</v>
      </c>
      <c r="P14">
        <f>'GS &gt; 50 OLS Model'!$B$5</f>
        <v>-8508488.8174217809</v>
      </c>
      <c r="Q14" s="186">
        <f ca="1">'GS &gt; 50 OLS Model'!$B$6*D14</f>
        <v>15988430.112762274</v>
      </c>
      <c r="R14" s="186">
        <f ca="1">'GS &gt; 50 OLS Model'!$B$7*E14</f>
        <v>0</v>
      </c>
      <c r="S14" s="186">
        <f>'GS &gt; 50 OLS Model'!$B$8*F14</f>
        <v>29109667.234740593</v>
      </c>
      <c r="T14" s="186">
        <v>0</v>
      </c>
      <c r="U14" s="186">
        <f>'GS &gt; 50 OLS Model'!$B$9*H14</f>
        <v>0</v>
      </c>
      <c r="V14" s="186">
        <f>'GS &gt; 50 OLS Model'!$B$10*I14</f>
        <v>0</v>
      </c>
      <c r="W14" s="186">
        <f>'GS &gt; 50 OLS Model'!$B$11*J14</f>
        <v>0</v>
      </c>
      <c r="X14" s="186">
        <f>'GS &gt; 50 OLS Model'!$B$12*K14</f>
        <v>0</v>
      </c>
      <c r="Y14" s="186">
        <v>0</v>
      </c>
      <c r="Z14" s="186">
        <f>'GS &gt; 50 OLS Model'!$B$13*M14</f>
        <v>34669572.13485463</v>
      </c>
      <c r="AA14" s="186">
        <f>'GS &gt; 50 OLS Model'!$B$14*N14</f>
        <v>13083094.244134201</v>
      </c>
      <c r="AB14">
        <f t="shared" ca="1" si="2"/>
        <v>84342274.909069911</v>
      </c>
    </row>
    <row r="15" spans="1:28">
      <c r="A15" s="26">
        <f>'Monthly Data'!A15</f>
        <v>40210</v>
      </c>
      <c r="B15">
        <f t="shared" si="1"/>
        <v>2010</v>
      </c>
      <c r="C15">
        <f ca="1">'Monthly Data'!O15</f>
        <v>77459286.107347235</v>
      </c>
      <c r="D15">
        <f t="shared" ca="1" si="3"/>
        <v>571.77</v>
      </c>
      <c r="E15">
        <f t="shared" ca="1" si="3"/>
        <v>0</v>
      </c>
      <c r="F15">
        <f>'Monthly Data'!BL15</f>
        <v>555907.5</v>
      </c>
      <c r="G15">
        <f>'Monthly Data'!BM15</f>
        <v>14</v>
      </c>
      <c r="H15">
        <f>'Monthly Data'!BQ15</f>
        <v>0</v>
      </c>
      <c r="I15">
        <f>'Monthly Data'!BS15</f>
        <v>0</v>
      </c>
      <c r="J15">
        <f>'Monthly Data'!BU15</f>
        <v>0</v>
      </c>
      <c r="K15">
        <f>'Monthly Data'!BV15</f>
        <v>0</v>
      </c>
      <c r="L15">
        <f>'Monthly Data'!BW15</f>
        <v>0</v>
      </c>
      <c r="M15">
        <f>'Monthly Data'!CC15</f>
        <v>28</v>
      </c>
      <c r="N15">
        <f>'Monthly Data'!CD15</f>
        <v>19</v>
      </c>
      <c r="P15">
        <f>'GS &gt; 50 OLS Model'!$B$5</f>
        <v>-8508488.8174217809</v>
      </c>
      <c r="Q15" s="186">
        <f ca="1">'GS &gt; 50 OLS Model'!$B$6*D15</f>
        <v>13863040.331155827</v>
      </c>
      <c r="R15" s="186">
        <f ca="1">'GS &gt; 50 OLS Model'!$B$7*E15</f>
        <v>0</v>
      </c>
      <c r="S15" s="186">
        <f>'GS &gt; 50 OLS Model'!$B$8*F15</f>
        <v>29109667.234740593</v>
      </c>
      <c r="T15" s="186">
        <v>0</v>
      </c>
      <c r="U15" s="186">
        <f>'GS &gt; 50 OLS Model'!$B$9*H15</f>
        <v>0</v>
      </c>
      <c r="V15" s="186">
        <f>'GS &gt; 50 OLS Model'!$B$10*I15</f>
        <v>0</v>
      </c>
      <c r="W15" s="186">
        <f>'GS &gt; 50 OLS Model'!$B$11*J15</f>
        <v>0</v>
      </c>
      <c r="X15" s="186">
        <f>'GS &gt; 50 OLS Model'!$B$12*K15</f>
        <v>0</v>
      </c>
      <c r="Y15" s="186">
        <v>0</v>
      </c>
      <c r="Z15" s="186">
        <f>'GS &gt; 50 OLS Model'!$B$13*M15</f>
        <v>31314452.250836439</v>
      </c>
      <c r="AA15" s="186">
        <f>'GS &gt; 50 OLS Model'!$B$14*N15</f>
        <v>12428939.531927491</v>
      </c>
      <c r="AB15">
        <f t="shared" ca="1" si="2"/>
        <v>78207610.531238571</v>
      </c>
    </row>
    <row r="16" spans="1:28">
      <c r="A16" s="26">
        <f>'Monthly Data'!A16</f>
        <v>40238</v>
      </c>
      <c r="B16">
        <f t="shared" si="1"/>
        <v>2010</v>
      </c>
      <c r="C16">
        <f ca="1">'Monthly Data'!O16</f>
        <v>79469302.564392224</v>
      </c>
      <c r="D16">
        <f t="shared" ca="1" si="3"/>
        <v>456.53999999999996</v>
      </c>
      <c r="E16">
        <f t="shared" ca="1" si="3"/>
        <v>0.48</v>
      </c>
      <c r="F16">
        <f>'Monthly Data'!BL16</f>
        <v>555907.5</v>
      </c>
      <c r="G16">
        <f>'Monthly Data'!BM16</f>
        <v>15</v>
      </c>
      <c r="H16">
        <f>'Monthly Data'!BQ16</f>
        <v>0</v>
      </c>
      <c r="I16">
        <f>'Monthly Data'!BS16</f>
        <v>0</v>
      </c>
      <c r="J16">
        <f>'Monthly Data'!BU16</f>
        <v>0</v>
      </c>
      <c r="K16">
        <f>'Monthly Data'!BV16</f>
        <v>0</v>
      </c>
      <c r="L16">
        <f>'Monthly Data'!BW16</f>
        <v>0</v>
      </c>
      <c r="M16">
        <f>'Monthly Data'!CC16</f>
        <v>31</v>
      </c>
      <c r="N16">
        <f>'Monthly Data'!CD16</f>
        <v>23</v>
      </c>
      <c r="P16">
        <f>'GS &gt; 50 OLS Model'!$B$5</f>
        <v>-8508488.8174217809</v>
      </c>
      <c r="Q16" s="186">
        <f ca="1">'GS &gt; 50 OLS Model'!$B$6*D16</f>
        <v>11069192.914608814</v>
      </c>
      <c r="R16" s="186">
        <f ca="1">'GS &gt; 50 OLS Model'!$B$7*E16</f>
        <v>34266.051374105278</v>
      </c>
      <c r="S16" s="186">
        <f>'GS &gt; 50 OLS Model'!$B$8*F16</f>
        <v>29109667.234740593</v>
      </c>
      <c r="T16" s="186">
        <v>0</v>
      </c>
      <c r="U16" s="186">
        <f>'GS &gt; 50 OLS Model'!$B$9*H16</f>
        <v>0</v>
      </c>
      <c r="V16" s="186">
        <f>'GS &gt; 50 OLS Model'!$B$10*I16</f>
        <v>0</v>
      </c>
      <c r="W16" s="186">
        <f>'GS &gt; 50 OLS Model'!$B$11*J16</f>
        <v>0</v>
      </c>
      <c r="X16" s="186">
        <f>'GS &gt; 50 OLS Model'!$B$12*K16</f>
        <v>0</v>
      </c>
      <c r="Y16" s="186">
        <v>0</v>
      </c>
      <c r="Z16" s="186">
        <f>'GS &gt; 50 OLS Model'!$B$13*M16</f>
        <v>34669572.13485463</v>
      </c>
      <c r="AA16" s="186">
        <f>'GS &gt; 50 OLS Model'!$B$14*N16</f>
        <v>15045558.380754331</v>
      </c>
      <c r="AB16">
        <f t="shared" ca="1" si="2"/>
        <v>81419767.898910701</v>
      </c>
    </row>
    <row r="17" spans="1:28">
      <c r="A17" s="26">
        <f>'Monthly Data'!A17</f>
        <v>40269</v>
      </c>
      <c r="B17">
        <f t="shared" si="1"/>
        <v>2010</v>
      </c>
      <c r="C17">
        <f ca="1">'Monthly Data'!O17</f>
        <v>71033086.461556241</v>
      </c>
      <c r="D17">
        <f t="shared" ca="1" si="3"/>
        <v>248.54999999999995</v>
      </c>
      <c r="E17">
        <f t="shared" ca="1" si="3"/>
        <v>2.63</v>
      </c>
      <c r="F17">
        <f>'Monthly Data'!BL17</f>
        <v>555907.5</v>
      </c>
      <c r="G17">
        <f>'Monthly Data'!BM17</f>
        <v>16</v>
      </c>
      <c r="H17">
        <f>'Monthly Data'!BQ17</f>
        <v>1</v>
      </c>
      <c r="I17">
        <f>'Monthly Data'!BS17</f>
        <v>0</v>
      </c>
      <c r="J17">
        <f>'Monthly Data'!BU17</f>
        <v>0</v>
      </c>
      <c r="K17">
        <f>'Monthly Data'!BV17</f>
        <v>0</v>
      </c>
      <c r="L17">
        <f>'Monthly Data'!BW17</f>
        <v>0</v>
      </c>
      <c r="M17">
        <f>'Monthly Data'!CC17</f>
        <v>30</v>
      </c>
      <c r="N17">
        <f>'Monthly Data'!CD17</f>
        <v>20</v>
      </c>
      <c r="P17">
        <f>'GS &gt; 50 OLS Model'!$B$5</f>
        <v>-8508488.8174217809</v>
      </c>
      <c r="Q17" s="186">
        <f ca="1">'GS &gt; 50 OLS Model'!$B$6*D17</f>
        <v>6026301.9646165073</v>
      </c>
      <c r="R17" s="186">
        <f ca="1">'GS &gt; 50 OLS Model'!$B$7*E17</f>
        <v>187749.40648728516</v>
      </c>
      <c r="S17" s="186">
        <f>'GS &gt; 50 OLS Model'!$B$8*F17</f>
        <v>29109667.234740593</v>
      </c>
      <c r="T17" s="186">
        <v>0</v>
      </c>
      <c r="U17" s="186">
        <f>'GS &gt; 50 OLS Model'!$B$9*H17</f>
        <v>-1670359.8066300801</v>
      </c>
      <c r="V17" s="186">
        <f>'GS &gt; 50 OLS Model'!$B$10*I17</f>
        <v>0</v>
      </c>
      <c r="W17" s="186">
        <f>'GS &gt; 50 OLS Model'!$B$11*J17</f>
        <v>0</v>
      </c>
      <c r="X17" s="186">
        <f>'GS &gt; 50 OLS Model'!$B$12*K17</f>
        <v>0</v>
      </c>
      <c r="Y17" s="186">
        <v>0</v>
      </c>
      <c r="Z17" s="186">
        <f>'GS &gt; 50 OLS Model'!$B$13*M17</f>
        <v>33551198.840181898</v>
      </c>
      <c r="AA17" s="186">
        <f>'GS &gt; 50 OLS Model'!$B$14*N17</f>
        <v>13083094.244134201</v>
      </c>
      <c r="AB17">
        <f t="shared" ca="1" si="2"/>
        <v>71779163.066108629</v>
      </c>
    </row>
    <row r="18" spans="1:28">
      <c r="A18" s="26">
        <f>'Monthly Data'!A18</f>
        <v>40299</v>
      </c>
      <c r="B18">
        <f t="shared" si="1"/>
        <v>2010</v>
      </c>
      <c r="C18">
        <f ca="1">'Monthly Data'!O18</f>
        <v>75509222.108001232</v>
      </c>
      <c r="D18">
        <f t="shared" ca="1" si="3"/>
        <v>92.740000000000009</v>
      </c>
      <c r="E18">
        <f t="shared" ca="1" si="3"/>
        <v>47.37</v>
      </c>
      <c r="F18">
        <f>'Monthly Data'!BL18</f>
        <v>555907.5</v>
      </c>
      <c r="G18">
        <f>'Monthly Data'!BM18</f>
        <v>17</v>
      </c>
      <c r="H18">
        <f>'Monthly Data'!BQ18</f>
        <v>0</v>
      </c>
      <c r="I18">
        <f>'Monthly Data'!BS18</f>
        <v>0</v>
      </c>
      <c r="J18">
        <f>'Monthly Data'!BU18</f>
        <v>0</v>
      </c>
      <c r="K18">
        <f>'Monthly Data'!BV18</f>
        <v>0</v>
      </c>
      <c r="L18">
        <f>'Monthly Data'!BW18</f>
        <v>0</v>
      </c>
      <c r="M18">
        <f>'Monthly Data'!CC18</f>
        <v>31</v>
      </c>
      <c r="N18">
        <f>'Monthly Data'!CD18</f>
        <v>20</v>
      </c>
      <c r="P18">
        <f>'GS &gt; 50 OLS Model'!$B$5</f>
        <v>-8508488.8174217809</v>
      </c>
      <c r="Q18" s="186">
        <f ca="1">'GS &gt; 50 OLS Model'!$B$6*D18</f>
        <v>2248558.6167714144</v>
      </c>
      <c r="R18" s="186">
        <f ca="1">'GS &gt; 50 OLS Model'!$B$7*E18</f>
        <v>3381630.9449820146</v>
      </c>
      <c r="S18" s="186">
        <f>'GS &gt; 50 OLS Model'!$B$8*F18</f>
        <v>29109667.234740593</v>
      </c>
      <c r="T18" s="186">
        <v>0</v>
      </c>
      <c r="U18" s="186">
        <f>'GS &gt; 50 OLS Model'!$B$9*H18</f>
        <v>0</v>
      </c>
      <c r="V18" s="186">
        <f>'GS &gt; 50 OLS Model'!$B$10*I18</f>
        <v>0</v>
      </c>
      <c r="W18" s="186">
        <f>'GS &gt; 50 OLS Model'!$B$11*J18</f>
        <v>0</v>
      </c>
      <c r="X18" s="186">
        <f>'GS &gt; 50 OLS Model'!$B$12*K18</f>
        <v>0</v>
      </c>
      <c r="Y18" s="186">
        <v>0</v>
      </c>
      <c r="Z18" s="186">
        <f>'GS &gt; 50 OLS Model'!$B$13*M18</f>
        <v>34669572.13485463</v>
      </c>
      <c r="AA18" s="186">
        <f>'GS &gt; 50 OLS Model'!$B$14*N18</f>
        <v>13083094.244134201</v>
      </c>
      <c r="AB18">
        <f t="shared" ca="1" si="2"/>
        <v>73984034.358061075</v>
      </c>
    </row>
    <row r="19" spans="1:28">
      <c r="A19" s="26">
        <f>'Monthly Data'!A19</f>
        <v>40330</v>
      </c>
      <c r="B19">
        <f t="shared" si="1"/>
        <v>2010</v>
      </c>
      <c r="C19">
        <f ca="1">'Monthly Data'!O19</f>
        <v>81034423.714442238</v>
      </c>
      <c r="D19">
        <f t="shared" ca="1" si="3"/>
        <v>9.08</v>
      </c>
      <c r="E19">
        <f t="shared" ca="1" si="3"/>
        <v>117.23999999999997</v>
      </c>
      <c r="F19">
        <f>'Monthly Data'!BL19</f>
        <v>555907.5</v>
      </c>
      <c r="G19">
        <f>'Monthly Data'!BM19</f>
        <v>18</v>
      </c>
      <c r="H19">
        <f>'Monthly Data'!BQ19</f>
        <v>0</v>
      </c>
      <c r="I19">
        <f>'Monthly Data'!BS19</f>
        <v>1</v>
      </c>
      <c r="J19">
        <f>'Monthly Data'!BU19</f>
        <v>0</v>
      </c>
      <c r="K19">
        <f>'Monthly Data'!BV19</f>
        <v>0</v>
      </c>
      <c r="L19">
        <f>'Monthly Data'!BW19</f>
        <v>0</v>
      </c>
      <c r="M19">
        <f>'Monthly Data'!CC19</f>
        <v>30</v>
      </c>
      <c r="N19">
        <f>'Monthly Data'!CD19</f>
        <v>22</v>
      </c>
      <c r="P19">
        <f>'GS &gt; 50 OLS Model'!$B$5</f>
        <v>-8508488.8174217809</v>
      </c>
      <c r="Q19" s="186">
        <f ca="1">'GS &gt; 50 OLS Model'!$B$6*D19</f>
        <v>220152.16994052666</v>
      </c>
      <c r="R19" s="186">
        <f ca="1">'GS &gt; 50 OLS Model'!$B$7*E19</f>
        <v>8369483.0481252121</v>
      </c>
      <c r="S19" s="186">
        <f>'GS &gt; 50 OLS Model'!$B$8*F19</f>
        <v>29109667.234740593</v>
      </c>
      <c r="T19" s="186">
        <v>0</v>
      </c>
      <c r="U19" s="186">
        <f>'GS &gt; 50 OLS Model'!$B$9*H19</f>
        <v>0</v>
      </c>
      <c r="V19" s="186">
        <f>'GS &gt; 50 OLS Model'!$B$10*I19</f>
        <v>1244451.2383117899</v>
      </c>
      <c r="W19" s="186">
        <f>'GS &gt; 50 OLS Model'!$B$11*J19</f>
        <v>0</v>
      </c>
      <c r="X19" s="186">
        <f>'GS &gt; 50 OLS Model'!$B$12*K19</f>
        <v>0</v>
      </c>
      <c r="Y19" s="186">
        <v>0</v>
      </c>
      <c r="Z19" s="186">
        <f>'GS &gt; 50 OLS Model'!$B$13*M19</f>
        <v>33551198.840181898</v>
      </c>
      <c r="AA19" s="186">
        <f>'GS &gt; 50 OLS Model'!$B$14*N19</f>
        <v>14391403.668547621</v>
      </c>
      <c r="AB19">
        <f t="shared" ca="1" si="2"/>
        <v>78377867.38242586</v>
      </c>
    </row>
    <row r="20" spans="1:28">
      <c r="A20" s="26">
        <f>'Monthly Data'!A20</f>
        <v>40360</v>
      </c>
      <c r="B20">
        <f t="shared" si="1"/>
        <v>2010</v>
      </c>
      <c r="C20">
        <f ca="1">'Monthly Data'!O20</f>
        <v>85939810.851727232</v>
      </c>
      <c r="D20">
        <f t="shared" ca="1" si="3"/>
        <v>0.51</v>
      </c>
      <c r="E20">
        <f t="shared" ca="1" si="3"/>
        <v>185.60999999999999</v>
      </c>
      <c r="F20">
        <f>'Monthly Data'!BL20</f>
        <v>555907.5</v>
      </c>
      <c r="G20">
        <f>'Monthly Data'!BM20</f>
        <v>19</v>
      </c>
      <c r="H20">
        <f>'Monthly Data'!BQ20</f>
        <v>0</v>
      </c>
      <c r="I20">
        <f>'Monthly Data'!BS20</f>
        <v>0</v>
      </c>
      <c r="J20">
        <f>'Monthly Data'!BU20</f>
        <v>0</v>
      </c>
      <c r="K20">
        <f>'Monthly Data'!BV20</f>
        <v>0</v>
      </c>
      <c r="L20">
        <f>'Monthly Data'!BW20</f>
        <v>0</v>
      </c>
      <c r="M20">
        <f>'Monthly Data'!CC20</f>
        <v>31</v>
      </c>
      <c r="N20">
        <f>'Monthly Data'!CD20</f>
        <v>21</v>
      </c>
      <c r="P20">
        <f>'GS &gt; 50 OLS Model'!$B$5</f>
        <v>-8508488.8174217809</v>
      </c>
      <c r="Q20" s="186">
        <f ca="1">'GS &gt; 50 OLS Model'!$B$6*D20</f>
        <v>12365.375183884205</v>
      </c>
      <c r="R20" s="186">
        <f ca="1">'GS &gt; 50 OLS Model'!$B$7*E20</f>
        <v>13250253.740724334</v>
      </c>
      <c r="S20" s="186">
        <f>'GS &gt; 50 OLS Model'!$B$8*F20</f>
        <v>29109667.234740593</v>
      </c>
      <c r="T20" s="186">
        <v>0</v>
      </c>
      <c r="U20" s="186">
        <f>'GS &gt; 50 OLS Model'!$B$9*H20</f>
        <v>0</v>
      </c>
      <c r="V20" s="186">
        <f>'GS &gt; 50 OLS Model'!$B$10*I20</f>
        <v>0</v>
      </c>
      <c r="W20" s="186">
        <f>'GS &gt; 50 OLS Model'!$B$11*J20</f>
        <v>0</v>
      </c>
      <c r="X20" s="186">
        <f>'GS &gt; 50 OLS Model'!$B$12*K20</f>
        <v>0</v>
      </c>
      <c r="Y20" s="186">
        <v>0</v>
      </c>
      <c r="Z20" s="186">
        <f>'GS &gt; 50 OLS Model'!$B$13*M20</f>
        <v>34669572.13485463</v>
      </c>
      <c r="AA20" s="186">
        <f>'GS &gt; 50 OLS Model'!$B$14*N20</f>
        <v>13737248.956340911</v>
      </c>
      <c r="AB20">
        <f t="shared" ca="1" si="2"/>
        <v>82270618.624422565</v>
      </c>
    </row>
    <row r="21" spans="1:28">
      <c r="A21" s="26">
        <f>'Monthly Data'!A21</f>
        <v>40391</v>
      </c>
      <c r="B21">
        <f t="shared" si="1"/>
        <v>2010</v>
      </c>
      <c r="C21">
        <f ca="1">'Monthly Data'!O21</f>
        <v>86205660.129896238</v>
      </c>
      <c r="D21">
        <f t="shared" ca="1" si="3"/>
        <v>1.51</v>
      </c>
      <c r="E21">
        <f t="shared" ca="1" si="3"/>
        <v>159.64000000000001</v>
      </c>
      <c r="F21">
        <f>'Monthly Data'!BL21</f>
        <v>555907.5</v>
      </c>
      <c r="G21">
        <f>'Monthly Data'!BM21</f>
        <v>20</v>
      </c>
      <c r="H21">
        <f>'Monthly Data'!BQ21</f>
        <v>0</v>
      </c>
      <c r="I21">
        <f>'Monthly Data'!BS21</f>
        <v>0</v>
      </c>
      <c r="J21">
        <f>'Monthly Data'!BU21</f>
        <v>1</v>
      </c>
      <c r="K21">
        <f>'Monthly Data'!BV21</f>
        <v>0</v>
      </c>
      <c r="L21">
        <f>'Monthly Data'!BW21</f>
        <v>0</v>
      </c>
      <c r="M21">
        <f>'Monthly Data'!CC21</f>
        <v>31</v>
      </c>
      <c r="N21">
        <f>'Monthly Data'!CD21</f>
        <v>21</v>
      </c>
      <c r="P21">
        <f>'GS &gt; 50 OLS Model'!$B$5</f>
        <v>-8508488.8174217809</v>
      </c>
      <c r="Q21" s="186">
        <f ca="1">'GS &gt; 50 OLS Model'!$B$6*D21</f>
        <v>36611.208877774807</v>
      </c>
      <c r="R21" s="186">
        <f ca="1">'GS &gt; 50 OLS Model'!$B$7*E21</f>
        <v>11396317.586171182</v>
      </c>
      <c r="S21" s="186">
        <f>'GS &gt; 50 OLS Model'!$B$8*F21</f>
        <v>29109667.234740593</v>
      </c>
      <c r="T21" s="186">
        <v>0</v>
      </c>
      <c r="U21" s="186">
        <f>'GS &gt; 50 OLS Model'!$B$9*H21</f>
        <v>0</v>
      </c>
      <c r="V21" s="186">
        <f>'GS &gt; 50 OLS Model'!$B$10*I21</f>
        <v>0</v>
      </c>
      <c r="W21" s="186">
        <f>'GS &gt; 50 OLS Model'!$B$11*J21</f>
        <v>2505717.0713192602</v>
      </c>
      <c r="X21" s="186">
        <f>'GS &gt; 50 OLS Model'!$B$12*K21</f>
        <v>0</v>
      </c>
      <c r="Y21" s="186">
        <v>0</v>
      </c>
      <c r="Z21" s="186">
        <f>'GS &gt; 50 OLS Model'!$B$13*M21</f>
        <v>34669572.13485463</v>
      </c>
      <c r="AA21" s="186">
        <f>'GS &gt; 50 OLS Model'!$B$14*N21</f>
        <v>13737248.956340911</v>
      </c>
      <c r="AB21">
        <f t="shared" ca="1" si="2"/>
        <v>82946645.374882564</v>
      </c>
    </row>
    <row r="22" spans="1:28">
      <c r="A22" s="26">
        <f>'Monthly Data'!A22</f>
        <v>40422</v>
      </c>
      <c r="B22">
        <f t="shared" si="1"/>
        <v>2010</v>
      </c>
      <c r="C22">
        <f ca="1">'Monthly Data'!O22</f>
        <v>75144375.415312231</v>
      </c>
      <c r="D22">
        <f t="shared" ca="1" si="3"/>
        <v>33.01</v>
      </c>
      <c r="E22">
        <f t="shared" ca="1" si="3"/>
        <v>72.989999999999981</v>
      </c>
      <c r="F22">
        <f>'Monthly Data'!BL22</f>
        <v>555907.5</v>
      </c>
      <c r="G22">
        <f>'Monthly Data'!BM22</f>
        <v>21</v>
      </c>
      <c r="H22">
        <f>'Monthly Data'!BQ22</f>
        <v>0</v>
      </c>
      <c r="I22">
        <f>'Monthly Data'!BS22</f>
        <v>0</v>
      </c>
      <c r="J22">
        <f>'Monthly Data'!BU22</f>
        <v>0</v>
      </c>
      <c r="K22">
        <f>'Monthly Data'!BV22</f>
        <v>1</v>
      </c>
      <c r="L22">
        <f>'Monthly Data'!BW22</f>
        <v>0</v>
      </c>
      <c r="M22">
        <f>'Monthly Data'!CC22</f>
        <v>30</v>
      </c>
      <c r="N22">
        <f>'Monthly Data'!CD22</f>
        <v>21</v>
      </c>
      <c r="P22">
        <f>'GS &gt; 50 OLS Model'!$B$5</f>
        <v>-8508488.8174217809</v>
      </c>
      <c r="Q22" s="186">
        <f ca="1">'GS &gt; 50 OLS Model'!$B$6*D22</f>
        <v>800354.97023532866</v>
      </c>
      <c r="R22" s="186">
        <f ca="1">'GS &gt; 50 OLS Model'!$B$7*E22</f>
        <v>5210581.4370748829</v>
      </c>
      <c r="S22" s="186">
        <f>'GS &gt; 50 OLS Model'!$B$8*F22</f>
        <v>29109667.234740593</v>
      </c>
      <c r="T22" s="186">
        <v>0</v>
      </c>
      <c r="U22" s="186">
        <f>'GS &gt; 50 OLS Model'!$B$9*H22</f>
        <v>0</v>
      </c>
      <c r="V22" s="186">
        <f>'GS &gt; 50 OLS Model'!$B$10*I22</f>
        <v>0</v>
      </c>
      <c r="W22" s="186">
        <f>'GS &gt; 50 OLS Model'!$B$11*J22</f>
        <v>0</v>
      </c>
      <c r="X22" s="186">
        <f>'GS &gt; 50 OLS Model'!$B$12*K22</f>
        <v>2345350.8919449002</v>
      </c>
      <c r="Y22" s="186">
        <v>0</v>
      </c>
      <c r="Z22" s="186">
        <f>'GS &gt; 50 OLS Model'!$B$13*M22</f>
        <v>33551198.840181898</v>
      </c>
      <c r="AA22" s="186">
        <f>'GS &gt; 50 OLS Model'!$B$14*N22</f>
        <v>13737248.956340911</v>
      </c>
      <c r="AB22">
        <f t="shared" ca="1" si="2"/>
        <v>76245913.513096735</v>
      </c>
    </row>
    <row r="23" spans="1:28">
      <c r="A23" s="26">
        <f>'Monthly Data'!A23</f>
        <v>40452</v>
      </c>
      <c r="B23">
        <f t="shared" si="1"/>
        <v>2010</v>
      </c>
      <c r="C23">
        <f ca="1">'Monthly Data'!O23</f>
        <v>73712701.595507234</v>
      </c>
      <c r="D23">
        <f t="shared" ref="D23:E38" ca="1" si="4">D11</f>
        <v>177.83999999999997</v>
      </c>
      <c r="E23">
        <f t="shared" ca="1" si="4"/>
        <v>10.779999999999998</v>
      </c>
      <c r="F23">
        <f>'Monthly Data'!BL23</f>
        <v>555907.5</v>
      </c>
      <c r="G23">
        <f>'Monthly Data'!BM23</f>
        <v>22</v>
      </c>
      <c r="H23">
        <f>'Monthly Data'!BQ23</f>
        <v>0</v>
      </c>
      <c r="I23">
        <f>'Monthly Data'!BS23</f>
        <v>0</v>
      </c>
      <c r="J23">
        <f>'Monthly Data'!BU23</f>
        <v>0</v>
      </c>
      <c r="K23">
        <f>'Monthly Data'!BV23</f>
        <v>0</v>
      </c>
      <c r="L23">
        <f>'Monthly Data'!BW23</f>
        <v>1</v>
      </c>
      <c r="M23">
        <f>'Monthly Data'!CC23</f>
        <v>31</v>
      </c>
      <c r="N23">
        <f>'Monthly Data'!CD23</f>
        <v>20</v>
      </c>
      <c r="P23">
        <f>'GS &gt; 50 OLS Model'!$B$5</f>
        <v>-8508488.8174217809</v>
      </c>
      <c r="Q23" s="186">
        <f ca="1">'GS &gt; 50 OLS Model'!$B$6*D23</f>
        <v>4311879.0641215034</v>
      </c>
      <c r="R23" s="186">
        <f ca="1">'GS &gt; 50 OLS Model'!$B$7*E23</f>
        <v>769558.40377678082</v>
      </c>
      <c r="S23" s="186">
        <f>'GS &gt; 50 OLS Model'!$B$8*F23</f>
        <v>29109667.234740593</v>
      </c>
      <c r="T23" s="186">
        <v>0</v>
      </c>
      <c r="U23" s="186">
        <f>'GS &gt; 50 OLS Model'!$B$9*H23</f>
        <v>0</v>
      </c>
      <c r="V23" s="186">
        <f>'GS &gt; 50 OLS Model'!$B$10*I23</f>
        <v>0</v>
      </c>
      <c r="W23" s="186">
        <f>'GS &gt; 50 OLS Model'!$B$11*J23</f>
        <v>0</v>
      </c>
      <c r="X23" s="186">
        <f>'GS &gt; 50 OLS Model'!$B$12*K23</f>
        <v>0</v>
      </c>
      <c r="Y23" s="186">
        <v>0</v>
      </c>
      <c r="Z23" s="186">
        <f>'GS &gt; 50 OLS Model'!$B$13*M23</f>
        <v>34669572.13485463</v>
      </c>
      <c r="AA23" s="186">
        <f>'GS &gt; 50 OLS Model'!$B$14*N23</f>
        <v>13083094.244134201</v>
      </c>
      <c r="AB23">
        <f t="shared" ca="1" si="2"/>
        <v>73435282.264205933</v>
      </c>
    </row>
    <row r="24" spans="1:28">
      <c r="A24" s="26">
        <f>'Monthly Data'!A24</f>
        <v>40483</v>
      </c>
      <c r="B24">
        <f t="shared" si="1"/>
        <v>2010</v>
      </c>
      <c r="C24">
        <f ca="1">'Monthly Data'!O24</f>
        <v>76223861.515962228</v>
      </c>
      <c r="D24">
        <f t="shared" ca="1" si="4"/>
        <v>361.94999999999993</v>
      </c>
      <c r="E24">
        <f t="shared" ca="1" si="4"/>
        <v>0.05</v>
      </c>
      <c r="F24">
        <f>'Monthly Data'!BL24</f>
        <v>555907.5</v>
      </c>
      <c r="G24">
        <f>'Monthly Data'!BM24</f>
        <v>23</v>
      </c>
      <c r="H24">
        <f>'Monthly Data'!BQ24</f>
        <v>0</v>
      </c>
      <c r="I24">
        <f>'Monthly Data'!BS24</f>
        <v>0</v>
      </c>
      <c r="J24">
        <f>'Monthly Data'!BU24</f>
        <v>0</v>
      </c>
      <c r="K24">
        <f>'Monthly Data'!BV24</f>
        <v>0</v>
      </c>
      <c r="L24">
        <f>'Monthly Data'!BW24</f>
        <v>0</v>
      </c>
      <c r="M24">
        <f>'Monthly Data'!CC24</f>
        <v>30</v>
      </c>
      <c r="N24">
        <f>'Monthly Data'!CD24</f>
        <v>22</v>
      </c>
      <c r="P24">
        <f>'GS &gt; 50 OLS Model'!$B$5</f>
        <v>-8508488.8174217809</v>
      </c>
      <c r="Q24" s="186">
        <f ca="1">'GS &gt; 50 OLS Model'!$B$6*D24</f>
        <v>8775779.505503701</v>
      </c>
      <c r="R24" s="186">
        <f ca="1">'GS &gt; 50 OLS Model'!$B$7*E24</f>
        <v>3569.3803514693</v>
      </c>
      <c r="S24" s="186">
        <f>'GS &gt; 50 OLS Model'!$B$8*F24</f>
        <v>29109667.234740593</v>
      </c>
      <c r="T24" s="186">
        <v>0</v>
      </c>
      <c r="U24" s="186">
        <f>'GS &gt; 50 OLS Model'!$B$9*H24</f>
        <v>0</v>
      </c>
      <c r="V24" s="186">
        <f>'GS &gt; 50 OLS Model'!$B$10*I24</f>
        <v>0</v>
      </c>
      <c r="W24" s="186">
        <f>'GS &gt; 50 OLS Model'!$B$11*J24</f>
        <v>0</v>
      </c>
      <c r="X24" s="186">
        <f>'GS &gt; 50 OLS Model'!$B$12*K24</f>
        <v>0</v>
      </c>
      <c r="Y24" s="186">
        <v>0</v>
      </c>
      <c r="Z24" s="186">
        <f>'GS &gt; 50 OLS Model'!$B$13*M24</f>
        <v>33551198.840181898</v>
      </c>
      <c r="AA24" s="186">
        <f>'GS &gt; 50 OLS Model'!$B$14*N24</f>
        <v>14391403.668547621</v>
      </c>
      <c r="AB24">
        <f t="shared" ca="1" si="2"/>
        <v>77323129.811903492</v>
      </c>
    </row>
    <row r="25" spans="1:28">
      <c r="A25" s="26">
        <f>'Monthly Data'!A25</f>
        <v>40513</v>
      </c>
      <c r="B25">
        <f t="shared" si="1"/>
        <v>2010</v>
      </c>
      <c r="C25">
        <f ca="1">'Monthly Data'!O25</f>
        <v>82782031.24842824</v>
      </c>
      <c r="D25">
        <f t="shared" ca="1" si="4"/>
        <v>556.41000000000008</v>
      </c>
      <c r="E25">
        <f t="shared" ca="1" si="4"/>
        <v>0</v>
      </c>
      <c r="F25">
        <f>'Monthly Data'!BL25</f>
        <v>555907.5</v>
      </c>
      <c r="G25">
        <f>'Monthly Data'!BM25</f>
        <v>24</v>
      </c>
      <c r="H25">
        <f>'Monthly Data'!BQ25</f>
        <v>0</v>
      </c>
      <c r="I25">
        <f>'Monthly Data'!BS25</f>
        <v>0</v>
      </c>
      <c r="J25">
        <f>'Monthly Data'!BU25</f>
        <v>0</v>
      </c>
      <c r="K25">
        <f>'Monthly Data'!BV25</f>
        <v>0</v>
      </c>
      <c r="L25">
        <f>'Monthly Data'!BW25</f>
        <v>0</v>
      </c>
      <c r="M25">
        <f>'Monthly Data'!CC25</f>
        <v>31</v>
      </c>
      <c r="N25">
        <f>'Monthly Data'!CD25</f>
        <v>21</v>
      </c>
      <c r="P25">
        <f>'GS &gt; 50 OLS Model'!$B$5</f>
        <v>-8508488.8174217809</v>
      </c>
      <c r="Q25" s="186">
        <f ca="1">'GS &gt; 50 OLS Model'!$B$6*D25</f>
        <v>13490624.325617671</v>
      </c>
      <c r="R25" s="186">
        <f ca="1">'GS &gt; 50 OLS Model'!$B$7*E25</f>
        <v>0</v>
      </c>
      <c r="S25" s="186">
        <f>'GS &gt; 50 OLS Model'!$B$8*F25</f>
        <v>29109667.234740593</v>
      </c>
      <c r="T25" s="186">
        <v>0</v>
      </c>
      <c r="U25" s="186">
        <f>'GS &gt; 50 OLS Model'!$B$9*H25</f>
        <v>0</v>
      </c>
      <c r="V25" s="186">
        <f>'GS &gt; 50 OLS Model'!$B$10*I25</f>
        <v>0</v>
      </c>
      <c r="W25" s="186">
        <f>'GS &gt; 50 OLS Model'!$B$11*J25</f>
        <v>0</v>
      </c>
      <c r="X25" s="186">
        <f>'GS &gt; 50 OLS Model'!$B$12*K25</f>
        <v>0</v>
      </c>
      <c r="Y25" s="186">
        <v>0</v>
      </c>
      <c r="Z25" s="186">
        <f>'GS &gt; 50 OLS Model'!$B$13*M25</f>
        <v>34669572.13485463</v>
      </c>
      <c r="AA25" s="186">
        <f>'GS &gt; 50 OLS Model'!$B$14*N25</f>
        <v>13737248.956340911</v>
      </c>
      <c r="AB25">
        <f t="shared" ca="1" si="2"/>
        <v>82498623.834132016</v>
      </c>
    </row>
    <row r="26" spans="1:28">
      <c r="A26" s="26">
        <f>'Monthly Data'!A26</f>
        <v>40544</v>
      </c>
      <c r="B26">
        <f t="shared" si="1"/>
        <v>2011</v>
      </c>
      <c r="C26">
        <f ca="1">'Monthly Data'!O26</f>
        <v>87926514.089346617</v>
      </c>
      <c r="D26">
        <f t="shared" ca="1" si="4"/>
        <v>659.42999999999984</v>
      </c>
      <c r="E26">
        <f t="shared" ca="1" si="4"/>
        <v>0</v>
      </c>
      <c r="F26">
        <f>'Monthly Data'!BL26</f>
        <v>570633.30000000005</v>
      </c>
      <c r="G26">
        <f>'Monthly Data'!BM26</f>
        <v>25</v>
      </c>
      <c r="H26">
        <f>'Monthly Data'!BQ26</f>
        <v>0</v>
      </c>
      <c r="I26">
        <f>'Monthly Data'!BS26</f>
        <v>0</v>
      </c>
      <c r="J26">
        <f>'Monthly Data'!BU26</f>
        <v>0</v>
      </c>
      <c r="K26">
        <f>'Monthly Data'!BV26</f>
        <v>0</v>
      </c>
      <c r="L26">
        <f>'Monthly Data'!BW26</f>
        <v>0</v>
      </c>
      <c r="M26">
        <f>'Monthly Data'!CC26</f>
        <v>31</v>
      </c>
      <c r="N26">
        <f>'Monthly Data'!CD26</f>
        <v>20</v>
      </c>
      <c r="P26">
        <f>'GS &gt; 50 OLS Model'!$B$5</f>
        <v>-8508488.8174217809</v>
      </c>
      <c r="Q26" s="186">
        <f ca="1">'GS &gt; 50 OLS Model'!$B$6*D26</f>
        <v>15988430.112762274</v>
      </c>
      <c r="R26" s="186">
        <f ca="1">'GS &gt; 50 OLS Model'!$B$7*E26</f>
        <v>0</v>
      </c>
      <c r="S26" s="186">
        <f>'GS &gt; 50 OLS Model'!$B$8*F26</f>
        <v>29880772.387603872</v>
      </c>
      <c r="T26" s="186">
        <v>0</v>
      </c>
      <c r="U26" s="186">
        <f>'GS &gt; 50 OLS Model'!$B$9*H26</f>
        <v>0</v>
      </c>
      <c r="V26" s="186">
        <f>'GS &gt; 50 OLS Model'!$B$10*I26</f>
        <v>0</v>
      </c>
      <c r="W26" s="186">
        <f>'GS &gt; 50 OLS Model'!$B$11*J26</f>
        <v>0</v>
      </c>
      <c r="X26" s="186">
        <f>'GS &gt; 50 OLS Model'!$B$12*K26</f>
        <v>0</v>
      </c>
      <c r="Y26" s="186">
        <v>0</v>
      </c>
      <c r="Z26" s="186">
        <f>'GS &gt; 50 OLS Model'!$B$13*M26</f>
        <v>34669572.13485463</v>
      </c>
      <c r="AA26" s="186">
        <f>'GS &gt; 50 OLS Model'!$B$14*N26</f>
        <v>13083094.244134201</v>
      </c>
      <c r="AB26">
        <f t="shared" ca="1" si="2"/>
        <v>85113380.061933205</v>
      </c>
    </row>
    <row r="27" spans="1:28">
      <c r="A27" s="26">
        <f>'Monthly Data'!A27</f>
        <v>40575</v>
      </c>
      <c r="B27">
        <f t="shared" si="1"/>
        <v>2011</v>
      </c>
      <c r="C27">
        <f ca="1">'Monthly Data'!O27</f>
        <v>79445566.339861631</v>
      </c>
      <c r="D27">
        <f t="shared" ca="1" si="4"/>
        <v>571.77</v>
      </c>
      <c r="E27">
        <f t="shared" ca="1" si="4"/>
        <v>0</v>
      </c>
      <c r="F27">
        <f>'Monthly Data'!BL27</f>
        <v>570633.30000000005</v>
      </c>
      <c r="G27">
        <f>'Monthly Data'!BM27</f>
        <v>26</v>
      </c>
      <c r="H27">
        <f>'Monthly Data'!BQ27</f>
        <v>0</v>
      </c>
      <c r="I27">
        <f>'Monthly Data'!BS27</f>
        <v>0</v>
      </c>
      <c r="J27">
        <f>'Monthly Data'!BU27</f>
        <v>0</v>
      </c>
      <c r="K27">
        <f>'Monthly Data'!BV27</f>
        <v>0</v>
      </c>
      <c r="L27">
        <f>'Monthly Data'!BW27</f>
        <v>0</v>
      </c>
      <c r="M27">
        <f>'Monthly Data'!CC27</f>
        <v>28</v>
      </c>
      <c r="N27">
        <f>'Monthly Data'!CD27</f>
        <v>19</v>
      </c>
      <c r="P27">
        <f>'GS &gt; 50 OLS Model'!$B$5</f>
        <v>-8508488.8174217809</v>
      </c>
      <c r="Q27" s="186">
        <f ca="1">'GS &gt; 50 OLS Model'!$B$6*D27</f>
        <v>13863040.331155827</v>
      </c>
      <c r="R27" s="186">
        <f ca="1">'GS &gt; 50 OLS Model'!$B$7*E27</f>
        <v>0</v>
      </c>
      <c r="S27" s="186">
        <f>'GS &gt; 50 OLS Model'!$B$8*F27</f>
        <v>29880772.387603872</v>
      </c>
      <c r="T27" s="186">
        <v>0</v>
      </c>
      <c r="U27" s="186">
        <f>'GS &gt; 50 OLS Model'!$B$9*H27</f>
        <v>0</v>
      </c>
      <c r="V27" s="186">
        <f>'GS &gt; 50 OLS Model'!$B$10*I27</f>
        <v>0</v>
      </c>
      <c r="W27" s="186">
        <f>'GS &gt; 50 OLS Model'!$B$11*J27</f>
        <v>0</v>
      </c>
      <c r="X27" s="186">
        <f>'GS &gt; 50 OLS Model'!$B$12*K27</f>
        <v>0</v>
      </c>
      <c r="Y27" s="186">
        <v>0</v>
      </c>
      <c r="Z27" s="186">
        <f>'GS &gt; 50 OLS Model'!$B$13*M27</f>
        <v>31314452.250836439</v>
      </c>
      <c r="AA27" s="186">
        <f>'GS &gt; 50 OLS Model'!$B$14*N27</f>
        <v>12428939.531927491</v>
      </c>
      <c r="AB27">
        <f t="shared" ca="1" si="2"/>
        <v>78978715.68410185</v>
      </c>
    </row>
    <row r="28" spans="1:28">
      <c r="A28" s="26">
        <f>'Monthly Data'!A28</f>
        <v>40603</v>
      </c>
      <c r="B28">
        <f t="shared" si="1"/>
        <v>2011</v>
      </c>
      <c r="C28">
        <f ca="1">'Monthly Data'!O28</f>
        <v>83484642.099464625</v>
      </c>
      <c r="D28">
        <f t="shared" ca="1" si="4"/>
        <v>456.53999999999996</v>
      </c>
      <c r="E28">
        <f t="shared" ca="1" si="4"/>
        <v>0.48</v>
      </c>
      <c r="F28">
        <f>'Monthly Data'!BL28</f>
        <v>570633.30000000005</v>
      </c>
      <c r="G28">
        <f>'Monthly Data'!BM28</f>
        <v>27</v>
      </c>
      <c r="H28">
        <f>'Monthly Data'!BQ28</f>
        <v>0</v>
      </c>
      <c r="I28">
        <f>'Monthly Data'!BS28</f>
        <v>0</v>
      </c>
      <c r="J28">
        <f>'Monthly Data'!BU28</f>
        <v>0</v>
      </c>
      <c r="K28">
        <f>'Monthly Data'!BV28</f>
        <v>0</v>
      </c>
      <c r="L28">
        <f>'Monthly Data'!BW28</f>
        <v>0</v>
      </c>
      <c r="M28">
        <f>'Monthly Data'!CC28</f>
        <v>31</v>
      </c>
      <c r="N28">
        <f>'Monthly Data'!CD28</f>
        <v>23</v>
      </c>
      <c r="P28">
        <f>'GS &gt; 50 OLS Model'!$B$5</f>
        <v>-8508488.8174217809</v>
      </c>
      <c r="Q28" s="186">
        <f ca="1">'GS &gt; 50 OLS Model'!$B$6*D28</f>
        <v>11069192.914608814</v>
      </c>
      <c r="R28" s="186">
        <f ca="1">'GS &gt; 50 OLS Model'!$B$7*E28</f>
        <v>34266.051374105278</v>
      </c>
      <c r="S28" s="186">
        <f>'GS &gt; 50 OLS Model'!$B$8*F28</f>
        <v>29880772.387603872</v>
      </c>
      <c r="T28" s="186">
        <v>0</v>
      </c>
      <c r="U28" s="186">
        <f>'GS &gt; 50 OLS Model'!$B$9*H28</f>
        <v>0</v>
      </c>
      <c r="V28" s="186">
        <f>'GS &gt; 50 OLS Model'!$B$10*I28</f>
        <v>0</v>
      </c>
      <c r="W28" s="186">
        <f>'GS &gt; 50 OLS Model'!$B$11*J28</f>
        <v>0</v>
      </c>
      <c r="X28" s="186">
        <f>'GS &gt; 50 OLS Model'!$B$12*K28</f>
        <v>0</v>
      </c>
      <c r="Y28" s="186">
        <v>0</v>
      </c>
      <c r="Z28" s="186">
        <f>'GS &gt; 50 OLS Model'!$B$13*M28</f>
        <v>34669572.13485463</v>
      </c>
      <c r="AA28" s="186">
        <f>'GS &gt; 50 OLS Model'!$B$14*N28</f>
        <v>15045558.380754331</v>
      </c>
      <c r="AB28">
        <f t="shared" ca="1" si="2"/>
        <v>82190873.05177398</v>
      </c>
    </row>
    <row r="29" spans="1:28">
      <c r="A29" s="26">
        <f>'Monthly Data'!A29</f>
        <v>40634</v>
      </c>
      <c r="B29">
        <f t="shared" si="1"/>
        <v>2011</v>
      </c>
      <c r="C29">
        <f ca="1">'Monthly Data'!O29</f>
        <v>73145108.283973634</v>
      </c>
      <c r="D29">
        <f t="shared" ca="1" si="4"/>
        <v>248.54999999999995</v>
      </c>
      <c r="E29">
        <f t="shared" ca="1" si="4"/>
        <v>2.63</v>
      </c>
      <c r="F29">
        <f>'Monthly Data'!BL29</f>
        <v>570633.30000000005</v>
      </c>
      <c r="G29">
        <f>'Monthly Data'!BM29</f>
        <v>28</v>
      </c>
      <c r="H29">
        <f>'Monthly Data'!BQ29</f>
        <v>1</v>
      </c>
      <c r="I29">
        <f>'Monthly Data'!BS29</f>
        <v>0</v>
      </c>
      <c r="J29">
        <f>'Monthly Data'!BU29</f>
        <v>0</v>
      </c>
      <c r="K29">
        <f>'Monthly Data'!BV29</f>
        <v>0</v>
      </c>
      <c r="L29">
        <f>'Monthly Data'!BW29</f>
        <v>0</v>
      </c>
      <c r="M29">
        <f>'Monthly Data'!CC29</f>
        <v>30</v>
      </c>
      <c r="N29">
        <f>'Monthly Data'!CD29</f>
        <v>19</v>
      </c>
      <c r="P29">
        <f>'GS &gt; 50 OLS Model'!$B$5</f>
        <v>-8508488.8174217809</v>
      </c>
      <c r="Q29" s="186">
        <f ca="1">'GS &gt; 50 OLS Model'!$B$6*D29</f>
        <v>6026301.9646165073</v>
      </c>
      <c r="R29" s="186">
        <f ca="1">'GS &gt; 50 OLS Model'!$B$7*E29</f>
        <v>187749.40648728516</v>
      </c>
      <c r="S29" s="186">
        <f>'GS &gt; 50 OLS Model'!$B$8*F29</f>
        <v>29880772.387603872</v>
      </c>
      <c r="T29" s="186">
        <v>0</v>
      </c>
      <c r="U29" s="186">
        <f>'GS &gt; 50 OLS Model'!$B$9*H29</f>
        <v>-1670359.8066300801</v>
      </c>
      <c r="V29" s="186">
        <f>'GS &gt; 50 OLS Model'!$B$10*I29</f>
        <v>0</v>
      </c>
      <c r="W29" s="186">
        <f>'GS &gt; 50 OLS Model'!$B$11*J29</f>
        <v>0</v>
      </c>
      <c r="X29" s="186">
        <f>'GS &gt; 50 OLS Model'!$B$12*K29</f>
        <v>0</v>
      </c>
      <c r="Y29" s="186">
        <v>0</v>
      </c>
      <c r="Z29" s="186">
        <f>'GS &gt; 50 OLS Model'!$B$13*M29</f>
        <v>33551198.840181898</v>
      </c>
      <c r="AA29" s="186">
        <f>'GS &gt; 50 OLS Model'!$B$14*N29</f>
        <v>12428939.531927491</v>
      </c>
      <c r="AB29">
        <f t="shared" ca="1" si="2"/>
        <v>71896113.506765202</v>
      </c>
    </row>
    <row r="30" spans="1:28">
      <c r="A30" s="26">
        <f>'Monthly Data'!A30</f>
        <v>40664</v>
      </c>
      <c r="B30">
        <f t="shared" si="1"/>
        <v>2011</v>
      </c>
      <c r="C30">
        <f ca="1">'Monthly Data'!O30</f>
        <v>74301939.895448625</v>
      </c>
      <c r="D30">
        <f t="shared" ca="1" si="4"/>
        <v>92.740000000000009</v>
      </c>
      <c r="E30">
        <f t="shared" ca="1" si="4"/>
        <v>47.37</v>
      </c>
      <c r="F30">
        <f>'Monthly Data'!BL30</f>
        <v>570633.30000000005</v>
      </c>
      <c r="G30">
        <f>'Monthly Data'!BM30</f>
        <v>29</v>
      </c>
      <c r="H30">
        <f>'Monthly Data'!BQ30</f>
        <v>0</v>
      </c>
      <c r="I30">
        <f>'Monthly Data'!BS30</f>
        <v>0</v>
      </c>
      <c r="J30">
        <f>'Monthly Data'!BU30</f>
        <v>0</v>
      </c>
      <c r="K30">
        <f>'Monthly Data'!BV30</f>
        <v>0</v>
      </c>
      <c r="L30">
        <f>'Monthly Data'!BW30</f>
        <v>0</v>
      </c>
      <c r="M30">
        <f>'Monthly Data'!CC30</f>
        <v>31</v>
      </c>
      <c r="N30">
        <f>'Monthly Data'!CD30</f>
        <v>21</v>
      </c>
      <c r="P30">
        <f>'GS &gt; 50 OLS Model'!$B$5</f>
        <v>-8508488.8174217809</v>
      </c>
      <c r="Q30" s="186">
        <f ca="1">'GS &gt; 50 OLS Model'!$B$6*D30</f>
        <v>2248558.6167714144</v>
      </c>
      <c r="R30" s="186">
        <f ca="1">'GS &gt; 50 OLS Model'!$B$7*E30</f>
        <v>3381630.9449820146</v>
      </c>
      <c r="S30" s="186">
        <f>'GS &gt; 50 OLS Model'!$B$8*F30</f>
        <v>29880772.387603872</v>
      </c>
      <c r="T30" s="186">
        <v>0</v>
      </c>
      <c r="U30" s="186">
        <f>'GS &gt; 50 OLS Model'!$B$9*H30</f>
        <v>0</v>
      </c>
      <c r="V30" s="186">
        <f>'GS &gt; 50 OLS Model'!$B$10*I30</f>
        <v>0</v>
      </c>
      <c r="W30" s="186">
        <f>'GS &gt; 50 OLS Model'!$B$11*J30</f>
        <v>0</v>
      </c>
      <c r="X30" s="186">
        <f>'GS &gt; 50 OLS Model'!$B$12*K30</f>
        <v>0</v>
      </c>
      <c r="Y30" s="186">
        <v>0</v>
      </c>
      <c r="Z30" s="186">
        <f>'GS &gt; 50 OLS Model'!$B$13*M30</f>
        <v>34669572.13485463</v>
      </c>
      <c r="AA30" s="186">
        <f>'GS &gt; 50 OLS Model'!$B$14*N30</f>
        <v>13737248.956340911</v>
      </c>
      <c r="AB30">
        <f t="shared" ca="1" si="2"/>
        <v>75409294.223131061</v>
      </c>
    </row>
    <row r="31" spans="1:28">
      <c r="A31" s="26">
        <f>'Monthly Data'!A31</f>
        <v>40695</v>
      </c>
      <c r="B31">
        <f t="shared" si="1"/>
        <v>2011</v>
      </c>
      <c r="C31">
        <f ca="1">'Monthly Data'!O31</f>
        <v>79491543.190818623</v>
      </c>
      <c r="D31">
        <f t="shared" ca="1" si="4"/>
        <v>9.08</v>
      </c>
      <c r="E31">
        <f t="shared" ca="1" si="4"/>
        <v>117.23999999999997</v>
      </c>
      <c r="F31">
        <f>'Monthly Data'!BL31</f>
        <v>570633.30000000005</v>
      </c>
      <c r="G31">
        <f>'Monthly Data'!BM31</f>
        <v>30</v>
      </c>
      <c r="H31">
        <f>'Monthly Data'!BQ31</f>
        <v>0</v>
      </c>
      <c r="I31">
        <f>'Monthly Data'!BS31</f>
        <v>1</v>
      </c>
      <c r="J31">
        <f>'Monthly Data'!BU31</f>
        <v>0</v>
      </c>
      <c r="K31">
        <f>'Monthly Data'!BV31</f>
        <v>0</v>
      </c>
      <c r="L31">
        <f>'Monthly Data'!BW31</f>
        <v>0</v>
      </c>
      <c r="M31">
        <f>'Monthly Data'!CC31</f>
        <v>30</v>
      </c>
      <c r="N31">
        <f>'Monthly Data'!CD31</f>
        <v>22</v>
      </c>
      <c r="P31">
        <f>'GS &gt; 50 OLS Model'!$B$5</f>
        <v>-8508488.8174217809</v>
      </c>
      <c r="Q31" s="186">
        <f ca="1">'GS &gt; 50 OLS Model'!$B$6*D31</f>
        <v>220152.16994052666</v>
      </c>
      <c r="R31" s="186">
        <f ca="1">'GS &gt; 50 OLS Model'!$B$7*E31</f>
        <v>8369483.0481252121</v>
      </c>
      <c r="S31" s="186">
        <f>'GS &gt; 50 OLS Model'!$B$8*F31</f>
        <v>29880772.387603872</v>
      </c>
      <c r="T31" s="186">
        <v>0</v>
      </c>
      <c r="U31" s="186">
        <f>'GS &gt; 50 OLS Model'!$B$9*H31</f>
        <v>0</v>
      </c>
      <c r="V31" s="186">
        <f>'GS &gt; 50 OLS Model'!$B$10*I31</f>
        <v>1244451.2383117899</v>
      </c>
      <c r="W31" s="186">
        <f>'GS &gt; 50 OLS Model'!$B$11*J31</f>
        <v>0</v>
      </c>
      <c r="X31" s="186">
        <f>'GS &gt; 50 OLS Model'!$B$12*K31</f>
        <v>0</v>
      </c>
      <c r="Y31" s="186">
        <v>0</v>
      </c>
      <c r="Z31" s="186">
        <f>'GS &gt; 50 OLS Model'!$B$13*M31</f>
        <v>33551198.840181898</v>
      </c>
      <c r="AA31" s="186">
        <f>'GS &gt; 50 OLS Model'!$B$14*N31</f>
        <v>14391403.668547621</v>
      </c>
      <c r="AB31">
        <f t="shared" ca="1" si="2"/>
        <v>79148972.535289139</v>
      </c>
    </row>
    <row r="32" spans="1:28">
      <c r="A32" s="26">
        <f>'Monthly Data'!A32</f>
        <v>40725</v>
      </c>
      <c r="B32">
        <f t="shared" si="1"/>
        <v>2011</v>
      </c>
      <c r="C32">
        <f ca="1">'Monthly Data'!O32</f>
        <v>85669531.856941611</v>
      </c>
      <c r="D32">
        <f t="shared" ca="1" si="4"/>
        <v>0.51</v>
      </c>
      <c r="E32">
        <f t="shared" ca="1" si="4"/>
        <v>185.60999999999999</v>
      </c>
      <c r="F32">
        <f>'Monthly Data'!BL32</f>
        <v>570633.30000000005</v>
      </c>
      <c r="G32">
        <f>'Monthly Data'!BM32</f>
        <v>31</v>
      </c>
      <c r="H32">
        <f>'Monthly Data'!BQ32</f>
        <v>0</v>
      </c>
      <c r="I32">
        <f>'Monthly Data'!BS32</f>
        <v>0</v>
      </c>
      <c r="J32">
        <f>'Monthly Data'!BU32</f>
        <v>0</v>
      </c>
      <c r="K32">
        <f>'Monthly Data'!BV32</f>
        <v>0</v>
      </c>
      <c r="L32">
        <f>'Monthly Data'!BW32</f>
        <v>0</v>
      </c>
      <c r="M32">
        <f>'Monthly Data'!CC32</f>
        <v>31</v>
      </c>
      <c r="N32">
        <f>'Monthly Data'!CD32</f>
        <v>20</v>
      </c>
      <c r="P32">
        <f>'GS &gt; 50 OLS Model'!$B$5</f>
        <v>-8508488.8174217809</v>
      </c>
      <c r="Q32" s="186">
        <f ca="1">'GS &gt; 50 OLS Model'!$B$6*D32</f>
        <v>12365.375183884205</v>
      </c>
      <c r="R32" s="186">
        <f ca="1">'GS &gt; 50 OLS Model'!$B$7*E32</f>
        <v>13250253.740724334</v>
      </c>
      <c r="S32" s="186">
        <f>'GS &gt; 50 OLS Model'!$B$8*F32</f>
        <v>29880772.387603872</v>
      </c>
      <c r="T32" s="186">
        <v>0</v>
      </c>
      <c r="U32" s="186">
        <f>'GS &gt; 50 OLS Model'!$B$9*H32</f>
        <v>0</v>
      </c>
      <c r="V32" s="186">
        <f>'GS &gt; 50 OLS Model'!$B$10*I32</f>
        <v>0</v>
      </c>
      <c r="W32" s="186">
        <f>'GS &gt; 50 OLS Model'!$B$11*J32</f>
        <v>0</v>
      </c>
      <c r="X32" s="186">
        <f>'GS &gt; 50 OLS Model'!$B$12*K32</f>
        <v>0</v>
      </c>
      <c r="Y32" s="186">
        <v>0</v>
      </c>
      <c r="Z32" s="186">
        <f>'GS &gt; 50 OLS Model'!$B$13*M32</f>
        <v>34669572.13485463</v>
      </c>
      <c r="AA32" s="186">
        <f>'GS &gt; 50 OLS Model'!$B$14*N32</f>
        <v>13083094.244134201</v>
      </c>
      <c r="AB32">
        <f t="shared" ca="1" si="2"/>
        <v>82387569.065079138</v>
      </c>
    </row>
    <row r="33" spans="1:28">
      <c r="A33" s="26">
        <f>'Monthly Data'!A33</f>
        <v>40756</v>
      </c>
      <c r="B33">
        <f t="shared" si="1"/>
        <v>2011</v>
      </c>
      <c r="C33">
        <f ca="1">'Monthly Data'!O33</f>
        <v>85461087.222262934</v>
      </c>
      <c r="D33">
        <f t="shared" ca="1" si="4"/>
        <v>1.51</v>
      </c>
      <c r="E33">
        <f t="shared" ca="1" si="4"/>
        <v>159.64000000000001</v>
      </c>
      <c r="F33">
        <f>'Monthly Data'!BL33</f>
        <v>570633.30000000005</v>
      </c>
      <c r="G33">
        <f>'Monthly Data'!BM33</f>
        <v>32</v>
      </c>
      <c r="H33">
        <f>'Monthly Data'!BQ33</f>
        <v>0</v>
      </c>
      <c r="I33">
        <f>'Monthly Data'!BS33</f>
        <v>0</v>
      </c>
      <c r="J33">
        <f>'Monthly Data'!BU33</f>
        <v>1</v>
      </c>
      <c r="K33">
        <f>'Monthly Data'!BV33</f>
        <v>0</v>
      </c>
      <c r="L33">
        <f>'Monthly Data'!BW33</f>
        <v>0</v>
      </c>
      <c r="M33">
        <f>'Monthly Data'!CC33</f>
        <v>31</v>
      </c>
      <c r="N33">
        <f>'Monthly Data'!CD33</f>
        <v>22</v>
      </c>
      <c r="P33">
        <f>'GS &gt; 50 OLS Model'!$B$5</f>
        <v>-8508488.8174217809</v>
      </c>
      <c r="Q33" s="186">
        <f ca="1">'GS &gt; 50 OLS Model'!$B$6*D33</f>
        <v>36611.208877774807</v>
      </c>
      <c r="R33" s="186">
        <f ca="1">'GS &gt; 50 OLS Model'!$B$7*E33</f>
        <v>11396317.586171182</v>
      </c>
      <c r="S33" s="186">
        <f>'GS &gt; 50 OLS Model'!$B$8*F33</f>
        <v>29880772.387603872</v>
      </c>
      <c r="T33" s="186">
        <v>0</v>
      </c>
      <c r="U33" s="186">
        <f>'GS &gt; 50 OLS Model'!$B$9*H33</f>
        <v>0</v>
      </c>
      <c r="V33" s="186">
        <f>'GS &gt; 50 OLS Model'!$B$10*I33</f>
        <v>0</v>
      </c>
      <c r="W33" s="186">
        <f>'GS &gt; 50 OLS Model'!$B$11*J33</f>
        <v>2505717.0713192602</v>
      </c>
      <c r="X33" s="186">
        <f>'GS &gt; 50 OLS Model'!$B$12*K33</f>
        <v>0</v>
      </c>
      <c r="Y33" s="186">
        <v>0</v>
      </c>
      <c r="Z33" s="186">
        <f>'GS &gt; 50 OLS Model'!$B$13*M33</f>
        <v>34669572.13485463</v>
      </c>
      <c r="AA33" s="186">
        <f>'GS &gt; 50 OLS Model'!$B$14*N33</f>
        <v>14391403.668547621</v>
      </c>
      <c r="AB33">
        <f t="shared" ca="1" si="2"/>
        <v>84371905.239952549</v>
      </c>
    </row>
    <row r="34" spans="1:28">
      <c r="A34" s="26">
        <f>'Monthly Data'!A34</f>
        <v>40787</v>
      </c>
      <c r="B34">
        <f t="shared" si="1"/>
        <v>2011</v>
      </c>
      <c r="C34">
        <f ca="1">'Monthly Data'!O34</f>
        <v>75648608.630284414</v>
      </c>
      <c r="D34">
        <f t="shared" ca="1" si="4"/>
        <v>33.01</v>
      </c>
      <c r="E34">
        <f t="shared" ca="1" si="4"/>
        <v>72.989999999999981</v>
      </c>
      <c r="F34">
        <f>'Monthly Data'!BL34</f>
        <v>570633.30000000005</v>
      </c>
      <c r="G34">
        <f>'Monthly Data'!BM34</f>
        <v>33</v>
      </c>
      <c r="H34">
        <f>'Monthly Data'!BQ34</f>
        <v>0</v>
      </c>
      <c r="I34">
        <f>'Monthly Data'!BS34</f>
        <v>0</v>
      </c>
      <c r="J34">
        <f>'Monthly Data'!BU34</f>
        <v>0</v>
      </c>
      <c r="K34">
        <f>'Monthly Data'!BV34</f>
        <v>1</v>
      </c>
      <c r="L34">
        <f>'Monthly Data'!BW34</f>
        <v>0</v>
      </c>
      <c r="M34">
        <f>'Monthly Data'!CC34</f>
        <v>30</v>
      </c>
      <c r="N34">
        <f>'Monthly Data'!CD34</f>
        <v>21</v>
      </c>
      <c r="P34">
        <f>'GS &gt; 50 OLS Model'!$B$5</f>
        <v>-8508488.8174217809</v>
      </c>
      <c r="Q34" s="186">
        <f ca="1">'GS &gt; 50 OLS Model'!$B$6*D34</f>
        <v>800354.97023532866</v>
      </c>
      <c r="R34" s="186">
        <f ca="1">'GS &gt; 50 OLS Model'!$B$7*E34</f>
        <v>5210581.4370748829</v>
      </c>
      <c r="S34" s="186">
        <f>'GS &gt; 50 OLS Model'!$B$8*F34</f>
        <v>29880772.387603872</v>
      </c>
      <c r="T34" s="186">
        <v>0</v>
      </c>
      <c r="U34" s="186">
        <f>'GS &gt; 50 OLS Model'!$B$9*H34</f>
        <v>0</v>
      </c>
      <c r="V34" s="186">
        <f>'GS &gt; 50 OLS Model'!$B$10*I34</f>
        <v>0</v>
      </c>
      <c r="W34" s="186">
        <f>'GS &gt; 50 OLS Model'!$B$11*J34</f>
        <v>0</v>
      </c>
      <c r="X34" s="186">
        <f>'GS &gt; 50 OLS Model'!$B$12*K34</f>
        <v>2345350.8919449002</v>
      </c>
      <c r="Y34" s="186">
        <v>0</v>
      </c>
      <c r="Z34" s="186">
        <f>'GS &gt; 50 OLS Model'!$B$13*M34</f>
        <v>33551198.840181898</v>
      </c>
      <c r="AA34" s="186">
        <f>'GS &gt; 50 OLS Model'!$B$14*N34</f>
        <v>13737248.956340911</v>
      </c>
      <c r="AB34">
        <f t="shared" ca="1" si="2"/>
        <v>77017018.665960014</v>
      </c>
    </row>
    <row r="35" spans="1:28">
      <c r="A35" s="26">
        <f>'Monthly Data'!A35</f>
        <v>40817</v>
      </c>
      <c r="B35">
        <f t="shared" si="1"/>
        <v>2011</v>
      </c>
      <c r="C35">
        <f ca="1">'Monthly Data'!O35</f>
        <v>74971165.15079917</v>
      </c>
      <c r="D35">
        <f t="shared" ca="1" si="4"/>
        <v>177.83999999999997</v>
      </c>
      <c r="E35">
        <f t="shared" ca="1" si="4"/>
        <v>10.779999999999998</v>
      </c>
      <c r="F35">
        <f>'Monthly Data'!BL35</f>
        <v>570633.30000000005</v>
      </c>
      <c r="G35">
        <f>'Monthly Data'!BM35</f>
        <v>34</v>
      </c>
      <c r="H35">
        <f>'Monthly Data'!BQ35</f>
        <v>0</v>
      </c>
      <c r="I35">
        <f>'Monthly Data'!BS35</f>
        <v>0</v>
      </c>
      <c r="J35">
        <f>'Monthly Data'!BU35</f>
        <v>0</v>
      </c>
      <c r="K35">
        <f>'Monthly Data'!BV35</f>
        <v>0</v>
      </c>
      <c r="L35">
        <f>'Monthly Data'!BW35</f>
        <v>1</v>
      </c>
      <c r="M35">
        <f>'Monthly Data'!CC35</f>
        <v>31</v>
      </c>
      <c r="N35">
        <f>'Monthly Data'!CD35</f>
        <v>20</v>
      </c>
      <c r="P35">
        <f>'GS &gt; 50 OLS Model'!$B$5</f>
        <v>-8508488.8174217809</v>
      </c>
      <c r="Q35" s="186">
        <f ca="1">'GS &gt; 50 OLS Model'!$B$6*D35</f>
        <v>4311879.0641215034</v>
      </c>
      <c r="R35" s="186">
        <f ca="1">'GS &gt; 50 OLS Model'!$B$7*E35</f>
        <v>769558.40377678082</v>
      </c>
      <c r="S35" s="186">
        <f>'GS &gt; 50 OLS Model'!$B$8*F35</f>
        <v>29880772.387603872</v>
      </c>
      <c r="T35" s="186">
        <v>0</v>
      </c>
      <c r="U35" s="186">
        <f>'GS &gt; 50 OLS Model'!$B$9*H35</f>
        <v>0</v>
      </c>
      <c r="V35" s="186">
        <f>'GS &gt; 50 OLS Model'!$B$10*I35</f>
        <v>0</v>
      </c>
      <c r="W35" s="186">
        <f>'GS &gt; 50 OLS Model'!$B$11*J35</f>
        <v>0</v>
      </c>
      <c r="X35" s="186">
        <f>'GS &gt; 50 OLS Model'!$B$12*K35</f>
        <v>0</v>
      </c>
      <c r="Y35" s="186">
        <v>0</v>
      </c>
      <c r="Z35" s="186">
        <f>'GS &gt; 50 OLS Model'!$B$13*M35</f>
        <v>34669572.13485463</v>
      </c>
      <c r="AA35" s="186">
        <f>'GS &gt; 50 OLS Model'!$B$14*N35</f>
        <v>13083094.244134201</v>
      </c>
      <c r="AB35">
        <f t="shared" ca="1" si="2"/>
        <v>74206387.417069212</v>
      </c>
    </row>
    <row r="36" spans="1:28">
      <c r="A36" s="26">
        <f>'Monthly Data'!A36</f>
        <v>40848</v>
      </c>
      <c r="B36">
        <f t="shared" si="1"/>
        <v>2011</v>
      </c>
      <c r="C36">
        <f ca="1">'Monthly Data'!O36</f>
        <v>75882976.979724109</v>
      </c>
      <c r="D36">
        <f t="shared" ca="1" si="4"/>
        <v>361.94999999999993</v>
      </c>
      <c r="E36">
        <f t="shared" ca="1" si="4"/>
        <v>0.05</v>
      </c>
      <c r="F36">
        <f>'Monthly Data'!BL36</f>
        <v>570633.30000000005</v>
      </c>
      <c r="G36">
        <f>'Monthly Data'!BM36</f>
        <v>35</v>
      </c>
      <c r="H36">
        <f>'Monthly Data'!BQ36</f>
        <v>0</v>
      </c>
      <c r="I36">
        <f>'Monthly Data'!BS36</f>
        <v>0</v>
      </c>
      <c r="J36">
        <f>'Monthly Data'!BU36</f>
        <v>0</v>
      </c>
      <c r="K36">
        <f>'Monthly Data'!BV36</f>
        <v>0</v>
      </c>
      <c r="L36">
        <f>'Monthly Data'!BW36</f>
        <v>0</v>
      </c>
      <c r="M36">
        <f>'Monthly Data'!CC36</f>
        <v>30</v>
      </c>
      <c r="N36">
        <f>'Monthly Data'!CD36</f>
        <v>22</v>
      </c>
      <c r="P36">
        <f>'GS &gt; 50 OLS Model'!$B$5</f>
        <v>-8508488.8174217809</v>
      </c>
      <c r="Q36" s="186">
        <f ca="1">'GS &gt; 50 OLS Model'!$B$6*D36</f>
        <v>8775779.505503701</v>
      </c>
      <c r="R36" s="186">
        <f ca="1">'GS &gt; 50 OLS Model'!$B$7*E36</f>
        <v>3569.3803514693</v>
      </c>
      <c r="S36" s="186">
        <f>'GS &gt; 50 OLS Model'!$B$8*F36</f>
        <v>29880772.387603872</v>
      </c>
      <c r="T36" s="186">
        <v>0</v>
      </c>
      <c r="U36" s="186">
        <f>'GS &gt; 50 OLS Model'!$B$9*H36</f>
        <v>0</v>
      </c>
      <c r="V36" s="186">
        <f>'GS &gt; 50 OLS Model'!$B$10*I36</f>
        <v>0</v>
      </c>
      <c r="W36" s="186">
        <f>'GS &gt; 50 OLS Model'!$B$11*J36</f>
        <v>0</v>
      </c>
      <c r="X36" s="186">
        <f>'GS &gt; 50 OLS Model'!$B$12*K36</f>
        <v>0</v>
      </c>
      <c r="Y36" s="186">
        <v>0</v>
      </c>
      <c r="Z36" s="186">
        <f>'GS &gt; 50 OLS Model'!$B$13*M36</f>
        <v>33551198.840181898</v>
      </c>
      <c r="AA36" s="186">
        <f>'GS &gt; 50 OLS Model'!$B$14*N36</f>
        <v>14391403.668547621</v>
      </c>
      <c r="AB36">
        <f t="shared" ca="1" si="2"/>
        <v>78094234.964766771</v>
      </c>
    </row>
    <row r="37" spans="1:28">
      <c r="A37" s="26">
        <f>'Monthly Data'!A37</f>
        <v>40878</v>
      </c>
      <c r="B37">
        <f t="shared" si="1"/>
        <v>2011</v>
      </c>
      <c r="C37">
        <f ca="1">'Monthly Data'!O37</f>
        <v>79287692.662937596</v>
      </c>
      <c r="D37">
        <f t="shared" ca="1" si="4"/>
        <v>556.41000000000008</v>
      </c>
      <c r="E37">
        <f t="shared" ca="1" si="4"/>
        <v>0</v>
      </c>
      <c r="F37">
        <f>'Monthly Data'!BL37</f>
        <v>570633.30000000005</v>
      </c>
      <c r="G37">
        <f>'Monthly Data'!BM37</f>
        <v>36</v>
      </c>
      <c r="H37">
        <f>'Monthly Data'!BQ37</f>
        <v>0</v>
      </c>
      <c r="I37">
        <f>'Monthly Data'!BS37</f>
        <v>0</v>
      </c>
      <c r="J37">
        <f>'Monthly Data'!BU37</f>
        <v>0</v>
      </c>
      <c r="K37">
        <f>'Monthly Data'!BV37</f>
        <v>0</v>
      </c>
      <c r="L37">
        <f>'Monthly Data'!BW37</f>
        <v>0</v>
      </c>
      <c r="M37">
        <f>'Monthly Data'!CC37</f>
        <v>31</v>
      </c>
      <c r="N37">
        <f>'Monthly Data'!CD37</f>
        <v>20</v>
      </c>
      <c r="P37">
        <f>'GS &gt; 50 OLS Model'!$B$5</f>
        <v>-8508488.8174217809</v>
      </c>
      <c r="Q37" s="186">
        <f ca="1">'GS &gt; 50 OLS Model'!$B$6*D37</f>
        <v>13490624.325617671</v>
      </c>
      <c r="R37" s="186">
        <f ca="1">'GS &gt; 50 OLS Model'!$B$7*E37</f>
        <v>0</v>
      </c>
      <c r="S37" s="186">
        <f>'GS &gt; 50 OLS Model'!$B$8*F37</f>
        <v>29880772.387603872</v>
      </c>
      <c r="T37" s="186">
        <v>0</v>
      </c>
      <c r="U37" s="186">
        <f>'GS &gt; 50 OLS Model'!$B$9*H37</f>
        <v>0</v>
      </c>
      <c r="V37" s="186">
        <f>'GS &gt; 50 OLS Model'!$B$10*I37</f>
        <v>0</v>
      </c>
      <c r="W37" s="186">
        <f>'GS &gt; 50 OLS Model'!$B$11*J37</f>
        <v>0</v>
      </c>
      <c r="X37" s="186">
        <f>'GS &gt; 50 OLS Model'!$B$12*K37</f>
        <v>0</v>
      </c>
      <c r="Y37" s="186">
        <v>0</v>
      </c>
      <c r="Z37" s="186">
        <f>'GS &gt; 50 OLS Model'!$B$13*M37</f>
        <v>34669572.13485463</v>
      </c>
      <c r="AA37" s="186">
        <f>'GS &gt; 50 OLS Model'!$B$14*N37</f>
        <v>13083094.244134201</v>
      </c>
      <c r="AB37">
        <f t="shared" ca="1" si="2"/>
        <v>82615574.274788603</v>
      </c>
    </row>
    <row r="38" spans="1:28">
      <c r="A38" s="26">
        <f>'Monthly Data'!A38</f>
        <v>40909</v>
      </c>
      <c r="B38">
        <f t="shared" si="1"/>
        <v>2012</v>
      </c>
      <c r="C38">
        <f ca="1">'Monthly Data'!O38</f>
        <v>83627865.943462819</v>
      </c>
      <c r="D38">
        <f t="shared" ca="1" si="4"/>
        <v>659.42999999999984</v>
      </c>
      <c r="E38">
        <f t="shared" ca="1" si="4"/>
        <v>0</v>
      </c>
      <c r="F38">
        <f>'Monthly Data'!BL38</f>
        <v>578793.9</v>
      </c>
      <c r="G38">
        <f>'Monthly Data'!BM38</f>
        <v>37</v>
      </c>
      <c r="H38">
        <f>'Monthly Data'!BQ38</f>
        <v>0</v>
      </c>
      <c r="I38">
        <f>'Monthly Data'!BS38</f>
        <v>0</v>
      </c>
      <c r="J38">
        <f>'Monthly Data'!BU38</f>
        <v>0</v>
      </c>
      <c r="K38">
        <f>'Monthly Data'!BV38</f>
        <v>0</v>
      </c>
      <c r="L38">
        <f>'Monthly Data'!BW38</f>
        <v>0</v>
      </c>
      <c r="M38">
        <f>'Monthly Data'!CC38</f>
        <v>31</v>
      </c>
      <c r="N38">
        <f>'Monthly Data'!CD38</f>
        <v>21</v>
      </c>
      <c r="P38">
        <f>'GS &gt; 50 OLS Model'!$B$5</f>
        <v>-8508488.8174217809</v>
      </c>
      <c r="Q38" s="186">
        <f ca="1">'GS &gt; 50 OLS Model'!$B$6*D38</f>
        <v>15988430.112762274</v>
      </c>
      <c r="R38" s="186">
        <f ca="1">'GS &gt; 50 OLS Model'!$B$7*E38</f>
        <v>0</v>
      </c>
      <c r="S38" s="186">
        <f>'GS &gt; 50 OLS Model'!$B$8*F38</f>
        <v>30308095.908937588</v>
      </c>
      <c r="T38" s="186">
        <v>0</v>
      </c>
      <c r="U38" s="186">
        <f>'GS &gt; 50 OLS Model'!$B$9*H38</f>
        <v>0</v>
      </c>
      <c r="V38" s="186">
        <f>'GS &gt; 50 OLS Model'!$B$10*I38</f>
        <v>0</v>
      </c>
      <c r="W38" s="186">
        <f>'GS &gt; 50 OLS Model'!$B$11*J38</f>
        <v>0</v>
      </c>
      <c r="X38" s="186">
        <f>'GS &gt; 50 OLS Model'!$B$12*K38</f>
        <v>0</v>
      </c>
      <c r="Y38" s="186">
        <v>0</v>
      </c>
      <c r="Z38" s="186">
        <f>'GS &gt; 50 OLS Model'!$B$13*M38</f>
        <v>34669572.13485463</v>
      </c>
      <c r="AA38" s="186">
        <f>'GS &gt; 50 OLS Model'!$B$14*N38</f>
        <v>13737248.956340911</v>
      </c>
      <c r="AB38">
        <f t="shared" ca="1" si="2"/>
        <v>86194858.29547362</v>
      </c>
    </row>
    <row r="39" spans="1:28">
      <c r="A39" s="26">
        <f>'Monthly Data'!A39</f>
        <v>40940</v>
      </c>
      <c r="B39">
        <f t="shared" si="1"/>
        <v>2012</v>
      </c>
      <c r="C39">
        <f ca="1">'Monthly Data'!O39</f>
        <v>78960983.658556581</v>
      </c>
      <c r="D39">
        <f t="shared" ref="D39:E54" ca="1" si="5">D27</f>
        <v>571.77</v>
      </c>
      <c r="E39">
        <f t="shared" ca="1" si="5"/>
        <v>0</v>
      </c>
      <c r="F39">
        <f>'Monthly Data'!BL39</f>
        <v>578793.9</v>
      </c>
      <c r="G39">
        <f>'Monthly Data'!BM39</f>
        <v>38</v>
      </c>
      <c r="H39">
        <f>'Monthly Data'!BQ39</f>
        <v>0</v>
      </c>
      <c r="I39">
        <f>'Monthly Data'!BS39</f>
        <v>0</v>
      </c>
      <c r="J39">
        <f>'Monthly Data'!BU39</f>
        <v>0</v>
      </c>
      <c r="K39">
        <f>'Monthly Data'!BV39</f>
        <v>0</v>
      </c>
      <c r="L39">
        <f>'Monthly Data'!BW39</f>
        <v>0</v>
      </c>
      <c r="M39">
        <f>'Monthly Data'!CC39</f>
        <v>29</v>
      </c>
      <c r="N39">
        <f>'Monthly Data'!CD39</f>
        <v>20</v>
      </c>
      <c r="P39">
        <f>'GS &gt; 50 OLS Model'!$B$5</f>
        <v>-8508488.8174217809</v>
      </c>
      <c r="Q39" s="186">
        <f ca="1">'GS &gt; 50 OLS Model'!$B$6*D39</f>
        <v>13863040.331155827</v>
      </c>
      <c r="R39" s="186">
        <f ca="1">'GS &gt; 50 OLS Model'!$B$7*E39</f>
        <v>0</v>
      </c>
      <c r="S39" s="186">
        <f>'GS &gt; 50 OLS Model'!$B$8*F39</f>
        <v>30308095.908937588</v>
      </c>
      <c r="T39" s="186">
        <v>0</v>
      </c>
      <c r="U39" s="186">
        <f>'GS &gt; 50 OLS Model'!$B$9*H39</f>
        <v>0</v>
      </c>
      <c r="V39" s="186">
        <f>'GS &gt; 50 OLS Model'!$B$10*I39</f>
        <v>0</v>
      </c>
      <c r="W39" s="186">
        <f>'GS &gt; 50 OLS Model'!$B$11*J39</f>
        <v>0</v>
      </c>
      <c r="X39" s="186">
        <f>'GS &gt; 50 OLS Model'!$B$12*K39</f>
        <v>0</v>
      </c>
      <c r="Y39" s="186">
        <v>0</v>
      </c>
      <c r="Z39" s="186">
        <f>'GS &gt; 50 OLS Model'!$B$13*M39</f>
        <v>32432825.545509167</v>
      </c>
      <c r="AA39" s="186">
        <f>'GS &gt; 50 OLS Model'!$B$14*N39</f>
        <v>13083094.244134201</v>
      </c>
      <c r="AB39">
        <f t="shared" ca="1" si="2"/>
        <v>81178567.212315008</v>
      </c>
    </row>
    <row r="40" spans="1:28">
      <c r="A40" s="26">
        <f>'Monthly Data'!A40</f>
        <v>40969</v>
      </c>
      <c r="B40">
        <f t="shared" si="1"/>
        <v>2012</v>
      </c>
      <c r="C40">
        <f ca="1">'Monthly Data'!O40</f>
        <v>78967146.21412468</v>
      </c>
      <c r="D40">
        <f t="shared" ca="1" si="5"/>
        <v>456.53999999999996</v>
      </c>
      <c r="E40">
        <f t="shared" ca="1" si="5"/>
        <v>0.48</v>
      </c>
      <c r="F40">
        <f>'Monthly Data'!BL40</f>
        <v>578793.9</v>
      </c>
      <c r="G40">
        <f>'Monthly Data'!BM40</f>
        <v>39</v>
      </c>
      <c r="H40">
        <f>'Monthly Data'!BQ40</f>
        <v>0</v>
      </c>
      <c r="I40">
        <f>'Monthly Data'!BS40</f>
        <v>0</v>
      </c>
      <c r="J40">
        <f>'Monthly Data'!BU40</f>
        <v>0</v>
      </c>
      <c r="K40">
        <f>'Monthly Data'!BV40</f>
        <v>0</v>
      </c>
      <c r="L40">
        <f>'Monthly Data'!BW40</f>
        <v>0</v>
      </c>
      <c r="M40">
        <f>'Monthly Data'!CC40</f>
        <v>31</v>
      </c>
      <c r="N40">
        <f>'Monthly Data'!CD40</f>
        <v>22</v>
      </c>
      <c r="P40">
        <f>'GS &gt; 50 OLS Model'!$B$5</f>
        <v>-8508488.8174217809</v>
      </c>
      <c r="Q40" s="186">
        <f ca="1">'GS &gt; 50 OLS Model'!$B$6*D40</f>
        <v>11069192.914608814</v>
      </c>
      <c r="R40" s="186">
        <f ca="1">'GS &gt; 50 OLS Model'!$B$7*E40</f>
        <v>34266.051374105278</v>
      </c>
      <c r="S40" s="186">
        <f>'GS &gt; 50 OLS Model'!$B$8*F40</f>
        <v>30308095.908937588</v>
      </c>
      <c r="T40" s="186">
        <v>0</v>
      </c>
      <c r="U40" s="186">
        <f>'GS &gt; 50 OLS Model'!$B$9*H40</f>
        <v>0</v>
      </c>
      <c r="V40" s="186">
        <f>'GS &gt; 50 OLS Model'!$B$10*I40</f>
        <v>0</v>
      </c>
      <c r="W40" s="186">
        <f>'GS &gt; 50 OLS Model'!$B$11*J40</f>
        <v>0</v>
      </c>
      <c r="X40" s="186">
        <f>'GS &gt; 50 OLS Model'!$B$12*K40</f>
        <v>0</v>
      </c>
      <c r="Y40" s="186">
        <v>0</v>
      </c>
      <c r="Z40" s="186">
        <f>'GS &gt; 50 OLS Model'!$B$13*M40</f>
        <v>34669572.13485463</v>
      </c>
      <c r="AA40" s="186">
        <f>'GS &gt; 50 OLS Model'!$B$14*N40</f>
        <v>14391403.668547621</v>
      </c>
      <c r="AB40">
        <f t="shared" ca="1" si="2"/>
        <v>81964041.860900968</v>
      </c>
    </row>
    <row r="41" spans="1:28">
      <c r="A41" s="26">
        <f>'Monthly Data'!A41</f>
        <v>41000</v>
      </c>
      <c r="B41">
        <f t="shared" si="1"/>
        <v>2012</v>
      </c>
      <c r="C41">
        <f ca="1">'Monthly Data'!O41</f>
        <v>70404346.904171199</v>
      </c>
      <c r="D41">
        <f t="shared" ca="1" si="5"/>
        <v>248.54999999999995</v>
      </c>
      <c r="E41">
        <f t="shared" ca="1" si="5"/>
        <v>2.63</v>
      </c>
      <c r="F41">
        <f>'Monthly Data'!BL41</f>
        <v>578793.9</v>
      </c>
      <c r="G41">
        <f>'Monthly Data'!BM41</f>
        <v>40</v>
      </c>
      <c r="H41">
        <f>'Monthly Data'!BQ41</f>
        <v>1</v>
      </c>
      <c r="I41">
        <f>'Monthly Data'!BS41</f>
        <v>0</v>
      </c>
      <c r="J41">
        <f>'Monthly Data'!BU41</f>
        <v>0</v>
      </c>
      <c r="K41">
        <f>'Monthly Data'!BV41</f>
        <v>0</v>
      </c>
      <c r="L41">
        <f>'Monthly Data'!BW41</f>
        <v>0</v>
      </c>
      <c r="M41">
        <f>'Monthly Data'!CC41</f>
        <v>30</v>
      </c>
      <c r="N41">
        <f>'Monthly Data'!CD41</f>
        <v>19</v>
      </c>
      <c r="P41">
        <f>'GS &gt; 50 OLS Model'!$B$5</f>
        <v>-8508488.8174217809</v>
      </c>
      <c r="Q41" s="186">
        <f ca="1">'GS &gt; 50 OLS Model'!$B$6*D41</f>
        <v>6026301.9646165073</v>
      </c>
      <c r="R41" s="186">
        <f ca="1">'GS &gt; 50 OLS Model'!$B$7*E41</f>
        <v>187749.40648728516</v>
      </c>
      <c r="S41" s="186">
        <f>'GS &gt; 50 OLS Model'!$B$8*F41</f>
        <v>30308095.908937588</v>
      </c>
      <c r="T41" s="186">
        <v>0</v>
      </c>
      <c r="U41" s="186">
        <f>'GS &gt; 50 OLS Model'!$B$9*H41</f>
        <v>-1670359.8066300801</v>
      </c>
      <c r="V41" s="186">
        <f>'GS &gt; 50 OLS Model'!$B$10*I41</f>
        <v>0</v>
      </c>
      <c r="W41" s="186">
        <f>'GS &gt; 50 OLS Model'!$B$11*J41</f>
        <v>0</v>
      </c>
      <c r="X41" s="186">
        <f>'GS &gt; 50 OLS Model'!$B$12*K41</f>
        <v>0</v>
      </c>
      <c r="Y41" s="186">
        <v>0</v>
      </c>
      <c r="Z41" s="186">
        <f>'GS &gt; 50 OLS Model'!$B$13*M41</f>
        <v>33551198.840181898</v>
      </c>
      <c r="AA41" s="186">
        <f>'GS &gt; 50 OLS Model'!$B$14*N41</f>
        <v>12428939.531927491</v>
      </c>
      <c r="AB41">
        <f t="shared" ca="1" si="2"/>
        <v>72323437.028098911</v>
      </c>
    </row>
    <row r="42" spans="1:28">
      <c r="A42" s="26">
        <f>'Monthly Data'!A42</f>
        <v>41030</v>
      </c>
      <c r="B42">
        <f t="shared" si="1"/>
        <v>2012</v>
      </c>
      <c r="C42">
        <f ca="1">'Monthly Data'!O42</f>
        <v>76707141.256383926</v>
      </c>
      <c r="D42">
        <f t="shared" ca="1" si="5"/>
        <v>92.740000000000009</v>
      </c>
      <c r="E42">
        <f t="shared" ca="1" si="5"/>
        <v>47.37</v>
      </c>
      <c r="F42">
        <f>'Monthly Data'!BL42</f>
        <v>578793.9</v>
      </c>
      <c r="G42">
        <f>'Monthly Data'!BM42</f>
        <v>41</v>
      </c>
      <c r="H42">
        <f>'Monthly Data'!BQ42</f>
        <v>0</v>
      </c>
      <c r="I42">
        <f>'Monthly Data'!BS42</f>
        <v>0</v>
      </c>
      <c r="J42">
        <f>'Monthly Data'!BU42</f>
        <v>0</v>
      </c>
      <c r="K42">
        <f>'Monthly Data'!BV42</f>
        <v>0</v>
      </c>
      <c r="L42">
        <f>'Monthly Data'!BW42</f>
        <v>0</v>
      </c>
      <c r="M42">
        <f>'Monthly Data'!CC42</f>
        <v>31</v>
      </c>
      <c r="N42">
        <f>'Monthly Data'!CD42</f>
        <v>22</v>
      </c>
      <c r="P42">
        <f>'GS &gt; 50 OLS Model'!$B$5</f>
        <v>-8508488.8174217809</v>
      </c>
      <c r="Q42" s="186">
        <f ca="1">'GS &gt; 50 OLS Model'!$B$6*D42</f>
        <v>2248558.6167714144</v>
      </c>
      <c r="R42" s="186">
        <f ca="1">'GS &gt; 50 OLS Model'!$B$7*E42</f>
        <v>3381630.9449820146</v>
      </c>
      <c r="S42" s="186">
        <f>'GS &gt; 50 OLS Model'!$B$8*F42</f>
        <v>30308095.908937588</v>
      </c>
      <c r="T42" s="186">
        <v>0</v>
      </c>
      <c r="U42" s="186">
        <f>'GS &gt; 50 OLS Model'!$B$9*H42</f>
        <v>0</v>
      </c>
      <c r="V42" s="186">
        <f>'GS &gt; 50 OLS Model'!$B$10*I42</f>
        <v>0</v>
      </c>
      <c r="W42" s="186">
        <f>'GS &gt; 50 OLS Model'!$B$11*J42</f>
        <v>0</v>
      </c>
      <c r="X42" s="186">
        <f>'GS &gt; 50 OLS Model'!$B$12*K42</f>
        <v>0</v>
      </c>
      <c r="Y42" s="186">
        <v>0</v>
      </c>
      <c r="Z42" s="186">
        <f>'GS &gt; 50 OLS Model'!$B$13*M42</f>
        <v>34669572.13485463</v>
      </c>
      <c r="AA42" s="186">
        <f>'GS &gt; 50 OLS Model'!$B$14*N42</f>
        <v>14391403.668547621</v>
      </c>
      <c r="AB42">
        <f t="shared" ca="1" si="2"/>
        <v>76490772.456671491</v>
      </c>
    </row>
    <row r="43" spans="1:28">
      <c r="A43" s="26">
        <f>'Monthly Data'!A43</f>
        <v>41061</v>
      </c>
      <c r="B43">
        <f t="shared" ref="B43:B106" si="6">YEAR(A43)</f>
        <v>2012</v>
      </c>
      <c r="C43">
        <f ca="1">'Monthly Data'!O43</f>
        <v>81073916.050987154</v>
      </c>
      <c r="D43">
        <f t="shared" ca="1" si="5"/>
        <v>9.08</v>
      </c>
      <c r="E43">
        <f t="shared" ca="1" si="5"/>
        <v>117.23999999999997</v>
      </c>
      <c r="F43">
        <f>'Monthly Data'!BL43</f>
        <v>578793.9</v>
      </c>
      <c r="G43">
        <f>'Monthly Data'!BM43</f>
        <v>42</v>
      </c>
      <c r="H43">
        <f>'Monthly Data'!BQ43</f>
        <v>0</v>
      </c>
      <c r="I43">
        <f>'Monthly Data'!BS43</f>
        <v>1</v>
      </c>
      <c r="J43">
        <f>'Monthly Data'!BU43</f>
        <v>0</v>
      </c>
      <c r="K43">
        <f>'Monthly Data'!BV43</f>
        <v>0</v>
      </c>
      <c r="L43">
        <f>'Monthly Data'!BW43</f>
        <v>0</v>
      </c>
      <c r="M43">
        <f>'Monthly Data'!CC43</f>
        <v>30</v>
      </c>
      <c r="N43">
        <f>'Monthly Data'!CD43</f>
        <v>21</v>
      </c>
      <c r="P43">
        <f>'GS &gt; 50 OLS Model'!$B$5</f>
        <v>-8508488.8174217809</v>
      </c>
      <c r="Q43" s="186">
        <f ca="1">'GS &gt; 50 OLS Model'!$B$6*D43</f>
        <v>220152.16994052666</v>
      </c>
      <c r="R43" s="186">
        <f ca="1">'GS &gt; 50 OLS Model'!$B$7*E43</f>
        <v>8369483.0481252121</v>
      </c>
      <c r="S43" s="186">
        <f>'GS &gt; 50 OLS Model'!$B$8*F43</f>
        <v>30308095.908937588</v>
      </c>
      <c r="T43" s="186">
        <v>0</v>
      </c>
      <c r="U43" s="186">
        <f>'GS &gt; 50 OLS Model'!$B$9*H43</f>
        <v>0</v>
      </c>
      <c r="V43" s="186">
        <f>'GS &gt; 50 OLS Model'!$B$10*I43</f>
        <v>1244451.2383117899</v>
      </c>
      <c r="W43" s="186">
        <f>'GS &gt; 50 OLS Model'!$B$11*J43</f>
        <v>0</v>
      </c>
      <c r="X43" s="186">
        <f>'GS &gt; 50 OLS Model'!$B$12*K43</f>
        <v>0</v>
      </c>
      <c r="Y43" s="186">
        <v>0</v>
      </c>
      <c r="Z43" s="186">
        <f>'GS &gt; 50 OLS Model'!$B$13*M43</f>
        <v>33551198.840181898</v>
      </c>
      <c r="AA43" s="186">
        <f>'GS &gt; 50 OLS Model'!$B$14*N43</f>
        <v>13737248.956340911</v>
      </c>
      <c r="AB43">
        <f t="shared" ref="AB43:AB97" ca="1" si="7">SUM(P43:AA43)</f>
        <v>78922141.344416142</v>
      </c>
    </row>
    <row r="44" spans="1:28">
      <c r="A44" s="26">
        <f>'Monthly Data'!A44</f>
        <v>41091</v>
      </c>
      <c r="B44">
        <f t="shared" si="6"/>
        <v>2012</v>
      </c>
      <c r="C44">
        <f ca="1">'Monthly Data'!O44</f>
        <v>86497634.17916283</v>
      </c>
      <c r="D44">
        <f t="shared" ca="1" si="5"/>
        <v>0.51</v>
      </c>
      <c r="E44">
        <f t="shared" ca="1" si="5"/>
        <v>185.60999999999999</v>
      </c>
      <c r="F44">
        <f>'Monthly Data'!BL44</f>
        <v>578793.9</v>
      </c>
      <c r="G44">
        <f>'Monthly Data'!BM44</f>
        <v>43</v>
      </c>
      <c r="H44">
        <f>'Monthly Data'!BQ44</f>
        <v>0</v>
      </c>
      <c r="I44">
        <f>'Monthly Data'!BS44</f>
        <v>0</v>
      </c>
      <c r="J44">
        <f>'Monthly Data'!BU44</f>
        <v>0</v>
      </c>
      <c r="K44">
        <f>'Monthly Data'!BV44</f>
        <v>0</v>
      </c>
      <c r="L44">
        <f>'Monthly Data'!BW44</f>
        <v>0</v>
      </c>
      <c r="M44">
        <f>'Monthly Data'!CC44</f>
        <v>31</v>
      </c>
      <c r="N44">
        <f>'Monthly Data'!CD44</f>
        <v>21</v>
      </c>
      <c r="P44">
        <f>'GS &gt; 50 OLS Model'!$B$5</f>
        <v>-8508488.8174217809</v>
      </c>
      <c r="Q44" s="186">
        <f ca="1">'GS &gt; 50 OLS Model'!$B$6*D44</f>
        <v>12365.375183884205</v>
      </c>
      <c r="R44" s="186">
        <f ca="1">'GS &gt; 50 OLS Model'!$B$7*E44</f>
        <v>13250253.740724334</v>
      </c>
      <c r="S44" s="186">
        <f>'GS &gt; 50 OLS Model'!$B$8*F44</f>
        <v>30308095.908937588</v>
      </c>
      <c r="T44" s="186">
        <v>0</v>
      </c>
      <c r="U44" s="186">
        <f>'GS &gt; 50 OLS Model'!$B$9*H44</f>
        <v>0</v>
      </c>
      <c r="V44" s="186">
        <f>'GS &gt; 50 OLS Model'!$B$10*I44</f>
        <v>0</v>
      </c>
      <c r="W44" s="186">
        <f>'GS &gt; 50 OLS Model'!$B$11*J44</f>
        <v>0</v>
      </c>
      <c r="X44" s="186">
        <f>'GS &gt; 50 OLS Model'!$B$12*K44</f>
        <v>0</v>
      </c>
      <c r="Y44" s="186">
        <v>0</v>
      </c>
      <c r="Z44" s="186">
        <f>'GS &gt; 50 OLS Model'!$B$13*M44</f>
        <v>34669572.13485463</v>
      </c>
      <c r="AA44" s="186">
        <f>'GS &gt; 50 OLS Model'!$B$14*N44</f>
        <v>13737248.956340911</v>
      </c>
      <c r="AB44">
        <f t="shared" ca="1" si="7"/>
        <v>83469047.298619568</v>
      </c>
    </row>
    <row r="45" spans="1:28">
      <c r="A45" s="26">
        <f>'Monthly Data'!A45</f>
        <v>41122</v>
      </c>
      <c r="B45">
        <f t="shared" si="6"/>
        <v>2012</v>
      </c>
      <c r="C45">
        <f ca="1">'Monthly Data'!O45</f>
        <v>84955144.682128251</v>
      </c>
      <c r="D45">
        <f t="shared" ca="1" si="5"/>
        <v>1.51</v>
      </c>
      <c r="E45">
        <f t="shared" ca="1" si="5"/>
        <v>159.64000000000001</v>
      </c>
      <c r="F45">
        <f>'Monthly Data'!BL45</f>
        <v>578793.9</v>
      </c>
      <c r="G45">
        <f>'Monthly Data'!BM45</f>
        <v>44</v>
      </c>
      <c r="H45">
        <f>'Monthly Data'!BQ45</f>
        <v>0</v>
      </c>
      <c r="I45">
        <f>'Monthly Data'!BS45</f>
        <v>0</v>
      </c>
      <c r="J45">
        <f>'Monthly Data'!BU45</f>
        <v>1</v>
      </c>
      <c r="K45">
        <f>'Monthly Data'!BV45</f>
        <v>0</v>
      </c>
      <c r="L45">
        <f>'Monthly Data'!BW45</f>
        <v>0</v>
      </c>
      <c r="M45">
        <f>'Monthly Data'!CC45</f>
        <v>31</v>
      </c>
      <c r="N45">
        <f>'Monthly Data'!CD45</f>
        <v>22</v>
      </c>
      <c r="P45">
        <f>'GS &gt; 50 OLS Model'!$B$5</f>
        <v>-8508488.8174217809</v>
      </c>
      <c r="Q45" s="186">
        <f ca="1">'GS &gt; 50 OLS Model'!$B$6*D45</f>
        <v>36611.208877774807</v>
      </c>
      <c r="R45" s="186">
        <f ca="1">'GS &gt; 50 OLS Model'!$B$7*E45</f>
        <v>11396317.586171182</v>
      </c>
      <c r="S45" s="186">
        <f>'GS &gt; 50 OLS Model'!$B$8*F45</f>
        <v>30308095.908937588</v>
      </c>
      <c r="T45" s="186">
        <v>0</v>
      </c>
      <c r="U45" s="186">
        <f>'GS &gt; 50 OLS Model'!$B$9*H45</f>
        <v>0</v>
      </c>
      <c r="V45" s="186">
        <f>'GS &gt; 50 OLS Model'!$B$10*I45</f>
        <v>0</v>
      </c>
      <c r="W45" s="186">
        <f>'GS &gt; 50 OLS Model'!$B$11*J45</f>
        <v>2505717.0713192602</v>
      </c>
      <c r="X45" s="186">
        <f>'GS &gt; 50 OLS Model'!$B$12*K45</f>
        <v>0</v>
      </c>
      <c r="Y45" s="186">
        <v>0</v>
      </c>
      <c r="Z45" s="186">
        <f>'GS &gt; 50 OLS Model'!$B$13*M45</f>
        <v>34669572.13485463</v>
      </c>
      <c r="AA45" s="186">
        <f>'GS &gt; 50 OLS Model'!$B$14*N45</f>
        <v>14391403.668547621</v>
      </c>
      <c r="AB45">
        <f t="shared" ca="1" si="7"/>
        <v>84799228.761286274</v>
      </c>
    </row>
    <row r="46" spans="1:28">
      <c r="A46" s="26">
        <f>'Monthly Data'!A46</f>
        <v>41153</v>
      </c>
      <c r="B46">
        <f t="shared" si="6"/>
        <v>2012</v>
      </c>
      <c r="C46">
        <f ca="1">'Monthly Data'!O46</f>
        <v>75637873.117112935</v>
      </c>
      <c r="D46">
        <f t="shared" ca="1" si="5"/>
        <v>33.01</v>
      </c>
      <c r="E46">
        <f t="shared" ca="1" si="5"/>
        <v>72.989999999999981</v>
      </c>
      <c r="F46">
        <f>'Monthly Data'!BL46</f>
        <v>578793.9</v>
      </c>
      <c r="G46">
        <f>'Monthly Data'!BM46</f>
        <v>45</v>
      </c>
      <c r="H46">
        <f>'Monthly Data'!BQ46</f>
        <v>0</v>
      </c>
      <c r="I46">
        <f>'Monthly Data'!BS46</f>
        <v>0</v>
      </c>
      <c r="J46">
        <f>'Monthly Data'!BU46</f>
        <v>0</v>
      </c>
      <c r="K46">
        <f>'Monthly Data'!BV46</f>
        <v>1</v>
      </c>
      <c r="L46">
        <f>'Monthly Data'!BW46</f>
        <v>0</v>
      </c>
      <c r="M46">
        <f>'Monthly Data'!CC46</f>
        <v>30</v>
      </c>
      <c r="N46">
        <f>'Monthly Data'!CD46</f>
        <v>19</v>
      </c>
      <c r="P46">
        <f>'GS &gt; 50 OLS Model'!$B$5</f>
        <v>-8508488.8174217809</v>
      </c>
      <c r="Q46" s="186">
        <f ca="1">'GS &gt; 50 OLS Model'!$B$6*D46</f>
        <v>800354.97023532866</v>
      </c>
      <c r="R46" s="186">
        <f ca="1">'GS &gt; 50 OLS Model'!$B$7*E46</f>
        <v>5210581.4370748829</v>
      </c>
      <c r="S46" s="186">
        <f>'GS &gt; 50 OLS Model'!$B$8*F46</f>
        <v>30308095.908937588</v>
      </c>
      <c r="T46" s="186">
        <v>0</v>
      </c>
      <c r="U46" s="186">
        <f>'GS &gt; 50 OLS Model'!$B$9*H46</f>
        <v>0</v>
      </c>
      <c r="V46" s="186">
        <f>'GS &gt; 50 OLS Model'!$B$10*I46</f>
        <v>0</v>
      </c>
      <c r="W46" s="186">
        <f>'GS &gt; 50 OLS Model'!$B$11*J46</f>
        <v>0</v>
      </c>
      <c r="X46" s="186">
        <f>'GS &gt; 50 OLS Model'!$B$12*K46</f>
        <v>2345350.8919449002</v>
      </c>
      <c r="Y46" s="186">
        <v>0</v>
      </c>
      <c r="Z46" s="186">
        <f>'GS &gt; 50 OLS Model'!$B$13*M46</f>
        <v>33551198.840181898</v>
      </c>
      <c r="AA46" s="186">
        <f>'GS &gt; 50 OLS Model'!$B$14*N46</f>
        <v>12428939.531927491</v>
      </c>
      <c r="AB46">
        <f t="shared" ca="1" si="7"/>
        <v>76136032.76288031</v>
      </c>
    </row>
    <row r="47" spans="1:28">
      <c r="A47" s="26">
        <f>'Monthly Data'!A47</f>
        <v>41183</v>
      </c>
      <c r="B47">
        <f t="shared" si="6"/>
        <v>2012</v>
      </c>
      <c r="C47">
        <f ca="1">'Monthly Data'!O47</f>
        <v>75854816.158008024</v>
      </c>
      <c r="D47">
        <f t="shared" ca="1" si="5"/>
        <v>177.83999999999997</v>
      </c>
      <c r="E47">
        <f t="shared" ca="1" si="5"/>
        <v>10.779999999999998</v>
      </c>
      <c r="F47">
        <f>'Monthly Data'!BL47</f>
        <v>578793.9</v>
      </c>
      <c r="G47">
        <f>'Monthly Data'!BM47</f>
        <v>46</v>
      </c>
      <c r="H47">
        <f>'Monthly Data'!BQ47</f>
        <v>0</v>
      </c>
      <c r="I47">
        <f>'Monthly Data'!BS47</f>
        <v>0</v>
      </c>
      <c r="J47">
        <f>'Monthly Data'!BU47</f>
        <v>0</v>
      </c>
      <c r="K47">
        <f>'Monthly Data'!BV47</f>
        <v>0</v>
      </c>
      <c r="L47">
        <f>'Monthly Data'!BW47</f>
        <v>1</v>
      </c>
      <c r="M47">
        <f>'Monthly Data'!CC47</f>
        <v>31</v>
      </c>
      <c r="N47">
        <f>'Monthly Data'!CD47</f>
        <v>22</v>
      </c>
      <c r="P47">
        <f>'GS &gt; 50 OLS Model'!$B$5</f>
        <v>-8508488.8174217809</v>
      </c>
      <c r="Q47" s="186">
        <f ca="1">'GS &gt; 50 OLS Model'!$B$6*D47</f>
        <v>4311879.0641215034</v>
      </c>
      <c r="R47" s="186">
        <f ca="1">'GS &gt; 50 OLS Model'!$B$7*E47</f>
        <v>769558.40377678082</v>
      </c>
      <c r="S47" s="186">
        <f>'GS &gt; 50 OLS Model'!$B$8*F47</f>
        <v>30308095.908937588</v>
      </c>
      <c r="T47" s="186">
        <v>0</v>
      </c>
      <c r="U47" s="186">
        <f>'GS &gt; 50 OLS Model'!$B$9*H47</f>
        <v>0</v>
      </c>
      <c r="V47" s="186">
        <f>'GS &gt; 50 OLS Model'!$B$10*I47</f>
        <v>0</v>
      </c>
      <c r="W47" s="186">
        <f>'GS &gt; 50 OLS Model'!$B$11*J47</f>
        <v>0</v>
      </c>
      <c r="X47" s="186">
        <f>'GS &gt; 50 OLS Model'!$B$12*K47</f>
        <v>0</v>
      </c>
      <c r="Y47" s="186">
        <v>0</v>
      </c>
      <c r="Z47" s="186">
        <f>'GS &gt; 50 OLS Model'!$B$13*M47</f>
        <v>34669572.13485463</v>
      </c>
      <c r="AA47" s="186">
        <f>'GS &gt; 50 OLS Model'!$B$14*N47</f>
        <v>14391403.668547621</v>
      </c>
      <c r="AB47">
        <f t="shared" ca="1" si="7"/>
        <v>75942020.362816334</v>
      </c>
    </row>
    <row r="48" spans="1:28">
      <c r="A48" s="26">
        <f>'Monthly Data'!A48</f>
        <v>41214</v>
      </c>
      <c r="B48">
        <f t="shared" si="6"/>
        <v>2012</v>
      </c>
      <c r="C48">
        <f ca="1">'Monthly Data'!O48</f>
        <v>76825179.447514161</v>
      </c>
      <c r="D48">
        <f t="shared" ca="1" si="5"/>
        <v>361.94999999999993</v>
      </c>
      <c r="E48">
        <f t="shared" ca="1" si="5"/>
        <v>0.05</v>
      </c>
      <c r="F48">
        <f>'Monthly Data'!BL48</f>
        <v>578793.9</v>
      </c>
      <c r="G48">
        <f>'Monthly Data'!BM48</f>
        <v>47</v>
      </c>
      <c r="H48">
        <f>'Monthly Data'!BQ48</f>
        <v>0</v>
      </c>
      <c r="I48">
        <f>'Monthly Data'!BS48</f>
        <v>0</v>
      </c>
      <c r="J48">
        <f>'Monthly Data'!BU48</f>
        <v>0</v>
      </c>
      <c r="K48">
        <f>'Monthly Data'!BV48</f>
        <v>0</v>
      </c>
      <c r="L48">
        <f>'Monthly Data'!BW48</f>
        <v>0</v>
      </c>
      <c r="M48">
        <f>'Monthly Data'!CC48</f>
        <v>30</v>
      </c>
      <c r="N48">
        <f>'Monthly Data'!CD48</f>
        <v>22</v>
      </c>
      <c r="P48">
        <f>'GS &gt; 50 OLS Model'!$B$5</f>
        <v>-8508488.8174217809</v>
      </c>
      <c r="Q48" s="186">
        <f ca="1">'GS &gt; 50 OLS Model'!$B$6*D48</f>
        <v>8775779.505503701</v>
      </c>
      <c r="R48" s="186">
        <f ca="1">'GS &gt; 50 OLS Model'!$B$7*E48</f>
        <v>3569.3803514693</v>
      </c>
      <c r="S48" s="186">
        <f>'GS &gt; 50 OLS Model'!$B$8*F48</f>
        <v>30308095.908937588</v>
      </c>
      <c r="T48" s="186">
        <v>0</v>
      </c>
      <c r="U48" s="186">
        <f>'GS &gt; 50 OLS Model'!$B$9*H48</f>
        <v>0</v>
      </c>
      <c r="V48" s="186">
        <f>'GS &gt; 50 OLS Model'!$B$10*I48</f>
        <v>0</v>
      </c>
      <c r="W48" s="186">
        <f>'GS &gt; 50 OLS Model'!$B$11*J48</f>
        <v>0</v>
      </c>
      <c r="X48" s="186">
        <f>'GS &gt; 50 OLS Model'!$B$12*K48</f>
        <v>0</v>
      </c>
      <c r="Y48" s="186">
        <v>0</v>
      </c>
      <c r="Z48" s="186">
        <f>'GS &gt; 50 OLS Model'!$B$13*M48</f>
        <v>33551198.840181898</v>
      </c>
      <c r="AA48" s="186">
        <f>'GS &gt; 50 OLS Model'!$B$14*N48</f>
        <v>14391403.668547621</v>
      </c>
      <c r="AB48">
        <f t="shared" ca="1" si="7"/>
        <v>78521558.486100495</v>
      </c>
    </row>
    <row r="49" spans="1:28">
      <c r="A49" s="26">
        <f>'Monthly Data'!A49</f>
        <v>41244</v>
      </c>
      <c r="B49">
        <f t="shared" si="6"/>
        <v>2012</v>
      </c>
      <c r="C49">
        <f ca="1">'Monthly Data'!O49</f>
        <v>78089232.601768956</v>
      </c>
      <c r="D49">
        <f t="shared" ca="1" si="5"/>
        <v>556.41000000000008</v>
      </c>
      <c r="E49">
        <f t="shared" ca="1" si="5"/>
        <v>0</v>
      </c>
      <c r="F49">
        <f>'Monthly Data'!BL49</f>
        <v>578793.9</v>
      </c>
      <c r="G49">
        <f>'Monthly Data'!BM49</f>
        <v>48</v>
      </c>
      <c r="H49">
        <f>'Monthly Data'!BQ49</f>
        <v>0</v>
      </c>
      <c r="I49">
        <f>'Monthly Data'!BS49</f>
        <v>0</v>
      </c>
      <c r="J49">
        <f>'Monthly Data'!BU49</f>
        <v>0</v>
      </c>
      <c r="K49">
        <f>'Monthly Data'!BV49</f>
        <v>0</v>
      </c>
      <c r="L49">
        <f>'Monthly Data'!BW49</f>
        <v>0</v>
      </c>
      <c r="M49">
        <f>'Monthly Data'!CC49</f>
        <v>31</v>
      </c>
      <c r="N49">
        <f>'Monthly Data'!CD49</f>
        <v>19</v>
      </c>
      <c r="P49">
        <f>'GS &gt; 50 OLS Model'!$B$5</f>
        <v>-8508488.8174217809</v>
      </c>
      <c r="Q49" s="186">
        <f ca="1">'GS &gt; 50 OLS Model'!$B$6*D49</f>
        <v>13490624.325617671</v>
      </c>
      <c r="R49" s="186">
        <f ca="1">'GS &gt; 50 OLS Model'!$B$7*E49</f>
        <v>0</v>
      </c>
      <c r="S49" s="186">
        <f>'GS &gt; 50 OLS Model'!$B$8*F49</f>
        <v>30308095.908937588</v>
      </c>
      <c r="T49" s="186">
        <v>0</v>
      </c>
      <c r="U49" s="186">
        <f>'GS &gt; 50 OLS Model'!$B$9*H49</f>
        <v>0</v>
      </c>
      <c r="V49" s="186">
        <f>'GS &gt; 50 OLS Model'!$B$10*I49</f>
        <v>0</v>
      </c>
      <c r="W49" s="186">
        <f>'GS &gt; 50 OLS Model'!$B$11*J49</f>
        <v>0</v>
      </c>
      <c r="X49" s="186">
        <f>'GS &gt; 50 OLS Model'!$B$12*K49</f>
        <v>0</v>
      </c>
      <c r="Y49" s="186">
        <v>0</v>
      </c>
      <c r="Z49" s="186">
        <f>'GS &gt; 50 OLS Model'!$B$13*M49</f>
        <v>34669572.13485463</v>
      </c>
      <c r="AA49" s="186">
        <f>'GS &gt; 50 OLS Model'!$B$14*N49</f>
        <v>12428939.531927491</v>
      </c>
      <c r="AB49">
        <f t="shared" ca="1" si="7"/>
        <v>82388743.083915606</v>
      </c>
    </row>
    <row r="50" spans="1:28">
      <c r="A50" s="26">
        <f>'Monthly Data'!A50</f>
        <v>41275</v>
      </c>
      <c r="B50">
        <f t="shared" si="6"/>
        <v>2013</v>
      </c>
      <c r="C50">
        <f ca="1">'Monthly Data'!O50</f>
        <v>86172794.297903538</v>
      </c>
      <c r="D50">
        <f t="shared" ca="1" si="5"/>
        <v>659.42999999999984</v>
      </c>
      <c r="E50">
        <f t="shared" ca="1" si="5"/>
        <v>0</v>
      </c>
      <c r="F50">
        <f>'Monthly Data'!BL50</f>
        <v>586913</v>
      </c>
      <c r="G50">
        <f>'Monthly Data'!BM50</f>
        <v>49</v>
      </c>
      <c r="H50">
        <f>'Monthly Data'!BQ50</f>
        <v>0</v>
      </c>
      <c r="I50">
        <f>'Monthly Data'!BS50</f>
        <v>0</v>
      </c>
      <c r="J50">
        <f>'Monthly Data'!BU50</f>
        <v>0</v>
      </c>
      <c r="K50">
        <f>'Monthly Data'!BV50</f>
        <v>0</v>
      </c>
      <c r="L50">
        <f>'Monthly Data'!BW50</f>
        <v>0</v>
      </c>
      <c r="M50">
        <f>'Monthly Data'!CC50</f>
        <v>31</v>
      </c>
      <c r="N50">
        <f>'Monthly Data'!CD50</f>
        <v>22</v>
      </c>
      <c r="P50">
        <f>'GS &gt; 50 OLS Model'!$B$5</f>
        <v>-8508488.8174217809</v>
      </c>
      <c r="Q50" s="186">
        <f ca="1">'GS &gt; 50 OLS Model'!$B$6*D50</f>
        <v>15988430.112762274</v>
      </c>
      <c r="R50" s="186">
        <f ca="1">'GS &gt; 50 OLS Model'!$B$7*E50</f>
        <v>0</v>
      </c>
      <c r="S50" s="186">
        <f>'GS &gt; 50 OLS Model'!$B$8*F50</f>
        <v>30733246.314797524</v>
      </c>
      <c r="T50" s="186">
        <v>0</v>
      </c>
      <c r="U50" s="186">
        <f>'GS &gt; 50 OLS Model'!$B$9*H50</f>
        <v>0</v>
      </c>
      <c r="V50" s="186">
        <f>'GS &gt; 50 OLS Model'!$B$10*I50</f>
        <v>0</v>
      </c>
      <c r="W50" s="186">
        <f>'GS &gt; 50 OLS Model'!$B$11*J50</f>
        <v>0</v>
      </c>
      <c r="X50" s="186">
        <f>'GS &gt; 50 OLS Model'!$B$12*K50</f>
        <v>0</v>
      </c>
      <c r="Y50" s="186">
        <v>0</v>
      </c>
      <c r="Z50" s="186">
        <f>'GS &gt; 50 OLS Model'!$B$13*M50</f>
        <v>34669572.13485463</v>
      </c>
      <c r="AA50" s="186">
        <f>'GS &gt; 50 OLS Model'!$B$14*N50</f>
        <v>14391403.668547621</v>
      </c>
      <c r="AB50">
        <f t="shared" ca="1" si="7"/>
        <v>87274163.413540259</v>
      </c>
    </row>
    <row r="51" spans="1:28">
      <c r="A51" s="26">
        <f>'Monthly Data'!A51</f>
        <v>41306</v>
      </c>
      <c r="B51">
        <f t="shared" si="6"/>
        <v>2013</v>
      </c>
      <c r="C51">
        <f ca="1">'Monthly Data'!O51</f>
        <v>80116229.569861323</v>
      </c>
      <c r="D51">
        <f t="shared" ca="1" si="5"/>
        <v>571.77</v>
      </c>
      <c r="E51">
        <f t="shared" ca="1" si="5"/>
        <v>0</v>
      </c>
      <c r="F51">
        <f>'Monthly Data'!BL51</f>
        <v>586913</v>
      </c>
      <c r="G51">
        <f>'Monthly Data'!BM51</f>
        <v>50</v>
      </c>
      <c r="H51">
        <f>'Monthly Data'!BQ51</f>
        <v>0</v>
      </c>
      <c r="I51">
        <f>'Monthly Data'!BS51</f>
        <v>0</v>
      </c>
      <c r="J51">
        <f>'Monthly Data'!BU51</f>
        <v>0</v>
      </c>
      <c r="K51">
        <f>'Monthly Data'!BV51</f>
        <v>0</v>
      </c>
      <c r="L51">
        <f>'Monthly Data'!BW51</f>
        <v>0</v>
      </c>
      <c r="M51">
        <f>'Monthly Data'!CC51</f>
        <v>28</v>
      </c>
      <c r="N51">
        <f>'Monthly Data'!CD51</f>
        <v>19</v>
      </c>
      <c r="P51">
        <f>'GS &gt; 50 OLS Model'!$B$5</f>
        <v>-8508488.8174217809</v>
      </c>
      <c r="Q51" s="186">
        <f ca="1">'GS &gt; 50 OLS Model'!$B$6*D51</f>
        <v>13863040.331155827</v>
      </c>
      <c r="R51" s="186">
        <f ca="1">'GS &gt; 50 OLS Model'!$B$7*E51</f>
        <v>0</v>
      </c>
      <c r="S51" s="186">
        <f>'GS &gt; 50 OLS Model'!$B$8*F51</f>
        <v>30733246.314797524</v>
      </c>
      <c r="T51" s="186">
        <v>0</v>
      </c>
      <c r="U51" s="186">
        <f>'GS &gt; 50 OLS Model'!$B$9*H51</f>
        <v>0</v>
      </c>
      <c r="V51" s="186">
        <f>'GS &gt; 50 OLS Model'!$B$10*I51</f>
        <v>0</v>
      </c>
      <c r="W51" s="186">
        <f>'GS &gt; 50 OLS Model'!$B$11*J51</f>
        <v>0</v>
      </c>
      <c r="X51" s="186">
        <f>'GS &gt; 50 OLS Model'!$B$12*K51</f>
        <v>0</v>
      </c>
      <c r="Y51" s="186">
        <v>0</v>
      </c>
      <c r="Z51" s="186">
        <f>'GS &gt; 50 OLS Model'!$B$13*M51</f>
        <v>31314452.250836439</v>
      </c>
      <c r="AA51" s="186">
        <f>'GS &gt; 50 OLS Model'!$B$14*N51</f>
        <v>12428939.531927491</v>
      </c>
      <c r="AB51">
        <f t="shared" ca="1" si="7"/>
        <v>79831189.611295506</v>
      </c>
    </row>
    <row r="52" spans="1:28">
      <c r="A52" s="26">
        <f>'Monthly Data'!A52</f>
        <v>41334</v>
      </c>
      <c r="B52">
        <f t="shared" si="6"/>
        <v>2013</v>
      </c>
      <c r="C52">
        <f ca="1">'Monthly Data'!O52</f>
        <v>83295056.131635845</v>
      </c>
      <c r="D52">
        <f t="shared" ca="1" si="5"/>
        <v>456.53999999999996</v>
      </c>
      <c r="E52">
        <f t="shared" ca="1" si="5"/>
        <v>0.48</v>
      </c>
      <c r="F52">
        <f>'Monthly Data'!BL52</f>
        <v>586913</v>
      </c>
      <c r="G52">
        <f>'Monthly Data'!BM52</f>
        <v>51</v>
      </c>
      <c r="H52">
        <f>'Monthly Data'!BQ52</f>
        <v>0</v>
      </c>
      <c r="I52">
        <f>'Monthly Data'!BS52</f>
        <v>0</v>
      </c>
      <c r="J52">
        <f>'Monthly Data'!BU52</f>
        <v>0</v>
      </c>
      <c r="K52">
        <f>'Monthly Data'!BV52</f>
        <v>0</v>
      </c>
      <c r="L52">
        <f>'Monthly Data'!BW52</f>
        <v>0</v>
      </c>
      <c r="M52">
        <f>'Monthly Data'!CC52</f>
        <v>31</v>
      </c>
      <c r="N52">
        <f>'Monthly Data'!CD52</f>
        <v>19</v>
      </c>
      <c r="P52">
        <f>'GS &gt; 50 OLS Model'!$B$5</f>
        <v>-8508488.8174217809</v>
      </c>
      <c r="Q52" s="186">
        <f ca="1">'GS &gt; 50 OLS Model'!$B$6*D52</f>
        <v>11069192.914608814</v>
      </c>
      <c r="R52" s="186">
        <f ca="1">'GS &gt; 50 OLS Model'!$B$7*E52</f>
        <v>34266.051374105278</v>
      </c>
      <c r="S52" s="186">
        <f>'GS &gt; 50 OLS Model'!$B$8*F52</f>
        <v>30733246.314797524</v>
      </c>
      <c r="T52" s="186">
        <v>0</v>
      </c>
      <c r="U52" s="186">
        <f>'GS &gt; 50 OLS Model'!$B$9*H52</f>
        <v>0</v>
      </c>
      <c r="V52" s="186">
        <f>'GS &gt; 50 OLS Model'!$B$10*I52</f>
        <v>0</v>
      </c>
      <c r="W52" s="186">
        <f>'GS &gt; 50 OLS Model'!$B$11*J52</f>
        <v>0</v>
      </c>
      <c r="X52" s="186">
        <f>'GS &gt; 50 OLS Model'!$B$12*K52</f>
        <v>0</v>
      </c>
      <c r="Y52" s="186">
        <v>0</v>
      </c>
      <c r="Z52" s="186">
        <f>'GS &gt; 50 OLS Model'!$B$13*M52</f>
        <v>34669572.13485463</v>
      </c>
      <c r="AA52" s="186">
        <f>'GS &gt; 50 OLS Model'!$B$14*N52</f>
        <v>12428939.531927491</v>
      </c>
      <c r="AB52">
        <f t="shared" ca="1" si="7"/>
        <v>80426728.130140781</v>
      </c>
    </row>
    <row r="53" spans="1:28">
      <c r="A53" s="26">
        <f>'Monthly Data'!A53</f>
        <v>41365</v>
      </c>
      <c r="B53">
        <f t="shared" si="6"/>
        <v>2013</v>
      </c>
      <c r="C53">
        <f ca="1">'Monthly Data'!O53</f>
        <v>75368667.834339544</v>
      </c>
      <c r="D53">
        <f t="shared" ca="1" si="5"/>
        <v>248.54999999999995</v>
      </c>
      <c r="E53">
        <f t="shared" ca="1" si="5"/>
        <v>2.63</v>
      </c>
      <c r="F53">
        <f>'Monthly Data'!BL53</f>
        <v>586913</v>
      </c>
      <c r="G53">
        <f>'Monthly Data'!BM53</f>
        <v>52</v>
      </c>
      <c r="H53">
        <f>'Monthly Data'!BQ53</f>
        <v>1</v>
      </c>
      <c r="I53">
        <f>'Monthly Data'!BS53</f>
        <v>0</v>
      </c>
      <c r="J53">
        <f>'Monthly Data'!BU53</f>
        <v>0</v>
      </c>
      <c r="K53">
        <f>'Monthly Data'!BV53</f>
        <v>0</v>
      </c>
      <c r="L53">
        <f>'Monthly Data'!BW53</f>
        <v>0</v>
      </c>
      <c r="M53">
        <f>'Monthly Data'!CC53</f>
        <v>30</v>
      </c>
      <c r="N53">
        <f>'Monthly Data'!CD53</f>
        <v>22</v>
      </c>
      <c r="P53">
        <f>'GS &gt; 50 OLS Model'!$B$5</f>
        <v>-8508488.8174217809</v>
      </c>
      <c r="Q53" s="186">
        <f ca="1">'GS &gt; 50 OLS Model'!$B$6*D53</f>
        <v>6026301.9646165073</v>
      </c>
      <c r="R53" s="186">
        <f ca="1">'GS &gt; 50 OLS Model'!$B$7*E53</f>
        <v>187749.40648728516</v>
      </c>
      <c r="S53" s="186">
        <f>'GS &gt; 50 OLS Model'!$B$8*F53</f>
        <v>30733246.314797524</v>
      </c>
      <c r="T53" s="186">
        <v>0</v>
      </c>
      <c r="U53" s="186">
        <f>'GS &gt; 50 OLS Model'!$B$9*H53</f>
        <v>-1670359.8066300801</v>
      </c>
      <c r="V53" s="186">
        <f>'GS &gt; 50 OLS Model'!$B$10*I53</f>
        <v>0</v>
      </c>
      <c r="W53" s="186">
        <f>'GS &gt; 50 OLS Model'!$B$11*J53</f>
        <v>0</v>
      </c>
      <c r="X53" s="186">
        <f>'GS &gt; 50 OLS Model'!$B$12*K53</f>
        <v>0</v>
      </c>
      <c r="Y53" s="186">
        <v>0</v>
      </c>
      <c r="Z53" s="186">
        <f>'GS &gt; 50 OLS Model'!$B$13*M53</f>
        <v>33551198.840181898</v>
      </c>
      <c r="AA53" s="186">
        <f>'GS &gt; 50 OLS Model'!$B$14*N53</f>
        <v>14391403.668547621</v>
      </c>
      <c r="AB53">
        <f t="shared" ca="1" si="7"/>
        <v>74711051.570578977</v>
      </c>
    </row>
    <row r="54" spans="1:28">
      <c r="A54" s="26">
        <f>'Monthly Data'!A54</f>
        <v>41395</v>
      </c>
      <c r="B54">
        <f t="shared" si="6"/>
        <v>2013</v>
      </c>
      <c r="C54">
        <f ca="1">'Monthly Data'!O54</f>
        <v>76645979.128271654</v>
      </c>
      <c r="D54">
        <f t="shared" ca="1" si="5"/>
        <v>92.740000000000009</v>
      </c>
      <c r="E54">
        <f t="shared" ca="1" si="5"/>
        <v>47.37</v>
      </c>
      <c r="F54">
        <f>'Monthly Data'!BL54</f>
        <v>586913</v>
      </c>
      <c r="G54">
        <f>'Monthly Data'!BM54</f>
        <v>53</v>
      </c>
      <c r="H54">
        <f>'Monthly Data'!BQ54</f>
        <v>0</v>
      </c>
      <c r="I54">
        <f>'Monthly Data'!BS54</f>
        <v>0</v>
      </c>
      <c r="J54">
        <f>'Monthly Data'!BU54</f>
        <v>0</v>
      </c>
      <c r="K54">
        <f>'Monthly Data'!BV54</f>
        <v>0</v>
      </c>
      <c r="L54">
        <f>'Monthly Data'!BW54</f>
        <v>0</v>
      </c>
      <c r="M54">
        <f>'Monthly Data'!CC54</f>
        <v>31</v>
      </c>
      <c r="N54">
        <f>'Monthly Data'!CD54</f>
        <v>22</v>
      </c>
      <c r="P54">
        <f>'GS &gt; 50 OLS Model'!$B$5</f>
        <v>-8508488.8174217809</v>
      </c>
      <c r="Q54" s="186">
        <f ca="1">'GS &gt; 50 OLS Model'!$B$6*D54</f>
        <v>2248558.6167714144</v>
      </c>
      <c r="R54" s="186">
        <f ca="1">'GS &gt; 50 OLS Model'!$B$7*E54</f>
        <v>3381630.9449820146</v>
      </c>
      <c r="S54" s="186">
        <f>'GS &gt; 50 OLS Model'!$B$8*F54</f>
        <v>30733246.314797524</v>
      </c>
      <c r="T54" s="186">
        <v>0</v>
      </c>
      <c r="U54" s="186">
        <f>'GS &gt; 50 OLS Model'!$B$9*H54</f>
        <v>0</v>
      </c>
      <c r="V54" s="186">
        <f>'GS &gt; 50 OLS Model'!$B$10*I54</f>
        <v>0</v>
      </c>
      <c r="W54" s="186">
        <f>'GS &gt; 50 OLS Model'!$B$11*J54</f>
        <v>0</v>
      </c>
      <c r="X54" s="186">
        <f>'GS &gt; 50 OLS Model'!$B$12*K54</f>
        <v>0</v>
      </c>
      <c r="Y54" s="186">
        <v>0</v>
      </c>
      <c r="Z54" s="186">
        <f>'GS &gt; 50 OLS Model'!$B$13*M54</f>
        <v>34669572.13485463</v>
      </c>
      <c r="AA54" s="186">
        <f>'GS &gt; 50 OLS Model'!$B$14*N54</f>
        <v>14391403.668547621</v>
      </c>
      <c r="AB54">
        <f t="shared" ca="1" si="7"/>
        <v>76915922.862531424</v>
      </c>
    </row>
    <row r="55" spans="1:28">
      <c r="A55" s="26">
        <f>'Monthly Data'!A55</f>
        <v>41426</v>
      </c>
      <c r="B55">
        <f t="shared" si="6"/>
        <v>2013</v>
      </c>
      <c r="C55">
        <f ca="1">'Monthly Data'!O55</f>
        <v>77950659.403683424</v>
      </c>
      <c r="D55">
        <f t="shared" ref="D55:E70" ca="1" si="8">D43</f>
        <v>9.08</v>
      </c>
      <c r="E55">
        <f t="shared" ca="1" si="8"/>
        <v>117.23999999999997</v>
      </c>
      <c r="F55">
        <f>'Monthly Data'!BL55</f>
        <v>586913</v>
      </c>
      <c r="G55">
        <f>'Monthly Data'!BM55</f>
        <v>54</v>
      </c>
      <c r="H55">
        <f>'Monthly Data'!BQ55</f>
        <v>0</v>
      </c>
      <c r="I55">
        <f>'Monthly Data'!BS55</f>
        <v>1</v>
      </c>
      <c r="J55">
        <f>'Monthly Data'!BU55</f>
        <v>0</v>
      </c>
      <c r="K55">
        <f>'Monthly Data'!BV55</f>
        <v>0</v>
      </c>
      <c r="L55">
        <f>'Monthly Data'!BW55</f>
        <v>0</v>
      </c>
      <c r="M55">
        <f>'Monthly Data'!CC55</f>
        <v>30</v>
      </c>
      <c r="N55">
        <f>'Monthly Data'!CD55</f>
        <v>20</v>
      </c>
      <c r="P55">
        <f>'GS &gt; 50 OLS Model'!$B$5</f>
        <v>-8508488.8174217809</v>
      </c>
      <c r="Q55" s="186">
        <f ca="1">'GS &gt; 50 OLS Model'!$B$6*D55</f>
        <v>220152.16994052666</v>
      </c>
      <c r="R55" s="186">
        <f ca="1">'GS &gt; 50 OLS Model'!$B$7*E55</f>
        <v>8369483.0481252121</v>
      </c>
      <c r="S55" s="186">
        <f>'GS &gt; 50 OLS Model'!$B$8*F55</f>
        <v>30733246.314797524</v>
      </c>
      <c r="T55" s="186">
        <v>0</v>
      </c>
      <c r="U55" s="186">
        <f>'GS &gt; 50 OLS Model'!$B$9*H55</f>
        <v>0</v>
      </c>
      <c r="V55" s="186">
        <f>'GS &gt; 50 OLS Model'!$B$10*I55</f>
        <v>1244451.2383117899</v>
      </c>
      <c r="W55" s="186">
        <f>'GS &gt; 50 OLS Model'!$B$11*J55</f>
        <v>0</v>
      </c>
      <c r="X55" s="186">
        <f>'GS &gt; 50 OLS Model'!$B$12*K55</f>
        <v>0</v>
      </c>
      <c r="Y55" s="186">
        <v>0</v>
      </c>
      <c r="Z55" s="186">
        <f>'GS &gt; 50 OLS Model'!$B$13*M55</f>
        <v>33551198.840181898</v>
      </c>
      <c r="AA55" s="186">
        <f>'GS &gt; 50 OLS Model'!$B$14*N55</f>
        <v>13083094.244134201</v>
      </c>
      <c r="AB55">
        <f t="shared" ca="1" si="7"/>
        <v>78693137.038069367</v>
      </c>
    </row>
    <row r="56" spans="1:28">
      <c r="A56" s="26">
        <f>'Monthly Data'!A56</f>
        <v>41456</v>
      </c>
      <c r="B56">
        <f t="shared" si="6"/>
        <v>2013</v>
      </c>
      <c r="C56">
        <f ca="1">'Monthly Data'!O56</f>
        <v>82611806.230879351</v>
      </c>
      <c r="D56">
        <f t="shared" ca="1" si="8"/>
        <v>0.51</v>
      </c>
      <c r="E56">
        <f t="shared" ca="1" si="8"/>
        <v>185.60999999999999</v>
      </c>
      <c r="F56">
        <f>'Monthly Data'!BL56</f>
        <v>586913</v>
      </c>
      <c r="G56">
        <f>'Monthly Data'!BM56</f>
        <v>55</v>
      </c>
      <c r="H56">
        <f>'Monthly Data'!BQ56</f>
        <v>0</v>
      </c>
      <c r="I56">
        <f>'Monthly Data'!BS56</f>
        <v>0</v>
      </c>
      <c r="J56">
        <f>'Monthly Data'!BU56</f>
        <v>0</v>
      </c>
      <c r="K56">
        <f>'Monthly Data'!BV56</f>
        <v>0</v>
      </c>
      <c r="L56">
        <f>'Monthly Data'!BW56</f>
        <v>0</v>
      </c>
      <c r="M56">
        <f>'Monthly Data'!CC56</f>
        <v>31</v>
      </c>
      <c r="N56">
        <f>'Monthly Data'!CD56</f>
        <v>22</v>
      </c>
      <c r="P56">
        <f>'GS &gt; 50 OLS Model'!$B$5</f>
        <v>-8508488.8174217809</v>
      </c>
      <c r="Q56" s="186">
        <f ca="1">'GS &gt; 50 OLS Model'!$B$6*D56</f>
        <v>12365.375183884205</v>
      </c>
      <c r="R56" s="186">
        <f ca="1">'GS &gt; 50 OLS Model'!$B$7*E56</f>
        <v>13250253.740724334</v>
      </c>
      <c r="S56" s="186">
        <f>'GS &gt; 50 OLS Model'!$B$8*F56</f>
        <v>30733246.314797524</v>
      </c>
      <c r="T56" s="186">
        <v>0</v>
      </c>
      <c r="U56" s="186">
        <f>'GS &gt; 50 OLS Model'!$B$9*H56</f>
        <v>0</v>
      </c>
      <c r="V56" s="186">
        <f>'GS &gt; 50 OLS Model'!$B$10*I56</f>
        <v>0</v>
      </c>
      <c r="W56" s="186">
        <f>'GS &gt; 50 OLS Model'!$B$11*J56</f>
        <v>0</v>
      </c>
      <c r="X56" s="186">
        <f>'GS &gt; 50 OLS Model'!$B$12*K56</f>
        <v>0</v>
      </c>
      <c r="Y56" s="186">
        <v>0</v>
      </c>
      <c r="Z56" s="186">
        <f>'GS &gt; 50 OLS Model'!$B$13*M56</f>
        <v>34669572.13485463</v>
      </c>
      <c r="AA56" s="186">
        <f>'GS &gt; 50 OLS Model'!$B$14*N56</f>
        <v>14391403.668547621</v>
      </c>
      <c r="AB56">
        <f t="shared" ca="1" si="7"/>
        <v>84548352.416686207</v>
      </c>
    </row>
    <row r="57" spans="1:28">
      <c r="A57" s="26">
        <f>'Monthly Data'!A57</f>
        <v>41487</v>
      </c>
      <c r="B57">
        <f t="shared" si="6"/>
        <v>2013</v>
      </c>
      <c r="C57">
        <f ca="1">'Monthly Data'!O57</f>
        <v>81402470.109881312</v>
      </c>
      <c r="D57">
        <f t="shared" ca="1" si="8"/>
        <v>1.51</v>
      </c>
      <c r="E57">
        <f t="shared" ca="1" si="8"/>
        <v>159.64000000000001</v>
      </c>
      <c r="F57">
        <f>'Monthly Data'!BL57</f>
        <v>586913</v>
      </c>
      <c r="G57">
        <f>'Monthly Data'!BM57</f>
        <v>56</v>
      </c>
      <c r="H57">
        <f>'Monthly Data'!BQ57</f>
        <v>0</v>
      </c>
      <c r="I57">
        <f>'Monthly Data'!BS57</f>
        <v>0</v>
      </c>
      <c r="J57">
        <f>'Monthly Data'!BU57</f>
        <v>1</v>
      </c>
      <c r="K57">
        <f>'Monthly Data'!BV57</f>
        <v>0</v>
      </c>
      <c r="L57">
        <f>'Monthly Data'!BW57</f>
        <v>0</v>
      </c>
      <c r="M57">
        <f>'Monthly Data'!CC57</f>
        <v>31</v>
      </c>
      <c r="N57">
        <f>'Monthly Data'!CD57</f>
        <v>21</v>
      </c>
      <c r="P57">
        <f>'GS &gt; 50 OLS Model'!$B$5</f>
        <v>-8508488.8174217809</v>
      </c>
      <c r="Q57" s="186">
        <f ca="1">'GS &gt; 50 OLS Model'!$B$6*D57</f>
        <v>36611.208877774807</v>
      </c>
      <c r="R57" s="186">
        <f ca="1">'GS &gt; 50 OLS Model'!$B$7*E57</f>
        <v>11396317.586171182</v>
      </c>
      <c r="S57" s="186">
        <f>'GS &gt; 50 OLS Model'!$B$8*F57</f>
        <v>30733246.314797524</v>
      </c>
      <c r="T57" s="186">
        <v>0</v>
      </c>
      <c r="U57" s="186">
        <f>'GS &gt; 50 OLS Model'!$B$9*H57</f>
        <v>0</v>
      </c>
      <c r="V57" s="186">
        <f>'GS &gt; 50 OLS Model'!$B$10*I57</f>
        <v>0</v>
      </c>
      <c r="W57" s="186">
        <f>'GS &gt; 50 OLS Model'!$B$11*J57</f>
        <v>2505717.0713192602</v>
      </c>
      <c r="X57" s="186">
        <f>'GS &gt; 50 OLS Model'!$B$12*K57</f>
        <v>0</v>
      </c>
      <c r="Y57" s="186">
        <v>0</v>
      </c>
      <c r="Z57" s="186">
        <f>'GS &gt; 50 OLS Model'!$B$13*M57</f>
        <v>34669572.13485463</v>
      </c>
      <c r="AA57" s="186">
        <f>'GS &gt; 50 OLS Model'!$B$14*N57</f>
        <v>13737248.956340911</v>
      </c>
      <c r="AB57">
        <f t="shared" ca="1" si="7"/>
        <v>84570224.454939499</v>
      </c>
    </row>
    <row r="58" spans="1:28">
      <c r="A58" s="26">
        <f>'Monthly Data'!A58</f>
        <v>41518</v>
      </c>
      <c r="B58">
        <f t="shared" si="6"/>
        <v>2013</v>
      </c>
      <c r="C58">
        <f ca="1">'Monthly Data'!O58</f>
        <v>76153505.586661026</v>
      </c>
      <c r="D58">
        <f t="shared" ca="1" si="8"/>
        <v>33.01</v>
      </c>
      <c r="E58">
        <f t="shared" ca="1" si="8"/>
        <v>72.989999999999981</v>
      </c>
      <c r="F58">
        <f>'Monthly Data'!BL58</f>
        <v>586913</v>
      </c>
      <c r="G58">
        <f>'Monthly Data'!BM58</f>
        <v>57</v>
      </c>
      <c r="H58">
        <f>'Monthly Data'!BQ58</f>
        <v>0</v>
      </c>
      <c r="I58">
        <f>'Monthly Data'!BS58</f>
        <v>0</v>
      </c>
      <c r="J58">
        <f>'Monthly Data'!BU58</f>
        <v>0</v>
      </c>
      <c r="K58">
        <f>'Monthly Data'!BV58</f>
        <v>1</v>
      </c>
      <c r="L58">
        <f>'Monthly Data'!BW58</f>
        <v>0</v>
      </c>
      <c r="M58">
        <f>'Monthly Data'!CC58</f>
        <v>30</v>
      </c>
      <c r="N58">
        <f>'Monthly Data'!CD58</f>
        <v>20</v>
      </c>
      <c r="P58">
        <f>'GS &gt; 50 OLS Model'!$B$5</f>
        <v>-8508488.8174217809</v>
      </c>
      <c r="Q58" s="186">
        <f ca="1">'GS &gt; 50 OLS Model'!$B$6*D58</f>
        <v>800354.97023532866</v>
      </c>
      <c r="R58" s="186">
        <f ca="1">'GS &gt; 50 OLS Model'!$B$7*E58</f>
        <v>5210581.4370748829</v>
      </c>
      <c r="S58" s="186">
        <f>'GS &gt; 50 OLS Model'!$B$8*F58</f>
        <v>30733246.314797524</v>
      </c>
      <c r="T58" s="186">
        <v>0</v>
      </c>
      <c r="U58" s="186">
        <f>'GS &gt; 50 OLS Model'!$B$9*H58</f>
        <v>0</v>
      </c>
      <c r="V58" s="186">
        <f>'GS &gt; 50 OLS Model'!$B$10*I58</f>
        <v>0</v>
      </c>
      <c r="W58" s="186">
        <f>'GS &gt; 50 OLS Model'!$B$11*J58</f>
        <v>0</v>
      </c>
      <c r="X58" s="186">
        <f>'GS &gt; 50 OLS Model'!$B$12*K58</f>
        <v>2345350.8919449002</v>
      </c>
      <c r="Y58" s="186">
        <v>0</v>
      </c>
      <c r="Z58" s="186">
        <f>'GS &gt; 50 OLS Model'!$B$13*M58</f>
        <v>33551198.840181898</v>
      </c>
      <c r="AA58" s="186">
        <f>'GS &gt; 50 OLS Model'!$B$14*N58</f>
        <v>13083094.244134201</v>
      </c>
      <c r="AB58">
        <f t="shared" ca="1" si="7"/>
        <v>77215337.880946949</v>
      </c>
    </row>
    <row r="59" spans="1:28">
      <c r="A59" s="26">
        <f>'Monthly Data'!A59</f>
        <v>41548</v>
      </c>
      <c r="B59">
        <f t="shared" si="6"/>
        <v>2013</v>
      </c>
      <c r="C59">
        <f ca="1">'Monthly Data'!O59</f>
        <v>77422083.680861652</v>
      </c>
      <c r="D59">
        <f t="shared" ca="1" si="8"/>
        <v>177.83999999999997</v>
      </c>
      <c r="E59">
        <f t="shared" ca="1" si="8"/>
        <v>10.779999999999998</v>
      </c>
      <c r="F59">
        <f>'Monthly Data'!BL59</f>
        <v>586913</v>
      </c>
      <c r="G59">
        <f>'Monthly Data'!BM59</f>
        <v>58</v>
      </c>
      <c r="H59">
        <f>'Monthly Data'!BQ59</f>
        <v>0</v>
      </c>
      <c r="I59">
        <f>'Monthly Data'!BS59</f>
        <v>0</v>
      </c>
      <c r="J59">
        <f>'Monthly Data'!BU59</f>
        <v>0</v>
      </c>
      <c r="K59">
        <f>'Monthly Data'!BV59</f>
        <v>0</v>
      </c>
      <c r="L59">
        <f>'Monthly Data'!BW59</f>
        <v>1</v>
      </c>
      <c r="M59">
        <f>'Monthly Data'!CC59</f>
        <v>31</v>
      </c>
      <c r="N59">
        <f>'Monthly Data'!CD59</f>
        <v>22</v>
      </c>
      <c r="P59">
        <f>'GS &gt; 50 OLS Model'!$B$5</f>
        <v>-8508488.8174217809</v>
      </c>
      <c r="Q59" s="186">
        <f ca="1">'GS &gt; 50 OLS Model'!$B$6*D59</f>
        <v>4311879.0641215034</v>
      </c>
      <c r="R59" s="186">
        <f ca="1">'GS &gt; 50 OLS Model'!$B$7*E59</f>
        <v>769558.40377678082</v>
      </c>
      <c r="S59" s="186">
        <f>'GS &gt; 50 OLS Model'!$B$8*F59</f>
        <v>30733246.314797524</v>
      </c>
      <c r="T59" s="186">
        <v>0</v>
      </c>
      <c r="U59" s="186">
        <f>'GS &gt; 50 OLS Model'!$B$9*H59</f>
        <v>0</v>
      </c>
      <c r="V59" s="186">
        <f>'GS &gt; 50 OLS Model'!$B$10*I59</f>
        <v>0</v>
      </c>
      <c r="W59" s="186">
        <f>'GS &gt; 50 OLS Model'!$B$11*J59</f>
        <v>0</v>
      </c>
      <c r="X59" s="186">
        <f>'GS &gt; 50 OLS Model'!$B$12*K59</f>
        <v>0</v>
      </c>
      <c r="Y59" s="186">
        <v>0</v>
      </c>
      <c r="Z59" s="186">
        <f>'GS &gt; 50 OLS Model'!$B$13*M59</f>
        <v>34669572.13485463</v>
      </c>
      <c r="AA59" s="186">
        <f>'GS &gt; 50 OLS Model'!$B$14*N59</f>
        <v>14391403.668547621</v>
      </c>
      <c r="AB59">
        <f t="shared" ca="1" si="7"/>
        <v>76367170.768676281</v>
      </c>
    </row>
    <row r="60" spans="1:28">
      <c r="A60" s="26">
        <f>'Monthly Data'!A60</f>
        <v>41579</v>
      </c>
      <c r="B60">
        <f t="shared" si="6"/>
        <v>2013</v>
      </c>
      <c r="C60">
        <f ca="1">'Monthly Data'!O60</f>
        <v>79988549.467103228</v>
      </c>
      <c r="D60">
        <f t="shared" ca="1" si="8"/>
        <v>361.94999999999993</v>
      </c>
      <c r="E60">
        <f t="shared" ca="1" si="8"/>
        <v>0.05</v>
      </c>
      <c r="F60">
        <f>'Monthly Data'!BL60</f>
        <v>586913</v>
      </c>
      <c r="G60">
        <f>'Monthly Data'!BM60</f>
        <v>59</v>
      </c>
      <c r="H60">
        <f>'Monthly Data'!BQ60</f>
        <v>0</v>
      </c>
      <c r="I60">
        <f>'Monthly Data'!BS60</f>
        <v>0</v>
      </c>
      <c r="J60">
        <f>'Monthly Data'!BU60</f>
        <v>0</v>
      </c>
      <c r="K60">
        <f>'Monthly Data'!BV60</f>
        <v>0</v>
      </c>
      <c r="L60">
        <f>'Monthly Data'!BW60</f>
        <v>0</v>
      </c>
      <c r="M60">
        <f>'Monthly Data'!CC60</f>
        <v>30</v>
      </c>
      <c r="N60">
        <f>'Monthly Data'!CD60</f>
        <v>21</v>
      </c>
      <c r="P60">
        <f>'GS &gt; 50 OLS Model'!$B$5</f>
        <v>-8508488.8174217809</v>
      </c>
      <c r="Q60" s="186">
        <f ca="1">'GS &gt; 50 OLS Model'!$B$6*D60</f>
        <v>8775779.505503701</v>
      </c>
      <c r="R60" s="186">
        <f ca="1">'GS &gt; 50 OLS Model'!$B$7*E60</f>
        <v>3569.3803514693</v>
      </c>
      <c r="S60" s="186">
        <f>'GS &gt; 50 OLS Model'!$B$8*F60</f>
        <v>30733246.314797524</v>
      </c>
      <c r="T60" s="186">
        <v>0</v>
      </c>
      <c r="U60" s="186">
        <f>'GS &gt; 50 OLS Model'!$B$9*H60</f>
        <v>0</v>
      </c>
      <c r="V60" s="186">
        <f>'GS &gt; 50 OLS Model'!$B$10*I60</f>
        <v>0</v>
      </c>
      <c r="W60" s="186">
        <f>'GS &gt; 50 OLS Model'!$B$11*J60</f>
        <v>0</v>
      </c>
      <c r="X60" s="186">
        <f>'GS &gt; 50 OLS Model'!$B$12*K60</f>
        <v>0</v>
      </c>
      <c r="Y60" s="186">
        <v>0</v>
      </c>
      <c r="Z60" s="186">
        <f>'GS &gt; 50 OLS Model'!$B$13*M60</f>
        <v>33551198.840181898</v>
      </c>
      <c r="AA60" s="186">
        <f>'GS &gt; 50 OLS Model'!$B$14*N60</f>
        <v>13737248.956340911</v>
      </c>
      <c r="AB60">
        <f t="shared" ca="1" si="7"/>
        <v>78292554.179753721</v>
      </c>
    </row>
    <row r="61" spans="1:28">
      <c r="A61" s="26">
        <f>'Monthly Data'!A61</f>
        <v>41609</v>
      </c>
      <c r="B61">
        <f t="shared" si="6"/>
        <v>2013</v>
      </c>
      <c r="C61">
        <f ca="1">'Monthly Data'!O61</f>
        <v>83719004.850571141</v>
      </c>
      <c r="D61">
        <f t="shared" ca="1" si="8"/>
        <v>556.41000000000008</v>
      </c>
      <c r="E61">
        <f t="shared" ca="1" si="8"/>
        <v>0</v>
      </c>
      <c r="F61">
        <f>'Monthly Data'!BL61</f>
        <v>586913</v>
      </c>
      <c r="G61">
        <f>'Monthly Data'!BM61</f>
        <v>60</v>
      </c>
      <c r="H61">
        <f>'Monthly Data'!BQ61</f>
        <v>0</v>
      </c>
      <c r="I61">
        <f>'Monthly Data'!BS61</f>
        <v>0</v>
      </c>
      <c r="J61">
        <f>'Monthly Data'!BU61</f>
        <v>0</v>
      </c>
      <c r="K61">
        <f>'Monthly Data'!BV61</f>
        <v>0</v>
      </c>
      <c r="L61">
        <f>'Monthly Data'!BW61</f>
        <v>0</v>
      </c>
      <c r="M61">
        <f>'Monthly Data'!CC61</f>
        <v>31</v>
      </c>
      <c r="N61">
        <f>'Monthly Data'!CD61</f>
        <v>20</v>
      </c>
      <c r="P61">
        <f>'GS &gt; 50 OLS Model'!$B$5</f>
        <v>-8508488.8174217809</v>
      </c>
      <c r="Q61" s="186">
        <f ca="1">'GS &gt; 50 OLS Model'!$B$6*D61</f>
        <v>13490624.325617671</v>
      </c>
      <c r="R61" s="186">
        <f ca="1">'GS &gt; 50 OLS Model'!$B$7*E61</f>
        <v>0</v>
      </c>
      <c r="S61" s="186">
        <f>'GS &gt; 50 OLS Model'!$B$8*F61</f>
        <v>30733246.314797524</v>
      </c>
      <c r="T61" s="186">
        <v>0</v>
      </c>
      <c r="U61" s="186">
        <f>'GS &gt; 50 OLS Model'!$B$9*H61</f>
        <v>0</v>
      </c>
      <c r="V61" s="186">
        <f>'GS &gt; 50 OLS Model'!$B$10*I61</f>
        <v>0</v>
      </c>
      <c r="W61" s="186">
        <f>'GS &gt; 50 OLS Model'!$B$11*J61</f>
        <v>0</v>
      </c>
      <c r="X61" s="186">
        <f>'GS &gt; 50 OLS Model'!$B$12*K61</f>
        <v>0</v>
      </c>
      <c r="Y61" s="186">
        <v>0</v>
      </c>
      <c r="Z61" s="186">
        <f>'GS &gt; 50 OLS Model'!$B$13*M61</f>
        <v>34669572.13485463</v>
      </c>
      <c r="AA61" s="186">
        <f>'GS &gt; 50 OLS Model'!$B$14*N61</f>
        <v>13083094.244134201</v>
      </c>
      <c r="AB61">
        <f t="shared" ca="1" si="7"/>
        <v>83468048.201982245</v>
      </c>
    </row>
    <row r="62" spans="1:28">
      <c r="A62" s="26">
        <f>'Monthly Data'!A62</f>
        <v>41640</v>
      </c>
      <c r="B62">
        <f t="shared" si="6"/>
        <v>2014</v>
      </c>
      <c r="C62">
        <f ca="1">'Monthly Data'!O62</f>
        <v>96510112.683375672</v>
      </c>
      <c r="D62">
        <f t="shared" ca="1" si="8"/>
        <v>659.42999999999984</v>
      </c>
      <c r="E62">
        <f t="shared" ca="1" si="8"/>
        <v>0</v>
      </c>
      <c r="F62">
        <f>'Monthly Data'!BL62</f>
        <v>601343.5</v>
      </c>
      <c r="G62">
        <f>'Monthly Data'!BM62</f>
        <v>61</v>
      </c>
      <c r="H62">
        <f>'Monthly Data'!BQ62</f>
        <v>0</v>
      </c>
      <c r="I62">
        <f>'Monthly Data'!BS62</f>
        <v>0</v>
      </c>
      <c r="J62">
        <f>'Monthly Data'!BU62</f>
        <v>0</v>
      </c>
      <c r="K62">
        <f>'Monthly Data'!BV62</f>
        <v>0</v>
      </c>
      <c r="L62">
        <f>'Monthly Data'!BW62</f>
        <v>0</v>
      </c>
      <c r="M62">
        <f>'Monthly Data'!CC62</f>
        <v>31</v>
      </c>
      <c r="N62">
        <f>'Monthly Data'!CD62</f>
        <v>22</v>
      </c>
      <c r="P62">
        <f>'GS &gt; 50 OLS Model'!$B$5</f>
        <v>-8508488.8174217809</v>
      </c>
      <c r="Q62" s="186">
        <f ca="1">'GS &gt; 50 OLS Model'!$B$6*D62</f>
        <v>15988430.112762274</v>
      </c>
      <c r="R62" s="186">
        <f ca="1">'GS &gt; 50 OLS Model'!$B$7*E62</f>
        <v>0</v>
      </c>
      <c r="S62" s="186">
        <f>'GS &gt; 50 OLS Model'!$B$8*F62</f>
        <v>31488888.311048564</v>
      </c>
      <c r="T62" s="186">
        <v>0</v>
      </c>
      <c r="U62" s="186">
        <f>'GS &gt; 50 OLS Model'!$B$9*H62</f>
        <v>0</v>
      </c>
      <c r="V62" s="186">
        <f>'GS &gt; 50 OLS Model'!$B$10*I62</f>
        <v>0</v>
      </c>
      <c r="W62" s="186">
        <f>'GS &gt; 50 OLS Model'!$B$11*J62</f>
        <v>0</v>
      </c>
      <c r="X62" s="186">
        <f>'GS &gt; 50 OLS Model'!$B$12*K62</f>
        <v>0</v>
      </c>
      <c r="Y62" s="186">
        <v>0</v>
      </c>
      <c r="Z62" s="186">
        <f>'GS &gt; 50 OLS Model'!$B$13*M62</f>
        <v>34669572.13485463</v>
      </c>
      <c r="AA62" s="186">
        <f>'GS &gt; 50 OLS Model'!$B$14*N62</f>
        <v>14391403.668547621</v>
      </c>
      <c r="AB62">
        <f t="shared" ca="1" si="7"/>
        <v>88029805.409791306</v>
      </c>
    </row>
    <row r="63" spans="1:28">
      <c r="A63" s="26">
        <f>'Monthly Data'!A63</f>
        <v>41671</v>
      </c>
      <c r="B63">
        <f t="shared" si="6"/>
        <v>2014</v>
      </c>
      <c r="C63">
        <f ca="1">'Monthly Data'!O63</f>
        <v>85964089.963368535</v>
      </c>
      <c r="D63">
        <f t="shared" ca="1" si="8"/>
        <v>571.77</v>
      </c>
      <c r="E63">
        <f t="shared" ca="1" si="8"/>
        <v>0</v>
      </c>
      <c r="F63">
        <f>'Monthly Data'!BL63</f>
        <v>601343.5</v>
      </c>
      <c r="G63">
        <f>'Monthly Data'!BM63</f>
        <v>62</v>
      </c>
      <c r="H63">
        <f>'Monthly Data'!BQ63</f>
        <v>0</v>
      </c>
      <c r="I63">
        <f>'Monthly Data'!BS63</f>
        <v>0</v>
      </c>
      <c r="J63">
        <f>'Monthly Data'!BU63</f>
        <v>0</v>
      </c>
      <c r="K63">
        <f>'Monthly Data'!BV63</f>
        <v>0</v>
      </c>
      <c r="L63">
        <f>'Monthly Data'!BW63</f>
        <v>0</v>
      </c>
      <c r="M63">
        <f>'Monthly Data'!CC63</f>
        <v>28</v>
      </c>
      <c r="N63">
        <f>'Monthly Data'!CD63</f>
        <v>19</v>
      </c>
      <c r="P63">
        <f>'GS &gt; 50 OLS Model'!$B$5</f>
        <v>-8508488.8174217809</v>
      </c>
      <c r="Q63" s="186">
        <f ca="1">'GS &gt; 50 OLS Model'!$B$6*D63</f>
        <v>13863040.331155827</v>
      </c>
      <c r="R63" s="186">
        <f ca="1">'GS &gt; 50 OLS Model'!$B$7*E63</f>
        <v>0</v>
      </c>
      <c r="S63" s="186">
        <f>'GS &gt; 50 OLS Model'!$B$8*F63</f>
        <v>31488888.311048564</v>
      </c>
      <c r="T63" s="186">
        <v>0</v>
      </c>
      <c r="U63" s="186">
        <f>'GS &gt; 50 OLS Model'!$B$9*H63</f>
        <v>0</v>
      </c>
      <c r="V63" s="186">
        <f>'GS &gt; 50 OLS Model'!$B$10*I63</f>
        <v>0</v>
      </c>
      <c r="W63" s="186">
        <f>'GS &gt; 50 OLS Model'!$B$11*J63</f>
        <v>0</v>
      </c>
      <c r="X63" s="186">
        <f>'GS &gt; 50 OLS Model'!$B$12*K63</f>
        <v>0</v>
      </c>
      <c r="Y63" s="186">
        <v>0</v>
      </c>
      <c r="Z63" s="186">
        <f>'GS &gt; 50 OLS Model'!$B$13*M63</f>
        <v>31314452.250836439</v>
      </c>
      <c r="AA63" s="186">
        <f>'GS &gt; 50 OLS Model'!$B$14*N63</f>
        <v>12428939.531927491</v>
      </c>
      <c r="AB63">
        <f t="shared" ca="1" si="7"/>
        <v>80586831.607546538</v>
      </c>
    </row>
    <row r="64" spans="1:28">
      <c r="A64" s="26">
        <f>'Monthly Data'!A64</f>
        <v>41699</v>
      </c>
      <c r="B64">
        <f t="shared" si="6"/>
        <v>2014</v>
      </c>
      <c r="C64">
        <f ca="1">'Monthly Data'!O64</f>
        <v>88422332.078679308</v>
      </c>
      <c r="D64">
        <f t="shared" ca="1" si="8"/>
        <v>456.53999999999996</v>
      </c>
      <c r="E64">
        <f t="shared" ca="1" si="8"/>
        <v>0.48</v>
      </c>
      <c r="F64">
        <f>'Monthly Data'!BL64</f>
        <v>601343.5</v>
      </c>
      <c r="G64">
        <f>'Monthly Data'!BM64</f>
        <v>63</v>
      </c>
      <c r="H64">
        <f>'Monthly Data'!BQ64</f>
        <v>0</v>
      </c>
      <c r="I64">
        <f>'Monthly Data'!BS64</f>
        <v>0</v>
      </c>
      <c r="J64">
        <f>'Monthly Data'!BU64</f>
        <v>0</v>
      </c>
      <c r="K64">
        <f>'Monthly Data'!BV64</f>
        <v>0</v>
      </c>
      <c r="L64">
        <f>'Monthly Data'!BW64</f>
        <v>0</v>
      </c>
      <c r="M64">
        <f>'Monthly Data'!CC64</f>
        <v>31</v>
      </c>
      <c r="N64">
        <f>'Monthly Data'!CD64</f>
        <v>21</v>
      </c>
      <c r="P64">
        <f>'GS &gt; 50 OLS Model'!$B$5</f>
        <v>-8508488.8174217809</v>
      </c>
      <c r="Q64" s="186">
        <f ca="1">'GS &gt; 50 OLS Model'!$B$6*D64</f>
        <v>11069192.914608814</v>
      </c>
      <c r="R64" s="186">
        <f ca="1">'GS &gt; 50 OLS Model'!$B$7*E64</f>
        <v>34266.051374105278</v>
      </c>
      <c r="S64" s="186">
        <f>'GS &gt; 50 OLS Model'!$B$8*F64</f>
        <v>31488888.311048564</v>
      </c>
      <c r="T64" s="186">
        <v>0</v>
      </c>
      <c r="U64" s="186">
        <f>'GS &gt; 50 OLS Model'!$B$9*H64</f>
        <v>0</v>
      </c>
      <c r="V64" s="186">
        <f>'GS &gt; 50 OLS Model'!$B$10*I64</f>
        <v>0</v>
      </c>
      <c r="W64" s="186">
        <f>'GS &gt; 50 OLS Model'!$B$11*J64</f>
        <v>0</v>
      </c>
      <c r="X64" s="186">
        <f>'GS &gt; 50 OLS Model'!$B$12*K64</f>
        <v>0</v>
      </c>
      <c r="Y64" s="186">
        <v>0</v>
      </c>
      <c r="Z64" s="186">
        <f>'GS &gt; 50 OLS Model'!$B$13*M64</f>
        <v>34669572.13485463</v>
      </c>
      <c r="AA64" s="186">
        <f>'GS &gt; 50 OLS Model'!$B$14*N64</f>
        <v>13737248.956340911</v>
      </c>
      <c r="AB64">
        <f t="shared" ca="1" si="7"/>
        <v>82490679.550805241</v>
      </c>
    </row>
    <row r="65" spans="1:28">
      <c r="A65" s="26">
        <f>'Monthly Data'!A65</f>
        <v>41730</v>
      </c>
      <c r="B65">
        <f t="shared" si="6"/>
        <v>2014</v>
      </c>
      <c r="C65">
        <f ca="1">'Monthly Data'!O65</f>
        <v>76199788.927618995</v>
      </c>
      <c r="D65">
        <f t="shared" ca="1" si="8"/>
        <v>248.54999999999995</v>
      </c>
      <c r="E65">
        <f t="shared" ca="1" si="8"/>
        <v>2.63</v>
      </c>
      <c r="F65">
        <f>'Monthly Data'!BL65</f>
        <v>601343.5</v>
      </c>
      <c r="G65">
        <f>'Monthly Data'!BM65</f>
        <v>64</v>
      </c>
      <c r="H65">
        <f>'Monthly Data'!BQ65</f>
        <v>1</v>
      </c>
      <c r="I65">
        <f>'Monthly Data'!BS65</f>
        <v>0</v>
      </c>
      <c r="J65">
        <f>'Monthly Data'!BU65</f>
        <v>0</v>
      </c>
      <c r="K65">
        <f>'Monthly Data'!BV65</f>
        <v>0</v>
      </c>
      <c r="L65">
        <f>'Monthly Data'!BW65</f>
        <v>0</v>
      </c>
      <c r="M65">
        <f>'Monthly Data'!CC65</f>
        <v>30</v>
      </c>
      <c r="N65">
        <f>'Monthly Data'!CD65</f>
        <v>20</v>
      </c>
      <c r="P65">
        <f>'GS &gt; 50 OLS Model'!$B$5</f>
        <v>-8508488.8174217809</v>
      </c>
      <c r="Q65" s="186">
        <f ca="1">'GS &gt; 50 OLS Model'!$B$6*D65</f>
        <v>6026301.9646165073</v>
      </c>
      <c r="R65" s="186">
        <f ca="1">'GS &gt; 50 OLS Model'!$B$7*E65</f>
        <v>187749.40648728516</v>
      </c>
      <c r="S65" s="186">
        <f>'GS &gt; 50 OLS Model'!$B$8*F65</f>
        <v>31488888.311048564</v>
      </c>
      <c r="T65" s="186">
        <v>0</v>
      </c>
      <c r="U65" s="186">
        <f>'GS &gt; 50 OLS Model'!$B$9*H65</f>
        <v>-1670359.8066300801</v>
      </c>
      <c r="V65" s="186">
        <f>'GS &gt; 50 OLS Model'!$B$10*I65</f>
        <v>0</v>
      </c>
      <c r="W65" s="186">
        <f>'GS &gt; 50 OLS Model'!$B$11*J65</f>
        <v>0</v>
      </c>
      <c r="X65" s="186">
        <f>'GS &gt; 50 OLS Model'!$B$12*K65</f>
        <v>0</v>
      </c>
      <c r="Y65" s="186">
        <v>0</v>
      </c>
      <c r="Z65" s="186">
        <f>'GS &gt; 50 OLS Model'!$B$13*M65</f>
        <v>33551198.840181898</v>
      </c>
      <c r="AA65" s="186">
        <f>'GS &gt; 50 OLS Model'!$B$14*N65</f>
        <v>13083094.244134201</v>
      </c>
      <c r="AB65">
        <f t="shared" ca="1" si="7"/>
        <v>74158384.142416596</v>
      </c>
    </row>
    <row r="66" spans="1:28">
      <c r="A66" s="26">
        <f>'Monthly Data'!A66</f>
        <v>41760</v>
      </c>
      <c r="B66">
        <f t="shared" si="6"/>
        <v>2014</v>
      </c>
      <c r="C66">
        <f ca="1">'Monthly Data'!O66</f>
        <v>78731314.204411477</v>
      </c>
      <c r="D66">
        <f t="shared" ca="1" si="8"/>
        <v>92.740000000000009</v>
      </c>
      <c r="E66">
        <f t="shared" ca="1" si="8"/>
        <v>47.37</v>
      </c>
      <c r="F66">
        <f>'Monthly Data'!BL66</f>
        <v>601343.5</v>
      </c>
      <c r="G66">
        <f>'Monthly Data'!BM66</f>
        <v>65</v>
      </c>
      <c r="H66">
        <f>'Monthly Data'!BQ66</f>
        <v>0</v>
      </c>
      <c r="I66">
        <f>'Monthly Data'!BS66</f>
        <v>0</v>
      </c>
      <c r="J66">
        <f>'Monthly Data'!BU66</f>
        <v>0</v>
      </c>
      <c r="K66">
        <f>'Monthly Data'!BV66</f>
        <v>0</v>
      </c>
      <c r="L66">
        <f>'Monthly Data'!BW66</f>
        <v>0</v>
      </c>
      <c r="M66">
        <f>'Monthly Data'!CC66</f>
        <v>31</v>
      </c>
      <c r="N66">
        <f>'Monthly Data'!CD66</f>
        <v>22</v>
      </c>
      <c r="P66">
        <f>'GS &gt; 50 OLS Model'!$B$5</f>
        <v>-8508488.8174217809</v>
      </c>
      <c r="Q66" s="186">
        <f ca="1">'GS &gt; 50 OLS Model'!$B$6*D66</f>
        <v>2248558.6167714144</v>
      </c>
      <c r="R66" s="186">
        <f ca="1">'GS &gt; 50 OLS Model'!$B$7*E66</f>
        <v>3381630.9449820146</v>
      </c>
      <c r="S66" s="186">
        <f>'GS &gt; 50 OLS Model'!$B$8*F66</f>
        <v>31488888.311048564</v>
      </c>
      <c r="T66" s="186">
        <v>0</v>
      </c>
      <c r="U66" s="186">
        <f>'GS &gt; 50 OLS Model'!$B$9*H66</f>
        <v>0</v>
      </c>
      <c r="V66" s="186">
        <f>'GS &gt; 50 OLS Model'!$B$10*I66</f>
        <v>0</v>
      </c>
      <c r="W66" s="186">
        <f>'GS &gt; 50 OLS Model'!$B$11*J66</f>
        <v>0</v>
      </c>
      <c r="X66" s="186">
        <f>'GS &gt; 50 OLS Model'!$B$12*K66</f>
        <v>0</v>
      </c>
      <c r="Y66" s="186">
        <v>0</v>
      </c>
      <c r="Z66" s="186">
        <f>'GS &gt; 50 OLS Model'!$B$13*M66</f>
        <v>34669572.13485463</v>
      </c>
      <c r="AA66" s="186">
        <f>'GS &gt; 50 OLS Model'!$B$14*N66</f>
        <v>14391403.668547621</v>
      </c>
      <c r="AB66">
        <f t="shared" ca="1" si="7"/>
        <v>77671564.858782455</v>
      </c>
    </row>
    <row r="67" spans="1:28">
      <c r="A67" s="26">
        <f>'Monthly Data'!A67</f>
        <v>41791</v>
      </c>
      <c r="B67">
        <f t="shared" si="6"/>
        <v>2014</v>
      </c>
      <c r="C67">
        <f ca="1">'Monthly Data'!O67</f>
        <v>82040736.439185008</v>
      </c>
      <c r="D67">
        <f t="shared" ca="1" si="8"/>
        <v>9.08</v>
      </c>
      <c r="E67">
        <f t="shared" ca="1" si="8"/>
        <v>117.23999999999997</v>
      </c>
      <c r="F67">
        <f>'Monthly Data'!BL67</f>
        <v>601343.5</v>
      </c>
      <c r="G67">
        <f>'Monthly Data'!BM67</f>
        <v>66</v>
      </c>
      <c r="H67">
        <f>'Monthly Data'!BQ67</f>
        <v>0</v>
      </c>
      <c r="I67">
        <f>'Monthly Data'!BS67</f>
        <v>1</v>
      </c>
      <c r="J67">
        <f>'Monthly Data'!BU67</f>
        <v>0</v>
      </c>
      <c r="K67">
        <f>'Monthly Data'!BV67</f>
        <v>0</v>
      </c>
      <c r="L67">
        <f>'Monthly Data'!BW67</f>
        <v>0</v>
      </c>
      <c r="M67">
        <f>'Monthly Data'!CC67</f>
        <v>30</v>
      </c>
      <c r="N67">
        <f>'Monthly Data'!CD67</f>
        <v>21</v>
      </c>
      <c r="P67">
        <f>'GS &gt; 50 OLS Model'!$B$5</f>
        <v>-8508488.8174217809</v>
      </c>
      <c r="Q67" s="186">
        <f ca="1">'GS &gt; 50 OLS Model'!$B$6*D67</f>
        <v>220152.16994052666</v>
      </c>
      <c r="R67" s="186">
        <f ca="1">'GS &gt; 50 OLS Model'!$B$7*E67</f>
        <v>8369483.0481252121</v>
      </c>
      <c r="S67" s="186">
        <f>'GS &gt; 50 OLS Model'!$B$8*F67</f>
        <v>31488888.311048564</v>
      </c>
      <c r="T67" s="186">
        <v>0</v>
      </c>
      <c r="U67" s="186">
        <f>'GS &gt; 50 OLS Model'!$B$9*H67</f>
        <v>0</v>
      </c>
      <c r="V67" s="186">
        <f>'GS &gt; 50 OLS Model'!$B$10*I67</f>
        <v>1244451.2383117899</v>
      </c>
      <c r="W67" s="186">
        <f>'GS &gt; 50 OLS Model'!$B$11*J67</f>
        <v>0</v>
      </c>
      <c r="X67" s="186">
        <f>'GS &gt; 50 OLS Model'!$B$12*K67</f>
        <v>0</v>
      </c>
      <c r="Y67" s="186">
        <v>0</v>
      </c>
      <c r="Z67" s="186">
        <f>'GS &gt; 50 OLS Model'!$B$13*M67</f>
        <v>33551198.840181898</v>
      </c>
      <c r="AA67" s="186">
        <f>'GS &gt; 50 OLS Model'!$B$14*N67</f>
        <v>13737248.956340911</v>
      </c>
      <c r="AB67">
        <f t="shared" ca="1" si="7"/>
        <v>80102933.74652712</v>
      </c>
    </row>
    <row r="68" spans="1:28">
      <c r="A68" s="26">
        <f>'Monthly Data'!A68</f>
        <v>41821</v>
      </c>
      <c r="B68">
        <f t="shared" si="6"/>
        <v>2014</v>
      </c>
      <c r="C68">
        <f ca="1">'Monthly Data'!O68</f>
        <v>83536033.436047852</v>
      </c>
      <c r="D68">
        <f t="shared" ca="1" si="8"/>
        <v>0.51</v>
      </c>
      <c r="E68">
        <f t="shared" ca="1" si="8"/>
        <v>185.60999999999999</v>
      </c>
      <c r="F68">
        <f>'Monthly Data'!BL68</f>
        <v>601343.5</v>
      </c>
      <c r="G68">
        <f>'Monthly Data'!BM68</f>
        <v>67</v>
      </c>
      <c r="H68">
        <f>'Monthly Data'!BQ68</f>
        <v>0</v>
      </c>
      <c r="I68">
        <f>'Monthly Data'!BS68</f>
        <v>0</v>
      </c>
      <c r="J68">
        <f>'Monthly Data'!BU68</f>
        <v>0</v>
      </c>
      <c r="K68">
        <f>'Monthly Data'!BV68</f>
        <v>0</v>
      </c>
      <c r="L68">
        <f>'Monthly Data'!BW68</f>
        <v>0</v>
      </c>
      <c r="M68">
        <f>'Monthly Data'!CC68</f>
        <v>31</v>
      </c>
      <c r="N68">
        <f>'Monthly Data'!CD68</f>
        <v>22</v>
      </c>
      <c r="P68">
        <f>'GS &gt; 50 OLS Model'!$B$5</f>
        <v>-8508488.8174217809</v>
      </c>
      <c r="Q68" s="186">
        <f ca="1">'GS &gt; 50 OLS Model'!$B$6*D68</f>
        <v>12365.375183884205</v>
      </c>
      <c r="R68" s="186">
        <f ca="1">'GS &gt; 50 OLS Model'!$B$7*E68</f>
        <v>13250253.740724334</v>
      </c>
      <c r="S68" s="186">
        <f>'GS &gt; 50 OLS Model'!$B$8*F68</f>
        <v>31488888.311048564</v>
      </c>
      <c r="T68" s="186">
        <v>0</v>
      </c>
      <c r="U68" s="186">
        <f>'GS &gt; 50 OLS Model'!$B$9*H68</f>
        <v>0</v>
      </c>
      <c r="V68" s="186">
        <f>'GS &gt; 50 OLS Model'!$B$10*I68</f>
        <v>0</v>
      </c>
      <c r="W68" s="186">
        <f>'GS &gt; 50 OLS Model'!$B$11*J68</f>
        <v>0</v>
      </c>
      <c r="X68" s="186">
        <f>'GS &gt; 50 OLS Model'!$B$12*K68</f>
        <v>0</v>
      </c>
      <c r="Y68" s="186">
        <v>0</v>
      </c>
      <c r="Z68" s="186">
        <f>'GS &gt; 50 OLS Model'!$B$13*M68</f>
        <v>34669572.13485463</v>
      </c>
      <c r="AA68" s="186">
        <f>'GS &gt; 50 OLS Model'!$B$14*N68</f>
        <v>14391403.668547621</v>
      </c>
      <c r="AB68">
        <f t="shared" ca="1" si="7"/>
        <v>85303994.412937239</v>
      </c>
    </row>
    <row r="69" spans="1:28">
      <c r="A69" s="26">
        <f>'Monthly Data'!A69</f>
        <v>41852</v>
      </c>
      <c r="B69">
        <f t="shared" si="6"/>
        <v>2014</v>
      </c>
      <c r="C69">
        <f ca="1">'Monthly Data'!O69</f>
        <v>82890715.101407543</v>
      </c>
      <c r="D69">
        <f t="shared" ca="1" si="8"/>
        <v>1.51</v>
      </c>
      <c r="E69">
        <f t="shared" ca="1" si="8"/>
        <v>159.64000000000001</v>
      </c>
      <c r="F69">
        <f>'Monthly Data'!BL69</f>
        <v>601343.5</v>
      </c>
      <c r="G69">
        <f>'Monthly Data'!BM69</f>
        <v>68</v>
      </c>
      <c r="H69">
        <f>'Monthly Data'!BQ69</f>
        <v>0</v>
      </c>
      <c r="I69">
        <f>'Monthly Data'!BS69</f>
        <v>0</v>
      </c>
      <c r="J69">
        <f>'Monthly Data'!BU69</f>
        <v>1</v>
      </c>
      <c r="K69">
        <f>'Monthly Data'!BV69</f>
        <v>0</v>
      </c>
      <c r="L69">
        <f>'Monthly Data'!BW69</f>
        <v>0</v>
      </c>
      <c r="M69">
        <f>'Monthly Data'!CC69</f>
        <v>31</v>
      </c>
      <c r="N69">
        <f>'Monthly Data'!CD69</f>
        <v>20</v>
      </c>
      <c r="P69">
        <f>'GS &gt; 50 OLS Model'!$B$5</f>
        <v>-8508488.8174217809</v>
      </c>
      <c r="Q69" s="186">
        <f ca="1">'GS &gt; 50 OLS Model'!$B$6*D69</f>
        <v>36611.208877774807</v>
      </c>
      <c r="R69" s="186">
        <f ca="1">'GS &gt; 50 OLS Model'!$B$7*E69</f>
        <v>11396317.586171182</v>
      </c>
      <c r="S69" s="186">
        <f>'GS &gt; 50 OLS Model'!$B$8*F69</f>
        <v>31488888.311048564</v>
      </c>
      <c r="T69" s="186">
        <v>0</v>
      </c>
      <c r="U69" s="186">
        <f>'GS &gt; 50 OLS Model'!$B$9*H69</f>
        <v>0</v>
      </c>
      <c r="V69" s="186">
        <f>'GS &gt; 50 OLS Model'!$B$10*I69</f>
        <v>0</v>
      </c>
      <c r="W69" s="186">
        <f>'GS &gt; 50 OLS Model'!$B$11*J69</f>
        <v>2505717.0713192602</v>
      </c>
      <c r="X69" s="186">
        <f>'GS &gt; 50 OLS Model'!$B$12*K69</f>
        <v>0</v>
      </c>
      <c r="Y69" s="186">
        <v>0</v>
      </c>
      <c r="Z69" s="186">
        <f>'GS &gt; 50 OLS Model'!$B$13*M69</f>
        <v>34669572.13485463</v>
      </c>
      <c r="AA69" s="186">
        <f>'GS &gt; 50 OLS Model'!$B$14*N69</f>
        <v>13083094.244134201</v>
      </c>
      <c r="AB69">
        <f t="shared" ca="1" si="7"/>
        <v>84671711.738983825</v>
      </c>
    </row>
    <row r="70" spans="1:28">
      <c r="A70" s="26">
        <f>'Monthly Data'!A70</f>
        <v>41883</v>
      </c>
      <c r="B70">
        <f t="shared" si="6"/>
        <v>2014</v>
      </c>
      <c r="C70">
        <f ca="1">'Monthly Data'!O70</f>
        <v>78138961.690904036</v>
      </c>
      <c r="D70">
        <f t="shared" ca="1" si="8"/>
        <v>33.01</v>
      </c>
      <c r="E70">
        <f t="shared" ca="1" si="8"/>
        <v>72.989999999999981</v>
      </c>
      <c r="F70">
        <f>'Monthly Data'!BL70</f>
        <v>601343.5</v>
      </c>
      <c r="G70">
        <f>'Monthly Data'!BM70</f>
        <v>69</v>
      </c>
      <c r="H70">
        <f>'Monthly Data'!BQ70</f>
        <v>0</v>
      </c>
      <c r="I70">
        <f>'Monthly Data'!BS70</f>
        <v>0</v>
      </c>
      <c r="J70">
        <f>'Monthly Data'!BU70</f>
        <v>0</v>
      </c>
      <c r="K70">
        <f>'Monthly Data'!BV70</f>
        <v>1</v>
      </c>
      <c r="L70">
        <f>'Monthly Data'!BW70</f>
        <v>0</v>
      </c>
      <c r="M70">
        <f>'Monthly Data'!CC70</f>
        <v>30</v>
      </c>
      <c r="N70">
        <f>'Monthly Data'!CD70</f>
        <v>21</v>
      </c>
      <c r="P70">
        <f>'GS &gt; 50 OLS Model'!$B$5</f>
        <v>-8508488.8174217809</v>
      </c>
      <c r="Q70" s="186">
        <f ca="1">'GS &gt; 50 OLS Model'!$B$6*D70</f>
        <v>800354.97023532866</v>
      </c>
      <c r="R70" s="186">
        <f ca="1">'GS &gt; 50 OLS Model'!$B$7*E70</f>
        <v>5210581.4370748829</v>
      </c>
      <c r="S70" s="186">
        <f>'GS &gt; 50 OLS Model'!$B$8*F70</f>
        <v>31488888.311048564</v>
      </c>
      <c r="T70" s="186">
        <v>0</v>
      </c>
      <c r="U70" s="186">
        <f>'GS &gt; 50 OLS Model'!$B$9*H70</f>
        <v>0</v>
      </c>
      <c r="V70" s="186">
        <f>'GS &gt; 50 OLS Model'!$B$10*I70</f>
        <v>0</v>
      </c>
      <c r="W70" s="186">
        <f>'GS &gt; 50 OLS Model'!$B$11*J70</f>
        <v>0</v>
      </c>
      <c r="X70" s="186">
        <f>'GS &gt; 50 OLS Model'!$B$12*K70</f>
        <v>2345350.8919449002</v>
      </c>
      <c r="Y70" s="186">
        <v>0</v>
      </c>
      <c r="Z70" s="186">
        <f>'GS &gt; 50 OLS Model'!$B$13*M70</f>
        <v>33551198.840181898</v>
      </c>
      <c r="AA70" s="186">
        <f>'GS &gt; 50 OLS Model'!$B$14*N70</f>
        <v>13737248.956340911</v>
      </c>
      <c r="AB70">
        <f t="shared" ca="1" si="7"/>
        <v>78625134.589404702</v>
      </c>
    </row>
    <row r="71" spans="1:28">
      <c r="A71" s="26">
        <f>'Monthly Data'!A71</f>
        <v>41913</v>
      </c>
      <c r="B71">
        <f t="shared" si="6"/>
        <v>2014</v>
      </c>
      <c r="C71">
        <f ca="1">'Monthly Data'!O71</f>
        <v>78077874.416335806</v>
      </c>
      <c r="D71">
        <f t="shared" ref="D71:E86" ca="1" si="9">D59</f>
        <v>177.83999999999997</v>
      </c>
      <c r="E71">
        <f t="shared" ca="1" si="9"/>
        <v>10.779999999999998</v>
      </c>
      <c r="F71">
        <f>'Monthly Data'!BL71</f>
        <v>601343.5</v>
      </c>
      <c r="G71">
        <f>'Monthly Data'!BM71</f>
        <v>70</v>
      </c>
      <c r="H71">
        <f>'Monthly Data'!BQ71</f>
        <v>0</v>
      </c>
      <c r="I71">
        <f>'Monthly Data'!BS71</f>
        <v>0</v>
      </c>
      <c r="J71">
        <f>'Monthly Data'!BU71</f>
        <v>0</v>
      </c>
      <c r="K71">
        <f>'Monthly Data'!BV71</f>
        <v>0</v>
      </c>
      <c r="L71">
        <f>'Monthly Data'!BW71</f>
        <v>1</v>
      </c>
      <c r="M71">
        <f>'Monthly Data'!CC71</f>
        <v>31</v>
      </c>
      <c r="N71">
        <f>'Monthly Data'!CD71</f>
        <v>22</v>
      </c>
      <c r="P71">
        <f>'GS &gt; 50 OLS Model'!$B$5</f>
        <v>-8508488.8174217809</v>
      </c>
      <c r="Q71" s="186">
        <f ca="1">'GS &gt; 50 OLS Model'!$B$6*D71</f>
        <v>4311879.0641215034</v>
      </c>
      <c r="R71" s="186">
        <f ca="1">'GS &gt; 50 OLS Model'!$B$7*E71</f>
        <v>769558.40377678082</v>
      </c>
      <c r="S71" s="186">
        <f>'GS &gt; 50 OLS Model'!$B$8*F71</f>
        <v>31488888.311048564</v>
      </c>
      <c r="T71" s="186">
        <v>0</v>
      </c>
      <c r="U71" s="186">
        <f>'GS &gt; 50 OLS Model'!$B$9*H71</f>
        <v>0</v>
      </c>
      <c r="V71" s="186">
        <f>'GS &gt; 50 OLS Model'!$B$10*I71</f>
        <v>0</v>
      </c>
      <c r="W71" s="186">
        <f>'GS &gt; 50 OLS Model'!$B$11*J71</f>
        <v>0</v>
      </c>
      <c r="X71" s="186">
        <f>'GS &gt; 50 OLS Model'!$B$12*K71</f>
        <v>0</v>
      </c>
      <c r="Y71" s="186">
        <v>0</v>
      </c>
      <c r="Z71" s="186">
        <f>'GS &gt; 50 OLS Model'!$B$13*M71</f>
        <v>34669572.13485463</v>
      </c>
      <c r="AA71" s="186">
        <f>'GS &gt; 50 OLS Model'!$B$14*N71</f>
        <v>14391403.668547621</v>
      </c>
      <c r="AB71">
        <f t="shared" ca="1" si="7"/>
        <v>77122812.764927313</v>
      </c>
    </row>
    <row r="72" spans="1:28">
      <c r="A72" s="26">
        <f>'Monthly Data'!A72</f>
        <v>41944</v>
      </c>
      <c r="B72">
        <f t="shared" si="6"/>
        <v>2014</v>
      </c>
      <c r="C72">
        <f ca="1">'Monthly Data'!O72</f>
        <v>81347157.776762664</v>
      </c>
      <c r="D72">
        <f t="shared" ca="1" si="9"/>
        <v>361.94999999999993</v>
      </c>
      <c r="E72">
        <f t="shared" ca="1" si="9"/>
        <v>0.05</v>
      </c>
      <c r="F72">
        <f>'Monthly Data'!BL72</f>
        <v>601343.5</v>
      </c>
      <c r="G72">
        <f>'Monthly Data'!BM72</f>
        <v>71</v>
      </c>
      <c r="H72">
        <f>'Monthly Data'!BQ72</f>
        <v>0</v>
      </c>
      <c r="I72">
        <f>'Monthly Data'!BS72</f>
        <v>0</v>
      </c>
      <c r="J72">
        <f>'Monthly Data'!BU72</f>
        <v>0</v>
      </c>
      <c r="K72">
        <f>'Monthly Data'!BV72</f>
        <v>0</v>
      </c>
      <c r="L72">
        <f>'Monthly Data'!BW72</f>
        <v>0</v>
      </c>
      <c r="M72">
        <f>'Monthly Data'!CC72</f>
        <v>30</v>
      </c>
      <c r="N72">
        <f>'Monthly Data'!CD72</f>
        <v>20</v>
      </c>
      <c r="P72">
        <f>'GS &gt; 50 OLS Model'!$B$5</f>
        <v>-8508488.8174217809</v>
      </c>
      <c r="Q72" s="186">
        <f ca="1">'GS &gt; 50 OLS Model'!$B$6*D72</f>
        <v>8775779.505503701</v>
      </c>
      <c r="R72" s="186">
        <f ca="1">'GS &gt; 50 OLS Model'!$B$7*E72</f>
        <v>3569.3803514693</v>
      </c>
      <c r="S72" s="186">
        <f>'GS &gt; 50 OLS Model'!$B$8*F72</f>
        <v>31488888.311048564</v>
      </c>
      <c r="T72" s="186">
        <v>0</v>
      </c>
      <c r="U72" s="186">
        <f>'GS &gt; 50 OLS Model'!$B$9*H72</f>
        <v>0</v>
      </c>
      <c r="V72" s="186">
        <f>'GS &gt; 50 OLS Model'!$B$10*I72</f>
        <v>0</v>
      </c>
      <c r="W72" s="186">
        <f>'GS &gt; 50 OLS Model'!$B$11*J72</f>
        <v>0</v>
      </c>
      <c r="X72" s="186">
        <f>'GS &gt; 50 OLS Model'!$B$12*K72</f>
        <v>0</v>
      </c>
      <c r="Y72" s="186">
        <v>0</v>
      </c>
      <c r="Z72" s="186">
        <f>'GS &gt; 50 OLS Model'!$B$13*M72</f>
        <v>33551198.840181898</v>
      </c>
      <c r="AA72" s="186">
        <f>'GS &gt; 50 OLS Model'!$B$14*N72</f>
        <v>13083094.244134201</v>
      </c>
      <c r="AB72">
        <f t="shared" ca="1" si="7"/>
        <v>78394041.463798046</v>
      </c>
    </row>
    <row r="73" spans="1:28">
      <c r="A73" s="26">
        <f>'Monthly Data'!A73</f>
        <v>41974</v>
      </c>
      <c r="B73">
        <f t="shared" si="6"/>
        <v>2014</v>
      </c>
      <c r="C73">
        <f ca="1">'Monthly Data'!O73</f>
        <v>84624117.962985575</v>
      </c>
      <c r="D73">
        <f t="shared" ca="1" si="9"/>
        <v>556.41000000000008</v>
      </c>
      <c r="E73">
        <f t="shared" ca="1" si="9"/>
        <v>0</v>
      </c>
      <c r="F73">
        <f>'Monthly Data'!BL73</f>
        <v>601343.5</v>
      </c>
      <c r="G73">
        <f>'Monthly Data'!BM73</f>
        <v>72</v>
      </c>
      <c r="H73">
        <f>'Monthly Data'!BQ73</f>
        <v>0</v>
      </c>
      <c r="I73">
        <f>'Monthly Data'!BS73</f>
        <v>0</v>
      </c>
      <c r="J73">
        <f>'Monthly Data'!BU73</f>
        <v>0</v>
      </c>
      <c r="K73">
        <f>'Monthly Data'!BV73</f>
        <v>0</v>
      </c>
      <c r="L73">
        <f>'Monthly Data'!BW73</f>
        <v>0</v>
      </c>
      <c r="M73">
        <f>'Monthly Data'!CC73</f>
        <v>31</v>
      </c>
      <c r="N73">
        <f>'Monthly Data'!CD73</f>
        <v>21</v>
      </c>
      <c r="P73">
        <f>'GS &gt; 50 OLS Model'!$B$5</f>
        <v>-8508488.8174217809</v>
      </c>
      <c r="Q73" s="186">
        <f ca="1">'GS &gt; 50 OLS Model'!$B$6*D73</f>
        <v>13490624.325617671</v>
      </c>
      <c r="R73" s="186">
        <f ca="1">'GS &gt; 50 OLS Model'!$B$7*E73</f>
        <v>0</v>
      </c>
      <c r="S73" s="186">
        <f>'GS &gt; 50 OLS Model'!$B$8*F73</f>
        <v>31488888.311048564</v>
      </c>
      <c r="T73" s="186">
        <v>0</v>
      </c>
      <c r="U73" s="186">
        <f>'GS &gt; 50 OLS Model'!$B$9*H73</f>
        <v>0</v>
      </c>
      <c r="V73" s="186">
        <f>'GS &gt; 50 OLS Model'!$B$10*I73</f>
        <v>0</v>
      </c>
      <c r="W73" s="186">
        <f>'GS &gt; 50 OLS Model'!$B$11*J73</f>
        <v>0</v>
      </c>
      <c r="X73" s="186">
        <f>'GS &gt; 50 OLS Model'!$B$12*K73</f>
        <v>0</v>
      </c>
      <c r="Y73" s="186">
        <v>0</v>
      </c>
      <c r="Z73" s="186">
        <f>'GS &gt; 50 OLS Model'!$B$13*M73</f>
        <v>34669572.13485463</v>
      </c>
      <c r="AA73" s="186">
        <f>'GS &gt; 50 OLS Model'!$B$14*N73</f>
        <v>13737248.956340911</v>
      </c>
      <c r="AB73">
        <f t="shared" ca="1" si="7"/>
        <v>84877844.910439998</v>
      </c>
    </row>
    <row r="74" spans="1:28">
      <c r="A74" s="26">
        <f>'Monthly Data'!A74</f>
        <v>42005</v>
      </c>
      <c r="B74">
        <f t="shared" si="6"/>
        <v>2015</v>
      </c>
      <c r="C74">
        <f ca="1">'Monthly Data'!O74</f>
        <v>91047914.988406837</v>
      </c>
      <c r="D74">
        <f t="shared" ca="1" si="9"/>
        <v>659.42999999999984</v>
      </c>
      <c r="E74">
        <f t="shared" ca="1" si="9"/>
        <v>0</v>
      </c>
      <c r="F74">
        <f>'Monthly Data'!BL74</f>
        <v>618051.4</v>
      </c>
      <c r="G74">
        <f>'Monthly Data'!BM74</f>
        <v>73</v>
      </c>
      <c r="H74">
        <f>'Monthly Data'!BQ74</f>
        <v>0</v>
      </c>
      <c r="I74">
        <f>'Monthly Data'!BS74</f>
        <v>0</v>
      </c>
      <c r="J74">
        <f>'Monthly Data'!BU74</f>
        <v>0</v>
      </c>
      <c r="K74">
        <f>'Monthly Data'!BV74</f>
        <v>0</v>
      </c>
      <c r="L74">
        <f>'Monthly Data'!BW74</f>
        <v>0</v>
      </c>
      <c r="M74">
        <f>'Monthly Data'!CC74</f>
        <v>31</v>
      </c>
      <c r="N74">
        <f>'Monthly Data'!CD74</f>
        <v>21</v>
      </c>
      <c r="P74">
        <f>'GS &gt; 50 OLS Model'!$B$5</f>
        <v>-8508488.8174217809</v>
      </c>
      <c r="Q74" s="186">
        <f ca="1">'GS &gt; 50 OLS Model'!$B$6*D74</f>
        <v>15988430.112762274</v>
      </c>
      <c r="R74" s="186">
        <f ca="1">'GS &gt; 50 OLS Model'!$B$7*E74</f>
        <v>0</v>
      </c>
      <c r="S74" s="186">
        <f>'GS &gt; 50 OLS Model'!$B$8*F74</f>
        <v>32363784.600793391</v>
      </c>
      <c r="T74" s="186">
        <v>0</v>
      </c>
      <c r="U74" s="186">
        <f>'GS &gt; 50 OLS Model'!$B$9*H74</f>
        <v>0</v>
      </c>
      <c r="V74" s="186">
        <f>'GS &gt; 50 OLS Model'!$B$10*I74</f>
        <v>0</v>
      </c>
      <c r="W74" s="186">
        <f>'GS &gt; 50 OLS Model'!$B$11*J74</f>
        <v>0</v>
      </c>
      <c r="X74" s="186">
        <f>'GS &gt; 50 OLS Model'!$B$12*K74</f>
        <v>0</v>
      </c>
      <c r="Y74" s="186">
        <v>0</v>
      </c>
      <c r="Z74" s="186">
        <f>'GS &gt; 50 OLS Model'!$B$13*M74</f>
        <v>34669572.13485463</v>
      </c>
      <c r="AA74" s="186">
        <f>'GS &gt; 50 OLS Model'!$B$14*N74</f>
        <v>13737248.956340911</v>
      </c>
      <c r="AB74">
        <f t="shared" ca="1" si="7"/>
        <v>88250546.987329423</v>
      </c>
    </row>
    <row r="75" spans="1:28">
      <c r="A75" s="26">
        <f>'Monthly Data'!A75</f>
        <v>42036</v>
      </c>
      <c r="B75">
        <f t="shared" si="6"/>
        <v>2015</v>
      </c>
      <c r="C75">
        <f ca="1">'Monthly Data'!O75</f>
        <v>84953121.000252485</v>
      </c>
      <c r="D75">
        <f t="shared" ca="1" si="9"/>
        <v>571.77</v>
      </c>
      <c r="E75">
        <f t="shared" ca="1" si="9"/>
        <v>0</v>
      </c>
      <c r="F75">
        <f>'Monthly Data'!BL75</f>
        <v>618051.4</v>
      </c>
      <c r="G75">
        <f>'Monthly Data'!BM75</f>
        <v>74</v>
      </c>
      <c r="H75">
        <f>'Monthly Data'!BQ75</f>
        <v>0</v>
      </c>
      <c r="I75">
        <f>'Monthly Data'!BS75</f>
        <v>0</v>
      </c>
      <c r="J75">
        <f>'Monthly Data'!BU75</f>
        <v>0</v>
      </c>
      <c r="K75">
        <f>'Monthly Data'!BV75</f>
        <v>0</v>
      </c>
      <c r="L75">
        <f>'Monthly Data'!BW75</f>
        <v>0</v>
      </c>
      <c r="M75">
        <f>'Monthly Data'!CC75</f>
        <v>28</v>
      </c>
      <c r="N75">
        <f>'Monthly Data'!CD75</f>
        <v>19</v>
      </c>
      <c r="P75">
        <f>'GS &gt; 50 OLS Model'!$B$5</f>
        <v>-8508488.8174217809</v>
      </c>
      <c r="Q75" s="186">
        <f ca="1">'GS &gt; 50 OLS Model'!$B$6*D75</f>
        <v>13863040.331155827</v>
      </c>
      <c r="R75" s="186">
        <f ca="1">'GS &gt; 50 OLS Model'!$B$7*E75</f>
        <v>0</v>
      </c>
      <c r="S75" s="186">
        <f>'GS &gt; 50 OLS Model'!$B$8*F75</f>
        <v>32363784.600793391</v>
      </c>
      <c r="T75" s="186">
        <v>0</v>
      </c>
      <c r="U75" s="186">
        <f>'GS &gt; 50 OLS Model'!$B$9*H75</f>
        <v>0</v>
      </c>
      <c r="V75" s="186">
        <f>'GS &gt; 50 OLS Model'!$B$10*I75</f>
        <v>0</v>
      </c>
      <c r="W75" s="186">
        <f>'GS &gt; 50 OLS Model'!$B$11*J75</f>
        <v>0</v>
      </c>
      <c r="X75" s="186">
        <f>'GS &gt; 50 OLS Model'!$B$12*K75</f>
        <v>0</v>
      </c>
      <c r="Y75" s="186">
        <v>0</v>
      </c>
      <c r="Z75" s="186">
        <f>'GS &gt; 50 OLS Model'!$B$13*M75</f>
        <v>31314452.250836439</v>
      </c>
      <c r="AA75" s="186">
        <f>'GS &gt; 50 OLS Model'!$B$14*N75</f>
        <v>12428939.531927491</v>
      </c>
      <c r="AB75">
        <f t="shared" ca="1" si="7"/>
        <v>81461727.897291362</v>
      </c>
    </row>
    <row r="76" spans="1:28">
      <c r="A76" s="26">
        <f>'Monthly Data'!A76</f>
        <v>42064</v>
      </c>
      <c r="B76">
        <f t="shared" si="6"/>
        <v>2015</v>
      </c>
      <c r="C76">
        <f ca="1">'Monthly Data'!O76</f>
        <v>85185196.803851202</v>
      </c>
      <c r="D76">
        <f t="shared" ca="1" si="9"/>
        <v>456.53999999999996</v>
      </c>
      <c r="E76">
        <f t="shared" ca="1" si="9"/>
        <v>0.48</v>
      </c>
      <c r="F76">
        <f>'Monthly Data'!BL76</f>
        <v>618051.4</v>
      </c>
      <c r="G76">
        <f>'Monthly Data'!BM76</f>
        <v>75</v>
      </c>
      <c r="H76">
        <f>'Monthly Data'!BQ76</f>
        <v>0</v>
      </c>
      <c r="I76">
        <f>'Monthly Data'!BS76</f>
        <v>0</v>
      </c>
      <c r="J76">
        <f>'Monthly Data'!BU76</f>
        <v>0</v>
      </c>
      <c r="K76">
        <f>'Monthly Data'!BV76</f>
        <v>0</v>
      </c>
      <c r="L76">
        <f>'Monthly Data'!BW76</f>
        <v>0</v>
      </c>
      <c r="M76">
        <f>'Monthly Data'!CC76</f>
        <v>31</v>
      </c>
      <c r="N76">
        <f>'Monthly Data'!CD76</f>
        <v>22</v>
      </c>
      <c r="P76">
        <f>'GS &gt; 50 OLS Model'!$B$5</f>
        <v>-8508488.8174217809</v>
      </c>
      <c r="Q76" s="186">
        <f ca="1">'GS &gt; 50 OLS Model'!$B$6*D76</f>
        <v>11069192.914608814</v>
      </c>
      <c r="R76" s="186">
        <f ca="1">'GS &gt; 50 OLS Model'!$B$7*E76</f>
        <v>34266.051374105278</v>
      </c>
      <c r="S76" s="186">
        <f>'GS &gt; 50 OLS Model'!$B$8*F76</f>
        <v>32363784.600793391</v>
      </c>
      <c r="T76" s="186">
        <v>0</v>
      </c>
      <c r="U76" s="186">
        <f>'GS &gt; 50 OLS Model'!$B$9*H76</f>
        <v>0</v>
      </c>
      <c r="V76" s="186">
        <f>'GS &gt; 50 OLS Model'!$B$10*I76</f>
        <v>0</v>
      </c>
      <c r="W76" s="186">
        <f>'GS &gt; 50 OLS Model'!$B$11*J76</f>
        <v>0</v>
      </c>
      <c r="X76" s="186">
        <f>'GS &gt; 50 OLS Model'!$B$12*K76</f>
        <v>0</v>
      </c>
      <c r="Y76" s="186">
        <v>0</v>
      </c>
      <c r="Z76" s="186">
        <f>'GS &gt; 50 OLS Model'!$B$13*M76</f>
        <v>34669572.13485463</v>
      </c>
      <c r="AA76" s="186">
        <f>'GS &gt; 50 OLS Model'!$B$14*N76</f>
        <v>14391403.668547621</v>
      </c>
      <c r="AB76">
        <f t="shared" ca="1" si="7"/>
        <v>84019730.552756771</v>
      </c>
    </row>
    <row r="77" spans="1:28">
      <c r="A77" s="26">
        <f>'Monthly Data'!A77</f>
        <v>42095</v>
      </c>
      <c r="B77">
        <f t="shared" si="6"/>
        <v>2015</v>
      </c>
      <c r="C77">
        <f ca="1">'Monthly Data'!O77</f>
        <v>74690896.334334388</v>
      </c>
      <c r="D77">
        <f t="shared" ca="1" si="9"/>
        <v>248.54999999999995</v>
      </c>
      <c r="E77">
        <f t="shared" ca="1" si="9"/>
        <v>2.63</v>
      </c>
      <c r="F77">
        <f>'Monthly Data'!BL77</f>
        <v>618051.4</v>
      </c>
      <c r="G77">
        <f>'Monthly Data'!BM77</f>
        <v>76</v>
      </c>
      <c r="H77">
        <f>'Monthly Data'!BQ77</f>
        <v>1</v>
      </c>
      <c r="I77">
        <f>'Monthly Data'!BS77</f>
        <v>0</v>
      </c>
      <c r="J77">
        <f>'Monthly Data'!BU77</f>
        <v>0</v>
      </c>
      <c r="K77">
        <f>'Monthly Data'!BV77</f>
        <v>0</v>
      </c>
      <c r="L77">
        <f>'Monthly Data'!BW77</f>
        <v>0</v>
      </c>
      <c r="M77">
        <f>'Monthly Data'!CC77</f>
        <v>30</v>
      </c>
      <c r="N77">
        <f>'Monthly Data'!CD77</f>
        <v>20</v>
      </c>
      <c r="P77">
        <f>'GS &gt; 50 OLS Model'!$B$5</f>
        <v>-8508488.8174217809</v>
      </c>
      <c r="Q77" s="186">
        <f ca="1">'GS &gt; 50 OLS Model'!$B$6*D77</f>
        <v>6026301.9646165073</v>
      </c>
      <c r="R77" s="186">
        <f ca="1">'GS &gt; 50 OLS Model'!$B$7*E77</f>
        <v>187749.40648728516</v>
      </c>
      <c r="S77" s="186">
        <f>'GS &gt; 50 OLS Model'!$B$8*F77</f>
        <v>32363784.600793391</v>
      </c>
      <c r="T77" s="186">
        <v>0</v>
      </c>
      <c r="U77" s="186">
        <f>'GS &gt; 50 OLS Model'!$B$9*H77</f>
        <v>-1670359.8066300801</v>
      </c>
      <c r="V77" s="186">
        <f>'GS &gt; 50 OLS Model'!$B$10*I77</f>
        <v>0</v>
      </c>
      <c r="W77" s="186">
        <f>'GS &gt; 50 OLS Model'!$B$11*J77</f>
        <v>0</v>
      </c>
      <c r="X77" s="186">
        <f>'GS &gt; 50 OLS Model'!$B$12*K77</f>
        <v>0</v>
      </c>
      <c r="Y77" s="186">
        <v>0</v>
      </c>
      <c r="Z77" s="186">
        <f>'GS &gt; 50 OLS Model'!$B$13*M77</f>
        <v>33551198.840181898</v>
      </c>
      <c r="AA77" s="186">
        <f>'GS &gt; 50 OLS Model'!$B$14*N77</f>
        <v>13083094.244134201</v>
      </c>
      <c r="AB77">
        <f t="shared" ca="1" si="7"/>
        <v>75033280.432161421</v>
      </c>
    </row>
    <row r="78" spans="1:28">
      <c r="A78" s="26">
        <f>'Monthly Data'!A78</f>
        <v>42125</v>
      </c>
      <c r="B78">
        <f t="shared" si="6"/>
        <v>2015</v>
      </c>
      <c r="C78">
        <f ca="1">'Monthly Data'!O78</f>
        <v>77420119.172960088</v>
      </c>
      <c r="D78">
        <f t="shared" ca="1" si="9"/>
        <v>92.740000000000009</v>
      </c>
      <c r="E78">
        <f t="shared" ca="1" si="9"/>
        <v>47.37</v>
      </c>
      <c r="F78">
        <f>'Monthly Data'!BL78</f>
        <v>618051.4</v>
      </c>
      <c r="G78">
        <f>'Monthly Data'!BM78</f>
        <v>77</v>
      </c>
      <c r="H78">
        <f>'Monthly Data'!BQ78</f>
        <v>0</v>
      </c>
      <c r="I78">
        <f>'Monthly Data'!BS78</f>
        <v>0</v>
      </c>
      <c r="J78">
        <f>'Monthly Data'!BU78</f>
        <v>0</v>
      </c>
      <c r="K78">
        <f>'Monthly Data'!BV78</f>
        <v>0</v>
      </c>
      <c r="L78">
        <f>'Monthly Data'!BW78</f>
        <v>0</v>
      </c>
      <c r="M78">
        <f>'Monthly Data'!CC78</f>
        <v>31</v>
      </c>
      <c r="N78">
        <f>'Monthly Data'!CD78</f>
        <v>20</v>
      </c>
      <c r="P78">
        <f>'GS &gt; 50 OLS Model'!$B$5</f>
        <v>-8508488.8174217809</v>
      </c>
      <c r="Q78" s="186">
        <f ca="1">'GS &gt; 50 OLS Model'!$B$6*D78</f>
        <v>2248558.6167714144</v>
      </c>
      <c r="R78" s="186">
        <f ca="1">'GS &gt; 50 OLS Model'!$B$7*E78</f>
        <v>3381630.9449820146</v>
      </c>
      <c r="S78" s="186">
        <f>'GS &gt; 50 OLS Model'!$B$8*F78</f>
        <v>32363784.600793391</v>
      </c>
      <c r="T78" s="186">
        <v>0</v>
      </c>
      <c r="U78" s="186">
        <f>'GS &gt; 50 OLS Model'!$B$9*H78</f>
        <v>0</v>
      </c>
      <c r="V78" s="186">
        <f>'GS &gt; 50 OLS Model'!$B$10*I78</f>
        <v>0</v>
      </c>
      <c r="W78" s="186">
        <f>'GS &gt; 50 OLS Model'!$B$11*J78</f>
        <v>0</v>
      </c>
      <c r="X78" s="186">
        <f>'GS &gt; 50 OLS Model'!$B$12*K78</f>
        <v>0</v>
      </c>
      <c r="Y78" s="186">
        <v>0</v>
      </c>
      <c r="Z78" s="186">
        <f>'GS &gt; 50 OLS Model'!$B$13*M78</f>
        <v>34669572.13485463</v>
      </c>
      <c r="AA78" s="186">
        <f>'GS &gt; 50 OLS Model'!$B$14*N78</f>
        <v>13083094.244134201</v>
      </c>
      <c r="AB78">
        <f t="shared" ca="1" si="7"/>
        <v>77238151.724113867</v>
      </c>
    </row>
    <row r="79" spans="1:28">
      <c r="A79" s="26">
        <f>'Monthly Data'!A79</f>
        <v>42156</v>
      </c>
      <c r="B79">
        <f t="shared" si="6"/>
        <v>2015</v>
      </c>
      <c r="C79">
        <f ca="1">'Monthly Data'!O79</f>
        <v>80301286.449218079</v>
      </c>
      <c r="D79">
        <f t="shared" ca="1" si="9"/>
        <v>9.08</v>
      </c>
      <c r="E79">
        <f t="shared" ca="1" si="9"/>
        <v>117.23999999999997</v>
      </c>
      <c r="F79">
        <f>'Monthly Data'!BL79</f>
        <v>618051.4</v>
      </c>
      <c r="G79">
        <f>'Monthly Data'!BM79</f>
        <v>78</v>
      </c>
      <c r="H79">
        <f>'Monthly Data'!BQ79</f>
        <v>0</v>
      </c>
      <c r="I79">
        <f>'Monthly Data'!BS79</f>
        <v>1</v>
      </c>
      <c r="J79">
        <f>'Monthly Data'!BU79</f>
        <v>0</v>
      </c>
      <c r="K79">
        <f>'Monthly Data'!BV79</f>
        <v>0</v>
      </c>
      <c r="L79">
        <f>'Monthly Data'!BW79</f>
        <v>0</v>
      </c>
      <c r="M79">
        <f>'Monthly Data'!CC79</f>
        <v>30</v>
      </c>
      <c r="N79">
        <f>'Monthly Data'!CD79</f>
        <v>22</v>
      </c>
      <c r="P79">
        <f>'GS &gt; 50 OLS Model'!$B$5</f>
        <v>-8508488.8174217809</v>
      </c>
      <c r="Q79" s="186">
        <f ca="1">'GS &gt; 50 OLS Model'!$B$6*D79</f>
        <v>220152.16994052666</v>
      </c>
      <c r="R79" s="186">
        <f ca="1">'GS &gt; 50 OLS Model'!$B$7*E79</f>
        <v>8369483.0481252121</v>
      </c>
      <c r="S79" s="186">
        <f>'GS &gt; 50 OLS Model'!$B$8*F79</f>
        <v>32363784.600793391</v>
      </c>
      <c r="T79" s="186">
        <v>0</v>
      </c>
      <c r="U79" s="186">
        <f>'GS &gt; 50 OLS Model'!$B$9*H79</f>
        <v>0</v>
      </c>
      <c r="V79" s="186">
        <f>'GS &gt; 50 OLS Model'!$B$10*I79</f>
        <v>1244451.2383117899</v>
      </c>
      <c r="W79" s="186">
        <f>'GS &gt; 50 OLS Model'!$B$11*J79</f>
        <v>0</v>
      </c>
      <c r="X79" s="186">
        <f>'GS &gt; 50 OLS Model'!$B$12*K79</f>
        <v>0</v>
      </c>
      <c r="Y79" s="186">
        <v>0</v>
      </c>
      <c r="Z79" s="186">
        <f>'GS &gt; 50 OLS Model'!$B$13*M79</f>
        <v>33551198.840181898</v>
      </c>
      <c r="AA79" s="186">
        <f>'GS &gt; 50 OLS Model'!$B$14*N79</f>
        <v>14391403.668547621</v>
      </c>
      <c r="AB79">
        <f t="shared" ca="1" si="7"/>
        <v>81631984.748478651</v>
      </c>
    </row>
    <row r="80" spans="1:28">
      <c r="A80" s="26">
        <f>'Monthly Data'!A80</f>
        <v>42186</v>
      </c>
      <c r="B80">
        <f t="shared" si="6"/>
        <v>2015</v>
      </c>
      <c r="C80">
        <f ca="1">'Monthly Data'!O80</f>
        <v>84741146.439340681</v>
      </c>
      <c r="D80">
        <f t="shared" ca="1" si="9"/>
        <v>0.51</v>
      </c>
      <c r="E80">
        <f t="shared" ca="1" si="9"/>
        <v>185.60999999999999</v>
      </c>
      <c r="F80">
        <f>'Monthly Data'!BL80</f>
        <v>618051.4</v>
      </c>
      <c r="G80">
        <f>'Monthly Data'!BM80</f>
        <v>79</v>
      </c>
      <c r="H80">
        <f>'Monthly Data'!BQ80</f>
        <v>0</v>
      </c>
      <c r="I80">
        <f>'Monthly Data'!BS80</f>
        <v>0</v>
      </c>
      <c r="J80">
        <f>'Monthly Data'!BU80</f>
        <v>0</v>
      </c>
      <c r="K80">
        <f>'Monthly Data'!BV80</f>
        <v>0</v>
      </c>
      <c r="L80">
        <f>'Monthly Data'!BW80</f>
        <v>0</v>
      </c>
      <c r="M80">
        <f>'Monthly Data'!CC80</f>
        <v>31</v>
      </c>
      <c r="N80">
        <f>'Monthly Data'!CD80</f>
        <v>22</v>
      </c>
      <c r="P80">
        <f>'GS &gt; 50 OLS Model'!$B$5</f>
        <v>-8508488.8174217809</v>
      </c>
      <c r="Q80" s="186">
        <f ca="1">'GS &gt; 50 OLS Model'!$B$6*D80</f>
        <v>12365.375183884205</v>
      </c>
      <c r="R80" s="186">
        <f ca="1">'GS &gt; 50 OLS Model'!$B$7*E80</f>
        <v>13250253.740724334</v>
      </c>
      <c r="S80" s="186">
        <f>'GS &gt; 50 OLS Model'!$B$8*F80</f>
        <v>32363784.600793391</v>
      </c>
      <c r="T80" s="186">
        <v>0</v>
      </c>
      <c r="U80" s="186">
        <f>'GS &gt; 50 OLS Model'!$B$9*H80</f>
        <v>0</v>
      </c>
      <c r="V80" s="186">
        <f>'GS &gt; 50 OLS Model'!$B$10*I80</f>
        <v>0</v>
      </c>
      <c r="W80" s="186">
        <f>'GS &gt; 50 OLS Model'!$B$11*J80</f>
        <v>0</v>
      </c>
      <c r="X80" s="186">
        <f>'GS &gt; 50 OLS Model'!$B$12*K80</f>
        <v>0</v>
      </c>
      <c r="Y80" s="186">
        <v>0</v>
      </c>
      <c r="Z80" s="186">
        <f>'GS &gt; 50 OLS Model'!$B$13*M80</f>
        <v>34669572.13485463</v>
      </c>
      <c r="AA80" s="186">
        <f>'GS &gt; 50 OLS Model'!$B$14*N80</f>
        <v>14391403.668547621</v>
      </c>
      <c r="AB80">
        <f t="shared" ca="1" si="7"/>
        <v>86178890.702682078</v>
      </c>
    </row>
    <row r="81" spans="1:28">
      <c r="A81" s="26">
        <f>'Monthly Data'!A81</f>
        <v>42217</v>
      </c>
      <c r="B81">
        <f t="shared" si="6"/>
        <v>2015</v>
      </c>
      <c r="C81">
        <f ca="1">'Monthly Data'!O81</f>
        <v>85831922.046712875</v>
      </c>
      <c r="D81">
        <f t="shared" ca="1" si="9"/>
        <v>1.51</v>
      </c>
      <c r="E81">
        <f t="shared" ca="1" si="9"/>
        <v>159.64000000000001</v>
      </c>
      <c r="F81">
        <f>'Monthly Data'!BL81</f>
        <v>618051.4</v>
      </c>
      <c r="G81">
        <f>'Monthly Data'!BM81</f>
        <v>80</v>
      </c>
      <c r="H81">
        <f>'Monthly Data'!BQ81</f>
        <v>0</v>
      </c>
      <c r="I81">
        <f>'Monthly Data'!BS81</f>
        <v>0</v>
      </c>
      <c r="J81">
        <f>'Monthly Data'!BU81</f>
        <v>1</v>
      </c>
      <c r="K81">
        <f>'Monthly Data'!BV81</f>
        <v>0</v>
      </c>
      <c r="L81">
        <f>'Monthly Data'!BW81</f>
        <v>0</v>
      </c>
      <c r="M81">
        <f>'Monthly Data'!CC81</f>
        <v>31</v>
      </c>
      <c r="N81">
        <f>'Monthly Data'!CD81</f>
        <v>20</v>
      </c>
      <c r="P81">
        <f>'GS &gt; 50 OLS Model'!$B$5</f>
        <v>-8508488.8174217809</v>
      </c>
      <c r="Q81" s="186">
        <f ca="1">'GS &gt; 50 OLS Model'!$B$6*D81</f>
        <v>36611.208877774807</v>
      </c>
      <c r="R81" s="186">
        <f ca="1">'GS &gt; 50 OLS Model'!$B$7*E81</f>
        <v>11396317.586171182</v>
      </c>
      <c r="S81" s="186">
        <f>'GS &gt; 50 OLS Model'!$B$8*F81</f>
        <v>32363784.600793391</v>
      </c>
      <c r="T81" s="186">
        <v>0</v>
      </c>
      <c r="U81" s="186">
        <f>'GS &gt; 50 OLS Model'!$B$9*H81</f>
        <v>0</v>
      </c>
      <c r="V81" s="186">
        <f>'GS &gt; 50 OLS Model'!$B$10*I81</f>
        <v>0</v>
      </c>
      <c r="W81" s="186">
        <f>'GS &gt; 50 OLS Model'!$B$11*J81</f>
        <v>2505717.0713192602</v>
      </c>
      <c r="X81" s="186">
        <f>'GS &gt; 50 OLS Model'!$B$12*K81</f>
        <v>0</v>
      </c>
      <c r="Y81" s="186">
        <v>0</v>
      </c>
      <c r="Z81" s="186">
        <f>'GS &gt; 50 OLS Model'!$B$13*M81</f>
        <v>34669572.13485463</v>
      </c>
      <c r="AA81" s="186">
        <f>'GS &gt; 50 OLS Model'!$B$14*N81</f>
        <v>13083094.244134201</v>
      </c>
      <c r="AB81">
        <f t="shared" ca="1" si="7"/>
        <v>85546608.028728649</v>
      </c>
    </row>
    <row r="82" spans="1:28">
      <c r="A82" s="26">
        <f>'Monthly Data'!A82</f>
        <v>42248</v>
      </c>
      <c r="B82">
        <f t="shared" si="6"/>
        <v>2015</v>
      </c>
      <c r="C82">
        <f ca="1">'Monthly Data'!O82</f>
        <v>81721577.513162851</v>
      </c>
      <c r="D82">
        <f t="shared" ca="1" si="9"/>
        <v>33.01</v>
      </c>
      <c r="E82">
        <f t="shared" ca="1" si="9"/>
        <v>72.989999999999981</v>
      </c>
      <c r="F82">
        <f>'Monthly Data'!BL82</f>
        <v>618051.4</v>
      </c>
      <c r="G82">
        <f>'Monthly Data'!BM82</f>
        <v>81</v>
      </c>
      <c r="H82">
        <f>'Monthly Data'!BQ82</f>
        <v>0</v>
      </c>
      <c r="I82">
        <f>'Monthly Data'!BS82</f>
        <v>0</v>
      </c>
      <c r="J82">
        <f>'Monthly Data'!BU82</f>
        <v>0</v>
      </c>
      <c r="K82">
        <f>'Monthly Data'!BV82</f>
        <v>1</v>
      </c>
      <c r="L82">
        <f>'Monthly Data'!BW82</f>
        <v>0</v>
      </c>
      <c r="M82">
        <f>'Monthly Data'!CC82</f>
        <v>30</v>
      </c>
      <c r="N82">
        <f>'Monthly Data'!CD82</f>
        <v>21</v>
      </c>
      <c r="P82">
        <f>'GS &gt; 50 OLS Model'!$B$5</f>
        <v>-8508488.8174217809</v>
      </c>
      <c r="Q82" s="186">
        <f ca="1">'GS &gt; 50 OLS Model'!$B$6*D82</f>
        <v>800354.97023532866</v>
      </c>
      <c r="R82" s="186">
        <f ca="1">'GS &gt; 50 OLS Model'!$B$7*E82</f>
        <v>5210581.4370748829</v>
      </c>
      <c r="S82" s="186">
        <f>'GS &gt; 50 OLS Model'!$B$8*F82</f>
        <v>32363784.600793391</v>
      </c>
      <c r="T82" s="186">
        <v>0</v>
      </c>
      <c r="U82" s="186">
        <f>'GS &gt; 50 OLS Model'!$B$9*H82</f>
        <v>0</v>
      </c>
      <c r="V82" s="186">
        <f>'GS &gt; 50 OLS Model'!$B$10*I82</f>
        <v>0</v>
      </c>
      <c r="W82" s="186">
        <f>'GS &gt; 50 OLS Model'!$B$11*J82</f>
        <v>0</v>
      </c>
      <c r="X82" s="186">
        <f>'GS &gt; 50 OLS Model'!$B$12*K82</f>
        <v>2345350.8919449002</v>
      </c>
      <c r="Y82" s="186">
        <v>0</v>
      </c>
      <c r="Z82" s="186">
        <f>'GS &gt; 50 OLS Model'!$B$13*M82</f>
        <v>33551198.840181898</v>
      </c>
      <c r="AA82" s="186">
        <f>'GS &gt; 50 OLS Model'!$B$14*N82</f>
        <v>13737248.956340911</v>
      </c>
      <c r="AB82">
        <f t="shared" ca="1" si="7"/>
        <v>79500030.879149526</v>
      </c>
    </row>
    <row r="83" spans="1:28">
      <c r="A83" s="26">
        <f>'Monthly Data'!A83</f>
        <v>42278</v>
      </c>
      <c r="B83">
        <f t="shared" si="6"/>
        <v>2015</v>
      </c>
      <c r="C83">
        <f ca="1">'Monthly Data'!O83</f>
        <v>77593220.91340512</v>
      </c>
      <c r="D83">
        <f t="shared" ca="1" si="9"/>
        <v>177.83999999999997</v>
      </c>
      <c r="E83">
        <f t="shared" ca="1" si="9"/>
        <v>10.779999999999998</v>
      </c>
      <c r="F83">
        <f>'Monthly Data'!BL83</f>
        <v>618051.4</v>
      </c>
      <c r="G83">
        <f>'Monthly Data'!BM83</f>
        <v>82</v>
      </c>
      <c r="H83">
        <f>'Monthly Data'!BQ83</f>
        <v>0</v>
      </c>
      <c r="I83">
        <f>'Monthly Data'!BS83</f>
        <v>0</v>
      </c>
      <c r="J83">
        <f>'Monthly Data'!BU83</f>
        <v>0</v>
      </c>
      <c r="K83">
        <f>'Monthly Data'!BV83</f>
        <v>0</v>
      </c>
      <c r="L83">
        <f>'Monthly Data'!BW83</f>
        <v>1</v>
      </c>
      <c r="M83">
        <f>'Monthly Data'!CC83</f>
        <v>31</v>
      </c>
      <c r="N83">
        <f>'Monthly Data'!CD83</f>
        <v>21</v>
      </c>
      <c r="P83">
        <f>'GS &gt; 50 OLS Model'!$B$5</f>
        <v>-8508488.8174217809</v>
      </c>
      <c r="Q83" s="186">
        <f ca="1">'GS &gt; 50 OLS Model'!$B$6*D83</f>
        <v>4311879.0641215034</v>
      </c>
      <c r="R83" s="186">
        <f ca="1">'GS &gt; 50 OLS Model'!$B$7*E83</f>
        <v>769558.40377678082</v>
      </c>
      <c r="S83" s="186">
        <f>'GS &gt; 50 OLS Model'!$B$8*F83</f>
        <v>32363784.600793391</v>
      </c>
      <c r="T83" s="186">
        <v>0</v>
      </c>
      <c r="U83" s="186">
        <f>'GS &gt; 50 OLS Model'!$B$9*H83</f>
        <v>0</v>
      </c>
      <c r="V83" s="186">
        <f>'GS &gt; 50 OLS Model'!$B$10*I83</f>
        <v>0</v>
      </c>
      <c r="W83" s="186">
        <f>'GS &gt; 50 OLS Model'!$B$11*J83</f>
        <v>0</v>
      </c>
      <c r="X83" s="186">
        <f>'GS &gt; 50 OLS Model'!$B$12*K83</f>
        <v>0</v>
      </c>
      <c r="Y83" s="186">
        <v>0</v>
      </c>
      <c r="Z83" s="186">
        <f>'GS &gt; 50 OLS Model'!$B$13*M83</f>
        <v>34669572.13485463</v>
      </c>
      <c r="AA83" s="186">
        <f>'GS &gt; 50 OLS Model'!$B$14*N83</f>
        <v>13737248.956340911</v>
      </c>
      <c r="AB83">
        <f t="shared" ca="1" si="7"/>
        <v>77343554.34246543</v>
      </c>
    </row>
    <row r="84" spans="1:28">
      <c r="A84" s="26">
        <f>'Monthly Data'!A84</f>
        <v>42309</v>
      </c>
      <c r="B84">
        <f t="shared" si="6"/>
        <v>2015</v>
      </c>
      <c r="C84">
        <f ca="1">'Monthly Data'!O84</f>
        <v>77813417.982195601</v>
      </c>
      <c r="D84">
        <f t="shared" ca="1" si="9"/>
        <v>361.94999999999993</v>
      </c>
      <c r="E84">
        <f t="shared" ca="1" si="9"/>
        <v>0.05</v>
      </c>
      <c r="F84">
        <f>'Monthly Data'!BL84</f>
        <v>618051.4</v>
      </c>
      <c r="G84">
        <f>'Monthly Data'!BM84</f>
        <v>83</v>
      </c>
      <c r="H84">
        <f>'Monthly Data'!BQ84</f>
        <v>0</v>
      </c>
      <c r="I84">
        <f>'Monthly Data'!BS84</f>
        <v>0</v>
      </c>
      <c r="J84">
        <f>'Monthly Data'!BU84</f>
        <v>0</v>
      </c>
      <c r="K84">
        <f>'Monthly Data'!BV84</f>
        <v>0</v>
      </c>
      <c r="L84">
        <f>'Monthly Data'!BW84</f>
        <v>0</v>
      </c>
      <c r="M84">
        <f>'Monthly Data'!CC84</f>
        <v>30</v>
      </c>
      <c r="N84">
        <f>'Monthly Data'!CD84</f>
        <v>21</v>
      </c>
      <c r="P84">
        <f>'GS &gt; 50 OLS Model'!$B$5</f>
        <v>-8508488.8174217809</v>
      </c>
      <c r="Q84" s="186">
        <f ca="1">'GS &gt; 50 OLS Model'!$B$6*D84</f>
        <v>8775779.505503701</v>
      </c>
      <c r="R84" s="186">
        <f ca="1">'GS &gt; 50 OLS Model'!$B$7*E84</f>
        <v>3569.3803514693</v>
      </c>
      <c r="S84" s="186">
        <f>'GS &gt; 50 OLS Model'!$B$8*F84</f>
        <v>32363784.600793391</v>
      </c>
      <c r="T84" s="186">
        <v>0</v>
      </c>
      <c r="U84" s="186">
        <f>'GS &gt; 50 OLS Model'!$B$9*H84</f>
        <v>0</v>
      </c>
      <c r="V84" s="186">
        <f>'GS &gt; 50 OLS Model'!$B$10*I84</f>
        <v>0</v>
      </c>
      <c r="W84" s="186">
        <f>'GS &gt; 50 OLS Model'!$B$11*J84</f>
        <v>0</v>
      </c>
      <c r="X84" s="186">
        <f>'GS &gt; 50 OLS Model'!$B$12*K84</f>
        <v>0</v>
      </c>
      <c r="Y84" s="186">
        <v>0</v>
      </c>
      <c r="Z84" s="186">
        <f>'GS &gt; 50 OLS Model'!$B$13*M84</f>
        <v>33551198.840181898</v>
      </c>
      <c r="AA84" s="186">
        <f>'GS &gt; 50 OLS Model'!$B$14*N84</f>
        <v>13737248.956340911</v>
      </c>
      <c r="AB84">
        <f t="shared" ca="1" si="7"/>
        <v>79923092.465749592</v>
      </c>
    </row>
    <row r="85" spans="1:28">
      <c r="A85" s="26">
        <f>'Monthly Data'!A85</f>
        <v>42339</v>
      </c>
      <c r="B85">
        <f t="shared" si="6"/>
        <v>2015</v>
      </c>
      <c r="C85">
        <f ca="1">'Monthly Data'!O85</f>
        <v>79732634.01091066</v>
      </c>
      <c r="D85">
        <f t="shared" ca="1" si="9"/>
        <v>556.41000000000008</v>
      </c>
      <c r="E85">
        <f t="shared" ca="1" si="9"/>
        <v>0</v>
      </c>
      <c r="F85">
        <f>'Monthly Data'!BL85</f>
        <v>618051.4</v>
      </c>
      <c r="G85">
        <f>'Monthly Data'!BM85</f>
        <v>84</v>
      </c>
      <c r="H85">
        <f>'Monthly Data'!BQ85</f>
        <v>0</v>
      </c>
      <c r="I85">
        <f>'Monthly Data'!BS85</f>
        <v>0</v>
      </c>
      <c r="J85">
        <f>'Monthly Data'!BU85</f>
        <v>0</v>
      </c>
      <c r="K85">
        <f>'Monthly Data'!BV85</f>
        <v>0</v>
      </c>
      <c r="L85">
        <f>'Monthly Data'!BW85</f>
        <v>0</v>
      </c>
      <c r="M85">
        <f>'Monthly Data'!CC85</f>
        <v>31</v>
      </c>
      <c r="N85">
        <f>'Monthly Data'!CD85</f>
        <v>21</v>
      </c>
      <c r="P85">
        <f>'GS &gt; 50 OLS Model'!$B$5</f>
        <v>-8508488.8174217809</v>
      </c>
      <c r="Q85" s="186">
        <f ca="1">'GS &gt; 50 OLS Model'!$B$6*D85</f>
        <v>13490624.325617671</v>
      </c>
      <c r="R85" s="186">
        <f ca="1">'GS &gt; 50 OLS Model'!$B$7*E85</f>
        <v>0</v>
      </c>
      <c r="S85" s="186">
        <f>'GS &gt; 50 OLS Model'!$B$8*F85</f>
        <v>32363784.600793391</v>
      </c>
      <c r="T85" s="186">
        <v>0</v>
      </c>
      <c r="U85" s="186">
        <f>'GS &gt; 50 OLS Model'!$B$9*H85</f>
        <v>0</v>
      </c>
      <c r="V85" s="186">
        <f>'GS &gt; 50 OLS Model'!$B$10*I85</f>
        <v>0</v>
      </c>
      <c r="W85" s="186">
        <f>'GS &gt; 50 OLS Model'!$B$11*J85</f>
        <v>0</v>
      </c>
      <c r="X85" s="186">
        <f>'GS &gt; 50 OLS Model'!$B$12*K85</f>
        <v>0</v>
      </c>
      <c r="Y85" s="186">
        <v>0</v>
      </c>
      <c r="Z85" s="186">
        <f>'GS &gt; 50 OLS Model'!$B$13*M85</f>
        <v>34669572.13485463</v>
      </c>
      <c r="AA85" s="186">
        <f>'GS &gt; 50 OLS Model'!$B$14*N85</f>
        <v>13737248.956340911</v>
      </c>
      <c r="AB85">
        <f t="shared" ca="1" si="7"/>
        <v>85752741.200184822</v>
      </c>
    </row>
    <row r="86" spans="1:28">
      <c r="A86" s="26">
        <f>'Monthly Data'!A86</f>
        <v>42370</v>
      </c>
      <c r="B86">
        <f t="shared" si="6"/>
        <v>2016</v>
      </c>
      <c r="C86">
        <f ca="1">'Monthly Data'!O86</f>
        <v>87340715.811404184</v>
      </c>
      <c r="D86">
        <f t="shared" ca="1" si="9"/>
        <v>659.42999999999984</v>
      </c>
      <c r="E86">
        <f t="shared" ca="1" si="9"/>
        <v>0</v>
      </c>
      <c r="F86">
        <f>'Monthly Data'!BL86</f>
        <v>634257.80000000005</v>
      </c>
      <c r="G86">
        <f>'Monthly Data'!BM86</f>
        <v>85</v>
      </c>
      <c r="H86">
        <f>'Monthly Data'!BQ86</f>
        <v>0</v>
      </c>
      <c r="I86">
        <f>'Monthly Data'!BS86</f>
        <v>0</v>
      </c>
      <c r="J86">
        <f>'Monthly Data'!BU86</f>
        <v>0</v>
      </c>
      <c r="K86">
        <f>'Monthly Data'!BV86</f>
        <v>0</v>
      </c>
      <c r="L86">
        <f>'Monthly Data'!BW86</f>
        <v>0</v>
      </c>
      <c r="M86">
        <f>'Monthly Data'!CC86</f>
        <v>31</v>
      </c>
      <c r="N86">
        <f>'Monthly Data'!CD86</f>
        <v>20</v>
      </c>
      <c r="P86">
        <f>'GS &gt; 50 OLS Model'!$B$5</f>
        <v>-8508488.8174217809</v>
      </c>
      <c r="Q86" s="186">
        <f ca="1">'GS &gt; 50 OLS Model'!$B$6*D86</f>
        <v>15988430.112762274</v>
      </c>
      <c r="R86" s="186">
        <f ca="1">'GS &gt; 50 OLS Model'!$B$7*E86</f>
        <v>0</v>
      </c>
      <c r="S86" s="186">
        <f>'GS &gt; 50 OLS Model'!$B$8*F86</f>
        <v>33212420.230053835</v>
      </c>
      <c r="T86" s="186">
        <v>0</v>
      </c>
      <c r="U86" s="186">
        <f>'GS &gt; 50 OLS Model'!$B$9*H86</f>
        <v>0</v>
      </c>
      <c r="V86" s="186">
        <f>'GS &gt; 50 OLS Model'!$B$10*I86</f>
        <v>0</v>
      </c>
      <c r="W86" s="186">
        <f>'GS &gt; 50 OLS Model'!$B$11*J86</f>
        <v>0</v>
      </c>
      <c r="X86" s="186">
        <f>'GS &gt; 50 OLS Model'!$B$12*K86</f>
        <v>0</v>
      </c>
      <c r="Y86" s="186">
        <v>0</v>
      </c>
      <c r="Z86" s="186">
        <f>'GS &gt; 50 OLS Model'!$B$13*M86</f>
        <v>34669572.13485463</v>
      </c>
      <c r="AA86" s="186">
        <f>'GS &gt; 50 OLS Model'!$B$14*N86</f>
        <v>13083094.244134201</v>
      </c>
      <c r="AB86">
        <f t="shared" ca="1" si="7"/>
        <v>88445027.904383168</v>
      </c>
    </row>
    <row r="87" spans="1:28">
      <c r="A87" s="26">
        <f>'Monthly Data'!A87</f>
        <v>42401</v>
      </c>
      <c r="B87">
        <f t="shared" si="6"/>
        <v>2016</v>
      </c>
      <c r="C87">
        <f ca="1">'Monthly Data'!O87</f>
        <v>83154848.343503043</v>
      </c>
      <c r="D87">
        <f t="shared" ref="D87:E102" ca="1" si="10">D75</f>
        <v>571.77</v>
      </c>
      <c r="E87">
        <f t="shared" ca="1" si="10"/>
        <v>0</v>
      </c>
      <c r="F87">
        <f>'Monthly Data'!BL87</f>
        <v>634257.80000000005</v>
      </c>
      <c r="G87">
        <f>'Monthly Data'!BM87</f>
        <v>86</v>
      </c>
      <c r="H87">
        <f>'Monthly Data'!BQ87</f>
        <v>0</v>
      </c>
      <c r="I87">
        <f>'Monthly Data'!BS87</f>
        <v>0</v>
      </c>
      <c r="J87">
        <f>'Monthly Data'!BU87</f>
        <v>0</v>
      </c>
      <c r="K87">
        <f>'Monthly Data'!BV87</f>
        <v>0</v>
      </c>
      <c r="L87">
        <f>'Monthly Data'!BW87</f>
        <v>0</v>
      </c>
      <c r="M87">
        <f>'Monthly Data'!CC87</f>
        <v>29</v>
      </c>
      <c r="N87">
        <f>'Monthly Data'!CD87</f>
        <v>20</v>
      </c>
      <c r="P87">
        <f>'GS &gt; 50 OLS Model'!$B$5</f>
        <v>-8508488.8174217809</v>
      </c>
      <c r="Q87" s="186">
        <f ca="1">'GS &gt; 50 OLS Model'!$B$6*D87</f>
        <v>13863040.331155827</v>
      </c>
      <c r="R87" s="186">
        <f ca="1">'GS &gt; 50 OLS Model'!$B$7*E87</f>
        <v>0</v>
      </c>
      <c r="S87" s="186">
        <f>'GS &gt; 50 OLS Model'!$B$8*F87</f>
        <v>33212420.230053835</v>
      </c>
      <c r="T87" s="186">
        <v>0</v>
      </c>
      <c r="U87" s="186">
        <f>'GS &gt; 50 OLS Model'!$B$9*H87</f>
        <v>0</v>
      </c>
      <c r="V87" s="186">
        <f>'GS &gt; 50 OLS Model'!$B$10*I87</f>
        <v>0</v>
      </c>
      <c r="W87" s="186">
        <f>'GS &gt; 50 OLS Model'!$B$11*J87</f>
        <v>0</v>
      </c>
      <c r="X87" s="186">
        <f>'GS &gt; 50 OLS Model'!$B$12*K87</f>
        <v>0</v>
      </c>
      <c r="Y87" s="186">
        <v>0</v>
      </c>
      <c r="Z87" s="186">
        <f>'GS &gt; 50 OLS Model'!$B$13*M87</f>
        <v>32432825.545509167</v>
      </c>
      <c r="AA87" s="186">
        <f>'GS &gt; 50 OLS Model'!$B$14*N87</f>
        <v>13083094.244134201</v>
      </c>
      <c r="AB87">
        <f t="shared" ca="1" si="7"/>
        <v>84082891.533431247</v>
      </c>
    </row>
    <row r="88" spans="1:28">
      <c r="A88" s="26">
        <f>'Monthly Data'!A88</f>
        <v>42430</v>
      </c>
      <c r="B88">
        <f t="shared" si="6"/>
        <v>2016</v>
      </c>
      <c r="C88">
        <f ca="1">'Monthly Data'!O88</f>
        <v>82620214.015487328</v>
      </c>
      <c r="D88">
        <f t="shared" ca="1" si="10"/>
        <v>456.53999999999996</v>
      </c>
      <c r="E88">
        <f t="shared" ca="1" si="10"/>
        <v>0.48</v>
      </c>
      <c r="F88">
        <f>'Monthly Data'!BL88</f>
        <v>634257.80000000005</v>
      </c>
      <c r="G88">
        <f>'Monthly Data'!BM88</f>
        <v>87</v>
      </c>
      <c r="H88">
        <f>'Monthly Data'!BQ88</f>
        <v>0</v>
      </c>
      <c r="I88">
        <f>'Monthly Data'!BS88</f>
        <v>0</v>
      </c>
      <c r="J88">
        <f>'Monthly Data'!BU88</f>
        <v>0</v>
      </c>
      <c r="K88">
        <f>'Monthly Data'!BV88</f>
        <v>0</v>
      </c>
      <c r="L88">
        <f>'Monthly Data'!BW88</f>
        <v>0</v>
      </c>
      <c r="M88">
        <f>'Monthly Data'!CC88</f>
        <v>31</v>
      </c>
      <c r="N88">
        <f>'Monthly Data'!CD88</f>
        <v>21</v>
      </c>
      <c r="P88">
        <f>'GS &gt; 50 OLS Model'!$B$5</f>
        <v>-8508488.8174217809</v>
      </c>
      <c r="Q88" s="186">
        <f ca="1">'GS &gt; 50 OLS Model'!$B$6*D88</f>
        <v>11069192.914608814</v>
      </c>
      <c r="R88" s="186">
        <f ca="1">'GS &gt; 50 OLS Model'!$B$7*E88</f>
        <v>34266.051374105278</v>
      </c>
      <c r="S88" s="186">
        <f>'GS &gt; 50 OLS Model'!$B$8*F88</f>
        <v>33212420.230053835</v>
      </c>
      <c r="T88" s="186">
        <v>0</v>
      </c>
      <c r="U88" s="186">
        <f>'GS &gt; 50 OLS Model'!$B$9*H88</f>
        <v>0</v>
      </c>
      <c r="V88" s="186">
        <f>'GS &gt; 50 OLS Model'!$B$10*I88</f>
        <v>0</v>
      </c>
      <c r="W88" s="186">
        <f>'GS &gt; 50 OLS Model'!$B$11*J88</f>
        <v>0</v>
      </c>
      <c r="X88" s="186">
        <f>'GS &gt; 50 OLS Model'!$B$12*K88</f>
        <v>0</v>
      </c>
      <c r="Y88" s="186">
        <v>0</v>
      </c>
      <c r="Z88" s="186">
        <f>'GS &gt; 50 OLS Model'!$B$13*M88</f>
        <v>34669572.13485463</v>
      </c>
      <c r="AA88" s="186">
        <f>'GS &gt; 50 OLS Model'!$B$14*N88</f>
        <v>13737248.956340911</v>
      </c>
      <c r="AB88">
        <f t="shared" ca="1" si="7"/>
        <v>84214211.469810516</v>
      </c>
    </row>
    <row r="89" spans="1:28">
      <c r="A89" s="26">
        <f>'Monthly Data'!A89</f>
        <v>42461</v>
      </c>
      <c r="B89">
        <f t="shared" si="6"/>
        <v>2016</v>
      </c>
      <c r="C89">
        <f ca="1">'Monthly Data'!O89</f>
        <v>76969494.488034636</v>
      </c>
      <c r="D89">
        <f t="shared" ca="1" si="10"/>
        <v>248.54999999999995</v>
      </c>
      <c r="E89">
        <f t="shared" ca="1" si="10"/>
        <v>2.63</v>
      </c>
      <c r="F89">
        <f>'Monthly Data'!BL89</f>
        <v>634257.80000000005</v>
      </c>
      <c r="G89">
        <f>'Monthly Data'!BM89</f>
        <v>88</v>
      </c>
      <c r="H89">
        <f>'Monthly Data'!BQ89</f>
        <v>1</v>
      </c>
      <c r="I89">
        <f>'Monthly Data'!BS89</f>
        <v>0</v>
      </c>
      <c r="J89">
        <f>'Monthly Data'!BU89</f>
        <v>0</v>
      </c>
      <c r="K89">
        <f>'Monthly Data'!BV89</f>
        <v>0</v>
      </c>
      <c r="L89">
        <f>'Monthly Data'!BW89</f>
        <v>0</v>
      </c>
      <c r="M89">
        <f>'Monthly Data'!CC89</f>
        <v>30</v>
      </c>
      <c r="N89">
        <f>'Monthly Data'!CD89</f>
        <v>21</v>
      </c>
      <c r="P89">
        <f>'GS &gt; 50 OLS Model'!$B$5</f>
        <v>-8508488.8174217809</v>
      </c>
      <c r="Q89" s="186">
        <f ca="1">'GS &gt; 50 OLS Model'!$B$6*D89</f>
        <v>6026301.9646165073</v>
      </c>
      <c r="R89" s="186">
        <f ca="1">'GS &gt; 50 OLS Model'!$B$7*E89</f>
        <v>187749.40648728516</v>
      </c>
      <c r="S89" s="186">
        <f>'GS &gt; 50 OLS Model'!$B$8*F89</f>
        <v>33212420.230053835</v>
      </c>
      <c r="T89" s="186">
        <v>0</v>
      </c>
      <c r="U89" s="186">
        <f>'GS &gt; 50 OLS Model'!$B$9*H89</f>
        <v>-1670359.8066300801</v>
      </c>
      <c r="V89" s="186">
        <f>'GS &gt; 50 OLS Model'!$B$10*I89</f>
        <v>0</v>
      </c>
      <c r="W89" s="186">
        <f>'GS &gt; 50 OLS Model'!$B$11*J89</f>
        <v>0</v>
      </c>
      <c r="X89" s="186">
        <f>'GS &gt; 50 OLS Model'!$B$12*K89</f>
        <v>0</v>
      </c>
      <c r="Y89" s="186">
        <v>0</v>
      </c>
      <c r="Z89" s="186">
        <f>'GS &gt; 50 OLS Model'!$B$13*M89</f>
        <v>33551198.840181898</v>
      </c>
      <c r="AA89" s="186">
        <f>'GS &gt; 50 OLS Model'!$B$14*N89</f>
        <v>13737248.956340911</v>
      </c>
      <c r="AB89">
        <f t="shared" ca="1" si="7"/>
        <v>76536070.773628578</v>
      </c>
    </row>
    <row r="90" spans="1:28">
      <c r="A90" s="26">
        <f>'Monthly Data'!A90</f>
        <v>42491</v>
      </c>
      <c r="B90">
        <f t="shared" si="6"/>
        <v>2016</v>
      </c>
      <c r="C90">
        <f ca="1">'Monthly Data'!O90</f>
        <v>79885437.080991775</v>
      </c>
      <c r="D90">
        <f t="shared" ca="1" si="10"/>
        <v>92.740000000000009</v>
      </c>
      <c r="E90">
        <f t="shared" ca="1" si="10"/>
        <v>47.37</v>
      </c>
      <c r="F90">
        <f>'Monthly Data'!BL90</f>
        <v>634257.80000000005</v>
      </c>
      <c r="G90">
        <f>'Monthly Data'!BM90</f>
        <v>89</v>
      </c>
      <c r="H90">
        <f>'Monthly Data'!BQ90</f>
        <v>0</v>
      </c>
      <c r="I90">
        <f>'Monthly Data'!BS90</f>
        <v>0</v>
      </c>
      <c r="J90">
        <f>'Monthly Data'!BU90</f>
        <v>0</v>
      </c>
      <c r="K90">
        <f>'Monthly Data'!BV90</f>
        <v>0</v>
      </c>
      <c r="L90">
        <f>'Monthly Data'!BW90</f>
        <v>0</v>
      </c>
      <c r="M90">
        <f>'Monthly Data'!CC90</f>
        <v>31</v>
      </c>
      <c r="N90">
        <f>'Monthly Data'!CD90</f>
        <v>21</v>
      </c>
      <c r="P90">
        <f>'GS &gt; 50 OLS Model'!$B$5</f>
        <v>-8508488.8174217809</v>
      </c>
      <c r="Q90" s="186">
        <f ca="1">'GS &gt; 50 OLS Model'!$B$6*D90</f>
        <v>2248558.6167714144</v>
      </c>
      <c r="R90" s="186">
        <f ca="1">'GS &gt; 50 OLS Model'!$B$7*E90</f>
        <v>3381630.9449820146</v>
      </c>
      <c r="S90" s="186">
        <f>'GS &gt; 50 OLS Model'!$B$8*F90</f>
        <v>33212420.230053835</v>
      </c>
      <c r="T90" s="186">
        <v>0</v>
      </c>
      <c r="U90" s="186">
        <f>'GS &gt; 50 OLS Model'!$B$9*H90</f>
        <v>0</v>
      </c>
      <c r="V90" s="186">
        <f>'GS &gt; 50 OLS Model'!$B$10*I90</f>
        <v>0</v>
      </c>
      <c r="W90" s="186">
        <f>'GS &gt; 50 OLS Model'!$B$11*J90</f>
        <v>0</v>
      </c>
      <c r="X90" s="186">
        <f>'GS &gt; 50 OLS Model'!$B$12*K90</f>
        <v>0</v>
      </c>
      <c r="Y90" s="186">
        <v>0</v>
      </c>
      <c r="Z90" s="186">
        <f>'GS &gt; 50 OLS Model'!$B$13*M90</f>
        <v>34669572.13485463</v>
      </c>
      <c r="AA90" s="186">
        <f>'GS &gt; 50 OLS Model'!$B$14*N90</f>
        <v>13737248.956340911</v>
      </c>
      <c r="AB90">
        <f t="shared" ca="1" si="7"/>
        <v>78740942.065581024</v>
      </c>
    </row>
    <row r="91" spans="1:28">
      <c r="A91" s="26">
        <f>'Monthly Data'!A91</f>
        <v>42522</v>
      </c>
      <c r="B91">
        <f t="shared" si="6"/>
        <v>2016</v>
      </c>
      <c r="C91">
        <f ca="1">'Monthly Data'!O91</f>
        <v>84108563.980985105</v>
      </c>
      <c r="D91">
        <f t="shared" ca="1" si="10"/>
        <v>9.08</v>
      </c>
      <c r="E91">
        <f t="shared" ca="1" si="10"/>
        <v>117.23999999999997</v>
      </c>
      <c r="F91">
        <f>'Monthly Data'!BL91</f>
        <v>634257.80000000005</v>
      </c>
      <c r="G91">
        <f>'Monthly Data'!BM91</f>
        <v>90</v>
      </c>
      <c r="H91">
        <f>'Monthly Data'!BQ91</f>
        <v>0</v>
      </c>
      <c r="I91">
        <f>'Monthly Data'!BS91</f>
        <v>1</v>
      </c>
      <c r="J91">
        <f>'Monthly Data'!BU91</f>
        <v>0</v>
      </c>
      <c r="K91">
        <f>'Monthly Data'!BV91</f>
        <v>0</v>
      </c>
      <c r="L91">
        <f>'Monthly Data'!BW91</f>
        <v>0</v>
      </c>
      <c r="M91">
        <f>'Monthly Data'!CC91</f>
        <v>30</v>
      </c>
      <c r="N91">
        <f>'Monthly Data'!CD91</f>
        <v>22</v>
      </c>
      <c r="P91">
        <f>'GS &gt; 50 OLS Model'!$B$5</f>
        <v>-8508488.8174217809</v>
      </c>
      <c r="Q91" s="186">
        <f ca="1">'GS &gt; 50 OLS Model'!$B$6*D91</f>
        <v>220152.16994052666</v>
      </c>
      <c r="R91" s="186">
        <f ca="1">'GS &gt; 50 OLS Model'!$B$7*E91</f>
        <v>8369483.0481252121</v>
      </c>
      <c r="S91" s="186">
        <f>'GS &gt; 50 OLS Model'!$B$8*F91</f>
        <v>33212420.230053835</v>
      </c>
      <c r="T91" s="186">
        <v>0</v>
      </c>
      <c r="U91" s="186">
        <f>'GS &gt; 50 OLS Model'!$B$9*H91</f>
        <v>0</v>
      </c>
      <c r="V91" s="186">
        <f>'GS &gt; 50 OLS Model'!$B$10*I91</f>
        <v>1244451.2383117899</v>
      </c>
      <c r="W91" s="186">
        <f>'GS &gt; 50 OLS Model'!$B$11*J91</f>
        <v>0</v>
      </c>
      <c r="X91" s="186">
        <f>'GS &gt; 50 OLS Model'!$B$12*K91</f>
        <v>0</v>
      </c>
      <c r="Y91" s="186">
        <v>0</v>
      </c>
      <c r="Z91" s="186">
        <f>'GS &gt; 50 OLS Model'!$B$13*M91</f>
        <v>33551198.840181898</v>
      </c>
      <c r="AA91" s="186">
        <f>'GS &gt; 50 OLS Model'!$B$14*N91</f>
        <v>14391403.668547621</v>
      </c>
      <c r="AB91">
        <f t="shared" ca="1" si="7"/>
        <v>82480620.377739102</v>
      </c>
    </row>
    <row r="92" spans="1:28">
      <c r="A92" s="26">
        <f>'Monthly Data'!A92</f>
        <v>42552</v>
      </c>
      <c r="B92">
        <f t="shared" si="6"/>
        <v>2016</v>
      </c>
      <c r="C92">
        <f ca="1">'Monthly Data'!O92</f>
        <v>89208055.874293894</v>
      </c>
      <c r="D92">
        <f t="shared" ca="1" si="10"/>
        <v>0.51</v>
      </c>
      <c r="E92">
        <f t="shared" ca="1" si="10"/>
        <v>185.60999999999999</v>
      </c>
      <c r="F92">
        <f>'Monthly Data'!BL92</f>
        <v>634257.80000000005</v>
      </c>
      <c r="G92">
        <f>'Monthly Data'!BM92</f>
        <v>91</v>
      </c>
      <c r="H92">
        <f>'Monthly Data'!BQ92</f>
        <v>0</v>
      </c>
      <c r="I92">
        <f>'Monthly Data'!BS92</f>
        <v>0</v>
      </c>
      <c r="J92">
        <f>'Monthly Data'!BU92</f>
        <v>0</v>
      </c>
      <c r="K92">
        <f>'Monthly Data'!BV92</f>
        <v>0</v>
      </c>
      <c r="L92">
        <f>'Monthly Data'!BW92</f>
        <v>0</v>
      </c>
      <c r="M92">
        <f>'Monthly Data'!CC92</f>
        <v>31</v>
      </c>
      <c r="N92" s="186">
        <f>'Monthly Data'!CD92</f>
        <v>20</v>
      </c>
      <c r="P92">
        <f>'GS &gt; 50 OLS Model'!$B$5</f>
        <v>-8508488.8174217809</v>
      </c>
      <c r="Q92" s="186">
        <f ca="1">'GS &gt; 50 OLS Model'!$B$6*D92</f>
        <v>12365.375183884205</v>
      </c>
      <c r="R92" s="186">
        <f ca="1">'GS &gt; 50 OLS Model'!$B$7*E92</f>
        <v>13250253.740724334</v>
      </c>
      <c r="S92" s="186">
        <f>'GS &gt; 50 OLS Model'!$B$8*F92</f>
        <v>33212420.230053835</v>
      </c>
      <c r="T92" s="186">
        <v>0</v>
      </c>
      <c r="U92" s="186">
        <f>'GS &gt; 50 OLS Model'!$B$9*H92</f>
        <v>0</v>
      </c>
      <c r="V92" s="186">
        <f>'GS &gt; 50 OLS Model'!$B$10*I92</f>
        <v>0</v>
      </c>
      <c r="W92" s="186">
        <f>'GS &gt; 50 OLS Model'!$B$11*J92</f>
        <v>0</v>
      </c>
      <c r="X92" s="186">
        <f>'GS &gt; 50 OLS Model'!$B$12*K92</f>
        <v>0</v>
      </c>
      <c r="Y92" s="186">
        <v>0</v>
      </c>
      <c r="Z92" s="186">
        <f>'GS &gt; 50 OLS Model'!$B$13*M92</f>
        <v>34669572.13485463</v>
      </c>
      <c r="AA92" s="186">
        <f>'GS &gt; 50 OLS Model'!$B$14*N92</f>
        <v>13083094.244134201</v>
      </c>
      <c r="AB92">
        <f t="shared" ca="1" si="7"/>
        <v>85719216.907529101</v>
      </c>
    </row>
    <row r="93" spans="1:28">
      <c r="A93" s="26">
        <f>'Monthly Data'!A93</f>
        <v>42583</v>
      </c>
      <c r="B93">
        <f t="shared" si="6"/>
        <v>2016</v>
      </c>
      <c r="C93">
        <f ca="1">'Monthly Data'!O93</f>
        <v>92081052.006418362</v>
      </c>
      <c r="D93">
        <f t="shared" ca="1" si="10"/>
        <v>1.51</v>
      </c>
      <c r="E93">
        <f t="shared" ca="1" si="10"/>
        <v>159.64000000000001</v>
      </c>
      <c r="F93">
        <f>'Monthly Data'!BL93</f>
        <v>634257.80000000005</v>
      </c>
      <c r="G93">
        <f>'Monthly Data'!BM93</f>
        <v>92</v>
      </c>
      <c r="H93">
        <f>'Monthly Data'!BQ93</f>
        <v>0</v>
      </c>
      <c r="I93">
        <f>'Monthly Data'!BS93</f>
        <v>0</v>
      </c>
      <c r="J93">
        <f>'Monthly Data'!BU93</f>
        <v>1</v>
      </c>
      <c r="K93">
        <f>'Monthly Data'!BV93</f>
        <v>0</v>
      </c>
      <c r="L93">
        <f>'Monthly Data'!BW93</f>
        <v>0</v>
      </c>
      <c r="M93">
        <f>'Monthly Data'!CC93</f>
        <v>31</v>
      </c>
      <c r="N93" s="186">
        <f>'Monthly Data'!CD93</f>
        <v>22</v>
      </c>
      <c r="P93">
        <f>'GS &gt; 50 OLS Model'!$B$5</f>
        <v>-8508488.8174217809</v>
      </c>
      <c r="Q93" s="186">
        <f ca="1">'GS &gt; 50 OLS Model'!$B$6*D93</f>
        <v>36611.208877774807</v>
      </c>
      <c r="R93" s="186">
        <f ca="1">'GS &gt; 50 OLS Model'!$B$7*E93</f>
        <v>11396317.586171182</v>
      </c>
      <c r="S93" s="186">
        <f>'GS &gt; 50 OLS Model'!$B$8*F93</f>
        <v>33212420.230053835</v>
      </c>
      <c r="T93" s="186">
        <v>0</v>
      </c>
      <c r="U93" s="186">
        <f>'GS &gt; 50 OLS Model'!$B$9*H93</f>
        <v>0</v>
      </c>
      <c r="V93" s="186">
        <f>'GS &gt; 50 OLS Model'!$B$10*I93</f>
        <v>0</v>
      </c>
      <c r="W93" s="186">
        <f>'GS &gt; 50 OLS Model'!$B$11*J93</f>
        <v>2505717.0713192602</v>
      </c>
      <c r="X93" s="186">
        <f>'GS &gt; 50 OLS Model'!$B$12*K93</f>
        <v>0</v>
      </c>
      <c r="Y93" s="186">
        <v>0</v>
      </c>
      <c r="Z93" s="186">
        <f>'GS &gt; 50 OLS Model'!$B$13*M93</f>
        <v>34669572.13485463</v>
      </c>
      <c r="AA93" s="186">
        <f>'GS &gt; 50 OLS Model'!$B$14*N93</f>
        <v>14391403.668547621</v>
      </c>
      <c r="AB93">
        <f t="shared" ca="1" si="7"/>
        <v>87703553.082402512</v>
      </c>
    </row>
    <row r="94" spans="1:28">
      <c r="A94" s="26">
        <f>'Monthly Data'!A94</f>
        <v>42614</v>
      </c>
      <c r="B94">
        <f t="shared" si="6"/>
        <v>2016</v>
      </c>
      <c r="C94">
        <f ca="1">'Monthly Data'!O94</f>
        <v>82625134.428336576</v>
      </c>
      <c r="D94">
        <f t="shared" ca="1" si="10"/>
        <v>33.01</v>
      </c>
      <c r="E94">
        <f t="shared" ca="1" si="10"/>
        <v>72.989999999999981</v>
      </c>
      <c r="F94">
        <f>'Monthly Data'!BL94</f>
        <v>634257.80000000005</v>
      </c>
      <c r="G94">
        <f>'Monthly Data'!BM94</f>
        <v>93</v>
      </c>
      <c r="H94">
        <f>'Monthly Data'!BQ94</f>
        <v>0</v>
      </c>
      <c r="I94">
        <f>'Monthly Data'!BS94</f>
        <v>0</v>
      </c>
      <c r="J94">
        <f>'Monthly Data'!BU94</f>
        <v>0</v>
      </c>
      <c r="K94">
        <f>'Monthly Data'!BV94</f>
        <v>1</v>
      </c>
      <c r="L94">
        <f>'Monthly Data'!BW94</f>
        <v>0</v>
      </c>
      <c r="M94">
        <f>'Monthly Data'!CC94</f>
        <v>30</v>
      </c>
      <c r="N94" s="186">
        <f>'Monthly Data'!CD94</f>
        <v>21</v>
      </c>
      <c r="P94">
        <f>'GS &gt; 50 OLS Model'!$B$5</f>
        <v>-8508488.8174217809</v>
      </c>
      <c r="Q94" s="186">
        <f ca="1">'GS &gt; 50 OLS Model'!$B$6*D94</f>
        <v>800354.97023532866</v>
      </c>
      <c r="R94" s="186">
        <f ca="1">'GS &gt; 50 OLS Model'!$B$7*E94</f>
        <v>5210581.4370748829</v>
      </c>
      <c r="S94" s="186">
        <f>'GS &gt; 50 OLS Model'!$B$8*F94</f>
        <v>33212420.230053835</v>
      </c>
      <c r="T94" s="186">
        <v>0</v>
      </c>
      <c r="U94" s="186">
        <f>'GS &gt; 50 OLS Model'!$B$9*H94</f>
        <v>0</v>
      </c>
      <c r="V94" s="186">
        <f>'GS &gt; 50 OLS Model'!$B$10*I94</f>
        <v>0</v>
      </c>
      <c r="W94" s="186">
        <f>'GS &gt; 50 OLS Model'!$B$11*J94</f>
        <v>0</v>
      </c>
      <c r="X94" s="186">
        <f>'GS &gt; 50 OLS Model'!$B$12*K94</f>
        <v>2345350.8919449002</v>
      </c>
      <c r="Y94" s="186">
        <v>0</v>
      </c>
      <c r="Z94" s="186">
        <f>'GS &gt; 50 OLS Model'!$B$13*M94</f>
        <v>33551198.840181898</v>
      </c>
      <c r="AA94" s="186">
        <f>'GS &gt; 50 OLS Model'!$B$14*N94</f>
        <v>13737248.956340911</v>
      </c>
      <c r="AB94">
        <f t="shared" ca="1" si="7"/>
        <v>80348666.508409977</v>
      </c>
    </row>
    <row r="95" spans="1:28">
      <c r="A95" s="26">
        <f>'Monthly Data'!A95</f>
        <v>42644</v>
      </c>
      <c r="B95">
        <f t="shared" si="6"/>
        <v>2016</v>
      </c>
      <c r="C95">
        <f ca="1">'Monthly Data'!O95</f>
        <v>79761867.387980133</v>
      </c>
      <c r="D95">
        <f t="shared" ca="1" si="10"/>
        <v>177.83999999999997</v>
      </c>
      <c r="E95">
        <f t="shared" ca="1" si="10"/>
        <v>10.779999999999998</v>
      </c>
      <c r="F95">
        <f>'Monthly Data'!BL95</f>
        <v>634257.80000000005</v>
      </c>
      <c r="G95">
        <f>'Monthly Data'!BM95</f>
        <v>94</v>
      </c>
      <c r="H95">
        <f>'Monthly Data'!BQ95</f>
        <v>0</v>
      </c>
      <c r="I95">
        <f>'Monthly Data'!BS95</f>
        <v>0</v>
      </c>
      <c r="J95">
        <f>'Monthly Data'!BU95</f>
        <v>0</v>
      </c>
      <c r="K95">
        <f>'Monthly Data'!BV95</f>
        <v>0</v>
      </c>
      <c r="L95">
        <f>'Monthly Data'!BW95</f>
        <v>1</v>
      </c>
      <c r="M95">
        <f>'Monthly Data'!CC95</f>
        <v>31</v>
      </c>
      <c r="N95" s="186">
        <f>'Monthly Data'!CD95</f>
        <v>20</v>
      </c>
      <c r="P95">
        <f>'GS &gt; 50 OLS Model'!$B$5</f>
        <v>-8508488.8174217809</v>
      </c>
      <c r="Q95" s="186">
        <f ca="1">'GS &gt; 50 OLS Model'!$B$6*D95</f>
        <v>4311879.0641215034</v>
      </c>
      <c r="R95" s="186">
        <f ca="1">'GS &gt; 50 OLS Model'!$B$7*E95</f>
        <v>769558.40377678082</v>
      </c>
      <c r="S95" s="186">
        <f>'GS &gt; 50 OLS Model'!$B$8*F95</f>
        <v>33212420.230053835</v>
      </c>
      <c r="T95" s="186">
        <v>0</v>
      </c>
      <c r="U95" s="186">
        <f>'GS &gt; 50 OLS Model'!$B$9*H95</f>
        <v>0</v>
      </c>
      <c r="V95" s="186">
        <f>'GS &gt; 50 OLS Model'!$B$10*I95</f>
        <v>0</v>
      </c>
      <c r="W95" s="186">
        <f>'GS &gt; 50 OLS Model'!$B$11*J95</f>
        <v>0</v>
      </c>
      <c r="X95" s="186">
        <f>'GS &gt; 50 OLS Model'!$B$12*K95</f>
        <v>0</v>
      </c>
      <c r="Y95" s="186">
        <v>0</v>
      </c>
      <c r="Z95" s="186">
        <f>'GS &gt; 50 OLS Model'!$B$13*M95</f>
        <v>34669572.13485463</v>
      </c>
      <c r="AA95" s="186">
        <f>'GS &gt; 50 OLS Model'!$B$14*N95</f>
        <v>13083094.244134201</v>
      </c>
      <c r="AB95">
        <f t="shared" ca="1" si="7"/>
        <v>77538035.259519175</v>
      </c>
    </row>
    <row r="96" spans="1:28">
      <c r="A96" s="26">
        <f>'Monthly Data'!A96</f>
        <v>42675</v>
      </c>
      <c r="B96">
        <f t="shared" si="6"/>
        <v>2016</v>
      </c>
      <c r="C96">
        <f ca="1">'Monthly Data'!O96</f>
        <v>79632729.527031347</v>
      </c>
      <c r="D96">
        <f t="shared" ca="1" si="10"/>
        <v>361.94999999999993</v>
      </c>
      <c r="E96">
        <f t="shared" ca="1" si="10"/>
        <v>0.05</v>
      </c>
      <c r="F96">
        <f>'Monthly Data'!BL96</f>
        <v>634257.80000000005</v>
      </c>
      <c r="G96">
        <f>'Monthly Data'!BM96</f>
        <v>95</v>
      </c>
      <c r="H96">
        <f>'Monthly Data'!BQ96</f>
        <v>0</v>
      </c>
      <c r="I96">
        <f>'Monthly Data'!BS96</f>
        <v>0</v>
      </c>
      <c r="J96">
        <f>'Monthly Data'!BU96</f>
        <v>0</v>
      </c>
      <c r="K96">
        <f>'Monthly Data'!BV96</f>
        <v>0</v>
      </c>
      <c r="L96">
        <f>'Monthly Data'!BW96</f>
        <v>0</v>
      </c>
      <c r="M96">
        <f>'Monthly Data'!CC96</f>
        <v>30</v>
      </c>
      <c r="N96" s="186">
        <f>'Monthly Data'!CD96</f>
        <v>22</v>
      </c>
      <c r="P96">
        <f>'GS &gt; 50 OLS Model'!$B$5</f>
        <v>-8508488.8174217809</v>
      </c>
      <c r="Q96" s="186">
        <f ca="1">'GS &gt; 50 OLS Model'!$B$6*D96</f>
        <v>8775779.505503701</v>
      </c>
      <c r="R96" s="186">
        <f ca="1">'GS &gt; 50 OLS Model'!$B$7*E96</f>
        <v>3569.3803514693</v>
      </c>
      <c r="S96" s="186">
        <f>'GS &gt; 50 OLS Model'!$B$8*F96</f>
        <v>33212420.230053835</v>
      </c>
      <c r="T96" s="186">
        <v>0</v>
      </c>
      <c r="U96" s="186">
        <f>'GS &gt; 50 OLS Model'!$B$9*H96</f>
        <v>0</v>
      </c>
      <c r="V96" s="186">
        <f>'GS &gt; 50 OLS Model'!$B$10*I96</f>
        <v>0</v>
      </c>
      <c r="W96" s="186">
        <f>'GS &gt; 50 OLS Model'!$B$11*J96</f>
        <v>0</v>
      </c>
      <c r="X96" s="186">
        <f>'GS &gt; 50 OLS Model'!$B$12*K96</f>
        <v>0</v>
      </c>
      <c r="Y96" s="186">
        <v>0</v>
      </c>
      <c r="Z96" s="186">
        <f>'GS &gt; 50 OLS Model'!$B$13*M96</f>
        <v>33551198.840181898</v>
      </c>
      <c r="AA96" s="186">
        <f>'GS &gt; 50 OLS Model'!$B$14*N96</f>
        <v>14391403.668547621</v>
      </c>
      <c r="AB96">
        <f t="shared" ca="1" si="7"/>
        <v>81425882.807216734</v>
      </c>
    </row>
    <row r="97" spans="1:28">
      <c r="A97" s="26">
        <f>'Monthly Data'!A97</f>
        <v>42705</v>
      </c>
      <c r="B97">
        <f t="shared" si="6"/>
        <v>2016</v>
      </c>
      <c r="C97">
        <f ca="1">'Monthly Data'!O97</f>
        <v>85703762.977146074</v>
      </c>
      <c r="D97">
        <f t="shared" ca="1" si="10"/>
        <v>556.41000000000008</v>
      </c>
      <c r="E97">
        <f t="shared" ca="1" si="10"/>
        <v>0</v>
      </c>
      <c r="F97">
        <f>'Monthly Data'!BL97</f>
        <v>634257.80000000005</v>
      </c>
      <c r="G97">
        <f>'Monthly Data'!BM97</f>
        <v>96</v>
      </c>
      <c r="H97">
        <f>'Monthly Data'!BQ97</f>
        <v>0</v>
      </c>
      <c r="I97">
        <f>'Monthly Data'!BS97</f>
        <v>0</v>
      </c>
      <c r="J97">
        <f>'Monthly Data'!BU97</f>
        <v>0</v>
      </c>
      <c r="K97">
        <f>'Monthly Data'!BV97</f>
        <v>0</v>
      </c>
      <c r="L97">
        <f>'Monthly Data'!BW97</f>
        <v>0</v>
      </c>
      <c r="M97">
        <f>'Monthly Data'!CC97</f>
        <v>31</v>
      </c>
      <c r="N97" s="186">
        <f>'Monthly Data'!CD97</f>
        <v>20</v>
      </c>
      <c r="P97">
        <f>'GS &gt; 50 OLS Model'!$B$5</f>
        <v>-8508488.8174217809</v>
      </c>
      <c r="Q97" s="186">
        <f ca="1">'GS &gt; 50 OLS Model'!$B$6*D97</f>
        <v>13490624.325617671</v>
      </c>
      <c r="R97" s="186">
        <f ca="1">'GS &gt; 50 OLS Model'!$B$7*E97</f>
        <v>0</v>
      </c>
      <c r="S97" s="186">
        <f>'GS &gt; 50 OLS Model'!$B$8*F97</f>
        <v>33212420.230053835</v>
      </c>
      <c r="T97" s="186">
        <v>0</v>
      </c>
      <c r="U97" s="186">
        <f>'GS &gt; 50 OLS Model'!$B$9*H97</f>
        <v>0</v>
      </c>
      <c r="V97" s="186">
        <f>'GS &gt; 50 OLS Model'!$B$10*I97</f>
        <v>0</v>
      </c>
      <c r="W97" s="186">
        <f>'GS &gt; 50 OLS Model'!$B$11*J97</f>
        <v>0</v>
      </c>
      <c r="X97" s="186">
        <f>'GS &gt; 50 OLS Model'!$B$12*K97</f>
        <v>0</v>
      </c>
      <c r="Y97" s="186">
        <v>0</v>
      </c>
      <c r="Z97" s="186">
        <f>'GS &gt; 50 OLS Model'!$B$13*M97</f>
        <v>34669572.13485463</v>
      </c>
      <c r="AA97" s="186">
        <f>'GS &gt; 50 OLS Model'!$B$14*N97</f>
        <v>13083094.244134201</v>
      </c>
      <c r="AB97">
        <f t="shared" ca="1" si="7"/>
        <v>85947222.117238566</v>
      </c>
    </row>
    <row r="98" spans="1:28">
      <c r="A98" s="26">
        <v>42736</v>
      </c>
      <c r="B98">
        <f t="shared" si="6"/>
        <v>2017</v>
      </c>
      <c r="C98" s="127">
        <f ca="1">'Monthly Data'!O98</f>
        <v>89452615.289801002</v>
      </c>
      <c r="D98">
        <f t="shared" ca="1" si="10"/>
        <v>659.42999999999984</v>
      </c>
      <c r="E98">
        <f t="shared" ca="1" si="10"/>
        <v>0</v>
      </c>
      <c r="F98" s="127">
        <f>'Monthly Data'!BL98</f>
        <v>651932.30000000005</v>
      </c>
      <c r="G98">
        <f>G97+1</f>
        <v>97</v>
      </c>
      <c r="H98">
        <f>H86</f>
        <v>0</v>
      </c>
      <c r="I98">
        <f t="shared" ref="I98:L98" si="11">I86</f>
        <v>0</v>
      </c>
      <c r="J98">
        <f t="shared" si="11"/>
        <v>0</v>
      </c>
      <c r="K98">
        <f t="shared" si="11"/>
        <v>0</v>
      </c>
      <c r="L98">
        <f t="shared" si="11"/>
        <v>0</v>
      </c>
      <c r="M98">
        <f>M50</f>
        <v>31</v>
      </c>
      <c r="N98" s="186">
        <f>'Monthly Data'!CD98</f>
        <v>22</v>
      </c>
      <c r="P98">
        <f>'GS &gt; 50 OLS Model'!$B$5</f>
        <v>-8508488.8174217809</v>
      </c>
      <c r="Q98" s="186">
        <f ca="1">'GS &gt; 50 OLS Model'!$B$6*D98</f>
        <v>15988430.112762274</v>
      </c>
      <c r="R98" s="186">
        <f ca="1">'GS &gt; 50 OLS Model'!$B$7*E98</f>
        <v>0</v>
      </c>
      <c r="S98" s="186">
        <f>'GS &gt; 50 OLS Model'!$B$8*F98</f>
        <v>34137931.782857895</v>
      </c>
      <c r="T98" s="186">
        <v>0</v>
      </c>
      <c r="U98" s="186">
        <f>'GS &gt; 50 OLS Model'!$B$9*H98</f>
        <v>0</v>
      </c>
      <c r="V98" s="186">
        <f>'GS &gt; 50 OLS Model'!$B$10*I98</f>
        <v>0</v>
      </c>
      <c r="W98" s="186">
        <f>'GS &gt; 50 OLS Model'!$B$11*J98</f>
        <v>0</v>
      </c>
      <c r="X98" s="186">
        <f>'GS &gt; 50 OLS Model'!$B$12*K98</f>
        <v>0</v>
      </c>
      <c r="Y98" s="186">
        <v>0</v>
      </c>
      <c r="Z98" s="186">
        <f>'GS &gt; 50 OLS Model'!$B$13*M98</f>
        <v>34669572.13485463</v>
      </c>
      <c r="AA98" s="186">
        <f>'GS &gt; 50 OLS Model'!$B$14*N98</f>
        <v>14391403.668547621</v>
      </c>
      <c r="AB98">
        <f t="shared" ref="AB98:AB133" ca="1" si="12">SUM(P98:AA98)</f>
        <v>90678848.881600633</v>
      </c>
    </row>
    <row r="99" spans="1:28">
      <c r="A99" s="26">
        <v>42767</v>
      </c>
      <c r="B99">
        <f t="shared" si="6"/>
        <v>2017</v>
      </c>
      <c r="C99" s="127">
        <f ca="1">'Monthly Data'!O99</f>
        <v>79369250.509801</v>
      </c>
      <c r="D99">
        <f t="shared" ca="1" si="10"/>
        <v>571.77</v>
      </c>
      <c r="E99">
        <f t="shared" ca="1" si="10"/>
        <v>0</v>
      </c>
      <c r="F99" s="127">
        <f>'Monthly Data'!BL99</f>
        <v>651932.30000000005</v>
      </c>
      <c r="G99">
        <f t="shared" ref="G99:G145" si="13">G98+1</f>
        <v>98</v>
      </c>
      <c r="H99">
        <f t="shared" ref="H99:L99" si="14">H87</f>
        <v>0</v>
      </c>
      <c r="I99">
        <f t="shared" si="14"/>
        <v>0</v>
      </c>
      <c r="J99">
        <f t="shared" si="14"/>
        <v>0</v>
      </c>
      <c r="K99">
        <f t="shared" si="14"/>
        <v>0</v>
      </c>
      <c r="L99">
        <f t="shared" si="14"/>
        <v>0</v>
      </c>
      <c r="M99" s="127">
        <f t="shared" ref="M99:M145" si="15">M51</f>
        <v>28</v>
      </c>
      <c r="N99" s="186">
        <f>'Monthly Data'!CD99</f>
        <v>19</v>
      </c>
      <c r="P99">
        <f>'GS &gt; 50 OLS Model'!$B$5</f>
        <v>-8508488.8174217809</v>
      </c>
      <c r="Q99" s="186">
        <f ca="1">'GS &gt; 50 OLS Model'!$B$6*D99</f>
        <v>13863040.331155827</v>
      </c>
      <c r="R99" s="186">
        <f ca="1">'GS &gt; 50 OLS Model'!$B$7*E99</f>
        <v>0</v>
      </c>
      <c r="S99" s="186">
        <f>'GS &gt; 50 OLS Model'!$B$8*F99</f>
        <v>34137931.782857895</v>
      </c>
      <c r="T99" s="186">
        <v>0</v>
      </c>
      <c r="U99" s="186">
        <f>'GS &gt; 50 OLS Model'!$B$9*H99</f>
        <v>0</v>
      </c>
      <c r="V99" s="186">
        <f>'GS &gt; 50 OLS Model'!$B$10*I99</f>
        <v>0</v>
      </c>
      <c r="W99" s="186">
        <f>'GS &gt; 50 OLS Model'!$B$11*J99</f>
        <v>0</v>
      </c>
      <c r="X99" s="186">
        <f>'GS &gt; 50 OLS Model'!$B$12*K99</f>
        <v>0</v>
      </c>
      <c r="Y99" s="186">
        <v>0</v>
      </c>
      <c r="Z99" s="186">
        <f>'GS &gt; 50 OLS Model'!$B$13*M99</f>
        <v>31314452.250836439</v>
      </c>
      <c r="AA99" s="186">
        <f>'GS &gt; 50 OLS Model'!$B$14*N99</f>
        <v>12428939.531927491</v>
      </c>
      <c r="AB99">
        <f t="shared" ca="1" si="12"/>
        <v>83235875.079355866</v>
      </c>
    </row>
    <row r="100" spans="1:28">
      <c r="A100" s="26">
        <v>42795</v>
      </c>
      <c r="B100">
        <f t="shared" si="6"/>
        <v>2017</v>
      </c>
      <c r="C100" s="127">
        <f ca="1">'Monthly Data'!O100</f>
        <v>85130613.079801008</v>
      </c>
      <c r="D100">
        <f t="shared" ca="1" si="10"/>
        <v>456.53999999999996</v>
      </c>
      <c r="E100">
        <f t="shared" ca="1" si="10"/>
        <v>0.48</v>
      </c>
      <c r="F100" s="127">
        <f>'Monthly Data'!BL100</f>
        <v>651932.30000000005</v>
      </c>
      <c r="G100">
        <f t="shared" si="13"/>
        <v>99</v>
      </c>
      <c r="H100">
        <f t="shared" ref="H100:L100" si="16">H88</f>
        <v>0</v>
      </c>
      <c r="I100">
        <f t="shared" si="16"/>
        <v>0</v>
      </c>
      <c r="J100">
        <f t="shared" si="16"/>
        <v>0</v>
      </c>
      <c r="K100">
        <f t="shared" si="16"/>
        <v>0</v>
      </c>
      <c r="L100">
        <f t="shared" si="16"/>
        <v>0</v>
      </c>
      <c r="M100" s="127">
        <f t="shared" si="15"/>
        <v>31</v>
      </c>
      <c r="N100" s="186">
        <f>'Monthly Data'!CD100</f>
        <v>23</v>
      </c>
      <c r="P100">
        <f>'GS &gt; 50 OLS Model'!$B$5</f>
        <v>-8508488.8174217809</v>
      </c>
      <c r="Q100" s="186">
        <f ca="1">'GS &gt; 50 OLS Model'!$B$6*D100</f>
        <v>11069192.914608814</v>
      </c>
      <c r="R100" s="186">
        <f ca="1">'GS &gt; 50 OLS Model'!$B$7*E100</f>
        <v>34266.051374105278</v>
      </c>
      <c r="S100" s="186">
        <f>'GS &gt; 50 OLS Model'!$B$8*F100</f>
        <v>34137931.782857895</v>
      </c>
      <c r="T100" s="186">
        <v>0</v>
      </c>
      <c r="U100" s="186">
        <f>'GS &gt; 50 OLS Model'!$B$9*H100</f>
        <v>0</v>
      </c>
      <c r="V100" s="186">
        <f>'GS &gt; 50 OLS Model'!$B$10*I100</f>
        <v>0</v>
      </c>
      <c r="W100" s="186">
        <f>'GS &gt; 50 OLS Model'!$B$11*J100</f>
        <v>0</v>
      </c>
      <c r="X100" s="186">
        <f>'GS &gt; 50 OLS Model'!$B$12*K100</f>
        <v>0</v>
      </c>
      <c r="Y100" s="186">
        <v>0</v>
      </c>
      <c r="Z100" s="186">
        <f>'GS &gt; 50 OLS Model'!$B$13*M100</f>
        <v>34669572.13485463</v>
      </c>
      <c r="AA100" s="186">
        <f>'GS &gt; 50 OLS Model'!$B$14*N100</f>
        <v>15045558.380754331</v>
      </c>
      <c r="AB100">
        <f t="shared" ca="1" si="12"/>
        <v>86448032.447027996</v>
      </c>
    </row>
    <row r="101" spans="1:28">
      <c r="A101" s="26">
        <v>42826</v>
      </c>
      <c r="B101">
        <f t="shared" si="6"/>
        <v>2017</v>
      </c>
      <c r="C101" s="127">
        <f ca="1">'Monthly Data'!O101</f>
        <v>75264677.349801004</v>
      </c>
      <c r="D101">
        <f t="shared" ca="1" si="10"/>
        <v>248.54999999999995</v>
      </c>
      <c r="E101">
        <f t="shared" ca="1" si="10"/>
        <v>2.63</v>
      </c>
      <c r="F101" s="127">
        <f>'Monthly Data'!BL101</f>
        <v>651932.30000000005</v>
      </c>
      <c r="G101">
        <f t="shared" si="13"/>
        <v>100</v>
      </c>
      <c r="H101">
        <f t="shared" ref="H101:L101" si="17">H89</f>
        <v>1</v>
      </c>
      <c r="I101">
        <f t="shared" si="17"/>
        <v>0</v>
      </c>
      <c r="J101">
        <f t="shared" si="17"/>
        <v>0</v>
      </c>
      <c r="K101">
        <f t="shared" si="17"/>
        <v>0</v>
      </c>
      <c r="L101">
        <f t="shared" si="17"/>
        <v>0</v>
      </c>
      <c r="M101" s="127">
        <f t="shared" si="15"/>
        <v>30</v>
      </c>
      <c r="N101" s="186">
        <f>'Monthly Data'!CD101</f>
        <v>19</v>
      </c>
      <c r="P101">
        <f>'GS &gt; 50 OLS Model'!$B$5</f>
        <v>-8508488.8174217809</v>
      </c>
      <c r="Q101" s="186">
        <f ca="1">'GS &gt; 50 OLS Model'!$B$6*D101</f>
        <v>6026301.9646165073</v>
      </c>
      <c r="R101" s="186">
        <f ca="1">'GS &gt; 50 OLS Model'!$B$7*E101</f>
        <v>187749.40648728516</v>
      </c>
      <c r="S101" s="186">
        <f>'GS &gt; 50 OLS Model'!$B$8*F101</f>
        <v>34137931.782857895</v>
      </c>
      <c r="T101" s="186">
        <v>0</v>
      </c>
      <c r="U101" s="186">
        <f>'GS &gt; 50 OLS Model'!$B$9*H101</f>
        <v>-1670359.8066300801</v>
      </c>
      <c r="V101" s="186">
        <f>'GS &gt; 50 OLS Model'!$B$10*I101</f>
        <v>0</v>
      </c>
      <c r="W101" s="186">
        <f>'GS &gt; 50 OLS Model'!$B$11*J101</f>
        <v>0</v>
      </c>
      <c r="X101" s="186">
        <f>'GS &gt; 50 OLS Model'!$B$12*K101</f>
        <v>0</v>
      </c>
      <c r="Y101" s="186">
        <v>0</v>
      </c>
      <c r="Z101" s="186">
        <f>'GS &gt; 50 OLS Model'!$B$13*M101</f>
        <v>33551198.840181898</v>
      </c>
      <c r="AA101" s="186">
        <f>'GS &gt; 50 OLS Model'!$B$14*N101</f>
        <v>12428939.531927491</v>
      </c>
      <c r="AB101">
        <f t="shared" ca="1" si="12"/>
        <v>76153272.902019218</v>
      </c>
    </row>
    <row r="102" spans="1:28">
      <c r="A102" s="26">
        <v>42856</v>
      </c>
      <c r="B102">
        <f t="shared" si="6"/>
        <v>2017</v>
      </c>
      <c r="C102" s="127">
        <f ca="1">'Monthly Data'!O102</f>
        <v>78986166.629801005</v>
      </c>
      <c r="D102">
        <f t="shared" ca="1" si="10"/>
        <v>92.740000000000009</v>
      </c>
      <c r="E102">
        <f t="shared" ca="1" si="10"/>
        <v>47.37</v>
      </c>
      <c r="F102" s="127">
        <f>'Monthly Data'!BL102</f>
        <v>651932.30000000005</v>
      </c>
      <c r="G102">
        <f t="shared" si="13"/>
        <v>101</v>
      </c>
      <c r="H102">
        <f t="shared" ref="H102:L102" si="18">H90</f>
        <v>0</v>
      </c>
      <c r="I102">
        <f t="shared" si="18"/>
        <v>0</v>
      </c>
      <c r="J102">
        <f t="shared" si="18"/>
        <v>0</v>
      </c>
      <c r="K102">
        <f t="shared" si="18"/>
        <v>0</v>
      </c>
      <c r="L102">
        <f t="shared" si="18"/>
        <v>0</v>
      </c>
      <c r="M102" s="127">
        <f t="shared" si="15"/>
        <v>31</v>
      </c>
      <c r="N102" s="186">
        <f>'Monthly Data'!CD102</f>
        <v>22</v>
      </c>
      <c r="P102">
        <f>'GS &gt; 50 OLS Model'!$B$5</f>
        <v>-8508488.8174217809</v>
      </c>
      <c r="Q102" s="186">
        <f ca="1">'GS &gt; 50 OLS Model'!$B$6*D102</f>
        <v>2248558.6167714144</v>
      </c>
      <c r="R102" s="186">
        <f ca="1">'GS &gt; 50 OLS Model'!$B$7*E102</f>
        <v>3381630.9449820146</v>
      </c>
      <c r="S102" s="186">
        <f>'GS &gt; 50 OLS Model'!$B$8*F102</f>
        <v>34137931.782857895</v>
      </c>
      <c r="T102" s="186">
        <v>0</v>
      </c>
      <c r="U102" s="186">
        <f>'GS &gt; 50 OLS Model'!$B$9*H102</f>
        <v>0</v>
      </c>
      <c r="V102" s="186">
        <f>'GS &gt; 50 OLS Model'!$B$10*I102</f>
        <v>0</v>
      </c>
      <c r="W102" s="186">
        <f>'GS &gt; 50 OLS Model'!$B$11*J102</f>
        <v>0</v>
      </c>
      <c r="X102" s="186">
        <f>'GS &gt; 50 OLS Model'!$B$12*K102</f>
        <v>0</v>
      </c>
      <c r="Y102" s="186">
        <v>0</v>
      </c>
      <c r="Z102" s="186">
        <f>'GS &gt; 50 OLS Model'!$B$13*M102</f>
        <v>34669572.13485463</v>
      </c>
      <c r="AA102" s="186">
        <f>'GS &gt; 50 OLS Model'!$B$14*N102</f>
        <v>14391403.668547621</v>
      </c>
      <c r="AB102">
        <f t="shared" ca="1" si="12"/>
        <v>80320608.330591798</v>
      </c>
    </row>
    <row r="103" spans="1:28">
      <c r="A103" s="26">
        <v>42887</v>
      </c>
      <c r="B103">
        <f t="shared" si="6"/>
        <v>2017</v>
      </c>
      <c r="C103" s="127">
        <f ca="1">'Monthly Data'!O103</f>
        <v>82979146.239801005</v>
      </c>
      <c r="D103">
        <f t="shared" ref="D103:E109" ca="1" si="19">D91</f>
        <v>9.08</v>
      </c>
      <c r="E103">
        <f t="shared" ca="1" si="19"/>
        <v>117.23999999999997</v>
      </c>
      <c r="F103" s="127">
        <f>'Monthly Data'!BL103</f>
        <v>651932.30000000005</v>
      </c>
      <c r="G103">
        <f t="shared" si="13"/>
        <v>102</v>
      </c>
      <c r="H103">
        <f t="shared" ref="H103:L103" si="20">H91</f>
        <v>0</v>
      </c>
      <c r="I103">
        <f t="shared" si="20"/>
        <v>1</v>
      </c>
      <c r="J103">
        <f t="shared" si="20"/>
        <v>0</v>
      </c>
      <c r="K103">
        <f t="shared" si="20"/>
        <v>0</v>
      </c>
      <c r="L103">
        <f t="shared" si="20"/>
        <v>0</v>
      </c>
      <c r="M103" s="127">
        <f t="shared" si="15"/>
        <v>30</v>
      </c>
      <c r="N103" s="186">
        <f>'Monthly Data'!CD103</f>
        <v>22</v>
      </c>
      <c r="P103">
        <f>'GS &gt; 50 OLS Model'!$B$5</f>
        <v>-8508488.8174217809</v>
      </c>
      <c r="Q103" s="186">
        <f ca="1">'GS &gt; 50 OLS Model'!$B$6*D103</f>
        <v>220152.16994052666</v>
      </c>
      <c r="R103" s="186">
        <f ca="1">'GS &gt; 50 OLS Model'!$B$7*E103</f>
        <v>8369483.0481252121</v>
      </c>
      <c r="S103" s="186">
        <f>'GS &gt; 50 OLS Model'!$B$8*F103</f>
        <v>34137931.782857895</v>
      </c>
      <c r="T103" s="186">
        <v>0</v>
      </c>
      <c r="U103" s="186">
        <f>'GS &gt; 50 OLS Model'!$B$9*H103</f>
        <v>0</v>
      </c>
      <c r="V103" s="186">
        <f>'GS &gt; 50 OLS Model'!$B$10*I103</f>
        <v>1244451.2383117899</v>
      </c>
      <c r="W103" s="186">
        <f>'GS &gt; 50 OLS Model'!$B$11*J103</f>
        <v>0</v>
      </c>
      <c r="X103" s="186">
        <f>'GS &gt; 50 OLS Model'!$B$12*K103</f>
        <v>0</v>
      </c>
      <c r="Y103" s="186">
        <v>0</v>
      </c>
      <c r="Z103" s="186">
        <f>'GS &gt; 50 OLS Model'!$B$13*M103</f>
        <v>33551198.840181898</v>
      </c>
      <c r="AA103" s="186">
        <f>'GS &gt; 50 OLS Model'!$B$14*N103</f>
        <v>14391403.668547621</v>
      </c>
      <c r="AB103">
        <f t="shared" ca="1" si="12"/>
        <v>83406131.930543154</v>
      </c>
    </row>
    <row r="104" spans="1:28">
      <c r="A104" s="26">
        <v>42917</v>
      </c>
      <c r="B104">
        <f t="shared" si="6"/>
        <v>2017</v>
      </c>
      <c r="C104" s="127">
        <f ca="1">'Monthly Data'!O104</f>
        <v>86438186.809800997</v>
      </c>
      <c r="D104">
        <f t="shared" ca="1" si="19"/>
        <v>0.51</v>
      </c>
      <c r="E104">
        <f t="shared" ca="1" si="19"/>
        <v>185.60999999999999</v>
      </c>
      <c r="F104" s="127">
        <f>'Monthly Data'!BL104</f>
        <v>651932.30000000005</v>
      </c>
      <c r="G104">
        <f t="shared" si="13"/>
        <v>103</v>
      </c>
      <c r="H104">
        <f t="shared" ref="H104:L104" si="21">H92</f>
        <v>0</v>
      </c>
      <c r="I104">
        <f t="shared" si="21"/>
        <v>0</v>
      </c>
      <c r="J104">
        <f t="shared" si="21"/>
        <v>0</v>
      </c>
      <c r="K104">
        <f t="shared" si="21"/>
        <v>0</v>
      </c>
      <c r="L104">
        <f t="shared" si="21"/>
        <v>0</v>
      </c>
      <c r="M104" s="127">
        <f t="shared" si="15"/>
        <v>31</v>
      </c>
      <c r="N104" s="186">
        <f>'Monthly Data'!CD104</f>
        <v>20</v>
      </c>
      <c r="P104">
        <f>'GS &gt; 50 OLS Model'!$B$5</f>
        <v>-8508488.8174217809</v>
      </c>
      <c r="Q104" s="186">
        <f ca="1">'GS &gt; 50 OLS Model'!$B$6*D104</f>
        <v>12365.375183884205</v>
      </c>
      <c r="R104" s="186">
        <f ca="1">'GS &gt; 50 OLS Model'!$B$7*E104</f>
        <v>13250253.740724334</v>
      </c>
      <c r="S104" s="186">
        <f>'GS &gt; 50 OLS Model'!$B$8*F104</f>
        <v>34137931.782857895</v>
      </c>
      <c r="T104" s="186">
        <v>0</v>
      </c>
      <c r="U104" s="186">
        <f>'GS &gt; 50 OLS Model'!$B$9*H104</f>
        <v>0</v>
      </c>
      <c r="V104" s="186">
        <f>'GS &gt; 50 OLS Model'!$B$10*I104</f>
        <v>0</v>
      </c>
      <c r="W104" s="186">
        <f>'GS &gt; 50 OLS Model'!$B$11*J104</f>
        <v>0</v>
      </c>
      <c r="X104" s="186">
        <f>'GS &gt; 50 OLS Model'!$B$12*K104</f>
        <v>0</v>
      </c>
      <c r="Y104" s="186">
        <v>0</v>
      </c>
      <c r="Z104" s="186">
        <f>'GS &gt; 50 OLS Model'!$B$13*M104</f>
        <v>34669572.13485463</v>
      </c>
      <c r="AA104" s="186">
        <f>'GS &gt; 50 OLS Model'!$B$14*N104</f>
        <v>13083094.244134201</v>
      </c>
      <c r="AB104">
        <f t="shared" ca="1" si="12"/>
        <v>86644728.460333169</v>
      </c>
    </row>
    <row r="105" spans="1:28">
      <c r="A105" s="26">
        <v>42948</v>
      </c>
      <c r="B105">
        <f t="shared" si="6"/>
        <v>2017</v>
      </c>
      <c r="C105" s="127">
        <f ca="1">'Monthly Data'!O105</f>
        <v>86020553.329801008</v>
      </c>
      <c r="D105">
        <f t="shared" ca="1" si="19"/>
        <v>1.51</v>
      </c>
      <c r="E105">
        <f t="shared" ca="1" si="19"/>
        <v>159.64000000000001</v>
      </c>
      <c r="F105" s="127">
        <f>'Monthly Data'!BL105</f>
        <v>651932.30000000005</v>
      </c>
      <c r="G105">
        <f t="shared" si="13"/>
        <v>104</v>
      </c>
      <c r="H105">
        <f t="shared" ref="H105:L105" si="22">H93</f>
        <v>0</v>
      </c>
      <c r="I105">
        <f t="shared" si="22"/>
        <v>0</v>
      </c>
      <c r="J105">
        <f t="shared" si="22"/>
        <v>1</v>
      </c>
      <c r="K105">
        <f t="shared" si="22"/>
        <v>0</v>
      </c>
      <c r="L105">
        <f t="shared" si="22"/>
        <v>0</v>
      </c>
      <c r="M105" s="127">
        <f t="shared" si="15"/>
        <v>31</v>
      </c>
      <c r="N105" s="186">
        <f>'Monthly Data'!CD105</f>
        <v>22</v>
      </c>
      <c r="P105">
        <f>'GS &gt; 50 OLS Model'!$B$5</f>
        <v>-8508488.8174217809</v>
      </c>
      <c r="Q105" s="186">
        <f ca="1">'GS &gt; 50 OLS Model'!$B$6*D105</f>
        <v>36611.208877774807</v>
      </c>
      <c r="R105" s="186">
        <f ca="1">'GS &gt; 50 OLS Model'!$B$7*E105</f>
        <v>11396317.586171182</v>
      </c>
      <c r="S105" s="186">
        <f>'GS &gt; 50 OLS Model'!$B$8*F105</f>
        <v>34137931.782857895</v>
      </c>
      <c r="T105" s="186">
        <v>0</v>
      </c>
      <c r="U105" s="186">
        <f>'GS &gt; 50 OLS Model'!$B$9*H105</f>
        <v>0</v>
      </c>
      <c r="V105" s="186">
        <f>'GS &gt; 50 OLS Model'!$B$10*I105</f>
        <v>0</v>
      </c>
      <c r="W105" s="186">
        <f>'GS &gt; 50 OLS Model'!$B$11*J105</f>
        <v>2505717.0713192602</v>
      </c>
      <c r="X105" s="186">
        <f>'GS &gt; 50 OLS Model'!$B$12*K105</f>
        <v>0</v>
      </c>
      <c r="Y105" s="186">
        <v>0</v>
      </c>
      <c r="Z105" s="186">
        <f>'GS &gt; 50 OLS Model'!$B$13*M105</f>
        <v>34669572.13485463</v>
      </c>
      <c r="AA105" s="186">
        <f>'GS &gt; 50 OLS Model'!$B$14*N105</f>
        <v>14391403.668547621</v>
      </c>
      <c r="AB105">
        <f t="shared" ca="1" si="12"/>
        <v>88629064.635206565</v>
      </c>
    </row>
    <row r="106" spans="1:28">
      <c r="A106" s="26">
        <v>42979</v>
      </c>
      <c r="B106">
        <f t="shared" si="6"/>
        <v>2017</v>
      </c>
      <c r="C106" s="127">
        <f ca="1">'Monthly Data'!O106</f>
        <v>80922821.089800999</v>
      </c>
      <c r="D106">
        <f t="shared" ca="1" si="19"/>
        <v>33.01</v>
      </c>
      <c r="E106">
        <f t="shared" ca="1" si="19"/>
        <v>72.989999999999981</v>
      </c>
      <c r="F106" s="127">
        <f>'Monthly Data'!BL106</f>
        <v>651932.30000000005</v>
      </c>
      <c r="G106">
        <f t="shared" si="13"/>
        <v>105</v>
      </c>
      <c r="H106">
        <f t="shared" ref="H106:L106" si="23">H94</f>
        <v>0</v>
      </c>
      <c r="I106">
        <f t="shared" si="23"/>
        <v>0</v>
      </c>
      <c r="J106">
        <f t="shared" si="23"/>
        <v>0</v>
      </c>
      <c r="K106">
        <f t="shared" si="23"/>
        <v>1</v>
      </c>
      <c r="L106">
        <f t="shared" si="23"/>
        <v>0</v>
      </c>
      <c r="M106" s="127">
        <f t="shared" si="15"/>
        <v>30</v>
      </c>
      <c r="N106" s="186">
        <f>'Monthly Data'!CD106</f>
        <v>20</v>
      </c>
      <c r="P106">
        <f>'GS &gt; 50 OLS Model'!$B$5</f>
        <v>-8508488.8174217809</v>
      </c>
      <c r="Q106" s="186">
        <f ca="1">'GS &gt; 50 OLS Model'!$B$6*D106</f>
        <v>800354.97023532866</v>
      </c>
      <c r="R106" s="186">
        <f ca="1">'GS &gt; 50 OLS Model'!$B$7*E106</f>
        <v>5210581.4370748829</v>
      </c>
      <c r="S106" s="186">
        <f>'GS &gt; 50 OLS Model'!$B$8*F106</f>
        <v>34137931.782857895</v>
      </c>
      <c r="T106" s="186">
        <v>0</v>
      </c>
      <c r="U106" s="186">
        <f>'GS &gt; 50 OLS Model'!$B$9*H106</f>
        <v>0</v>
      </c>
      <c r="V106" s="186">
        <f>'GS &gt; 50 OLS Model'!$B$10*I106</f>
        <v>0</v>
      </c>
      <c r="W106" s="186">
        <f>'GS &gt; 50 OLS Model'!$B$11*J106</f>
        <v>0</v>
      </c>
      <c r="X106" s="186">
        <f>'GS &gt; 50 OLS Model'!$B$12*K106</f>
        <v>2345350.8919449002</v>
      </c>
      <c r="Y106" s="186">
        <v>0</v>
      </c>
      <c r="Z106" s="186">
        <f>'GS &gt; 50 OLS Model'!$B$13*M106</f>
        <v>33551198.840181898</v>
      </c>
      <c r="AA106" s="186">
        <f>'GS &gt; 50 OLS Model'!$B$14*N106</f>
        <v>13083094.244134201</v>
      </c>
      <c r="AB106">
        <f t="shared" ca="1" si="12"/>
        <v>80620023.349007323</v>
      </c>
    </row>
    <row r="107" spans="1:28">
      <c r="A107" s="26">
        <v>43009</v>
      </c>
      <c r="B107">
        <f t="shared" ref="B107:B133" si="24">YEAR(A107)</f>
        <v>2017</v>
      </c>
      <c r="C107" s="127">
        <f ca="1">'Monthly Data'!O107</f>
        <v>79895134.919800997</v>
      </c>
      <c r="D107">
        <f t="shared" ca="1" si="19"/>
        <v>177.83999999999997</v>
      </c>
      <c r="E107">
        <f t="shared" ca="1" si="19"/>
        <v>10.779999999999998</v>
      </c>
      <c r="F107" s="127">
        <f>'Monthly Data'!BL107</f>
        <v>651932.30000000005</v>
      </c>
      <c r="G107">
        <f t="shared" si="13"/>
        <v>106</v>
      </c>
      <c r="H107">
        <f t="shared" ref="H107:L107" si="25">H95</f>
        <v>0</v>
      </c>
      <c r="I107">
        <f t="shared" si="25"/>
        <v>0</v>
      </c>
      <c r="J107">
        <f t="shared" si="25"/>
        <v>0</v>
      </c>
      <c r="K107">
        <f t="shared" si="25"/>
        <v>0</v>
      </c>
      <c r="L107">
        <f t="shared" si="25"/>
        <v>1</v>
      </c>
      <c r="M107" s="127">
        <f t="shared" si="15"/>
        <v>31</v>
      </c>
      <c r="N107" s="186">
        <f>'Monthly Data'!CD107</f>
        <v>21</v>
      </c>
      <c r="P107">
        <f>'GS &gt; 50 OLS Model'!$B$5</f>
        <v>-8508488.8174217809</v>
      </c>
      <c r="Q107" s="186">
        <f ca="1">'GS &gt; 50 OLS Model'!$B$6*D107</f>
        <v>4311879.0641215034</v>
      </c>
      <c r="R107" s="186">
        <f ca="1">'GS &gt; 50 OLS Model'!$B$7*E107</f>
        <v>769558.40377678082</v>
      </c>
      <c r="S107" s="186">
        <f>'GS &gt; 50 OLS Model'!$B$8*F107</f>
        <v>34137931.782857895</v>
      </c>
      <c r="T107" s="186">
        <v>0</v>
      </c>
      <c r="U107" s="186">
        <f>'GS &gt; 50 OLS Model'!$B$9*H107</f>
        <v>0</v>
      </c>
      <c r="V107" s="186">
        <f>'GS &gt; 50 OLS Model'!$B$10*I107</f>
        <v>0</v>
      </c>
      <c r="W107" s="186">
        <f>'GS &gt; 50 OLS Model'!$B$11*J107</f>
        <v>0</v>
      </c>
      <c r="X107" s="186">
        <f>'GS &gt; 50 OLS Model'!$B$12*K107</f>
        <v>0</v>
      </c>
      <c r="Y107" s="186">
        <v>0</v>
      </c>
      <c r="Z107" s="186">
        <f>'GS &gt; 50 OLS Model'!$B$13*M107</f>
        <v>34669572.13485463</v>
      </c>
      <c r="AA107" s="186">
        <f>'GS &gt; 50 OLS Model'!$B$14*N107</f>
        <v>13737248.956340911</v>
      </c>
      <c r="AB107">
        <f t="shared" ca="1" si="12"/>
        <v>79117701.524529934</v>
      </c>
    </row>
    <row r="108" spans="1:28">
      <c r="A108" s="26">
        <v>43040</v>
      </c>
      <c r="B108">
        <f t="shared" si="24"/>
        <v>2017</v>
      </c>
      <c r="C108" s="127">
        <f ca="1">'Monthly Data'!O108</f>
        <v>81623489.689801008</v>
      </c>
      <c r="D108">
        <f t="shared" ca="1" si="19"/>
        <v>361.94999999999993</v>
      </c>
      <c r="E108">
        <f t="shared" ca="1" si="19"/>
        <v>0.05</v>
      </c>
      <c r="F108" s="127">
        <f>'Monthly Data'!BL108</f>
        <v>651932.30000000005</v>
      </c>
      <c r="G108">
        <f t="shared" si="13"/>
        <v>107</v>
      </c>
      <c r="H108">
        <f t="shared" ref="H108:L108" si="26">H96</f>
        <v>0</v>
      </c>
      <c r="I108">
        <f t="shared" si="26"/>
        <v>0</v>
      </c>
      <c r="J108">
        <f t="shared" si="26"/>
        <v>0</v>
      </c>
      <c r="K108">
        <f t="shared" si="26"/>
        <v>0</v>
      </c>
      <c r="L108">
        <f t="shared" si="26"/>
        <v>0</v>
      </c>
      <c r="M108" s="127">
        <f t="shared" si="15"/>
        <v>30</v>
      </c>
      <c r="N108" s="186">
        <f>'Monthly Data'!CD108</f>
        <v>22</v>
      </c>
      <c r="P108">
        <f>'GS &gt; 50 OLS Model'!$B$5</f>
        <v>-8508488.8174217809</v>
      </c>
      <c r="Q108" s="186">
        <f ca="1">'GS &gt; 50 OLS Model'!$B$6*D108</f>
        <v>8775779.505503701</v>
      </c>
      <c r="R108" s="186">
        <f ca="1">'GS &gt; 50 OLS Model'!$B$7*E108</f>
        <v>3569.3803514693</v>
      </c>
      <c r="S108" s="186">
        <f>'GS &gt; 50 OLS Model'!$B$8*F108</f>
        <v>34137931.782857895</v>
      </c>
      <c r="T108" s="186">
        <v>0</v>
      </c>
      <c r="U108" s="186">
        <f>'GS &gt; 50 OLS Model'!$B$9*H108</f>
        <v>0</v>
      </c>
      <c r="V108" s="186">
        <f>'GS &gt; 50 OLS Model'!$B$10*I108</f>
        <v>0</v>
      </c>
      <c r="W108" s="186">
        <f>'GS &gt; 50 OLS Model'!$B$11*J108</f>
        <v>0</v>
      </c>
      <c r="X108" s="186">
        <f>'GS &gt; 50 OLS Model'!$B$12*K108</f>
        <v>0</v>
      </c>
      <c r="Y108" s="186">
        <v>0</v>
      </c>
      <c r="Z108" s="186">
        <f>'GS &gt; 50 OLS Model'!$B$13*M108</f>
        <v>33551198.840181898</v>
      </c>
      <c r="AA108" s="186">
        <f>'GS &gt; 50 OLS Model'!$B$14*N108</f>
        <v>14391403.668547621</v>
      </c>
      <c r="AB108">
        <f t="shared" ca="1" si="12"/>
        <v>82351394.360020801</v>
      </c>
    </row>
    <row r="109" spans="1:28">
      <c r="A109" s="26">
        <v>43070</v>
      </c>
      <c r="B109">
        <f t="shared" si="24"/>
        <v>2017</v>
      </c>
      <c r="C109" s="127">
        <f ca="1">'Monthly Data'!O109</f>
        <v>86732874.189801008</v>
      </c>
      <c r="D109">
        <f t="shared" ca="1" si="19"/>
        <v>556.41000000000008</v>
      </c>
      <c r="E109">
        <f t="shared" ca="1" si="19"/>
        <v>0</v>
      </c>
      <c r="F109" s="127">
        <f>'Monthly Data'!BL109</f>
        <v>651932.30000000005</v>
      </c>
      <c r="G109">
        <f t="shared" si="13"/>
        <v>108</v>
      </c>
      <c r="H109">
        <f t="shared" ref="H109:L109" si="27">H97</f>
        <v>0</v>
      </c>
      <c r="I109">
        <f t="shared" si="27"/>
        <v>0</v>
      </c>
      <c r="J109">
        <f t="shared" si="27"/>
        <v>0</v>
      </c>
      <c r="K109">
        <f t="shared" si="27"/>
        <v>0</v>
      </c>
      <c r="L109">
        <f t="shared" si="27"/>
        <v>0</v>
      </c>
      <c r="M109" s="127">
        <f t="shared" si="15"/>
        <v>31</v>
      </c>
      <c r="N109" s="186">
        <f>'Monthly Data'!CD109</f>
        <v>19</v>
      </c>
      <c r="P109">
        <f>'GS &gt; 50 OLS Model'!$B$5</f>
        <v>-8508488.8174217809</v>
      </c>
      <c r="Q109" s="186">
        <f ca="1">'GS &gt; 50 OLS Model'!$B$6*D109</f>
        <v>13490624.325617671</v>
      </c>
      <c r="R109" s="186">
        <f ca="1">'GS &gt; 50 OLS Model'!$B$7*E109</f>
        <v>0</v>
      </c>
      <c r="S109" s="186">
        <f>'GS &gt; 50 OLS Model'!$B$8*F109</f>
        <v>34137931.782857895</v>
      </c>
      <c r="T109" s="186">
        <v>0</v>
      </c>
      <c r="U109" s="186">
        <f>'GS &gt; 50 OLS Model'!$B$9*H109</f>
        <v>0</v>
      </c>
      <c r="V109" s="186">
        <f>'GS &gt; 50 OLS Model'!$B$10*I109</f>
        <v>0</v>
      </c>
      <c r="W109" s="186">
        <f>'GS &gt; 50 OLS Model'!$B$11*J109</f>
        <v>0</v>
      </c>
      <c r="X109" s="186">
        <f>'GS &gt; 50 OLS Model'!$B$12*K109</f>
        <v>0</v>
      </c>
      <c r="Y109" s="186">
        <v>0</v>
      </c>
      <c r="Z109" s="186">
        <f>'GS &gt; 50 OLS Model'!$B$13*M109</f>
        <v>34669572.13485463</v>
      </c>
      <c r="AA109" s="186">
        <f>'GS &gt; 50 OLS Model'!$B$14*N109</f>
        <v>12428939.531927491</v>
      </c>
      <c r="AB109">
        <f t="shared" ca="1" si="12"/>
        <v>86218578.957835913</v>
      </c>
    </row>
    <row r="110" spans="1:28">
      <c r="A110" s="128">
        <v>43101</v>
      </c>
      <c r="B110" s="186">
        <f t="shared" si="24"/>
        <v>2018</v>
      </c>
      <c r="C110" s="186">
        <f ca="1">'Monthly Data'!O110</f>
        <v>93400783.231379122</v>
      </c>
      <c r="D110" s="186">
        <f t="shared" ref="D110:E110" ca="1" si="28">D98</f>
        <v>659.42999999999984</v>
      </c>
      <c r="E110" s="186">
        <f t="shared" ca="1" si="28"/>
        <v>0</v>
      </c>
      <c r="F110" s="186">
        <f>'Monthly Data'!BL110</f>
        <v>665994.78021817585</v>
      </c>
      <c r="G110" s="186">
        <f t="shared" si="13"/>
        <v>109</v>
      </c>
      <c r="H110" s="186">
        <f t="shared" ref="H110:L110" si="29">H98</f>
        <v>0</v>
      </c>
      <c r="I110" s="186">
        <f t="shared" si="29"/>
        <v>0</v>
      </c>
      <c r="J110" s="186">
        <f t="shared" si="29"/>
        <v>0</v>
      </c>
      <c r="K110" s="186">
        <f t="shared" si="29"/>
        <v>0</v>
      </c>
      <c r="L110" s="186">
        <f t="shared" si="29"/>
        <v>0</v>
      </c>
      <c r="M110" s="186">
        <f t="shared" si="15"/>
        <v>31</v>
      </c>
      <c r="N110" s="186">
        <f>'Monthly Data'!CD110</f>
        <v>22</v>
      </c>
      <c r="O110" s="186"/>
      <c r="P110" s="186">
        <f>'GS &gt; 50 OLS Model'!$B$5</f>
        <v>-8508488.8174217809</v>
      </c>
      <c r="Q110" s="186">
        <f ca="1">'GS &gt; 50 OLS Model'!$B$6*D110</f>
        <v>15988430.112762274</v>
      </c>
      <c r="R110" s="186">
        <f ca="1">'GS &gt; 50 OLS Model'!$B$7*E110</f>
        <v>0</v>
      </c>
      <c r="S110" s="186">
        <f>'GS &gt; 50 OLS Model'!$B$8*F110</f>
        <v>34874302.707240492</v>
      </c>
      <c r="T110" s="186">
        <v>0</v>
      </c>
      <c r="U110" s="186">
        <f>'GS &gt; 50 OLS Model'!$B$9*H110</f>
        <v>0</v>
      </c>
      <c r="V110" s="186">
        <f>'GS &gt; 50 OLS Model'!$B$10*I110</f>
        <v>0</v>
      </c>
      <c r="W110" s="186">
        <f>'GS &gt; 50 OLS Model'!$B$11*J110</f>
        <v>0</v>
      </c>
      <c r="X110" s="186">
        <f>'GS &gt; 50 OLS Model'!$B$12*K110</f>
        <v>0</v>
      </c>
      <c r="Y110" s="186">
        <v>0</v>
      </c>
      <c r="Z110" s="186">
        <f>'GS &gt; 50 OLS Model'!$B$13*M110</f>
        <v>34669572.13485463</v>
      </c>
      <c r="AA110" s="186">
        <f>'GS &gt; 50 OLS Model'!$B$14*N110</f>
        <v>14391403.668547621</v>
      </c>
      <c r="AB110" s="186">
        <f t="shared" ref="AB110:AB121" ca="1" si="30">SUM(P110:AA110)</f>
        <v>91415219.80598323</v>
      </c>
    </row>
    <row r="111" spans="1:28">
      <c r="A111" s="128">
        <v>43132</v>
      </c>
      <c r="B111" s="186">
        <f t="shared" si="24"/>
        <v>2018</v>
      </c>
      <c r="C111" s="186">
        <f ca="1">'Monthly Data'!O111</f>
        <v>82408782.703978285</v>
      </c>
      <c r="D111" s="186">
        <f t="shared" ref="D111:E111" ca="1" si="31">D99</f>
        <v>571.77</v>
      </c>
      <c r="E111" s="186">
        <f t="shared" ca="1" si="31"/>
        <v>0</v>
      </c>
      <c r="F111" s="186">
        <f>'Monthly Data'!BL111</f>
        <v>665994.78021817585</v>
      </c>
      <c r="G111" s="186">
        <f t="shared" si="13"/>
        <v>110</v>
      </c>
      <c r="H111" s="186">
        <f t="shared" ref="H111:L111" si="32">H99</f>
        <v>0</v>
      </c>
      <c r="I111" s="186">
        <f t="shared" si="32"/>
        <v>0</v>
      </c>
      <c r="J111" s="186">
        <f t="shared" si="32"/>
        <v>0</v>
      </c>
      <c r="K111" s="186">
        <f t="shared" si="32"/>
        <v>0</v>
      </c>
      <c r="L111" s="186">
        <f t="shared" si="32"/>
        <v>0</v>
      </c>
      <c r="M111" s="186">
        <f t="shared" si="15"/>
        <v>28</v>
      </c>
      <c r="N111" s="186">
        <f>'Monthly Data'!CD111</f>
        <v>19</v>
      </c>
      <c r="O111" s="186"/>
      <c r="P111" s="186">
        <f>'GS &gt; 50 OLS Model'!$B$5</f>
        <v>-8508488.8174217809</v>
      </c>
      <c r="Q111" s="186">
        <f ca="1">'GS &gt; 50 OLS Model'!$B$6*D111</f>
        <v>13863040.331155827</v>
      </c>
      <c r="R111" s="186">
        <f ca="1">'GS &gt; 50 OLS Model'!$B$7*E111</f>
        <v>0</v>
      </c>
      <c r="S111" s="186">
        <f>'GS &gt; 50 OLS Model'!$B$8*F111</f>
        <v>34874302.707240492</v>
      </c>
      <c r="T111" s="186">
        <v>0</v>
      </c>
      <c r="U111" s="186">
        <f>'GS &gt; 50 OLS Model'!$B$9*H111</f>
        <v>0</v>
      </c>
      <c r="V111" s="186">
        <f>'GS &gt; 50 OLS Model'!$B$10*I111</f>
        <v>0</v>
      </c>
      <c r="W111" s="186">
        <f>'GS &gt; 50 OLS Model'!$B$11*J111</f>
        <v>0</v>
      </c>
      <c r="X111" s="186">
        <f>'GS &gt; 50 OLS Model'!$B$12*K111</f>
        <v>0</v>
      </c>
      <c r="Y111" s="186">
        <v>0</v>
      </c>
      <c r="Z111" s="186">
        <f>'GS &gt; 50 OLS Model'!$B$13*M111</f>
        <v>31314452.250836439</v>
      </c>
      <c r="AA111" s="186">
        <f>'GS &gt; 50 OLS Model'!$B$14*N111</f>
        <v>12428939.531927491</v>
      </c>
      <c r="AB111" s="186">
        <f t="shared" ca="1" si="30"/>
        <v>83972246.003738463</v>
      </c>
    </row>
    <row r="112" spans="1:28">
      <c r="A112" s="128">
        <v>43160</v>
      </c>
      <c r="B112" s="186">
        <f t="shared" si="24"/>
        <v>2018</v>
      </c>
      <c r="C112" s="186">
        <f ca="1">'Monthly Data'!O112</f>
        <v>87484965.565347284</v>
      </c>
      <c r="D112" s="186">
        <f t="shared" ref="D112:E112" ca="1" si="33">D100</f>
        <v>456.53999999999996</v>
      </c>
      <c r="E112" s="186">
        <f t="shared" ca="1" si="33"/>
        <v>0.48</v>
      </c>
      <c r="F112" s="186">
        <f>'Monthly Data'!BL112</f>
        <v>665994.78021817585</v>
      </c>
      <c r="G112" s="186">
        <f t="shared" si="13"/>
        <v>111</v>
      </c>
      <c r="H112" s="186">
        <f t="shared" ref="H112:L112" si="34">H100</f>
        <v>0</v>
      </c>
      <c r="I112" s="186">
        <f t="shared" si="34"/>
        <v>0</v>
      </c>
      <c r="J112" s="186">
        <f t="shared" si="34"/>
        <v>0</v>
      </c>
      <c r="K112" s="186">
        <f t="shared" si="34"/>
        <v>0</v>
      </c>
      <c r="L112" s="186">
        <f t="shared" si="34"/>
        <v>0</v>
      </c>
      <c r="M112" s="186">
        <f t="shared" si="15"/>
        <v>31</v>
      </c>
      <c r="N112" s="186">
        <f>'Monthly Data'!CD112</f>
        <v>21</v>
      </c>
      <c r="O112" s="186"/>
      <c r="P112" s="186">
        <f>'GS &gt; 50 OLS Model'!$B$5</f>
        <v>-8508488.8174217809</v>
      </c>
      <c r="Q112" s="186">
        <f ca="1">'GS &gt; 50 OLS Model'!$B$6*D112</f>
        <v>11069192.914608814</v>
      </c>
      <c r="R112" s="186">
        <f ca="1">'GS &gt; 50 OLS Model'!$B$7*E112</f>
        <v>34266.051374105278</v>
      </c>
      <c r="S112" s="186">
        <f>'GS &gt; 50 OLS Model'!$B$8*F112</f>
        <v>34874302.707240492</v>
      </c>
      <c r="T112" s="186">
        <v>0</v>
      </c>
      <c r="U112" s="186">
        <f>'GS &gt; 50 OLS Model'!$B$9*H112</f>
        <v>0</v>
      </c>
      <c r="V112" s="186">
        <f>'GS &gt; 50 OLS Model'!$B$10*I112</f>
        <v>0</v>
      </c>
      <c r="W112" s="186">
        <f>'GS &gt; 50 OLS Model'!$B$11*J112</f>
        <v>0</v>
      </c>
      <c r="X112" s="186">
        <f>'GS &gt; 50 OLS Model'!$B$12*K112</f>
        <v>0</v>
      </c>
      <c r="Y112" s="186">
        <v>0</v>
      </c>
      <c r="Z112" s="186">
        <f>'GS &gt; 50 OLS Model'!$B$13*M112</f>
        <v>34669572.13485463</v>
      </c>
      <c r="AA112" s="186">
        <f>'GS &gt; 50 OLS Model'!$B$14*N112</f>
        <v>13737248.956340911</v>
      </c>
      <c r="AB112" s="186">
        <f t="shared" ca="1" si="30"/>
        <v>85876093.946997166</v>
      </c>
    </row>
    <row r="113" spans="1:28">
      <c r="A113" s="128">
        <v>43191</v>
      </c>
      <c r="B113" s="186">
        <f t="shared" si="24"/>
        <v>2018</v>
      </c>
      <c r="C113" s="186">
        <f ca="1">'Monthly Data'!O113</f>
        <v>80547273.998100206</v>
      </c>
      <c r="D113" s="186">
        <f t="shared" ref="D113:E113" ca="1" si="35">D101</f>
        <v>248.54999999999995</v>
      </c>
      <c r="E113" s="186">
        <f t="shared" ca="1" si="35"/>
        <v>2.63</v>
      </c>
      <c r="F113" s="186">
        <f>'Monthly Data'!BL113</f>
        <v>665994.78021817585</v>
      </c>
      <c r="G113" s="186">
        <f t="shared" si="13"/>
        <v>112</v>
      </c>
      <c r="H113" s="186">
        <f t="shared" ref="H113:L113" si="36">H101</f>
        <v>1</v>
      </c>
      <c r="I113" s="186">
        <f t="shared" si="36"/>
        <v>0</v>
      </c>
      <c r="J113" s="186">
        <f t="shared" si="36"/>
        <v>0</v>
      </c>
      <c r="K113" s="186">
        <f t="shared" si="36"/>
        <v>0</v>
      </c>
      <c r="L113" s="186">
        <f t="shared" si="36"/>
        <v>0</v>
      </c>
      <c r="M113" s="186">
        <f t="shared" si="15"/>
        <v>30</v>
      </c>
      <c r="N113" s="186">
        <f>'Monthly Data'!CD113</f>
        <v>21</v>
      </c>
      <c r="O113" s="186"/>
      <c r="P113" s="186">
        <f>'GS &gt; 50 OLS Model'!$B$5</f>
        <v>-8508488.8174217809</v>
      </c>
      <c r="Q113" s="186">
        <f ca="1">'GS &gt; 50 OLS Model'!$B$6*D113</f>
        <v>6026301.9646165073</v>
      </c>
      <c r="R113" s="186">
        <f ca="1">'GS &gt; 50 OLS Model'!$B$7*E113</f>
        <v>187749.40648728516</v>
      </c>
      <c r="S113" s="186">
        <f>'GS &gt; 50 OLS Model'!$B$8*F113</f>
        <v>34874302.707240492</v>
      </c>
      <c r="T113" s="186">
        <v>0</v>
      </c>
      <c r="U113" s="186">
        <f>'GS &gt; 50 OLS Model'!$B$9*H113</f>
        <v>-1670359.8066300801</v>
      </c>
      <c r="V113" s="186">
        <f>'GS &gt; 50 OLS Model'!$B$10*I113</f>
        <v>0</v>
      </c>
      <c r="W113" s="186">
        <f>'GS &gt; 50 OLS Model'!$B$11*J113</f>
        <v>0</v>
      </c>
      <c r="X113" s="186">
        <f>'GS &gt; 50 OLS Model'!$B$12*K113</f>
        <v>0</v>
      </c>
      <c r="Y113" s="186">
        <v>0</v>
      </c>
      <c r="Z113" s="186">
        <f>'GS &gt; 50 OLS Model'!$B$13*M113</f>
        <v>33551198.840181898</v>
      </c>
      <c r="AA113" s="186">
        <f>'GS &gt; 50 OLS Model'!$B$14*N113</f>
        <v>13737248.956340911</v>
      </c>
      <c r="AB113" s="186">
        <f t="shared" ca="1" si="30"/>
        <v>78197953.250815228</v>
      </c>
    </row>
    <row r="114" spans="1:28">
      <c r="A114" s="128">
        <v>43221</v>
      </c>
      <c r="B114" s="186">
        <f t="shared" si="24"/>
        <v>2018</v>
      </c>
      <c r="C114" s="186">
        <f ca="1">'Monthly Data'!O114</f>
        <v>81380421.939878672</v>
      </c>
      <c r="D114" s="186">
        <f t="shared" ref="D114:E114" ca="1" si="37">D102</f>
        <v>92.740000000000009</v>
      </c>
      <c r="E114" s="186">
        <f t="shared" ca="1" si="37"/>
        <v>47.37</v>
      </c>
      <c r="F114" s="186">
        <f>'Monthly Data'!BL114</f>
        <v>665994.78021817585</v>
      </c>
      <c r="G114" s="186">
        <f t="shared" si="13"/>
        <v>113</v>
      </c>
      <c r="H114" s="186">
        <f t="shared" ref="H114:L114" si="38">H102</f>
        <v>0</v>
      </c>
      <c r="I114" s="186">
        <f t="shared" si="38"/>
        <v>0</v>
      </c>
      <c r="J114" s="186">
        <f t="shared" si="38"/>
        <v>0</v>
      </c>
      <c r="K114" s="186">
        <f t="shared" si="38"/>
        <v>0</v>
      </c>
      <c r="L114" s="186">
        <f t="shared" si="38"/>
        <v>0</v>
      </c>
      <c r="M114" s="186">
        <f t="shared" si="15"/>
        <v>31</v>
      </c>
      <c r="N114" s="186">
        <f>'Monthly Data'!CD114</f>
        <v>22</v>
      </c>
      <c r="O114" s="186"/>
      <c r="P114" s="186">
        <f>'GS &gt; 50 OLS Model'!$B$5</f>
        <v>-8508488.8174217809</v>
      </c>
      <c r="Q114" s="186">
        <f ca="1">'GS &gt; 50 OLS Model'!$B$6*D114</f>
        <v>2248558.6167714144</v>
      </c>
      <c r="R114" s="186">
        <f ca="1">'GS &gt; 50 OLS Model'!$B$7*E114</f>
        <v>3381630.9449820146</v>
      </c>
      <c r="S114" s="186">
        <f>'GS &gt; 50 OLS Model'!$B$8*F114</f>
        <v>34874302.707240492</v>
      </c>
      <c r="T114" s="186">
        <v>0</v>
      </c>
      <c r="U114" s="186">
        <f>'GS &gt; 50 OLS Model'!$B$9*H114</f>
        <v>0</v>
      </c>
      <c r="V114" s="186">
        <f>'GS &gt; 50 OLS Model'!$B$10*I114</f>
        <v>0</v>
      </c>
      <c r="W114" s="186">
        <f>'GS &gt; 50 OLS Model'!$B$11*J114</f>
        <v>0</v>
      </c>
      <c r="X114" s="186">
        <f>'GS &gt; 50 OLS Model'!$B$12*K114</f>
        <v>0</v>
      </c>
      <c r="Y114" s="186">
        <v>0</v>
      </c>
      <c r="Z114" s="186">
        <f>'GS &gt; 50 OLS Model'!$B$13*M114</f>
        <v>34669572.13485463</v>
      </c>
      <c r="AA114" s="186">
        <f>'GS &gt; 50 OLS Model'!$B$14*N114</f>
        <v>14391403.668547621</v>
      </c>
      <c r="AB114" s="186">
        <f t="shared" ca="1" si="30"/>
        <v>81056979.254974395</v>
      </c>
    </row>
    <row r="115" spans="1:28">
      <c r="A115" s="128">
        <v>43252</v>
      </c>
      <c r="B115" s="186">
        <f t="shared" si="24"/>
        <v>2018</v>
      </c>
      <c r="C115" s="186">
        <f ca="1">'Monthly Data'!O115</f>
        <v>84189429.225478336</v>
      </c>
      <c r="D115" s="186">
        <f t="shared" ref="D115:E115" ca="1" si="39">D103</f>
        <v>9.08</v>
      </c>
      <c r="E115" s="186">
        <f t="shared" ca="1" si="39"/>
        <v>117.23999999999997</v>
      </c>
      <c r="F115" s="186">
        <f>'Monthly Data'!BL115</f>
        <v>665994.78021817585</v>
      </c>
      <c r="G115" s="186">
        <f t="shared" si="13"/>
        <v>114</v>
      </c>
      <c r="H115" s="186">
        <f t="shared" ref="H115:L115" si="40">H103</f>
        <v>0</v>
      </c>
      <c r="I115" s="186">
        <f t="shared" si="40"/>
        <v>1</v>
      </c>
      <c r="J115" s="186">
        <f t="shared" si="40"/>
        <v>0</v>
      </c>
      <c r="K115" s="186">
        <f t="shared" si="40"/>
        <v>0</v>
      </c>
      <c r="L115" s="186">
        <f t="shared" si="40"/>
        <v>0</v>
      </c>
      <c r="M115" s="186">
        <f t="shared" si="15"/>
        <v>30</v>
      </c>
      <c r="N115" s="186">
        <f>'Monthly Data'!CD115</f>
        <v>21</v>
      </c>
      <c r="O115" s="186"/>
      <c r="P115" s="186">
        <f>'GS &gt; 50 OLS Model'!$B$5</f>
        <v>-8508488.8174217809</v>
      </c>
      <c r="Q115" s="186">
        <f ca="1">'GS &gt; 50 OLS Model'!$B$6*D115</f>
        <v>220152.16994052666</v>
      </c>
      <c r="R115" s="186">
        <f ca="1">'GS &gt; 50 OLS Model'!$B$7*E115</f>
        <v>8369483.0481252121</v>
      </c>
      <c r="S115" s="186">
        <f>'GS &gt; 50 OLS Model'!$B$8*F115</f>
        <v>34874302.707240492</v>
      </c>
      <c r="T115" s="186">
        <v>0</v>
      </c>
      <c r="U115" s="186">
        <f>'GS &gt; 50 OLS Model'!$B$9*H115</f>
        <v>0</v>
      </c>
      <c r="V115" s="186">
        <f>'GS &gt; 50 OLS Model'!$B$10*I115</f>
        <v>1244451.2383117899</v>
      </c>
      <c r="W115" s="186">
        <f>'GS &gt; 50 OLS Model'!$B$11*J115</f>
        <v>0</v>
      </c>
      <c r="X115" s="186">
        <f>'GS &gt; 50 OLS Model'!$B$12*K115</f>
        <v>0</v>
      </c>
      <c r="Y115" s="186">
        <v>0</v>
      </c>
      <c r="Z115" s="186">
        <f>'GS &gt; 50 OLS Model'!$B$13*M115</f>
        <v>33551198.840181898</v>
      </c>
      <c r="AA115" s="186">
        <f>'GS &gt; 50 OLS Model'!$B$14*N115</f>
        <v>13737248.956340911</v>
      </c>
      <c r="AB115" s="186">
        <f t="shared" ca="1" si="30"/>
        <v>83488348.142719045</v>
      </c>
    </row>
    <row r="116" spans="1:28">
      <c r="A116" s="128">
        <v>43282</v>
      </c>
      <c r="B116" s="186">
        <f t="shared" si="24"/>
        <v>2018</v>
      </c>
      <c r="C116" s="186">
        <f ca="1">'Monthly Data'!O116</f>
        <v>88386784.550160423</v>
      </c>
      <c r="D116" s="186">
        <f t="shared" ref="D116:E116" ca="1" si="41">D104</f>
        <v>0.51</v>
      </c>
      <c r="E116" s="186">
        <f t="shared" ca="1" si="41"/>
        <v>185.60999999999999</v>
      </c>
      <c r="F116" s="186">
        <f>'Monthly Data'!BL116</f>
        <v>665994.78021817585</v>
      </c>
      <c r="G116" s="186">
        <f t="shared" si="13"/>
        <v>115</v>
      </c>
      <c r="H116" s="186">
        <f t="shared" ref="H116:L116" si="42">H104</f>
        <v>0</v>
      </c>
      <c r="I116" s="186">
        <f t="shared" si="42"/>
        <v>0</v>
      </c>
      <c r="J116" s="186">
        <f t="shared" si="42"/>
        <v>0</v>
      </c>
      <c r="K116" s="186">
        <f t="shared" si="42"/>
        <v>0</v>
      </c>
      <c r="L116" s="186">
        <f t="shared" si="42"/>
        <v>0</v>
      </c>
      <c r="M116" s="186">
        <f t="shared" si="15"/>
        <v>31</v>
      </c>
      <c r="N116" s="186">
        <f>'Monthly Data'!CD116</f>
        <v>21</v>
      </c>
      <c r="O116" s="186"/>
      <c r="P116" s="186">
        <f>'GS &gt; 50 OLS Model'!$B$5</f>
        <v>-8508488.8174217809</v>
      </c>
      <c r="Q116" s="186">
        <f ca="1">'GS &gt; 50 OLS Model'!$B$6*D116</f>
        <v>12365.375183884205</v>
      </c>
      <c r="R116" s="186">
        <f ca="1">'GS &gt; 50 OLS Model'!$B$7*E116</f>
        <v>13250253.740724334</v>
      </c>
      <c r="S116" s="186">
        <f>'GS &gt; 50 OLS Model'!$B$8*F116</f>
        <v>34874302.707240492</v>
      </c>
      <c r="T116" s="186">
        <v>0</v>
      </c>
      <c r="U116" s="186">
        <f>'GS &gt; 50 OLS Model'!$B$9*H116</f>
        <v>0</v>
      </c>
      <c r="V116" s="186">
        <f>'GS &gt; 50 OLS Model'!$B$10*I116</f>
        <v>0</v>
      </c>
      <c r="W116" s="186">
        <f>'GS &gt; 50 OLS Model'!$B$11*J116</f>
        <v>0</v>
      </c>
      <c r="X116" s="186">
        <f>'GS &gt; 50 OLS Model'!$B$12*K116</f>
        <v>0</v>
      </c>
      <c r="Y116" s="186">
        <v>0</v>
      </c>
      <c r="Z116" s="186">
        <f>'GS &gt; 50 OLS Model'!$B$13*M116</f>
        <v>34669572.13485463</v>
      </c>
      <c r="AA116" s="186">
        <f>'GS &gt; 50 OLS Model'!$B$14*N116</f>
        <v>13737248.956340911</v>
      </c>
      <c r="AB116" s="186">
        <f t="shared" ca="1" si="30"/>
        <v>88035254.096922472</v>
      </c>
    </row>
    <row r="117" spans="1:28">
      <c r="A117" s="128">
        <v>43313</v>
      </c>
      <c r="B117" s="186">
        <f t="shared" ref="B117:B121" si="43">YEAR(A117)</f>
        <v>2018</v>
      </c>
      <c r="C117" s="186">
        <f ca="1">'Monthly Data'!O117</f>
        <v>89941585.72763437</v>
      </c>
      <c r="D117" s="186">
        <f t="shared" ref="D117:E117" ca="1" si="44">D105</f>
        <v>1.51</v>
      </c>
      <c r="E117" s="186">
        <f t="shared" ca="1" si="44"/>
        <v>159.64000000000001</v>
      </c>
      <c r="F117" s="186">
        <f>'Monthly Data'!BL117</f>
        <v>665994.78021817585</v>
      </c>
      <c r="G117" s="186">
        <f t="shared" si="13"/>
        <v>116</v>
      </c>
      <c r="H117" s="186">
        <f t="shared" ref="H117:L117" si="45">H105</f>
        <v>0</v>
      </c>
      <c r="I117" s="186">
        <f t="shared" si="45"/>
        <v>0</v>
      </c>
      <c r="J117" s="186">
        <f t="shared" si="45"/>
        <v>1</v>
      </c>
      <c r="K117" s="186">
        <f t="shared" si="45"/>
        <v>0</v>
      </c>
      <c r="L117" s="186">
        <f t="shared" si="45"/>
        <v>0</v>
      </c>
      <c r="M117" s="186">
        <f t="shared" si="15"/>
        <v>31</v>
      </c>
      <c r="N117" s="186">
        <f>'Monthly Data'!CD117</f>
        <v>22</v>
      </c>
      <c r="O117" s="186"/>
      <c r="P117" s="186">
        <f>'GS &gt; 50 OLS Model'!$B$5</f>
        <v>-8508488.8174217809</v>
      </c>
      <c r="Q117" s="186">
        <f ca="1">'GS &gt; 50 OLS Model'!$B$6*D117</f>
        <v>36611.208877774807</v>
      </c>
      <c r="R117" s="186">
        <f ca="1">'GS &gt; 50 OLS Model'!$B$7*E117</f>
        <v>11396317.586171182</v>
      </c>
      <c r="S117" s="186">
        <f>'GS &gt; 50 OLS Model'!$B$8*F117</f>
        <v>34874302.707240492</v>
      </c>
      <c r="T117" s="186">
        <v>0</v>
      </c>
      <c r="U117" s="186">
        <f>'GS &gt; 50 OLS Model'!$B$9*H117</f>
        <v>0</v>
      </c>
      <c r="V117" s="186">
        <f>'GS &gt; 50 OLS Model'!$B$10*I117</f>
        <v>0</v>
      </c>
      <c r="W117" s="186">
        <f>'GS &gt; 50 OLS Model'!$B$11*J117</f>
        <v>2505717.0713192602</v>
      </c>
      <c r="X117" s="186">
        <f>'GS &gt; 50 OLS Model'!$B$12*K117</f>
        <v>0</v>
      </c>
      <c r="Y117" s="186">
        <v>0</v>
      </c>
      <c r="Z117" s="186">
        <f>'GS &gt; 50 OLS Model'!$B$13*M117</f>
        <v>34669572.13485463</v>
      </c>
      <c r="AA117" s="186">
        <f>'GS &gt; 50 OLS Model'!$B$14*N117</f>
        <v>14391403.668547621</v>
      </c>
      <c r="AB117" s="186">
        <f t="shared" ca="1" si="30"/>
        <v>89365435.559589162</v>
      </c>
    </row>
    <row r="118" spans="1:28">
      <c r="A118" s="128">
        <v>43344</v>
      </c>
      <c r="B118" s="186">
        <f t="shared" si="43"/>
        <v>2018</v>
      </c>
      <c r="C118" s="186">
        <f ca="1">'Monthly Data'!O118</f>
        <v>81054253.659961343</v>
      </c>
      <c r="D118" s="186">
        <f t="shared" ref="D118:E118" ca="1" si="46">D106</f>
        <v>33.01</v>
      </c>
      <c r="E118" s="186">
        <f t="shared" ca="1" si="46"/>
        <v>72.989999999999981</v>
      </c>
      <c r="F118" s="186">
        <f>'Monthly Data'!BL118</f>
        <v>665994.78021817585</v>
      </c>
      <c r="G118" s="186">
        <f t="shared" si="13"/>
        <v>117</v>
      </c>
      <c r="H118" s="186">
        <f t="shared" ref="H118:L118" si="47">H106</f>
        <v>0</v>
      </c>
      <c r="I118" s="186">
        <f t="shared" si="47"/>
        <v>0</v>
      </c>
      <c r="J118" s="186">
        <f t="shared" si="47"/>
        <v>0</v>
      </c>
      <c r="K118" s="186">
        <f t="shared" si="47"/>
        <v>1</v>
      </c>
      <c r="L118" s="186">
        <f t="shared" si="47"/>
        <v>0</v>
      </c>
      <c r="M118" s="186">
        <f t="shared" si="15"/>
        <v>30</v>
      </c>
      <c r="N118" s="186">
        <f>'Monthly Data'!CD118</f>
        <v>19</v>
      </c>
      <c r="O118" s="186"/>
      <c r="P118" s="186">
        <f>'GS &gt; 50 OLS Model'!$B$5</f>
        <v>-8508488.8174217809</v>
      </c>
      <c r="Q118" s="186">
        <f ca="1">'GS &gt; 50 OLS Model'!$B$6*D118</f>
        <v>800354.97023532866</v>
      </c>
      <c r="R118" s="186">
        <f ca="1">'GS &gt; 50 OLS Model'!$B$7*E118</f>
        <v>5210581.4370748829</v>
      </c>
      <c r="S118" s="186">
        <f>'GS &gt; 50 OLS Model'!$B$8*F118</f>
        <v>34874302.707240492</v>
      </c>
      <c r="T118" s="186">
        <v>0</v>
      </c>
      <c r="U118" s="186">
        <f>'GS &gt; 50 OLS Model'!$B$9*H118</f>
        <v>0</v>
      </c>
      <c r="V118" s="186">
        <f>'GS &gt; 50 OLS Model'!$B$10*I118</f>
        <v>0</v>
      </c>
      <c r="W118" s="186">
        <f>'GS &gt; 50 OLS Model'!$B$11*J118</f>
        <v>0</v>
      </c>
      <c r="X118" s="186">
        <f>'GS &gt; 50 OLS Model'!$B$12*K118</f>
        <v>2345350.8919449002</v>
      </c>
      <c r="Y118" s="186">
        <v>0</v>
      </c>
      <c r="Z118" s="186">
        <f>'GS &gt; 50 OLS Model'!$B$13*M118</f>
        <v>33551198.840181898</v>
      </c>
      <c r="AA118" s="186">
        <f>'GS &gt; 50 OLS Model'!$B$14*N118</f>
        <v>12428939.531927491</v>
      </c>
      <c r="AB118" s="186">
        <f t="shared" ca="1" si="30"/>
        <v>80702239.561183214</v>
      </c>
    </row>
    <row r="119" spans="1:28">
      <c r="A119" s="128">
        <v>43374</v>
      </c>
      <c r="B119" s="186">
        <f t="shared" si="43"/>
        <v>2018</v>
      </c>
      <c r="C119" s="186">
        <f ca="1">'Monthly Data'!O119</f>
        <v>79879338.784629419</v>
      </c>
      <c r="D119" s="186">
        <f t="shared" ref="D119:E119" ca="1" si="48">D107</f>
        <v>177.83999999999997</v>
      </c>
      <c r="E119" s="186">
        <f t="shared" ca="1" si="48"/>
        <v>10.779999999999998</v>
      </c>
      <c r="F119" s="186">
        <f>'Monthly Data'!BL119</f>
        <v>665994.78021817585</v>
      </c>
      <c r="G119" s="186">
        <f t="shared" si="13"/>
        <v>118</v>
      </c>
      <c r="H119" s="186">
        <f t="shared" ref="H119:L119" si="49">H107</f>
        <v>0</v>
      </c>
      <c r="I119" s="186">
        <f t="shared" si="49"/>
        <v>0</v>
      </c>
      <c r="J119" s="186">
        <f t="shared" si="49"/>
        <v>0</v>
      </c>
      <c r="K119" s="186">
        <f t="shared" si="49"/>
        <v>0</v>
      </c>
      <c r="L119" s="186">
        <f t="shared" si="49"/>
        <v>1</v>
      </c>
      <c r="M119" s="186">
        <f t="shared" si="15"/>
        <v>31</v>
      </c>
      <c r="N119" s="186">
        <f>'Monthly Data'!CD119</f>
        <v>22</v>
      </c>
      <c r="O119" s="186"/>
      <c r="P119" s="186">
        <f>'GS &gt; 50 OLS Model'!$B$5</f>
        <v>-8508488.8174217809</v>
      </c>
      <c r="Q119" s="186">
        <f ca="1">'GS &gt; 50 OLS Model'!$B$6*D119</f>
        <v>4311879.0641215034</v>
      </c>
      <c r="R119" s="186">
        <f ca="1">'GS &gt; 50 OLS Model'!$B$7*E119</f>
        <v>769558.40377678082</v>
      </c>
      <c r="S119" s="186">
        <f>'GS &gt; 50 OLS Model'!$B$8*F119</f>
        <v>34874302.707240492</v>
      </c>
      <c r="T119" s="186">
        <v>0</v>
      </c>
      <c r="U119" s="186">
        <f>'GS &gt; 50 OLS Model'!$B$9*H119</f>
        <v>0</v>
      </c>
      <c r="V119" s="186">
        <f>'GS &gt; 50 OLS Model'!$B$10*I119</f>
        <v>0</v>
      </c>
      <c r="W119" s="186">
        <f>'GS &gt; 50 OLS Model'!$B$11*J119</f>
        <v>0</v>
      </c>
      <c r="X119" s="186">
        <f>'GS &gt; 50 OLS Model'!$B$12*K119</f>
        <v>0</v>
      </c>
      <c r="Y119" s="186">
        <v>0</v>
      </c>
      <c r="Z119" s="186">
        <f>'GS &gt; 50 OLS Model'!$B$13*M119</f>
        <v>34669572.13485463</v>
      </c>
      <c r="AA119" s="186">
        <f>'GS &gt; 50 OLS Model'!$B$14*N119</f>
        <v>14391403.668547621</v>
      </c>
      <c r="AB119" s="186">
        <f t="shared" ca="1" si="30"/>
        <v>80508227.161119238</v>
      </c>
    </row>
    <row r="120" spans="1:28">
      <c r="A120" s="128">
        <v>43405</v>
      </c>
      <c r="B120" s="186">
        <f t="shared" si="43"/>
        <v>2018</v>
      </c>
      <c r="C120" s="186">
        <f ca="1">'Monthly Data'!O120</f>
        <v>81359765.42074655</v>
      </c>
      <c r="D120" s="186">
        <f t="shared" ref="D120:E120" ca="1" si="50">D108</f>
        <v>361.94999999999993</v>
      </c>
      <c r="E120" s="186">
        <f t="shared" ca="1" si="50"/>
        <v>0.05</v>
      </c>
      <c r="F120" s="186">
        <f>'Monthly Data'!BL120</f>
        <v>665994.78021817585</v>
      </c>
      <c r="G120" s="186">
        <f t="shared" si="13"/>
        <v>119</v>
      </c>
      <c r="H120" s="186">
        <f t="shared" ref="H120:L120" si="51">H108</f>
        <v>0</v>
      </c>
      <c r="I120" s="186">
        <f t="shared" si="51"/>
        <v>0</v>
      </c>
      <c r="J120" s="186">
        <f t="shared" si="51"/>
        <v>0</v>
      </c>
      <c r="K120" s="186">
        <f t="shared" si="51"/>
        <v>0</v>
      </c>
      <c r="L120" s="186">
        <f t="shared" si="51"/>
        <v>0</v>
      </c>
      <c r="M120" s="186">
        <f t="shared" si="15"/>
        <v>30</v>
      </c>
      <c r="N120" s="186">
        <f>'Monthly Data'!CD120</f>
        <v>22</v>
      </c>
      <c r="O120" s="186"/>
      <c r="P120" s="186">
        <f>'GS &gt; 50 OLS Model'!$B$5</f>
        <v>-8508488.8174217809</v>
      </c>
      <c r="Q120" s="186">
        <f ca="1">'GS &gt; 50 OLS Model'!$B$6*D120</f>
        <v>8775779.505503701</v>
      </c>
      <c r="R120" s="186">
        <f ca="1">'GS &gt; 50 OLS Model'!$B$7*E120</f>
        <v>3569.3803514693</v>
      </c>
      <c r="S120" s="186">
        <f>'GS &gt; 50 OLS Model'!$B$8*F120</f>
        <v>34874302.707240492</v>
      </c>
      <c r="T120" s="186">
        <v>0</v>
      </c>
      <c r="U120" s="186">
        <f>'GS &gt; 50 OLS Model'!$B$9*H120</f>
        <v>0</v>
      </c>
      <c r="V120" s="186">
        <f>'GS &gt; 50 OLS Model'!$B$10*I120</f>
        <v>0</v>
      </c>
      <c r="W120" s="186">
        <f>'GS &gt; 50 OLS Model'!$B$11*J120</f>
        <v>0</v>
      </c>
      <c r="X120" s="186">
        <f>'GS &gt; 50 OLS Model'!$B$12*K120</f>
        <v>0</v>
      </c>
      <c r="Y120" s="186">
        <v>0</v>
      </c>
      <c r="Z120" s="186">
        <f>'GS &gt; 50 OLS Model'!$B$13*M120</f>
        <v>33551198.840181898</v>
      </c>
      <c r="AA120" s="186">
        <f>'GS &gt; 50 OLS Model'!$B$14*N120</f>
        <v>14391403.668547621</v>
      </c>
      <c r="AB120" s="186">
        <f t="shared" ca="1" si="30"/>
        <v>83087765.284403399</v>
      </c>
    </row>
    <row r="121" spans="1:28">
      <c r="A121" s="128">
        <v>43435</v>
      </c>
      <c r="B121" s="186">
        <f t="shared" si="43"/>
        <v>2018</v>
      </c>
      <c r="C121" s="186">
        <f ca="1">'Monthly Data'!O121</f>
        <v>81470558.798187256</v>
      </c>
      <c r="D121" s="186">
        <f t="shared" ref="D121:E121" ca="1" si="52">D109</f>
        <v>556.41000000000008</v>
      </c>
      <c r="E121" s="186">
        <f t="shared" ca="1" si="52"/>
        <v>0</v>
      </c>
      <c r="F121" s="186">
        <f>'Monthly Data'!BL121</f>
        <v>665994.78021817585</v>
      </c>
      <c r="G121" s="186">
        <f t="shared" si="13"/>
        <v>120</v>
      </c>
      <c r="H121" s="186">
        <f t="shared" ref="H121:L121" si="53">H109</f>
        <v>0</v>
      </c>
      <c r="I121" s="186">
        <f t="shared" si="53"/>
        <v>0</v>
      </c>
      <c r="J121" s="186">
        <f t="shared" si="53"/>
        <v>0</v>
      </c>
      <c r="K121" s="186">
        <f t="shared" si="53"/>
        <v>0</v>
      </c>
      <c r="L121" s="186">
        <f t="shared" si="53"/>
        <v>0</v>
      </c>
      <c r="M121" s="186">
        <f t="shared" si="15"/>
        <v>31</v>
      </c>
      <c r="N121" s="186">
        <f>'Monthly Data'!CD121</f>
        <v>19</v>
      </c>
      <c r="O121" s="186"/>
      <c r="P121" s="186">
        <f>'GS &gt; 50 OLS Model'!$B$5</f>
        <v>-8508488.8174217809</v>
      </c>
      <c r="Q121" s="186">
        <f ca="1">'GS &gt; 50 OLS Model'!$B$6*D121</f>
        <v>13490624.325617671</v>
      </c>
      <c r="R121" s="186">
        <f ca="1">'GS &gt; 50 OLS Model'!$B$7*E121</f>
        <v>0</v>
      </c>
      <c r="S121" s="186">
        <f>'GS &gt; 50 OLS Model'!$B$8*F121</f>
        <v>34874302.707240492</v>
      </c>
      <c r="T121" s="186">
        <v>0</v>
      </c>
      <c r="U121" s="186">
        <f>'GS &gt; 50 OLS Model'!$B$9*H121</f>
        <v>0</v>
      </c>
      <c r="V121" s="186">
        <f>'GS &gt; 50 OLS Model'!$B$10*I121</f>
        <v>0</v>
      </c>
      <c r="W121" s="186">
        <f>'GS &gt; 50 OLS Model'!$B$11*J121</f>
        <v>0</v>
      </c>
      <c r="X121" s="186">
        <f>'GS &gt; 50 OLS Model'!$B$12*K121</f>
        <v>0</v>
      </c>
      <c r="Y121" s="186">
        <v>0</v>
      </c>
      <c r="Z121" s="186">
        <f>'GS &gt; 50 OLS Model'!$B$13*M121</f>
        <v>34669572.13485463</v>
      </c>
      <c r="AA121" s="186">
        <f>'GS &gt; 50 OLS Model'!$B$14*N121</f>
        <v>12428939.531927491</v>
      </c>
      <c r="AB121" s="186">
        <f t="shared" ca="1" si="30"/>
        <v>86954949.88221851</v>
      </c>
    </row>
    <row r="122" spans="1:28">
      <c r="A122" s="26">
        <v>43466</v>
      </c>
      <c r="B122">
        <f t="shared" si="24"/>
        <v>2019</v>
      </c>
      <c r="D122">
        <f t="shared" ref="D122:E133" ca="1" si="54">D110</f>
        <v>659.42999999999984</v>
      </c>
      <c r="E122">
        <f t="shared" ca="1" si="54"/>
        <v>0</v>
      </c>
      <c r="F122">
        <f>F110*(1+Employment!L$9)</f>
        <v>676783.89565771027</v>
      </c>
      <c r="G122">
        <f t="shared" si="13"/>
        <v>121</v>
      </c>
      <c r="H122">
        <f t="shared" ref="H122:L122" si="55">H110</f>
        <v>0</v>
      </c>
      <c r="I122">
        <f t="shared" si="55"/>
        <v>0</v>
      </c>
      <c r="J122">
        <f t="shared" si="55"/>
        <v>0</v>
      </c>
      <c r="K122">
        <f t="shared" si="55"/>
        <v>0</v>
      </c>
      <c r="L122">
        <f t="shared" si="55"/>
        <v>0</v>
      </c>
      <c r="M122" s="127">
        <f t="shared" si="15"/>
        <v>31</v>
      </c>
      <c r="N122">
        <v>22</v>
      </c>
      <c r="P122">
        <f>'GS &gt; 50 OLS Model'!$B$5</f>
        <v>-8508488.8174217809</v>
      </c>
      <c r="Q122" s="186">
        <f ca="1">'GS &gt; 50 OLS Model'!$B$6*D122</f>
        <v>15988430.112762274</v>
      </c>
      <c r="R122" s="186">
        <f ca="1">'GS &gt; 50 OLS Model'!$B$7*E122</f>
        <v>0</v>
      </c>
      <c r="S122" s="186">
        <f>'GS &gt; 50 OLS Model'!$B$8*F122</f>
        <v>35439266.411097787</v>
      </c>
      <c r="T122" s="186">
        <v>0</v>
      </c>
      <c r="U122" s="186">
        <f>'GS &gt; 50 OLS Model'!$B$9*H122</f>
        <v>0</v>
      </c>
      <c r="V122" s="186">
        <f>'GS &gt; 50 OLS Model'!$B$10*I122</f>
        <v>0</v>
      </c>
      <c r="W122" s="186">
        <f>'GS &gt; 50 OLS Model'!$B$11*J122</f>
        <v>0</v>
      </c>
      <c r="X122" s="186">
        <f>'GS &gt; 50 OLS Model'!$B$12*K122</f>
        <v>0</v>
      </c>
      <c r="Y122" s="186">
        <v>0</v>
      </c>
      <c r="Z122" s="186">
        <f>'GS &gt; 50 OLS Model'!$B$13*M122</f>
        <v>34669572.13485463</v>
      </c>
      <c r="AA122" s="186">
        <f>'GS &gt; 50 OLS Model'!$B$14*N122</f>
        <v>14391403.668547621</v>
      </c>
      <c r="AB122">
        <f t="shared" ca="1" si="12"/>
        <v>91980183.509840533</v>
      </c>
    </row>
    <row r="123" spans="1:28">
      <c r="A123" s="26">
        <v>43497</v>
      </c>
      <c r="B123">
        <f t="shared" si="24"/>
        <v>2019</v>
      </c>
      <c r="D123">
        <f t="shared" ca="1" si="54"/>
        <v>571.77</v>
      </c>
      <c r="E123">
        <f t="shared" ca="1" si="54"/>
        <v>0</v>
      </c>
      <c r="F123">
        <f>F111*(1+Employment!L$9)</f>
        <v>676783.89565771027</v>
      </c>
      <c r="G123">
        <f t="shared" si="13"/>
        <v>122</v>
      </c>
      <c r="H123">
        <f t="shared" ref="H123:L123" si="56">H111</f>
        <v>0</v>
      </c>
      <c r="I123">
        <f t="shared" si="56"/>
        <v>0</v>
      </c>
      <c r="J123">
        <f t="shared" si="56"/>
        <v>0</v>
      </c>
      <c r="K123">
        <f t="shared" si="56"/>
        <v>0</v>
      </c>
      <c r="L123">
        <f t="shared" si="56"/>
        <v>0</v>
      </c>
      <c r="M123" s="127">
        <f t="shared" si="15"/>
        <v>28</v>
      </c>
      <c r="N123">
        <v>19</v>
      </c>
      <c r="P123">
        <f>'GS &gt; 50 OLS Model'!$B$5</f>
        <v>-8508488.8174217809</v>
      </c>
      <c r="Q123" s="186">
        <f ca="1">'GS &gt; 50 OLS Model'!$B$6*D123</f>
        <v>13863040.331155827</v>
      </c>
      <c r="R123" s="186">
        <f ca="1">'GS &gt; 50 OLS Model'!$B$7*E123</f>
        <v>0</v>
      </c>
      <c r="S123" s="186">
        <f>'GS &gt; 50 OLS Model'!$B$8*F123</f>
        <v>35439266.411097787</v>
      </c>
      <c r="T123" s="186">
        <v>0</v>
      </c>
      <c r="U123" s="186">
        <f>'GS &gt; 50 OLS Model'!$B$9*H123</f>
        <v>0</v>
      </c>
      <c r="V123" s="186">
        <f>'GS &gt; 50 OLS Model'!$B$10*I123</f>
        <v>0</v>
      </c>
      <c r="W123" s="186">
        <f>'GS &gt; 50 OLS Model'!$B$11*J123</f>
        <v>0</v>
      </c>
      <c r="X123" s="186">
        <f>'GS &gt; 50 OLS Model'!$B$12*K123</f>
        <v>0</v>
      </c>
      <c r="Y123" s="186">
        <v>0</v>
      </c>
      <c r="Z123" s="186">
        <f>'GS &gt; 50 OLS Model'!$B$13*M123</f>
        <v>31314452.250836439</v>
      </c>
      <c r="AA123" s="186">
        <f>'GS &gt; 50 OLS Model'!$B$14*N123</f>
        <v>12428939.531927491</v>
      </c>
      <c r="AB123">
        <f t="shared" ca="1" si="12"/>
        <v>84537209.707595766</v>
      </c>
    </row>
    <row r="124" spans="1:28">
      <c r="A124" s="26">
        <v>43525</v>
      </c>
      <c r="B124">
        <f t="shared" si="24"/>
        <v>2019</v>
      </c>
      <c r="D124">
        <f t="shared" ca="1" si="54"/>
        <v>456.53999999999996</v>
      </c>
      <c r="E124">
        <f t="shared" ca="1" si="54"/>
        <v>0.48</v>
      </c>
      <c r="F124">
        <f>F112*(1+Employment!L$9)</f>
        <v>676783.89565771027</v>
      </c>
      <c r="G124">
        <f t="shared" si="13"/>
        <v>123</v>
      </c>
      <c r="H124">
        <f t="shared" ref="H124:L124" si="57">H112</f>
        <v>0</v>
      </c>
      <c r="I124">
        <f t="shared" si="57"/>
        <v>0</v>
      </c>
      <c r="J124">
        <f t="shared" si="57"/>
        <v>0</v>
      </c>
      <c r="K124">
        <f t="shared" si="57"/>
        <v>0</v>
      </c>
      <c r="L124">
        <f t="shared" si="57"/>
        <v>0</v>
      </c>
      <c r="M124" s="127">
        <f t="shared" si="15"/>
        <v>31</v>
      </c>
      <c r="N124">
        <v>21</v>
      </c>
      <c r="P124">
        <f>'GS &gt; 50 OLS Model'!$B$5</f>
        <v>-8508488.8174217809</v>
      </c>
      <c r="Q124" s="186">
        <f ca="1">'GS &gt; 50 OLS Model'!$B$6*D124</f>
        <v>11069192.914608814</v>
      </c>
      <c r="R124" s="186">
        <f ca="1">'GS &gt; 50 OLS Model'!$B$7*E124</f>
        <v>34266.051374105278</v>
      </c>
      <c r="S124" s="186">
        <f>'GS &gt; 50 OLS Model'!$B$8*F124</f>
        <v>35439266.411097787</v>
      </c>
      <c r="T124" s="186">
        <v>0</v>
      </c>
      <c r="U124" s="186">
        <f>'GS &gt; 50 OLS Model'!$B$9*H124</f>
        <v>0</v>
      </c>
      <c r="V124" s="186">
        <f>'GS &gt; 50 OLS Model'!$B$10*I124</f>
        <v>0</v>
      </c>
      <c r="W124" s="186">
        <f>'GS &gt; 50 OLS Model'!$B$11*J124</f>
        <v>0</v>
      </c>
      <c r="X124" s="186">
        <f>'GS &gt; 50 OLS Model'!$B$12*K124</f>
        <v>0</v>
      </c>
      <c r="Y124" s="186">
        <v>0</v>
      </c>
      <c r="Z124" s="186">
        <f>'GS &gt; 50 OLS Model'!$B$13*M124</f>
        <v>34669572.13485463</v>
      </c>
      <c r="AA124" s="186">
        <f>'GS &gt; 50 OLS Model'!$B$14*N124</f>
        <v>13737248.956340911</v>
      </c>
      <c r="AB124">
        <f t="shared" ca="1" si="12"/>
        <v>86441057.650854468</v>
      </c>
    </row>
    <row r="125" spans="1:28">
      <c r="A125" s="26">
        <v>43556</v>
      </c>
      <c r="B125">
        <f t="shared" si="24"/>
        <v>2019</v>
      </c>
      <c r="D125">
        <f t="shared" ca="1" si="54"/>
        <v>248.54999999999995</v>
      </c>
      <c r="E125">
        <f t="shared" ca="1" si="54"/>
        <v>2.63</v>
      </c>
      <c r="F125">
        <f>F113*(1+Employment!L$9)</f>
        <v>676783.89565771027</v>
      </c>
      <c r="G125">
        <f t="shared" si="13"/>
        <v>124</v>
      </c>
      <c r="H125">
        <f t="shared" ref="H125:L125" si="58">H113</f>
        <v>1</v>
      </c>
      <c r="I125">
        <f t="shared" si="58"/>
        <v>0</v>
      </c>
      <c r="J125">
        <f t="shared" si="58"/>
        <v>0</v>
      </c>
      <c r="K125">
        <f t="shared" si="58"/>
        <v>0</v>
      </c>
      <c r="L125">
        <f t="shared" si="58"/>
        <v>0</v>
      </c>
      <c r="M125" s="127">
        <f t="shared" si="15"/>
        <v>30</v>
      </c>
      <c r="N125">
        <v>20</v>
      </c>
      <c r="P125">
        <f>'GS &gt; 50 OLS Model'!$B$5</f>
        <v>-8508488.8174217809</v>
      </c>
      <c r="Q125" s="186">
        <f ca="1">'GS &gt; 50 OLS Model'!$B$6*D125</f>
        <v>6026301.9646165073</v>
      </c>
      <c r="R125" s="186">
        <f ca="1">'GS &gt; 50 OLS Model'!$B$7*E125</f>
        <v>187749.40648728516</v>
      </c>
      <c r="S125" s="186">
        <f>'GS &gt; 50 OLS Model'!$B$8*F125</f>
        <v>35439266.411097787</v>
      </c>
      <c r="T125" s="186">
        <v>0</v>
      </c>
      <c r="U125" s="186">
        <f>'GS &gt; 50 OLS Model'!$B$9*H125</f>
        <v>-1670359.8066300801</v>
      </c>
      <c r="V125" s="186">
        <f>'GS &gt; 50 OLS Model'!$B$10*I125</f>
        <v>0</v>
      </c>
      <c r="W125" s="186">
        <f>'GS &gt; 50 OLS Model'!$B$11*J125</f>
        <v>0</v>
      </c>
      <c r="X125" s="186">
        <f>'GS &gt; 50 OLS Model'!$B$12*K125</f>
        <v>0</v>
      </c>
      <c r="Y125" s="186">
        <v>0</v>
      </c>
      <c r="Z125" s="186">
        <f>'GS &gt; 50 OLS Model'!$B$13*M125</f>
        <v>33551198.840181898</v>
      </c>
      <c r="AA125" s="186">
        <f>'GS &gt; 50 OLS Model'!$B$14*N125</f>
        <v>13083094.244134201</v>
      </c>
      <c r="AB125">
        <f t="shared" ca="1" si="12"/>
        <v>78108762.242465824</v>
      </c>
    </row>
    <row r="126" spans="1:28">
      <c r="A126" s="26">
        <v>43586</v>
      </c>
      <c r="B126">
        <f t="shared" si="24"/>
        <v>2019</v>
      </c>
      <c r="D126">
        <f t="shared" ca="1" si="54"/>
        <v>92.740000000000009</v>
      </c>
      <c r="E126">
        <f t="shared" ca="1" si="54"/>
        <v>47.37</v>
      </c>
      <c r="F126">
        <f>F114*(1+Employment!L$9)</f>
        <v>676783.89565771027</v>
      </c>
      <c r="G126">
        <f t="shared" si="13"/>
        <v>125</v>
      </c>
      <c r="H126">
        <f t="shared" ref="H126:L126" si="59">H114</f>
        <v>0</v>
      </c>
      <c r="I126">
        <f t="shared" si="59"/>
        <v>0</v>
      </c>
      <c r="J126">
        <f t="shared" si="59"/>
        <v>0</v>
      </c>
      <c r="K126">
        <f t="shared" si="59"/>
        <v>0</v>
      </c>
      <c r="L126">
        <f t="shared" si="59"/>
        <v>0</v>
      </c>
      <c r="M126" s="127">
        <f t="shared" si="15"/>
        <v>31</v>
      </c>
      <c r="N126">
        <v>22</v>
      </c>
      <c r="P126">
        <f>'GS &gt; 50 OLS Model'!$B$5</f>
        <v>-8508488.8174217809</v>
      </c>
      <c r="Q126" s="186">
        <f ca="1">'GS &gt; 50 OLS Model'!$B$6*D126</f>
        <v>2248558.6167714144</v>
      </c>
      <c r="R126" s="186">
        <f ca="1">'GS &gt; 50 OLS Model'!$B$7*E126</f>
        <v>3381630.9449820146</v>
      </c>
      <c r="S126" s="186">
        <f>'GS &gt; 50 OLS Model'!$B$8*F126</f>
        <v>35439266.411097787</v>
      </c>
      <c r="T126" s="186">
        <v>0</v>
      </c>
      <c r="U126" s="186">
        <f>'GS &gt; 50 OLS Model'!$B$9*H126</f>
        <v>0</v>
      </c>
      <c r="V126" s="186">
        <f>'GS &gt; 50 OLS Model'!$B$10*I126</f>
        <v>0</v>
      </c>
      <c r="W126" s="186">
        <f>'GS &gt; 50 OLS Model'!$B$11*J126</f>
        <v>0</v>
      </c>
      <c r="X126" s="186">
        <f>'GS &gt; 50 OLS Model'!$B$12*K126</f>
        <v>0</v>
      </c>
      <c r="Y126" s="186">
        <v>0</v>
      </c>
      <c r="Z126" s="186">
        <f>'GS &gt; 50 OLS Model'!$B$13*M126</f>
        <v>34669572.13485463</v>
      </c>
      <c r="AA126" s="186">
        <f>'GS &gt; 50 OLS Model'!$B$14*N126</f>
        <v>14391403.668547621</v>
      </c>
      <c r="AB126">
        <f t="shared" ca="1" si="12"/>
        <v>81621942.958831683</v>
      </c>
    </row>
    <row r="127" spans="1:28">
      <c r="A127" s="26">
        <v>43617</v>
      </c>
      <c r="B127">
        <f t="shared" si="24"/>
        <v>2019</v>
      </c>
      <c r="D127">
        <f t="shared" ca="1" si="54"/>
        <v>9.08</v>
      </c>
      <c r="E127">
        <f t="shared" ca="1" si="54"/>
        <v>117.23999999999997</v>
      </c>
      <c r="F127">
        <f>F115*(1+Employment!L$9)</f>
        <v>676783.89565771027</v>
      </c>
      <c r="G127">
        <f t="shared" si="13"/>
        <v>126</v>
      </c>
      <c r="H127">
        <f t="shared" ref="H127:L127" si="60">H115</f>
        <v>0</v>
      </c>
      <c r="I127">
        <f t="shared" si="60"/>
        <v>1</v>
      </c>
      <c r="J127">
        <f t="shared" si="60"/>
        <v>0</v>
      </c>
      <c r="K127">
        <f t="shared" si="60"/>
        <v>0</v>
      </c>
      <c r="L127">
        <f t="shared" si="60"/>
        <v>0</v>
      </c>
      <c r="M127" s="127">
        <f t="shared" si="15"/>
        <v>30</v>
      </c>
      <c r="N127">
        <v>20</v>
      </c>
      <c r="P127">
        <f>'GS &gt; 50 OLS Model'!$B$5</f>
        <v>-8508488.8174217809</v>
      </c>
      <c r="Q127" s="186">
        <f ca="1">'GS &gt; 50 OLS Model'!$B$6*D127</f>
        <v>220152.16994052666</v>
      </c>
      <c r="R127" s="186">
        <f ca="1">'GS &gt; 50 OLS Model'!$B$7*E127</f>
        <v>8369483.0481252121</v>
      </c>
      <c r="S127" s="186">
        <f>'GS &gt; 50 OLS Model'!$B$8*F127</f>
        <v>35439266.411097787</v>
      </c>
      <c r="T127" s="186">
        <v>0</v>
      </c>
      <c r="U127" s="186">
        <f>'GS &gt; 50 OLS Model'!$B$9*H127</f>
        <v>0</v>
      </c>
      <c r="V127" s="186">
        <f>'GS &gt; 50 OLS Model'!$B$10*I127</f>
        <v>1244451.2383117899</v>
      </c>
      <c r="W127" s="186">
        <f>'GS &gt; 50 OLS Model'!$B$11*J127</f>
        <v>0</v>
      </c>
      <c r="X127" s="186">
        <f>'GS &gt; 50 OLS Model'!$B$12*K127</f>
        <v>0</v>
      </c>
      <c r="Y127" s="186">
        <v>0</v>
      </c>
      <c r="Z127" s="186">
        <f>'GS &gt; 50 OLS Model'!$B$13*M127</f>
        <v>33551198.840181898</v>
      </c>
      <c r="AA127" s="186">
        <f>'GS &gt; 50 OLS Model'!$B$14*N127</f>
        <v>13083094.244134201</v>
      </c>
      <c r="AB127">
        <f t="shared" ca="1" si="12"/>
        <v>83399157.134369642</v>
      </c>
    </row>
    <row r="128" spans="1:28">
      <c r="A128" s="26">
        <v>43647</v>
      </c>
      <c r="B128">
        <f t="shared" si="24"/>
        <v>2019</v>
      </c>
      <c r="D128">
        <f t="shared" ca="1" si="54"/>
        <v>0.51</v>
      </c>
      <c r="E128">
        <f t="shared" ca="1" si="54"/>
        <v>185.60999999999999</v>
      </c>
      <c r="F128">
        <f>F116*(1+Employment!L$9)</f>
        <v>676783.89565771027</v>
      </c>
      <c r="G128">
        <f t="shared" si="13"/>
        <v>127</v>
      </c>
      <c r="H128">
        <f t="shared" ref="H128:L128" si="61">H116</f>
        <v>0</v>
      </c>
      <c r="I128">
        <f t="shared" si="61"/>
        <v>0</v>
      </c>
      <c r="J128">
        <f t="shared" si="61"/>
        <v>0</v>
      </c>
      <c r="K128">
        <f t="shared" si="61"/>
        <v>0</v>
      </c>
      <c r="L128">
        <f t="shared" si="61"/>
        <v>0</v>
      </c>
      <c r="M128" s="127">
        <f t="shared" si="15"/>
        <v>31</v>
      </c>
      <c r="N128">
        <v>22</v>
      </c>
      <c r="P128">
        <f>'GS &gt; 50 OLS Model'!$B$5</f>
        <v>-8508488.8174217809</v>
      </c>
      <c r="Q128" s="186">
        <f ca="1">'GS &gt; 50 OLS Model'!$B$6*D128</f>
        <v>12365.375183884205</v>
      </c>
      <c r="R128" s="186">
        <f ca="1">'GS &gt; 50 OLS Model'!$B$7*E128</f>
        <v>13250253.740724334</v>
      </c>
      <c r="S128" s="186">
        <f>'GS &gt; 50 OLS Model'!$B$8*F128</f>
        <v>35439266.411097787</v>
      </c>
      <c r="T128" s="186">
        <v>0</v>
      </c>
      <c r="U128" s="186">
        <f>'GS &gt; 50 OLS Model'!$B$9*H128</f>
        <v>0</v>
      </c>
      <c r="V128" s="186">
        <f>'GS &gt; 50 OLS Model'!$B$10*I128</f>
        <v>0</v>
      </c>
      <c r="W128" s="186">
        <f>'GS &gt; 50 OLS Model'!$B$11*J128</f>
        <v>0</v>
      </c>
      <c r="X128" s="186">
        <f>'GS &gt; 50 OLS Model'!$B$12*K128</f>
        <v>0</v>
      </c>
      <c r="Y128" s="186">
        <v>0</v>
      </c>
      <c r="Z128" s="186">
        <f>'GS &gt; 50 OLS Model'!$B$13*M128</f>
        <v>34669572.13485463</v>
      </c>
      <c r="AA128" s="186">
        <f>'GS &gt; 50 OLS Model'!$B$14*N128</f>
        <v>14391403.668547621</v>
      </c>
      <c r="AB128">
        <f t="shared" ca="1" si="12"/>
        <v>89254372.512986466</v>
      </c>
    </row>
    <row r="129" spans="1:28">
      <c r="A129" s="26">
        <v>43678</v>
      </c>
      <c r="B129">
        <f t="shared" si="24"/>
        <v>2019</v>
      </c>
      <c r="D129">
        <f t="shared" ca="1" si="54"/>
        <v>1.51</v>
      </c>
      <c r="E129">
        <f t="shared" ca="1" si="54"/>
        <v>159.64000000000001</v>
      </c>
      <c r="F129">
        <f>F117*(1+Employment!L$9)</f>
        <v>676783.89565771027</v>
      </c>
      <c r="G129">
        <f t="shared" si="13"/>
        <v>128</v>
      </c>
      <c r="H129">
        <f t="shared" ref="H129:L129" si="62">H117</f>
        <v>0</v>
      </c>
      <c r="I129">
        <f t="shared" si="62"/>
        <v>0</v>
      </c>
      <c r="J129">
        <f t="shared" si="62"/>
        <v>1</v>
      </c>
      <c r="K129">
        <f t="shared" si="62"/>
        <v>0</v>
      </c>
      <c r="L129">
        <f t="shared" si="62"/>
        <v>0</v>
      </c>
      <c r="M129" s="127">
        <f t="shared" si="15"/>
        <v>31</v>
      </c>
      <c r="N129">
        <v>21</v>
      </c>
      <c r="P129">
        <f>'GS &gt; 50 OLS Model'!$B$5</f>
        <v>-8508488.8174217809</v>
      </c>
      <c r="Q129" s="186">
        <f ca="1">'GS &gt; 50 OLS Model'!$B$6*D129</f>
        <v>36611.208877774807</v>
      </c>
      <c r="R129" s="186">
        <f ca="1">'GS &gt; 50 OLS Model'!$B$7*E129</f>
        <v>11396317.586171182</v>
      </c>
      <c r="S129" s="186">
        <f>'GS &gt; 50 OLS Model'!$B$8*F129</f>
        <v>35439266.411097787</v>
      </c>
      <c r="T129" s="186">
        <v>0</v>
      </c>
      <c r="U129" s="186">
        <f>'GS &gt; 50 OLS Model'!$B$9*H129</f>
        <v>0</v>
      </c>
      <c r="V129" s="186">
        <f>'GS &gt; 50 OLS Model'!$B$10*I129</f>
        <v>0</v>
      </c>
      <c r="W129" s="186">
        <f>'GS &gt; 50 OLS Model'!$B$11*J129</f>
        <v>2505717.0713192602</v>
      </c>
      <c r="X129" s="186">
        <f>'GS &gt; 50 OLS Model'!$B$12*K129</f>
        <v>0</v>
      </c>
      <c r="Y129" s="186">
        <v>0</v>
      </c>
      <c r="Z129" s="186">
        <f>'GS &gt; 50 OLS Model'!$B$13*M129</f>
        <v>34669572.13485463</v>
      </c>
      <c r="AA129" s="186">
        <f>'GS &gt; 50 OLS Model'!$B$14*N129</f>
        <v>13737248.956340911</v>
      </c>
      <c r="AB129">
        <f t="shared" ca="1" si="12"/>
        <v>89276244.551239759</v>
      </c>
    </row>
    <row r="130" spans="1:28">
      <c r="A130" s="26">
        <v>43709</v>
      </c>
      <c r="B130">
        <f t="shared" si="24"/>
        <v>2019</v>
      </c>
      <c r="D130">
        <f t="shared" ca="1" si="54"/>
        <v>33.01</v>
      </c>
      <c r="E130">
        <f t="shared" ca="1" si="54"/>
        <v>72.989999999999981</v>
      </c>
      <c r="F130">
        <f>F118*(1+Employment!L$9)</f>
        <v>676783.89565771027</v>
      </c>
      <c r="G130">
        <f t="shared" si="13"/>
        <v>129</v>
      </c>
      <c r="H130">
        <f t="shared" ref="H130:L130" si="63">H118</f>
        <v>0</v>
      </c>
      <c r="I130">
        <f t="shared" si="63"/>
        <v>0</v>
      </c>
      <c r="J130">
        <f t="shared" si="63"/>
        <v>0</v>
      </c>
      <c r="K130">
        <f t="shared" si="63"/>
        <v>1</v>
      </c>
      <c r="L130">
        <f t="shared" si="63"/>
        <v>0</v>
      </c>
      <c r="M130" s="127">
        <f t="shared" si="15"/>
        <v>30</v>
      </c>
      <c r="N130">
        <v>20</v>
      </c>
      <c r="P130">
        <f>'GS &gt; 50 OLS Model'!$B$5</f>
        <v>-8508488.8174217809</v>
      </c>
      <c r="Q130" s="186">
        <f ca="1">'GS &gt; 50 OLS Model'!$B$6*D130</f>
        <v>800354.97023532866</v>
      </c>
      <c r="R130" s="186">
        <f ca="1">'GS &gt; 50 OLS Model'!$B$7*E130</f>
        <v>5210581.4370748829</v>
      </c>
      <c r="S130" s="186">
        <f>'GS &gt; 50 OLS Model'!$B$8*F130</f>
        <v>35439266.411097787</v>
      </c>
      <c r="T130" s="186">
        <v>0</v>
      </c>
      <c r="U130" s="186">
        <f>'GS &gt; 50 OLS Model'!$B$9*H130</f>
        <v>0</v>
      </c>
      <c r="V130" s="186">
        <f>'GS &gt; 50 OLS Model'!$B$10*I130</f>
        <v>0</v>
      </c>
      <c r="W130" s="186">
        <f>'GS &gt; 50 OLS Model'!$B$11*J130</f>
        <v>0</v>
      </c>
      <c r="X130" s="186">
        <f>'GS &gt; 50 OLS Model'!$B$12*K130</f>
        <v>2345350.8919449002</v>
      </c>
      <c r="Y130" s="186">
        <v>0</v>
      </c>
      <c r="Z130" s="186">
        <f>'GS &gt; 50 OLS Model'!$B$13*M130</f>
        <v>33551198.840181898</v>
      </c>
      <c r="AA130" s="186">
        <f>'GS &gt; 50 OLS Model'!$B$14*N130</f>
        <v>13083094.244134201</v>
      </c>
      <c r="AB130">
        <f t="shared" ca="1" si="12"/>
        <v>81921357.977247223</v>
      </c>
    </row>
    <row r="131" spans="1:28">
      <c r="A131" s="26">
        <v>43739</v>
      </c>
      <c r="B131">
        <f t="shared" si="24"/>
        <v>2019</v>
      </c>
      <c r="D131">
        <f t="shared" ca="1" si="54"/>
        <v>177.83999999999997</v>
      </c>
      <c r="E131">
        <f t="shared" ca="1" si="54"/>
        <v>10.779999999999998</v>
      </c>
      <c r="F131">
        <f>F119*(1+Employment!L$9)</f>
        <v>676783.89565771027</v>
      </c>
      <c r="G131">
        <f t="shared" si="13"/>
        <v>130</v>
      </c>
      <c r="H131">
        <f t="shared" ref="H131:L131" si="64">H119</f>
        <v>0</v>
      </c>
      <c r="I131">
        <f t="shared" si="64"/>
        <v>0</v>
      </c>
      <c r="J131">
        <f t="shared" si="64"/>
        <v>0</v>
      </c>
      <c r="K131">
        <f t="shared" si="64"/>
        <v>0</v>
      </c>
      <c r="L131">
        <f t="shared" si="64"/>
        <v>1</v>
      </c>
      <c r="M131" s="127">
        <f t="shared" si="15"/>
        <v>31</v>
      </c>
      <c r="N131">
        <v>22</v>
      </c>
      <c r="P131">
        <f>'GS &gt; 50 OLS Model'!$B$5</f>
        <v>-8508488.8174217809</v>
      </c>
      <c r="Q131" s="186">
        <f ca="1">'GS &gt; 50 OLS Model'!$B$6*D131</f>
        <v>4311879.0641215034</v>
      </c>
      <c r="R131" s="186">
        <f ca="1">'GS &gt; 50 OLS Model'!$B$7*E131</f>
        <v>769558.40377678082</v>
      </c>
      <c r="S131" s="186">
        <f>'GS &gt; 50 OLS Model'!$B$8*F131</f>
        <v>35439266.411097787</v>
      </c>
      <c r="T131" s="186">
        <v>0</v>
      </c>
      <c r="U131" s="186">
        <f>'GS &gt; 50 OLS Model'!$B$9*H131</f>
        <v>0</v>
      </c>
      <c r="V131" s="186">
        <f>'GS &gt; 50 OLS Model'!$B$10*I131</f>
        <v>0</v>
      </c>
      <c r="W131" s="186">
        <f>'GS &gt; 50 OLS Model'!$B$11*J131</f>
        <v>0</v>
      </c>
      <c r="X131" s="186">
        <f>'GS &gt; 50 OLS Model'!$B$12*K131</f>
        <v>0</v>
      </c>
      <c r="Y131" s="186">
        <v>0</v>
      </c>
      <c r="Z131" s="186">
        <f>'GS &gt; 50 OLS Model'!$B$13*M131</f>
        <v>34669572.13485463</v>
      </c>
      <c r="AA131" s="186">
        <f>'GS &gt; 50 OLS Model'!$B$14*N131</f>
        <v>14391403.668547621</v>
      </c>
      <c r="AB131">
        <f t="shared" ca="1" si="12"/>
        <v>81073190.86497654</v>
      </c>
    </row>
    <row r="132" spans="1:28">
      <c r="A132" s="26">
        <v>43770</v>
      </c>
      <c r="B132">
        <f t="shared" si="24"/>
        <v>2019</v>
      </c>
      <c r="D132">
        <f t="shared" ca="1" si="54"/>
        <v>361.94999999999993</v>
      </c>
      <c r="E132">
        <f t="shared" ca="1" si="54"/>
        <v>0.05</v>
      </c>
      <c r="F132">
        <f>F120*(1+Employment!L$9)</f>
        <v>676783.89565771027</v>
      </c>
      <c r="G132">
        <f t="shared" si="13"/>
        <v>131</v>
      </c>
      <c r="H132">
        <f t="shared" ref="H132:L132" si="65">H120</f>
        <v>0</v>
      </c>
      <c r="I132">
        <f t="shared" si="65"/>
        <v>0</v>
      </c>
      <c r="J132">
        <f t="shared" si="65"/>
        <v>0</v>
      </c>
      <c r="K132">
        <f t="shared" si="65"/>
        <v>0</v>
      </c>
      <c r="L132">
        <f t="shared" si="65"/>
        <v>0</v>
      </c>
      <c r="M132" s="127">
        <f t="shared" si="15"/>
        <v>30</v>
      </c>
      <c r="N132">
        <v>21</v>
      </c>
      <c r="P132">
        <f>'GS &gt; 50 OLS Model'!$B$5</f>
        <v>-8508488.8174217809</v>
      </c>
      <c r="Q132" s="186">
        <f ca="1">'GS &gt; 50 OLS Model'!$B$6*D132</f>
        <v>8775779.505503701</v>
      </c>
      <c r="R132" s="186">
        <f ca="1">'GS &gt; 50 OLS Model'!$B$7*E132</f>
        <v>3569.3803514693</v>
      </c>
      <c r="S132" s="186">
        <f>'GS &gt; 50 OLS Model'!$B$8*F132</f>
        <v>35439266.411097787</v>
      </c>
      <c r="T132" s="186">
        <v>0</v>
      </c>
      <c r="U132" s="186">
        <f>'GS &gt; 50 OLS Model'!$B$9*H132</f>
        <v>0</v>
      </c>
      <c r="V132" s="186">
        <f>'GS &gt; 50 OLS Model'!$B$10*I132</f>
        <v>0</v>
      </c>
      <c r="W132" s="186">
        <f>'GS &gt; 50 OLS Model'!$B$11*J132</f>
        <v>0</v>
      </c>
      <c r="X132" s="186">
        <f>'GS &gt; 50 OLS Model'!$B$12*K132</f>
        <v>0</v>
      </c>
      <c r="Y132" s="186">
        <v>0</v>
      </c>
      <c r="Z132" s="186">
        <f>'GS &gt; 50 OLS Model'!$B$13*M132</f>
        <v>33551198.840181898</v>
      </c>
      <c r="AA132" s="186">
        <f>'GS &gt; 50 OLS Model'!$B$14*N132</f>
        <v>13737248.956340911</v>
      </c>
      <c r="AB132">
        <f t="shared" ca="1" si="12"/>
        <v>82998574.27605398</v>
      </c>
    </row>
    <row r="133" spans="1:28">
      <c r="A133" s="26">
        <v>43800</v>
      </c>
      <c r="B133">
        <f t="shared" si="24"/>
        <v>2019</v>
      </c>
      <c r="D133">
        <f t="shared" ca="1" si="54"/>
        <v>556.41000000000008</v>
      </c>
      <c r="E133">
        <f t="shared" ca="1" si="54"/>
        <v>0</v>
      </c>
      <c r="F133">
        <f>F121*(1+Employment!L$9)</f>
        <v>676783.89565771027</v>
      </c>
      <c r="G133">
        <f t="shared" si="13"/>
        <v>132</v>
      </c>
      <c r="H133">
        <f t="shared" ref="H133:L133" si="66">H121</f>
        <v>0</v>
      </c>
      <c r="I133">
        <f t="shared" si="66"/>
        <v>0</v>
      </c>
      <c r="J133">
        <f t="shared" si="66"/>
        <v>0</v>
      </c>
      <c r="K133">
        <f t="shared" si="66"/>
        <v>0</v>
      </c>
      <c r="L133">
        <f t="shared" si="66"/>
        <v>0</v>
      </c>
      <c r="M133" s="127">
        <f t="shared" si="15"/>
        <v>31</v>
      </c>
      <c r="N133">
        <v>20</v>
      </c>
      <c r="P133">
        <f>'GS &gt; 50 OLS Model'!$B$5</f>
        <v>-8508488.8174217809</v>
      </c>
      <c r="Q133" s="186">
        <f ca="1">'GS &gt; 50 OLS Model'!$B$6*D133</f>
        <v>13490624.325617671</v>
      </c>
      <c r="R133" s="186">
        <f ca="1">'GS &gt; 50 OLS Model'!$B$7*E133</f>
        <v>0</v>
      </c>
      <c r="S133" s="186">
        <f>'GS &gt; 50 OLS Model'!$B$8*F133</f>
        <v>35439266.411097787</v>
      </c>
      <c r="T133" s="186">
        <v>0</v>
      </c>
      <c r="U133" s="186">
        <f>'GS &gt; 50 OLS Model'!$B$9*H133</f>
        <v>0</v>
      </c>
      <c r="V133" s="186">
        <f>'GS &gt; 50 OLS Model'!$B$10*I133</f>
        <v>0</v>
      </c>
      <c r="W133" s="186">
        <f>'GS &gt; 50 OLS Model'!$B$11*J133</f>
        <v>0</v>
      </c>
      <c r="X133" s="186">
        <f>'GS &gt; 50 OLS Model'!$B$12*K133</f>
        <v>0</v>
      </c>
      <c r="Y133" s="186">
        <v>0</v>
      </c>
      <c r="Z133" s="186">
        <f>'GS &gt; 50 OLS Model'!$B$13*M133</f>
        <v>34669572.13485463</v>
      </c>
      <c r="AA133" s="186">
        <f>'GS &gt; 50 OLS Model'!$B$14*N133</f>
        <v>13083094.244134201</v>
      </c>
      <c r="AB133">
        <f t="shared" ca="1" si="12"/>
        <v>88174068.298282519</v>
      </c>
    </row>
    <row r="134" spans="1:28">
      <c r="A134" s="128">
        <v>43831</v>
      </c>
      <c r="B134" s="127">
        <f t="shared" ref="B134:B145" si="67">YEAR(A134)</f>
        <v>2020</v>
      </c>
      <c r="C134" s="127"/>
      <c r="D134" s="127">
        <f t="shared" ref="D134:E134" ca="1" si="68">D122</f>
        <v>659.42999999999984</v>
      </c>
      <c r="E134" s="127">
        <f t="shared" ca="1" si="68"/>
        <v>0</v>
      </c>
      <c r="F134" s="127">
        <f>F122*(1+Employment!L$10)</f>
        <v>687206.36765083903</v>
      </c>
      <c r="G134" s="127">
        <f t="shared" si="13"/>
        <v>133</v>
      </c>
      <c r="H134" s="127">
        <f t="shared" ref="H134:L134" si="69">H122</f>
        <v>0</v>
      </c>
      <c r="I134" s="127">
        <f t="shared" si="69"/>
        <v>0</v>
      </c>
      <c r="J134" s="127">
        <f t="shared" si="69"/>
        <v>0</v>
      </c>
      <c r="K134" s="127">
        <f t="shared" si="69"/>
        <v>0</v>
      </c>
      <c r="L134" s="127">
        <f t="shared" si="69"/>
        <v>0</v>
      </c>
      <c r="M134" s="127">
        <f t="shared" si="15"/>
        <v>31</v>
      </c>
      <c r="N134" s="127">
        <v>22</v>
      </c>
      <c r="O134" s="127"/>
      <c r="P134" s="127">
        <f>'GS &gt; 50 OLS Model'!$B$5</f>
        <v>-8508488.8174217809</v>
      </c>
      <c r="Q134" s="186">
        <f ca="1">'GS &gt; 50 OLS Model'!$B$6*D134</f>
        <v>15988430.112762274</v>
      </c>
      <c r="R134" s="186">
        <f ca="1">'GS &gt; 50 OLS Model'!$B$7*E134</f>
        <v>0</v>
      </c>
      <c r="S134" s="186">
        <f>'GS &gt; 50 OLS Model'!$B$8*F134</f>
        <v>35985031.113828696</v>
      </c>
      <c r="T134" s="186">
        <v>0</v>
      </c>
      <c r="U134" s="186">
        <f>'GS &gt; 50 OLS Model'!$B$9*H134</f>
        <v>0</v>
      </c>
      <c r="V134" s="186">
        <f>'GS &gt; 50 OLS Model'!$B$10*I134</f>
        <v>0</v>
      </c>
      <c r="W134" s="186">
        <f>'GS &gt; 50 OLS Model'!$B$11*J134</f>
        <v>0</v>
      </c>
      <c r="X134" s="186">
        <f>'GS &gt; 50 OLS Model'!$B$12*K134</f>
        <v>0</v>
      </c>
      <c r="Y134" s="186">
        <v>0</v>
      </c>
      <c r="Z134" s="186">
        <f>'GS &gt; 50 OLS Model'!$B$13*M134</f>
        <v>34669572.13485463</v>
      </c>
      <c r="AA134" s="186">
        <f>'GS &gt; 50 OLS Model'!$B$14*N134</f>
        <v>14391403.668547621</v>
      </c>
      <c r="AB134" s="127">
        <f t="shared" ref="AB134:AB145" ca="1" si="70">SUM(P134:AA134)</f>
        <v>92525948.212571427</v>
      </c>
    </row>
    <row r="135" spans="1:28">
      <c r="A135" s="128">
        <v>43862</v>
      </c>
      <c r="B135" s="127">
        <f t="shared" si="67"/>
        <v>2020</v>
      </c>
      <c r="C135" s="127"/>
      <c r="D135" s="127">
        <f t="shared" ref="D135:E135" ca="1" si="71">D123</f>
        <v>571.77</v>
      </c>
      <c r="E135" s="127">
        <f t="shared" ca="1" si="71"/>
        <v>0</v>
      </c>
      <c r="F135" s="127">
        <f>F123*(1+Employment!L$10)</f>
        <v>687206.36765083903</v>
      </c>
      <c r="G135" s="127">
        <f t="shared" si="13"/>
        <v>134</v>
      </c>
      <c r="H135" s="127">
        <f t="shared" ref="H135:L135" si="72">H123</f>
        <v>0</v>
      </c>
      <c r="I135" s="127">
        <f t="shared" si="72"/>
        <v>0</v>
      </c>
      <c r="J135" s="127">
        <f t="shared" si="72"/>
        <v>0</v>
      </c>
      <c r="K135" s="127">
        <f t="shared" si="72"/>
        <v>0</v>
      </c>
      <c r="L135" s="127">
        <f t="shared" si="72"/>
        <v>0</v>
      </c>
      <c r="M135" s="127">
        <f t="shared" si="15"/>
        <v>29</v>
      </c>
      <c r="N135" s="127">
        <v>19</v>
      </c>
      <c r="O135" s="127"/>
      <c r="P135" s="127">
        <f>'GS &gt; 50 OLS Model'!$B$5</f>
        <v>-8508488.8174217809</v>
      </c>
      <c r="Q135" s="186">
        <f ca="1">'GS &gt; 50 OLS Model'!$B$6*D135</f>
        <v>13863040.331155827</v>
      </c>
      <c r="R135" s="186">
        <f ca="1">'GS &gt; 50 OLS Model'!$B$7*E135</f>
        <v>0</v>
      </c>
      <c r="S135" s="186">
        <f>'GS &gt; 50 OLS Model'!$B$8*F135</f>
        <v>35985031.113828696</v>
      </c>
      <c r="T135" s="186">
        <v>0</v>
      </c>
      <c r="U135" s="186">
        <f>'GS &gt; 50 OLS Model'!$B$9*H135</f>
        <v>0</v>
      </c>
      <c r="V135" s="186">
        <f>'GS &gt; 50 OLS Model'!$B$10*I135</f>
        <v>0</v>
      </c>
      <c r="W135" s="186">
        <f>'GS &gt; 50 OLS Model'!$B$11*J135</f>
        <v>0</v>
      </c>
      <c r="X135" s="186">
        <f>'GS &gt; 50 OLS Model'!$B$12*K135</f>
        <v>0</v>
      </c>
      <c r="Y135" s="186">
        <v>0</v>
      </c>
      <c r="Z135" s="186">
        <f>'GS &gt; 50 OLS Model'!$B$13*M135</f>
        <v>32432825.545509167</v>
      </c>
      <c r="AA135" s="186">
        <f>'GS &gt; 50 OLS Model'!$B$14*N135</f>
        <v>12428939.531927491</v>
      </c>
      <c r="AB135" s="127">
        <f t="shared" ca="1" si="70"/>
        <v>86201347.704999417</v>
      </c>
    </row>
    <row r="136" spans="1:28">
      <c r="A136" s="128">
        <v>43891</v>
      </c>
      <c r="B136" s="127">
        <f t="shared" si="67"/>
        <v>2020</v>
      </c>
      <c r="C136" s="127"/>
      <c r="D136" s="127">
        <f t="shared" ref="D136:E136" ca="1" si="73">D124</f>
        <v>456.53999999999996</v>
      </c>
      <c r="E136" s="127">
        <f t="shared" ca="1" si="73"/>
        <v>0.48</v>
      </c>
      <c r="F136" s="127">
        <f>F124*(1+Employment!L$10)</f>
        <v>687206.36765083903</v>
      </c>
      <c r="G136" s="127">
        <f t="shared" si="13"/>
        <v>135</v>
      </c>
      <c r="H136" s="127">
        <f t="shared" ref="H136:L136" si="74">H124</f>
        <v>0</v>
      </c>
      <c r="I136" s="127">
        <f t="shared" si="74"/>
        <v>0</v>
      </c>
      <c r="J136" s="127">
        <f t="shared" si="74"/>
        <v>0</v>
      </c>
      <c r="K136" s="127">
        <f t="shared" si="74"/>
        <v>0</v>
      </c>
      <c r="L136" s="127">
        <f t="shared" si="74"/>
        <v>0</v>
      </c>
      <c r="M136" s="127">
        <f t="shared" si="15"/>
        <v>31</v>
      </c>
      <c r="N136" s="127">
        <v>22</v>
      </c>
      <c r="O136" s="127"/>
      <c r="P136" s="127">
        <f>'GS &gt; 50 OLS Model'!$B$5</f>
        <v>-8508488.8174217809</v>
      </c>
      <c r="Q136" s="186">
        <f ca="1">'GS &gt; 50 OLS Model'!$B$6*D136</f>
        <v>11069192.914608814</v>
      </c>
      <c r="R136" s="186">
        <f ca="1">'GS &gt; 50 OLS Model'!$B$7*E136</f>
        <v>34266.051374105278</v>
      </c>
      <c r="S136" s="186">
        <f>'GS &gt; 50 OLS Model'!$B$8*F136</f>
        <v>35985031.113828696</v>
      </c>
      <c r="T136" s="186">
        <v>0</v>
      </c>
      <c r="U136" s="186">
        <f>'GS &gt; 50 OLS Model'!$B$9*H136</f>
        <v>0</v>
      </c>
      <c r="V136" s="186">
        <f>'GS &gt; 50 OLS Model'!$B$10*I136</f>
        <v>0</v>
      </c>
      <c r="W136" s="186">
        <f>'GS &gt; 50 OLS Model'!$B$11*J136</f>
        <v>0</v>
      </c>
      <c r="X136" s="186">
        <f>'GS &gt; 50 OLS Model'!$B$12*K136</f>
        <v>0</v>
      </c>
      <c r="Y136" s="186">
        <v>0</v>
      </c>
      <c r="Z136" s="186">
        <f>'GS &gt; 50 OLS Model'!$B$13*M136</f>
        <v>34669572.13485463</v>
      </c>
      <c r="AA136" s="186">
        <f>'GS &gt; 50 OLS Model'!$B$14*N136</f>
        <v>14391403.668547621</v>
      </c>
      <c r="AB136" s="127">
        <f t="shared" ca="1" si="70"/>
        <v>87640977.065792069</v>
      </c>
    </row>
    <row r="137" spans="1:28">
      <c r="A137" s="128">
        <v>43922</v>
      </c>
      <c r="B137" s="127">
        <f t="shared" si="67"/>
        <v>2020</v>
      </c>
      <c r="C137" s="127"/>
      <c r="D137" s="127">
        <f t="shared" ref="D137:E137" ca="1" si="75">D125</f>
        <v>248.54999999999995</v>
      </c>
      <c r="E137" s="127">
        <f t="shared" ca="1" si="75"/>
        <v>2.63</v>
      </c>
      <c r="F137" s="127">
        <f>F125*(1+Employment!L$10)</f>
        <v>687206.36765083903</v>
      </c>
      <c r="G137" s="127">
        <f t="shared" si="13"/>
        <v>136</v>
      </c>
      <c r="H137" s="127">
        <f t="shared" ref="H137:L137" si="76">H125</f>
        <v>1</v>
      </c>
      <c r="I137" s="127">
        <f t="shared" si="76"/>
        <v>0</v>
      </c>
      <c r="J137" s="127">
        <f t="shared" si="76"/>
        <v>0</v>
      </c>
      <c r="K137" s="127">
        <f t="shared" si="76"/>
        <v>0</v>
      </c>
      <c r="L137" s="127">
        <f t="shared" si="76"/>
        <v>0</v>
      </c>
      <c r="M137" s="127">
        <f t="shared" si="15"/>
        <v>30</v>
      </c>
      <c r="N137" s="127">
        <v>21</v>
      </c>
      <c r="O137" s="127"/>
      <c r="P137" s="127">
        <f>'GS &gt; 50 OLS Model'!$B$5</f>
        <v>-8508488.8174217809</v>
      </c>
      <c r="Q137" s="186">
        <f ca="1">'GS &gt; 50 OLS Model'!$B$6*D137</f>
        <v>6026301.9646165073</v>
      </c>
      <c r="R137" s="186">
        <f ca="1">'GS &gt; 50 OLS Model'!$B$7*E137</f>
        <v>187749.40648728516</v>
      </c>
      <c r="S137" s="186">
        <f>'GS &gt; 50 OLS Model'!$B$8*F137</f>
        <v>35985031.113828696</v>
      </c>
      <c r="T137" s="186">
        <v>0</v>
      </c>
      <c r="U137" s="186">
        <f>'GS &gt; 50 OLS Model'!$B$9*H137</f>
        <v>-1670359.8066300801</v>
      </c>
      <c r="V137" s="186">
        <f>'GS &gt; 50 OLS Model'!$B$10*I137</f>
        <v>0</v>
      </c>
      <c r="W137" s="186">
        <f>'GS &gt; 50 OLS Model'!$B$11*J137</f>
        <v>0</v>
      </c>
      <c r="X137" s="186">
        <f>'GS &gt; 50 OLS Model'!$B$12*K137</f>
        <v>0</v>
      </c>
      <c r="Y137" s="186">
        <v>0</v>
      </c>
      <c r="Z137" s="186">
        <f>'GS &gt; 50 OLS Model'!$B$13*M137</f>
        <v>33551198.840181898</v>
      </c>
      <c r="AA137" s="186">
        <f>'GS &gt; 50 OLS Model'!$B$14*N137</f>
        <v>13737248.956340911</v>
      </c>
      <c r="AB137" s="127">
        <f t="shared" ca="1" si="70"/>
        <v>79308681.657403439</v>
      </c>
    </row>
    <row r="138" spans="1:28">
      <c r="A138" s="128">
        <v>43952</v>
      </c>
      <c r="B138" s="127">
        <f t="shared" si="67"/>
        <v>2020</v>
      </c>
      <c r="C138" s="127"/>
      <c r="D138" s="127">
        <f t="shared" ref="D138:E138" ca="1" si="77">D126</f>
        <v>92.740000000000009</v>
      </c>
      <c r="E138" s="127">
        <f t="shared" ca="1" si="77"/>
        <v>47.37</v>
      </c>
      <c r="F138" s="127">
        <f>F126*(1+Employment!L$10)</f>
        <v>687206.36765083903</v>
      </c>
      <c r="G138" s="127">
        <f t="shared" si="13"/>
        <v>137</v>
      </c>
      <c r="H138" s="127">
        <f t="shared" ref="H138:L138" si="78">H126</f>
        <v>0</v>
      </c>
      <c r="I138" s="127">
        <f t="shared" si="78"/>
        <v>0</v>
      </c>
      <c r="J138" s="127">
        <f t="shared" si="78"/>
        <v>0</v>
      </c>
      <c r="K138" s="127">
        <f t="shared" si="78"/>
        <v>0</v>
      </c>
      <c r="L138" s="127">
        <f t="shared" si="78"/>
        <v>0</v>
      </c>
      <c r="M138" s="127">
        <f t="shared" si="15"/>
        <v>31</v>
      </c>
      <c r="N138" s="127">
        <v>20</v>
      </c>
      <c r="O138" s="127"/>
      <c r="P138" s="127">
        <f>'GS &gt; 50 OLS Model'!$B$5</f>
        <v>-8508488.8174217809</v>
      </c>
      <c r="Q138" s="186">
        <f ca="1">'GS &gt; 50 OLS Model'!$B$6*D138</f>
        <v>2248558.6167714144</v>
      </c>
      <c r="R138" s="186">
        <f ca="1">'GS &gt; 50 OLS Model'!$B$7*E138</f>
        <v>3381630.9449820146</v>
      </c>
      <c r="S138" s="186">
        <f>'GS &gt; 50 OLS Model'!$B$8*F138</f>
        <v>35985031.113828696</v>
      </c>
      <c r="T138" s="186">
        <v>0</v>
      </c>
      <c r="U138" s="186">
        <f>'GS &gt; 50 OLS Model'!$B$9*H138</f>
        <v>0</v>
      </c>
      <c r="V138" s="186">
        <f>'GS &gt; 50 OLS Model'!$B$10*I138</f>
        <v>0</v>
      </c>
      <c r="W138" s="186">
        <f>'GS &gt; 50 OLS Model'!$B$11*J138</f>
        <v>0</v>
      </c>
      <c r="X138" s="186">
        <f>'GS &gt; 50 OLS Model'!$B$12*K138</f>
        <v>0</v>
      </c>
      <c r="Y138" s="186">
        <v>0</v>
      </c>
      <c r="Z138" s="186">
        <f>'GS &gt; 50 OLS Model'!$B$13*M138</f>
        <v>34669572.13485463</v>
      </c>
      <c r="AA138" s="186">
        <f>'GS &gt; 50 OLS Model'!$B$14*N138</f>
        <v>13083094.244134201</v>
      </c>
      <c r="AB138" s="127">
        <f t="shared" ca="1" si="70"/>
        <v>80859398.237149179</v>
      </c>
    </row>
    <row r="139" spans="1:28">
      <c r="A139" s="128">
        <v>43983</v>
      </c>
      <c r="B139" s="127">
        <f t="shared" si="67"/>
        <v>2020</v>
      </c>
      <c r="C139" s="127"/>
      <c r="D139" s="127">
        <f t="shared" ref="D139:E139" ca="1" si="79">D127</f>
        <v>9.08</v>
      </c>
      <c r="E139" s="127">
        <f t="shared" ca="1" si="79"/>
        <v>117.23999999999997</v>
      </c>
      <c r="F139" s="127">
        <f>F127*(1+Employment!L$10)</f>
        <v>687206.36765083903</v>
      </c>
      <c r="G139" s="127">
        <f t="shared" si="13"/>
        <v>138</v>
      </c>
      <c r="H139" s="127">
        <f t="shared" ref="H139:L139" si="80">H127</f>
        <v>0</v>
      </c>
      <c r="I139" s="127">
        <f t="shared" si="80"/>
        <v>1</v>
      </c>
      <c r="J139" s="127">
        <f t="shared" si="80"/>
        <v>0</v>
      </c>
      <c r="K139" s="127">
        <f t="shared" si="80"/>
        <v>0</v>
      </c>
      <c r="L139" s="127">
        <f t="shared" si="80"/>
        <v>0</v>
      </c>
      <c r="M139" s="127">
        <f t="shared" si="15"/>
        <v>30</v>
      </c>
      <c r="N139" s="127">
        <v>22</v>
      </c>
      <c r="O139" s="127"/>
      <c r="P139" s="127">
        <f>'GS &gt; 50 OLS Model'!$B$5</f>
        <v>-8508488.8174217809</v>
      </c>
      <c r="Q139" s="186">
        <f ca="1">'GS &gt; 50 OLS Model'!$B$6*D139</f>
        <v>220152.16994052666</v>
      </c>
      <c r="R139" s="186">
        <f ca="1">'GS &gt; 50 OLS Model'!$B$7*E139</f>
        <v>8369483.0481252121</v>
      </c>
      <c r="S139" s="186">
        <f>'GS &gt; 50 OLS Model'!$B$8*F139</f>
        <v>35985031.113828696</v>
      </c>
      <c r="T139" s="186">
        <v>0</v>
      </c>
      <c r="U139" s="186">
        <f>'GS &gt; 50 OLS Model'!$B$9*H139</f>
        <v>0</v>
      </c>
      <c r="V139" s="186">
        <f>'GS &gt; 50 OLS Model'!$B$10*I139</f>
        <v>1244451.2383117899</v>
      </c>
      <c r="W139" s="186">
        <f>'GS &gt; 50 OLS Model'!$B$11*J139</f>
        <v>0</v>
      </c>
      <c r="X139" s="186">
        <f>'GS &gt; 50 OLS Model'!$B$12*K139</f>
        <v>0</v>
      </c>
      <c r="Y139" s="186">
        <v>0</v>
      </c>
      <c r="Z139" s="186">
        <f>'GS &gt; 50 OLS Model'!$B$13*M139</f>
        <v>33551198.840181898</v>
      </c>
      <c r="AA139" s="186">
        <f>'GS &gt; 50 OLS Model'!$B$14*N139</f>
        <v>14391403.668547621</v>
      </c>
      <c r="AB139" s="127">
        <f t="shared" ca="1" si="70"/>
        <v>85253231.261513963</v>
      </c>
    </row>
    <row r="140" spans="1:28">
      <c r="A140" s="128">
        <v>44013</v>
      </c>
      <c r="B140" s="127">
        <f t="shared" si="67"/>
        <v>2020</v>
      </c>
      <c r="C140" s="127"/>
      <c r="D140" s="127">
        <f t="shared" ref="D140:E140" ca="1" si="81">D128</f>
        <v>0.51</v>
      </c>
      <c r="E140" s="127">
        <f t="shared" ca="1" si="81"/>
        <v>185.60999999999999</v>
      </c>
      <c r="F140" s="127">
        <f>F128*(1+Employment!L$10)</f>
        <v>687206.36765083903</v>
      </c>
      <c r="G140" s="127">
        <f t="shared" si="13"/>
        <v>139</v>
      </c>
      <c r="H140" s="127">
        <f t="shared" ref="H140:L140" si="82">H128</f>
        <v>0</v>
      </c>
      <c r="I140" s="127">
        <f t="shared" si="82"/>
        <v>0</v>
      </c>
      <c r="J140" s="127">
        <f t="shared" si="82"/>
        <v>0</v>
      </c>
      <c r="K140" s="127">
        <f t="shared" si="82"/>
        <v>0</v>
      </c>
      <c r="L140" s="127">
        <f t="shared" si="82"/>
        <v>0</v>
      </c>
      <c r="M140" s="127">
        <f t="shared" si="15"/>
        <v>31</v>
      </c>
      <c r="N140" s="127">
        <v>22</v>
      </c>
      <c r="O140" s="127"/>
      <c r="P140" s="127">
        <f>'GS &gt; 50 OLS Model'!$B$5</f>
        <v>-8508488.8174217809</v>
      </c>
      <c r="Q140" s="186">
        <f ca="1">'GS &gt; 50 OLS Model'!$B$6*D140</f>
        <v>12365.375183884205</v>
      </c>
      <c r="R140" s="186">
        <f ca="1">'GS &gt; 50 OLS Model'!$B$7*E140</f>
        <v>13250253.740724334</v>
      </c>
      <c r="S140" s="186">
        <f>'GS &gt; 50 OLS Model'!$B$8*F140</f>
        <v>35985031.113828696</v>
      </c>
      <c r="T140" s="186">
        <v>0</v>
      </c>
      <c r="U140" s="186">
        <f>'GS &gt; 50 OLS Model'!$B$9*H140</f>
        <v>0</v>
      </c>
      <c r="V140" s="186">
        <f>'GS &gt; 50 OLS Model'!$B$10*I140</f>
        <v>0</v>
      </c>
      <c r="W140" s="186">
        <f>'GS &gt; 50 OLS Model'!$B$11*J140</f>
        <v>0</v>
      </c>
      <c r="X140" s="186">
        <f>'GS &gt; 50 OLS Model'!$B$12*K140</f>
        <v>0</v>
      </c>
      <c r="Y140" s="186">
        <v>0</v>
      </c>
      <c r="Z140" s="186">
        <f>'GS &gt; 50 OLS Model'!$B$13*M140</f>
        <v>34669572.13485463</v>
      </c>
      <c r="AA140" s="186">
        <f>'GS &gt; 50 OLS Model'!$B$14*N140</f>
        <v>14391403.668547621</v>
      </c>
      <c r="AB140" s="127">
        <f t="shared" ca="1" si="70"/>
        <v>89800137.215717375</v>
      </c>
    </row>
    <row r="141" spans="1:28">
      <c r="A141" s="128">
        <v>44044</v>
      </c>
      <c r="B141" s="127">
        <f t="shared" si="67"/>
        <v>2020</v>
      </c>
      <c r="C141" s="127"/>
      <c r="D141" s="127">
        <f t="shared" ref="D141:E141" ca="1" si="83">D129</f>
        <v>1.51</v>
      </c>
      <c r="E141" s="127">
        <f t="shared" ca="1" si="83"/>
        <v>159.64000000000001</v>
      </c>
      <c r="F141" s="127">
        <f>F129*(1+Employment!L$10)</f>
        <v>687206.36765083903</v>
      </c>
      <c r="G141" s="127">
        <f t="shared" si="13"/>
        <v>140</v>
      </c>
      <c r="H141" s="127">
        <f t="shared" ref="H141:L141" si="84">H129</f>
        <v>0</v>
      </c>
      <c r="I141" s="127">
        <f t="shared" si="84"/>
        <v>0</v>
      </c>
      <c r="J141" s="127">
        <f t="shared" si="84"/>
        <v>1</v>
      </c>
      <c r="K141" s="127">
        <f t="shared" si="84"/>
        <v>0</v>
      </c>
      <c r="L141" s="127">
        <f t="shared" si="84"/>
        <v>0</v>
      </c>
      <c r="M141" s="127">
        <f t="shared" si="15"/>
        <v>31</v>
      </c>
      <c r="N141" s="127">
        <v>20</v>
      </c>
      <c r="O141" s="127"/>
      <c r="P141" s="127">
        <f>'GS &gt; 50 OLS Model'!$B$5</f>
        <v>-8508488.8174217809</v>
      </c>
      <c r="Q141" s="186">
        <f ca="1">'GS &gt; 50 OLS Model'!$B$6*D141</f>
        <v>36611.208877774807</v>
      </c>
      <c r="R141" s="186">
        <f ca="1">'GS &gt; 50 OLS Model'!$B$7*E141</f>
        <v>11396317.586171182</v>
      </c>
      <c r="S141" s="186">
        <f>'GS &gt; 50 OLS Model'!$B$8*F141</f>
        <v>35985031.113828696</v>
      </c>
      <c r="T141" s="186">
        <v>0</v>
      </c>
      <c r="U141" s="186">
        <f>'GS &gt; 50 OLS Model'!$B$9*H141</f>
        <v>0</v>
      </c>
      <c r="V141" s="186">
        <f>'GS &gt; 50 OLS Model'!$B$10*I141</f>
        <v>0</v>
      </c>
      <c r="W141" s="186">
        <f>'GS &gt; 50 OLS Model'!$B$11*J141</f>
        <v>2505717.0713192602</v>
      </c>
      <c r="X141" s="186">
        <f>'GS &gt; 50 OLS Model'!$B$12*K141</f>
        <v>0</v>
      </c>
      <c r="Y141" s="186">
        <v>0</v>
      </c>
      <c r="Z141" s="186">
        <f>'GS &gt; 50 OLS Model'!$B$13*M141</f>
        <v>34669572.13485463</v>
      </c>
      <c r="AA141" s="186">
        <f>'GS &gt; 50 OLS Model'!$B$14*N141</f>
        <v>13083094.244134201</v>
      </c>
      <c r="AB141" s="127">
        <f t="shared" ca="1" si="70"/>
        <v>89167854.541763961</v>
      </c>
    </row>
    <row r="142" spans="1:28">
      <c r="A142" s="128">
        <v>44075</v>
      </c>
      <c r="B142" s="127">
        <f t="shared" si="67"/>
        <v>2020</v>
      </c>
      <c r="C142" s="127"/>
      <c r="D142" s="127">
        <f t="shared" ref="D142:E142" ca="1" si="85">D130</f>
        <v>33.01</v>
      </c>
      <c r="E142" s="127">
        <f t="shared" ca="1" si="85"/>
        <v>72.989999999999981</v>
      </c>
      <c r="F142" s="127">
        <f>F130*(1+Employment!L$10)</f>
        <v>687206.36765083903</v>
      </c>
      <c r="G142" s="127">
        <f t="shared" si="13"/>
        <v>141</v>
      </c>
      <c r="H142" s="127">
        <f t="shared" ref="H142:L142" si="86">H130</f>
        <v>0</v>
      </c>
      <c r="I142" s="127">
        <f t="shared" si="86"/>
        <v>0</v>
      </c>
      <c r="J142" s="127">
        <f t="shared" si="86"/>
        <v>0</v>
      </c>
      <c r="K142" s="127">
        <f t="shared" si="86"/>
        <v>1</v>
      </c>
      <c r="L142" s="127">
        <f t="shared" si="86"/>
        <v>0</v>
      </c>
      <c r="M142" s="127">
        <f t="shared" si="15"/>
        <v>30</v>
      </c>
      <c r="N142" s="127">
        <v>21</v>
      </c>
      <c r="O142" s="127"/>
      <c r="P142" s="127">
        <f>'GS &gt; 50 OLS Model'!$B$5</f>
        <v>-8508488.8174217809</v>
      </c>
      <c r="Q142" s="186">
        <f ca="1">'GS &gt; 50 OLS Model'!$B$6*D142</f>
        <v>800354.97023532866</v>
      </c>
      <c r="R142" s="186">
        <f ca="1">'GS &gt; 50 OLS Model'!$B$7*E142</f>
        <v>5210581.4370748829</v>
      </c>
      <c r="S142" s="186">
        <f>'GS &gt; 50 OLS Model'!$B$8*F142</f>
        <v>35985031.113828696</v>
      </c>
      <c r="T142" s="186">
        <v>0</v>
      </c>
      <c r="U142" s="186">
        <f>'GS &gt; 50 OLS Model'!$B$9*H142</f>
        <v>0</v>
      </c>
      <c r="V142" s="186">
        <f>'GS &gt; 50 OLS Model'!$B$10*I142</f>
        <v>0</v>
      </c>
      <c r="W142" s="186">
        <f>'GS &gt; 50 OLS Model'!$B$11*J142</f>
        <v>0</v>
      </c>
      <c r="X142" s="186">
        <f>'GS &gt; 50 OLS Model'!$B$12*K142</f>
        <v>2345350.8919449002</v>
      </c>
      <c r="Y142" s="186">
        <v>0</v>
      </c>
      <c r="Z142" s="186">
        <f>'GS &gt; 50 OLS Model'!$B$13*M142</f>
        <v>33551198.840181898</v>
      </c>
      <c r="AA142" s="186">
        <f>'GS &gt; 50 OLS Model'!$B$14*N142</f>
        <v>13737248.956340911</v>
      </c>
      <c r="AB142" s="127">
        <f t="shared" ca="1" si="70"/>
        <v>83121277.392184839</v>
      </c>
    </row>
    <row r="143" spans="1:28">
      <c r="A143" s="128">
        <v>44105</v>
      </c>
      <c r="B143" s="127">
        <f t="shared" si="67"/>
        <v>2020</v>
      </c>
      <c r="C143" s="127"/>
      <c r="D143" s="127">
        <f t="shared" ref="D143:E143" ca="1" si="87">D131</f>
        <v>177.83999999999997</v>
      </c>
      <c r="E143" s="127">
        <f t="shared" ca="1" si="87"/>
        <v>10.779999999999998</v>
      </c>
      <c r="F143" s="127">
        <f>F131*(1+Employment!L$10)</f>
        <v>687206.36765083903</v>
      </c>
      <c r="G143" s="127">
        <f t="shared" si="13"/>
        <v>142</v>
      </c>
      <c r="H143" s="127">
        <f t="shared" ref="H143:L143" si="88">H131</f>
        <v>0</v>
      </c>
      <c r="I143" s="127">
        <f t="shared" si="88"/>
        <v>0</v>
      </c>
      <c r="J143" s="127">
        <f t="shared" si="88"/>
        <v>0</v>
      </c>
      <c r="K143" s="127">
        <f t="shared" si="88"/>
        <v>0</v>
      </c>
      <c r="L143" s="127">
        <f t="shared" si="88"/>
        <v>1</v>
      </c>
      <c r="M143" s="127">
        <f t="shared" si="15"/>
        <v>31</v>
      </c>
      <c r="N143" s="127">
        <v>21</v>
      </c>
      <c r="O143" s="127"/>
      <c r="P143" s="127">
        <f>'GS &gt; 50 OLS Model'!$B$5</f>
        <v>-8508488.8174217809</v>
      </c>
      <c r="Q143" s="186">
        <f ca="1">'GS &gt; 50 OLS Model'!$B$6*D143</f>
        <v>4311879.0641215034</v>
      </c>
      <c r="R143" s="186">
        <f ca="1">'GS &gt; 50 OLS Model'!$B$7*E143</f>
        <v>769558.40377678082</v>
      </c>
      <c r="S143" s="186">
        <f>'GS &gt; 50 OLS Model'!$B$8*F143</f>
        <v>35985031.113828696</v>
      </c>
      <c r="T143" s="186">
        <v>0</v>
      </c>
      <c r="U143" s="186">
        <f>'GS &gt; 50 OLS Model'!$B$9*H143</f>
        <v>0</v>
      </c>
      <c r="V143" s="186">
        <f>'GS &gt; 50 OLS Model'!$B$10*I143</f>
        <v>0</v>
      </c>
      <c r="W143" s="186">
        <f>'GS &gt; 50 OLS Model'!$B$11*J143</f>
        <v>0</v>
      </c>
      <c r="X143" s="186">
        <f>'GS &gt; 50 OLS Model'!$B$12*K143</f>
        <v>0</v>
      </c>
      <c r="Y143" s="186">
        <v>0</v>
      </c>
      <c r="Z143" s="186">
        <f>'GS &gt; 50 OLS Model'!$B$13*M143</f>
        <v>34669572.13485463</v>
      </c>
      <c r="AA143" s="186">
        <f>'GS &gt; 50 OLS Model'!$B$14*N143</f>
        <v>13737248.956340911</v>
      </c>
      <c r="AB143" s="127">
        <f t="shared" ca="1" si="70"/>
        <v>80964800.855500743</v>
      </c>
    </row>
    <row r="144" spans="1:28">
      <c r="A144" s="128">
        <v>44136</v>
      </c>
      <c r="B144" s="127">
        <f t="shared" si="67"/>
        <v>2020</v>
      </c>
      <c r="C144" s="127"/>
      <c r="D144" s="127">
        <f t="shared" ref="D144:E144" ca="1" si="89">D132</f>
        <v>361.94999999999993</v>
      </c>
      <c r="E144" s="127">
        <f t="shared" ca="1" si="89"/>
        <v>0.05</v>
      </c>
      <c r="F144" s="127">
        <f>F132*(1+Employment!L$10)</f>
        <v>687206.36765083903</v>
      </c>
      <c r="G144" s="127">
        <f t="shared" si="13"/>
        <v>143</v>
      </c>
      <c r="H144" s="127">
        <f t="shared" ref="H144:L144" si="90">H132</f>
        <v>0</v>
      </c>
      <c r="I144" s="127">
        <f t="shared" si="90"/>
        <v>0</v>
      </c>
      <c r="J144" s="127">
        <f t="shared" si="90"/>
        <v>0</v>
      </c>
      <c r="K144" s="127">
        <f t="shared" si="90"/>
        <v>0</v>
      </c>
      <c r="L144" s="127">
        <f t="shared" si="90"/>
        <v>0</v>
      </c>
      <c r="M144" s="127">
        <f t="shared" si="15"/>
        <v>30</v>
      </c>
      <c r="N144" s="127">
        <v>21</v>
      </c>
      <c r="O144" s="127"/>
      <c r="P144" s="127">
        <f>'GS &gt; 50 OLS Model'!$B$5</f>
        <v>-8508488.8174217809</v>
      </c>
      <c r="Q144" s="186">
        <f ca="1">'GS &gt; 50 OLS Model'!$B$6*D144</f>
        <v>8775779.505503701</v>
      </c>
      <c r="R144" s="186">
        <f ca="1">'GS &gt; 50 OLS Model'!$B$7*E144</f>
        <v>3569.3803514693</v>
      </c>
      <c r="S144" s="186">
        <f>'GS &gt; 50 OLS Model'!$B$8*F144</f>
        <v>35985031.113828696</v>
      </c>
      <c r="T144" s="186">
        <v>0</v>
      </c>
      <c r="U144" s="186">
        <f>'GS &gt; 50 OLS Model'!$B$9*H144</f>
        <v>0</v>
      </c>
      <c r="V144" s="186">
        <f>'GS &gt; 50 OLS Model'!$B$10*I144</f>
        <v>0</v>
      </c>
      <c r="W144" s="186">
        <f>'GS &gt; 50 OLS Model'!$B$11*J144</f>
        <v>0</v>
      </c>
      <c r="X144" s="186">
        <f>'GS &gt; 50 OLS Model'!$B$12*K144</f>
        <v>0</v>
      </c>
      <c r="Y144" s="186">
        <v>0</v>
      </c>
      <c r="Z144" s="186">
        <f>'GS &gt; 50 OLS Model'!$B$13*M144</f>
        <v>33551198.840181898</v>
      </c>
      <c r="AA144" s="186">
        <f>'GS &gt; 50 OLS Model'!$B$14*N144</f>
        <v>13737248.956340911</v>
      </c>
      <c r="AB144" s="127">
        <f t="shared" ca="1" si="70"/>
        <v>83544338.978784889</v>
      </c>
    </row>
    <row r="145" spans="1:28">
      <c r="A145" s="128">
        <v>44166</v>
      </c>
      <c r="B145" s="127">
        <f t="shared" si="67"/>
        <v>2020</v>
      </c>
      <c r="C145" s="127"/>
      <c r="D145" s="127">
        <f t="shared" ref="D145:E145" ca="1" si="91">D133</f>
        <v>556.41000000000008</v>
      </c>
      <c r="E145" s="127">
        <f t="shared" ca="1" si="91"/>
        <v>0</v>
      </c>
      <c r="F145" s="127">
        <f>F133*(1+Employment!L$10)</f>
        <v>687206.36765083903</v>
      </c>
      <c r="G145" s="127">
        <f t="shared" si="13"/>
        <v>144</v>
      </c>
      <c r="H145" s="127">
        <f t="shared" ref="H145:L145" si="92">H133</f>
        <v>0</v>
      </c>
      <c r="I145" s="127">
        <f t="shared" si="92"/>
        <v>0</v>
      </c>
      <c r="J145" s="127">
        <f t="shared" si="92"/>
        <v>0</v>
      </c>
      <c r="K145" s="127">
        <f t="shared" si="92"/>
        <v>0</v>
      </c>
      <c r="L145" s="127">
        <f t="shared" si="92"/>
        <v>0</v>
      </c>
      <c r="M145" s="127">
        <f t="shared" si="15"/>
        <v>31</v>
      </c>
      <c r="N145" s="127">
        <v>21</v>
      </c>
      <c r="O145" s="127"/>
      <c r="P145" s="127">
        <f>'GS &gt; 50 OLS Model'!$B$5</f>
        <v>-8508488.8174217809</v>
      </c>
      <c r="Q145" s="186">
        <f ca="1">'GS &gt; 50 OLS Model'!$B$6*D145</f>
        <v>13490624.325617671</v>
      </c>
      <c r="R145" s="186">
        <f ca="1">'GS &gt; 50 OLS Model'!$B$7*E145</f>
        <v>0</v>
      </c>
      <c r="S145" s="186">
        <f>'GS &gt; 50 OLS Model'!$B$8*F145</f>
        <v>35985031.113828696</v>
      </c>
      <c r="T145" s="186">
        <v>0</v>
      </c>
      <c r="U145" s="186">
        <f>'GS &gt; 50 OLS Model'!$B$9*H145</f>
        <v>0</v>
      </c>
      <c r="V145" s="186">
        <f>'GS &gt; 50 OLS Model'!$B$10*I145</f>
        <v>0</v>
      </c>
      <c r="W145" s="186">
        <f>'GS &gt; 50 OLS Model'!$B$11*J145</f>
        <v>0</v>
      </c>
      <c r="X145" s="186">
        <f>'GS &gt; 50 OLS Model'!$B$12*K145</f>
        <v>0</v>
      </c>
      <c r="Y145" s="186">
        <v>0</v>
      </c>
      <c r="Z145" s="186">
        <f>'GS &gt; 50 OLS Model'!$B$13*M145</f>
        <v>34669572.13485463</v>
      </c>
      <c r="AA145" s="186">
        <f>'GS &gt; 50 OLS Model'!$B$14*N145</f>
        <v>13737248.956340911</v>
      </c>
      <c r="AB145" s="127">
        <f t="shared" ca="1" si="70"/>
        <v>89373987.713220119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E0A8D-128E-4010-BF5A-3262101AB375}">
  <dimension ref="A1:AB145"/>
  <sheetViews>
    <sheetView workbookViewId="0">
      <selection activeCell="C3" sqref="C3"/>
    </sheetView>
  </sheetViews>
  <sheetFormatPr defaultRowHeight="12.75"/>
  <cols>
    <col min="1" max="1" width="10.33203125" style="186" bestFit="1" customWidth="1"/>
    <col min="2" max="2" width="5" style="186" bestFit="1" customWidth="1"/>
    <col min="3" max="3" width="18.6640625" style="186" bestFit="1" customWidth="1"/>
    <col min="4" max="5" width="6" style="186" bestFit="1" customWidth="1"/>
    <col min="6" max="6" width="9" style="186" bestFit="1" customWidth="1"/>
    <col min="7" max="7" width="3.83203125" style="186" bestFit="1" customWidth="1"/>
    <col min="8" max="8" width="10.1640625" style="186" bestFit="1" customWidth="1"/>
    <col min="9" max="9" width="4.33203125" style="186" bestFit="1" customWidth="1"/>
    <col min="10" max="10" width="5.33203125" style="186" bestFit="1" customWidth="1"/>
    <col min="11" max="15" width="9.33203125" style="186"/>
    <col min="16" max="16" width="12.6640625" style="186" bestFit="1" customWidth="1"/>
    <col min="17" max="18" width="12" style="186" bestFit="1" customWidth="1"/>
    <col min="19" max="20" width="12.6640625" style="186" bestFit="1" customWidth="1"/>
    <col min="21" max="22" width="12" style="186" bestFit="1" customWidth="1"/>
    <col min="23" max="23" width="12.6640625" style="186" bestFit="1" customWidth="1"/>
    <col min="24" max="27" width="12.6640625" style="186" customWidth="1"/>
    <col min="28" max="28" width="12" style="186" bestFit="1" customWidth="1"/>
    <col min="29" max="16384" width="9.33203125" style="186"/>
  </cols>
  <sheetData>
    <row r="1" spans="1:28">
      <c r="A1" s="186" t="s">
        <v>123</v>
      </c>
      <c r="B1" s="186" t="s">
        <v>124</v>
      </c>
      <c r="C1" s="230" t="str">
        <f>'Monthly Data'!T1</f>
        <v>GSgt_LC_kWh_NoCDM</v>
      </c>
      <c r="D1" s="186" t="str">
        <f>'Monthly Data'!BH1</f>
        <v>HDD</v>
      </c>
      <c r="E1" s="186" t="str">
        <f>'Monthly Data'!BI1</f>
        <v>CDD</v>
      </c>
      <c r="F1" s="186" t="str">
        <f>'Monthly Data'!BL1</f>
        <v>Ont_GDP</v>
      </c>
      <c r="G1" s="186" t="str">
        <f>'Monthly Data'!BM1</f>
        <v>Trend</v>
      </c>
      <c r="H1" s="186" t="str">
        <f>'Monthly Data'!BQ1</f>
        <v>Apr</v>
      </c>
      <c r="I1" s="186" t="str">
        <f>'Monthly Data'!BS1</f>
        <v>Jun</v>
      </c>
      <c r="J1" s="186" t="str">
        <f>'Monthly Data'!BU1</f>
        <v>Aug</v>
      </c>
      <c r="K1" s="186" t="str">
        <f>'Monthly Data'!BV1</f>
        <v>Sept</v>
      </c>
      <c r="L1" s="186" t="str">
        <f>'Monthly Data'!BW1</f>
        <v>Oct</v>
      </c>
      <c r="M1" s="186" t="str">
        <f>'Monthly Data'!CC1</f>
        <v>Month Days</v>
      </c>
      <c r="N1" s="186" t="str">
        <f>'Monthly Data'!CD1</f>
        <v>Peak Days</v>
      </c>
      <c r="P1" s="186" t="s">
        <v>91</v>
      </c>
      <c r="Q1" s="186" t="str">
        <f t="shared" ref="Q1:AA1" si="0">D1</f>
        <v>HDD</v>
      </c>
      <c r="R1" s="186" t="str">
        <f t="shared" si="0"/>
        <v>CDD</v>
      </c>
      <c r="S1" s="186" t="str">
        <f t="shared" si="0"/>
        <v>Ont_GDP</v>
      </c>
      <c r="T1" s="186" t="str">
        <f t="shared" si="0"/>
        <v>Trend</v>
      </c>
      <c r="U1" s="186" t="str">
        <f t="shared" si="0"/>
        <v>Apr</v>
      </c>
      <c r="V1" s="186" t="str">
        <f t="shared" si="0"/>
        <v>Jun</v>
      </c>
      <c r="W1" s="186" t="str">
        <f t="shared" si="0"/>
        <v>Aug</v>
      </c>
      <c r="X1" s="186" t="str">
        <f t="shared" si="0"/>
        <v>Sept</v>
      </c>
      <c r="Y1" s="186" t="str">
        <f t="shared" si="0"/>
        <v>Oct</v>
      </c>
      <c r="Z1" s="186" t="str">
        <f t="shared" si="0"/>
        <v>Month Days</v>
      </c>
      <c r="AA1" s="186" t="str">
        <f t="shared" si="0"/>
        <v>Peak Days</v>
      </c>
      <c r="AB1" s="186" t="s">
        <v>125</v>
      </c>
    </row>
    <row r="2" spans="1:28">
      <c r="A2" s="128">
        <f>'Monthly Data'!A2</f>
        <v>39814</v>
      </c>
      <c r="B2" s="186">
        <f t="shared" ref="B2:B65" si="1">YEAR(A2)</f>
        <v>2009</v>
      </c>
      <c r="C2" s="230">
        <f ca="1">'Monthly Data'!T2</f>
        <v>85159952.300793856</v>
      </c>
      <c r="D2" s="186">
        <f ca="1">Weather!G69</f>
        <v>659.42999999999984</v>
      </c>
      <c r="E2" s="186">
        <f ca="1">Weather!H69</f>
        <v>0</v>
      </c>
      <c r="F2" s="186">
        <f>'Monthly Data'!BL2</f>
        <v>539388</v>
      </c>
      <c r="G2" s="186">
        <f>'Monthly Data'!BM2</f>
        <v>1</v>
      </c>
      <c r="H2" s="186">
        <f>'Monthly Data'!BQ2</f>
        <v>0</v>
      </c>
      <c r="I2" s="186">
        <f>'Monthly Data'!BS2</f>
        <v>0</v>
      </c>
      <c r="J2" s="186">
        <f>'Monthly Data'!BU2</f>
        <v>0</v>
      </c>
      <c r="K2" s="186">
        <f>'Monthly Data'!BV2</f>
        <v>0</v>
      </c>
      <c r="L2" s="186">
        <f>'Monthly Data'!BW2</f>
        <v>0</v>
      </c>
      <c r="M2" s="186">
        <f>'Monthly Data'!CC2</f>
        <v>31</v>
      </c>
      <c r="N2" s="186">
        <f>'Monthly Data'!CD2</f>
        <v>21</v>
      </c>
      <c r="P2" s="186">
        <f>'GS &gt; 50 OLS Model (LC)'!$B$5</f>
        <v>-8436546.8467997499</v>
      </c>
      <c r="Q2" s="186">
        <f ca="1">'GS &gt; 50 OLS Model (LC)'!$B$6*D2</f>
        <v>15969422.36278663</v>
      </c>
      <c r="R2" s="186">
        <f ca="1">'GS &gt; 50 OLS Model (LC)'!$B$7*E2</f>
        <v>0</v>
      </c>
      <c r="S2" s="186">
        <f>'GS &gt; 50 OLS Model (LC)'!$B$8*F2</f>
        <v>27983193.999746464</v>
      </c>
      <c r="T2" s="186">
        <v>0</v>
      </c>
      <c r="U2" s="186">
        <f>'GS &gt; 50 OLS Model (LC)'!$B$9*H2</f>
        <v>0</v>
      </c>
      <c r="V2" s="186">
        <f>'GS &gt; 50 OLS Model (LC)'!$B$10*I2</f>
        <v>0</v>
      </c>
      <c r="W2" s="186">
        <f>'GS &gt; 50 OLS Model (LC)'!$B$11*J2</f>
        <v>0</v>
      </c>
      <c r="X2" s="186">
        <f>'GS &gt; 50 OLS Model (LC)'!$B$12*K2</f>
        <v>0</v>
      </c>
      <c r="Y2" s="186">
        <v>0</v>
      </c>
      <c r="Z2" s="186">
        <f>'GS &gt; 50 OLS Model (LC)'!$B$13*M2</f>
        <v>34805943.461156942</v>
      </c>
      <c r="AA2" s="186">
        <f>'GS &gt; 50 OLS Model (LC)'!$B$14*N2</f>
        <v>13601430.342326485</v>
      </c>
      <c r="AB2" s="186">
        <f t="shared" ref="AB2:AB65" ca="1" si="2">SUM(P2:AA2)</f>
        <v>83923443.319216788</v>
      </c>
    </row>
    <row r="3" spans="1:28">
      <c r="A3" s="128">
        <f>'Monthly Data'!A3</f>
        <v>39845</v>
      </c>
      <c r="B3" s="186">
        <f t="shared" si="1"/>
        <v>2009</v>
      </c>
      <c r="C3" s="230">
        <f ca="1">'Monthly Data'!T3</f>
        <v>77150159.110703424</v>
      </c>
      <c r="D3" s="186">
        <f ca="1">Weather!G70</f>
        <v>571.77</v>
      </c>
      <c r="E3" s="186">
        <f ca="1">Weather!H70</f>
        <v>0</v>
      </c>
      <c r="F3" s="186">
        <f>'Monthly Data'!BL3</f>
        <v>539388</v>
      </c>
      <c r="G3" s="186">
        <f>'Monthly Data'!BM3</f>
        <v>2</v>
      </c>
      <c r="H3" s="186">
        <f>'Monthly Data'!BQ3</f>
        <v>0</v>
      </c>
      <c r="I3" s="186">
        <f>'Monthly Data'!BS3</f>
        <v>0</v>
      </c>
      <c r="J3" s="186">
        <f>'Monthly Data'!BU3</f>
        <v>0</v>
      </c>
      <c r="K3" s="186">
        <f>'Monthly Data'!BV3</f>
        <v>0</v>
      </c>
      <c r="L3" s="186">
        <f>'Monthly Data'!BW3</f>
        <v>0</v>
      </c>
      <c r="M3" s="186">
        <f>'Monthly Data'!CC3</f>
        <v>28</v>
      </c>
      <c r="N3" s="186">
        <f>'Monthly Data'!CD3</f>
        <v>19</v>
      </c>
      <c r="P3" s="186">
        <f>'GS &gt; 50 OLS Model (LC)'!$B$5</f>
        <v>-8436546.8467997499</v>
      </c>
      <c r="Q3" s="186">
        <f ca="1">'GS &gt; 50 OLS Model (LC)'!$B$6*D3</f>
        <v>13846559.338171624</v>
      </c>
      <c r="R3" s="186">
        <f ca="1">'GS &gt; 50 OLS Model (LC)'!$B$7*E3</f>
        <v>0</v>
      </c>
      <c r="S3" s="186">
        <f>'GS &gt; 50 OLS Model (LC)'!$B$8*F3</f>
        <v>27983193.999746464</v>
      </c>
      <c r="T3" s="186">
        <v>0</v>
      </c>
      <c r="U3" s="186">
        <f>'GS &gt; 50 OLS Model (LC)'!$B$9*H3</f>
        <v>0</v>
      </c>
      <c r="V3" s="186">
        <f>'GS &gt; 50 OLS Model (LC)'!$B$10*I3</f>
        <v>0</v>
      </c>
      <c r="W3" s="186">
        <f>'GS &gt; 50 OLS Model (LC)'!$B$11*J3</f>
        <v>0</v>
      </c>
      <c r="X3" s="186">
        <f>'GS &gt; 50 OLS Model (LC)'!$B$12*K3</f>
        <v>0</v>
      </c>
      <c r="Y3" s="186">
        <v>0</v>
      </c>
      <c r="Z3" s="186">
        <f>'GS &gt; 50 OLS Model (LC)'!$B$13*M3</f>
        <v>31437626.35201272</v>
      </c>
      <c r="AA3" s="186">
        <f>'GS &gt; 50 OLS Model (LC)'!$B$14*N3</f>
        <v>12306056.024009675</v>
      </c>
      <c r="AB3" s="186">
        <f t="shared" ca="1" si="2"/>
        <v>77136888.86714074</v>
      </c>
    </row>
    <row r="4" spans="1:28">
      <c r="A4" s="128">
        <f>'Monthly Data'!A4</f>
        <v>39873</v>
      </c>
      <c r="B4" s="186">
        <f t="shared" si="1"/>
        <v>2009</v>
      </c>
      <c r="C4" s="230">
        <f ca="1">'Monthly Data'!T4</f>
        <v>79013110.838498071</v>
      </c>
      <c r="D4" s="186">
        <f ca="1">Weather!G71</f>
        <v>456.53999999999996</v>
      </c>
      <c r="E4" s="186">
        <f ca="1">Weather!H71</f>
        <v>0.48</v>
      </c>
      <c r="F4" s="186">
        <f>'Monthly Data'!BL4</f>
        <v>539388</v>
      </c>
      <c r="G4" s="186">
        <f>'Monthly Data'!BM4</f>
        <v>3</v>
      </c>
      <c r="H4" s="186">
        <f>'Monthly Data'!BQ4</f>
        <v>0</v>
      </c>
      <c r="I4" s="186">
        <f>'Monthly Data'!BS4</f>
        <v>0</v>
      </c>
      <c r="J4" s="186">
        <f>'Monthly Data'!BU4</f>
        <v>0</v>
      </c>
      <c r="K4" s="186">
        <f>'Monthly Data'!BV4</f>
        <v>0</v>
      </c>
      <c r="L4" s="186">
        <f>'Monthly Data'!BW4</f>
        <v>0</v>
      </c>
      <c r="M4" s="186">
        <f>'Monthly Data'!CC4</f>
        <v>31</v>
      </c>
      <c r="N4" s="186">
        <f>'Monthly Data'!CD4</f>
        <v>22</v>
      </c>
      <c r="P4" s="186">
        <f>'GS &gt; 50 OLS Model (LC)'!$B$5</f>
        <v>-8436546.8467997499</v>
      </c>
      <c r="Q4" s="186">
        <f ca="1">'GS &gt; 50 OLS Model (LC)'!$B$6*D4</f>
        <v>11056033.370496655</v>
      </c>
      <c r="R4" s="186">
        <f ca="1">'GS &gt; 50 OLS Model (LC)'!$B$7*E4</f>
        <v>34258.983531099213</v>
      </c>
      <c r="S4" s="186">
        <f>'GS &gt; 50 OLS Model (LC)'!$B$8*F4</f>
        <v>27983193.999746464</v>
      </c>
      <c r="T4" s="186">
        <v>0</v>
      </c>
      <c r="U4" s="186">
        <f>'GS &gt; 50 OLS Model (LC)'!$B$9*H4</f>
        <v>0</v>
      </c>
      <c r="V4" s="186">
        <f>'GS &gt; 50 OLS Model (LC)'!$B$10*I4</f>
        <v>0</v>
      </c>
      <c r="W4" s="186">
        <f>'GS &gt; 50 OLS Model (LC)'!$B$11*J4</f>
        <v>0</v>
      </c>
      <c r="X4" s="186">
        <f>'GS &gt; 50 OLS Model (LC)'!$B$12*K4</f>
        <v>0</v>
      </c>
      <c r="Y4" s="186">
        <v>0</v>
      </c>
      <c r="Z4" s="186">
        <f>'GS &gt; 50 OLS Model (LC)'!$B$13*M4</f>
        <v>34805943.461156942</v>
      </c>
      <c r="AA4" s="186">
        <f>'GS &gt; 50 OLS Model (LC)'!$B$14*N4</f>
        <v>14249117.501484888</v>
      </c>
      <c r="AB4" s="186">
        <f t="shared" ca="1" si="2"/>
        <v>79692000.469616294</v>
      </c>
    </row>
    <row r="5" spans="1:28">
      <c r="A5" s="128">
        <f>'Monthly Data'!A5</f>
        <v>39904</v>
      </c>
      <c r="B5" s="186">
        <f t="shared" si="1"/>
        <v>2009</v>
      </c>
      <c r="C5" s="230">
        <f ca="1">'Monthly Data'!T5</f>
        <v>70823487.399611965</v>
      </c>
      <c r="D5" s="186">
        <f ca="1">Weather!G72</f>
        <v>248.54999999999995</v>
      </c>
      <c r="E5" s="186">
        <f ca="1">Weather!H72</f>
        <v>2.63</v>
      </c>
      <c r="F5" s="186">
        <f>'Monthly Data'!BL5</f>
        <v>539388</v>
      </c>
      <c r="G5" s="186">
        <f>'Monthly Data'!BM5</f>
        <v>4</v>
      </c>
      <c r="H5" s="186">
        <f>'Monthly Data'!BQ5</f>
        <v>1</v>
      </c>
      <c r="I5" s="186">
        <f>'Monthly Data'!BS5</f>
        <v>0</v>
      </c>
      <c r="J5" s="186">
        <f>'Monthly Data'!BU5</f>
        <v>0</v>
      </c>
      <c r="K5" s="186">
        <f>'Monthly Data'!BV5</f>
        <v>0</v>
      </c>
      <c r="L5" s="186">
        <f>'Monthly Data'!BW5</f>
        <v>0</v>
      </c>
      <c r="M5" s="186">
        <f>'Monthly Data'!CC5</f>
        <v>30</v>
      </c>
      <c r="N5" s="186">
        <f>'Monthly Data'!CD5</f>
        <v>20</v>
      </c>
      <c r="P5" s="186">
        <f>'GS &gt; 50 OLS Model (LC)'!$B$5</f>
        <v>-8436546.8467997499</v>
      </c>
      <c r="Q5" s="186">
        <f ca="1">'GS &gt; 50 OLS Model (LC)'!$B$6*D5</f>
        <v>6019137.631394715</v>
      </c>
      <c r="R5" s="186">
        <f ca="1">'GS &gt; 50 OLS Model (LC)'!$B$7*E5</f>
        <v>187710.68059748111</v>
      </c>
      <c r="S5" s="186">
        <f>'GS &gt; 50 OLS Model (LC)'!$B$8*F5</f>
        <v>27983193.999746464</v>
      </c>
      <c r="T5" s="186">
        <v>0</v>
      </c>
      <c r="U5" s="186">
        <f>'GS &gt; 50 OLS Model (LC)'!$B$9*H5</f>
        <v>-1670517.9110053701</v>
      </c>
      <c r="V5" s="186">
        <f>'GS &gt; 50 OLS Model (LC)'!$B$10*I5</f>
        <v>0</v>
      </c>
      <c r="W5" s="186">
        <f>'GS &gt; 50 OLS Model (LC)'!$B$11*J5</f>
        <v>0</v>
      </c>
      <c r="X5" s="186">
        <f>'GS &gt; 50 OLS Model (LC)'!$B$12*K5</f>
        <v>0</v>
      </c>
      <c r="Y5" s="186">
        <v>0</v>
      </c>
      <c r="Z5" s="186">
        <f>'GS &gt; 50 OLS Model (LC)'!$B$13*M5</f>
        <v>33683171.091442198</v>
      </c>
      <c r="AA5" s="186">
        <f>'GS &gt; 50 OLS Model (LC)'!$B$14*N5</f>
        <v>12953743.18316808</v>
      </c>
      <c r="AB5" s="186">
        <f t="shared" ca="1" si="2"/>
        <v>70719891.828543812</v>
      </c>
    </row>
    <row r="6" spans="1:28">
      <c r="A6" s="128">
        <f>'Monthly Data'!A6</f>
        <v>39934</v>
      </c>
      <c r="B6" s="186">
        <f t="shared" si="1"/>
        <v>2009</v>
      </c>
      <c r="C6" s="230">
        <f ca="1">'Monthly Data'!T6</f>
        <v>68038651.825646743</v>
      </c>
      <c r="D6" s="186">
        <f ca="1">Weather!G73</f>
        <v>92.740000000000009</v>
      </c>
      <c r="E6" s="186">
        <f ca="1">Weather!H73</f>
        <v>47.37</v>
      </c>
      <c r="F6" s="186">
        <f>'Monthly Data'!BL6</f>
        <v>539388</v>
      </c>
      <c r="G6" s="186">
        <f>'Monthly Data'!BM6</f>
        <v>5</v>
      </c>
      <c r="H6" s="186">
        <f>'Monthly Data'!BQ6</f>
        <v>0</v>
      </c>
      <c r="I6" s="186">
        <f>'Monthly Data'!BS6</f>
        <v>0</v>
      </c>
      <c r="J6" s="186">
        <f>'Monthly Data'!BU6</f>
        <v>0</v>
      </c>
      <c r="K6" s="186">
        <f>'Monthly Data'!BV6</f>
        <v>0</v>
      </c>
      <c r="L6" s="186">
        <f>'Monthly Data'!BW6</f>
        <v>0</v>
      </c>
      <c r="M6" s="186">
        <f>'Monthly Data'!CC6</f>
        <v>31</v>
      </c>
      <c r="N6" s="186">
        <f>'Monthly Data'!CD6</f>
        <v>20</v>
      </c>
      <c r="P6" s="186">
        <f>'GS &gt; 50 OLS Model (LC)'!$B$5</f>
        <v>-8436546.8467997499</v>
      </c>
      <c r="Q6" s="186">
        <f ca="1">'GS &gt; 50 OLS Model (LC)'!$B$6*D6</f>
        <v>2245885.4312433959</v>
      </c>
      <c r="R6" s="186">
        <f ca="1">'GS &gt; 50 OLS Model (LC)'!$B$7*E6</f>
        <v>3380933.4372253534</v>
      </c>
      <c r="S6" s="186">
        <f>'GS &gt; 50 OLS Model (LC)'!$B$8*F6</f>
        <v>27983193.999746464</v>
      </c>
      <c r="T6" s="186">
        <v>0</v>
      </c>
      <c r="U6" s="186">
        <f>'GS &gt; 50 OLS Model (LC)'!$B$9*H6</f>
        <v>0</v>
      </c>
      <c r="V6" s="186">
        <f>'GS &gt; 50 OLS Model (LC)'!$B$10*I6</f>
        <v>0</v>
      </c>
      <c r="W6" s="186">
        <f>'GS &gt; 50 OLS Model (LC)'!$B$11*J6</f>
        <v>0</v>
      </c>
      <c r="X6" s="186">
        <f>'GS &gt; 50 OLS Model (LC)'!$B$12*K6</f>
        <v>0</v>
      </c>
      <c r="Y6" s="186">
        <v>0</v>
      </c>
      <c r="Z6" s="186">
        <f>'GS &gt; 50 OLS Model (LC)'!$B$13*M6</f>
        <v>34805943.461156942</v>
      </c>
      <c r="AA6" s="186">
        <f>'GS &gt; 50 OLS Model (LC)'!$B$14*N6</f>
        <v>12953743.18316808</v>
      </c>
      <c r="AB6" s="186">
        <f t="shared" ca="1" si="2"/>
        <v>72933152.66574049</v>
      </c>
    </row>
    <row r="7" spans="1:28">
      <c r="A7" s="128">
        <f>'Monthly Data'!A7</f>
        <v>39965</v>
      </c>
      <c r="B7" s="186">
        <f t="shared" si="1"/>
        <v>2009</v>
      </c>
      <c r="C7" s="230">
        <f ca="1">'Monthly Data'!T7</f>
        <v>70398886.351568192</v>
      </c>
      <c r="D7" s="186">
        <f ca="1">Weather!G74</f>
        <v>9.08</v>
      </c>
      <c r="E7" s="186">
        <f ca="1">Weather!H74</f>
        <v>117.23999999999997</v>
      </c>
      <c r="F7" s="186">
        <f>'Monthly Data'!BL7</f>
        <v>539388</v>
      </c>
      <c r="G7" s="186">
        <f>'Monthly Data'!BM7</f>
        <v>6</v>
      </c>
      <c r="H7" s="186">
        <f>'Monthly Data'!BQ7</f>
        <v>0</v>
      </c>
      <c r="I7" s="186">
        <f>'Monthly Data'!BS7</f>
        <v>1</v>
      </c>
      <c r="J7" s="186">
        <f>'Monthly Data'!BU7</f>
        <v>0</v>
      </c>
      <c r="K7" s="186">
        <f>'Monthly Data'!BV7</f>
        <v>0</v>
      </c>
      <c r="L7" s="186">
        <f>'Monthly Data'!BW7</f>
        <v>0</v>
      </c>
      <c r="M7" s="186">
        <f>'Monthly Data'!CC7</f>
        <v>30</v>
      </c>
      <c r="N7" s="186">
        <f>'Monthly Data'!CD7</f>
        <v>22</v>
      </c>
      <c r="P7" s="186">
        <f>'GS &gt; 50 OLS Model (LC)'!$B$5</f>
        <v>-8436546.8467997499</v>
      </c>
      <c r="Q7" s="186">
        <f ca="1">'GS &gt; 50 OLS Model (LC)'!$B$6*D7</f>
        <v>219890.44334364927</v>
      </c>
      <c r="R7" s="186">
        <f ca="1">'GS &gt; 50 OLS Model (LC)'!$B$7*E7</f>
        <v>8367756.727470981</v>
      </c>
      <c r="S7" s="186">
        <f>'GS &gt; 50 OLS Model (LC)'!$B$8*F7</f>
        <v>27983193.999746464</v>
      </c>
      <c r="T7" s="186">
        <v>0</v>
      </c>
      <c r="U7" s="186">
        <f>'GS &gt; 50 OLS Model (LC)'!$B$9*H7</f>
        <v>0</v>
      </c>
      <c r="V7" s="186">
        <f>'GS &gt; 50 OLS Model (LC)'!$B$10*I7</f>
        <v>1260255.0136768401</v>
      </c>
      <c r="W7" s="186">
        <f>'GS &gt; 50 OLS Model (LC)'!$B$11*J7</f>
        <v>0</v>
      </c>
      <c r="X7" s="186">
        <f>'GS &gt; 50 OLS Model (LC)'!$B$12*K7</f>
        <v>0</v>
      </c>
      <c r="Y7" s="186">
        <v>0</v>
      </c>
      <c r="Z7" s="186">
        <f>'GS &gt; 50 OLS Model (LC)'!$B$13*M7</f>
        <v>33683171.091442198</v>
      </c>
      <c r="AA7" s="186">
        <f>'GS &gt; 50 OLS Model (LC)'!$B$14*N7</f>
        <v>14249117.501484888</v>
      </c>
      <c r="AB7" s="186">
        <f t="shared" ca="1" si="2"/>
        <v>77326837.930365264</v>
      </c>
    </row>
    <row r="8" spans="1:28">
      <c r="A8" s="128">
        <f>'Monthly Data'!A8</f>
        <v>39995</v>
      </c>
      <c r="B8" s="186">
        <f t="shared" si="1"/>
        <v>2009</v>
      </c>
      <c r="C8" s="230">
        <f ca="1">'Monthly Data'!T8</f>
        <v>74398674.841547519</v>
      </c>
      <c r="D8" s="186">
        <f ca="1">Weather!G75</f>
        <v>0.51</v>
      </c>
      <c r="E8" s="186">
        <f ca="1">Weather!H75</f>
        <v>185.60999999999999</v>
      </c>
      <c r="F8" s="186">
        <f>'Monthly Data'!BL8</f>
        <v>539388</v>
      </c>
      <c r="G8" s="186">
        <f>'Monthly Data'!BM8</f>
        <v>7</v>
      </c>
      <c r="H8" s="186">
        <f>'Monthly Data'!BQ8</f>
        <v>0</v>
      </c>
      <c r="I8" s="186">
        <f>'Monthly Data'!BS8</f>
        <v>0</v>
      </c>
      <c r="J8" s="186">
        <f>'Monthly Data'!BU8</f>
        <v>0</v>
      </c>
      <c r="K8" s="186">
        <f>'Monthly Data'!BV8</f>
        <v>0</v>
      </c>
      <c r="L8" s="186">
        <f>'Monthly Data'!BW8</f>
        <v>0</v>
      </c>
      <c r="M8" s="186">
        <f>'Monthly Data'!CC8</f>
        <v>31</v>
      </c>
      <c r="N8" s="186">
        <f>'Monthly Data'!CD8</f>
        <v>22</v>
      </c>
      <c r="P8" s="186">
        <f>'GS &gt; 50 OLS Model (LC)'!$B$5</f>
        <v>-8436546.8467997499</v>
      </c>
      <c r="Q8" s="186">
        <f ca="1">'GS &gt; 50 OLS Model (LC)'!$B$6*D8</f>
        <v>12350.67468119616</v>
      </c>
      <c r="R8" s="186">
        <f ca="1">'GS &gt; 50 OLS Model (LC)'!$B$7*E8</f>
        <v>13247520.694181927</v>
      </c>
      <c r="S8" s="186">
        <f>'GS &gt; 50 OLS Model (LC)'!$B$8*F8</f>
        <v>27983193.999746464</v>
      </c>
      <c r="T8" s="186">
        <v>0</v>
      </c>
      <c r="U8" s="186">
        <f>'GS &gt; 50 OLS Model (LC)'!$B$9*H8</f>
        <v>0</v>
      </c>
      <c r="V8" s="186">
        <f>'GS &gt; 50 OLS Model (LC)'!$B$10*I8</f>
        <v>0</v>
      </c>
      <c r="W8" s="186">
        <f>'GS &gt; 50 OLS Model (LC)'!$B$11*J8</f>
        <v>0</v>
      </c>
      <c r="X8" s="186">
        <f>'GS &gt; 50 OLS Model (LC)'!$B$12*K8</f>
        <v>0</v>
      </c>
      <c r="Y8" s="186">
        <v>0</v>
      </c>
      <c r="Z8" s="186">
        <f>'GS &gt; 50 OLS Model (LC)'!$B$13*M8</f>
        <v>34805943.461156942</v>
      </c>
      <c r="AA8" s="186">
        <f>'GS &gt; 50 OLS Model (LC)'!$B$14*N8</f>
        <v>14249117.501484888</v>
      </c>
      <c r="AB8" s="186">
        <f t="shared" ca="1" si="2"/>
        <v>81861579.484451666</v>
      </c>
    </row>
    <row r="9" spans="1:28">
      <c r="A9" s="128">
        <f>'Monthly Data'!A9</f>
        <v>40026</v>
      </c>
      <c r="B9" s="186">
        <f t="shared" si="1"/>
        <v>2009</v>
      </c>
      <c r="C9" s="230">
        <f ca="1">'Monthly Data'!T9</f>
        <v>79119319.646282628</v>
      </c>
      <c r="D9" s="186">
        <f ca="1">Weather!G76</f>
        <v>1.51</v>
      </c>
      <c r="E9" s="186">
        <f ca="1">Weather!H76</f>
        <v>159.64000000000001</v>
      </c>
      <c r="F9" s="186">
        <f>'Monthly Data'!BL9</f>
        <v>539388</v>
      </c>
      <c r="G9" s="186">
        <f>'Monthly Data'!BM9</f>
        <v>8</v>
      </c>
      <c r="H9" s="186">
        <f>'Monthly Data'!BQ9</f>
        <v>0</v>
      </c>
      <c r="I9" s="186">
        <f>'Monthly Data'!BS9</f>
        <v>0</v>
      </c>
      <c r="J9" s="186">
        <f>'Monthly Data'!BU9</f>
        <v>1</v>
      </c>
      <c r="K9" s="186">
        <f>'Monthly Data'!BV9</f>
        <v>0</v>
      </c>
      <c r="L9" s="186">
        <f>'Monthly Data'!BW9</f>
        <v>0</v>
      </c>
      <c r="M9" s="186">
        <f>'Monthly Data'!CC9</f>
        <v>31</v>
      </c>
      <c r="N9" s="186">
        <f>'Monthly Data'!CD9</f>
        <v>20</v>
      </c>
      <c r="P9" s="186">
        <f>'GS &gt; 50 OLS Model (LC)'!$B$5</f>
        <v>-8436546.8467997499</v>
      </c>
      <c r="Q9" s="186">
        <f ca="1">'GS &gt; 50 OLS Model (LC)'!$B$6*D9</f>
        <v>36567.683860012155</v>
      </c>
      <c r="R9" s="186">
        <f ca="1">'GS &gt; 50 OLS Model (LC)'!$B$7*E9</f>
        <v>11393966.939384749</v>
      </c>
      <c r="S9" s="186">
        <f>'GS &gt; 50 OLS Model (LC)'!$B$8*F9</f>
        <v>27983193.999746464</v>
      </c>
      <c r="T9" s="186">
        <v>0</v>
      </c>
      <c r="U9" s="186">
        <f>'GS &gt; 50 OLS Model (LC)'!$B$9*H9</f>
        <v>0</v>
      </c>
      <c r="V9" s="186">
        <f>'GS &gt; 50 OLS Model (LC)'!$B$10*I9</f>
        <v>0</v>
      </c>
      <c r="W9" s="186">
        <f>'GS &gt; 50 OLS Model (LC)'!$B$11*J9</f>
        <v>2501012.7689915099</v>
      </c>
      <c r="X9" s="186">
        <f>'GS &gt; 50 OLS Model (LC)'!$B$12*K9</f>
        <v>0</v>
      </c>
      <c r="Y9" s="186">
        <v>0</v>
      </c>
      <c r="Z9" s="186">
        <f>'GS &gt; 50 OLS Model (LC)'!$B$13*M9</f>
        <v>34805943.461156942</v>
      </c>
      <c r="AA9" s="186">
        <f>'GS &gt; 50 OLS Model (LC)'!$B$14*N9</f>
        <v>12953743.18316808</v>
      </c>
      <c r="AB9" s="186">
        <f t="shared" ca="1" si="2"/>
        <v>81237881.189508006</v>
      </c>
    </row>
    <row r="10" spans="1:28">
      <c r="A10" s="128">
        <f>'Monthly Data'!A10</f>
        <v>40057</v>
      </c>
      <c r="B10" s="186">
        <f t="shared" si="1"/>
        <v>2009</v>
      </c>
      <c r="C10" s="230">
        <f ca="1">'Monthly Data'!T10</f>
        <v>74924986.598501608</v>
      </c>
      <c r="D10" s="186">
        <f ca="1">Weather!G77</f>
        <v>33.01</v>
      </c>
      <c r="E10" s="186">
        <f ca="1">Weather!H77</f>
        <v>72.989999999999981</v>
      </c>
      <c r="F10" s="186">
        <f>'Monthly Data'!BL10</f>
        <v>539388</v>
      </c>
      <c r="G10" s="186">
        <f>'Monthly Data'!BM10</f>
        <v>9</v>
      </c>
      <c r="H10" s="186">
        <f>'Monthly Data'!BQ10</f>
        <v>0</v>
      </c>
      <c r="I10" s="186">
        <f>'Monthly Data'!BS10</f>
        <v>0</v>
      </c>
      <c r="J10" s="186">
        <f>'Monthly Data'!BU10</f>
        <v>0</v>
      </c>
      <c r="K10" s="186">
        <f>'Monthly Data'!BV10</f>
        <v>1</v>
      </c>
      <c r="L10" s="186">
        <f>'Monthly Data'!BW10</f>
        <v>0</v>
      </c>
      <c r="M10" s="186">
        <f>'Monthly Data'!CC10</f>
        <v>30</v>
      </c>
      <c r="N10" s="186">
        <f>'Monthly Data'!CD10</f>
        <v>21</v>
      </c>
      <c r="P10" s="186">
        <f>'GS &gt; 50 OLS Model (LC)'!$B$5</f>
        <v>-8436546.8467997499</v>
      </c>
      <c r="Q10" s="186">
        <f ca="1">'GS &gt; 50 OLS Model (LC)'!$B$6*D10</f>
        <v>799403.47299271612</v>
      </c>
      <c r="R10" s="186">
        <f ca="1">'GS &gt; 50 OLS Model (LC)'!$B$7*E10</f>
        <v>5209506.6831977731</v>
      </c>
      <c r="S10" s="186">
        <f>'GS &gt; 50 OLS Model (LC)'!$B$8*F10</f>
        <v>27983193.999746464</v>
      </c>
      <c r="T10" s="186">
        <v>0</v>
      </c>
      <c r="U10" s="186">
        <f>'GS &gt; 50 OLS Model (LC)'!$B$9*H10</f>
        <v>0</v>
      </c>
      <c r="V10" s="186">
        <f>'GS &gt; 50 OLS Model (LC)'!$B$10*I10</f>
        <v>0</v>
      </c>
      <c r="W10" s="186">
        <f>'GS &gt; 50 OLS Model (LC)'!$B$11*J10</f>
        <v>0</v>
      </c>
      <c r="X10" s="186">
        <f>'GS &gt; 50 OLS Model (LC)'!$B$12*K10</f>
        <v>2346294.5864150901</v>
      </c>
      <c r="Y10" s="186">
        <v>0</v>
      </c>
      <c r="Z10" s="186">
        <f>'GS &gt; 50 OLS Model (LC)'!$B$13*M10</f>
        <v>33683171.091442198</v>
      </c>
      <c r="AA10" s="186">
        <f>'GS &gt; 50 OLS Model (LC)'!$B$14*N10</f>
        <v>13601430.342326485</v>
      </c>
      <c r="AB10" s="186">
        <f t="shared" ca="1" si="2"/>
        <v>75186453.329320967</v>
      </c>
    </row>
    <row r="11" spans="1:28">
      <c r="A11" s="128">
        <f>'Monthly Data'!A11</f>
        <v>40087</v>
      </c>
      <c r="B11" s="186">
        <f t="shared" si="1"/>
        <v>2009</v>
      </c>
      <c r="C11" s="230">
        <f ca="1">'Monthly Data'!T11</f>
        <v>74286504.53798908</v>
      </c>
      <c r="D11" s="186">
        <f ca="1">Weather!G78</f>
        <v>177.83999999999997</v>
      </c>
      <c r="E11" s="186">
        <f ca="1">Weather!H78</f>
        <v>10.779999999999998</v>
      </c>
      <c r="F11" s="186">
        <f>'Monthly Data'!BL11</f>
        <v>539388</v>
      </c>
      <c r="G11" s="186">
        <f>'Monthly Data'!BM11</f>
        <v>10</v>
      </c>
      <c r="H11" s="186">
        <f>'Monthly Data'!BQ11</f>
        <v>0</v>
      </c>
      <c r="I11" s="186">
        <f>'Monthly Data'!BS11</f>
        <v>0</v>
      </c>
      <c r="J11" s="186">
        <f>'Monthly Data'!BU11</f>
        <v>0</v>
      </c>
      <c r="K11" s="186">
        <f>'Monthly Data'!BV11</f>
        <v>0</v>
      </c>
      <c r="L11" s="186">
        <f>'Monthly Data'!BW11</f>
        <v>1</v>
      </c>
      <c r="M11" s="186">
        <f>'Monthly Data'!CC11</f>
        <v>31</v>
      </c>
      <c r="N11" s="186">
        <f>'Monthly Data'!CD11</f>
        <v>21</v>
      </c>
      <c r="P11" s="186">
        <f>'GS &gt; 50 OLS Model (LC)'!$B$5</f>
        <v>-8436546.8467997499</v>
      </c>
      <c r="Q11" s="186">
        <f ca="1">'GS &gt; 50 OLS Model (LC)'!$B$6*D11</f>
        <v>4306752.9123606365</v>
      </c>
      <c r="R11" s="186">
        <f ca="1">'GS &gt; 50 OLS Model (LC)'!$B$7*E11</f>
        <v>769399.67180260306</v>
      </c>
      <c r="S11" s="186">
        <f>'GS &gt; 50 OLS Model (LC)'!$B$8*F11</f>
        <v>27983193.999746464</v>
      </c>
      <c r="T11" s="186">
        <v>0</v>
      </c>
      <c r="U11" s="186">
        <f>'GS &gt; 50 OLS Model (LC)'!$B$9*H11</f>
        <v>0</v>
      </c>
      <c r="V11" s="186">
        <f>'GS &gt; 50 OLS Model (LC)'!$B$10*I11</f>
        <v>0</v>
      </c>
      <c r="W11" s="186">
        <f>'GS &gt; 50 OLS Model (LC)'!$B$11*J11</f>
        <v>0</v>
      </c>
      <c r="X11" s="186">
        <f>'GS &gt; 50 OLS Model (LC)'!$B$12*K11</f>
        <v>0</v>
      </c>
      <c r="Y11" s="186">
        <v>0</v>
      </c>
      <c r="Z11" s="186">
        <f>'GS &gt; 50 OLS Model (LC)'!$B$13*M11</f>
        <v>34805943.461156942</v>
      </c>
      <c r="AA11" s="186">
        <f>'GS &gt; 50 OLS Model (LC)'!$B$14*N11</f>
        <v>13601430.342326485</v>
      </c>
      <c r="AB11" s="186">
        <f t="shared" ca="1" si="2"/>
        <v>73030173.540593386</v>
      </c>
    </row>
    <row r="12" spans="1:28">
      <c r="A12" s="128">
        <f>'Monthly Data'!A12</f>
        <v>40118</v>
      </c>
      <c r="B12" s="186">
        <f t="shared" si="1"/>
        <v>2009</v>
      </c>
      <c r="C12" s="230">
        <f ca="1">'Monthly Data'!T12</f>
        <v>73914526.594761461</v>
      </c>
      <c r="D12" s="186">
        <f ca="1">Weather!G79</f>
        <v>361.94999999999993</v>
      </c>
      <c r="E12" s="186">
        <f ca="1">Weather!H79</f>
        <v>0.05</v>
      </c>
      <c r="F12" s="186">
        <f>'Monthly Data'!BL12</f>
        <v>539388</v>
      </c>
      <c r="G12" s="186">
        <f>'Monthly Data'!BM12</f>
        <v>11</v>
      </c>
      <c r="H12" s="186">
        <f>'Monthly Data'!BQ12</f>
        <v>0</v>
      </c>
      <c r="I12" s="186">
        <f>'Monthly Data'!BS12</f>
        <v>0</v>
      </c>
      <c r="J12" s="186">
        <f>'Monthly Data'!BU12</f>
        <v>0</v>
      </c>
      <c r="K12" s="186">
        <f>'Monthly Data'!BV12</f>
        <v>0</v>
      </c>
      <c r="L12" s="186">
        <f>'Monthly Data'!BW12</f>
        <v>0</v>
      </c>
      <c r="M12" s="186">
        <f>'Monthly Data'!CC12</f>
        <v>30</v>
      </c>
      <c r="N12" s="186">
        <f>'Monthly Data'!CD12</f>
        <v>21</v>
      </c>
      <c r="P12" s="186">
        <f>'GS &gt; 50 OLS Model (LC)'!$B$5</f>
        <v>-8436546.8467997499</v>
      </c>
      <c r="Q12" s="186">
        <f ca="1">'GS &gt; 50 OLS Model (LC)'!$B$6*D12</f>
        <v>8765346.4722724482</v>
      </c>
      <c r="R12" s="186">
        <f ca="1">'GS &gt; 50 OLS Model (LC)'!$B$7*E12</f>
        <v>3568.6441178228351</v>
      </c>
      <c r="S12" s="186">
        <f>'GS &gt; 50 OLS Model (LC)'!$B$8*F12</f>
        <v>27983193.999746464</v>
      </c>
      <c r="T12" s="186">
        <v>0</v>
      </c>
      <c r="U12" s="186">
        <f>'GS &gt; 50 OLS Model (LC)'!$B$9*H12</f>
        <v>0</v>
      </c>
      <c r="V12" s="186">
        <f>'GS &gt; 50 OLS Model (LC)'!$B$10*I12</f>
        <v>0</v>
      </c>
      <c r="W12" s="186">
        <f>'GS &gt; 50 OLS Model (LC)'!$B$11*J12</f>
        <v>0</v>
      </c>
      <c r="X12" s="186">
        <f>'GS &gt; 50 OLS Model (LC)'!$B$12*K12</f>
        <v>0</v>
      </c>
      <c r="Y12" s="186">
        <v>0</v>
      </c>
      <c r="Z12" s="186">
        <f>'GS &gt; 50 OLS Model (LC)'!$B$13*M12</f>
        <v>33683171.091442198</v>
      </c>
      <c r="AA12" s="186">
        <f>'GS &gt; 50 OLS Model (LC)'!$B$14*N12</f>
        <v>13601430.342326485</v>
      </c>
      <c r="AB12" s="186">
        <f t="shared" ca="1" si="2"/>
        <v>75600163.703105658</v>
      </c>
    </row>
    <row r="13" spans="1:28">
      <c r="A13" s="128">
        <f>'Monthly Data'!A13</f>
        <v>40148</v>
      </c>
      <c r="B13" s="186">
        <f t="shared" si="1"/>
        <v>2009</v>
      </c>
      <c r="C13" s="230">
        <f ca="1">'Monthly Data'!T13</f>
        <v>80547003.604175091</v>
      </c>
      <c r="D13" s="186">
        <f ca="1">Weather!G80</f>
        <v>556.41000000000008</v>
      </c>
      <c r="E13" s="186">
        <f ca="1">Weather!H80</f>
        <v>0</v>
      </c>
      <c r="F13" s="186">
        <f>'Monthly Data'!BL13</f>
        <v>539388</v>
      </c>
      <c r="G13" s="186">
        <f>'Monthly Data'!BM13</f>
        <v>12</v>
      </c>
      <c r="H13" s="186">
        <f>'Monthly Data'!BQ13</f>
        <v>0</v>
      </c>
      <c r="I13" s="186">
        <f>'Monthly Data'!BS13</f>
        <v>0</v>
      </c>
      <c r="J13" s="186">
        <f>'Monthly Data'!BU13</f>
        <v>0</v>
      </c>
      <c r="K13" s="186">
        <f>'Monthly Data'!BV13</f>
        <v>0</v>
      </c>
      <c r="L13" s="186">
        <f>'Monthly Data'!BW13</f>
        <v>0</v>
      </c>
      <c r="M13" s="186">
        <f>'Monthly Data'!CC13</f>
        <v>31</v>
      </c>
      <c r="N13" s="186">
        <f>'Monthly Data'!CD13</f>
        <v>21</v>
      </c>
      <c r="P13" s="186">
        <f>'GS &gt; 50 OLS Model (LC)'!$B$5</f>
        <v>-8436546.8467997499</v>
      </c>
      <c r="Q13" s="186">
        <f ca="1">'GS &gt; 50 OLS Model (LC)'!$B$6*D13</f>
        <v>13474586.077185012</v>
      </c>
      <c r="R13" s="186">
        <f ca="1">'GS &gt; 50 OLS Model (LC)'!$B$7*E13</f>
        <v>0</v>
      </c>
      <c r="S13" s="186">
        <f>'GS &gt; 50 OLS Model (LC)'!$B$8*F13</f>
        <v>27983193.999746464</v>
      </c>
      <c r="T13" s="186">
        <v>0</v>
      </c>
      <c r="U13" s="186">
        <f>'GS &gt; 50 OLS Model (LC)'!$B$9*H13</f>
        <v>0</v>
      </c>
      <c r="V13" s="186">
        <f>'GS &gt; 50 OLS Model (LC)'!$B$10*I13</f>
        <v>0</v>
      </c>
      <c r="W13" s="186">
        <f>'GS &gt; 50 OLS Model (LC)'!$B$11*J13</f>
        <v>0</v>
      </c>
      <c r="X13" s="186">
        <f>'GS &gt; 50 OLS Model (LC)'!$B$12*K13</f>
        <v>0</v>
      </c>
      <c r="Y13" s="186">
        <v>0</v>
      </c>
      <c r="Z13" s="186">
        <f>'GS &gt; 50 OLS Model (LC)'!$B$13*M13</f>
        <v>34805943.461156942</v>
      </c>
      <c r="AA13" s="186">
        <f>'GS &gt; 50 OLS Model (LC)'!$B$14*N13</f>
        <v>13601430.342326485</v>
      </c>
      <c r="AB13" s="186">
        <f t="shared" ca="1" si="2"/>
        <v>81428607.033615142</v>
      </c>
    </row>
    <row r="14" spans="1:28">
      <c r="A14" s="128">
        <f>'Monthly Data'!A14</f>
        <v>40179</v>
      </c>
      <c r="B14" s="186">
        <f t="shared" si="1"/>
        <v>2010</v>
      </c>
      <c r="C14" s="230">
        <f ca="1">'Monthly Data'!T14</f>
        <v>85230308.495070994</v>
      </c>
      <c r="D14" s="186">
        <f t="shared" ref="D14:E29" ca="1" si="3">D2</f>
        <v>659.42999999999984</v>
      </c>
      <c r="E14" s="186">
        <f t="shared" ca="1" si="3"/>
        <v>0</v>
      </c>
      <c r="F14" s="186">
        <f>'Monthly Data'!BL14</f>
        <v>555907.5</v>
      </c>
      <c r="G14" s="186">
        <f>'Monthly Data'!BM14</f>
        <v>13</v>
      </c>
      <c r="H14" s="186">
        <f>'Monthly Data'!BQ14</f>
        <v>0</v>
      </c>
      <c r="I14" s="186">
        <f>'Monthly Data'!BS14</f>
        <v>0</v>
      </c>
      <c r="J14" s="186">
        <f>'Monthly Data'!BU14</f>
        <v>0</v>
      </c>
      <c r="K14" s="186">
        <f>'Monthly Data'!BV14</f>
        <v>0</v>
      </c>
      <c r="L14" s="186">
        <f>'Monthly Data'!BW14</f>
        <v>0</v>
      </c>
      <c r="M14" s="186">
        <f>'Monthly Data'!CC14</f>
        <v>31</v>
      </c>
      <c r="N14" s="186">
        <f>'Monthly Data'!CD14</f>
        <v>20</v>
      </c>
      <c r="P14" s="186">
        <f>'GS &gt; 50 OLS Model (LC)'!$B$5</f>
        <v>-8436546.8467997499</v>
      </c>
      <c r="Q14" s="186">
        <f ca="1">'GS &gt; 50 OLS Model (LC)'!$B$6*D14</f>
        <v>15969422.36278663</v>
      </c>
      <c r="R14" s="186">
        <f ca="1">'GS &gt; 50 OLS Model (LC)'!$B$7*E14</f>
        <v>0</v>
      </c>
      <c r="S14" s="186">
        <f>'GS &gt; 50 OLS Model (LC)'!$B$8*F14</f>
        <v>28840217.836537071</v>
      </c>
      <c r="T14" s="186">
        <v>0</v>
      </c>
      <c r="U14" s="186">
        <f>'GS &gt; 50 OLS Model (LC)'!$B$9*H14</f>
        <v>0</v>
      </c>
      <c r="V14" s="186">
        <f>'GS &gt; 50 OLS Model (LC)'!$B$10*I14</f>
        <v>0</v>
      </c>
      <c r="W14" s="186">
        <f>'GS &gt; 50 OLS Model (LC)'!$B$11*J14</f>
        <v>0</v>
      </c>
      <c r="X14" s="186">
        <f>'GS &gt; 50 OLS Model (LC)'!$B$12*K14</f>
        <v>0</v>
      </c>
      <c r="Y14" s="186">
        <v>0</v>
      </c>
      <c r="Z14" s="186">
        <f>'GS &gt; 50 OLS Model (LC)'!$B$13*M14</f>
        <v>34805943.461156942</v>
      </c>
      <c r="AA14" s="186">
        <f>'GS &gt; 50 OLS Model (LC)'!$B$14*N14</f>
        <v>12953743.18316808</v>
      </c>
      <c r="AB14" s="186">
        <f t="shared" ca="1" si="2"/>
        <v>84132779.996848971</v>
      </c>
    </row>
    <row r="15" spans="1:28">
      <c r="A15" s="128">
        <f>'Monthly Data'!A15</f>
        <v>40210</v>
      </c>
      <c r="B15" s="186">
        <f t="shared" si="1"/>
        <v>2010</v>
      </c>
      <c r="C15" s="230">
        <f ca="1">'Monthly Data'!T15</f>
        <v>77285135.745971113</v>
      </c>
      <c r="D15" s="186">
        <f t="shared" ca="1" si="3"/>
        <v>571.77</v>
      </c>
      <c r="E15" s="186">
        <f t="shared" ca="1" si="3"/>
        <v>0</v>
      </c>
      <c r="F15" s="186">
        <f>'Monthly Data'!BL15</f>
        <v>555907.5</v>
      </c>
      <c r="G15" s="186">
        <f>'Monthly Data'!BM15</f>
        <v>14</v>
      </c>
      <c r="H15" s="186">
        <f>'Monthly Data'!BQ15</f>
        <v>0</v>
      </c>
      <c r="I15" s="186">
        <f>'Monthly Data'!BS15</f>
        <v>0</v>
      </c>
      <c r="J15" s="186">
        <f>'Monthly Data'!BU15</f>
        <v>0</v>
      </c>
      <c r="K15" s="186">
        <f>'Monthly Data'!BV15</f>
        <v>0</v>
      </c>
      <c r="L15" s="186">
        <f>'Monthly Data'!BW15</f>
        <v>0</v>
      </c>
      <c r="M15" s="186">
        <f>'Monthly Data'!CC15</f>
        <v>28</v>
      </c>
      <c r="N15" s="186">
        <f>'Monthly Data'!CD15</f>
        <v>19</v>
      </c>
      <c r="P15" s="186">
        <f>'GS &gt; 50 OLS Model (LC)'!$B$5</f>
        <v>-8436546.8467997499</v>
      </c>
      <c r="Q15" s="186">
        <f ca="1">'GS &gt; 50 OLS Model (LC)'!$B$6*D15</f>
        <v>13846559.338171624</v>
      </c>
      <c r="R15" s="186">
        <f ca="1">'GS &gt; 50 OLS Model (LC)'!$B$7*E15</f>
        <v>0</v>
      </c>
      <c r="S15" s="186">
        <f>'GS &gt; 50 OLS Model (LC)'!$B$8*F15</f>
        <v>28840217.836537071</v>
      </c>
      <c r="T15" s="186">
        <v>0</v>
      </c>
      <c r="U15" s="186">
        <f>'GS &gt; 50 OLS Model (LC)'!$B$9*H15</f>
        <v>0</v>
      </c>
      <c r="V15" s="186">
        <f>'GS &gt; 50 OLS Model (LC)'!$B$10*I15</f>
        <v>0</v>
      </c>
      <c r="W15" s="186">
        <f>'GS &gt; 50 OLS Model (LC)'!$B$11*J15</f>
        <v>0</v>
      </c>
      <c r="X15" s="186">
        <f>'GS &gt; 50 OLS Model (LC)'!$B$12*K15</f>
        <v>0</v>
      </c>
      <c r="Y15" s="186">
        <v>0</v>
      </c>
      <c r="Z15" s="186">
        <f>'GS &gt; 50 OLS Model (LC)'!$B$13*M15</f>
        <v>31437626.35201272</v>
      </c>
      <c r="AA15" s="186">
        <f>'GS &gt; 50 OLS Model (LC)'!$B$14*N15</f>
        <v>12306056.024009675</v>
      </c>
      <c r="AB15" s="186">
        <f t="shared" ca="1" si="2"/>
        <v>77993912.703931347</v>
      </c>
    </row>
    <row r="16" spans="1:28">
      <c r="A16" s="128">
        <f>'Monthly Data'!A16</f>
        <v>40238</v>
      </c>
      <c r="B16" s="186">
        <f t="shared" si="1"/>
        <v>2010</v>
      </c>
      <c r="C16" s="230">
        <f ca="1">'Monthly Data'!T16</f>
        <v>79275413.945330843</v>
      </c>
      <c r="D16" s="186">
        <f t="shared" ca="1" si="3"/>
        <v>456.53999999999996</v>
      </c>
      <c r="E16" s="186">
        <f t="shared" ca="1" si="3"/>
        <v>0.48</v>
      </c>
      <c r="F16" s="186">
        <f>'Monthly Data'!BL16</f>
        <v>555907.5</v>
      </c>
      <c r="G16" s="186">
        <f>'Monthly Data'!BM16</f>
        <v>15</v>
      </c>
      <c r="H16" s="186">
        <f>'Monthly Data'!BQ16</f>
        <v>0</v>
      </c>
      <c r="I16" s="186">
        <f>'Monthly Data'!BS16</f>
        <v>0</v>
      </c>
      <c r="J16" s="186">
        <f>'Monthly Data'!BU16</f>
        <v>0</v>
      </c>
      <c r="K16" s="186">
        <f>'Monthly Data'!BV16</f>
        <v>0</v>
      </c>
      <c r="L16" s="186">
        <f>'Monthly Data'!BW16</f>
        <v>0</v>
      </c>
      <c r="M16" s="186">
        <f>'Monthly Data'!CC16</f>
        <v>31</v>
      </c>
      <c r="N16" s="186">
        <f>'Monthly Data'!CD16</f>
        <v>23</v>
      </c>
      <c r="P16" s="186">
        <f>'GS &gt; 50 OLS Model (LC)'!$B$5</f>
        <v>-8436546.8467997499</v>
      </c>
      <c r="Q16" s="186">
        <f ca="1">'GS &gt; 50 OLS Model (LC)'!$B$6*D16</f>
        <v>11056033.370496655</v>
      </c>
      <c r="R16" s="186">
        <f ca="1">'GS &gt; 50 OLS Model (LC)'!$B$7*E16</f>
        <v>34258.983531099213</v>
      </c>
      <c r="S16" s="186">
        <f>'GS &gt; 50 OLS Model (LC)'!$B$8*F16</f>
        <v>28840217.836537071</v>
      </c>
      <c r="T16" s="186">
        <v>0</v>
      </c>
      <c r="U16" s="186">
        <f>'GS &gt; 50 OLS Model (LC)'!$B$9*H16</f>
        <v>0</v>
      </c>
      <c r="V16" s="186">
        <f>'GS &gt; 50 OLS Model (LC)'!$B$10*I16</f>
        <v>0</v>
      </c>
      <c r="W16" s="186">
        <f>'GS &gt; 50 OLS Model (LC)'!$B$11*J16</f>
        <v>0</v>
      </c>
      <c r="X16" s="186">
        <f>'GS &gt; 50 OLS Model (LC)'!$B$12*K16</f>
        <v>0</v>
      </c>
      <c r="Y16" s="186">
        <v>0</v>
      </c>
      <c r="Z16" s="186">
        <f>'GS &gt; 50 OLS Model (LC)'!$B$13*M16</f>
        <v>34805943.461156942</v>
      </c>
      <c r="AA16" s="186">
        <f>'GS &gt; 50 OLS Model (LC)'!$B$14*N16</f>
        <v>14896804.660643291</v>
      </c>
      <c r="AB16" s="186">
        <f t="shared" ca="1" si="2"/>
        <v>81196711.465565309</v>
      </c>
    </row>
    <row r="17" spans="1:28">
      <c r="A17" s="128">
        <f>'Monthly Data'!A17</f>
        <v>40269</v>
      </c>
      <c r="B17" s="186">
        <f t="shared" si="1"/>
        <v>2010</v>
      </c>
      <c r="C17" s="230">
        <f ca="1">'Monthly Data'!T17</f>
        <v>70858250.304670826</v>
      </c>
      <c r="D17" s="186">
        <f t="shared" ca="1" si="3"/>
        <v>248.54999999999995</v>
      </c>
      <c r="E17" s="186">
        <f t="shared" ca="1" si="3"/>
        <v>2.63</v>
      </c>
      <c r="F17" s="186">
        <f>'Monthly Data'!BL17</f>
        <v>555907.5</v>
      </c>
      <c r="G17" s="186">
        <f>'Monthly Data'!BM17</f>
        <v>16</v>
      </c>
      <c r="H17" s="186">
        <f>'Monthly Data'!BQ17</f>
        <v>1</v>
      </c>
      <c r="I17" s="186">
        <f>'Monthly Data'!BS17</f>
        <v>0</v>
      </c>
      <c r="J17" s="186">
        <f>'Monthly Data'!BU17</f>
        <v>0</v>
      </c>
      <c r="K17" s="186">
        <f>'Monthly Data'!BV17</f>
        <v>0</v>
      </c>
      <c r="L17" s="186">
        <f>'Monthly Data'!BW17</f>
        <v>0</v>
      </c>
      <c r="M17" s="186">
        <f>'Monthly Data'!CC17</f>
        <v>30</v>
      </c>
      <c r="N17" s="186">
        <f>'Monthly Data'!CD17</f>
        <v>20</v>
      </c>
      <c r="P17" s="186">
        <f>'GS &gt; 50 OLS Model (LC)'!$B$5</f>
        <v>-8436546.8467997499</v>
      </c>
      <c r="Q17" s="186">
        <f ca="1">'GS &gt; 50 OLS Model (LC)'!$B$6*D17</f>
        <v>6019137.631394715</v>
      </c>
      <c r="R17" s="186">
        <f ca="1">'GS &gt; 50 OLS Model (LC)'!$B$7*E17</f>
        <v>187710.68059748111</v>
      </c>
      <c r="S17" s="186">
        <f>'GS &gt; 50 OLS Model (LC)'!$B$8*F17</f>
        <v>28840217.836537071</v>
      </c>
      <c r="T17" s="186">
        <v>0</v>
      </c>
      <c r="U17" s="186">
        <f>'GS &gt; 50 OLS Model (LC)'!$B$9*H17</f>
        <v>-1670517.9110053701</v>
      </c>
      <c r="V17" s="186">
        <f>'GS &gt; 50 OLS Model (LC)'!$B$10*I17</f>
        <v>0</v>
      </c>
      <c r="W17" s="186">
        <f>'GS &gt; 50 OLS Model (LC)'!$B$11*J17</f>
        <v>0</v>
      </c>
      <c r="X17" s="186">
        <f>'GS &gt; 50 OLS Model (LC)'!$B$12*K17</f>
        <v>0</v>
      </c>
      <c r="Y17" s="186">
        <v>0</v>
      </c>
      <c r="Z17" s="186">
        <f>'GS &gt; 50 OLS Model (LC)'!$B$13*M17</f>
        <v>33683171.091442198</v>
      </c>
      <c r="AA17" s="186">
        <f>'GS &gt; 50 OLS Model (LC)'!$B$14*N17</f>
        <v>12953743.18316808</v>
      </c>
      <c r="AB17" s="186">
        <f t="shared" ca="1" si="2"/>
        <v>71576915.665334418</v>
      </c>
    </row>
    <row r="18" spans="1:28">
      <c r="A18" s="128">
        <f>'Monthly Data'!A18</f>
        <v>40299</v>
      </c>
      <c r="B18" s="186">
        <f t="shared" si="1"/>
        <v>2010</v>
      </c>
      <c r="C18" s="230">
        <f ca="1">'Monthly Data'!T18</f>
        <v>75323997.158593893</v>
      </c>
      <c r="D18" s="186">
        <f t="shared" ca="1" si="3"/>
        <v>92.740000000000009</v>
      </c>
      <c r="E18" s="186">
        <f t="shared" ca="1" si="3"/>
        <v>47.37</v>
      </c>
      <c r="F18" s="186">
        <f>'Monthly Data'!BL18</f>
        <v>555907.5</v>
      </c>
      <c r="G18" s="186">
        <f>'Monthly Data'!BM18</f>
        <v>17</v>
      </c>
      <c r="H18" s="186">
        <f>'Monthly Data'!BQ18</f>
        <v>0</v>
      </c>
      <c r="I18" s="186">
        <f>'Monthly Data'!BS18</f>
        <v>0</v>
      </c>
      <c r="J18" s="186">
        <f>'Monthly Data'!BU18</f>
        <v>0</v>
      </c>
      <c r="K18" s="186">
        <f>'Monthly Data'!BV18</f>
        <v>0</v>
      </c>
      <c r="L18" s="186">
        <f>'Monthly Data'!BW18</f>
        <v>0</v>
      </c>
      <c r="M18" s="186">
        <f>'Monthly Data'!CC18</f>
        <v>31</v>
      </c>
      <c r="N18" s="186">
        <f>'Monthly Data'!CD18</f>
        <v>20</v>
      </c>
      <c r="P18" s="186">
        <f>'GS &gt; 50 OLS Model (LC)'!$B$5</f>
        <v>-8436546.8467997499</v>
      </c>
      <c r="Q18" s="186">
        <f ca="1">'GS &gt; 50 OLS Model (LC)'!$B$6*D18</f>
        <v>2245885.4312433959</v>
      </c>
      <c r="R18" s="186">
        <f ca="1">'GS &gt; 50 OLS Model (LC)'!$B$7*E18</f>
        <v>3380933.4372253534</v>
      </c>
      <c r="S18" s="186">
        <f>'GS &gt; 50 OLS Model (LC)'!$B$8*F18</f>
        <v>28840217.836537071</v>
      </c>
      <c r="T18" s="186">
        <v>0</v>
      </c>
      <c r="U18" s="186">
        <f>'GS &gt; 50 OLS Model (LC)'!$B$9*H18</f>
        <v>0</v>
      </c>
      <c r="V18" s="186">
        <f>'GS &gt; 50 OLS Model (LC)'!$B$10*I18</f>
        <v>0</v>
      </c>
      <c r="W18" s="186">
        <f>'GS &gt; 50 OLS Model (LC)'!$B$11*J18</f>
        <v>0</v>
      </c>
      <c r="X18" s="186">
        <f>'GS &gt; 50 OLS Model (LC)'!$B$12*K18</f>
        <v>0</v>
      </c>
      <c r="Y18" s="186">
        <v>0</v>
      </c>
      <c r="Z18" s="186">
        <f>'GS &gt; 50 OLS Model (LC)'!$B$13*M18</f>
        <v>34805943.461156942</v>
      </c>
      <c r="AA18" s="186">
        <f>'GS &gt; 50 OLS Model (LC)'!$B$14*N18</f>
        <v>12953743.18316808</v>
      </c>
      <c r="AB18" s="186">
        <f t="shared" ca="1" si="2"/>
        <v>73790176.502531096</v>
      </c>
    </row>
    <row r="19" spans="1:28">
      <c r="A19" s="128">
        <f>'Monthly Data'!A19</f>
        <v>40330</v>
      </c>
      <c r="B19" s="186">
        <f t="shared" si="1"/>
        <v>2010</v>
      </c>
      <c r="C19" s="230">
        <f ca="1">'Monthly Data'!T19</f>
        <v>80844184.049799278</v>
      </c>
      <c r="D19" s="186">
        <f t="shared" ca="1" si="3"/>
        <v>9.08</v>
      </c>
      <c r="E19" s="186">
        <f t="shared" ca="1" si="3"/>
        <v>117.23999999999997</v>
      </c>
      <c r="F19" s="186">
        <f>'Monthly Data'!BL19</f>
        <v>555907.5</v>
      </c>
      <c r="G19" s="186">
        <f>'Monthly Data'!BM19</f>
        <v>18</v>
      </c>
      <c r="H19" s="186">
        <f>'Monthly Data'!BQ19</f>
        <v>0</v>
      </c>
      <c r="I19" s="186">
        <f>'Monthly Data'!BS19</f>
        <v>1</v>
      </c>
      <c r="J19" s="186">
        <f>'Monthly Data'!BU19</f>
        <v>0</v>
      </c>
      <c r="K19" s="186">
        <f>'Monthly Data'!BV19</f>
        <v>0</v>
      </c>
      <c r="L19" s="186">
        <f>'Monthly Data'!BW19</f>
        <v>0</v>
      </c>
      <c r="M19" s="186">
        <f>'Monthly Data'!CC19</f>
        <v>30</v>
      </c>
      <c r="N19" s="186">
        <f>'Monthly Data'!CD19</f>
        <v>22</v>
      </c>
      <c r="P19" s="186">
        <f>'GS &gt; 50 OLS Model (LC)'!$B$5</f>
        <v>-8436546.8467997499</v>
      </c>
      <c r="Q19" s="186">
        <f ca="1">'GS &gt; 50 OLS Model (LC)'!$B$6*D19</f>
        <v>219890.44334364927</v>
      </c>
      <c r="R19" s="186">
        <f ca="1">'GS &gt; 50 OLS Model (LC)'!$B$7*E19</f>
        <v>8367756.727470981</v>
      </c>
      <c r="S19" s="186">
        <f>'GS &gt; 50 OLS Model (LC)'!$B$8*F19</f>
        <v>28840217.836537071</v>
      </c>
      <c r="T19" s="186">
        <v>0</v>
      </c>
      <c r="U19" s="186">
        <f>'GS &gt; 50 OLS Model (LC)'!$B$9*H19</f>
        <v>0</v>
      </c>
      <c r="V19" s="186">
        <f>'GS &gt; 50 OLS Model (LC)'!$B$10*I19</f>
        <v>1260255.0136768401</v>
      </c>
      <c r="W19" s="186">
        <f>'GS &gt; 50 OLS Model (LC)'!$B$11*J19</f>
        <v>0</v>
      </c>
      <c r="X19" s="186">
        <f>'GS &gt; 50 OLS Model (LC)'!$B$12*K19</f>
        <v>0</v>
      </c>
      <c r="Y19" s="186">
        <v>0</v>
      </c>
      <c r="Z19" s="186">
        <f>'GS &gt; 50 OLS Model (LC)'!$B$13*M19</f>
        <v>33683171.091442198</v>
      </c>
      <c r="AA19" s="186">
        <f>'GS &gt; 50 OLS Model (LC)'!$B$14*N19</f>
        <v>14249117.501484888</v>
      </c>
      <c r="AB19" s="186">
        <f t="shared" ca="1" si="2"/>
        <v>78183861.767155871</v>
      </c>
    </row>
    <row r="20" spans="1:28">
      <c r="A20" s="128">
        <f>'Monthly Data'!A20</f>
        <v>40360</v>
      </c>
      <c r="B20" s="186">
        <f t="shared" si="1"/>
        <v>2010</v>
      </c>
      <c r="C20" s="230">
        <f ca="1">'Monthly Data'!T20</f>
        <v>85724188.764418766</v>
      </c>
      <c r="D20" s="186">
        <f t="shared" ca="1" si="3"/>
        <v>0.51</v>
      </c>
      <c r="E20" s="186">
        <f t="shared" ca="1" si="3"/>
        <v>185.60999999999999</v>
      </c>
      <c r="F20" s="186">
        <f>'Monthly Data'!BL20</f>
        <v>555907.5</v>
      </c>
      <c r="G20" s="186">
        <f>'Monthly Data'!BM20</f>
        <v>19</v>
      </c>
      <c r="H20" s="186">
        <f>'Monthly Data'!BQ20</f>
        <v>0</v>
      </c>
      <c r="I20" s="186">
        <f>'Monthly Data'!BS20</f>
        <v>0</v>
      </c>
      <c r="J20" s="186">
        <f>'Monthly Data'!BU20</f>
        <v>0</v>
      </c>
      <c r="K20" s="186">
        <f>'Monthly Data'!BV20</f>
        <v>0</v>
      </c>
      <c r="L20" s="186">
        <f>'Monthly Data'!BW20</f>
        <v>0</v>
      </c>
      <c r="M20" s="186">
        <f>'Monthly Data'!CC20</f>
        <v>31</v>
      </c>
      <c r="N20" s="186">
        <f>'Monthly Data'!CD20</f>
        <v>21</v>
      </c>
      <c r="P20" s="186">
        <f>'GS &gt; 50 OLS Model (LC)'!$B$5</f>
        <v>-8436546.8467997499</v>
      </c>
      <c r="Q20" s="186">
        <f ca="1">'GS &gt; 50 OLS Model (LC)'!$B$6*D20</f>
        <v>12350.67468119616</v>
      </c>
      <c r="R20" s="186">
        <f ca="1">'GS &gt; 50 OLS Model (LC)'!$B$7*E20</f>
        <v>13247520.694181927</v>
      </c>
      <c r="S20" s="186">
        <f>'GS &gt; 50 OLS Model (LC)'!$B$8*F20</f>
        <v>28840217.836537071</v>
      </c>
      <c r="T20" s="186">
        <v>0</v>
      </c>
      <c r="U20" s="186">
        <f>'GS &gt; 50 OLS Model (LC)'!$B$9*H20</f>
        <v>0</v>
      </c>
      <c r="V20" s="186">
        <f>'GS &gt; 50 OLS Model (LC)'!$B$10*I20</f>
        <v>0</v>
      </c>
      <c r="W20" s="186">
        <f>'GS &gt; 50 OLS Model (LC)'!$B$11*J20</f>
        <v>0</v>
      </c>
      <c r="X20" s="186">
        <f>'GS &gt; 50 OLS Model (LC)'!$B$12*K20</f>
        <v>0</v>
      </c>
      <c r="Y20" s="186">
        <v>0</v>
      </c>
      <c r="Z20" s="186">
        <f>'GS &gt; 50 OLS Model (LC)'!$B$13*M20</f>
        <v>34805943.461156942</v>
      </c>
      <c r="AA20" s="186">
        <f>'GS &gt; 50 OLS Model (LC)'!$B$14*N20</f>
        <v>13601430.342326485</v>
      </c>
      <c r="AB20" s="186">
        <f t="shared" ca="1" si="2"/>
        <v>82070916.162083864</v>
      </c>
    </row>
    <row r="21" spans="1:28">
      <c r="A21" s="128">
        <f>'Monthly Data'!A21</f>
        <v>40391</v>
      </c>
      <c r="B21" s="186">
        <f t="shared" si="1"/>
        <v>2010</v>
      </c>
      <c r="C21" s="230">
        <f ca="1">'Monthly Data'!T21</f>
        <v>85962780.097131476</v>
      </c>
      <c r="D21" s="186">
        <f t="shared" ca="1" si="3"/>
        <v>1.51</v>
      </c>
      <c r="E21" s="186">
        <f t="shared" ca="1" si="3"/>
        <v>159.64000000000001</v>
      </c>
      <c r="F21" s="186">
        <f>'Monthly Data'!BL21</f>
        <v>555907.5</v>
      </c>
      <c r="G21" s="186">
        <f>'Monthly Data'!BM21</f>
        <v>20</v>
      </c>
      <c r="H21" s="186">
        <f>'Monthly Data'!BQ21</f>
        <v>0</v>
      </c>
      <c r="I21" s="186">
        <f>'Monthly Data'!BS21</f>
        <v>0</v>
      </c>
      <c r="J21" s="186">
        <f>'Monthly Data'!BU21</f>
        <v>1</v>
      </c>
      <c r="K21" s="186">
        <f>'Monthly Data'!BV21</f>
        <v>0</v>
      </c>
      <c r="L21" s="186">
        <f>'Monthly Data'!BW21</f>
        <v>0</v>
      </c>
      <c r="M21" s="186">
        <f>'Monthly Data'!CC21</f>
        <v>31</v>
      </c>
      <c r="N21" s="186">
        <f>'Monthly Data'!CD21</f>
        <v>21</v>
      </c>
      <c r="P21" s="186">
        <f>'GS &gt; 50 OLS Model (LC)'!$B$5</f>
        <v>-8436546.8467997499</v>
      </c>
      <c r="Q21" s="186">
        <f ca="1">'GS &gt; 50 OLS Model (LC)'!$B$6*D21</f>
        <v>36567.683860012155</v>
      </c>
      <c r="R21" s="186">
        <f ca="1">'GS &gt; 50 OLS Model (LC)'!$B$7*E21</f>
        <v>11393966.939384749</v>
      </c>
      <c r="S21" s="186">
        <f>'GS &gt; 50 OLS Model (LC)'!$B$8*F21</f>
        <v>28840217.836537071</v>
      </c>
      <c r="T21" s="186">
        <v>0</v>
      </c>
      <c r="U21" s="186">
        <f>'GS &gt; 50 OLS Model (LC)'!$B$9*H21</f>
        <v>0</v>
      </c>
      <c r="V21" s="186">
        <f>'GS &gt; 50 OLS Model (LC)'!$B$10*I21</f>
        <v>0</v>
      </c>
      <c r="W21" s="186">
        <f>'GS &gt; 50 OLS Model (LC)'!$B$11*J21</f>
        <v>2501012.7689915099</v>
      </c>
      <c r="X21" s="186">
        <f>'GS &gt; 50 OLS Model (LC)'!$B$12*K21</f>
        <v>0</v>
      </c>
      <c r="Y21" s="186">
        <v>0</v>
      </c>
      <c r="Z21" s="186">
        <f>'GS &gt; 50 OLS Model (LC)'!$B$13*M21</f>
        <v>34805943.461156942</v>
      </c>
      <c r="AA21" s="186">
        <f>'GS &gt; 50 OLS Model (LC)'!$B$14*N21</f>
        <v>13601430.342326485</v>
      </c>
      <c r="AB21" s="186">
        <f t="shared" ca="1" si="2"/>
        <v>82742592.185457021</v>
      </c>
    </row>
    <row r="22" spans="1:28">
      <c r="A22" s="128">
        <f>'Monthly Data'!A22</f>
        <v>40422</v>
      </c>
      <c r="B22" s="186">
        <f t="shared" si="1"/>
        <v>2010</v>
      </c>
      <c r="C22" s="230">
        <f ca="1">'Monthly Data'!T22</f>
        <v>74966407.254957601</v>
      </c>
      <c r="D22" s="186">
        <f t="shared" ca="1" si="3"/>
        <v>33.01</v>
      </c>
      <c r="E22" s="186">
        <f t="shared" ca="1" si="3"/>
        <v>72.989999999999981</v>
      </c>
      <c r="F22" s="186">
        <f>'Monthly Data'!BL22</f>
        <v>555907.5</v>
      </c>
      <c r="G22" s="186">
        <f>'Monthly Data'!BM22</f>
        <v>21</v>
      </c>
      <c r="H22" s="186">
        <f>'Monthly Data'!BQ22</f>
        <v>0</v>
      </c>
      <c r="I22" s="186">
        <f>'Monthly Data'!BS22</f>
        <v>0</v>
      </c>
      <c r="J22" s="186">
        <f>'Monthly Data'!BU22</f>
        <v>0</v>
      </c>
      <c r="K22" s="186">
        <f>'Monthly Data'!BV22</f>
        <v>1</v>
      </c>
      <c r="L22" s="186">
        <f>'Monthly Data'!BW22</f>
        <v>0</v>
      </c>
      <c r="M22" s="186">
        <f>'Monthly Data'!CC22</f>
        <v>30</v>
      </c>
      <c r="N22" s="186">
        <f>'Monthly Data'!CD22</f>
        <v>21</v>
      </c>
      <c r="P22" s="186">
        <f>'GS &gt; 50 OLS Model (LC)'!$B$5</f>
        <v>-8436546.8467997499</v>
      </c>
      <c r="Q22" s="186">
        <f ca="1">'GS &gt; 50 OLS Model (LC)'!$B$6*D22</f>
        <v>799403.47299271612</v>
      </c>
      <c r="R22" s="186">
        <f ca="1">'GS &gt; 50 OLS Model (LC)'!$B$7*E22</f>
        <v>5209506.6831977731</v>
      </c>
      <c r="S22" s="186">
        <f>'GS &gt; 50 OLS Model (LC)'!$B$8*F22</f>
        <v>28840217.836537071</v>
      </c>
      <c r="T22" s="186">
        <v>0</v>
      </c>
      <c r="U22" s="186">
        <f>'GS &gt; 50 OLS Model (LC)'!$B$9*H22</f>
        <v>0</v>
      </c>
      <c r="V22" s="186">
        <f>'GS &gt; 50 OLS Model (LC)'!$B$10*I22</f>
        <v>0</v>
      </c>
      <c r="W22" s="186">
        <f>'GS &gt; 50 OLS Model (LC)'!$B$11*J22</f>
        <v>0</v>
      </c>
      <c r="X22" s="186">
        <f>'GS &gt; 50 OLS Model (LC)'!$B$12*K22</f>
        <v>2346294.5864150901</v>
      </c>
      <c r="Y22" s="186">
        <v>0</v>
      </c>
      <c r="Z22" s="186">
        <f>'GS &gt; 50 OLS Model (LC)'!$B$13*M22</f>
        <v>33683171.091442198</v>
      </c>
      <c r="AA22" s="186">
        <f>'GS &gt; 50 OLS Model (LC)'!$B$14*N22</f>
        <v>13601430.342326485</v>
      </c>
      <c r="AB22" s="186">
        <f t="shared" ca="1" si="2"/>
        <v>76043477.166111588</v>
      </c>
    </row>
    <row r="23" spans="1:28">
      <c r="A23" s="128">
        <f>'Monthly Data'!A23</f>
        <v>40452</v>
      </c>
      <c r="B23" s="186">
        <f t="shared" si="1"/>
        <v>2010</v>
      </c>
      <c r="C23" s="230">
        <f ca="1">'Monthly Data'!T23</f>
        <v>73516726.053443059</v>
      </c>
      <c r="D23" s="186">
        <f t="shared" ca="1" si="3"/>
        <v>177.83999999999997</v>
      </c>
      <c r="E23" s="186">
        <f t="shared" ca="1" si="3"/>
        <v>10.779999999999998</v>
      </c>
      <c r="F23" s="186">
        <f>'Monthly Data'!BL23</f>
        <v>555907.5</v>
      </c>
      <c r="G23" s="186">
        <f>'Monthly Data'!BM23</f>
        <v>22</v>
      </c>
      <c r="H23" s="186">
        <f>'Monthly Data'!BQ23</f>
        <v>0</v>
      </c>
      <c r="I23" s="186">
        <f>'Monthly Data'!BS23</f>
        <v>0</v>
      </c>
      <c r="J23" s="186">
        <f>'Monthly Data'!BU23</f>
        <v>0</v>
      </c>
      <c r="K23" s="186">
        <f>'Monthly Data'!BV23</f>
        <v>0</v>
      </c>
      <c r="L23" s="186">
        <f>'Monthly Data'!BW23</f>
        <v>1</v>
      </c>
      <c r="M23" s="186">
        <f>'Monthly Data'!CC23</f>
        <v>31</v>
      </c>
      <c r="N23" s="186">
        <f>'Monthly Data'!CD23</f>
        <v>20</v>
      </c>
      <c r="P23" s="186">
        <f>'GS &gt; 50 OLS Model (LC)'!$B$5</f>
        <v>-8436546.8467997499</v>
      </c>
      <c r="Q23" s="186">
        <f ca="1">'GS &gt; 50 OLS Model (LC)'!$B$6*D23</f>
        <v>4306752.9123606365</v>
      </c>
      <c r="R23" s="186">
        <f ca="1">'GS &gt; 50 OLS Model (LC)'!$B$7*E23</f>
        <v>769399.67180260306</v>
      </c>
      <c r="S23" s="186">
        <f>'GS &gt; 50 OLS Model (LC)'!$B$8*F23</f>
        <v>28840217.836537071</v>
      </c>
      <c r="T23" s="186">
        <v>0</v>
      </c>
      <c r="U23" s="186">
        <f>'GS &gt; 50 OLS Model (LC)'!$B$9*H23</f>
        <v>0</v>
      </c>
      <c r="V23" s="186">
        <f>'GS &gt; 50 OLS Model (LC)'!$B$10*I23</f>
        <v>0</v>
      </c>
      <c r="W23" s="186">
        <f>'GS &gt; 50 OLS Model (LC)'!$B$11*J23</f>
        <v>0</v>
      </c>
      <c r="X23" s="186">
        <f>'GS &gt; 50 OLS Model (LC)'!$B$12*K23</f>
        <v>0</v>
      </c>
      <c r="Y23" s="186">
        <v>0</v>
      </c>
      <c r="Z23" s="186">
        <f>'GS &gt; 50 OLS Model (LC)'!$B$13*M23</f>
        <v>34805943.461156942</v>
      </c>
      <c r="AA23" s="186">
        <f>'GS &gt; 50 OLS Model (LC)'!$B$14*N23</f>
        <v>12953743.18316808</v>
      </c>
      <c r="AB23" s="186">
        <f t="shared" ca="1" si="2"/>
        <v>73239510.218225583</v>
      </c>
    </row>
    <row r="24" spans="1:28">
      <c r="A24" s="128">
        <f>'Monthly Data'!A24</f>
        <v>40483</v>
      </c>
      <c r="B24" s="186">
        <f t="shared" si="1"/>
        <v>2010</v>
      </c>
      <c r="C24" s="230">
        <f ca="1">'Monthly Data'!T24</f>
        <v>76037403.300678432</v>
      </c>
      <c r="D24" s="186">
        <f t="shared" ca="1" si="3"/>
        <v>361.94999999999993</v>
      </c>
      <c r="E24" s="186">
        <f t="shared" ca="1" si="3"/>
        <v>0.05</v>
      </c>
      <c r="F24" s="186">
        <f>'Monthly Data'!BL24</f>
        <v>555907.5</v>
      </c>
      <c r="G24" s="186">
        <f>'Monthly Data'!BM24</f>
        <v>23</v>
      </c>
      <c r="H24" s="186">
        <f>'Monthly Data'!BQ24</f>
        <v>0</v>
      </c>
      <c r="I24" s="186">
        <f>'Monthly Data'!BS24</f>
        <v>0</v>
      </c>
      <c r="J24" s="186">
        <f>'Monthly Data'!BU24</f>
        <v>0</v>
      </c>
      <c r="K24" s="186">
        <f>'Monthly Data'!BV24</f>
        <v>0</v>
      </c>
      <c r="L24" s="186">
        <f>'Monthly Data'!BW24</f>
        <v>0</v>
      </c>
      <c r="M24" s="186">
        <f>'Monthly Data'!CC24</f>
        <v>30</v>
      </c>
      <c r="N24" s="186">
        <f>'Monthly Data'!CD24</f>
        <v>22</v>
      </c>
      <c r="P24" s="186">
        <f>'GS &gt; 50 OLS Model (LC)'!$B$5</f>
        <v>-8436546.8467997499</v>
      </c>
      <c r="Q24" s="186">
        <f ca="1">'GS &gt; 50 OLS Model (LC)'!$B$6*D24</f>
        <v>8765346.4722724482</v>
      </c>
      <c r="R24" s="186">
        <f ca="1">'GS &gt; 50 OLS Model (LC)'!$B$7*E24</f>
        <v>3568.6441178228351</v>
      </c>
      <c r="S24" s="186">
        <f>'GS &gt; 50 OLS Model (LC)'!$B$8*F24</f>
        <v>28840217.836537071</v>
      </c>
      <c r="T24" s="186">
        <v>0</v>
      </c>
      <c r="U24" s="186">
        <f>'GS &gt; 50 OLS Model (LC)'!$B$9*H24</f>
        <v>0</v>
      </c>
      <c r="V24" s="186">
        <f>'GS &gt; 50 OLS Model (LC)'!$B$10*I24</f>
        <v>0</v>
      </c>
      <c r="W24" s="186">
        <f>'GS &gt; 50 OLS Model (LC)'!$B$11*J24</f>
        <v>0</v>
      </c>
      <c r="X24" s="186">
        <f>'GS &gt; 50 OLS Model (LC)'!$B$12*K24</f>
        <v>0</v>
      </c>
      <c r="Y24" s="186">
        <v>0</v>
      </c>
      <c r="Z24" s="186">
        <f>'GS &gt; 50 OLS Model (LC)'!$B$13*M24</f>
        <v>33683171.091442198</v>
      </c>
      <c r="AA24" s="186">
        <f>'GS &gt; 50 OLS Model (LC)'!$B$14*N24</f>
        <v>14249117.501484888</v>
      </c>
      <c r="AB24" s="186">
        <f t="shared" ca="1" si="2"/>
        <v>77104874.699054673</v>
      </c>
    </row>
    <row r="25" spans="1:28">
      <c r="A25" s="128">
        <f>'Monthly Data'!A25</f>
        <v>40513</v>
      </c>
      <c r="B25" s="186">
        <f t="shared" si="1"/>
        <v>2010</v>
      </c>
      <c r="C25" s="230">
        <f ca="1">'Monthly Data'!T25</f>
        <v>82527064.311934069</v>
      </c>
      <c r="D25" s="186">
        <f t="shared" ca="1" si="3"/>
        <v>556.41000000000008</v>
      </c>
      <c r="E25" s="186">
        <f t="shared" ca="1" si="3"/>
        <v>0</v>
      </c>
      <c r="F25" s="186">
        <f>'Monthly Data'!BL25</f>
        <v>555907.5</v>
      </c>
      <c r="G25" s="186">
        <f>'Monthly Data'!BM25</f>
        <v>24</v>
      </c>
      <c r="H25" s="186">
        <f>'Monthly Data'!BQ25</f>
        <v>0</v>
      </c>
      <c r="I25" s="186">
        <f>'Monthly Data'!BS25</f>
        <v>0</v>
      </c>
      <c r="J25" s="186">
        <f>'Monthly Data'!BU25</f>
        <v>0</v>
      </c>
      <c r="K25" s="186">
        <f>'Monthly Data'!BV25</f>
        <v>0</v>
      </c>
      <c r="L25" s="186">
        <f>'Monthly Data'!BW25</f>
        <v>0</v>
      </c>
      <c r="M25" s="186">
        <f>'Monthly Data'!CC25</f>
        <v>31</v>
      </c>
      <c r="N25" s="186">
        <f>'Monthly Data'!CD25</f>
        <v>21</v>
      </c>
      <c r="P25" s="186">
        <f>'GS &gt; 50 OLS Model (LC)'!$B$5</f>
        <v>-8436546.8467997499</v>
      </c>
      <c r="Q25" s="186">
        <f ca="1">'GS &gt; 50 OLS Model (LC)'!$B$6*D25</f>
        <v>13474586.077185012</v>
      </c>
      <c r="R25" s="186">
        <f ca="1">'GS &gt; 50 OLS Model (LC)'!$B$7*E25</f>
        <v>0</v>
      </c>
      <c r="S25" s="186">
        <f>'GS &gt; 50 OLS Model (LC)'!$B$8*F25</f>
        <v>28840217.836537071</v>
      </c>
      <c r="T25" s="186">
        <v>0</v>
      </c>
      <c r="U25" s="186">
        <f>'GS &gt; 50 OLS Model (LC)'!$B$9*H25</f>
        <v>0</v>
      </c>
      <c r="V25" s="186">
        <f>'GS &gt; 50 OLS Model (LC)'!$B$10*I25</f>
        <v>0</v>
      </c>
      <c r="W25" s="186">
        <f>'GS &gt; 50 OLS Model (LC)'!$B$11*J25</f>
        <v>0</v>
      </c>
      <c r="X25" s="186">
        <f>'GS &gt; 50 OLS Model (LC)'!$B$12*K25</f>
        <v>0</v>
      </c>
      <c r="Y25" s="186">
        <v>0</v>
      </c>
      <c r="Z25" s="186">
        <f>'GS &gt; 50 OLS Model (LC)'!$B$13*M25</f>
        <v>34805943.461156942</v>
      </c>
      <c r="AA25" s="186">
        <f>'GS &gt; 50 OLS Model (LC)'!$B$14*N25</f>
        <v>13601430.342326485</v>
      </c>
      <c r="AB25" s="186">
        <f t="shared" ca="1" si="2"/>
        <v>82285630.870405763</v>
      </c>
    </row>
    <row r="26" spans="1:28">
      <c r="A26" s="128">
        <f>'Monthly Data'!A26</f>
        <v>40544</v>
      </c>
      <c r="B26" s="186">
        <f t="shared" si="1"/>
        <v>2011</v>
      </c>
      <c r="C26" s="230">
        <f ca="1">'Monthly Data'!T26</f>
        <v>87683932.225609511</v>
      </c>
      <c r="D26" s="186">
        <f t="shared" ca="1" si="3"/>
        <v>659.42999999999984</v>
      </c>
      <c r="E26" s="186">
        <f t="shared" ca="1" si="3"/>
        <v>0</v>
      </c>
      <c r="F26" s="186">
        <f>'Monthly Data'!BL26</f>
        <v>570633.30000000005</v>
      </c>
      <c r="G26" s="186">
        <f>'Monthly Data'!BM26</f>
        <v>25</v>
      </c>
      <c r="H26" s="186">
        <f>'Monthly Data'!BQ26</f>
        <v>0</v>
      </c>
      <c r="I26" s="186">
        <f>'Monthly Data'!BS26</f>
        <v>0</v>
      </c>
      <c r="J26" s="186">
        <f>'Monthly Data'!BU26</f>
        <v>0</v>
      </c>
      <c r="K26" s="186">
        <f>'Monthly Data'!BV26</f>
        <v>0</v>
      </c>
      <c r="L26" s="186">
        <f>'Monthly Data'!BW26</f>
        <v>0</v>
      </c>
      <c r="M26" s="186">
        <f>'Monthly Data'!CC26</f>
        <v>31</v>
      </c>
      <c r="N26" s="186">
        <f>'Monthly Data'!CD26</f>
        <v>20</v>
      </c>
      <c r="P26" s="186">
        <f>'GS &gt; 50 OLS Model (LC)'!$B$5</f>
        <v>-8436546.8467997499</v>
      </c>
      <c r="Q26" s="186">
        <f ca="1">'GS &gt; 50 OLS Model (LC)'!$B$6*D26</f>
        <v>15969422.36278663</v>
      </c>
      <c r="R26" s="186">
        <f ca="1">'GS &gt; 50 OLS Model (LC)'!$B$7*E26</f>
        <v>0</v>
      </c>
      <c r="S26" s="186">
        <f>'GS &gt; 50 OLS Model (LC)'!$B$8*F26</f>
        <v>29604185.366777766</v>
      </c>
      <c r="T26" s="186">
        <v>0</v>
      </c>
      <c r="U26" s="186">
        <f>'GS &gt; 50 OLS Model (LC)'!$B$9*H26</f>
        <v>0</v>
      </c>
      <c r="V26" s="186">
        <f>'GS &gt; 50 OLS Model (LC)'!$B$10*I26</f>
        <v>0</v>
      </c>
      <c r="W26" s="186">
        <f>'GS &gt; 50 OLS Model (LC)'!$B$11*J26</f>
        <v>0</v>
      </c>
      <c r="X26" s="186">
        <f>'GS &gt; 50 OLS Model (LC)'!$B$12*K26</f>
        <v>0</v>
      </c>
      <c r="Y26" s="186">
        <v>0</v>
      </c>
      <c r="Z26" s="186">
        <f>'GS &gt; 50 OLS Model (LC)'!$B$13*M26</f>
        <v>34805943.461156942</v>
      </c>
      <c r="AA26" s="186">
        <f>'GS &gt; 50 OLS Model (LC)'!$B$14*N26</f>
        <v>12953743.18316808</v>
      </c>
      <c r="AB26" s="186">
        <f t="shared" ca="1" si="2"/>
        <v>84896747.52708967</v>
      </c>
    </row>
    <row r="27" spans="1:28">
      <c r="A27" s="128">
        <f>'Monthly Data'!A27</f>
        <v>40575</v>
      </c>
      <c r="B27" s="186">
        <f t="shared" si="1"/>
        <v>2011</v>
      </c>
      <c r="C27" s="230">
        <f ca="1">'Monthly Data'!T27</f>
        <v>79180941.496457949</v>
      </c>
      <c r="D27" s="186">
        <f t="shared" ca="1" si="3"/>
        <v>571.77</v>
      </c>
      <c r="E27" s="186">
        <f t="shared" ca="1" si="3"/>
        <v>0</v>
      </c>
      <c r="F27" s="186">
        <f>'Monthly Data'!BL27</f>
        <v>570633.30000000005</v>
      </c>
      <c r="G27" s="186">
        <f>'Monthly Data'!BM27</f>
        <v>26</v>
      </c>
      <c r="H27" s="186">
        <f>'Monthly Data'!BQ27</f>
        <v>0</v>
      </c>
      <c r="I27" s="186">
        <f>'Monthly Data'!BS27</f>
        <v>0</v>
      </c>
      <c r="J27" s="186">
        <f>'Monthly Data'!BU27</f>
        <v>0</v>
      </c>
      <c r="K27" s="186">
        <f>'Monthly Data'!BV27</f>
        <v>0</v>
      </c>
      <c r="L27" s="186">
        <f>'Monthly Data'!BW27</f>
        <v>0</v>
      </c>
      <c r="M27" s="186">
        <f>'Monthly Data'!CC27</f>
        <v>28</v>
      </c>
      <c r="N27" s="186">
        <f>'Monthly Data'!CD27</f>
        <v>19</v>
      </c>
      <c r="P27" s="186">
        <f>'GS &gt; 50 OLS Model (LC)'!$B$5</f>
        <v>-8436546.8467997499</v>
      </c>
      <c r="Q27" s="186">
        <f ca="1">'GS &gt; 50 OLS Model (LC)'!$B$6*D27</f>
        <v>13846559.338171624</v>
      </c>
      <c r="R27" s="186">
        <f ca="1">'GS &gt; 50 OLS Model (LC)'!$B$7*E27</f>
        <v>0</v>
      </c>
      <c r="S27" s="186">
        <f>'GS &gt; 50 OLS Model (LC)'!$B$8*F27</f>
        <v>29604185.366777766</v>
      </c>
      <c r="T27" s="186">
        <v>0</v>
      </c>
      <c r="U27" s="186">
        <f>'GS &gt; 50 OLS Model (LC)'!$B$9*H27</f>
        <v>0</v>
      </c>
      <c r="V27" s="186">
        <f>'GS &gt; 50 OLS Model (LC)'!$B$10*I27</f>
        <v>0</v>
      </c>
      <c r="W27" s="186">
        <f>'GS &gt; 50 OLS Model (LC)'!$B$11*J27</f>
        <v>0</v>
      </c>
      <c r="X27" s="186">
        <f>'GS &gt; 50 OLS Model (LC)'!$B$12*K27</f>
        <v>0</v>
      </c>
      <c r="Y27" s="186">
        <v>0</v>
      </c>
      <c r="Z27" s="186">
        <f>'GS &gt; 50 OLS Model (LC)'!$B$13*M27</f>
        <v>31437626.35201272</v>
      </c>
      <c r="AA27" s="186">
        <f>'GS &gt; 50 OLS Model (LC)'!$B$14*N27</f>
        <v>12306056.024009675</v>
      </c>
      <c r="AB27" s="186">
        <f t="shared" ca="1" si="2"/>
        <v>78757880.234172031</v>
      </c>
    </row>
    <row r="28" spans="1:28">
      <c r="A28" s="128">
        <f>'Monthly Data'!A28</f>
        <v>40603</v>
      </c>
      <c r="B28" s="186">
        <f t="shared" si="1"/>
        <v>2011</v>
      </c>
      <c r="C28" s="230">
        <f ca="1">'Monthly Data'!T28</f>
        <v>83137506.790608495</v>
      </c>
      <c r="D28" s="186">
        <f t="shared" ca="1" si="3"/>
        <v>456.53999999999996</v>
      </c>
      <c r="E28" s="186">
        <f t="shared" ca="1" si="3"/>
        <v>0.48</v>
      </c>
      <c r="F28" s="186">
        <f>'Monthly Data'!BL28</f>
        <v>570633.30000000005</v>
      </c>
      <c r="G28" s="186">
        <f>'Monthly Data'!BM28</f>
        <v>27</v>
      </c>
      <c r="H28" s="186">
        <f>'Monthly Data'!BQ28</f>
        <v>0</v>
      </c>
      <c r="I28" s="186">
        <f>'Monthly Data'!BS28</f>
        <v>0</v>
      </c>
      <c r="J28" s="186">
        <f>'Monthly Data'!BU28</f>
        <v>0</v>
      </c>
      <c r="K28" s="186">
        <f>'Monthly Data'!BV28</f>
        <v>0</v>
      </c>
      <c r="L28" s="186">
        <f>'Monthly Data'!BW28</f>
        <v>0</v>
      </c>
      <c r="M28" s="186">
        <f>'Monthly Data'!CC28</f>
        <v>31</v>
      </c>
      <c r="N28" s="186">
        <f>'Monthly Data'!CD28</f>
        <v>23</v>
      </c>
      <c r="P28" s="186">
        <f>'GS &gt; 50 OLS Model (LC)'!$B$5</f>
        <v>-8436546.8467997499</v>
      </c>
      <c r="Q28" s="186">
        <f ca="1">'GS &gt; 50 OLS Model (LC)'!$B$6*D28</f>
        <v>11056033.370496655</v>
      </c>
      <c r="R28" s="186">
        <f ca="1">'GS &gt; 50 OLS Model (LC)'!$B$7*E28</f>
        <v>34258.983531099213</v>
      </c>
      <c r="S28" s="186">
        <f>'GS &gt; 50 OLS Model (LC)'!$B$8*F28</f>
        <v>29604185.366777766</v>
      </c>
      <c r="T28" s="186">
        <v>0</v>
      </c>
      <c r="U28" s="186">
        <f>'GS &gt; 50 OLS Model (LC)'!$B$9*H28</f>
        <v>0</v>
      </c>
      <c r="V28" s="186">
        <f>'GS &gt; 50 OLS Model (LC)'!$B$10*I28</f>
        <v>0</v>
      </c>
      <c r="W28" s="186">
        <f>'GS &gt; 50 OLS Model (LC)'!$B$11*J28</f>
        <v>0</v>
      </c>
      <c r="X28" s="186">
        <f>'GS &gt; 50 OLS Model (LC)'!$B$12*K28</f>
        <v>0</v>
      </c>
      <c r="Y28" s="186">
        <v>0</v>
      </c>
      <c r="Z28" s="186">
        <f>'GS &gt; 50 OLS Model (LC)'!$B$13*M28</f>
        <v>34805943.461156942</v>
      </c>
      <c r="AA28" s="186">
        <f>'GS &gt; 50 OLS Model (LC)'!$B$14*N28</f>
        <v>14896804.660643291</v>
      </c>
      <c r="AB28" s="186">
        <f t="shared" ca="1" si="2"/>
        <v>81960678.995806009</v>
      </c>
    </row>
    <row r="29" spans="1:28">
      <c r="A29" s="128">
        <f>'Monthly Data'!A29</f>
        <v>40634</v>
      </c>
      <c r="B29" s="186">
        <f t="shared" si="1"/>
        <v>2011</v>
      </c>
      <c r="C29" s="230">
        <f ca="1">'Monthly Data'!T29</f>
        <v>72823673.283491805</v>
      </c>
      <c r="D29" s="186">
        <f t="shared" ca="1" si="3"/>
        <v>248.54999999999995</v>
      </c>
      <c r="E29" s="186">
        <f t="shared" ca="1" si="3"/>
        <v>2.63</v>
      </c>
      <c r="F29" s="186">
        <f>'Monthly Data'!BL29</f>
        <v>570633.30000000005</v>
      </c>
      <c r="G29" s="186">
        <f>'Monthly Data'!BM29</f>
        <v>28</v>
      </c>
      <c r="H29" s="186">
        <f>'Monthly Data'!BQ29</f>
        <v>1</v>
      </c>
      <c r="I29" s="186">
        <f>'Monthly Data'!BS29</f>
        <v>0</v>
      </c>
      <c r="J29" s="186">
        <f>'Monthly Data'!BU29</f>
        <v>0</v>
      </c>
      <c r="K29" s="186">
        <f>'Monthly Data'!BV29</f>
        <v>0</v>
      </c>
      <c r="L29" s="186">
        <f>'Monthly Data'!BW29</f>
        <v>0</v>
      </c>
      <c r="M29" s="186">
        <f>'Monthly Data'!CC29</f>
        <v>30</v>
      </c>
      <c r="N29" s="186">
        <f>'Monthly Data'!CD29</f>
        <v>19</v>
      </c>
      <c r="P29" s="186">
        <f>'GS &gt; 50 OLS Model (LC)'!$B$5</f>
        <v>-8436546.8467997499</v>
      </c>
      <c r="Q29" s="186">
        <f ca="1">'GS &gt; 50 OLS Model (LC)'!$B$6*D29</f>
        <v>6019137.631394715</v>
      </c>
      <c r="R29" s="186">
        <f ca="1">'GS &gt; 50 OLS Model (LC)'!$B$7*E29</f>
        <v>187710.68059748111</v>
      </c>
      <c r="S29" s="186">
        <f>'GS &gt; 50 OLS Model (LC)'!$B$8*F29</f>
        <v>29604185.366777766</v>
      </c>
      <c r="T29" s="186">
        <v>0</v>
      </c>
      <c r="U29" s="186">
        <f>'GS &gt; 50 OLS Model (LC)'!$B$9*H29</f>
        <v>-1670517.9110053701</v>
      </c>
      <c r="V29" s="186">
        <f>'GS &gt; 50 OLS Model (LC)'!$B$10*I29</f>
        <v>0</v>
      </c>
      <c r="W29" s="186">
        <f>'GS &gt; 50 OLS Model (LC)'!$B$11*J29</f>
        <v>0</v>
      </c>
      <c r="X29" s="186">
        <f>'GS &gt; 50 OLS Model (LC)'!$B$12*K29</f>
        <v>0</v>
      </c>
      <c r="Y29" s="186">
        <v>0</v>
      </c>
      <c r="Z29" s="186">
        <f>'GS &gt; 50 OLS Model (LC)'!$B$13*M29</f>
        <v>33683171.091442198</v>
      </c>
      <c r="AA29" s="186">
        <f>'GS &gt; 50 OLS Model (LC)'!$B$14*N29</f>
        <v>12306056.024009675</v>
      </c>
      <c r="AB29" s="186">
        <f t="shared" ca="1" si="2"/>
        <v>71693196.036416709</v>
      </c>
    </row>
    <row r="30" spans="1:28">
      <c r="A30" s="128">
        <f>'Monthly Data'!A30</f>
        <v>40664</v>
      </c>
      <c r="B30" s="186">
        <f t="shared" si="1"/>
        <v>2011</v>
      </c>
      <c r="C30" s="230">
        <f ca="1">'Monthly Data'!T30</f>
        <v>73981180.889955714</v>
      </c>
      <c r="D30" s="186">
        <f t="shared" ref="D30:E45" ca="1" si="4">D18</f>
        <v>92.740000000000009</v>
      </c>
      <c r="E30" s="186">
        <f t="shared" ca="1" si="4"/>
        <v>47.37</v>
      </c>
      <c r="F30" s="186">
        <f>'Monthly Data'!BL30</f>
        <v>570633.30000000005</v>
      </c>
      <c r="G30" s="186">
        <f>'Monthly Data'!BM30</f>
        <v>29</v>
      </c>
      <c r="H30" s="186">
        <f>'Monthly Data'!BQ30</f>
        <v>0</v>
      </c>
      <c r="I30" s="186">
        <f>'Monthly Data'!BS30</f>
        <v>0</v>
      </c>
      <c r="J30" s="186">
        <f>'Monthly Data'!BU30</f>
        <v>0</v>
      </c>
      <c r="K30" s="186">
        <f>'Monthly Data'!BV30</f>
        <v>0</v>
      </c>
      <c r="L30" s="186">
        <f>'Monthly Data'!BW30</f>
        <v>0</v>
      </c>
      <c r="M30" s="186">
        <f>'Monthly Data'!CC30</f>
        <v>31</v>
      </c>
      <c r="N30" s="186">
        <f>'Monthly Data'!CD30</f>
        <v>21</v>
      </c>
      <c r="P30" s="186">
        <f>'GS &gt; 50 OLS Model (LC)'!$B$5</f>
        <v>-8436546.8467997499</v>
      </c>
      <c r="Q30" s="186">
        <f ca="1">'GS &gt; 50 OLS Model (LC)'!$B$6*D30</f>
        <v>2245885.4312433959</v>
      </c>
      <c r="R30" s="186">
        <f ca="1">'GS &gt; 50 OLS Model (LC)'!$B$7*E30</f>
        <v>3380933.4372253534</v>
      </c>
      <c r="S30" s="186">
        <f>'GS &gt; 50 OLS Model (LC)'!$B$8*F30</f>
        <v>29604185.366777766</v>
      </c>
      <c r="T30" s="186">
        <v>0</v>
      </c>
      <c r="U30" s="186">
        <f>'GS &gt; 50 OLS Model (LC)'!$B$9*H30</f>
        <v>0</v>
      </c>
      <c r="V30" s="186">
        <f>'GS &gt; 50 OLS Model (LC)'!$B$10*I30</f>
        <v>0</v>
      </c>
      <c r="W30" s="186">
        <f>'GS &gt; 50 OLS Model (LC)'!$B$11*J30</f>
        <v>0</v>
      </c>
      <c r="X30" s="186">
        <f>'GS &gt; 50 OLS Model (LC)'!$B$12*K30</f>
        <v>0</v>
      </c>
      <c r="Y30" s="186">
        <v>0</v>
      </c>
      <c r="Z30" s="186">
        <f>'GS &gt; 50 OLS Model (LC)'!$B$13*M30</f>
        <v>34805943.461156942</v>
      </c>
      <c r="AA30" s="186">
        <f>'GS &gt; 50 OLS Model (LC)'!$B$14*N30</f>
        <v>13601430.342326485</v>
      </c>
      <c r="AB30" s="186">
        <f t="shared" ca="1" si="2"/>
        <v>75201831.191930205</v>
      </c>
    </row>
    <row r="31" spans="1:28">
      <c r="A31" s="128">
        <f>'Monthly Data'!A31</f>
        <v>40695</v>
      </c>
      <c r="B31" s="186">
        <f t="shared" si="1"/>
        <v>2011</v>
      </c>
      <c r="C31" s="230">
        <f ca="1">'Monthly Data'!T31</f>
        <v>79181645.291618466</v>
      </c>
      <c r="D31" s="186">
        <f t="shared" ca="1" si="4"/>
        <v>9.08</v>
      </c>
      <c r="E31" s="186">
        <f t="shared" ca="1" si="4"/>
        <v>117.23999999999997</v>
      </c>
      <c r="F31" s="186">
        <f>'Monthly Data'!BL31</f>
        <v>570633.30000000005</v>
      </c>
      <c r="G31" s="186">
        <f>'Monthly Data'!BM31</f>
        <v>30</v>
      </c>
      <c r="H31" s="186">
        <f>'Monthly Data'!BQ31</f>
        <v>0</v>
      </c>
      <c r="I31" s="186">
        <f>'Monthly Data'!BS31</f>
        <v>1</v>
      </c>
      <c r="J31" s="186">
        <f>'Monthly Data'!BU31</f>
        <v>0</v>
      </c>
      <c r="K31" s="186">
        <f>'Monthly Data'!BV31</f>
        <v>0</v>
      </c>
      <c r="L31" s="186">
        <f>'Monthly Data'!BW31</f>
        <v>0</v>
      </c>
      <c r="M31" s="186">
        <f>'Monthly Data'!CC31</f>
        <v>30</v>
      </c>
      <c r="N31" s="186">
        <f>'Monthly Data'!CD31</f>
        <v>22</v>
      </c>
      <c r="P31" s="186">
        <f>'GS &gt; 50 OLS Model (LC)'!$B$5</f>
        <v>-8436546.8467997499</v>
      </c>
      <c r="Q31" s="186">
        <f ca="1">'GS &gt; 50 OLS Model (LC)'!$B$6*D31</f>
        <v>219890.44334364927</v>
      </c>
      <c r="R31" s="186">
        <f ca="1">'GS &gt; 50 OLS Model (LC)'!$B$7*E31</f>
        <v>8367756.727470981</v>
      </c>
      <c r="S31" s="186">
        <f>'GS &gt; 50 OLS Model (LC)'!$B$8*F31</f>
        <v>29604185.366777766</v>
      </c>
      <c r="T31" s="186">
        <v>0</v>
      </c>
      <c r="U31" s="186">
        <f>'GS &gt; 50 OLS Model (LC)'!$B$9*H31</f>
        <v>0</v>
      </c>
      <c r="V31" s="186">
        <f>'GS &gt; 50 OLS Model (LC)'!$B$10*I31</f>
        <v>1260255.0136768401</v>
      </c>
      <c r="W31" s="186">
        <f>'GS &gt; 50 OLS Model (LC)'!$B$11*J31</f>
        <v>0</v>
      </c>
      <c r="X31" s="186">
        <f>'GS &gt; 50 OLS Model (LC)'!$B$12*K31</f>
        <v>0</v>
      </c>
      <c r="Y31" s="186">
        <v>0</v>
      </c>
      <c r="Z31" s="186">
        <f>'GS &gt; 50 OLS Model (LC)'!$B$13*M31</f>
        <v>33683171.091442198</v>
      </c>
      <c r="AA31" s="186">
        <f>'GS &gt; 50 OLS Model (LC)'!$B$14*N31</f>
        <v>14249117.501484888</v>
      </c>
      <c r="AB31" s="186">
        <f t="shared" ca="1" si="2"/>
        <v>78947829.29739657</v>
      </c>
    </row>
    <row r="32" spans="1:28">
      <c r="A32" s="128">
        <f>'Monthly Data'!A32</f>
        <v>40725</v>
      </c>
      <c r="B32" s="186">
        <f t="shared" si="1"/>
        <v>2011</v>
      </c>
      <c r="C32" s="230">
        <f ca="1">'Monthly Data'!T32</f>
        <v>85355428.522644609</v>
      </c>
      <c r="D32" s="186">
        <f t="shared" ca="1" si="4"/>
        <v>0.51</v>
      </c>
      <c r="E32" s="186">
        <f t="shared" ca="1" si="4"/>
        <v>185.60999999999999</v>
      </c>
      <c r="F32" s="186">
        <f>'Monthly Data'!BL32</f>
        <v>570633.30000000005</v>
      </c>
      <c r="G32" s="186">
        <f>'Monthly Data'!BM32</f>
        <v>31</v>
      </c>
      <c r="H32" s="186">
        <f>'Monthly Data'!BQ32</f>
        <v>0</v>
      </c>
      <c r="I32" s="186">
        <f>'Monthly Data'!BS32</f>
        <v>0</v>
      </c>
      <c r="J32" s="186">
        <f>'Monthly Data'!BU32</f>
        <v>0</v>
      </c>
      <c r="K32" s="186">
        <f>'Monthly Data'!BV32</f>
        <v>0</v>
      </c>
      <c r="L32" s="186">
        <f>'Monthly Data'!BW32</f>
        <v>0</v>
      </c>
      <c r="M32" s="186">
        <f>'Monthly Data'!CC32</f>
        <v>31</v>
      </c>
      <c r="N32" s="186">
        <f>'Monthly Data'!CD32</f>
        <v>20</v>
      </c>
      <c r="P32" s="186">
        <f>'GS &gt; 50 OLS Model (LC)'!$B$5</f>
        <v>-8436546.8467997499</v>
      </c>
      <c r="Q32" s="186">
        <f ca="1">'GS &gt; 50 OLS Model (LC)'!$B$6*D32</f>
        <v>12350.67468119616</v>
      </c>
      <c r="R32" s="186">
        <f ca="1">'GS &gt; 50 OLS Model (LC)'!$B$7*E32</f>
        <v>13247520.694181927</v>
      </c>
      <c r="S32" s="186">
        <f>'GS &gt; 50 OLS Model (LC)'!$B$8*F32</f>
        <v>29604185.366777766</v>
      </c>
      <c r="T32" s="186">
        <v>0</v>
      </c>
      <c r="U32" s="186">
        <f>'GS &gt; 50 OLS Model (LC)'!$B$9*H32</f>
        <v>0</v>
      </c>
      <c r="V32" s="186">
        <f>'GS &gt; 50 OLS Model (LC)'!$B$10*I32</f>
        <v>0</v>
      </c>
      <c r="W32" s="186">
        <f>'GS &gt; 50 OLS Model (LC)'!$B$11*J32</f>
        <v>0</v>
      </c>
      <c r="X32" s="186">
        <f>'GS &gt; 50 OLS Model (LC)'!$B$12*K32</f>
        <v>0</v>
      </c>
      <c r="Y32" s="186">
        <v>0</v>
      </c>
      <c r="Z32" s="186">
        <f>'GS &gt; 50 OLS Model (LC)'!$B$13*M32</f>
        <v>34805943.461156942</v>
      </c>
      <c r="AA32" s="186">
        <f>'GS &gt; 50 OLS Model (LC)'!$B$14*N32</f>
        <v>12953743.18316808</v>
      </c>
      <c r="AB32" s="186">
        <f t="shared" ca="1" si="2"/>
        <v>82187196.53316617</v>
      </c>
    </row>
    <row r="33" spans="1:28">
      <c r="A33" s="128">
        <f>'Monthly Data'!A33</f>
        <v>40756</v>
      </c>
      <c r="B33" s="186">
        <f t="shared" si="1"/>
        <v>2011</v>
      </c>
      <c r="C33" s="230">
        <f ca="1">'Monthly Data'!T33</f>
        <v>85134730.124835938</v>
      </c>
      <c r="D33" s="186">
        <f t="shared" ca="1" si="4"/>
        <v>1.51</v>
      </c>
      <c r="E33" s="186">
        <f t="shared" ca="1" si="4"/>
        <v>159.64000000000001</v>
      </c>
      <c r="F33" s="186">
        <f>'Monthly Data'!BL33</f>
        <v>570633.30000000005</v>
      </c>
      <c r="G33" s="186">
        <f>'Monthly Data'!BM33</f>
        <v>32</v>
      </c>
      <c r="H33" s="186">
        <f>'Monthly Data'!BQ33</f>
        <v>0</v>
      </c>
      <c r="I33" s="186">
        <f>'Monthly Data'!BS33</f>
        <v>0</v>
      </c>
      <c r="J33" s="186">
        <f>'Monthly Data'!BU33</f>
        <v>1</v>
      </c>
      <c r="K33" s="186">
        <f>'Monthly Data'!BV33</f>
        <v>0</v>
      </c>
      <c r="L33" s="186">
        <f>'Monthly Data'!BW33</f>
        <v>0</v>
      </c>
      <c r="M33" s="186">
        <f>'Monthly Data'!CC33</f>
        <v>31</v>
      </c>
      <c r="N33" s="186">
        <f>'Monthly Data'!CD33</f>
        <v>22</v>
      </c>
      <c r="P33" s="186">
        <f>'GS &gt; 50 OLS Model (LC)'!$B$5</f>
        <v>-8436546.8467997499</v>
      </c>
      <c r="Q33" s="186">
        <f ca="1">'GS &gt; 50 OLS Model (LC)'!$B$6*D33</f>
        <v>36567.683860012155</v>
      </c>
      <c r="R33" s="186">
        <f ca="1">'GS &gt; 50 OLS Model (LC)'!$B$7*E33</f>
        <v>11393966.939384749</v>
      </c>
      <c r="S33" s="186">
        <f>'GS &gt; 50 OLS Model (LC)'!$B$8*F33</f>
        <v>29604185.366777766</v>
      </c>
      <c r="T33" s="186">
        <v>0</v>
      </c>
      <c r="U33" s="186">
        <f>'GS &gt; 50 OLS Model (LC)'!$B$9*H33</f>
        <v>0</v>
      </c>
      <c r="V33" s="186">
        <f>'GS &gt; 50 OLS Model (LC)'!$B$10*I33</f>
        <v>0</v>
      </c>
      <c r="W33" s="186">
        <f>'GS &gt; 50 OLS Model (LC)'!$B$11*J33</f>
        <v>2501012.7689915099</v>
      </c>
      <c r="X33" s="186">
        <f>'GS &gt; 50 OLS Model (LC)'!$B$12*K33</f>
        <v>0</v>
      </c>
      <c r="Y33" s="186">
        <v>0</v>
      </c>
      <c r="Z33" s="186">
        <f>'GS &gt; 50 OLS Model (LC)'!$B$13*M33</f>
        <v>34805943.461156942</v>
      </c>
      <c r="AA33" s="186">
        <f>'GS &gt; 50 OLS Model (LC)'!$B$14*N33</f>
        <v>14249117.501484888</v>
      </c>
      <c r="AB33" s="186">
        <f t="shared" ca="1" si="2"/>
        <v>84154246.874856114</v>
      </c>
    </row>
    <row r="34" spans="1:28">
      <c r="A34" s="128">
        <f>'Monthly Data'!A34</f>
        <v>40787</v>
      </c>
      <c r="B34" s="186">
        <f t="shared" si="1"/>
        <v>2011</v>
      </c>
      <c r="C34" s="230">
        <f ca="1">'Monthly Data'!T34</f>
        <v>75323276.540084928</v>
      </c>
      <c r="D34" s="186">
        <f t="shared" ca="1" si="4"/>
        <v>33.01</v>
      </c>
      <c r="E34" s="186">
        <f t="shared" ca="1" si="4"/>
        <v>72.989999999999981</v>
      </c>
      <c r="F34" s="186">
        <f>'Monthly Data'!BL34</f>
        <v>570633.30000000005</v>
      </c>
      <c r="G34" s="186">
        <f>'Monthly Data'!BM34</f>
        <v>33</v>
      </c>
      <c r="H34" s="186">
        <f>'Monthly Data'!BQ34</f>
        <v>0</v>
      </c>
      <c r="I34" s="186">
        <f>'Monthly Data'!BS34</f>
        <v>0</v>
      </c>
      <c r="J34" s="186">
        <f>'Monthly Data'!BU34</f>
        <v>0</v>
      </c>
      <c r="K34" s="186">
        <f>'Monthly Data'!BV34</f>
        <v>1</v>
      </c>
      <c r="L34" s="186">
        <f>'Monthly Data'!BW34</f>
        <v>0</v>
      </c>
      <c r="M34" s="186">
        <f>'Monthly Data'!CC34</f>
        <v>30</v>
      </c>
      <c r="N34" s="186">
        <f>'Monthly Data'!CD34</f>
        <v>21</v>
      </c>
      <c r="P34" s="186">
        <f>'GS &gt; 50 OLS Model (LC)'!$B$5</f>
        <v>-8436546.8467997499</v>
      </c>
      <c r="Q34" s="186">
        <f ca="1">'GS &gt; 50 OLS Model (LC)'!$B$6*D34</f>
        <v>799403.47299271612</v>
      </c>
      <c r="R34" s="186">
        <f ca="1">'GS &gt; 50 OLS Model (LC)'!$B$7*E34</f>
        <v>5209506.6831977731</v>
      </c>
      <c r="S34" s="186">
        <f>'GS &gt; 50 OLS Model (LC)'!$B$8*F34</f>
        <v>29604185.366777766</v>
      </c>
      <c r="T34" s="186">
        <v>0</v>
      </c>
      <c r="U34" s="186">
        <f>'GS &gt; 50 OLS Model (LC)'!$B$9*H34</f>
        <v>0</v>
      </c>
      <c r="V34" s="186">
        <f>'GS &gt; 50 OLS Model (LC)'!$B$10*I34</f>
        <v>0</v>
      </c>
      <c r="W34" s="186">
        <f>'GS &gt; 50 OLS Model (LC)'!$B$11*J34</f>
        <v>0</v>
      </c>
      <c r="X34" s="186">
        <f>'GS &gt; 50 OLS Model (LC)'!$B$12*K34</f>
        <v>2346294.5864150901</v>
      </c>
      <c r="Y34" s="186">
        <v>0</v>
      </c>
      <c r="Z34" s="186">
        <f>'GS &gt; 50 OLS Model (LC)'!$B$13*M34</f>
        <v>33683171.091442198</v>
      </c>
      <c r="AA34" s="186">
        <f>'GS &gt; 50 OLS Model (LC)'!$B$14*N34</f>
        <v>13601430.342326485</v>
      </c>
      <c r="AB34" s="186">
        <f t="shared" ca="1" si="2"/>
        <v>76807444.696352273</v>
      </c>
    </row>
    <row r="35" spans="1:28">
      <c r="A35" s="128">
        <f>'Monthly Data'!A35</f>
        <v>40817</v>
      </c>
      <c r="B35" s="186">
        <f t="shared" si="1"/>
        <v>2011</v>
      </c>
      <c r="C35" s="230">
        <f ca="1">'Monthly Data'!T35</f>
        <v>74615749.934455335</v>
      </c>
      <c r="D35" s="186">
        <f t="shared" ca="1" si="4"/>
        <v>177.83999999999997</v>
      </c>
      <c r="E35" s="186">
        <f t="shared" ca="1" si="4"/>
        <v>10.779999999999998</v>
      </c>
      <c r="F35" s="186">
        <f>'Monthly Data'!BL35</f>
        <v>570633.30000000005</v>
      </c>
      <c r="G35" s="186">
        <f>'Monthly Data'!BM35</f>
        <v>34</v>
      </c>
      <c r="H35" s="186">
        <f>'Monthly Data'!BQ35</f>
        <v>0</v>
      </c>
      <c r="I35" s="186">
        <f>'Monthly Data'!BS35</f>
        <v>0</v>
      </c>
      <c r="J35" s="186">
        <f>'Monthly Data'!BU35</f>
        <v>0</v>
      </c>
      <c r="K35" s="186">
        <f>'Monthly Data'!BV35</f>
        <v>0</v>
      </c>
      <c r="L35" s="186">
        <f>'Monthly Data'!BW35</f>
        <v>1</v>
      </c>
      <c r="M35" s="186">
        <f>'Monthly Data'!CC35</f>
        <v>31</v>
      </c>
      <c r="N35" s="186">
        <f>'Monthly Data'!CD35</f>
        <v>20</v>
      </c>
      <c r="P35" s="186">
        <f>'GS &gt; 50 OLS Model (LC)'!$B$5</f>
        <v>-8436546.8467997499</v>
      </c>
      <c r="Q35" s="186">
        <f ca="1">'GS &gt; 50 OLS Model (LC)'!$B$6*D35</f>
        <v>4306752.9123606365</v>
      </c>
      <c r="R35" s="186">
        <f ca="1">'GS &gt; 50 OLS Model (LC)'!$B$7*E35</f>
        <v>769399.67180260306</v>
      </c>
      <c r="S35" s="186">
        <f>'GS &gt; 50 OLS Model (LC)'!$B$8*F35</f>
        <v>29604185.366777766</v>
      </c>
      <c r="T35" s="186">
        <v>0</v>
      </c>
      <c r="U35" s="186">
        <f>'GS &gt; 50 OLS Model (LC)'!$B$9*H35</f>
        <v>0</v>
      </c>
      <c r="V35" s="186">
        <f>'GS &gt; 50 OLS Model (LC)'!$B$10*I35</f>
        <v>0</v>
      </c>
      <c r="W35" s="186">
        <f>'GS &gt; 50 OLS Model (LC)'!$B$11*J35</f>
        <v>0</v>
      </c>
      <c r="X35" s="186">
        <f>'GS &gt; 50 OLS Model (LC)'!$B$12*K35</f>
        <v>0</v>
      </c>
      <c r="Y35" s="186">
        <v>0</v>
      </c>
      <c r="Z35" s="186">
        <f>'GS &gt; 50 OLS Model (LC)'!$B$13*M35</f>
        <v>34805943.461156942</v>
      </c>
      <c r="AA35" s="186">
        <f>'GS &gt; 50 OLS Model (LC)'!$B$14*N35</f>
        <v>12953743.18316808</v>
      </c>
      <c r="AB35" s="186">
        <f t="shared" ca="1" si="2"/>
        <v>74003477.748466283</v>
      </c>
    </row>
    <row r="36" spans="1:28">
      <c r="A36" s="128">
        <f>'Monthly Data'!A36</f>
        <v>40848</v>
      </c>
      <c r="B36" s="186">
        <f t="shared" si="1"/>
        <v>2011</v>
      </c>
      <c r="C36" s="230">
        <f ca="1">'Monthly Data'!T36</f>
        <v>75520032.988204405</v>
      </c>
      <c r="D36" s="186">
        <f t="shared" ca="1" si="4"/>
        <v>361.94999999999993</v>
      </c>
      <c r="E36" s="186">
        <f t="shared" ca="1" si="4"/>
        <v>0.05</v>
      </c>
      <c r="F36" s="186">
        <f>'Monthly Data'!BL36</f>
        <v>570633.30000000005</v>
      </c>
      <c r="G36" s="186">
        <f>'Monthly Data'!BM36</f>
        <v>35</v>
      </c>
      <c r="H36" s="186">
        <f>'Monthly Data'!BQ36</f>
        <v>0</v>
      </c>
      <c r="I36" s="186">
        <f>'Monthly Data'!BS36</f>
        <v>0</v>
      </c>
      <c r="J36" s="186">
        <f>'Monthly Data'!BU36</f>
        <v>0</v>
      </c>
      <c r="K36" s="186">
        <f>'Monthly Data'!BV36</f>
        <v>0</v>
      </c>
      <c r="L36" s="186">
        <f>'Monthly Data'!BW36</f>
        <v>0</v>
      </c>
      <c r="M36" s="186">
        <f>'Monthly Data'!CC36</f>
        <v>30</v>
      </c>
      <c r="N36" s="186">
        <f>'Monthly Data'!CD36</f>
        <v>22</v>
      </c>
      <c r="P36" s="186">
        <f>'GS &gt; 50 OLS Model (LC)'!$B$5</f>
        <v>-8436546.8467997499</v>
      </c>
      <c r="Q36" s="186">
        <f ca="1">'GS &gt; 50 OLS Model (LC)'!$B$6*D36</f>
        <v>8765346.4722724482</v>
      </c>
      <c r="R36" s="186">
        <f ca="1">'GS &gt; 50 OLS Model (LC)'!$B$7*E36</f>
        <v>3568.6441178228351</v>
      </c>
      <c r="S36" s="186">
        <f>'GS &gt; 50 OLS Model (LC)'!$B$8*F36</f>
        <v>29604185.366777766</v>
      </c>
      <c r="T36" s="186">
        <v>0</v>
      </c>
      <c r="U36" s="186">
        <f>'GS &gt; 50 OLS Model (LC)'!$B$9*H36</f>
        <v>0</v>
      </c>
      <c r="V36" s="186">
        <f>'GS &gt; 50 OLS Model (LC)'!$B$10*I36</f>
        <v>0</v>
      </c>
      <c r="W36" s="186">
        <f>'GS &gt; 50 OLS Model (LC)'!$B$11*J36</f>
        <v>0</v>
      </c>
      <c r="X36" s="186">
        <f>'GS &gt; 50 OLS Model (LC)'!$B$12*K36</f>
        <v>0</v>
      </c>
      <c r="Y36" s="186">
        <v>0</v>
      </c>
      <c r="Z36" s="186">
        <f>'GS &gt; 50 OLS Model (LC)'!$B$13*M36</f>
        <v>33683171.091442198</v>
      </c>
      <c r="AA36" s="186">
        <f>'GS &gt; 50 OLS Model (LC)'!$B$14*N36</f>
        <v>14249117.501484888</v>
      </c>
      <c r="AB36" s="186">
        <f t="shared" ca="1" si="2"/>
        <v>77868842.229295373</v>
      </c>
    </row>
    <row r="37" spans="1:28">
      <c r="A37" s="128">
        <f>'Monthly Data'!A37</f>
        <v>40878</v>
      </c>
      <c r="B37" s="186">
        <f t="shared" si="1"/>
        <v>2011</v>
      </c>
      <c r="C37" s="230">
        <f ca="1">'Monthly Data'!T37</f>
        <v>78915481.638556749</v>
      </c>
      <c r="D37" s="186">
        <f t="shared" ca="1" si="4"/>
        <v>556.41000000000008</v>
      </c>
      <c r="E37" s="186">
        <f t="shared" ca="1" si="4"/>
        <v>0</v>
      </c>
      <c r="F37" s="186">
        <f>'Monthly Data'!BL37</f>
        <v>570633.30000000005</v>
      </c>
      <c r="G37" s="186">
        <f>'Monthly Data'!BM37</f>
        <v>36</v>
      </c>
      <c r="H37" s="186">
        <f>'Monthly Data'!BQ37</f>
        <v>0</v>
      </c>
      <c r="I37" s="186">
        <f>'Monthly Data'!BS37</f>
        <v>0</v>
      </c>
      <c r="J37" s="186">
        <f>'Monthly Data'!BU37</f>
        <v>0</v>
      </c>
      <c r="K37" s="186">
        <f>'Monthly Data'!BV37</f>
        <v>0</v>
      </c>
      <c r="L37" s="186">
        <f>'Monthly Data'!BW37</f>
        <v>0</v>
      </c>
      <c r="M37" s="186">
        <f>'Monthly Data'!CC37</f>
        <v>31</v>
      </c>
      <c r="N37" s="186">
        <f>'Monthly Data'!CD37</f>
        <v>20</v>
      </c>
      <c r="P37" s="186">
        <f>'GS &gt; 50 OLS Model (LC)'!$B$5</f>
        <v>-8436546.8467997499</v>
      </c>
      <c r="Q37" s="186">
        <f ca="1">'GS &gt; 50 OLS Model (LC)'!$B$6*D37</f>
        <v>13474586.077185012</v>
      </c>
      <c r="R37" s="186">
        <f ca="1">'GS &gt; 50 OLS Model (LC)'!$B$7*E37</f>
        <v>0</v>
      </c>
      <c r="S37" s="186">
        <f>'GS &gt; 50 OLS Model (LC)'!$B$8*F37</f>
        <v>29604185.366777766</v>
      </c>
      <c r="T37" s="186">
        <v>0</v>
      </c>
      <c r="U37" s="186">
        <f>'GS &gt; 50 OLS Model (LC)'!$B$9*H37</f>
        <v>0</v>
      </c>
      <c r="V37" s="186">
        <f>'GS &gt; 50 OLS Model (LC)'!$B$10*I37</f>
        <v>0</v>
      </c>
      <c r="W37" s="186">
        <f>'GS &gt; 50 OLS Model (LC)'!$B$11*J37</f>
        <v>0</v>
      </c>
      <c r="X37" s="186">
        <f>'GS &gt; 50 OLS Model (LC)'!$B$12*K37</f>
        <v>0</v>
      </c>
      <c r="Y37" s="186">
        <v>0</v>
      </c>
      <c r="Z37" s="186">
        <f>'GS &gt; 50 OLS Model (LC)'!$B$13*M37</f>
        <v>34805943.461156942</v>
      </c>
      <c r="AA37" s="186">
        <f>'GS &gt; 50 OLS Model (LC)'!$B$14*N37</f>
        <v>12953743.18316808</v>
      </c>
      <c r="AB37" s="186">
        <f t="shared" ca="1" si="2"/>
        <v>82401911.241488054</v>
      </c>
    </row>
    <row r="38" spans="1:28">
      <c r="A38" s="128">
        <f>'Monthly Data'!A38</f>
        <v>40909</v>
      </c>
      <c r="B38" s="186">
        <f t="shared" si="1"/>
        <v>2012</v>
      </c>
      <c r="C38" s="230">
        <f ca="1">'Monthly Data'!T38</f>
        <v>83288190.285758287</v>
      </c>
      <c r="D38" s="186">
        <f t="shared" ca="1" si="4"/>
        <v>659.42999999999984</v>
      </c>
      <c r="E38" s="186">
        <f t="shared" ca="1" si="4"/>
        <v>0</v>
      </c>
      <c r="F38" s="186">
        <f>'Monthly Data'!BL38</f>
        <v>578793.9</v>
      </c>
      <c r="G38" s="186">
        <f>'Monthly Data'!BM38</f>
        <v>37</v>
      </c>
      <c r="H38" s="186">
        <f>'Monthly Data'!BQ38</f>
        <v>0</v>
      </c>
      <c r="I38" s="186">
        <f>'Monthly Data'!BS38</f>
        <v>0</v>
      </c>
      <c r="J38" s="186">
        <f>'Monthly Data'!BU38</f>
        <v>0</v>
      </c>
      <c r="K38" s="186">
        <f>'Monthly Data'!BV38</f>
        <v>0</v>
      </c>
      <c r="L38" s="186">
        <f>'Monthly Data'!BW38</f>
        <v>0</v>
      </c>
      <c r="M38" s="186">
        <f>'Monthly Data'!CC38</f>
        <v>31</v>
      </c>
      <c r="N38" s="186">
        <f>'Monthly Data'!CD38</f>
        <v>21</v>
      </c>
      <c r="P38" s="186">
        <f>'GS &gt; 50 OLS Model (LC)'!$B$5</f>
        <v>-8436546.8467997499</v>
      </c>
      <c r="Q38" s="186">
        <f ca="1">'GS &gt; 50 OLS Model (LC)'!$B$6*D38</f>
        <v>15969422.36278663</v>
      </c>
      <c r="R38" s="186">
        <f ca="1">'GS &gt; 50 OLS Model (LC)'!$B$7*E38</f>
        <v>0</v>
      </c>
      <c r="S38" s="186">
        <f>'GS &gt; 50 OLS Model (LC)'!$B$8*F38</f>
        <v>30027553.430127952</v>
      </c>
      <c r="T38" s="186">
        <v>0</v>
      </c>
      <c r="U38" s="186">
        <f>'GS &gt; 50 OLS Model (LC)'!$B$9*H38</f>
        <v>0</v>
      </c>
      <c r="V38" s="186">
        <f>'GS &gt; 50 OLS Model (LC)'!$B$10*I38</f>
        <v>0</v>
      </c>
      <c r="W38" s="186">
        <f>'GS &gt; 50 OLS Model (LC)'!$B$11*J38</f>
        <v>0</v>
      </c>
      <c r="X38" s="186">
        <f>'GS &gt; 50 OLS Model (LC)'!$B$12*K38</f>
        <v>0</v>
      </c>
      <c r="Y38" s="186">
        <v>0</v>
      </c>
      <c r="Z38" s="186">
        <f>'GS &gt; 50 OLS Model (LC)'!$B$13*M38</f>
        <v>34805943.461156942</v>
      </c>
      <c r="AA38" s="186">
        <f>'GS &gt; 50 OLS Model (LC)'!$B$14*N38</f>
        <v>13601430.342326485</v>
      </c>
      <c r="AB38" s="186">
        <f t="shared" ca="1" si="2"/>
        <v>85967802.749598265</v>
      </c>
    </row>
    <row r="39" spans="1:28">
      <c r="A39" s="128">
        <f>'Monthly Data'!A39</f>
        <v>40940</v>
      </c>
      <c r="B39" s="186">
        <f t="shared" si="1"/>
        <v>2012</v>
      </c>
      <c r="C39" s="230">
        <f ca="1">'Monthly Data'!T39</f>
        <v>78654916.51969178</v>
      </c>
      <c r="D39" s="186">
        <f t="shared" ca="1" si="4"/>
        <v>571.77</v>
      </c>
      <c r="E39" s="186">
        <f t="shared" ca="1" si="4"/>
        <v>0</v>
      </c>
      <c r="F39" s="186">
        <f>'Monthly Data'!BL39</f>
        <v>578793.9</v>
      </c>
      <c r="G39" s="186">
        <f>'Monthly Data'!BM39</f>
        <v>38</v>
      </c>
      <c r="H39" s="186">
        <f>'Monthly Data'!BQ39</f>
        <v>0</v>
      </c>
      <c r="I39" s="186">
        <f>'Monthly Data'!BS39</f>
        <v>0</v>
      </c>
      <c r="J39" s="186">
        <f>'Monthly Data'!BU39</f>
        <v>0</v>
      </c>
      <c r="K39" s="186">
        <f>'Monthly Data'!BV39</f>
        <v>0</v>
      </c>
      <c r="L39" s="186">
        <f>'Monthly Data'!BW39</f>
        <v>0</v>
      </c>
      <c r="M39" s="186">
        <f>'Monthly Data'!CC39</f>
        <v>29</v>
      </c>
      <c r="N39" s="186">
        <f>'Monthly Data'!CD39</f>
        <v>20</v>
      </c>
      <c r="P39" s="186">
        <f>'GS &gt; 50 OLS Model (LC)'!$B$5</f>
        <v>-8436546.8467997499</v>
      </c>
      <c r="Q39" s="186">
        <f ca="1">'GS &gt; 50 OLS Model (LC)'!$B$6*D39</f>
        <v>13846559.338171624</v>
      </c>
      <c r="R39" s="186">
        <f ca="1">'GS &gt; 50 OLS Model (LC)'!$B$7*E39</f>
        <v>0</v>
      </c>
      <c r="S39" s="186">
        <f>'GS &gt; 50 OLS Model (LC)'!$B$8*F39</f>
        <v>30027553.430127952</v>
      </c>
      <c r="T39" s="186">
        <v>0</v>
      </c>
      <c r="U39" s="186">
        <f>'GS &gt; 50 OLS Model (LC)'!$B$9*H39</f>
        <v>0</v>
      </c>
      <c r="V39" s="186">
        <f>'GS &gt; 50 OLS Model (LC)'!$B$10*I39</f>
        <v>0</v>
      </c>
      <c r="W39" s="186">
        <f>'GS &gt; 50 OLS Model (LC)'!$B$11*J39</f>
        <v>0</v>
      </c>
      <c r="X39" s="186">
        <f>'GS &gt; 50 OLS Model (LC)'!$B$12*K39</f>
        <v>0</v>
      </c>
      <c r="Y39" s="186">
        <v>0</v>
      </c>
      <c r="Z39" s="186">
        <f>'GS &gt; 50 OLS Model (LC)'!$B$13*M39</f>
        <v>32560398.721727461</v>
      </c>
      <c r="AA39" s="186">
        <f>'GS &gt; 50 OLS Model (LC)'!$B$14*N39</f>
        <v>12953743.18316808</v>
      </c>
      <c r="AB39" s="186">
        <f t="shared" ca="1" si="2"/>
        <v>80951707.826395363</v>
      </c>
    </row>
    <row r="40" spans="1:28">
      <c r="A40" s="128">
        <f>'Monthly Data'!A40</f>
        <v>40969</v>
      </c>
      <c r="B40" s="186">
        <f t="shared" si="1"/>
        <v>2012</v>
      </c>
      <c r="C40" s="230">
        <f ca="1">'Monthly Data'!T40</f>
        <v>78745075.172397777</v>
      </c>
      <c r="D40" s="186">
        <f t="shared" ca="1" si="4"/>
        <v>456.53999999999996</v>
      </c>
      <c r="E40" s="186">
        <f t="shared" ca="1" si="4"/>
        <v>0.48</v>
      </c>
      <c r="F40" s="186">
        <f>'Monthly Data'!BL40</f>
        <v>578793.9</v>
      </c>
      <c r="G40" s="186">
        <f>'Monthly Data'!BM40</f>
        <v>39</v>
      </c>
      <c r="H40" s="186">
        <f>'Monthly Data'!BQ40</f>
        <v>0</v>
      </c>
      <c r="I40" s="186">
        <f>'Monthly Data'!BS40</f>
        <v>0</v>
      </c>
      <c r="J40" s="186">
        <f>'Monthly Data'!BU40</f>
        <v>0</v>
      </c>
      <c r="K40" s="186">
        <f>'Monthly Data'!BV40</f>
        <v>0</v>
      </c>
      <c r="L40" s="186">
        <f>'Monthly Data'!BW40</f>
        <v>0</v>
      </c>
      <c r="M40" s="186">
        <f>'Monthly Data'!CC40</f>
        <v>31</v>
      </c>
      <c r="N40" s="186">
        <f>'Monthly Data'!CD40</f>
        <v>22</v>
      </c>
      <c r="P40" s="186">
        <f>'GS &gt; 50 OLS Model (LC)'!$B$5</f>
        <v>-8436546.8467997499</v>
      </c>
      <c r="Q40" s="186">
        <f ca="1">'GS &gt; 50 OLS Model (LC)'!$B$6*D40</f>
        <v>11056033.370496655</v>
      </c>
      <c r="R40" s="186">
        <f ca="1">'GS &gt; 50 OLS Model (LC)'!$B$7*E40</f>
        <v>34258.983531099213</v>
      </c>
      <c r="S40" s="186">
        <f>'GS &gt; 50 OLS Model (LC)'!$B$8*F40</f>
        <v>30027553.430127952</v>
      </c>
      <c r="T40" s="186">
        <v>0</v>
      </c>
      <c r="U40" s="186">
        <f>'GS &gt; 50 OLS Model (LC)'!$B$9*H40</f>
        <v>0</v>
      </c>
      <c r="V40" s="186">
        <f>'GS &gt; 50 OLS Model (LC)'!$B$10*I40</f>
        <v>0</v>
      </c>
      <c r="W40" s="186">
        <f>'GS &gt; 50 OLS Model (LC)'!$B$11*J40</f>
        <v>0</v>
      </c>
      <c r="X40" s="186">
        <f>'GS &gt; 50 OLS Model (LC)'!$B$12*K40</f>
        <v>0</v>
      </c>
      <c r="Y40" s="186">
        <v>0</v>
      </c>
      <c r="Z40" s="186">
        <f>'GS &gt; 50 OLS Model (LC)'!$B$13*M40</f>
        <v>34805943.461156942</v>
      </c>
      <c r="AA40" s="186">
        <f>'GS &gt; 50 OLS Model (LC)'!$B$14*N40</f>
        <v>14249117.501484888</v>
      </c>
      <c r="AB40" s="186">
        <f t="shared" ca="1" si="2"/>
        <v>81736359.899997786</v>
      </c>
    </row>
    <row r="41" spans="1:28">
      <c r="A41" s="128">
        <f>'Monthly Data'!A41</f>
        <v>41000</v>
      </c>
      <c r="B41" s="186">
        <f t="shared" si="1"/>
        <v>2012</v>
      </c>
      <c r="C41" s="230">
        <f ca="1">'Monthly Data'!T41</f>
        <v>70171446.615070298</v>
      </c>
      <c r="D41" s="186">
        <f t="shared" ca="1" si="4"/>
        <v>248.54999999999995</v>
      </c>
      <c r="E41" s="186">
        <f t="shared" ca="1" si="4"/>
        <v>2.63</v>
      </c>
      <c r="F41" s="186">
        <f>'Monthly Data'!BL41</f>
        <v>578793.9</v>
      </c>
      <c r="G41" s="186">
        <f>'Monthly Data'!BM41</f>
        <v>40</v>
      </c>
      <c r="H41" s="186">
        <f>'Monthly Data'!BQ41</f>
        <v>1</v>
      </c>
      <c r="I41" s="186">
        <f>'Monthly Data'!BS41</f>
        <v>0</v>
      </c>
      <c r="J41" s="186">
        <f>'Monthly Data'!BU41</f>
        <v>0</v>
      </c>
      <c r="K41" s="186">
        <f>'Monthly Data'!BV41</f>
        <v>0</v>
      </c>
      <c r="L41" s="186">
        <f>'Monthly Data'!BW41</f>
        <v>0</v>
      </c>
      <c r="M41" s="186">
        <f>'Monthly Data'!CC41</f>
        <v>30</v>
      </c>
      <c r="N41" s="186">
        <f>'Monthly Data'!CD41</f>
        <v>19</v>
      </c>
      <c r="P41" s="186">
        <f>'GS &gt; 50 OLS Model (LC)'!$B$5</f>
        <v>-8436546.8467997499</v>
      </c>
      <c r="Q41" s="186">
        <f ca="1">'GS &gt; 50 OLS Model (LC)'!$B$6*D41</f>
        <v>6019137.631394715</v>
      </c>
      <c r="R41" s="186">
        <f ca="1">'GS &gt; 50 OLS Model (LC)'!$B$7*E41</f>
        <v>187710.68059748111</v>
      </c>
      <c r="S41" s="186">
        <f>'GS &gt; 50 OLS Model (LC)'!$B$8*F41</f>
        <v>30027553.430127952</v>
      </c>
      <c r="T41" s="186">
        <v>0</v>
      </c>
      <c r="U41" s="186">
        <f>'GS &gt; 50 OLS Model (LC)'!$B$9*H41</f>
        <v>-1670517.9110053701</v>
      </c>
      <c r="V41" s="186">
        <f>'GS &gt; 50 OLS Model (LC)'!$B$10*I41</f>
        <v>0</v>
      </c>
      <c r="W41" s="186">
        <f>'GS &gt; 50 OLS Model (LC)'!$B$11*J41</f>
        <v>0</v>
      </c>
      <c r="X41" s="186">
        <f>'GS &gt; 50 OLS Model (LC)'!$B$12*K41</f>
        <v>0</v>
      </c>
      <c r="Y41" s="186">
        <v>0</v>
      </c>
      <c r="Z41" s="186">
        <f>'GS &gt; 50 OLS Model (LC)'!$B$13*M41</f>
        <v>33683171.091442198</v>
      </c>
      <c r="AA41" s="186">
        <f>'GS &gt; 50 OLS Model (LC)'!$B$14*N41</f>
        <v>12306056.024009675</v>
      </c>
      <c r="AB41" s="186">
        <f t="shared" ca="1" si="2"/>
        <v>72116564.09976691</v>
      </c>
    </row>
    <row r="42" spans="1:28">
      <c r="A42" s="128">
        <f>'Monthly Data'!A42</f>
        <v>41030</v>
      </c>
      <c r="B42" s="186">
        <f t="shared" si="1"/>
        <v>2012</v>
      </c>
      <c r="C42" s="230">
        <f ca="1">'Monthly Data'!T42</f>
        <v>76476013.338874042</v>
      </c>
      <c r="D42" s="186">
        <f t="shared" ca="1" si="4"/>
        <v>92.740000000000009</v>
      </c>
      <c r="E42" s="186">
        <f t="shared" ca="1" si="4"/>
        <v>47.37</v>
      </c>
      <c r="F42" s="186">
        <f>'Monthly Data'!BL42</f>
        <v>578793.9</v>
      </c>
      <c r="G42" s="186">
        <f>'Monthly Data'!BM42</f>
        <v>41</v>
      </c>
      <c r="H42" s="186">
        <f>'Monthly Data'!BQ42</f>
        <v>0</v>
      </c>
      <c r="I42" s="186">
        <f>'Monthly Data'!BS42</f>
        <v>0</v>
      </c>
      <c r="J42" s="186">
        <f>'Monthly Data'!BU42</f>
        <v>0</v>
      </c>
      <c r="K42" s="186">
        <f>'Monthly Data'!BV42</f>
        <v>0</v>
      </c>
      <c r="L42" s="186">
        <f>'Monthly Data'!BW42</f>
        <v>0</v>
      </c>
      <c r="M42" s="186">
        <f>'Monthly Data'!CC42</f>
        <v>31</v>
      </c>
      <c r="N42" s="186">
        <f>'Monthly Data'!CD42</f>
        <v>22</v>
      </c>
      <c r="P42" s="186">
        <f>'GS &gt; 50 OLS Model (LC)'!$B$5</f>
        <v>-8436546.8467997499</v>
      </c>
      <c r="Q42" s="186">
        <f ca="1">'GS &gt; 50 OLS Model (LC)'!$B$6*D42</f>
        <v>2245885.4312433959</v>
      </c>
      <c r="R42" s="186">
        <f ca="1">'GS &gt; 50 OLS Model (LC)'!$B$7*E42</f>
        <v>3380933.4372253534</v>
      </c>
      <c r="S42" s="186">
        <f>'GS &gt; 50 OLS Model (LC)'!$B$8*F42</f>
        <v>30027553.430127952</v>
      </c>
      <c r="T42" s="186">
        <v>0</v>
      </c>
      <c r="U42" s="186">
        <f>'GS &gt; 50 OLS Model (LC)'!$B$9*H42</f>
        <v>0</v>
      </c>
      <c r="V42" s="186">
        <f>'GS &gt; 50 OLS Model (LC)'!$B$10*I42</f>
        <v>0</v>
      </c>
      <c r="W42" s="186">
        <f>'GS &gt; 50 OLS Model (LC)'!$B$11*J42</f>
        <v>0</v>
      </c>
      <c r="X42" s="186">
        <f>'GS &gt; 50 OLS Model (LC)'!$B$12*K42</f>
        <v>0</v>
      </c>
      <c r="Y42" s="186">
        <v>0</v>
      </c>
      <c r="Z42" s="186">
        <f>'GS &gt; 50 OLS Model (LC)'!$B$13*M42</f>
        <v>34805943.461156942</v>
      </c>
      <c r="AA42" s="186">
        <f>'GS &gt; 50 OLS Model (LC)'!$B$14*N42</f>
        <v>14249117.501484888</v>
      </c>
      <c r="AB42" s="186">
        <f t="shared" ca="1" si="2"/>
        <v>76272886.414438784</v>
      </c>
    </row>
    <row r="43" spans="1:28">
      <c r="A43" s="128">
        <f>'Monthly Data'!A43</f>
        <v>41061</v>
      </c>
      <c r="B43" s="186">
        <f t="shared" si="1"/>
        <v>2012</v>
      </c>
      <c r="C43" s="230">
        <f ca="1">'Monthly Data'!T43</f>
        <v>80853337.839558035</v>
      </c>
      <c r="D43" s="186">
        <f t="shared" ca="1" si="4"/>
        <v>9.08</v>
      </c>
      <c r="E43" s="186">
        <f t="shared" ca="1" si="4"/>
        <v>117.23999999999997</v>
      </c>
      <c r="F43" s="186">
        <f>'Monthly Data'!BL43</f>
        <v>578793.9</v>
      </c>
      <c r="G43" s="186">
        <f>'Monthly Data'!BM43</f>
        <v>42</v>
      </c>
      <c r="H43" s="186">
        <f>'Monthly Data'!BQ43</f>
        <v>0</v>
      </c>
      <c r="I43" s="186">
        <f>'Monthly Data'!BS43</f>
        <v>1</v>
      </c>
      <c r="J43" s="186">
        <f>'Monthly Data'!BU43</f>
        <v>0</v>
      </c>
      <c r="K43" s="186">
        <f>'Monthly Data'!BV43</f>
        <v>0</v>
      </c>
      <c r="L43" s="186">
        <f>'Monthly Data'!BW43</f>
        <v>0</v>
      </c>
      <c r="M43" s="186">
        <f>'Monthly Data'!CC43</f>
        <v>30</v>
      </c>
      <c r="N43" s="186">
        <f>'Monthly Data'!CD43</f>
        <v>21</v>
      </c>
      <c r="P43" s="186">
        <f>'GS &gt; 50 OLS Model (LC)'!$B$5</f>
        <v>-8436546.8467997499</v>
      </c>
      <c r="Q43" s="186">
        <f ca="1">'GS &gt; 50 OLS Model (LC)'!$B$6*D43</f>
        <v>219890.44334364927</v>
      </c>
      <c r="R43" s="186">
        <f ca="1">'GS &gt; 50 OLS Model (LC)'!$B$7*E43</f>
        <v>8367756.727470981</v>
      </c>
      <c r="S43" s="186">
        <f>'GS &gt; 50 OLS Model (LC)'!$B$8*F43</f>
        <v>30027553.430127952</v>
      </c>
      <c r="T43" s="186">
        <v>0</v>
      </c>
      <c r="U43" s="186">
        <f>'GS &gt; 50 OLS Model (LC)'!$B$9*H43</f>
        <v>0</v>
      </c>
      <c r="V43" s="186">
        <f>'GS &gt; 50 OLS Model (LC)'!$B$10*I43</f>
        <v>1260255.0136768401</v>
      </c>
      <c r="W43" s="186">
        <f>'GS &gt; 50 OLS Model (LC)'!$B$11*J43</f>
        <v>0</v>
      </c>
      <c r="X43" s="186">
        <f>'GS &gt; 50 OLS Model (LC)'!$B$12*K43</f>
        <v>0</v>
      </c>
      <c r="Y43" s="186">
        <v>0</v>
      </c>
      <c r="Z43" s="186">
        <f>'GS &gt; 50 OLS Model (LC)'!$B$13*M43</f>
        <v>33683171.091442198</v>
      </c>
      <c r="AA43" s="186">
        <f>'GS &gt; 50 OLS Model (LC)'!$B$14*N43</f>
        <v>13601430.342326485</v>
      </c>
      <c r="AB43" s="186">
        <f t="shared" ca="1" si="2"/>
        <v>78723510.201588362</v>
      </c>
    </row>
    <row r="44" spans="1:28">
      <c r="A44" s="128">
        <f>'Monthly Data'!A44</f>
        <v>41091</v>
      </c>
      <c r="B44" s="186">
        <f t="shared" si="1"/>
        <v>2012</v>
      </c>
      <c r="C44" s="230">
        <f ca="1">'Monthly Data'!T44</f>
        <v>86305793.146108955</v>
      </c>
      <c r="D44" s="186">
        <f t="shared" ca="1" si="4"/>
        <v>0.51</v>
      </c>
      <c r="E44" s="186">
        <f t="shared" ca="1" si="4"/>
        <v>185.60999999999999</v>
      </c>
      <c r="F44" s="186">
        <f>'Monthly Data'!BL44</f>
        <v>578793.9</v>
      </c>
      <c r="G44" s="186">
        <f>'Monthly Data'!BM44</f>
        <v>43</v>
      </c>
      <c r="H44" s="186">
        <f>'Monthly Data'!BQ44</f>
        <v>0</v>
      </c>
      <c r="I44" s="186">
        <f>'Monthly Data'!BS44</f>
        <v>0</v>
      </c>
      <c r="J44" s="186">
        <f>'Monthly Data'!BU44</f>
        <v>0</v>
      </c>
      <c r="K44" s="186">
        <f>'Monthly Data'!BV44</f>
        <v>0</v>
      </c>
      <c r="L44" s="186">
        <f>'Monthly Data'!BW44</f>
        <v>0</v>
      </c>
      <c r="M44" s="186">
        <f>'Monthly Data'!CC44</f>
        <v>31</v>
      </c>
      <c r="N44" s="186">
        <f>'Monthly Data'!CD44</f>
        <v>21</v>
      </c>
      <c r="P44" s="186">
        <f>'GS &gt; 50 OLS Model (LC)'!$B$5</f>
        <v>-8436546.8467997499</v>
      </c>
      <c r="Q44" s="186">
        <f ca="1">'GS &gt; 50 OLS Model (LC)'!$B$6*D44</f>
        <v>12350.67468119616</v>
      </c>
      <c r="R44" s="186">
        <f ca="1">'GS &gt; 50 OLS Model (LC)'!$B$7*E44</f>
        <v>13247520.694181927</v>
      </c>
      <c r="S44" s="186">
        <f>'GS &gt; 50 OLS Model (LC)'!$B$8*F44</f>
        <v>30027553.430127952</v>
      </c>
      <c r="T44" s="186">
        <v>0</v>
      </c>
      <c r="U44" s="186">
        <f>'GS &gt; 50 OLS Model (LC)'!$B$9*H44</f>
        <v>0</v>
      </c>
      <c r="V44" s="186">
        <f>'GS &gt; 50 OLS Model (LC)'!$B$10*I44</f>
        <v>0</v>
      </c>
      <c r="W44" s="186">
        <f>'GS &gt; 50 OLS Model (LC)'!$B$11*J44</f>
        <v>0</v>
      </c>
      <c r="X44" s="186">
        <f>'GS &gt; 50 OLS Model (LC)'!$B$12*K44</f>
        <v>0</v>
      </c>
      <c r="Y44" s="186">
        <v>0</v>
      </c>
      <c r="Z44" s="186">
        <f>'GS &gt; 50 OLS Model (LC)'!$B$13*M44</f>
        <v>34805943.461156942</v>
      </c>
      <c r="AA44" s="186">
        <f>'GS &gt; 50 OLS Model (LC)'!$B$14*N44</f>
        <v>13601430.342326485</v>
      </c>
      <c r="AB44" s="186">
        <f t="shared" ca="1" si="2"/>
        <v>83258251.75567475</v>
      </c>
    </row>
    <row r="45" spans="1:28">
      <c r="A45" s="128">
        <f>'Monthly Data'!A45</f>
        <v>41122</v>
      </c>
      <c r="B45" s="186">
        <f t="shared" si="1"/>
        <v>2012</v>
      </c>
      <c r="C45" s="230">
        <f ca="1">'Monthly Data'!T45</f>
        <v>84730807.802490592</v>
      </c>
      <c r="D45" s="186">
        <f t="shared" ca="1" si="4"/>
        <v>1.51</v>
      </c>
      <c r="E45" s="186">
        <f t="shared" ca="1" si="4"/>
        <v>159.64000000000001</v>
      </c>
      <c r="F45" s="186">
        <f>'Monthly Data'!BL45</f>
        <v>578793.9</v>
      </c>
      <c r="G45" s="186">
        <f>'Monthly Data'!BM45</f>
        <v>44</v>
      </c>
      <c r="H45" s="186">
        <f>'Monthly Data'!BQ45</f>
        <v>0</v>
      </c>
      <c r="I45" s="186">
        <f>'Monthly Data'!BS45</f>
        <v>0</v>
      </c>
      <c r="J45" s="186">
        <f>'Monthly Data'!BU45</f>
        <v>1</v>
      </c>
      <c r="K45" s="186">
        <f>'Monthly Data'!BV45</f>
        <v>0</v>
      </c>
      <c r="L45" s="186">
        <f>'Monthly Data'!BW45</f>
        <v>0</v>
      </c>
      <c r="M45" s="186">
        <f>'Monthly Data'!CC45</f>
        <v>31</v>
      </c>
      <c r="N45" s="186">
        <f>'Monthly Data'!CD45</f>
        <v>22</v>
      </c>
      <c r="P45" s="186">
        <f>'GS &gt; 50 OLS Model (LC)'!$B$5</f>
        <v>-8436546.8467997499</v>
      </c>
      <c r="Q45" s="186">
        <f ca="1">'GS &gt; 50 OLS Model (LC)'!$B$6*D45</f>
        <v>36567.683860012155</v>
      </c>
      <c r="R45" s="186">
        <f ca="1">'GS &gt; 50 OLS Model (LC)'!$B$7*E45</f>
        <v>11393966.939384749</v>
      </c>
      <c r="S45" s="186">
        <f>'GS &gt; 50 OLS Model (LC)'!$B$8*F45</f>
        <v>30027553.430127952</v>
      </c>
      <c r="T45" s="186">
        <v>0</v>
      </c>
      <c r="U45" s="186">
        <f>'GS &gt; 50 OLS Model (LC)'!$B$9*H45</f>
        <v>0</v>
      </c>
      <c r="V45" s="186">
        <f>'GS &gt; 50 OLS Model (LC)'!$B$10*I45</f>
        <v>0</v>
      </c>
      <c r="W45" s="186">
        <f>'GS &gt; 50 OLS Model (LC)'!$B$11*J45</f>
        <v>2501012.7689915099</v>
      </c>
      <c r="X45" s="186">
        <f>'GS &gt; 50 OLS Model (LC)'!$B$12*K45</f>
        <v>0</v>
      </c>
      <c r="Y45" s="186">
        <v>0</v>
      </c>
      <c r="Z45" s="186">
        <f>'GS &gt; 50 OLS Model (LC)'!$B$13*M45</f>
        <v>34805943.461156942</v>
      </c>
      <c r="AA45" s="186">
        <f>'GS &gt; 50 OLS Model (LC)'!$B$14*N45</f>
        <v>14249117.501484888</v>
      </c>
      <c r="AB45" s="186">
        <f t="shared" ca="1" si="2"/>
        <v>84577614.9382063</v>
      </c>
    </row>
    <row r="46" spans="1:28">
      <c r="A46" s="128">
        <f>'Monthly Data'!A46</f>
        <v>41153</v>
      </c>
      <c r="B46" s="186">
        <f t="shared" si="1"/>
        <v>2012</v>
      </c>
      <c r="C46" s="230">
        <f ca="1">'Monthly Data'!T46</f>
        <v>75430602.576494262</v>
      </c>
      <c r="D46" s="186">
        <f t="shared" ref="D46:E61" ca="1" si="5">D34</f>
        <v>33.01</v>
      </c>
      <c r="E46" s="186">
        <f t="shared" ca="1" si="5"/>
        <v>72.989999999999981</v>
      </c>
      <c r="F46" s="186">
        <f>'Monthly Data'!BL46</f>
        <v>578793.9</v>
      </c>
      <c r="G46" s="186">
        <f>'Monthly Data'!BM46</f>
        <v>45</v>
      </c>
      <c r="H46" s="186">
        <f>'Monthly Data'!BQ46</f>
        <v>0</v>
      </c>
      <c r="I46" s="186">
        <f>'Monthly Data'!BS46</f>
        <v>0</v>
      </c>
      <c r="J46" s="186">
        <f>'Monthly Data'!BU46</f>
        <v>0</v>
      </c>
      <c r="K46" s="186">
        <f>'Monthly Data'!BV46</f>
        <v>1</v>
      </c>
      <c r="L46" s="186">
        <f>'Monthly Data'!BW46</f>
        <v>0</v>
      </c>
      <c r="M46" s="186">
        <f>'Monthly Data'!CC46</f>
        <v>30</v>
      </c>
      <c r="N46" s="186">
        <f>'Monthly Data'!CD46</f>
        <v>19</v>
      </c>
      <c r="P46" s="186">
        <f>'GS &gt; 50 OLS Model (LC)'!$B$5</f>
        <v>-8436546.8467997499</v>
      </c>
      <c r="Q46" s="186">
        <f ca="1">'GS &gt; 50 OLS Model (LC)'!$B$6*D46</f>
        <v>799403.47299271612</v>
      </c>
      <c r="R46" s="186">
        <f ca="1">'GS &gt; 50 OLS Model (LC)'!$B$7*E46</f>
        <v>5209506.6831977731</v>
      </c>
      <c r="S46" s="186">
        <f>'GS &gt; 50 OLS Model (LC)'!$B$8*F46</f>
        <v>30027553.430127952</v>
      </c>
      <c r="T46" s="186">
        <v>0</v>
      </c>
      <c r="U46" s="186">
        <f>'GS &gt; 50 OLS Model (LC)'!$B$9*H46</f>
        <v>0</v>
      </c>
      <c r="V46" s="186">
        <f>'GS &gt; 50 OLS Model (LC)'!$B$10*I46</f>
        <v>0</v>
      </c>
      <c r="W46" s="186">
        <f>'GS &gt; 50 OLS Model (LC)'!$B$11*J46</f>
        <v>0</v>
      </c>
      <c r="X46" s="186">
        <f>'GS &gt; 50 OLS Model (LC)'!$B$12*K46</f>
        <v>2346294.5864150901</v>
      </c>
      <c r="Y46" s="186">
        <v>0</v>
      </c>
      <c r="Z46" s="186">
        <f>'GS &gt; 50 OLS Model (LC)'!$B$13*M46</f>
        <v>33683171.091442198</v>
      </c>
      <c r="AA46" s="186">
        <f>'GS &gt; 50 OLS Model (LC)'!$B$14*N46</f>
        <v>12306056.024009675</v>
      </c>
      <c r="AB46" s="186">
        <f t="shared" ca="1" si="2"/>
        <v>75935438.441385657</v>
      </c>
    </row>
    <row r="47" spans="1:28">
      <c r="A47" s="128">
        <f>'Monthly Data'!A47</f>
        <v>41183</v>
      </c>
      <c r="B47" s="186">
        <f t="shared" si="1"/>
        <v>2012</v>
      </c>
      <c r="C47" s="230">
        <f ca="1">'Monthly Data'!T47</f>
        <v>75643415.791813552</v>
      </c>
      <c r="D47" s="186">
        <f t="shared" ca="1" si="5"/>
        <v>177.83999999999997</v>
      </c>
      <c r="E47" s="186">
        <f t="shared" ca="1" si="5"/>
        <v>10.779999999999998</v>
      </c>
      <c r="F47" s="186">
        <f>'Monthly Data'!BL47</f>
        <v>578793.9</v>
      </c>
      <c r="G47" s="186">
        <f>'Monthly Data'!BM47</f>
        <v>46</v>
      </c>
      <c r="H47" s="186">
        <f>'Monthly Data'!BQ47</f>
        <v>0</v>
      </c>
      <c r="I47" s="186">
        <f>'Monthly Data'!BS47</f>
        <v>0</v>
      </c>
      <c r="J47" s="186">
        <f>'Monthly Data'!BU47</f>
        <v>0</v>
      </c>
      <c r="K47" s="186">
        <f>'Monthly Data'!BV47</f>
        <v>0</v>
      </c>
      <c r="L47" s="186">
        <f>'Monthly Data'!BW47</f>
        <v>1</v>
      </c>
      <c r="M47" s="186">
        <f>'Monthly Data'!CC47</f>
        <v>31</v>
      </c>
      <c r="N47" s="186">
        <f>'Monthly Data'!CD47</f>
        <v>22</v>
      </c>
      <c r="P47" s="186">
        <f>'GS &gt; 50 OLS Model (LC)'!$B$5</f>
        <v>-8436546.8467997499</v>
      </c>
      <c r="Q47" s="186">
        <f ca="1">'GS &gt; 50 OLS Model (LC)'!$B$6*D47</f>
        <v>4306752.9123606365</v>
      </c>
      <c r="R47" s="186">
        <f ca="1">'GS &gt; 50 OLS Model (LC)'!$B$7*E47</f>
        <v>769399.67180260306</v>
      </c>
      <c r="S47" s="186">
        <f>'GS &gt; 50 OLS Model (LC)'!$B$8*F47</f>
        <v>30027553.430127952</v>
      </c>
      <c r="T47" s="186">
        <v>0</v>
      </c>
      <c r="U47" s="186">
        <f>'GS &gt; 50 OLS Model (LC)'!$B$9*H47</f>
        <v>0</v>
      </c>
      <c r="V47" s="186">
        <f>'GS &gt; 50 OLS Model (LC)'!$B$10*I47</f>
        <v>0</v>
      </c>
      <c r="W47" s="186">
        <f>'GS &gt; 50 OLS Model (LC)'!$B$11*J47</f>
        <v>0</v>
      </c>
      <c r="X47" s="186">
        <f>'GS &gt; 50 OLS Model (LC)'!$B$12*K47</f>
        <v>0</v>
      </c>
      <c r="Y47" s="186">
        <v>0</v>
      </c>
      <c r="Z47" s="186">
        <f>'GS &gt; 50 OLS Model (LC)'!$B$13*M47</f>
        <v>34805943.461156942</v>
      </c>
      <c r="AA47" s="186">
        <f>'GS &gt; 50 OLS Model (LC)'!$B$14*N47</f>
        <v>14249117.501484888</v>
      </c>
      <c r="AB47" s="186">
        <f t="shared" ca="1" si="2"/>
        <v>75722220.130133271</v>
      </c>
    </row>
    <row r="48" spans="1:28">
      <c r="A48" s="128">
        <f>'Monthly Data'!A48</f>
        <v>41214</v>
      </c>
      <c r="B48" s="186">
        <f t="shared" si="1"/>
        <v>2012</v>
      </c>
      <c r="C48" s="230">
        <f ca="1">'Monthly Data'!T48</f>
        <v>76619857.861313909</v>
      </c>
      <c r="D48" s="186">
        <f t="shared" ca="1" si="5"/>
        <v>361.94999999999993</v>
      </c>
      <c r="E48" s="186">
        <f t="shared" ca="1" si="5"/>
        <v>0.05</v>
      </c>
      <c r="F48" s="186">
        <f>'Monthly Data'!BL48</f>
        <v>578793.9</v>
      </c>
      <c r="G48" s="186">
        <f>'Monthly Data'!BM48</f>
        <v>47</v>
      </c>
      <c r="H48" s="186">
        <f>'Monthly Data'!BQ48</f>
        <v>0</v>
      </c>
      <c r="I48" s="186">
        <f>'Monthly Data'!BS48</f>
        <v>0</v>
      </c>
      <c r="J48" s="186">
        <f>'Monthly Data'!BU48</f>
        <v>0</v>
      </c>
      <c r="K48" s="186">
        <f>'Monthly Data'!BV48</f>
        <v>0</v>
      </c>
      <c r="L48" s="186">
        <f>'Monthly Data'!BW48</f>
        <v>0</v>
      </c>
      <c r="M48" s="186">
        <f>'Monthly Data'!CC48</f>
        <v>30</v>
      </c>
      <c r="N48" s="186">
        <f>'Monthly Data'!CD48</f>
        <v>22</v>
      </c>
      <c r="P48" s="186">
        <f>'GS &gt; 50 OLS Model (LC)'!$B$5</f>
        <v>-8436546.8467997499</v>
      </c>
      <c r="Q48" s="186">
        <f ca="1">'GS &gt; 50 OLS Model (LC)'!$B$6*D48</f>
        <v>8765346.4722724482</v>
      </c>
      <c r="R48" s="186">
        <f ca="1">'GS &gt; 50 OLS Model (LC)'!$B$7*E48</f>
        <v>3568.6441178228351</v>
      </c>
      <c r="S48" s="186">
        <f>'GS &gt; 50 OLS Model (LC)'!$B$8*F48</f>
        <v>30027553.430127952</v>
      </c>
      <c r="T48" s="186">
        <v>0</v>
      </c>
      <c r="U48" s="186">
        <f>'GS &gt; 50 OLS Model (LC)'!$B$9*H48</f>
        <v>0</v>
      </c>
      <c r="V48" s="186">
        <f>'GS &gt; 50 OLS Model (LC)'!$B$10*I48</f>
        <v>0</v>
      </c>
      <c r="W48" s="186">
        <f>'GS &gt; 50 OLS Model (LC)'!$B$11*J48</f>
        <v>0</v>
      </c>
      <c r="X48" s="186">
        <f>'GS &gt; 50 OLS Model (LC)'!$B$12*K48</f>
        <v>0</v>
      </c>
      <c r="Y48" s="186">
        <v>0</v>
      </c>
      <c r="Z48" s="186">
        <f>'GS &gt; 50 OLS Model (LC)'!$B$13*M48</f>
        <v>33683171.091442198</v>
      </c>
      <c r="AA48" s="186">
        <f>'GS &gt; 50 OLS Model (LC)'!$B$14*N48</f>
        <v>14249117.501484888</v>
      </c>
      <c r="AB48" s="186">
        <f t="shared" ca="1" si="2"/>
        <v>78292210.292645559</v>
      </c>
    </row>
    <row r="49" spans="1:28">
      <c r="A49" s="128">
        <f>'Monthly Data'!A49</f>
        <v>41244</v>
      </c>
      <c r="B49" s="186">
        <f t="shared" si="1"/>
        <v>2012</v>
      </c>
      <c r="C49" s="230">
        <f ca="1">'Monthly Data'!T49</f>
        <v>77899563.092276812</v>
      </c>
      <c r="D49" s="186">
        <f t="shared" ca="1" si="5"/>
        <v>556.41000000000008</v>
      </c>
      <c r="E49" s="186">
        <f t="shared" ca="1" si="5"/>
        <v>0</v>
      </c>
      <c r="F49" s="186">
        <f>'Monthly Data'!BL49</f>
        <v>578793.9</v>
      </c>
      <c r="G49" s="186">
        <f>'Monthly Data'!BM49</f>
        <v>48</v>
      </c>
      <c r="H49" s="186">
        <f>'Monthly Data'!BQ49</f>
        <v>0</v>
      </c>
      <c r="I49" s="186">
        <f>'Monthly Data'!BS49</f>
        <v>0</v>
      </c>
      <c r="J49" s="186">
        <f>'Monthly Data'!BU49</f>
        <v>0</v>
      </c>
      <c r="K49" s="186">
        <f>'Monthly Data'!BV49</f>
        <v>0</v>
      </c>
      <c r="L49" s="186">
        <f>'Monthly Data'!BW49</f>
        <v>0</v>
      </c>
      <c r="M49" s="186">
        <f>'Monthly Data'!CC49</f>
        <v>31</v>
      </c>
      <c r="N49" s="186">
        <f>'Monthly Data'!CD49</f>
        <v>19</v>
      </c>
      <c r="P49" s="186">
        <f>'GS &gt; 50 OLS Model (LC)'!$B$5</f>
        <v>-8436546.8467997499</v>
      </c>
      <c r="Q49" s="186">
        <f ca="1">'GS &gt; 50 OLS Model (LC)'!$B$6*D49</f>
        <v>13474586.077185012</v>
      </c>
      <c r="R49" s="186">
        <f ca="1">'GS &gt; 50 OLS Model (LC)'!$B$7*E49</f>
        <v>0</v>
      </c>
      <c r="S49" s="186">
        <f>'GS &gt; 50 OLS Model (LC)'!$B$8*F49</f>
        <v>30027553.430127952</v>
      </c>
      <c r="T49" s="186">
        <v>0</v>
      </c>
      <c r="U49" s="186">
        <f>'GS &gt; 50 OLS Model (LC)'!$B$9*H49</f>
        <v>0</v>
      </c>
      <c r="V49" s="186">
        <f>'GS &gt; 50 OLS Model (LC)'!$B$10*I49</f>
        <v>0</v>
      </c>
      <c r="W49" s="186">
        <f>'GS &gt; 50 OLS Model (LC)'!$B$11*J49</f>
        <v>0</v>
      </c>
      <c r="X49" s="186">
        <f>'GS &gt; 50 OLS Model (LC)'!$B$12*K49</f>
        <v>0</v>
      </c>
      <c r="Y49" s="186">
        <v>0</v>
      </c>
      <c r="Z49" s="186">
        <f>'GS &gt; 50 OLS Model (LC)'!$B$13*M49</f>
        <v>34805943.461156942</v>
      </c>
      <c r="AA49" s="186">
        <f>'GS &gt; 50 OLS Model (LC)'!$B$14*N49</f>
        <v>12306056.024009675</v>
      </c>
      <c r="AB49" s="186">
        <f t="shared" ca="1" si="2"/>
        <v>82177592.145679832</v>
      </c>
    </row>
    <row r="50" spans="1:28">
      <c r="A50" s="128">
        <f>'Monthly Data'!A50</f>
        <v>41275</v>
      </c>
      <c r="B50" s="186">
        <f t="shared" si="1"/>
        <v>2013</v>
      </c>
      <c r="C50" s="230">
        <f ca="1">'Monthly Data'!T50</f>
        <v>85968723.082716107</v>
      </c>
      <c r="D50" s="186">
        <f t="shared" ca="1" si="5"/>
        <v>659.42999999999984</v>
      </c>
      <c r="E50" s="186">
        <f t="shared" ca="1" si="5"/>
        <v>0</v>
      </c>
      <c r="F50" s="186">
        <f>'Monthly Data'!BL50</f>
        <v>586913</v>
      </c>
      <c r="G50" s="186">
        <f>'Monthly Data'!BM50</f>
        <v>49</v>
      </c>
      <c r="H50" s="186">
        <f>'Monthly Data'!BQ50</f>
        <v>0</v>
      </c>
      <c r="I50" s="186">
        <f>'Monthly Data'!BS50</f>
        <v>0</v>
      </c>
      <c r="J50" s="186">
        <f>'Monthly Data'!BU50</f>
        <v>0</v>
      </c>
      <c r="K50" s="186">
        <f>'Monthly Data'!BV50</f>
        <v>0</v>
      </c>
      <c r="L50" s="186">
        <f>'Monthly Data'!BW50</f>
        <v>0</v>
      </c>
      <c r="M50" s="186">
        <f>'Monthly Data'!CC50</f>
        <v>31</v>
      </c>
      <c r="N50" s="186">
        <f>'Monthly Data'!CD50</f>
        <v>22</v>
      </c>
      <c r="P50" s="186">
        <f>'GS &gt; 50 OLS Model (LC)'!$B$5</f>
        <v>-8436546.8467997499</v>
      </c>
      <c r="Q50" s="186">
        <f ca="1">'GS &gt; 50 OLS Model (LC)'!$B$6*D50</f>
        <v>15969422.36278663</v>
      </c>
      <c r="R50" s="186">
        <f ca="1">'GS &gt; 50 OLS Model (LC)'!$B$7*E50</f>
        <v>0</v>
      </c>
      <c r="S50" s="186">
        <f>'GS &gt; 50 OLS Model (LC)'!$B$8*F50</f>
        <v>30448768.49313147</v>
      </c>
      <c r="T50" s="186">
        <v>0</v>
      </c>
      <c r="U50" s="186">
        <f>'GS &gt; 50 OLS Model (LC)'!$B$9*H50</f>
        <v>0</v>
      </c>
      <c r="V50" s="186">
        <f>'GS &gt; 50 OLS Model (LC)'!$B$10*I50</f>
        <v>0</v>
      </c>
      <c r="W50" s="186">
        <f>'GS &gt; 50 OLS Model (LC)'!$B$11*J50</f>
        <v>0</v>
      </c>
      <c r="X50" s="186">
        <f>'GS &gt; 50 OLS Model (LC)'!$B$12*K50</f>
        <v>0</v>
      </c>
      <c r="Y50" s="186">
        <v>0</v>
      </c>
      <c r="Z50" s="186">
        <f>'GS &gt; 50 OLS Model (LC)'!$B$13*M50</f>
        <v>34805943.461156942</v>
      </c>
      <c r="AA50" s="186">
        <f>'GS &gt; 50 OLS Model (LC)'!$B$14*N50</f>
        <v>14249117.501484888</v>
      </c>
      <c r="AB50" s="186">
        <f t="shared" ca="1" si="2"/>
        <v>87036704.971760169</v>
      </c>
    </row>
    <row r="51" spans="1:28">
      <c r="A51" s="128">
        <f>'Monthly Data'!A51</f>
        <v>41306</v>
      </c>
      <c r="B51" s="186">
        <f t="shared" si="1"/>
        <v>2013</v>
      </c>
      <c r="C51" s="230">
        <f ca="1">'Monthly Data'!T51</f>
        <v>79915847.629030645</v>
      </c>
      <c r="D51" s="186">
        <f t="shared" ca="1" si="5"/>
        <v>571.77</v>
      </c>
      <c r="E51" s="186">
        <f t="shared" ca="1" si="5"/>
        <v>0</v>
      </c>
      <c r="F51" s="186">
        <f>'Monthly Data'!BL51</f>
        <v>586913</v>
      </c>
      <c r="G51" s="186">
        <f>'Monthly Data'!BM51</f>
        <v>50</v>
      </c>
      <c r="H51" s="186">
        <f>'Monthly Data'!BQ51</f>
        <v>0</v>
      </c>
      <c r="I51" s="186">
        <f>'Monthly Data'!BS51</f>
        <v>0</v>
      </c>
      <c r="J51" s="186">
        <f>'Monthly Data'!BU51</f>
        <v>0</v>
      </c>
      <c r="K51" s="186">
        <f>'Monthly Data'!BV51</f>
        <v>0</v>
      </c>
      <c r="L51" s="186">
        <f>'Monthly Data'!BW51</f>
        <v>0</v>
      </c>
      <c r="M51" s="186">
        <f>'Monthly Data'!CC51</f>
        <v>28</v>
      </c>
      <c r="N51" s="186">
        <f>'Monthly Data'!CD51</f>
        <v>19</v>
      </c>
      <c r="P51" s="186">
        <f>'GS &gt; 50 OLS Model (LC)'!$B$5</f>
        <v>-8436546.8467997499</v>
      </c>
      <c r="Q51" s="186">
        <f ca="1">'GS &gt; 50 OLS Model (LC)'!$B$6*D51</f>
        <v>13846559.338171624</v>
      </c>
      <c r="R51" s="186">
        <f ca="1">'GS &gt; 50 OLS Model (LC)'!$B$7*E51</f>
        <v>0</v>
      </c>
      <c r="S51" s="186">
        <f>'GS &gt; 50 OLS Model (LC)'!$B$8*F51</f>
        <v>30448768.49313147</v>
      </c>
      <c r="T51" s="186">
        <v>0</v>
      </c>
      <c r="U51" s="186">
        <f>'GS &gt; 50 OLS Model (LC)'!$B$9*H51</f>
        <v>0</v>
      </c>
      <c r="V51" s="186">
        <f>'GS &gt; 50 OLS Model (LC)'!$B$10*I51</f>
        <v>0</v>
      </c>
      <c r="W51" s="186">
        <f>'GS &gt; 50 OLS Model (LC)'!$B$11*J51</f>
        <v>0</v>
      </c>
      <c r="X51" s="186">
        <f>'GS &gt; 50 OLS Model (LC)'!$B$12*K51</f>
        <v>0</v>
      </c>
      <c r="Y51" s="186">
        <v>0</v>
      </c>
      <c r="Z51" s="186">
        <f>'GS &gt; 50 OLS Model (LC)'!$B$13*M51</f>
        <v>31437626.35201272</v>
      </c>
      <c r="AA51" s="186">
        <f>'GS &gt; 50 OLS Model (LC)'!$B$14*N51</f>
        <v>12306056.024009675</v>
      </c>
      <c r="AB51" s="186">
        <f t="shared" ca="1" si="2"/>
        <v>79602463.360525742</v>
      </c>
    </row>
    <row r="52" spans="1:28">
      <c r="A52" s="128">
        <f>'Monthly Data'!A52</f>
        <v>41334</v>
      </c>
      <c r="B52" s="186">
        <f t="shared" si="1"/>
        <v>2013</v>
      </c>
      <c r="C52" s="230">
        <f ca="1">'Monthly Data'!T52</f>
        <v>83098114.173459113</v>
      </c>
      <c r="D52" s="186">
        <f t="shared" ca="1" si="5"/>
        <v>456.53999999999996</v>
      </c>
      <c r="E52" s="186">
        <f t="shared" ca="1" si="5"/>
        <v>0.48</v>
      </c>
      <c r="F52" s="186">
        <f>'Monthly Data'!BL52</f>
        <v>586913</v>
      </c>
      <c r="G52" s="186">
        <f>'Monthly Data'!BM52</f>
        <v>51</v>
      </c>
      <c r="H52" s="186">
        <f>'Monthly Data'!BQ52</f>
        <v>0</v>
      </c>
      <c r="I52" s="186">
        <f>'Monthly Data'!BS52</f>
        <v>0</v>
      </c>
      <c r="J52" s="186">
        <f>'Monthly Data'!BU52</f>
        <v>0</v>
      </c>
      <c r="K52" s="186">
        <f>'Monthly Data'!BV52</f>
        <v>0</v>
      </c>
      <c r="L52" s="186">
        <f>'Monthly Data'!BW52</f>
        <v>0</v>
      </c>
      <c r="M52" s="186">
        <f>'Monthly Data'!CC52</f>
        <v>31</v>
      </c>
      <c r="N52" s="186">
        <f>'Monthly Data'!CD52</f>
        <v>19</v>
      </c>
      <c r="P52" s="186">
        <f>'GS &gt; 50 OLS Model (LC)'!$B$5</f>
        <v>-8436546.8467997499</v>
      </c>
      <c r="Q52" s="186">
        <f ca="1">'GS &gt; 50 OLS Model (LC)'!$B$6*D52</f>
        <v>11056033.370496655</v>
      </c>
      <c r="R52" s="186">
        <f ca="1">'GS &gt; 50 OLS Model (LC)'!$B$7*E52</f>
        <v>34258.983531099213</v>
      </c>
      <c r="S52" s="186">
        <f>'GS &gt; 50 OLS Model (LC)'!$B$8*F52</f>
        <v>30448768.49313147</v>
      </c>
      <c r="T52" s="186">
        <v>0</v>
      </c>
      <c r="U52" s="186">
        <f>'GS &gt; 50 OLS Model (LC)'!$B$9*H52</f>
        <v>0</v>
      </c>
      <c r="V52" s="186">
        <f>'GS &gt; 50 OLS Model (LC)'!$B$10*I52</f>
        <v>0</v>
      </c>
      <c r="W52" s="186">
        <f>'GS &gt; 50 OLS Model (LC)'!$B$11*J52</f>
        <v>0</v>
      </c>
      <c r="X52" s="186">
        <f>'GS &gt; 50 OLS Model (LC)'!$B$12*K52</f>
        <v>0</v>
      </c>
      <c r="Y52" s="186">
        <v>0</v>
      </c>
      <c r="Z52" s="186">
        <f>'GS &gt; 50 OLS Model (LC)'!$B$13*M52</f>
        <v>34805943.461156942</v>
      </c>
      <c r="AA52" s="186">
        <f>'GS &gt; 50 OLS Model (LC)'!$B$14*N52</f>
        <v>12306056.024009675</v>
      </c>
      <c r="AB52" s="186">
        <f t="shared" ca="1" si="2"/>
        <v>80214513.485526085</v>
      </c>
    </row>
    <row r="53" spans="1:28">
      <c r="A53" s="128">
        <f>'Monthly Data'!A53</f>
        <v>41365</v>
      </c>
      <c r="B53" s="186">
        <f t="shared" si="1"/>
        <v>2013</v>
      </c>
      <c r="C53" s="230">
        <f ca="1">'Monthly Data'!T53</f>
        <v>75176128.76717177</v>
      </c>
      <c r="D53" s="186">
        <f t="shared" ca="1" si="5"/>
        <v>248.54999999999995</v>
      </c>
      <c r="E53" s="186">
        <f t="shared" ca="1" si="5"/>
        <v>2.63</v>
      </c>
      <c r="F53" s="186">
        <f>'Monthly Data'!BL53</f>
        <v>586913</v>
      </c>
      <c r="G53" s="186">
        <f>'Monthly Data'!BM53</f>
        <v>52</v>
      </c>
      <c r="H53" s="186">
        <f>'Monthly Data'!BQ53</f>
        <v>1</v>
      </c>
      <c r="I53" s="186">
        <f>'Monthly Data'!BS53</f>
        <v>0</v>
      </c>
      <c r="J53" s="186">
        <f>'Monthly Data'!BU53</f>
        <v>0</v>
      </c>
      <c r="K53" s="186">
        <f>'Monthly Data'!BV53</f>
        <v>0</v>
      </c>
      <c r="L53" s="186">
        <f>'Monthly Data'!BW53</f>
        <v>0</v>
      </c>
      <c r="M53" s="186">
        <f>'Monthly Data'!CC53</f>
        <v>30</v>
      </c>
      <c r="N53" s="186">
        <f>'Monthly Data'!CD53</f>
        <v>22</v>
      </c>
      <c r="P53" s="186">
        <f>'GS &gt; 50 OLS Model (LC)'!$B$5</f>
        <v>-8436546.8467997499</v>
      </c>
      <c r="Q53" s="186">
        <f ca="1">'GS &gt; 50 OLS Model (LC)'!$B$6*D53</f>
        <v>6019137.631394715</v>
      </c>
      <c r="R53" s="186">
        <f ca="1">'GS &gt; 50 OLS Model (LC)'!$B$7*E53</f>
        <v>187710.68059748111</v>
      </c>
      <c r="S53" s="186">
        <f>'GS &gt; 50 OLS Model (LC)'!$B$8*F53</f>
        <v>30448768.49313147</v>
      </c>
      <c r="T53" s="186">
        <v>0</v>
      </c>
      <c r="U53" s="186">
        <f>'GS &gt; 50 OLS Model (LC)'!$B$9*H53</f>
        <v>-1670517.9110053701</v>
      </c>
      <c r="V53" s="186">
        <f>'GS &gt; 50 OLS Model (LC)'!$B$10*I53</f>
        <v>0</v>
      </c>
      <c r="W53" s="186">
        <f>'GS &gt; 50 OLS Model (LC)'!$B$11*J53</f>
        <v>0</v>
      </c>
      <c r="X53" s="186">
        <f>'GS &gt; 50 OLS Model (LC)'!$B$12*K53</f>
        <v>0</v>
      </c>
      <c r="Y53" s="186">
        <v>0</v>
      </c>
      <c r="Z53" s="186">
        <f>'GS &gt; 50 OLS Model (LC)'!$B$13*M53</f>
        <v>33683171.091442198</v>
      </c>
      <c r="AA53" s="186">
        <f>'GS &gt; 50 OLS Model (LC)'!$B$14*N53</f>
        <v>14249117.501484888</v>
      </c>
      <c r="AB53" s="186">
        <f t="shared" ca="1" si="2"/>
        <v>74480840.640245631</v>
      </c>
    </row>
    <row r="54" spans="1:28">
      <c r="A54" s="128">
        <f>'Monthly Data'!A54</f>
        <v>41395</v>
      </c>
      <c r="B54" s="186">
        <f t="shared" si="1"/>
        <v>2013</v>
      </c>
      <c r="C54" s="230">
        <f ca="1">'Monthly Data'!T54</f>
        <v>76467660.683634475</v>
      </c>
      <c r="D54" s="186">
        <f t="shared" ca="1" si="5"/>
        <v>92.740000000000009</v>
      </c>
      <c r="E54" s="186">
        <f t="shared" ca="1" si="5"/>
        <v>47.37</v>
      </c>
      <c r="F54" s="186">
        <f>'Monthly Data'!BL54</f>
        <v>586913</v>
      </c>
      <c r="G54" s="186">
        <f>'Monthly Data'!BM54</f>
        <v>53</v>
      </c>
      <c r="H54" s="186">
        <f>'Monthly Data'!BQ54</f>
        <v>0</v>
      </c>
      <c r="I54" s="186">
        <f>'Monthly Data'!BS54</f>
        <v>0</v>
      </c>
      <c r="J54" s="186">
        <f>'Monthly Data'!BU54</f>
        <v>0</v>
      </c>
      <c r="K54" s="186">
        <f>'Monthly Data'!BV54</f>
        <v>0</v>
      </c>
      <c r="L54" s="186">
        <f>'Monthly Data'!BW54</f>
        <v>0</v>
      </c>
      <c r="M54" s="186">
        <f>'Monthly Data'!CC54</f>
        <v>31</v>
      </c>
      <c r="N54" s="186">
        <f>'Monthly Data'!CD54</f>
        <v>22</v>
      </c>
      <c r="P54" s="186">
        <f>'GS &gt; 50 OLS Model (LC)'!$B$5</f>
        <v>-8436546.8467997499</v>
      </c>
      <c r="Q54" s="186">
        <f ca="1">'GS &gt; 50 OLS Model (LC)'!$B$6*D54</f>
        <v>2245885.4312433959</v>
      </c>
      <c r="R54" s="186">
        <f ca="1">'GS &gt; 50 OLS Model (LC)'!$B$7*E54</f>
        <v>3380933.4372253534</v>
      </c>
      <c r="S54" s="186">
        <f>'GS &gt; 50 OLS Model (LC)'!$B$8*F54</f>
        <v>30448768.49313147</v>
      </c>
      <c r="T54" s="186">
        <v>0</v>
      </c>
      <c r="U54" s="186">
        <f>'GS &gt; 50 OLS Model (LC)'!$B$9*H54</f>
        <v>0</v>
      </c>
      <c r="V54" s="186">
        <f>'GS &gt; 50 OLS Model (LC)'!$B$10*I54</f>
        <v>0</v>
      </c>
      <c r="W54" s="186">
        <f>'GS &gt; 50 OLS Model (LC)'!$B$11*J54</f>
        <v>0</v>
      </c>
      <c r="X54" s="186">
        <f>'GS &gt; 50 OLS Model (LC)'!$B$12*K54</f>
        <v>0</v>
      </c>
      <c r="Y54" s="186">
        <v>0</v>
      </c>
      <c r="Z54" s="186">
        <f>'GS &gt; 50 OLS Model (LC)'!$B$13*M54</f>
        <v>34805943.461156942</v>
      </c>
      <c r="AA54" s="186">
        <f>'GS &gt; 50 OLS Model (LC)'!$B$14*N54</f>
        <v>14249117.501484888</v>
      </c>
      <c r="AB54" s="186">
        <f t="shared" ca="1" si="2"/>
        <v>76694101.477442294</v>
      </c>
    </row>
    <row r="55" spans="1:28">
      <c r="A55" s="128">
        <f>'Monthly Data'!A55</f>
        <v>41426</v>
      </c>
      <c r="B55" s="186">
        <f t="shared" si="1"/>
        <v>2013</v>
      </c>
      <c r="C55" s="230">
        <f ca="1">'Monthly Data'!T55</f>
        <v>77849227.68931511</v>
      </c>
      <c r="D55" s="186">
        <f t="shared" ca="1" si="5"/>
        <v>9.08</v>
      </c>
      <c r="E55" s="186">
        <f t="shared" ca="1" si="5"/>
        <v>117.23999999999997</v>
      </c>
      <c r="F55" s="186">
        <f>'Monthly Data'!BL55</f>
        <v>586913</v>
      </c>
      <c r="G55" s="186">
        <f>'Monthly Data'!BM55</f>
        <v>54</v>
      </c>
      <c r="H55" s="186">
        <f>'Monthly Data'!BQ55</f>
        <v>0</v>
      </c>
      <c r="I55" s="186">
        <f>'Monthly Data'!BS55</f>
        <v>1</v>
      </c>
      <c r="J55" s="186">
        <f>'Monthly Data'!BU55</f>
        <v>0</v>
      </c>
      <c r="K55" s="186">
        <f>'Monthly Data'!BV55</f>
        <v>0</v>
      </c>
      <c r="L55" s="186">
        <f>'Monthly Data'!BW55</f>
        <v>0</v>
      </c>
      <c r="M55" s="186">
        <f>'Monthly Data'!CC55</f>
        <v>30</v>
      </c>
      <c r="N55" s="186">
        <f>'Monthly Data'!CD55</f>
        <v>20</v>
      </c>
      <c r="P55" s="186">
        <f>'GS &gt; 50 OLS Model (LC)'!$B$5</f>
        <v>-8436546.8467997499</v>
      </c>
      <c r="Q55" s="186">
        <f ca="1">'GS &gt; 50 OLS Model (LC)'!$B$6*D55</f>
        <v>219890.44334364927</v>
      </c>
      <c r="R55" s="186">
        <f ca="1">'GS &gt; 50 OLS Model (LC)'!$B$7*E55</f>
        <v>8367756.727470981</v>
      </c>
      <c r="S55" s="186">
        <f>'GS &gt; 50 OLS Model (LC)'!$B$8*F55</f>
        <v>30448768.49313147</v>
      </c>
      <c r="T55" s="186">
        <v>0</v>
      </c>
      <c r="U55" s="186">
        <f>'GS &gt; 50 OLS Model (LC)'!$B$9*H55</f>
        <v>0</v>
      </c>
      <c r="V55" s="186">
        <f>'GS &gt; 50 OLS Model (LC)'!$B$10*I55</f>
        <v>1260255.0136768401</v>
      </c>
      <c r="W55" s="186">
        <f>'GS &gt; 50 OLS Model (LC)'!$B$11*J55</f>
        <v>0</v>
      </c>
      <c r="X55" s="186">
        <f>'GS &gt; 50 OLS Model (LC)'!$B$12*K55</f>
        <v>0</v>
      </c>
      <c r="Y55" s="186">
        <v>0</v>
      </c>
      <c r="Z55" s="186">
        <f>'GS &gt; 50 OLS Model (LC)'!$B$13*M55</f>
        <v>33683171.091442198</v>
      </c>
      <c r="AA55" s="186">
        <f>'GS &gt; 50 OLS Model (LC)'!$B$14*N55</f>
        <v>12953743.18316808</v>
      </c>
      <c r="AB55" s="186">
        <f t="shared" ca="1" si="2"/>
        <v>78497038.105433464</v>
      </c>
    </row>
    <row r="56" spans="1:28">
      <c r="A56" s="128">
        <f>'Monthly Data'!A56</f>
        <v>41456</v>
      </c>
      <c r="B56" s="186">
        <f t="shared" si="1"/>
        <v>2013</v>
      </c>
      <c r="C56" s="230">
        <f ca="1">'Monthly Data'!T56</f>
        <v>82540445.770245254</v>
      </c>
      <c r="D56" s="186">
        <f t="shared" ca="1" si="5"/>
        <v>0.51</v>
      </c>
      <c r="E56" s="186">
        <f t="shared" ca="1" si="5"/>
        <v>185.60999999999999</v>
      </c>
      <c r="F56" s="186">
        <f>'Monthly Data'!BL56</f>
        <v>586913</v>
      </c>
      <c r="G56" s="186">
        <f>'Monthly Data'!BM56</f>
        <v>55</v>
      </c>
      <c r="H56" s="186">
        <f>'Monthly Data'!BQ56</f>
        <v>0</v>
      </c>
      <c r="I56" s="186">
        <f>'Monthly Data'!BS56</f>
        <v>0</v>
      </c>
      <c r="J56" s="186">
        <f>'Monthly Data'!BU56</f>
        <v>0</v>
      </c>
      <c r="K56" s="186">
        <f>'Monthly Data'!BV56</f>
        <v>0</v>
      </c>
      <c r="L56" s="186">
        <f>'Monthly Data'!BW56</f>
        <v>0</v>
      </c>
      <c r="M56" s="186">
        <f>'Monthly Data'!CC56</f>
        <v>31</v>
      </c>
      <c r="N56" s="186">
        <f>'Monthly Data'!CD56</f>
        <v>22</v>
      </c>
      <c r="P56" s="186">
        <f>'GS &gt; 50 OLS Model (LC)'!$B$5</f>
        <v>-8436546.8467997499</v>
      </c>
      <c r="Q56" s="186">
        <f ca="1">'GS &gt; 50 OLS Model (LC)'!$B$6*D56</f>
        <v>12350.67468119616</v>
      </c>
      <c r="R56" s="186">
        <f ca="1">'GS &gt; 50 OLS Model (LC)'!$B$7*E56</f>
        <v>13247520.694181927</v>
      </c>
      <c r="S56" s="186">
        <f>'GS &gt; 50 OLS Model (LC)'!$B$8*F56</f>
        <v>30448768.49313147</v>
      </c>
      <c r="T56" s="186">
        <v>0</v>
      </c>
      <c r="U56" s="186">
        <f>'GS &gt; 50 OLS Model (LC)'!$B$9*H56</f>
        <v>0</v>
      </c>
      <c r="V56" s="186">
        <f>'GS &gt; 50 OLS Model (LC)'!$B$10*I56</f>
        <v>0</v>
      </c>
      <c r="W56" s="186">
        <f>'GS &gt; 50 OLS Model (LC)'!$B$11*J56</f>
        <v>0</v>
      </c>
      <c r="X56" s="186">
        <f>'GS &gt; 50 OLS Model (LC)'!$B$12*K56</f>
        <v>0</v>
      </c>
      <c r="Y56" s="186">
        <v>0</v>
      </c>
      <c r="Z56" s="186">
        <f>'GS &gt; 50 OLS Model (LC)'!$B$13*M56</f>
        <v>34805943.461156942</v>
      </c>
      <c r="AA56" s="186">
        <f>'GS &gt; 50 OLS Model (LC)'!$B$14*N56</f>
        <v>14249117.501484888</v>
      </c>
      <c r="AB56" s="186">
        <f t="shared" ca="1" si="2"/>
        <v>84327153.977836668</v>
      </c>
    </row>
    <row r="57" spans="1:28">
      <c r="A57" s="128">
        <f>'Monthly Data'!A57</f>
        <v>41487</v>
      </c>
      <c r="B57" s="186">
        <f t="shared" si="1"/>
        <v>2013</v>
      </c>
      <c r="C57" s="230">
        <f ca="1">'Monthly Data'!T57</f>
        <v>81226483.659076646</v>
      </c>
      <c r="D57" s="186">
        <f t="shared" ca="1" si="5"/>
        <v>1.51</v>
      </c>
      <c r="E57" s="186">
        <f t="shared" ca="1" si="5"/>
        <v>159.64000000000001</v>
      </c>
      <c r="F57" s="186">
        <f>'Monthly Data'!BL57</f>
        <v>586913</v>
      </c>
      <c r="G57" s="186">
        <f>'Monthly Data'!BM57</f>
        <v>56</v>
      </c>
      <c r="H57" s="186">
        <f>'Monthly Data'!BQ57</f>
        <v>0</v>
      </c>
      <c r="I57" s="186">
        <f>'Monthly Data'!BS57</f>
        <v>0</v>
      </c>
      <c r="J57" s="186">
        <f>'Monthly Data'!BU57</f>
        <v>1</v>
      </c>
      <c r="K57" s="186">
        <f>'Monthly Data'!BV57</f>
        <v>0</v>
      </c>
      <c r="L57" s="186">
        <f>'Monthly Data'!BW57</f>
        <v>0</v>
      </c>
      <c r="M57" s="186">
        <f>'Monthly Data'!CC57</f>
        <v>31</v>
      </c>
      <c r="N57" s="186">
        <f>'Monthly Data'!CD57</f>
        <v>21</v>
      </c>
      <c r="P57" s="186">
        <f>'GS &gt; 50 OLS Model (LC)'!$B$5</f>
        <v>-8436546.8467997499</v>
      </c>
      <c r="Q57" s="186">
        <f ca="1">'GS &gt; 50 OLS Model (LC)'!$B$6*D57</f>
        <v>36567.683860012155</v>
      </c>
      <c r="R57" s="186">
        <f ca="1">'GS &gt; 50 OLS Model (LC)'!$B$7*E57</f>
        <v>11393966.939384749</v>
      </c>
      <c r="S57" s="186">
        <f>'GS &gt; 50 OLS Model (LC)'!$B$8*F57</f>
        <v>30448768.49313147</v>
      </c>
      <c r="T57" s="186">
        <v>0</v>
      </c>
      <c r="U57" s="186">
        <f>'GS &gt; 50 OLS Model (LC)'!$B$9*H57</f>
        <v>0</v>
      </c>
      <c r="V57" s="186">
        <f>'GS &gt; 50 OLS Model (LC)'!$B$10*I57</f>
        <v>0</v>
      </c>
      <c r="W57" s="186">
        <f>'GS &gt; 50 OLS Model (LC)'!$B$11*J57</f>
        <v>2501012.7689915099</v>
      </c>
      <c r="X57" s="186">
        <f>'GS &gt; 50 OLS Model (LC)'!$B$12*K57</f>
        <v>0</v>
      </c>
      <c r="Y57" s="186">
        <v>0</v>
      </c>
      <c r="Z57" s="186">
        <f>'GS &gt; 50 OLS Model (LC)'!$B$13*M57</f>
        <v>34805943.461156942</v>
      </c>
      <c r="AA57" s="186">
        <f>'GS &gt; 50 OLS Model (LC)'!$B$14*N57</f>
        <v>13601430.342326485</v>
      </c>
      <c r="AB57" s="186">
        <f t="shared" ca="1" si="2"/>
        <v>84351142.842051417</v>
      </c>
    </row>
    <row r="58" spans="1:28">
      <c r="A58" s="128">
        <f>'Monthly Data'!A58</f>
        <v>41518</v>
      </c>
      <c r="B58" s="186">
        <f t="shared" si="1"/>
        <v>2013</v>
      </c>
      <c r="C58" s="230">
        <f ca="1">'Monthly Data'!T58</f>
        <v>75974010.308642328</v>
      </c>
      <c r="D58" s="186">
        <f t="shared" ca="1" si="5"/>
        <v>33.01</v>
      </c>
      <c r="E58" s="186">
        <f t="shared" ca="1" si="5"/>
        <v>72.989999999999981</v>
      </c>
      <c r="F58" s="186">
        <f>'Monthly Data'!BL58</f>
        <v>586913</v>
      </c>
      <c r="G58" s="186">
        <f>'Monthly Data'!BM58</f>
        <v>57</v>
      </c>
      <c r="H58" s="186">
        <f>'Monthly Data'!BQ58</f>
        <v>0</v>
      </c>
      <c r="I58" s="186">
        <f>'Monthly Data'!BS58</f>
        <v>0</v>
      </c>
      <c r="J58" s="186">
        <f>'Monthly Data'!BU58</f>
        <v>0</v>
      </c>
      <c r="K58" s="186">
        <f>'Monthly Data'!BV58</f>
        <v>1</v>
      </c>
      <c r="L58" s="186">
        <f>'Monthly Data'!BW58</f>
        <v>0</v>
      </c>
      <c r="M58" s="186">
        <f>'Monthly Data'!CC58</f>
        <v>30</v>
      </c>
      <c r="N58" s="186">
        <f>'Monthly Data'!CD58</f>
        <v>20</v>
      </c>
      <c r="P58" s="186">
        <f>'GS &gt; 50 OLS Model (LC)'!$B$5</f>
        <v>-8436546.8467997499</v>
      </c>
      <c r="Q58" s="186">
        <f ca="1">'GS &gt; 50 OLS Model (LC)'!$B$6*D58</f>
        <v>799403.47299271612</v>
      </c>
      <c r="R58" s="186">
        <f ca="1">'GS &gt; 50 OLS Model (LC)'!$B$7*E58</f>
        <v>5209506.6831977731</v>
      </c>
      <c r="S58" s="186">
        <f>'GS &gt; 50 OLS Model (LC)'!$B$8*F58</f>
        <v>30448768.49313147</v>
      </c>
      <c r="T58" s="186">
        <v>0</v>
      </c>
      <c r="U58" s="186">
        <f>'GS &gt; 50 OLS Model (LC)'!$B$9*H58</f>
        <v>0</v>
      </c>
      <c r="V58" s="186">
        <f>'GS &gt; 50 OLS Model (LC)'!$B$10*I58</f>
        <v>0</v>
      </c>
      <c r="W58" s="186">
        <f>'GS &gt; 50 OLS Model (LC)'!$B$11*J58</f>
        <v>0</v>
      </c>
      <c r="X58" s="186">
        <f>'GS &gt; 50 OLS Model (LC)'!$B$12*K58</f>
        <v>2346294.5864150901</v>
      </c>
      <c r="Y58" s="186">
        <v>0</v>
      </c>
      <c r="Z58" s="186">
        <f>'GS &gt; 50 OLS Model (LC)'!$B$13*M58</f>
        <v>33683171.091442198</v>
      </c>
      <c r="AA58" s="186">
        <f>'GS &gt; 50 OLS Model (LC)'!$B$14*N58</f>
        <v>12953743.18316808</v>
      </c>
      <c r="AB58" s="186">
        <f t="shared" ca="1" si="2"/>
        <v>77004340.663547575</v>
      </c>
    </row>
    <row r="59" spans="1:28">
      <c r="A59" s="128">
        <f>'Monthly Data'!A59</f>
        <v>41548</v>
      </c>
      <c r="B59" s="186">
        <f t="shared" si="1"/>
        <v>2013</v>
      </c>
      <c r="C59" s="230">
        <f ca="1">'Monthly Data'!T59</f>
        <v>77227978.159034535</v>
      </c>
      <c r="D59" s="186">
        <f t="shared" ca="1" si="5"/>
        <v>177.83999999999997</v>
      </c>
      <c r="E59" s="186">
        <f t="shared" ca="1" si="5"/>
        <v>10.779999999999998</v>
      </c>
      <c r="F59" s="186">
        <f>'Monthly Data'!BL59</f>
        <v>586913</v>
      </c>
      <c r="G59" s="186">
        <f>'Monthly Data'!BM59</f>
        <v>58</v>
      </c>
      <c r="H59" s="186">
        <f>'Monthly Data'!BQ59</f>
        <v>0</v>
      </c>
      <c r="I59" s="186">
        <f>'Monthly Data'!BS59</f>
        <v>0</v>
      </c>
      <c r="J59" s="186">
        <f>'Monthly Data'!BU59</f>
        <v>0</v>
      </c>
      <c r="K59" s="186">
        <f>'Monthly Data'!BV59</f>
        <v>0</v>
      </c>
      <c r="L59" s="186">
        <f>'Monthly Data'!BW59</f>
        <v>1</v>
      </c>
      <c r="M59" s="186">
        <f>'Monthly Data'!CC59</f>
        <v>31</v>
      </c>
      <c r="N59" s="186">
        <f>'Monthly Data'!CD59</f>
        <v>22</v>
      </c>
      <c r="P59" s="186">
        <f>'GS &gt; 50 OLS Model (LC)'!$B$5</f>
        <v>-8436546.8467997499</v>
      </c>
      <c r="Q59" s="186">
        <f ca="1">'GS &gt; 50 OLS Model (LC)'!$B$6*D59</f>
        <v>4306752.9123606365</v>
      </c>
      <c r="R59" s="186">
        <f ca="1">'GS &gt; 50 OLS Model (LC)'!$B$7*E59</f>
        <v>769399.67180260306</v>
      </c>
      <c r="S59" s="186">
        <f>'GS &gt; 50 OLS Model (LC)'!$B$8*F59</f>
        <v>30448768.49313147</v>
      </c>
      <c r="T59" s="186">
        <v>0</v>
      </c>
      <c r="U59" s="186">
        <f>'GS &gt; 50 OLS Model (LC)'!$B$9*H59</f>
        <v>0</v>
      </c>
      <c r="V59" s="186">
        <f>'GS &gt; 50 OLS Model (LC)'!$B$10*I59</f>
        <v>0</v>
      </c>
      <c r="W59" s="186">
        <f>'GS &gt; 50 OLS Model (LC)'!$B$11*J59</f>
        <v>0</v>
      </c>
      <c r="X59" s="186">
        <f>'GS &gt; 50 OLS Model (LC)'!$B$12*K59</f>
        <v>0</v>
      </c>
      <c r="Y59" s="186">
        <v>0</v>
      </c>
      <c r="Z59" s="186">
        <f>'GS &gt; 50 OLS Model (LC)'!$B$13*M59</f>
        <v>34805943.461156942</v>
      </c>
      <c r="AA59" s="186">
        <f>'GS &gt; 50 OLS Model (LC)'!$B$14*N59</f>
        <v>14249117.501484888</v>
      </c>
      <c r="AB59" s="186">
        <f t="shared" ca="1" si="2"/>
        <v>76143435.193136796</v>
      </c>
    </row>
    <row r="60" spans="1:28">
      <c r="A60" s="128">
        <f>'Monthly Data'!A60</f>
        <v>41579</v>
      </c>
      <c r="B60" s="186">
        <f t="shared" si="1"/>
        <v>2013</v>
      </c>
      <c r="C60" s="230">
        <f ca="1">'Monthly Data'!T60</f>
        <v>79798645.323323712</v>
      </c>
      <c r="D60" s="186">
        <f t="shared" ca="1" si="5"/>
        <v>361.94999999999993</v>
      </c>
      <c r="E60" s="186">
        <f t="shared" ca="1" si="5"/>
        <v>0.05</v>
      </c>
      <c r="F60" s="186">
        <f>'Monthly Data'!BL60</f>
        <v>586913</v>
      </c>
      <c r="G60" s="186">
        <f>'Monthly Data'!BM60</f>
        <v>59</v>
      </c>
      <c r="H60" s="186">
        <f>'Monthly Data'!BQ60</f>
        <v>0</v>
      </c>
      <c r="I60" s="186">
        <f>'Monthly Data'!BS60</f>
        <v>0</v>
      </c>
      <c r="J60" s="186">
        <f>'Monthly Data'!BU60</f>
        <v>0</v>
      </c>
      <c r="K60" s="186">
        <f>'Monthly Data'!BV60</f>
        <v>0</v>
      </c>
      <c r="L60" s="186">
        <f>'Monthly Data'!BW60</f>
        <v>0</v>
      </c>
      <c r="M60" s="186">
        <f>'Monthly Data'!CC60</f>
        <v>30</v>
      </c>
      <c r="N60" s="186">
        <f>'Monthly Data'!CD60</f>
        <v>21</v>
      </c>
      <c r="P60" s="186">
        <f>'GS &gt; 50 OLS Model (LC)'!$B$5</f>
        <v>-8436546.8467997499</v>
      </c>
      <c r="Q60" s="186">
        <f ca="1">'GS &gt; 50 OLS Model (LC)'!$B$6*D60</f>
        <v>8765346.4722724482</v>
      </c>
      <c r="R60" s="186">
        <f ca="1">'GS &gt; 50 OLS Model (LC)'!$B$7*E60</f>
        <v>3568.6441178228351</v>
      </c>
      <c r="S60" s="186">
        <f>'GS &gt; 50 OLS Model (LC)'!$B$8*F60</f>
        <v>30448768.49313147</v>
      </c>
      <c r="T60" s="186">
        <v>0</v>
      </c>
      <c r="U60" s="186">
        <f>'GS &gt; 50 OLS Model (LC)'!$B$9*H60</f>
        <v>0</v>
      </c>
      <c r="V60" s="186">
        <f>'GS &gt; 50 OLS Model (LC)'!$B$10*I60</f>
        <v>0</v>
      </c>
      <c r="W60" s="186">
        <f>'GS &gt; 50 OLS Model (LC)'!$B$11*J60</f>
        <v>0</v>
      </c>
      <c r="X60" s="186">
        <f>'GS &gt; 50 OLS Model (LC)'!$B$12*K60</f>
        <v>0</v>
      </c>
      <c r="Y60" s="186">
        <v>0</v>
      </c>
      <c r="Z60" s="186">
        <f>'GS &gt; 50 OLS Model (LC)'!$B$13*M60</f>
        <v>33683171.091442198</v>
      </c>
      <c r="AA60" s="186">
        <f>'GS &gt; 50 OLS Model (LC)'!$B$14*N60</f>
        <v>13601430.342326485</v>
      </c>
      <c r="AB60" s="186">
        <f t="shared" ca="1" si="2"/>
        <v>78065738.196490675</v>
      </c>
    </row>
    <row r="61" spans="1:28">
      <c r="A61" s="128">
        <f>'Monthly Data'!A61</f>
        <v>41609</v>
      </c>
      <c r="B61" s="186">
        <f t="shared" si="1"/>
        <v>2013</v>
      </c>
      <c r="C61" s="230">
        <f ca="1">'Monthly Data'!T61</f>
        <v>83545537.046774283</v>
      </c>
      <c r="D61" s="186">
        <f t="shared" ca="1" si="5"/>
        <v>556.41000000000008</v>
      </c>
      <c r="E61" s="186">
        <f t="shared" ca="1" si="5"/>
        <v>0</v>
      </c>
      <c r="F61" s="186">
        <f>'Monthly Data'!BL61</f>
        <v>586913</v>
      </c>
      <c r="G61" s="186">
        <f>'Monthly Data'!BM61</f>
        <v>60</v>
      </c>
      <c r="H61" s="186">
        <f>'Monthly Data'!BQ61</f>
        <v>0</v>
      </c>
      <c r="I61" s="186">
        <f>'Monthly Data'!BS61</f>
        <v>0</v>
      </c>
      <c r="J61" s="186">
        <f>'Monthly Data'!BU61</f>
        <v>0</v>
      </c>
      <c r="K61" s="186">
        <f>'Monthly Data'!BV61</f>
        <v>0</v>
      </c>
      <c r="L61" s="186">
        <f>'Monthly Data'!BW61</f>
        <v>0</v>
      </c>
      <c r="M61" s="186">
        <f>'Monthly Data'!CC61</f>
        <v>31</v>
      </c>
      <c r="N61" s="186">
        <f>'Monthly Data'!CD61</f>
        <v>20</v>
      </c>
      <c r="P61" s="186">
        <f>'GS &gt; 50 OLS Model (LC)'!$B$5</f>
        <v>-8436546.8467997499</v>
      </c>
      <c r="Q61" s="186">
        <f ca="1">'GS &gt; 50 OLS Model (LC)'!$B$6*D61</f>
        <v>13474586.077185012</v>
      </c>
      <c r="R61" s="186">
        <f ca="1">'GS &gt; 50 OLS Model (LC)'!$B$7*E61</f>
        <v>0</v>
      </c>
      <c r="S61" s="186">
        <f>'GS &gt; 50 OLS Model (LC)'!$B$8*F61</f>
        <v>30448768.49313147</v>
      </c>
      <c r="T61" s="186">
        <v>0</v>
      </c>
      <c r="U61" s="186">
        <f>'GS &gt; 50 OLS Model (LC)'!$B$9*H61</f>
        <v>0</v>
      </c>
      <c r="V61" s="186">
        <f>'GS &gt; 50 OLS Model (LC)'!$B$10*I61</f>
        <v>0</v>
      </c>
      <c r="W61" s="186">
        <f>'GS &gt; 50 OLS Model (LC)'!$B$11*J61</f>
        <v>0</v>
      </c>
      <c r="X61" s="186">
        <f>'GS &gt; 50 OLS Model (LC)'!$B$12*K61</f>
        <v>0</v>
      </c>
      <c r="Y61" s="186">
        <v>0</v>
      </c>
      <c r="Z61" s="186">
        <f>'GS &gt; 50 OLS Model (LC)'!$B$13*M61</f>
        <v>34805943.461156942</v>
      </c>
      <c r="AA61" s="186">
        <f>'GS &gt; 50 OLS Model (LC)'!$B$14*N61</f>
        <v>12953743.18316808</v>
      </c>
      <c r="AB61" s="186">
        <f t="shared" ca="1" si="2"/>
        <v>83246494.36784175</v>
      </c>
    </row>
    <row r="62" spans="1:28">
      <c r="A62" s="128">
        <f>'Monthly Data'!A62</f>
        <v>41640</v>
      </c>
      <c r="B62" s="186">
        <f t="shared" si="1"/>
        <v>2014</v>
      </c>
      <c r="C62" s="230">
        <f ca="1">'Monthly Data'!T62</f>
        <v>96326688.900008604</v>
      </c>
      <c r="D62" s="186">
        <f t="shared" ref="D62:E77" ca="1" si="6">D50</f>
        <v>659.42999999999984</v>
      </c>
      <c r="E62" s="186">
        <f t="shared" ca="1" si="6"/>
        <v>0</v>
      </c>
      <c r="F62" s="186">
        <f>'Monthly Data'!BL62</f>
        <v>601343.5</v>
      </c>
      <c r="G62" s="186">
        <f>'Monthly Data'!BM62</f>
        <v>61</v>
      </c>
      <c r="H62" s="186">
        <f>'Monthly Data'!BQ62</f>
        <v>0</v>
      </c>
      <c r="I62" s="186">
        <f>'Monthly Data'!BS62</f>
        <v>0</v>
      </c>
      <c r="J62" s="186">
        <f>'Monthly Data'!BU62</f>
        <v>0</v>
      </c>
      <c r="K62" s="186">
        <f>'Monthly Data'!BV62</f>
        <v>0</v>
      </c>
      <c r="L62" s="186">
        <f>'Monthly Data'!BW62</f>
        <v>0</v>
      </c>
      <c r="M62" s="186">
        <f>'Monthly Data'!CC62</f>
        <v>31</v>
      </c>
      <c r="N62" s="186">
        <f>'Monthly Data'!CD62</f>
        <v>22</v>
      </c>
      <c r="P62" s="186">
        <f>'GS &gt; 50 OLS Model (LC)'!$B$5</f>
        <v>-8436546.8467997499</v>
      </c>
      <c r="Q62" s="186">
        <f ca="1">'GS &gt; 50 OLS Model (LC)'!$B$6*D62</f>
        <v>15969422.36278663</v>
      </c>
      <c r="R62" s="186">
        <f ca="1">'GS &gt; 50 OLS Model (LC)'!$B$7*E62</f>
        <v>0</v>
      </c>
      <c r="S62" s="186">
        <f>'GS &gt; 50 OLS Model (LC)'!$B$8*F62</f>
        <v>31197415.999218632</v>
      </c>
      <c r="T62" s="186">
        <v>0</v>
      </c>
      <c r="U62" s="186">
        <f>'GS &gt; 50 OLS Model (LC)'!$B$9*H62</f>
        <v>0</v>
      </c>
      <c r="V62" s="186">
        <f>'GS &gt; 50 OLS Model (LC)'!$B$10*I62</f>
        <v>0</v>
      </c>
      <c r="W62" s="186">
        <f>'GS &gt; 50 OLS Model (LC)'!$B$11*J62</f>
        <v>0</v>
      </c>
      <c r="X62" s="186">
        <f>'GS &gt; 50 OLS Model (LC)'!$B$12*K62</f>
        <v>0</v>
      </c>
      <c r="Y62" s="186">
        <v>0</v>
      </c>
      <c r="Z62" s="186">
        <f>'GS &gt; 50 OLS Model (LC)'!$B$13*M62</f>
        <v>34805943.461156942</v>
      </c>
      <c r="AA62" s="186">
        <f>'GS &gt; 50 OLS Model (LC)'!$B$14*N62</f>
        <v>14249117.501484888</v>
      </c>
      <c r="AB62" s="186">
        <f t="shared" ca="1" si="2"/>
        <v>87785352.477847338</v>
      </c>
    </row>
    <row r="63" spans="1:28">
      <c r="A63" s="128">
        <f>'Monthly Data'!A63</f>
        <v>41671</v>
      </c>
      <c r="B63" s="186">
        <f t="shared" si="1"/>
        <v>2014</v>
      </c>
      <c r="C63" s="230">
        <f ca="1">'Monthly Data'!T63</f>
        <v>85795493.413305894</v>
      </c>
      <c r="D63" s="186">
        <f t="shared" ca="1" si="6"/>
        <v>571.77</v>
      </c>
      <c r="E63" s="186">
        <f t="shared" ca="1" si="6"/>
        <v>0</v>
      </c>
      <c r="F63" s="186">
        <f>'Monthly Data'!BL63</f>
        <v>601343.5</v>
      </c>
      <c r="G63" s="186">
        <f>'Monthly Data'!BM63</f>
        <v>62</v>
      </c>
      <c r="H63" s="186">
        <f>'Monthly Data'!BQ63</f>
        <v>0</v>
      </c>
      <c r="I63" s="186">
        <f>'Monthly Data'!BS63</f>
        <v>0</v>
      </c>
      <c r="J63" s="186">
        <f>'Monthly Data'!BU63</f>
        <v>0</v>
      </c>
      <c r="K63" s="186">
        <f>'Monthly Data'!BV63</f>
        <v>0</v>
      </c>
      <c r="L63" s="186">
        <f>'Monthly Data'!BW63</f>
        <v>0</v>
      </c>
      <c r="M63" s="186">
        <f>'Monthly Data'!CC63</f>
        <v>28</v>
      </c>
      <c r="N63" s="186">
        <f>'Monthly Data'!CD63</f>
        <v>19</v>
      </c>
      <c r="P63" s="186">
        <f>'GS &gt; 50 OLS Model (LC)'!$B$5</f>
        <v>-8436546.8467997499</v>
      </c>
      <c r="Q63" s="186">
        <f ca="1">'GS &gt; 50 OLS Model (LC)'!$B$6*D63</f>
        <v>13846559.338171624</v>
      </c>
      <c r="R63" s="186">
        <f ca="1">'GS &gt; 50 OLS Model (LC)'!$B$7*E63</f>
        <v>0</v>
      </c>
      <c r="S63" s="186">
        <f>'GS &gt; 50 OLS Model (LC)'!$B$8*F63</f>
        <v>31197415.999218632</v>
      </c>
      <c r="T63" s="186">
        <v>0</v>
      </c>
      <c r="U63" s="186">
        <f>'GS &gt; 50 OLS Model (LC)'!$B$9*H63</f>
        <v>0</v>
      </c>
      <c r="V63" s="186">
        <f>'GS &gt; 50 OLS Model (LC)'!$B$10*I63</f>
        <v>0</v>
      </c>
      <c r="W63" s="186">
        <f>'GS &gt; 50 OLS Model (LC)'!$B$11*J63</f>
        <v>0</v>
      </c>
      <c r="X63" s="186">
        <f>'GS &gt; 50 OLS Model (LC)'!$B$12*K63</f>
        <v>0</v>
      </c>
      <c r="Y63" s="186">
        <v>0</v>
      </c>
      <c r="Z63" s="186">
        <f>'GS &gt; 50 OLS Model (LC)'!$B$13*M63</f>
        <v>31437626.35201272</v>
      </c>
      <c r="AA63" s="186">
        <f>'GS &gt; 50 OLS Model (LC)'!$B$14*N63</f>
        <v>12306056.024009675</v>
      </c>
      <c r="AB63" s="186">
        <f t="shared" ca="1" si="2"/>
        <v>80351110.866612896</v>
      </c>
    </row>
    <row r="64" spans="1:28">
      <c r="A64" s="128">
        <f>'Monthly Data'!A64</f>
        <v>41699</v>
      </c>
      <c r="B64" s="186">
        <f t="shared" si="1"/>
        <v>2014</v>
      </c>
      <c r="C64" s="230">
        <f ca="1">'Monthly Data'!T64</f>
        <v>88242965.31564568</v>
      </c>
      <c r="D64" s="186">
        <f t="shared" ca="1" si="6"/>
        <v>456.53999999999996</v>
      </c>
      <c r="E64" s="186">
        <f t="shared" ca="1" si="6"/>
        <v>0.48</v>
      </c>
      <c r="F64" s="186">
        <f>'Monthly Data'!BL64</f>
        <v>601343.5</v>
      </c>
      <c r="G64" s="186">
        <f>'Monthly Data'!BM64</f>
        <v>63</v>
      </c>
      <c r="H64" s="186">
        <f>'Monthly Data'!BQ64</f>
        <v>0</v>
      </c>
      <c r="I64" s="186">
        <f>'Monthly Data'!BS64</f>
        <v>0</v>
      </c>
      <c r="J64" s="186">
        <f>'Monthly Data'!BU64</f>
        <v>0</v>
      </c>
      <c r="K64" s="186">
        <f>'Monthly Data'!BV64</f>
        <v>0</v>
      </c>
      <c r="L64" s="186">
        <f>'Monthly Data'!BW64</f>
        <v>0</v>
      </c>
      <c r="M64" s="186">
        <f>'Monthly Data'!CC64</f>
        <v>31</v>
      </c>
      <c r="N64" s="186">
        <f>'Monthly Data'!CD64</f>
        <v>21</v>
      </c>
      <c r="P64" s="186">
        <f>'GS &gt; 50 OLS Model (LC)'!$B$5</f>
        <v>-8436546.8467997499</v>
      </c>
      <c r="Q64" s="186">
        <f ca="1">'GS &gt; 50 OLS Model (LC)'!$B$6*D64</f>
        <v>11056033.370496655</v>
      </c>
      <c r="R64" s="186">
        <f ca="1">'GS &gt; 50 OLS Model (LC)'!$B$7*E64</f>
        <v>34258.983531099213</v>
      </c>
      <c r="S64" s="186">
        <f>'GS &gt; 50 OLS Model (LC)'!$B$8*F64</f>
        <v>31197415.999218632</v>
      </c>
      <c r="T64" s="186">
        <v>0</v>
      </c>
      <c r="U64" s="186">
        <f>'GS &gt; 50 OLS Model (LC)'!$B$9*H64</f>
        <v>0</v>
      </c>
      <c r="V64" s="186">
        <f>'GS &gt; 50 OLS Model (LC)'!$B$10*I64</f>
        <v>0</v>
      </c>
      <c r="W64" s="186">
        <f>'GS &gt; 50 OLS Model (LC)'!$B$11*J64</f>
        <v>0</v>
      </c>
      <c r="X64" s="186">
        <f>'GS &gt; 50 OLS Model (LC)'!$B$12*K64</f>
        <v>0</v>
      </c>
      <c r="Y64" s="186">
        <v>0</v>
      </c>
      <c r="Z64" s="186">
        <f>'GS &gt; 50 OLS Model (LC)'!$B$13*M64</f>
        <v>34805943.461156942</v>
      </c>
      <c r="AA64" s="186">
        <f>'GS &gt; 50 OLS Model (LC)'!$B$14*N64</f>
        <v>13601430.342326485</v>
      </c>
      <c r="AB64" s="186">
        <f t="shared" ca="1" si="2"/>
        <v>82258535.309930056</v>
      </c>
    </row>
    <row r="65" spans="1:28">
      <c r="A65" s="128">
        <f>'Monthly Data'!A65</f>
        <v>41730</v>
      </c>
      <c r="B65" s="186">
        <f t="shared" si="1"/>
        <v>2014</v>
      </c>
      <c r="C65" s="230">
        <f ca="1">'Monthly Data'!T65</f>
        <v>76032615.997099578</v>
      </c>
      <c r="D65" s="186">
        <f t="shared" ca="1" si="6"/>
        <v>248.54999999999995</v>
      </c>
      <c r="E65" s="186">
        <f t="shared" ca="1" si="6"/>
        <v>2.63</v>
      </c>
      <c r="F65" s="186">
        <f>'Monthly Data'!BL65</f>
        <v>601343.5</v>
      </c>
      <c r="G65" s="186">
        <f>'Monthly Data'!BM65</f>
        <v>64</v>
      </c>
      <c r="H65" s="186">
        <f>'Monthly Data'!BQ65</f>
        <v>1</v>
      </c>
      <c r="I65" s="186">
        <f>'Monthly Data'!BS65</f>
        <v>0</v>
      </c>
      <c r="J65" s="186">
        <f>'Monthly Data'!BU65</f>
        <v>0</v>
      </c>
      <c r="K65" s="186">
        <f>'Monthly Data'!BV65</f>
        <v>0</v>
      </c>
      <c r="L65" s="186">
        <f>'Monthly Data'!BW65</f>
        <v>0</v>
      </c>
      <c r="M65" s="186">
        <f>'Monthly Data'!CC65</f>
        <v>30</v>
      </c>
      <c r="N65" s="186">
        <f>'Monthly Data'!CD65</f>
        <v>20</v>
      </c>
      <c r="P65" s="186">
        <f>'GS &gt; 50 OLS Model (LC)'!$B$5</f>
        <v>-8436546.8467997499</v>
      </c>
      <c r="Q65" s="186">
        <f ca="1">'GS &gt; 50 OLS Model (LC)'!$B$6*D65</f>
        <v>6019137.631394715</v>
      </c>
      <c r="R65" s="186">
        <f ca="1">'GS &gt; 50 OLS Model (LC)'!$B$7*E65</f>
        <v>187710.68059748111</v>
      </c>
      <c r="S65" s="186">
        <f>'GS &gt; 50 OLS Model (LC)'!$B$8*F65</f>
        <v>31197415.999218632</v>
      </c>
      <c r="T65" s="186">
        <v>0</v>
      </c>
      <c r="U65" s="186">
        <f>'GS &gt; 50 OLS Model (LC)'!$B$9*H65</f>
        <v>-1670517.9110053701</v>
      </c>
      <c r="V65" s="186">
        <f>'GS &gt; 50 OLS Model (LC)'!$B$10*I65</f>
        <v>0</v>
      </c>
      <c r="W65" s="186">
        <f>'GS &gt; 50 OLS Model (LC)'!$B$11*J65</f>
        <v>0</v>
      </c>
      <c r="X65" s="186">
        <f>'GS &gt; 50 OLS Model (LC)'!$B$12*K65</f>
        <v>0</v>
      </c>
      <c r="Y65" s="186">
        <v>0</v>
      </c>
      <c r="Z65" s="186">
        <f>'GS &gt; 50 OLS Model (LC)'!$B$13*M65</f>
        <v>33683171.091442198</v>
      </c>
      <c r="AA65" s="186">
        <f>'GS &gt; 50 OLS Model (LC)'!$B$14*N65</f>
        <v>12953743.18316808</v>
      </c>
      <c r="AB65" s="186">
        <f t="shared" ca="1" si="2"/>
        <v>73934113.828015983</v>
      </c>
    </row>
    <row r="66" spans="1:28">
      <c r="A66" s="128">
        <f>'Monthly Data'!A66</f>
        <v>41760</v>
      </c>
      <c r="B66" s="186">
        <f t="shared" ref="B66:B129" si="7">YEAR(A66)</f>
        <v>2014</v>
      </c>
      <c r="C66" s="230">
        <f ca="1">'Monthly Data'!T66</f>
        <v>78518698.920610771</v>
      </c>
      <c r="D66" s="186">
        <f t="shared" ca="1" si="6"/>
        <v>92.740000000000009</v>
      </c>
      <c r="E66" s="186">
        <f t="shared" ca="1" si="6"/>
        <v>47.37</v>
      </c>
      <c r="F66" s="186">
        <f>'Monthly Data'!BL66</f>
        <v>601343.5</v>
      </c>
      <c r="G66" s="186">
        <f>'Monthly Data'!BM66</f>
        <v>65</v>
      </c>
      <c r="H66" s="186">
        <f>'Monthly Data'!BQ66</f>
        <v>0</v>
      </c>
      <c r="I66" s="186">
        <f>'Monthly Data'!BS66</f>
        <v>0</v>
      </c>
      <c r="J66" s="186">
        <f>'Monthly Data'!BU66</f>
        <v>0</v>
      </c>
      <c r="K66" s="186">
        <f>'Monthly Data'!BV66</f>
        <v>0</v>
      </c>
      <c r="L66" s="186">
        <f>'Monthly Data'!BW66</f>
        <v>0</v>
      </c>
      <c r="M66" s="186">
        <f>'Monthly Data'!CC66</f>
        <v>31</v>
      </c>
      <c r="N66" s="186">
        <f>'Monthly Data'!CD66</f>
        <v>22</v>
      </c>
      <c r="P66" s="186">
        <f>'GS &gt; 50 OLS Model (LC)'!$B$5</f>
        <v>-8436546.8467997499</v>
      </c>
      <c r="Q66" s="186">
        <f ca="1">'GS &gt; 50 OLS Model (LC)'!$B$6*D66</f>
        <v>2245885.4312433959</v>
      </c>
      <c r="R66" s="186">
        <f ca="1">'GS &gt; 50 OLS Model (LC)'!$B$7*E66</f>
        <v>3380933.4372253534</v>
      </c>
      <c r="S66" s="186">
        <f>'GS &gt; 50 OLS Model (LC)'!$B$8*F66</f>
        <v>31197415.999218632</v>
      </c>
      <c r="T66" s="186">
        <v>0</v>
      </c>
      <c r="U66" s="186">
        <f>'GS &gt; 50 OLS Model (LC)'!$B$9*H66</f>
        <v>0</v>
      </c>
      <c r="V66" s="186">
        <f>'GS &gt; 50 OLS Model (LC)'!$B$10*I66</f>
        <v>0</v>
      </c>
      <c r="W66" s="186">
        <f>'GS &gt; 50 OLS Model (LC)'!$B$11*J66</f>
        <v>0</v>
      </c>
      <c r="X66" s="186">
        <f>'GS &gt; 50 OLS Model (LC)'!$B$12*K66</f>
        <v>0</v>
      </c>
      <c r="Y66" s="186">
        <v>0</v>
      </c>
      <c r="Z66" s="186">
        <f>'GS &gt; 50 OLS Model (LC)'!$B$13*M66</f>
        <v>34805943.461156942</v>
      </c>
      <c r="AA66" s="186">
        <f>'GS &gt; 50 OLS Model (LC)'!$B$14*N66</f>
        <v>14249117.501484888</v>
      </c>
      <c r="AB66" s="186">
        <f t="shared" ref="AB66:AB129" ca="1" si="8">SUM(P66:AA66)</f>
        <v>77442748.983529463</v>
      </c>
    </row>
    <row r="67" spans="1:28">
      <c r="A67" s="128">
        <f>'Monthly Data'!A67</f>
        <v>41791</v>
      </c>
      <c r="B67" s="186">
        <f t="shared" si="7"/>
        <v>2014</v>
      </c>
      <c r="C67" s="230">
        <f ca="1">'Monthly Data'!T67</f>
        <v>81857571.227659523</v>
      </c>
      <c r="D67" s="186">
        <f t="shared" ca="1" si="6"/>
        <v>9.08</v>
      </c>
      <c r="E67" s="186">
        <f t="shared" ca="1" si="6"/>
        <v>117.23999999999997</v>
      </c>
      <c r="F67" s="186">
        <f>'Monthly Data'!BL67</f>
        <v>601343.5</v>
      </c>
      <c r="G67" s="186">
        <f>'Monthly Data'!BM67</f>
        <v>66</v>
      </c>
      <c r="H67" s="186">
        <f>'Monthly Data'!BQ67</f>
        <v>0</v>
      </c>
      <c r="I67" s="186">
        <f>'Monthly Data'!BS67</f>
        <v>1</v>
      </c>
      <c r="J67" s="186">
        <f>'Monthly Data'!BU67</f>
        <v>0</v>
      </c>
      <c r="K67" s="186">
        <f>'Monthly Data'!BV67</f>
        <v>0</v>
      </c>
      <c r="L67" s="186">
        <f>'Monthly Data'!BW67</f>
        <v>0</v>
      </c>
      <c r="M67" s="186">
        <f>'Monthly Data'!CC67</f>
        <v>30</v>
      </c>
      <c r="N67" s="186">
        <f>'Monthly Data'!CD67</f>
        <v>21</v>
      </c>
      <c r="P67" s="186">
        <f>'GS &gt; 50 OLS Model (LC)'!$B$5</f>
        <v>-8436546.8467997499</v>
      </c>
      <c r="Q67" s="186">
        <f ca="1">'GS &gt; 50 OLS Model (LC)'!$B$6*D67</f>
        <v>219890.44334364927</v>
      </c>
      <c r="R67" s="186">
        <f ca="1">'GS &gt; 50 OLS Model (LC)'!$B$7*E67</f>
        <v>8367756.727470981</v>
      </c>
      <c r="S67" s="186">
        <f>'GS &gt; 50 OLS Model (LC)'!$B$8*F67</f>
        <v>31197415.999218632</v>
      </c>
      <c r="T67" s="186">
        <v>0</v>
      </c>
      <c r="U67" s="186">
        <f>'GS &gt; 50 OLS Model (LC)'!$B$9*H67</f>
        <v>0</v>
      </c>
      <c r="V67" s="186">
        <f>'GS &gt; 50 OLS Model (LC)'!$B$10*I67</f>
        <v>1260255.0136768401</v>
      </c>
      <c r="W67" s="186">
        <f>'GS &gt; 50 OLS Model (LC)'!$B$11*J67</f>
        <v>0</v>
      </c>
      <c r="X67" s="186">
        <f>'GS &gt; 50 OLS Model (LC)'!$B$12*K67</f>
        <v>0</v>
      </c>
      <c r="Y67" s="186">
        <v>0</v>
      </c>
      <c r="Z67" s="186">
        <f>'GS &gt; 50 OLS Model (LC)'!$B$13*M67</f>
        <v>33683171.091442198</v>
      </c>
      <c r="AA67" s="186">
        <f>'GS &gt; 50 OLS Model (LC)'!$B$14*N67</f>
        <v>13601430.342326485</v>
      </c>
      <c r="AB67" s="186">
        <f t="shared" ca="1" si="8"/>
        <v>79893372.770679027</v>
      </c>
    </row>
    <row r="68" spans="1:28">
      <c r="A68" s="128">
        <f>'Monthly Data'!A68</f>
        <v>41821</v>
      </c>
      <c r="B68" s="186">
        <f t="shared" si="7"/>
        <v>2014</v>
      </c>
      <c r="C68" s="230">
        <f ca="1">'Monthly Data'!T68</f>
        <v>83348919.115916789</v>
      </c>
      <c r="D68" s="186">
        <f t="shared" ca="1" si="6"/>
        <v>0.51</v>
      </c>
      <c r="E68" s="186">
        <f t="shared" ca="1" si="6"/>
        <v>185.60999999999999</v>
      </c>
      <c r="F68" s="186">
        <f>'Monthly Data'!BL68</f>
        <v>601343.5</v>
      </c>
      <c r="G68" s="186">
        <f>'Monthly Data'!BM68</f>
        <v>67</v>
      </c>
      <c r="H68" s="186">
        <f>'Monthly Data'!BQ68</f>
        <v>0</v>
      </c>
      <c r="I68" s="186">
        <f>'Monthly Data'!BS68</f>
        <v>0</v>
      </c>
      <c r="J68" s="186">
        <f>'Monthly Data'!BU68</f>
        <v>0</v>
      </c>
      <c r="K68" s="186">
        <f>'Monthly Data'!BV68</f>
        <v>0</v>
      </c>
      <c r="L68" s="186">
        <f>'Monthly Data'!BW68</f>
        <v>0</v>
      </c>
      <c r="M68" s="186">
        <f>'Monthly Data'!CC68</f>
        <v>31</v>
      </c>
      <c r="N68" s="186">
        <f>'Monthly Data'!CD68</f>
        <v>22</v>
      </c>
      <c r="P68" s="186">
        <f>'GS &gt; 50 OLS Model (LC)'!$B$5</f>
        <v>-8436546.8467997499</v>
      </c>
      <c r="Q68" s="186">
        <f ca="1">'GS &gt; 50 OLS Model (LC)'!$B$6*D68</f>
        <v>12350.67468119616</v>
      </c>
      <c r="R68" s="186">
        <f ca="1">'GS &gt; 50 OLS Model (LC)'!$B$7*E68</f>
        <v>13247520.694181927</v>
      </c>
      <c r="S68" s="186">
        <f>'GS &gt; 50 OLS Model (LC)'!$B$8*F68</f>
        <v>31197415.999218632</v>
      </c>
      <c r="T68" s="186">
        <v>0</v>
      </c>
      <c r="U68" s="186">
        <f>'GS &gt; 50 OLS Model (LC)'!$B$9*H68</f>
        <v>0</v>
      </c>
      <c r="V68" s="186">
        <f>'GS &gt; 50 OLS Model (LC)'!$B$10*I68</f>
        <v>0</v>
      </c>
      <c r="W68" s="186">
        <f>'GS &gt; 50 OLS Model (LC)'!$B$11*J68</f>
        <v>0</v>
      </c>
      <c r="X68" s="186">
        <f>'GS &gt; 50 OLS Model (LC)'!$B$12*K68</f>
        <v>0</v>
      </c>
      <c r="Y68" s="186">
        <v>0</v>
      </c>
      <c r="Z68" s="186">
        <f>'GS &gt; 50 OLS Model (LC)'!$B$13*M68</f>
        <v>34805943.461156942</v>
      </c>
      <c r="AA68" s="186">
        <f>'GS &gt; 50 OLS Model (LC)'!$B$14*N68</f>
        <v>14249117.501484888</v>
      </c>
      <c r="AB68" s="186">
        <f t="shared" ca="1" si="8"/>
        <v>85075801.483923838</v>
      </c>
    </row>
    <row r="69" spans="1:28">
      <c r="A69" s="128">
        <f>'Monthly Data'!A69</f>
        <v>41852</v>
      </c>
      <c r="B69" s="186">
        <f t="shared" si="7"/>
        <v>2014</v>
      </c>
      <c r="C69" s="230">
        <f ca="1">'Monthly Data'!T69</f>
        <v>82700521.432717174</v>
      </c>
      <c r="D69" s="186">
        <f t="shared" ca="1" si="6"/>
        <v>1.51</v>
      </c>
      <c r="E69" s="186">
        <f t="shared" ca="1" si="6"/>
        <v>159.64000000000001</v>
      </c>
      <c r="F69" s="186">
        <f>'Monthly Data'!BL69</f>
        <v>601343.5</v>
      </c>
      <c r="G69" s="186">
        <f>'Monthly Data'!BM69</f>
        <v>68</v>
      </c>
      <c r="H69" s="186">
        <f>'Monthly Data'!BQ69</f>
        <v>0</v>
      </c>
      <c r="I69" s="186">
        <f>'Monthly Data'!BS69</f>
        <v>0</v>
      </c>
      <c r="J69" s="186">
        <f>'Monthly Data'!BU69</f>
        <v>1</v>
      </c>
      <c r="K69" s="186">
        <f>'Monthly Data'!BV69</f>
        <v>0</v>
      </c>
      <c r="L69" s="186">
        <f>'Monthly Data'!BW69</f>
        <v>0</v>
      </c>
      <c r="M69" s="186">
        <f>'Monthly Data'!CC69</f>
        <v>31</v>
      </c>
      <c r="N69" s="186">
        <f>'Monthly Data'!CD69</f>
        <v>20</v>
      </c>
      <c r="P69" s="186">
        <f>'GS &gt; 50 OLS Model (LC)'!$B$5</f>
        <v>-8436546.8467997499</v>
      </c>
      <c r="Q69" s="186">
        <f ca="1">'GS &gt; 50 OLS Model (LC)'!$B$6*D69</f>
        <v>36567.683860012155</v>
      </c>
      <c r="R69" s="186">
        <f ca="1">'GS &gt; 50 OLS Model (LC)'!$B$7*E69</f>
        <v>11393966.939384749</v>
      </c>
      <c r="S69" s="186">
        <f>'GS &gt; 50 OLS Model (LC)'!$B$8*F69</f>
        <v>31197415.999218632</v>
      </c>
      <c r="T69" s="186">
        <v>0</v>
      </c>
      <c r="U69" s="186">
        <f>'GS &gt; 50 OLS Model (LC)'!$B$9*H69</f>
        <v>0</v>
      </c>
      <c r="V69" s="186">
        <f>'GS &gt; 50 OLS Model (LC)'!$B$10*I69</f>
        <v>0</v>
      </c>
      <c r="W69" s="186">
        <f>'GS &gt; 50 OLS Model (LC)'!$B$11*J69</f>
        <v>2501012.7689915099</v>
      </c>
      <c r="X69" s="186">
        <f>'GS &gt; 50 OLS Model (LC)'!$B$12*K69</f>
        <v>0</v>
      </c>
      <c r="Y69" s="186">
        <v>0</v>
      </c>
      <c r="Z69" s="186">
        <f>'GS &gt; 50 OLS Model (LC)'!$B$13*M69</f>
        <v>34805943.461156942</v>
      </c>
      <c r="AA69" s="186">
        <f>'GS &gt; 50 OLS Model (LC)'!$B$14*N69</f>
        <v>12953743.18316808</v>
      </c>
      <c r="AB69" s="186">
        <f t="shared" ca="1" si="8"/>
        <v>84452103.188980177</v>
      </c>
    </row>
    <row r="70" spans="1:28">
      <c r="A70" s="128">
        <f>'Monthly Data'!A70</f>
        <v>41883</v>
      </c>
      <c r="B70" s="186">
        <f t="shared" si="7"/>
        <v>2014</v>
      </c>
      <c r="C70" s="230">
        <f ca="1">'Monthly Data'!T70</f>
        <v>77960422.026261076</v>
      </c>
      <c r="D70" s="186">
        <f t="shared" ca="1" si="6"/>
        <v>33.01</v>
      </c>
      <c r="E70" s="186">
        <f t="shared" ca="1" si="6"/>
        <v>72.989999999999981</v>
      </c>
      <c r="F70" s="186">
        <f>'Monthly Data'!BL70</f>
        <v>601343.5</v>
      </c>
      <c r="G70" s="186">
        <f>'Monthly Data'!BM70</f>
        <v>69</v>
      </c>
      <c r="H70" s="186">
        <f>'Monthly Data'!BQ70</f>
        <v>0</v>
      </c>
      <c r="I70" s="186">
        <f>'Monthly Data'!BS70</f>
        <v>0</v>
      </c>
      <c r="J70" s="186">
        <f>'Monthly Data'!BU70</f>
        <v>0</v>
      </c>
      <c r="K70" s="186">
        <f>'Monthly Data'!BV70</f>
        <v>1</v>
      </c>
      <c r="L70" s="186">
        <f>'Monthly Data'!BW70</f>
        <v>0</v>
      </c>
      <c r="M70" s="186">
        <f>'Monthly Data'!CC70</f>
        <v>30</v>
      </c>
      <c r="N70" s="186">
        <f>'Monthly Data'!CD70</f>
        <v>21</v>
      </c>
      <c r="P70" s="186">
        <f>'GS &gt; 50 OLS Model (LC)'!$B$5</f>
        <v>-8436546.8467997499</v>
      </c>
      <c r="Q70" s="186">
        <f ca="1">'GS &gt; 50 OLS Model (LC)'!$B$6*D70</f>
        <v>799403.47299271612</v>
      </c>
      <c r="R70" s="186">
        <f ca="1">'GS &gt; 50 OLS Model (LC)'!$B$7*E70</f>
        <v>5209506.6831977731</v>
      </c>
      <c r="S70" s="186">
        <f>'GS &gt; 50 OLS Model (LC)'!$B$8*F70</f>
        <v>31197415.999218632</v>
      </c>
      <c r="T70" s="186">
        <v>0</v>
      </c>
      <c r="U70" s="186">
        <f>'GS &gt; 50 OLS Model (LC)'!$B$9*H70</f>
        <v>0</v>
      </c>
      <c r="V70" s="186">
        <f>'GS &gt; 50 OLS Model (LC)'!$B$10*I70</f>
        <v>0</v>
      </c>
      <c r="W70" s="186">
        <f>'GS &gt; 50 OLS Model (LC)'!$B$11*J70</f>
        <v>0</v>
      </c>
      <c r="X70" s="186">
        <f>'GS &gt; 50 OLS Model (LC)'!$B$12*K70</f>
        <v>2346294.5864150901</v>
      </c>
      <c r="Y70" s="186">
        <v>0</v>
      </c>
      <c r="Z70" s="186">
        <f>'GS &gt; 50 OLS Model (LC)'!$B$13*M70</f>
        <v>33683171.091442198</v>
      </c>
      <c r="AA70" s="186">
        <f>'GS &gt; 50 OLS Model (LC)'!$B$14*N70</f>
        <v>13601430.342326485</v>
      </c>
      <c r="AB70" s="186">
        <f t="shared" ca="1" si="8"/>
        <v>78400675.328793138</v>
      </c>
    </row>
    <row r="71" spans="1:28">
      <c r="A71" s="128">
        <f>'Monthly Data'!A71</f>
        <v>41913</v>
      </c>
      <c r="B71" s="186">
        <f t="shared" si="7"/>
        <v>2014</v>
      </c>
      <c r="C71" s="230">
        <f ca="1">'Monthly Data'!T71</f>
        <v>77895587.782433912</v>
      </c>
      <c r="D71" s="186">
        <f t="shared" ca="1" si="6"/>
        <v>177.83999999999997</v>
      </c>
      <c r="E71" s="186">
        <f t="shared" ca="1" si="6"/>
        <v>10.779999999999998</v>
      </c>
      <c r="F71" s="186">
        <f>'Monthly Data'!BL71</f>
        <v>601343.5</v>
      </c>
      <c r="G71" s="186">
        <f>'Monthly Data'!BM71</f>
        <v>70</v>
      </c>
      <c r="H71" s="186">
        <f>'Monthly Data'!BQ71</f>
        <v>0</v>
      </c>
      <c r="I71" s="186">
        <f>'Monthly Data'!BS71</f>
        <v>0</v>
      </c>
      <c r="J71" s="186">
        <f>'Monthly Data'!BU71</f>
        <v>0</v>
      </c>
      <c r="K71" s="186">
        <f>'Monthly Data'!BV71</f>
        <v>0</v>
      </c>
      <c r="L71" s="186">
        <f>'Monthly Data'!BW71</f>
        <v>1</v>
      </c>
      <c r="M71" s="186">
        <f>'Monthly Data'!CC71</f>
        <v>31</v>
      </c>
      <c r="N71" s="186">
        <f>'Monthly Data'!CD71</f>
        <v>22</v>
      </c>
      <c r="P71" s="186">
        <f>'GS &gt; 50 OLS Model (LC)'!$B$5</f>
        <v>-8436546.8467997499</v>
      </c>
      <c r="Q71" s="186">
        <f ca="1">'GS &gt; 50 OLS Model (LC)'!$B$6*D71</f>
        <v>4306752.9123606365</v>
      </c>
      <c r="R71" s="186">
        <f ca="1">'GS &gt; 50 OLS Model (LC)'!$B$7*E71</f>
        <v>769399.67180260306</v>
      </c>
      <c r="S71" s="186">
        <f>'GS &gt; 50 OLS Model (LC)'!$B$8*F71</f>
        <v>31197415.999218632</v>
      </c>
      <c r="T71" s="186">
        <v>0</v>
      </c>
      <c r="U71" s="186">
        <f>'GS &gt; 50 OLS Model (LC)'!$B$9*H71</f>
        <v>0</v>
      </c>
      <c r="V71" s="186">
        <f>'GS &gt; 50 OLS Model (LC)'!$B$10*I71</f>
        <v>0</v>
      </c>
      <c r="W71" s="186">
        <f>'GS &gt; 50 OLS Model (LC)'!$B$11*J71</f>
        <v>0</v>
      </c>
      <c r="X71" s="186">
        <f>'GS &gt; 50 OLS Model (LC)'!$B$12*K71</f>
        <v>0</v>
      </c>
      <c r="Y71" s="186">
        <v>0</v>
      </c>
      <c r="Z71" s="186">
        <f>'GS &gt; 50 OLS Model (LC)'!$B$13*M71</f>
        <v>34805943.461156942</v>
      </c>
      <c r="AA71" s="186">
        <f>'GS &gt; 50 OLS Model (LC)'!$B$14*N71</f>
        <v>14249117.501484888</v>
      </c>
      <c r="AB71" s="186">
        <f t="shared" ca="1" si="8"/>
        <v>76892082.699223951</v>
      </c>
    </row>
    <row r="72" spans="1:28">
      <c r="A72" s="128">
        <f>'Monthly Data'!A72</f>
        <v>41944</v>
      </c>
      <c r="B72" s="186">
        <f t="shared" si="7"/>
        <v>2014</v>
      </c>
      <c r="C72" s="230">
        <f ca="1">'Monthly Data'!T72</f>
        <v>81173246.366913959</v>
      </c>
      <c r="D72" s="186">
        <f t="shared" ca="1" si="6"/>
        <v>361.94999999999993</v>
      </c>
      <c r="E72" s="186">
        <f t="shared" ca="1" si="6"/>
        <v>0.05</v>
      </c>
      <c r="F72" s="186">
        <f>'Monthly Data'!BL72</f>
        <v>601343.5</v>
      </c>
      <c r="G72" s="186">
        <f>'Monthly Data'!BM72</f>
        <v>71</v>
      </c>
      <c r="H72" s="186">
        <f>'Monthly Data'!BQ72</f>
        <v>0</v>
      </c>
      <c r="I72" s="186">
        <f>'Monthly Data'!BS72</f>
        <v>0</v>
      </c>
      <c r="J72" s="186">
        <f>'Monthly Data'!BU72</f>
        <v>0</v>
      </c>
      <c r="K72" s="186">
        <f>'Monthly Data'!BV72</f>
        <v>0</v>
      </c>
      <c r="L72" s="186">
        <f>'Monthly Data'!BW72</f>
        <v>0</v>
      </c>
      <c r="M72" s="186">
        <f>'Monthly Data'!CC72</f>
        <v>30</v>
      </c>
      <c r="N72" s="186">
        <f>'Monthly Data'!CD72</f>
        <v>20</v>
      </c>
      <c r="P72" s="186">
        <f>'GS &gt; 50 OLS Model (LC)'!$B$5</f>
        <v>-8436546.8467997499</v>
      </c>
      <c r="Q72" s="186">
        <f ca="1">'GS &gt; 50 OLS Model (LC)'!$B$6*D72</f>
        <v>8765346.4722724482</v>
      </c>
      <c r="R72" s="186">
        <f ca="1">'GS &gt; 50 OLS Model (LC)'!$B$7*E72</f>
        <v>3568.6441178228351</v>
      </c>
      <c r="S72" s="186">
        <f>'GS &gt; 50 OLS Model (LC)'!$B$8*F72</f>
        <v>31197415.999218632</v>
      </c>
      <c r="T72" s="186">
        <v>0</v>
      </c>
      <c r="U72" s="186">
        <f>'GS &gt; 50 OLS Model (LC)'!$B$9*H72</f>
        <v>0</v>
      </c>
      <c r="V72" s="186">
        <f>'GS &gt; 50 OLS Model (LC)'!$B$10*I72</f>
        <v>0</v>
      </c>
      <c r="W72" s="186">
        <f>'GS &gt; 50 OLS Model (LC)'!$B$11*J72</f>
        <v>0</v>
      </c>
      <c r="X72" s="186">
        <f>'GS &gt; 50 OLS Model (LC)'!$B$12*K72</f>
        <v>0</v>
      </c>
      <c r="Y72" s="186">
        <v>0</v>
      </c>
      <c r="Z72" s="186">
        <f>'GS &gt; 50 OLS Model (LC)'!$B$13*M72</f>
        <v>33683171.091442198</v>
      </c>
      <c r="AA72" s="186">
        <f>'GS &gt; 50 OLS Model (LC)'!$B$14*N72</f>
        <v>12953743.18316808</v>
      </c>
      <c r="AB72" s="186">
        <f t="shared" ca="1" si="8"/>
        <v>78166698.543419436</v>
      </c>
    </row>
    <row r="73" spans="1:28">
      <c r="A73" s="128">
        <f>'Monthly Data'!A73</f>
        <v>41974</v>
      </c>
      <c r="B73" s="186">
        <f t="shared" si="7"/>
        <v>2014</v>
      </c>
      <c r="C73" s="230">
        <f ca="1">'Monthly Data'!T73</f>
        <v>84448717.230596632</v>
      </c>
      <c r="D73" s="186">
        <f t="shared" ca="1" si="6"/>
        <v>556.41000000000008</v>
      </c>
      <c r="E73" s="186">
        <f t="shared" ca="1" si="6"/>
        <v>0</v>
      </c>
      <c r="F73" s="186">
        <f>'Monthly Data'!BL73</f>
        <v>601343.5</v>
      </c>
      <c r="G73" s="186">
        <f>'Monthly Data'!BM73</f>
        <v>72</v>
      </c>
      <c r="H73" s="186">
        <f>'Monthly Data'!BQ73</f>
        <v>0</v>
      </c>
      <c r="I73" s="186">
        <f>'Monthly Data'!BS73</f>
        <v>0</v>
      </c>
      <c r="J73" s="186">
        <f>'Monthly Data'!BU73</f>
        <v>0</v>
      </c>
      <c r="K73" s="186">
        <f>'Monthly Data'!BV73</f>
        <v>0</v>
      </c>
      <c r="L73" s="186">
        <f>'Monthly Data'!BW73</f>
        <v>0</v>
      </c>
      <c r="M73" s="186">
        <f>'Monthly Data'!CC73</f>
        <v>31</v>
      </c>
      <c r="N73" s="186">
        <f>'Monthly Data'!CD73</f>
        <v>21</v>
      </c>
      <c r="P73" s="186">
        <f>'GS &gt; 50 OLS Model (LC)'!$B$5</f>
        <v>-8436546.8467997499</v>
      </c>
      <c r="Q73" s="186">
        <f ca="1">'GS &gt; 50 OLS Model (LC)'!$B$6*D73</f>
        <v>13474586.077185012</v>
      </c>
      <c r="R73" s="186">
        <f ca="1">'GS &gt; 50 OLS Model (LC)'!$B$7*E73</f>
        <v>0</v>
      </c>
      <c r="S73" s="186">
        <f>'GS &gt; 50 OLS Model (LC)'!$B$8*F73</f>
        <v>31197415.999218632</v>
      </c>
      <c r="T73" s="186">
        <v>0</v>
      </c>
      <c r="U73" s="186">
        <f>'GS &gt; 50 OLS Model (LC)'!$B$9*H73</f>
        <v>0</v>
      </c>
      <c r="V73" s="186">
        <f>'GS &gt; 50 OLS Model (LC)'!$B$10*I73</f>
        <v>0</v>
      </c>
      <c r="W73" s="186">
        <f>'GS &gt; 50 OLS Model (LC)'!$B$11*J73</f>
        <v>0</v>
      </c>
      <c r="X73" s="186">
        <f>'GS &gt; 50 OLS Model (LC)'!$B$12*K73</f>
        <v>0</v>
      </c>
      <c r="Y73" s="186">
        <v>0</v>
      </c>
      <c r="Z73" s="186">
        <f>'GS &gt; 50 OLS Model (LC)'!$B$13*M73</f>
        <v>34805943.461156942</v>
      </c>
      <c r="AA73" s="186">
        <f>'GS &gt; 50 OLS Model (LC)'!$B$14*N73</f>
        <v>13601430.342326485</v>
      </c>
      <c r="AB73" s="186">
        <f t="shared" ca="1" si="8"/>
        <v>84642829.033087313</v>
      </c>
    </row>
    <row r="74" spans="1:28">
      <c r="A74" s="128">
        <f>'Monthly Data'!A74</f>
        <v>42005</v>
      </c>
      <c r="B74" s="186">
        <f t="shared" si="7"/>
        <v>2015</v>
      </c>
      <c r="C74" s="230">
        <f ca="1">'Monthly Data'!T74</f>
        <v>90862720.009125739</v>
      </c>
      <c r="D74" s="186">
        <f t="shared" ca="1" si="6"/>
        <v>659.42999999999984</v>
      </c>
      <c r="E74" s="186">
        <f t="shared" ca="1" si="6"/>
        <v>0</v>
      </c>
      <c r="F74" s="186">
        <f>'Monthly Data'!BL74</f>
        <v>618051.4</v>
      </c>
      <c r="G74" s="186">
        <f>'Monthly Data'!BM74</f>
        <v>73</v>
      </c>
      <c r="H74" s="186">
        <f>'Monthly Data'!BQ74</f>
        <v>0</v>
      </c>
      <c r="I74" s="186">
        <f>'Monthly Data'!BS74</f>
        <v>0</v>
      </c>
      <c r="J74" s="186">
        <f>'Monthly Data'!BU74</f>
        <v>0</v>
      </c>
      <c r="K74" s="186">
        <f>'Monthly Data'!BV74</f>
        <v>0</v>
      </c>
      <c r="L74" s="186">
        <f>'Monthly Data'!BW74</f>
        <v>0</v>
      </c>
      <c r="M74" s="186">
        <f>'Monthly Data'!CC74</f>
        <v>31</v>
      </c>
      <c r="N74" s="186">
        <f>'Monthly Data'!CD74</f>
        <v>21</v>
      </c>
      <c r="P74" s="186">
        <f>'GS &gt; 50 OLS Model (LC)'!$B$5</f>
        <v>-8436546.8467997499</v>
      </c>
      <c r="Q74" s="186">
        <f ca="1">'GS &gt; 50 OLS Model (LC)'!$B$6*D74</f>
        <v>15969422.36278663</v>
      </c>
      <c r="R74" s="186">
        <f ca="1">'GS &gt; 50 OLS Model (LC)'!$B$7*E74</f>
        <v>0</v>
      </c>
      <c r="S74" s="186">
        <f>'GS &gt; 50 OLS Model (LC)'!$B$8*F74</f>
        <v>32064213.938787855</v>
      </c>
      <c r="T74" s="186">
        <v>0</v>
      </c>
      <c r="U74" s="186">
        <f>'GS &gt; 50 OLS Model (LC)'!$B$9*H74</f>
        <v>0</v>
      </c>
      <c r="V74" s="186">
        <f>'GS &gt; 50 OLS Model (LC)'!$B$10*I74</f>
        <v>0</v>
      </c>
      <c r="W74" s="186">
        <f>'GS &gt; 50 OLS Model (LC)'!$B$11*J74</f>
        <v>0</v>
      </c>
      <c r="X74" s="186">
        <f>'GS &gt; 50 OLS Model (LC)'!$B$12*K74</f>
        <v>0</v>
      </c>
      <c r="Y74" s="186">
        <v>0</v>
      </c>
      <c r="Z74" s="186">
        <f>'GS &gt; 50 OLS Model (LC)'!$B$13*M74</f>
        <v>34805943.461156942</v>
      </c>
      <c r="AA74" s="186">
        <f>'GS &gt; 50 OLS Model (LC)'!$B$14*N74</f>
        <v>13601430.342326485</v>
      </c>
      <c r="AB74" s="186">
        <f t="shared" ca="1" si="8"/>
        <v>88004463.258258164</v>
      </c>
    </row>
    <row r="75" spans="1:28">
      <c r="A75" s="128">
        <f>'Monthly Data'!A75</f>
        <v>42036</v>
      </c>
      <c r="B75" s="186">
        <f t="shared" si="7"/>
        <v>2015</v>
      </c>
      <c r="C75" s="230">
        <f ca="1">'Monthly Data'!T75</f>
        <v>84772321.173713028</v>
      </c>
      <c r="D75" s="186">
        <f t="shared" ca="1" si="6"/>
        <v>571.77</v>
      </c>
      <c r="E75" s="186">
        <f t="shared" ca="1" si="6"/>
        <v>0</v>
      </c>
      <c r="F75" s="186">
        <f>'Monthly Data'!BL75</f>
        <v>618051.4</v>
      </c>
      <c r="G75" s="186">
        <f>'Monthly Data'!BM75</f>
        <v>74</v>
      </c>
      <c r="H75" s="186">
        <f>'Monthly Data'!BQ75</f>
        <v>0</v>
      </c>
      <c r="I75" s="186">
        <f>'Monthly Data'!BS75</f>
        <v>0</v>
      </c>
      <c r="J75" s="186">
        <f>'Monthly Data'!BU75</f>
        <v>0</v>
      </c>
      <c r="K75" s="186">
        <f>'Monthly Data'!BV75</f>
        <v>0</v>
      </c>
      <c r="L75" s="186">
        <f>'Monthly Data'!BW75</f>
        <v>0</v>
      </c>
      <c r="M75" s="186">
        <f>'Monthly Data'!CC75</f>
        <v>28</v>
      </c>
      <c r="N75" s="186">
        <f>'Monthly Data'!CD75</f>
        <v>19</v>
      </c>
      <c r="P75" s="186">
        <f>'GS &gt; 50 OLS Model (LC)'!$B$5</f>
        <v>-8436546.8467997499</v>
      </c>
      <c r="Q75" s="186">
        <f ca="1">'GS &gt; 50 OLS Model (LC)'!$B$6*D75</f>
        <v>13846559.338171624</v>
      </c>
      <c r="R75" s="186">
        <f ca="1">'GS &gt; 50 OLS Model (LC)'!$B$7*E75</f>
        <v>0</v>
      </c>
      <c r="S75" s="186">
        <f>'GS &gt; 50 OLS Model (LC)'!$B$8*F75</f>
        <v>32064213.938787855</v>
      </c>
      <c r="T75" s="186">
        <v>0</v>
      </c>
      <c r="U75" s="186">
        <f>'GS &gt; 50 OLS Model (LC)'!$B$9*H75</f>
        <v>0</v>
      </c>
      <c r="V75" s="186">
        <f>'GS &gt; 50 OLS Model (LC)'!$B$10*I75</f>
        <v>0</v>
      </c>
      <c r="W75" s="186">
        <f>'GS &gt; 50 OLS Model (LC)'!$B$11*J75</f>
        <v>0</v>
      </c>
      <c r="X75" s="186">
        <f>'GS &gt; 50 OLS Model (LC)'!$B$12*K75</f>
        <v>0</v>
      </c>
      <c r="Y75" s="186">
        <v>0</v>
      </c>
      <c r="Z75" s="186">
        <f>'GS &gt; 50 OLS Model (LC)'!$B$13*M75</f>
        <v>31437626.35201272</v>
      </c>
      <c r="AA75" s="186">
        <f>'GS &gt; 50 OLS Model (LC)'!$B$14*N75</f>
        <v>12306056.024009675</v>
      </c>
      <c r="AB75" s="186">
        <f t="shared" ca="1" si="8"/>
        <v>81217908.806182131</v>
      </c>
    </row>
    <row r="76" spans="1:28">
      <c r="A76" s="128">
        <f>'Monthly Data'!A76</f>
        <v>42064</v>
      </c>
      <c r="B76" s="186">
        <f t="shared" si="7"/>
        <v>2015</v>
      </c>
      <c r="C76" s="230">
        <f ca="1">'Monthly Data'!T76</f>
        <v>84997101.121091247</v>
      </c>
      <c r="D76" s="186">
        <f t="shared" ca="1" si="6"/>
        <v>456.53999999999996</v>
      </c>
      <c r="E76" s="186">
        <f t="shared" ca="1" si="6"/>
        <v>0.48</v>
      </c>
      <c r="F76" s="186">
        <f>'Monthly Data'!BL76</f>
        <v>618051.4</v>
      </c>
      <c r="G76" s="186">
        <f>'Monthly Data'!BM76</f>
        <v>75</v>
      </c>
      <c r="H76" s="186">
        <f>'Monthly Data'!BQ76</f>
        <v>0</v>
      </c>
      <c r="I76" s="186">
        <f>'Monthly Data'!BS76</f>
        <v>0</v>
      </c>
      <c r="J76" s="186">
        <f>'Monthly Data'!BU76</f>
        <v>0</v>
      </c>
      <c r="K76" s="186">
        <f>'Monthly Data'!BV76</f>
        <v>0</v>
      </c>
      <c r="L76" s="186">
        <f>'Monthly Data'!BW76</f>
        <v>0</v>
      </c>
      <c r="M76" s="186">
        <f>'Monthly Data'!CC76</f>
        <v>31</v>
      </c>
      <c r="N76" s="186">
        <f>'Monthly Data'!CD76</f>
        <v>22</v>
      </c>
      <c r="P76" s="186">
        <f>'GS &gt; 50 OLS Model (LC)'!$B$5</f>
        <v>-8436546.8467997499</v>
      </c>
      <c r="Q76" s="186">
        <f ca="1">'GS &gt; 50 OLS Model (LC)'!$B$6*D76</f>
        <v>11056033.370496655</v>
      </c>
      <c r="R76" s="186">
        <f ca="1">'GS &gt; 50 OLS Model (LC)'!$B$7*E76</f>
        <v>34258.983531099213</v>
      </c>
      <c r="S76" s="186">
        <f>'GS &gt; 50 OLS Model (LC)'!$B$8*F76</f>
        <v>32064213.938787855</v>
      </c>
      <c r="T76" s="186">
        <v>0</v>
      </c>
      <c r="U76" s="186">
        <f>'GS &gt; 50 OLS Model (LC)'!$B$9*H76</f>
        <v>0</v>
      </c>
      <c r="V76" s="186">
        <f>'GS &gt; 50 OLS Model (LC)'!$B$10*I76</f>
        <v>0</v>
      </c>
      <c r="W76" s="186">
        <f>'GS &gt; 50 OLS Model (LC)'!$B$11*J76</f>
        <v>0</v>
      </c>
      <c r="X76" s="186">
        <f>'GS &gt; 50 OLS Model (LC)'!$B$12*K76</f>
        <v>0</v>
      </c>
      <c r="Y76" s="186">
        <v>0</v>
      </c>
      <c r="Z76" s="186">
        <f>'GS &gt; 50 OLS Model (LC)'!$B$13*M76</f>
        <v>34805943.461156942</v>
      </c>
      <c r="AA76" s="186">
        <f>'GS &gt; 50 OLS Model (LC)'!$B$14*N76</f>
        <v>14249117.501484888</v>
      </c>
      <c r="AB76" s="186">
        <f t="shared" ca="1" si="8"/>
        <v>83773020.408657685</v>
      </c>
    </row>
    <row r="77" spans="1:28">
      <c r="A77" s="128">
        <f>'Monthly Data'!A77</f>
        <v>42095</v>
      </c>
      <c r="B77" s="186">
        <f t="shared" si="7"/>
        <v>2015</v>
      </c>
      <c r="C77" s="230">
        <f ca="1">'Monthly Data'!T77</f>
        <v>74517514.750061482</v>
      </c>
      <c r="D77" s="186">
        <f t="shared" ca="1" si="6"/>
        <v>248.54999999999995</v>
      </c>
      <c r="E77" s="186">
        <f t="shared" ca="1" si="6"/>
        <v>2.63</v>
      </c>
      <c r="F77" s="186">
        <f>'Monthly Data'!BL77</f>
        <v>618051.4</v>
      </c>
      <c r="G77" s="186">
        <f>'Monthly Data'!BM77</f>
        <v>76</v>
      </c>
      <c r="H77" s="186">
        <f>'Monthly Data'!BQ77</f>
        <v>1</v>
      </c>
      <c r="I77" s="186">
        <f>'Monthly Data'!BS77</f>
        <v>0</v>
      </c>
      <c r="J77" s="186">
        <f>'Monthly Data'!BU77</f>
        <v>0</v>
      </c>
      <c r="K77" s="186">
        <f>'Monthly Data'!BV77</f>
        <v>0</v>
      </c>
      <c r="L77" s="186">
        <f>'Monthly Data'!BW77</f>
        <v>0</v>
      </c>
      <c r="M77" s="186">
        <f>'Monthly Data'!CC77</f>
        <v>30</v>
      </c>
      <c r="N77" s="186">
        <f>'Monthly Data'!CD77</f>
        <v>20</v>
      </c>
      <c r="P77" s="186">
        <f>'GS &gt; 50 OLS Model (LC)'!$B$5</f>
        <v>-8436546.8467997499</v>
      </c>
      <c r="Q77" s="186">
        <f ca="1">'GS &gt; 50 OLS Model (LC)'!$B$6*D77</f>
        <v>6019137.631394715</v>
      </c>
      <c r="R77" s="186">
        <f ca="1">'GS &gt; 50 OLS Model (LC)'!$B$7*E77</f>
        <v>187710.68059748111</v>
      </c>
      <c r="S77" s="186">
        <f>'GS &gt; 50 OLS Model (LC)'!$B$8*F77</f>
        <v>32064213.938787855</v>
      </c>
      <c r="T77" s="186">
        <v>0</v>
      </c>
      <c r="U77" s="186">
        <f>'GS &gt; 50 OLS Model (LC)'!$B$9*H77</f>
        <v>-1670517.9110053701</v>
      </c>
      <c r="V77" s="186">
        <f>'GS &gt; 50 OLS Model (LC)'!$B$10*I77</f>
        <v>0</v>
      </c>
      <c r="W77" s="186">
        <f>'GS &gt; 50 OLS Model (LC)'!$B$11*J77</f>
        <v>0</v>
      </c>
      <c r="X77" s="186">
        <f>'GS &gt; 50 OLS Model (LC)'!$B$12*K77</f>
        <v>0</v>
      </c>
      <c r="Y77" s="186">
        <v>0</v>
      </c>
      <c r="Z77" s="186">
        <f>'GS &gt; 50 OLS Model (LC)'!$B$13*M77</f>
        <v>33683171.091442198</v>
      </c>
      <c r="AA77" s="186">
        <f>'GS &gt; 50 OLS Model (LC)'!$B$14*N77</f>
        <v>12953743.18316808</v>
      </c>
      <c r="AB77" s="186">
        <f t="shared" ca="1" si="8"/>
        <v>74800911.767585203</v>
      </c>
    </row>
    <row r="78" spans="1:28">
      <c r="A78" s="128">
        <f>'Monthly Data'!A78</f>
        <v>42125</v>
      </c>
      <c r="B78" s="186">
        <f t="shared" si="7"/>
        <v>2015</v>
      </c>
      <c r="C78" s="230">
        <f ca="1">'Monthly Data'!T78</f>
        <v>77248422.661444232</v>
      </c>
      <c r="D78" s="186">
        <f t="shared" ref="D78:E93" ca="1" si="9">D66</f>
        <v>92.740000000000009</v>
      </c>
      <c r="E78" s="186">
        <f t="shared" ca="1" si="9"/>
        <v>47.37</v>
      </c>
      <c r="F78" s="186">
        <f>'Monthly Data'!BL78</f>
        <v>618051.4</v>
      </c>
      <c r="G78" s="186">
        <f>'Monthly Data'!BM78</f>
        <v>77</v>
      </c>
      <c r="H78" s="186">
        <f>'Monthly Data'!BQ78</f>
        <v>0</v>
      </c>
      <c r="I78" s="186">
        <f>'Monthly Data'!BS78</f>
        <v>0</v>
      </c>
      <c r="J78" s="186">
        <f>'Monthly Data'!BU78</f>
        <v>0</v>
      </c>
      <c r="K78" s="186">
        <f>'Monthly Data'!BV78</f>
        <v>0</v>
      </c>
      <c r="L78" s="186">
        <f>'Monthly Data'!BW78</f>
        <v>0</v>
      </c>
      <c r="M78" s="186">
        <f>'Monthly Data'!CC78</f>
        <v>31</v>
      </c>
      <c r="N78" s="186">
        <f>'Monthly Data'!CD78</f>
        <v>20</v>
      </c>
      <c r="P78" s="186">
        <f>'GS &gt; 50 OLS Model (LC)'!$B$5</f>
        <v>-8436546.8467997499</v>
      </c>
      <c r="Q78" s="186">
        <f ca="1">'GS &gt; 50 OLS Model (LC)'!$B$6*D78</f>
        <v>2245885.4312433959</v>
      </c>
      <c r="R78" s="186">
        <f ca="1">'GS &gt; 50 OLS Model (LC)'!$B$7*E78</f>
        <v>3380933.4372253534</v>
      </c>
      <c r="S78" s="186">
        <f>'GS &gt; 50 OLS Model (LC)'!$B$8*F78</f>
        <v>32064213.938787855</v>
      </c>
      <c r="T78" s="186">
        <v>0</v>
      </c>
      <c r="U78" s="186">
        <f>'GS &gt; 50 OLS Model (LC)'!$B$9*H78</f>
        <v>0</v>
      </c>
      <c r="V78" s="186">
        <f>'GS &gt; 50 OLS Model (LC)'!$B$10*I78</f>
        <v>0</v>
      </c>
      <c r="W78" s="186">
        <f>'GS &gt; 50 OLS Model (LC)'!$B$11*J78</f>
        <v>0</v>
      </c>
      <c r="X78" s="186">
        <f>'GS &gt; 50 OLS Model (LC)'!$B$12*K78</f>
        <v>0</v>
      </c>
      <c r="Y78" s="186">
        <v>0</v>
      </c>
      <c r="Z78" s="186">
        <f>'GS &gt; 50 OLS Model (LC)'!$B$13*M78</f>
        <v>34805943.461156942</v>
      </c>
      <c r="AA78" s="186">
        <f>'GS &gt; 50 OLS Model (LC)'!$B$14*N78</f>
        <v>12953743.18316808</v>
      </c>
      <c r="AB78" s="186">
        <f t="shared" ca="1" si="8"/>
        <v>77014172.604781881</v>
      </c>
    </row>
    <row r="79" spans="1:28">
      <c r="A79" s="128">
        <f>'Monthly Data'!A79</f>
        <v>42156</v>
      </c>
      <c r="B79" s="186">
        <f t="shared" si="7"/>
        <v>2015</v>
      </c>
      <c r="C79" s="230">
        <f ca="1">'Monthly Data'!T79</f>
        <v>80126569.719912887</v>
      </c>
      <c r="D79" s="186">
        <f t="shared" ca="1" si="9"/>
        <v>9.08</v>
      </c>
      <c r="E79" s="186">
        <f t="shared" ca="1" si="9"/>
        <v>117.23999999999997</v>
      </c>
      <c r="F79" s="186">
        <f>'Monthly Data'!BL79</f>
        <v>618051.4</v>
      </c>
      <c r="G79" s="186">
        <f>'Monthly Data'!BM79</f>
        <v>78</v>
      </c>
      <c r="H79" s="186">
        <f>'Monthly Data'!BQ79</f>
        <v>0</v>
      </c>
      <c r="I79" s="186">
        <f>'Monthly Data'!BS79</f>
        <v>1</v>
      </c>
      <c r="J79" s="186">
        <f>'Monthly Data'!BU79</f>
        <v>0</v>
      </c>
      <c r="K79" s="186">
        <f>'Monthly Data'!BV79</f>
        <v>0</v>
      </c>
      <c r="L79" s="186">
        <f>'Monthly Data'!BW79</f>
        <v>0</v>
      </c>
      <c r="M79" s="186">
        <f>'Monthly Data'!CC79</f>
        <v>30</v>
      </c>
      <c r="N79" s="186">
        <f>'Monthly Data'!CD79</f>
        <v>22</v>
      </c>
      <c r="P79" s="186">
        <f>'GS &gt; 50 OLS Model (LC)'!$B$5</f>
        <v>-8436546.8467997499</v>
      </c>
      <c r="Q79" s="186">
        <f ca="1">'GS &gt; 50 OLS Model (LC)'!$B$6*D79</f>
        <v>219890.44334364927</v>
      </c>
      <c r="R79" s="186">
        <f ca="1">'GS &gt; 50 OLS Model (LC)'!$B$7*E79</f>
        <v>8367756.727470981</v>
      </c>
      <c r="S79" s="186">
        <f>'GS &gt; 50 OLS Model (LC)'!$B$8*F79</f>
        <v>32064213.938787855</v>
      </c>
      <c r="T79" s="186">
        <v>0</v>
      </c>
      <c r="U79" s="186">
        <f>'GS &gt; 50 OLS Model (LC)'!$B$9*H79</f>
        <v>0</v>
      </c>
      <c r="V79" s="186">
        <f>'GS &gt; 50 OLS Model (LC)'!$B$10*I79</f>
        <v>1260255.0136768401</v>
      </c>
      <c r="W79" s="186">
        <f>'GS &gt; 50 OLS Model (LC)'!$B$11*J79</f>
        <v>0</v>
      </c>
      <c r="X79" s="186">
        <f>'GS &gt; 50 OLS Model (LC)'!$B$12*K79</f>
        <v>0</v>
      </c>
      <c r="Y79" s="186">
        <v>0</v>
      </c>
      <c r="Z79" s="186">
        <f>'GS &gt; 50 OLS Model (LC)'!$B$13*M79</f>
        <v>33683171.091442198</v>
      </c>
      <c r="AA79" s="186">
        <f>'GS &gt; 50 OLS Model (LC)'!$B$14*N79</f>
        <v>14249117.501484888</v>
      </c>
      <c r="AB79" s="186">
        <f t="shared" ca="1" si="8"/>
        <v>81407857.869406655</v>
      </c>
    </row>
    <row r="80" spans="1:28">
      <c r="A80" s="128">
        <f>'Monthly Data'!A80</f>
        <v>42186</v>
      </c>
      <c r="B80" s="186">
        <f t="shared" si="7"/>
        <v>2015</v>
      </c>
      <c r="C80" s="230">
        <f ca="1">'Monthly Data'!T80</f>
        <v>84547068.372462004</v>
      </c>
      <c r="D80" s="186">
        <f t="shared" ca="1" si="9"/>
        <v>0.51</v>
      </c>
      <c r="E80" s="186">
        <f t="shared" ca="1" si="9"/>
        <v>185.60999999999999</v>
      </c>
      <c r="F80" s="186">
        <f>'Monthly Data'!BL80</f>
        <v>618051.4</v>
      </c>
      <c r="G80" s="186">
        <f>'Monthly Data'!BM80</f>
        <v>79</v>
      </c>
      <c r="H80" s="186">
        <f>'Monthly Data'!BQ80</f>
        <v>0</v>
      </c>
      <c r="I80" s="186">
        <f>'Monthly Data'!BS80</f>
        <v>0</v>
      </c>
      <c r="J80" s="186">
        <f>'Monthly Data'!BU80</f>
        <v>0</v>
      </c>
      <c r="K80" s="186">
        <f>'Monthly Data'!BV80</f>
        <v>0</v>
      </c>
      <c r="L80" s="186">
        <f>'Monthly Data'!BW80</f>
        <v>0</v>
      </c>
      <c r="M80" s="186">
        <f>'Monthly Data'!CC80</f>
        <v>31</v>
      </c>
      <c r="N80" s="186">
        <f>'Monthly Data'!CD80</f>
        <v>22</v>
      </c>
      <c r="P80" s="186">
        <f>'GS &gt; 50 OLS Model (LC)'!$B$5</f>
        <v>-8436546.8467997499</v>
      </c>
      <c r="Q80" s="186">
        <f ca="1">'GS &gt; 50 OLS Model (LC)'!$B$6*D80</f>
        <v>12350.67468119616</v>
      </c>
      <c r="R80" s="186">
        <f ca="1">'GS &gt; 50 OLS Model (LC)'!$B$7*E80</f>
        <v>13247520.694181927</v>
      </c>
      <c r="S80" s="186">
        <f>'GS &gt; 50 OLS Model (LC)'!$B$8*F80</f>
        <v>32064213.938787855</v>
      </c>
      <c r="T80" s="186">
        <v>0</v>
      </c>
      <c r="U80" s="186">
        <f>'GS &gt; 50 OLS Model (LC)'!$B$9*H80</f>
        <v>0</v>
      </c>
      <c r="V80" s="186">
        <f>'GS &gt; 50 OLS Model (LC)'!$B$10*I80</f>
        <v>0</v>
      </c>
      <c r="W80" s="186">
        <f>'GS &gt; 50 OLS Model (LC)'!$B$11*J80</f>
        <v>0</v>
      </c>
      <c r="X80" s="186">
        <f>'GS &gt; 50 OLS Model (LC)'!$B$12*K80</f>
        <v>0</v>
      </c>
      <c r="Y80" s="186">
        <v>0</v>
      </c>
      <c r="Z80" s="186">
        <f>'GS &gt; 50 OLS Model (LC)'!$B$13*M80</f>
        <v>34805943.461156942</v>
      </c>
      <c r="AA80" s="186">
        <f>'GS &gt; 50 OLS Model (LC)'!$B$14*N80</f>
        <v>14249117.501484888</v>
      </c>
      <c r="AB80" s="186">
        <f t="shared" ca="1" si="8"/>
        <v>85942599.423493057</v>
      </c>
    </row>
    <row r="81" spans="1:28">
      <c r="A81" s="128">
        <f>'Monthly Data'!A81</f>
        <v>42217</v>
      </c>
      <c r="B81" s="186">
        <f t="shared" si="7"/>
        <v>2015</v>
      </c>
      <c r="C81" s="230">
        <f ca="1">'Monthly Data'!T81</f>
        <v>85635461.672809049</v>
      </c>
      <c r="D81" s="186">
        <f t="shared" ca="1" si="9"/>
        <v>1.51</v>
      </c>
      <c r="E81" s="186">
        <f t="shared" ca="1" si="9"/>
        <v>159.64000000000001</v>
      </c>
      <c r="F81" s="186">
        <f>'Monthly Data'!BL81</f>
        <v>618051.4</v>
      </c>
      <c r="G81" s="186">
        <f>'Monthly Data'!BM81</f>
        <v>80</v>
      </c>
      <c r="H81" s="186">
        <f>'Monthly Data'!BQ81</f>
        <v>0</v>
      </c>
      <c r="I81" s="186">
        <f>'Monthly Data'!BS81</f>
        <v>0</v>
      </c>
      <c r="J81" s="186">
        <f>'Monthly Data'!BU81</f>
        <v>1</v>
      </c>
      <c r="K81" s="186">
        <f>'Monthly Data'!BV81</f>
        <v>0</v>
      </c>
      <c r="L81" s="186">
        <f>'Monthly Data'!BW81</f>
        <v>0</v>
      </c>
      <c r="M81" s="186">
        <f>'Monthly Data'!CC81</f>
        <v>31</v>
      </c>
      <c r="N81" s="186">
        <f>'Monthly Data'!CD81</f>
        <v>20</v>
      </c>
      <c r="P81" s="186">
        <f>'GS &gt; 50 OLS Model (LC)'!$B$5</f>
        <v>-8436546.8467997499</v>
      </c>
      <c r="Q81" s="186">
        <f ca="1">'GS &gt; 50 OLS Model (LC)'!$B$6*D81</f>
        <v>36567.683860012155</v>
      </c>
      <c r="R81" s="186">
        <f ca="1">'GS &gt; 50 OLS Model (LC)'!$B$7*E81</f>
        <v>11393966.939384749</v>
      </c>
      <c r="S81" s="186">
        <f>'GS &gt; 50 OLS Model (LC)'!$B$8*F81</f>
        <v>32064213.938787855</v>
      </c>
      <c r="T81" s="186">
        <v>0</v>
      </c>
      <c r="U81" s="186">
        <f>'GS &gt; 50 OLS Model (LC)'!$B$9*H81</f>
        <v>0</v>
      </c>
      <c r="V81" s="186">
        <f>'GS &gt; 50 OLS Model (LC)'!$B$10*I81</f>
        <v>0</v>
      </c>
      <c r="W81" s="186">
        <f>'GS &gt; 50 OLS Model (LC)'!$B$11*J81</f>
        <v>2501012.7689915099</v>
      </c>
      <c r="X81" s="186">
        <f>'GS &gt; 50 OLS Model (LC)'!$B$12*K81</f>
        <v>0</v>
      </c>
      <c r="Y81" s="186">
        <v>0</v>
      </c>
      <c r="Z81" s="186">
        <f>'GS &gt; 50 OLS Model (LC)'!$B$13*M81</f>
        <v>34805943.461156942</v>
      </c>
      <c r="AA81" s="186">
        <f>'GS &gt; 50 OLS Model (LC)'!$B$14*N81</f>
        <v>12953743.18316808</v>
      </c>
      <c r="AB81" s="186">
        <f t="shared" ca="1" si="8"/>
        <v>85318901.128549397</v>
      </c>
    </row>
    <row r="82" spans="1:28">
      <c r="A82" s="128">
        <f>'Monthly Data'!A82</f>
        <v>42248</v>
      </c>
      <c r="B82" s="186">
        <f t="shared" si="7"/>
        <v>2015</v>
      </c>
      <c r="C82" s="230">
        <f ca="1">'Monthly Data'!T82</f>
        <v>81535891.399642572</v>
      </c>
      <c r="D82" s="186">
        <f t="shared" ca="1" si="9"/>
        <v>33.01</v>
      </c>
      <c r="E82" s="186">
        <f t="shared" ca="1" si="9"/>
        <v>72.989999999999981</v>
      </c>
      <c r="F82" s="186">
        <f>'Monthly Data'!BL82</f>
        <v>618051.4</v>
      </c>
      <c r="G82" s="186">
        <f>'Monthly Data'!BM82</f>
        <v>81</v>
      </c>
      <c r="H82" s="186">
        <f>'Monthly Data'!BQ82</f>
        <v>0</v>
      </c>
      <c r="I82" s="186">
        <f>'Monthly Data'!BS82</f>
        <v>0</v>
      </c>
      <c r="J82" s="186">
        <f>'Monthly Data'!BU82</f>
        <v>0</v>
      </c>
      <c r="K82" s="186">
        <f>'Monthly Data'!BV82</f>
        <v>1</v>
      </c>
      <c r="L82" s="186">
        <f>'Monthly Data'!BW82</f>
        <v>0</v>
      </c>
      <c r="M82" s="186">
        <f>'Monthly Data'!CC82</f>
        <v>30</v>
      </c>
      <c r="N82" s="186">
        <f>'Monthly Data'!CD82</f>
        <v>21</v>
      </c>
      <c r="P82" s="186">
        <f>'GS &gt; 50 OLS Model (LC)'!$B$5</f>
        <v>-8436546.8467997499</v>
      </c>
      <c r="Q82" s="186">
        <f ca="1">'GS &gt; 50 OLS Model (LC)'!$B$6*D82</f>
        <v>799403.47299271612</v>
      </c>
      <c r="R82" s="186">
        <f ca="1">'GS &gt; 50 OLS Model (LC)'!$B$7*E82</f>
        <v>5209506.6831977731</v>
      </c>
      <c r="S82" s="186">
        <f>'GS &gt; 50 OLS Model (LC)'!$B$8*F82</f>
        <v>32064213.938787855</v>
      </c>
      <c r="T82" s="186">
        <v>0</v>
      </c>
      <c r="U82" s="186">
        <f>'GS &gt; 50 OLS Model (LC)'!$B$9*H82</f>
        <v>0</v>
      </c>
      <c r="V82" s="186">
        <f>'GS &gt; 50 OLS Model (LC)'!$B$10*I82</f>
        <v>0</v>
      </c>
      <c r="W82" s="186">
        <f>'GS &gt; 50 OLS Model (LC)'!$B$11*J82</f>
        <v>0</v>
      </c>
      <c r="X82" s="186">
        <f>'GS &gt; 50 OLS Model (LC)'!$B$12*K82</f>
        <v>2346294.5864150901</v>
      </c>
      <c r="Y82" s="186">
        <v>0</v>
      </c>
      <c r="Z82" s="186">
        <f>'GS &gt; 50 OLS Model (LC)'!$B$13*M82</f>
        <v>33683171.091442198</v>
      </c>
      <c r="AA82" s="186">
        <f>'GS &gt; 50 OLS Model (LC)'!$B$14*N82</f>
        <v>13601430.342326485</v>
      </c>
      <c r="AB82" s="186">
        <f t="shared" ca="1" si="8"/>
        <v>79267473.268362373</v>
      </c>
    </row>
    <row r="83" spans="1:28">
      <c r="A83" s="128">
        <f>'Monthly Data'!A83</f>
        <v>42278</v>
      </c>
      <c r="B83" s="186">
        <f t="shared" si="7"/>
        <v>2015</v>
      </c>
      <c r="C83" s="230">
        <f ca="1">'Monthly Data'!T83</f>
        <v>77401672.199904114</v>
      </c>
      <c r="D83" s="186">
        <f t="shared" ca="1" si="9"/>
        <v>177.83999999999997</v>
      </c>
      <c r="E83" s="186">
        <f t="shared" ca="1" si="9"/>
        <v>10.779999999999998</v>
      </c>
      <c r="F83" s="186">
        <f>'Monthly Data'!BL83</f>
        <v>618051.4</v>
      </c>
      <c r="G83" s="186">
        <f>'Monthly Data'!BM83</f>
        <v>82</v>
      </c>
      <c r="H83" s="186">
        <f>'Monthly Data'!BQ83</f>
        <v>0</v>
      </c>
      <c r="I83" s="186">
        <f>'Monthly Data'!BS83</f>
        <v>0</v>
      </c>
      <c r="J83" s="186">
        <f>'Monthly Data'!BU83</f>
        <v>0</v>
      </c>
      <c r="K83" s="186">
        <f>'Monthly Data'!BV83</f>
        <v>0</v>
      </c>
      <c r="L83" s="186">
        <f>'Monthly Data'!BW83</f>
        <v>1</v>
      </c>
      <c r="M83" s="186">
        <f>'Monthly Data'!CC83</f>
        <v>31</v>
      </c>
      <c r="N83" s="186">
        <f>'Monthly Data'!CD83</f>
        <v>21</v>
      </c>
      <c r="P83" s="186">
        <f>'GS &gt; 50 OLS Model (LC)'!$B$5</f>
        <v>-8436546.8467997499</v>
      </c>
      <c r="Q83" s="186">
        <f ca="1">'GS &gt; 50 OLS Model (LC)'!$B$6*D83</f>
        <v>4306752.9123606365</v>
      </c>
      <c r="R83" s="186">
        <f ca="1">'GS &gt; 50 OLS Model (LC)'!$B$7*E83</f>
        <v>769399.67180260306</v>
      </c>
      <c r="S83" s="186">
        <f>'GS &gt; 50 OLS Model (LC)'!$B$8*F83</f>
        <v>32064213.938787855</v>
      </c>
      <c r="T83" s="186">
        <v>0</v>
      </c>
      <c r="U83" s="186">
        <f>'GS &gt; 50 OLS Model (LC)'!$B$9*H83</f>
        <v>0</v>
      </c>
      <c r="V83" s="186">
        <f>'GS &gt; 50 OLS Model (LC)'!$B$10*I83</f>
        <v>0</v>
      </c>
      <c r="W83" s="186">
        <f>'GS &gt; 50 OLS Model (LC)'!$B$11*J83</f>
        <v>0</v>
      </c>
      <c r="X83" s="186">
        <f>'GS &gt; 50 OLS Model (LC)'!$B$12*K83</f>
        <v>0</v>
      </c>
      <c r="Y83" s="186">
        <v>0</v>
      </c>
      <c r="Z83" s="186">
        <f>'GS &gt; 50 OLS Model (LC)'!$B$13*M83</f>
        <v>34805943.461156942</v>
      </c>
      <c r="AA83" s="186">
        <f>'GS &gt; 50 OLS Model (LC)'!$B$14*N83</f>
        <v>13601430.342326485</v>
      </c>
      <c r="AB83" s="186">
        <f t="shared" ca="1" si="8"/>
        <v>77111193.479634762</v>
      </c>
    </row>
    <row r="84" spans="1:28">
      <c r="A84" s="128">
        <f>'Monthly Data'!A84</f>
        <v>42309</v>
      </c>
      <c r="B84" s="186">
        <f t="shared" si="7"/>
        <v>2015</v>
      </c>
      <c r="C84" s="230">
        <f ca="1">'Monthly Data'!T84</f>
        <v>77630447.981231928</v>
      </c>
      <c r="D84" s="186">
        <f t="shared" ca="1" si="9"/>
        <v>361.94999999999993</v>
      </c>
      <c r="E84" s="186">
        <f t="shared" ca="1" si="9"/>
        <v>0.05</v>
      </c>
      <c r="F84" s="186">
        <f>'Monthly Data'!BL84</f>
        <v>618051.4</v>
      </c>
      <c r="G84" s="186">
        <f>'Monthly Data'!BM84</f>
        <v>83</v>
      </c>
      <c r="H84" s="186">
        <f>'Monthly Data'!BQ84</f>
        <v>0</v>
      </c>
      <c r="I84" s="186">
        <f>'Monthly Data'!BS84</f>
        <v>0</v>
      </c>
      <c r="J84" s="186">
        <f>'Monthly Data'!BU84</f>
        <v>0</v>
      </c>
      <c r="K84" s="186">
        <f>'Monthly Data'!BV84</f>
        <v>0</v>
      </c>
      <c r="L84" s="186">
        <f>'Monthly Data'!BW84</f>
        <v>0</v>
      </c>
      <c r="M84" s="186">
        <f>'Monthly Data'!CC84</f>
        <v>30</v>
      </c>
      <c r="N84" s="186">
        <f>'Monthly Data'!CD84</f>
        <v>21</v>
      </c>
      <c r="P84" s="186">
        <f>'GS &gt; 50 OLS Model (LC)'!$B$5</f>
        <v>-8436546.8467997499</v>
      </c>
      <c r="Q84" s="186">
        <f ca="1">'GS &gt; 50 OLS Model (LC)'!$B$6*D84</f>
        <v>8765346.4722724482</v>
      </c>
      <c r="R84" s="186">
        <f ca="1">'GS &gt; 50 OLS Model (LC)'!$B$7*E84</f>
        <v>3568.6441178228351</v>
      </c>
      <c r="S84" s="186">
        <f>'GS &gt; 50 OLS Model (LC)'!$B$8*F84</f>
        <v>32064213.938787855</v>
      </c>
      <c r="T84" s="186">
        <v>0</v>
      </c>
      <c r="U84" s="186">
        <f>'GS &gt; 50 OLS Model (LC)'!$B$9*H84</f>
        <v>0</v>
      </c>
      <c r="V84" s="186">
        <f>'GS &gt; 50 OLS Model (LC)'!$B$10*I84</f>
        <v>0</v>
      </c>
      <c r="W84" s="186">
        <f>'GS &gt; 50 OLS Model (LC)'!$B$11*J84</f>
        <v>0</v>
      </c>
      <c r="X84" s="186">
        <f>'GS &gt; 50 OLS Model (LC)'!$B$12*K84</f>
        <v>0</v>
      </c>
      <c r="Y84" s="186">
        <v>0</v>
      </c>
      <c r="Z84" s="186">
        <f>'GS &gt; 50 OLS Model (LC)'!$B$13*M84</f>
        <v>33683171.091442198</v>
      </c>
      <c r="AA84" s="186">
        <f>'GS &gt; 50 OLS Model (LC)'!$B$14*N84</f>
        <v>13601430.342326485</v>
      </c>
      <c r="AB84" s="186">
        <f t="shared" ca="1" si="8"/>
        <v>79681183.642147064</v>
      </c>
    </row>
    <row r="85" spans="1:28">
      <c r="A85" s="128">
        <f>'Monthly Data'!A85</f>
        <v>42339</v>
      </c>
      <c r="B85" s="186">
        <f t="shared" si="7"/>
        <v>2015</v>
      </c>
      <c r="C85" s="230">
        <f ca="1">'Monthly Data'!T85</f>
        <v>79549095.483397886</v>
      </c>
      <c r="D85" s="186">
        <f t="shared" ca="1" si="9"/>
        <v>556.41000000000008</v>
      </c>
      <c r="E85" s="186">
        <f t="shared" ca="1" si="9"/>
        <v>0</v>
      </c>
      <c r="F85" s="186">
        <f>'Monthly Data'!BL85</f>
        <v>618051.4</v>
      </c>
      <c r="G85" s="186">
        <f>'Monthly Data'!BM85</f>
        <v>84</v>
      </c>
      <c r="H85" s="186">
        <f>'Monthly Data'!BQ85</f>
        <v>0</v>
      </c>
      <c r="I85" s="186">
        <f>'Monthly Data'!BS85</f>
        <v>0</v>
      </c>
      <c r="J85" s="186">
        <f>'Monthly Data'!BU85</f>
        <v>0</v>
      </c>
      <c r="K85" s="186">
        <f>'Monthly Data'!BV85</f>
        <v>0</v>
      </c>
      <c r="L85" s="186">
        <f>'Monthly Data'!BW85</f>
        <v>0</v>
      </c>
      <c r="M85" s="186">
        <f>'Monthly Data'!CC85</f>
        <v>31</v>
      </c>
      <c r="N85" s="186">
        <f>'Monthly Data'!CD85</f>
        <v>21</v>
      </c>
      <c r="P85" s="186">
        <f>'GS &gt; 50 OLS Model (LC)'!$B$5</f>
        <v>-8436546.8467997499</v>
      </c>
      <c r="Q85" s="186">
        <f ca="1">'GS &gt; 50 OLS Model (LC)'!$B$6*D85</f>
        <v>13474586.077185012</v>
      </c>
      <c r="R85" s="186">
        <f ca="1">'GS &gt; 50 OLS Model (LC)'!$B$7*E85</f>
        <v>0</v>
      </c>
      <c r="S85" s="186">
        <f>'GS &gt; 50 OLS Model (LC)'!$B$8*F85</f>
        <v>32064213.938787855</v>
      </c>
      <c r="T85" s="186">
        <v>0</v>
      </c>
      <c r="U85" s="186">
        <f>'GS &gt; 50 OLS Model (LC)'!$B$9*H85</f>
        <v>0</v>
      </c>
      <c r="V85" s="186">
        <f>'GS &gt; 50 OLS Model (LC)'!$B$10*I85</f>
        <v>0</v>
      </c>
      <c r="W85" s="186">
        <f>'GS &gt; 50 OLS Model (LC)'!$B$11*J85</f>
        <v>0</v>
      </c>
      <c r="X85" s="186">
        <f>'GS &gt; 50 OLS Model (LC)'!$B$12*K85</f>
        <v>0</v>
      </c>
      <c r="Y85" s="186">
        <v>0</v>
      </c>
      <c r="Z85" s="186">
        <f>'GS &gt; 50 OLS Model (LC)'!$B$13*M85</f>
        <v>34805943.461156942</v>
      </c>
      <c r="AA85" s="186">
        <f>'GS &gt; 50 OLS Model (LC)'!$B$14*N85</f>
        <v>13601430.342326485</v>
      </c>
      <c r="AB85" s="186">
        <f t="shared" ca="1" si="8"/>
        <v>85509626.972656548</v>
      </c>
    </row>
    <row r="86" spans="1:28">
      <c r="A86" s="128">
        <f>'Monthly Data'!A86</f>
        <v>42370</v>
      </c>
      <c r="B86" s="186">
        <f t="shared" si="7"/>
        <v>2016</v>
      </c>
      <c r="C86" s="230">
        <f ca="1">'Monthly Data'!T86</f>
        <v>87169946.03208454</v>
      </c>
      <c r="D86" s="186">
        <f t="shared" ca="1" si="9"/>
        <v>659.42999999999984</v>
      </c>
      <c r="E86" s="186">
        <f t="shared" ca="1" si="9"/>
        <v>0</v>
      </c>
      <c r="F86" s="186">
        <f>'Monthly Data'!BL86</f>
        <v>634257.80000000005</v>
      </c>
      <c r="G86" s="186">
        <f>'Monthly Data'!BM86</f>
        <v>85</v>
      </c>
      <c r="H86" s="186">
        <f>'Monthly Data'!BQ86</f>
        <v>0</v>
      </c>
      <c r="I86" s="186">
        <f>'Monthly Data'!BS86</f>
        <v>0</v>
      </c>
      <c r="J86" s="186">
        <f>'Monthly Data'!BU86</f>
        <v>0</v>
      </c>
      <c r="K86" s="186">
        <f>'Monthly Data'!BV86</f>
        <v>0</v>
      </c>
      <c r="L86" s="186">
        <f>'Monthly Data'!BW86</f>
        <v>0</v>
      </c>
      <c r="M86" s="186">
        <f>'Monthly Data'!CC86</f>
        <v>31</v>
      </c>
      <c r="N86" s="186">
        <f>'Monthly Data'!CD86</f>
        <v>20</v>
      </c>
      <c r="P86" s="186">
        <f>'GS &gt; 50 OLS Model (LC)'!$B$5</f>
        <v>-8436546.8467997499</v>
      </c>
      <c r="Q86" s="186">
        <f ca="1">'GS &gt; 50 OLS Model (LC)'!$B$6*D86</f>
        <v>15969422.36278663</v>
      </c>
      <c r="R86" s="186">
        <f ca="1">'GS &gt; 50 OLS Model (LC)'!$B$7*E86</f>
        <v>0</v>
      </c>
      <c r="S86" s="186">
        <f>'GS &gt; 50 OLS Model (LC)'!$B$8*F86</f>
        <v>32904994.29585455</v>
      </c>
      <c r="T86" s="186">
        <v>0</v>
      </c>
      <c r="U86" s="186">
        <f>'GS &gt; 50 OLS Model (LC)'!$B$9*H86</f>
        <v>0</v>
      </c>
      <c r="V86" s="186">
        <f>'GS &gt; 50 OLS Model (LC)'!$B$10*I86</f>
        <v>0</v>
      </c>
      <c r="W86" s="186">
        <f>'GS &gt; 50 OLS Model (LC)'!$B$11*J86</f>
        <v>0</v>
      </c>
      <c r="X86" s="186">
        <f>'GS &gt; 50 OLS Model (LC)'!$B$12*K86</f>
        <v>0</v>
      </c>
      <c r="Y86" s="186">
        <v>0</v>
      </c>
      <c r="Z86" s="186">
        <f>'GS &gt; 50 OLS Model (LC)'!$B$13*M86</f>
        <v>34805943.461156942</v>
      </c>
      <c r="AA86" s="186">
        <f>'GS &gt; 50 OLS Model (LC)'!$B$14*N86</f>
        <v>12953743.18316808</v>
      </c>
      <c r="AB86" s="186">
        <f t="shared" ca="1" si="8"/>
        <v>88197556.456166446</v>
      </c>
    </row>
    <row r="87" spans="1:28">
      <c r="A87" s="128">
        <f>'Monthly Data'!A87</f>
        <v>42401</v>
      </c>
      <c r="B87" s="186">
        <f t="shared" si="7"/>
        <v>2016</v>
      </c>
      <c r="C87" s="230">
        <f ca="1">'Monthly Data'!T87</f>
        <v>82995259.984632462</v>
      </c>
      <c r="D87" s="186">
        <f t="shared" ca="1" si="9"/>
        <v>571.77</v>
      </c>
      <c r="E87" s="186">
        <f t="shared" ca="1" si="9"/>
        <v>0</v>
      </c>
      <c r="F87" s="186">
        <f>'Monthly Data'!BL87</f>
        <v>634257.80000000005</v>
      </c>
      <c r="G87" s="186">
        <f>'Monthly Data'!BM87</f>
        <v>86</v>
      </c>
      <c r="H87" s="186">
        <f>'Monthly Data'!BQ87</f>
        <v>0</v>
      </c>
      <c r="I87" s="186">
        <f>'Monthly Data'!BS87</f>
        <v>0</v>
      </c>
      <c r="J87" s="186">
        <f>'Monthly Data'!BU87</f>
        <v>0</v>
      </c>
      <c r="K87" s="186">
        <f>'Monthly Data'!BV87</f>
        <v>0</v>
      </c>
      <c r="L87" s="186">
        <f>'Monthly Data'!BW87</f>
        <v>0</v>
      </c>
      <c r="M87" s="186">
        <f>'Monthly Data'!CC87</f>
        <v>29</v>
      </c>
      <c r="N87" s="186">
        <f>'Monthly Data'!CD87</f>
        <v>20</v>
      </c>
      <c r="P87" s="186">
        <f>'GS &gt; 50 OLS Model (LC)'!$B$5</f>
        <v>-8436546.8467997499</v>
      </c>
      <c r="Q87" s="186">
        <f ca="1">'GS &gt; 50 OLS Model (LC)'!$B$6*D87</f>
        <v>13846559.338171624</v>
      </c>
      <c r="R87" s="186">
        <f ca="1">'GS &gt; 50 OLS Model (LC)'!$B$7*E87</f>
        <v>0</v>
      </c>
      <c r="S87" s="186">
        <f>'GS &gt; 50 OLS Model (LC)'!$B$8*F87</f>
        <v>32904994.29585455</v>
      </c>
      <c r="T87" s="186">
        <v>0</v>
      </c>
      <c r="U87" s="186">
        <f>'GS &gt; 50 OLS Model (LC)'!$B$9*H87</f>
        <v>0</v>
      </c>
      <c r="V87" s="186">
        <f>'GS &gt; 50 OLS Model (LC)'!$B$10*I87</f>
        <v>0</v>
      </c>
      <c r="W87" s="186">
        <f>'GS &gt; 50 OLS Model (LC)'!$B$11*J87</f>
        <v>0</v>
      </c>
      <c r="X87" s="186">
        <f>'GS &gt; 50 OLS Model (LC)'!$B$12*K87</f>
        <v>0</v>
      </c>
      <c r="Y87" s="186">
        <v>0</v>
      </c>
      <c r="Z87" s="186">
        <f>'GS &gt; 50 OLS Model (LC)'!$B$13*M87</f>
        <v>32560398.721727461</v>
      </c>
      <c r="AA87" s="186">
        <f>'GS &gt; 50 OLS Model (LC)'!$B$14*N87</f>
        <v>12953743.18316808</v>
      </c>
      <c r="AB87" s="186">
        <f t="shared" ca="1" si="8"/>
        <v>83829148.692121968</v>
      </c>
    </row>
    <row r="88" spans="1:28">
      <c r="A88" s="128">
        <f>'Monthly Data'!A88</f>
        <v>42430</v>
      </c>
      <c r="B88" s="186">
        <f t="shared" si="7"/>
        <v>2016</v>
      </c>
      <c r="C88" s="230">
        <f ca="1">'Monthly Data'!T88</f>
        <v>82448056.619322732</v>
      </c>
      <c r="D88" s="186">
        <f t="shared" ca="1" si="9"/>
        <v>456.53999999999996</v>
      </c>
      <c r="E88" s="186">
        <f t="shared" ca="1" si="9"/>
        <v>0.48</v>
      </c>
      <c r="F88" s="186">
        <f>'Monthly Data'!BL88</f>
        <v>634257.80000000005</v>
      </c>
      <c r="G88" s="186">
        <f>'Monthly Data'!BM88</f>
        <v>87</v>
      </c>
      <c r="H88" s="186">
        <f>'Monthly Data'!BQ88</f>
        <v>0</v>
      </c>
      <c r="I88" s="186">
        <f>'Monthly Data'!BS88</f>
        <v>0</v>
      </c>
      <c r="J88" s="186">
        <f>'Monthly Data'!BU88</f>
        <v>0</v>
      </c>
      <c r="K88" s="186">
        <f>'Monthly Data'!BV88</f>
        <v>0</v>
      </c>
      <c r="L88" s="186">
        <f>'Monthly Data'!BW88</f>
        <v>0</v>
      </c>
      <c r="M88" s="186">
        <f>'Monthly Data'!CC88</f>
        <v>31</v>
      </c>
      <c r="N88" s="186">
        <f>'Monthly Data'!CD88</f>
        <v>21</v>
      </c>
      <c r="P88" s="186">
        <f>'GS &gt; 50 OLS Model (LC)'!$B$5</f>
        <v>-8436546.8467997499</v>
      </c>
      <c r="Q88" s="186">
        <f ca="1">'GS &gt; 50 OLS Model (LC)'!$B$6*D88</f>
        <v>11056033.370496655</v>
      </c>
      <c r="R88" s="186">
        <f ca="1">'GS &gt; 50 OLS Model (LC)'!$B$7*E88</f>
        <v>34258.983531099213</v>
      </c>
      <c r="S88" s="186">
        <f>'GS &gt; 50 OLS Model (LC)'!$B$8*F88</f>
        <v>32904994.29585455</v>
      </c>
      <c r="T88" s="186">
        <v>0</v>
      </c>
      <c r="U88" s="186">
        <f>'GS &gt; 50 OLS Model (LC)'!$B$9*H88</f>
        <v>0</v>
      </c>
      <c r="V88" s="186">
        <f>'GS &gt; 50 OLS Model (LC)'!$B$10*I88</f>
        <v>0</v>
      </c>
      <c r="W88" s="186">
        <f>'GS &gt; 50 OLS Model (LC)'!$B$11*J88</f>
        <v>0</v>
      </c>
      <c r="X88" s="186">
        <f>'GS &gt; 50 OLS Model (LC)'!$B$12*K88</f>
        <v>0</v>
      </c>
      <c r="Y88" s="186">
        <v>0</v>
      </c>
      <c r="Z88" s="186">
        <f>'GS &gt; 50 OLS Model (LC)'!$B$13*M88</f>
        <v>34805943.461156942</v>
      </c>
      <c r="AA88" s="186">
        <f>'GS &gt; 50 OLS Model (LC)'!$B$14*N88</f>
        <v>13601430.342326485</v>
      </c>
      <c r="AB88" s="186">
        <f t="shared" ca="1" si="8"/>
        <v>83966113.606565982</v>
      </c>
    </row>
    <row r="89" spans="1:28">
      <c r="A89" s="128">
        <f>'Monthly Data'!A89</f>
        <v>42461</v>
      </c>
      <c r="B89" s="186">
        <f t="shared" si="7"/>
        <v>2016</v>
      </c>
      <c r="C89" s="230">
        <f ca="1">'Monthly Data'!T89</f>
        <v>76779556.596543834</v>
      </c>
      <c r="D89" s="186">
        <f t="shared" ca="1" si="9"/>
        <v>248.54999999999995</v>
      </c>
      <c r="E89" s="186">
        <f t="shared" ca="1" si="9"/>
        <v>2.63</v>
      </c>
      <c r="F89" s="186">
        <f>'Monthly Data'!BL89</f>
        <v>634257.80000000005</v>
      </c>
      <c r="G89" s="186">
        <f>'Monthly Data'!BM89</f>
        <v>88</v>
      </c>
      <c r="H89" s="186">
        <f>'Monthly Data'!BQ89</f>
        <v>1</v>
      </c>
      <c r="I89" s="186">
        <f>'Monthly Data'!BS89</f>
        <v>0</v>
      </c>
      <c r="J89" s="186">
        <f>'Monthly Data'!BU89</f>
        <v>0</v>
      </c>
      <c r="K89" s="186">
        <f>'Monthly Data'!BV89</f>
        <v>0</v>
      </c>
      <c r="L89" s="186">
        <f>'Monthly Data'!BW89</f>
        <v>0</v>
      </c>
      <c r="M89" s="186">
        <f>'Monthly Data'!CC89</f>
        <v>30</v>
      </c>
      <c r="N89" s="186">
        <f>'Monthly Data'!CD89</f>
        <v>21</v>
      </c>
      <c r="P89" s="186">
        <f>'GS &gt; 50 OLS Model (LC)'!$B$5</f>
        <v>-8436546.8467997499</v>
      </c>
      <c r="Q89" s="186">
        <f ca="1">'GS &gt; 50 OLS Model (LC)'!$B$6*D89</f>
        <v>6019137.631394715</v>
      </c>
      <c r="R89" s="186">
        <f ca="1">'GS &gt; 50 OLS Model (LC)'!$B$7*E89</f>
        <v>187710.68059748111</v>
      </c>
      <c r="S89" s="186">
        <f>'GS &gt; 50 OLS Model (LC)'!$B$8*F89</f>
        <v>32904994.29585455</v>
      </c>
      <c r="T89" s="186">
        <v>0</v>
      </c>
      <c r="U89" s="186">
        <f>'GS &gt; 50 OLS Model (LC)'!$B$9*H89</f>
        <v>-1670517.9110053701</v>
      </c>
      <c r="V89" s="186">
        <f>'GS &gt; 50 OLS Model (LC)'!$B$10*I89</f>
        <v>0</v>
      </c>
      <c r="W89" s="186">
        <f>'GS &gt; 50 OLS Model (LC)'!$B$11*J89</f>
        <v>0</v>
      </c>
      <c r="X89" s="186">
        <f>'GS &gt; 50 OLS Model (LC)'!$B$12*K89</f>
        <v>0</v>
      </c>
      <c r="Y89" s="186">
        <v>0</v>
      </c>
      <c r="Z89" s="186">
        <f>'GS &gt; 50 OLS Model (LC)'!$B$13*M89</f>
        <v>33683171.091442198</v>
      </c>
      <c r="AA89" s="186">
        <f>'GS &gt; 50 OLS Model (LC)'!$B$14*N89</f>
        <v>13601430.342326485</v>
      </c>
      <c r="AB89" s="186">
        <f t="shared" ca="1" si="8"/>
        <v>76289379.283810318</v>
      </c>
    </row>
    <row r="90" spans="1:28">
      <c r="A90" s="128">
        <f>'Monthly Data'!A90</f>
        <v>42491</v>
      </c>
      <c r="B90" s="186">
        <f t="shared" si="7"/>
        <v>2016</v>
      </c>
      <c r="C90" s="230">
        <f ca="1">'Monthly Data'!T90</f>
        <v>79686689.360070512</v>
      </c>
      <c r="D90" s="186">
        <f t="shared" ca="1" si="9"/>
        <v>92.740000000000009</v>
      </c>
      <c r="E90" s="186">
        <f t="shared" ca="1" si="9"/>
        <v>47.37</v>
      </c>
      <c r="F90" s="186">
        <f>'Monthly Data'!BL90</f>
        <v>634257.80000000005</v>
      </c>
      <c r="G90" s="186">
        <f>'Monthly Data'!BM90</f>
        <v>89</v>
      </c>
      <c r="H90" s="186">
        <f>'Monthly Data'!BQ90</f>
        <v>0</v>
      </c>
      <c r="I90" s="186">
        <f>'Monthly Data'!BS90</f>
        <v>0</v>
      </c>
      <c r="J90" s="186">
        <f>'Monthly Data'!BU90</f>
        <v>0</v>
      </c>
      <c r="K90" s="186">
        <f>'Monthly Data'!BV90</f>
        <v>0</v>
      </c>
      <c r="L90" s="186">
        <f>'Monthly Data'!BW90</f>
        <v>0</v>
      </c>
      <c r="M90" s="186">
        <f>'Monthly Data'!CC90</f>
        <v>31</v>
      </c>
      <c r="N90" s="186">
        <f>'Monthly Data'!CD90</f>
        <v>21</v>
      </c>
      <c r="P90" s="186">
        <f>'GS &gt; 50 OLS Model (LC)'!$B$5</f>
        <v>-8436546.8467997499</v>
      </c>
      <c r="Q90" s="186">
        <f ca="1">'GS &gt; 50 OLS Model (LC)'!$B$6*D90</f>
        <v>2245885.4312433959</v>
      </c>
      <c r="R90" s="186">
        <f ca="1">'GS &gt; 50 OLS Model (LC)'!$B$7*E90</f>
        <v>3380933.4372253534</v>
      </c>
      <c r="S90" s="186">
        <f>'GS &gt; 50 OLS Model (LC)'!$B$8*F90</f>
        <v>32904994.29585455</v>
      </c>
      <c r="T90" s="186">
        <v>0</v>
      </c>
      <c r="U90" s="186">
        <f>'GS &gt; 50 OLS Model (LC)'!$B$9*H90</f>
        <v>0</v>
      </c>
      <c r="V90" s="186">
        <f>'GS &gt; 50 OLS Model (LC)'!$B$10*I90</f>
        <v>0</v>
      </c>
      <c r="W90" s="186">
        <f>'GS &gt; 50 OLS Model (LC)'!$B$11*J90</f>
        <v>0</v>
      </c>
      <c r="X90" s="186">
        <f>'GS &gt; 50 OLS Model (LC)'!$B$12*K90</f>
        <v>0</v>
      </c>
      <c r="Y90" s="186">
        <v>0</v>
      </c>
      <c r="Z90" s="186">
        <f>'GS &gt; 50 OLS Model (LC)'!$B$13*M90</f>
        <v>34805943.461156942</v>
      </c>
      <c r="AA90" s="186">
        <f>'GS &gt; 50 OLS Model (LC)'!$B$14*N90</f>
        <v>13601430.342326485</v>
      </c>
      <c r="AB90" s="186">
        <f t="shared" ca="1" si="8"/>
        <v>78502640.121006966</v>
      </c>
    </row>
    <row r="91" spans="1:28">
      <c r="A91" s="128">
        <f>'Monthly Data'!A91</f>
        <v>42522</v>
      </c>
      <c r="B91" s="186">
        <f t="shared" si="7"/>
        <v>2016</v>
      </c>
      <c r="C91" s="230">
        <f ca="1">'Monthly Data'!T91</f>
        <v>83872675.506474167</v>
      </c>
      <c r="D91" s="186">
        <f t="shared" ca="1" si="9"/>
        <v>9.08</v>
      </c>
      <c r="E91" s="186">
        <f t="shared" ca="1" si="9"/>
        <v>117.23999999999997</v>
      </c>
      <c r="F91" s="186">
        <f>'Monthly Data'!BL91</f>
        <v>634257.80000000005</v>
      </c>
      <c r="G91" s="186">
        <f>'Monthly Data'!BM91</f>
        <v>90</v>
      </c>
      <c r="H91" s="186">
        <f>'Monthly Data'!BQ91</f>
        <v>0</v>
      </c>
      <c r="I91" s="186">
        <f>'Monthly Data'!BS91</f>
        <v>1</v>
      </c>
      <c r="J91" s="186">
        <f>'Monthly Data'!BU91</f>
        <v>0</v>
      </c>
      <c r="K91" s="186">
        <f>'Monthly Data'!BV91</f>
        <v>0</v>
      </c>
      <c r="L91" s="186">
        <f>'Monthly Data'!BW91</f>
        <v>0</v>
      </c>
      <c r="M91" s="186">
        <f>'Monthly Data'!CC91</f>
        <v>30</v>
      </c>
      <c r="N91" s="186">
        <f>'Monthly Data'!CD91</f>
        <v>22</v>
      </c>
      <c r="P91" s="186">
        <f>'GS &gt; 50 OLS Model (LC)'!$B$5</f>
        <v>-8436546.8467997499</v>
      </c>
      <c r="Q91" s="186">
        <f ca="1">'GS &gt; 50 OLS Model (LC)'!$B$6*D91</f>
        <v>219890.44334364927</v>
      </c>
      <c r="R91" s="186">
        <f ca="1">'GS &gt; 50 OLS Model (LC)'!$B$7*E91</f>
        <v>8367756.727470981</v>
      </c>
      <c r="S91" s="186">
        <f>'GS &gt; 50 OLS Model (LC)'!$B$8*F91</f>
        <v>32904994.29585455</v>
      </c>
      <c r="T91" s="186">
        <v>0</v>
      </c>
      <c r="U91" s="186">
        <f>'GS &gt; 50 OLS Model (LC)'!$B$9*H91</f>
        <v>0</v>
      </c>
      <c r="V91" s="186">
        <f>'GS &gt; 50 OLS Model (LC)'!$B$10*I91</f>
        <v>1260255.0136768401</v>
      </c>
      <c r="W91" s="186">
        <f>'GS &gt; 50 OLS Model (LC)'!$B$11*J91</f>
        <v>0</v>
      </c>
      <c r="X91" s="186">
        <f>'GS &gt; 50 OLS Model (LC)'!$B$12*K91</f>
        <v>0</v>
      </c>
      <c r="Y91" s="186">
        <v>0</v>
      </c>
      <c r="Z91" s="186">
        <f>'GS &gt; 50 OLS Model (LC)'!$B$13*M91</f>
        <v>33683171.091442198</v>
      </c>
      <c r="AA91" s="186">
        <f>'GS &gt; 50 OLS Model (LC)'!$B$14*N91</f>
        <v>14249117.501484888</v>
      </c>
      <c r="AB91" s="186">
        <f t="shared" ca="1" si="8"/>
        <v>82248638.226473346</v>
      </c>
    </row>
    <row r="92" spans="1:28">
      <c r="A92" s="128">
        <f>'Monthly Data'!A92</f>
        <v>42552</v>
      </c>
      <c r="B92" s="186">
        <f t="shared" si="7"/>
        <v>2016</v>
      </c>
      <c r="C92" s="230">
        <f ca="1">'Monthly Data'!T92</f>
        <v>88955763.55474104</v>
      </c>
      <c r="D92" s="186">
        <f t="shared" ca="1" si="9"/>
        <v>0.51</v>
      </c>
      <c r="E92" s="186">
        <f t="shared" ca="1" si="9"/>
        <v>185.60999999999999</v>
      </c>
      <c r="F92" s="186">
        <f>'Monthly Data'!BL92</f>
        <v>634257.80000000005</v>
      </c>
      <c r="G92" s="186">
        <f>'Monthly Data'!BM92</f>
        <v>91</v>
      </c>
      <c r="H92" s="186">
        <f>'Monthly Data'!BQ92</f>
        <v>0</v>
      </c>
      <c r="I92" s="186">
        <f>'Monthly Data'!BS92</f>
        <v>0</v>
      </c>
      <c r="J92" s="186">
        <f>'Monthly Data'!BU92</f>
        <v>0</v>
      </c>
      <c r="K92" s="186">
        <f>'Monthly Data'!BV92</f>
        <v>0</v>
      </c>
      <c r="L92" s="186">
        <f>'Monthly Data'!BW92</f>
        <v>0</v>
      </c>
      <c r="M92" s="186">
        <f>'Monthly Data'!CC92</f>
        <v>31</v>
      </c>
      <c r="N92" s="186">
        <f>'Monthly Data'!CD92</f>
        <v>20</v>
      </c>
      <c r="P92" s="186">
        <f>'GS &gt; 50 OLS Model (LC)'!$B$5</f>
        <v>-8436546.8467997499</v>
      </c>
      <c r="Q92" s="186">
        <f ca="1">'GS &gt; 50 OLS Model (LC)'!$B$6*D92</f>
        <v>12350.67468119616</v>
      </c>
      <c r="R92" s="186">
        <f ca="1">'GS &gt; 50 OLS Model (LC)'!$B$7*E92</f>
        <v>13247520.694181927</v>
      </c>
      <c r="S92" s="186">
        <f>'GS &gt; 50 OLS Model (LC)'!$B$8*F92</f>
        <v>32904994.29585455</v>
      </c>
      <c r="T92" s="186">
        <v>0</v>
      </c>
      <c r="U92" s="186">
        <f>'GS &gt; 50 OLS Model (LC)'!$B$9*H92</f>
        <v>0</v>
      </c>
      <c r="V92" s="186">
        <f>'GS &gt; 50 OLS Model (LC)'!$B$10*I92</f>
        <v>0</v>
      </c>
      <c r="W92" s="186">
        <f>'GS &gt; 50 OLS Model (LC)'!$B$11*J92</f>
        <v>0</v>
      </c>
      <c r="X92" s="186">
        <f>'GS &gt; 50 OLS Model (LC)'!$B$12*K92</f>
        <v>0</v>
      </c>
      <c r="Y92" s="186">
        <v>0</v>
      </c>
      <c r="Z92" s="186">
        <f>'GS &gt; 50 OLS Model (LC)'!$B$13*M92</f>
        <v>34805943.461156942</v>
      </c>
      <c r="AA92" s="186">
        <f>'GS &gt; 50 OLS Model (LC)'!$B$14*N92</f>
        <v>12953743.18316808</v>
      </c>
      <c r="AB92" s="186">
        <f t="shared" ca="1" si="8"/>
        <v>85488005.462242946</v>
      </c>
    </row>
    <row r="93" spans="1:28">
      <c r="A93" s="128">
        <f>'Monthly Data'!A93</f>
        <v>42583</v>
      </c>
      <c r="B93" s="186">
        <f t="shared" si="7"/>
        <v>2016</v>
      </c>
      <c r="C93" s="230">
        <f ca="1">'Monthly Data'!T93</f>
        <v>91795187.170724034</v>
      </c>
      <c r="D93" s="186">
        <f t="shared" ca="1" si="9"/>
        <v>1.51</v>
      </c>
      <c r="E93" s="186">
        <f t="shared" ca="1" si="9"/>
        <v>159.64000000000001</v>
      </c>
      <c r="F93" s="186">
        <f>'Monthly Data'!BL93</f>
        <v>634257.80000000005</v>
      </c>
      <c r="G93" s="186">
        <f>'Monthly Data'!BM93</f>
        <v>92</v>
      </c>
      <c r="H93" s="186">
        <f>'Monthly Data'!BQ93</f>
        <v>0</v>
      </c>
      <c r="I93" s="186">
        <f>'Monthly Data'!BS93</f>
        <v>0</v>
      </c>
      <c r="J93" s="186">
        <f>'Monthly Data'!BU93</f>
        <v>1</v>
      </c>
      <c r="K93" s="186">
        <f>'Monthly Data'!BV93</f>
        <v>0</v>
      </c>
      <c r="L93" s="186">
        <f>'Monthly Data'!BW93</f>
        <v>0</v>
      </c>
      <c r="M93" s="186">
        <f>'Monthly Data'!CC93</f>
        <v>31</v>
      </c>
      <c r="N93" s="186">
        <f>'Monthly Data'!CD93</f>
        <v>22</v>
      </c>
      <c r="P93" s="186">
        <f>'GS &gt; 50 OLS Model (LC)'!$B$5</f>
        <v>-8436546.8467997499</v>
      </c>
      <c r="Q93" s="186">
        <f ca="1">'GS &gt; 50 OLS Model (LC)'!$B$6*D93</f>
        <v>36567.683860012155</v>
      </c>
      <c r="R93" s="186">
        <f ca="1">'GS &gt; 50 OLS Model (LC)'!$B$7*E93</f>
        <v>11393966.939384749</v>
      </c>
      <c r="S93" s="186">
        <f>'GS &gt; 50 OLS Model (LC)'!$B$8*F93</f>
        <v>32904994.29585455</v>
      </c>
      <c r="T93" s="186">
        <v>0</v>
      </c>
      <c r="U93" s="186">
        <f>'GS &gt; 50 OLS Model (LC)'!$B$9*H93</f>
        <v>0</v>
      </c>
      <c r="V93" s="186">
        <f>'GS &gt; 50 OLS Model (LC)'!$B$10*I93</f>
        <v>0</v>
      </c>
      <c r="W93" s="186">
        <f>'GS &gt; 50 OLS Model (LC)'!$B$11*J93</f>
        <v>2501012.7689915099</v>
      </c>
      <c r="X93" s="186">
        <f>'GS &gt; 50 OLS Model (LC)'!$B$12*K93</f>
        <v>0</v>
      </c>
      <c r="Y93" s="186">
        <v>0</v>
      </c>
      <c r="Z93" s="186">
        <f>'GS &gt; 50 OLS Model (LC)'!$B$13*M93</f>
        <v>34805943.461156942</v>
      </c>
      <c r="AA93" s="186">
        <f>'GS &gt; 50 OLS Model (LC)'!$B$14*N93</f>
        <v>14249117.501484888</v>
      </c>
      <c r="AB93" s="186">
        <f t="shared" ca="1" si="8"/>
        <v>87455055.80393289</v>
      </c>
    </row>
    <row r="94" spans="1:28">
      <c r="A94" s="128">
        <f>'Monthly Data'!A94</f>
        <v>42614</v>
      </c>
      <c r="B94" s="186">
        <f t="shared" si="7"/>
        <v>2016</v>
      </c>
      <c r="C94" s="230">
        <f ca="1">'Monthly Data'!T94</f>
        <v>82362063.434793159</v>
      </c>
      <c r="D94" s="186">
        <f t="shared" ref="D94:E109" ca="1" si="10">D82</f>
        <v>33.01</v>
      </c>
      <c r="E94" s="186">
        <f t="shared" ca="1" si="10"/>
        <v>72.989999999999981</v>
      </c>
      <c r="F94" s="186">
        <f>'Monthly Data'!BL94</f>
        <v>634257.80000000005</v>
      </c>
      <c r="G94" s="186">
        <f>'Monthly Data'!BM94</f>
        <v>93</v>
      </c>
      <c r="H94" s="186">
        <f>'Monthly Data'!BQ94</f>
        <v>0</v>
      </c>
      <c r="I94" s="186">
        <f>'Monthly Data'!BS94</f>
        <v>0</v>
      </c>
      <c r="J94" s="186">
        <f>'Monthly Data'!BU94</f>
        <v>0</v>
      </c>
      <c r="K94" s="186">
        <f>'Monthly Data'!BV94</f>
        <v>1</v>
      </c>
      <c r="L94" s="186">
        <f>'Monthly Data'!BW94</f>
        <v>0</v>
      </c>
      <c r="M94" s="186">
        <f>'Monthly Data'!CC94</f>
        <v>30</v>
      </c>
      <c r="N94" s="186">
        <f>'Monthly Data'!CD94</f>
        <v>21</v>
      </c>
      <c r="P94" s="186">
        <f>'GS &gt; 50 OLS Model (LC)'!$B$5</f>
        <v>-8436546.8467997499</v>
      </c>
      <c r="Q94" s="186">
        <f ca="1">'GS &gt; 50 OLS Model (LC)'!$B$6*D94</f>
        <v>799403.47299271612</v>
      </c>
      <c r="R94" s="186">
        <f ca="1">'GS &gt; 50 OLS Model (LC)'!$B$7*E94</f>
        <v>5209506.6831977731</v>
      </c>
      <c r="S94" s="186">
        <f>'GS &gt; 50 OLS Model (LC)'!$B$8*F94</f>
        <v>32904994.29585455</v>
      </c>
      <c r="T94" s="186">
        <v>0</v>
      </c>
      <c r="U94" s="186">
        <f>'GS &gt; 50 OLS Model (LC)'!$B$9*H94</f>
        <v>0</v>
      </c>
      <c r="V94" s="186">
        <f>'GS &gt; 50 OLS Model (LC)'!$B$10*I94</f>
        <v>0</v>
      </c>
      <c r="W94" s="186">
        <f>'GS &gt; 50 OLS Model (LC)'!$B$11*J94</f>
        <v>0</v>
      </c>
      <c r="X94" s="186">
        <f>'GS &gt; 50 OLS Model (LC)'!$B$12*K94</f>
        <v>2346294.5864150901</v>
      </c>
      <c r="Y94" s="186">
        <v>0</v>
      </c>
      <c r="Z94" s="186">
        <f>'GS &gt; 50 OLS Model (LC)'!$B$13*M94</f>
        <v>33683171.091442198</v>
      </c>
      <c r="AA94" s="186">
        <f>'GS &gt; 50 OLS Model (LC)'!$B$14*N94</f>
        <v>13601430.342326485</v>
      </c>
      <c r="AB94" s="186">
        <f t="shared" ca="1" si="8"/>
        <v>80108253.625429064</v>
      </c>
    </row>
    <row r="95" spans="1:28">
      <c r="A95" s="128">
        <f>'Monthly Data'!A95</f>
        <v>42644</v>
      </c>
      <c r="B95" s="186">
        <f t="shared" si="7"/>
        <v>2016</v>
      </c>
      <c r="C95" s="230">
        <f ca="1">'Monthly Data'!T95</f>
        <v>79489363.40802446</v>
      </c>
      <c r="D95" s="186">
        <f t="shared" ca="1" si="10"/>
        <v>177.83999999999997</v>
      </c>
      <c r="E95" s="186">
        <f t="shared" ca="1" si="10"/>
        <v>10.779999999999998</v>
      </c>
      <c r="F95" s="186">
        <f>'Monthly Data'!BL95</f>
        <v>634257.80000000005</v>
      </c>
      <c r="G95" s="186">
        <f>'Monthly Data'!BM95</f>
        <v>94</v>
      </c>
      <c r="H95" s="186">
        <f>'Monthly Data'!BQ95</f>
        <v>0</v>
      </c>
      <c r="I95" s="186">
        <f>'Monthly Data'!BS95</f>
        <v>0</v>
      </c>
      <c r="J95" s="186">
        <f>'Monthly Data'!BU95</f>
        <v>0</v>
      </c>
      <c r="K95" s="186">
        <f>'Monthly Data'!BV95</f>
        <v>0</v>
      </c>
      <c r="L95" s="186">
        <f>'Monthly Data'!BW95</f>
        <v>1</v>
      </c>
      <c r="M95" s="186">
        <f>'Monthly Data'!CC95</f>
        <v>31</v>
      </c>
      <c r="N95" s="186">
        <f>'Monthly Data'!CD95</f>
        <v>20</v>
      </c>
      <c r="P95" s="186">
        <f>'GS &gt; 50 OLS Model (LC)'!$B$5</f>
        <v>-8436546.8467997499</v>
      </c>
      <c r="Q95" s="186">
        <f ca="1">'GS &gt; 50 OLS Model (LC)'!$B$6*D95</f>
        <v>4306752.9123606365</v>
      </c>
      <c r="R95" s="186">
        <f ca="1">'GS &gt; 50 OLS Model (LC)'!$B$7*E95</f>
        <v>769399.67180260306</v>
      </c>
      <c r="S95" s="186">
        <f>'GS &gt; 50 OLS Model (LC)'!$B$8*F95</f>
        <v>32904994.29585455</v>
      </c>
      <c r="T95" s="186">
        <v>0</v>
      </c>
      <c r="U95" s="186">
        <f>'GS &gt; 50 OLS Model (LC)'!$B$9*H95</f>
        <v>0</v>
      </c>
      <c r="V95" s="186">
        <f>'GS &gt; 50 OLS Model (LC)'!$B$10*I95</f>
        <v>0</v>
      </c>
      <c r="W95" s="186">
        <f>'GS &gt; 50 OLS Model (LC)'!$B$11*J95</f>
        <v>0</v>
      </c>
      <c r="X95" s="186">
        <f>'GS &gt; 50 OLS Model (LC)'!$B$12*K95</f>
        <v>0</v>
      </c>
      <c r="Y95" s="186">
        <v>0</v>
      </c>
      <c r="Z95" s="186">
        <f>'GS &gt; 50 OLS Model (LC)'!$B$13*M95</f>
        <v>34805943.461156942</v>
      </c>
      <c r="AA95" s="186">
        <f>'GS &gt; 50 OLS Model (LC)'!$B$14*N95</f>
        <v>12953743.18316808</v>
      </c>
      <c r="AB95" s="186">
        <f t="shared" ca="1" si="8"/>
        <v>77304286.677543059</v>
      </c>
    </row>
    <row r="96" spans="1:28">
      <c r="A96" s="128">
        <f>'Monthly Data'!A96</f>
        <v>42675</v>
      </c>
      <c r="B96" s="186">
        <f t="shared" si="7"/>
        <v>2016</v>
      </c>
      <c r="C96" s="230">
        <f ca="1">'Monthly Data'!T96</f>
        <v>79335132.283126563</v>
      </c>
      <c r="D96" s="186">
        <f t="shared" ca="1" si="10"/>
        <v>361.94999999999993</v>
      </c>
      <c r="E96" s="186">
        <f t="shared" ca="1" si="10"/>
        <v>0.05</v>
      </c>
      <c r="F96" s="186">
        <f>'Monthly Data'!BL96</f>
        <v>634257.80000000005</v>
      </c>
      <c r="G96" s="186">
        <f>'Monthly Data'!BM96</f>
        <v>95</v>
      </c>
      <c r="H96" s="186">
        <f>'Monthly Data'!BQ96</f>
        <v>0</v>
      </c>
      <c r="I96" s="186">
        <f>'Monthly Data'!BS96</f>
        <v>0</v>
      </c>
      <c r="J96" s="186">
        <f>'Monthly Data'!BU96</f>
        <v>0</v>
      </c>
      <c r="K96" s="186">
        <f>'Monthly Data'!BV96</f>
        <v>0</v>
      </c>
      <c r="L96" s="186">
        <f>'Monthly Data'!BW96</f>
        <v>0</v>
      </c>
      <c r="M96" s="186">
        <f>'Monthly Data'!CC96</f>
        <v>30</v>
      </c>
      <c r="N96" s="186">
        <f>'Monthly Data'!CD96</f>
        <v>22</v>
      </c>
      <c r="P96" s="186">
        <f>'GS &gt; 50 OLS Model (LC)'!$B$5</f>
        <v>-8436546.8467997499</v>
      </c>
      <c r="Q96" s="186">
        <f ca="1">'GS &gt; 50 OLS Model (LC)'!$B$6*D96</f>
        <v>8765346.4722724482</v>
      </c>
      <c r="R96" s="186">
        <f ca="1">'GS &gt; 50 OLS Model (LC)'!$B$7*E96</f>
        <v>3568.6441178228351</v>
      </c>
      <c r="S96" s="186">
        <f>'GS &gt; 50 OLS Model (LC)'!$B$8*F96</f>
        <v>32904994.29585455</v>
      </c>
      <c r="T96" s="186">
        <v>0</v>
      </c>
      <c r="U96" s="186">
        <f>'GS &gt; 50 OLS Model (LC)'!$B$9*H96</f>
        <v>0</v>
      </c>
      <c r="V96" s="186">
        <f>'GS &gt; 50 OLS Model (LC)'!$B$10*I96</f>
        <v>0</v>
      </c>
      <c r="W96" s="186">
        <f>'GS &gt; 50 OLS Model (LC)'!$B$11*J96</f>
        <v>0</v>
      </c>
      <c r="X96" s="186">
        <f>'GS &gt; 50 OLS Model (LC)'!$B$12*K96</f>
        <v>0</v>
      </c>
      <c r="Y96" s="186">
        <v>0</v>
      </c>
      <c r="Z96" s="186">
        <f>'GS &gt; 50 OLS Model (LC)'!$B$13*M96</f>
        <v>33683171.091442198</v>
      </c>
      <c r="AA96" s="186">
        <f>'GS &gt; 50 OLS Model (LC)'!$B$14*N96</f>
        <v>14249117.501484888</v>
      </c>
      <c r="AB96" s="186">
        <f t="shared" ca="1" si="8"/>
        <v>81169651.158372149</v>
      </c>
    </row>
    <row r="97" spans="1:28">
      <c r="A97" s="128">
        <f>'Monthly Data'!A97</f>
        <v>42705</v>
      </c>
      <c r="B97" s="186">
        <f t="shared" si="7"/>
        <v>2016</v>
      </c>
      <c r="C97" s="230">
        <f ca="1">'Monthly Data'!T97</f>
        <v>85381711.661736995</v>
      </c>
      <c r="D97" s="186">
        <f t="shared" ca="1" si="10"/>
        <v>556.41000000000008</v>
      </c>
      <c r="E97" s="186">
        <f t="shared" ca="1" si="10"/>
        <v>0</v>
      </c>
      <c r="F97" s="186">
        <f>'Monthly Data'!BL97</f>
        <v>634257.80000000005</v>
      </c>
      <c r="G97" s="186">
        <f>'Monthly Data'!BM97</f>
        <v>96</v>
      </c>
      <c r="H97" s="186">
        <f>'Monthly Data'!BQ97</f>
        <v>0</v>
      </c>
      <c r="I97" s="186">
        <f>'Monthly Data'!BS97</f>
        <v>0</v>
      </c>
      <c r="J97" s="186">
        <f>'Monthly Data'!BU97</f>
        <v>0</v>
      </c>
      <c r="K97" s="186">
        <f>'Monthly Data'!BV97</f>
        <v>0</v>
      </c>
      <c r="L97" s="186">
        <f>'Monthly Data'!BW97</f>
        <v>0</v>
      </c>
      <c r="M97" s="186">
        <f>'Monthly Data'!CC97</f>
        <v>31</v>
      </c>
      <c r="N97" s="186">
        <f>'Monthly Data'!CD97</f>
        <v>20</v>
      </c>
      <c r="P97" s="186">
        <f>'GS &gt; 50 OLS Model (LC)'!$B$5</f>
        <v>-8436546.8467997499</v>
      </c>
      <c r="Q97" s="186">
        <f ca="1">'GS &gt; 50 OLS Model (LC)'!$B$6*D97</f>
        <v>13474586.077185012</v>
      </c>
      <c r="R97" s="186">
        <f ca="1">'GS &gt; 50 OLS Model (LC)'!$B$7*E97</f>
        <v>0</v>
      </c>
      <c r="S97" s="186">
        <f>'GS &gt; 50 OLS Model (LC)'!$B$8*F97</f>
        <v>32904994.29585455</v>
      </c>
      <c r="T97" s="186">
        <v>0</v>
      </c>
      <c r="U97" s="186">
        <f>'GS &gt; 50 OLS Model (LC)'!$B$9*H97</f>
        <v>0</v>
      </c>
      <c r="V97" s="186">
        <f>'GS &gt; 50 OLS Model (LC)'!$B$10*I97</f>
        <v>0</v>
      </c>
      <c r="W97" s="186">
        <f>'GS &gt; 50 OLS Model (LC)'!$B$11*J97</f>
        <v>0</v>
      </c>
      <c r="X97" s="186">
        <f>'GS &gt; 50 OLS Model (LC)'!$B$12*K97</f>
        <v>0</v>
      </c>
      <c r="Y97" s="186">
        <v>0</v>
      </c>
      <c r="Z97" s="186">
        <f>'GS &gt; 50 OLS Model (LC)'!$B$13*M97</f>
        <v>34805943.461156942</v>
      </c>
      <c r="AA97" s="186">
        <f>'GS &gt; 50 OLS Model (LC)'!$B$14*N97</f>
        <v>12953743.18316808</v>
      </c>
      <c r="AB97" s="186">
        <f t="shared" ca="1" si="8"/>
        <v>85702720.17056483</v>
      </c>
    </row>
    <row r="98" spans="1:28">
      <c r="A98" s="128">
        <v>42736</v>
      </c>
      <c r="B98" s="186">
        <f t="shared" si="7"/>
        <v>2017</v>
      </c>
      <c r="C98" s="230">
        <f ca="1">'Monthly Data'!T98</f>
        <v>89104940.431942269</v>
      </c>
      <c r="D98" s="186">
        <f t="shared" ca="1" si="10"/>
        <v>659.42999999999984</v>
      </c>
      <c r="E98" s="186">
        <f t="shared" ca="1" si="10"/>
        <v>0</v>
      </c>
      <c r="F98" s="186">
        <f>'Monthly Data'!BL98</f>
        <v>651932.30000000005</v>
      </c>
      <c r="G98" s="186">
        <f>G97+1</f>
        <v>97</v>
      </c>
      <c r="H98" s="186">
        <f>H86</f>
        <v>0</v>
      </c>
      <c r="I98" s="186">
        <f t="shared" ref="I98:L98" si="11">I86</f>
        <v>0</v>
      </c>
      <c r="J98" s="186">
        <f t="shared" si="11"/>
        <v>0</v>
      </c>
      <c r="K98" s="186">
        <f t="shared" si="11"/>
        <v>0</v>
      </c>
      <c r="L98" s="186">
        <f t="shared" si="11"/>
        <v>0</v>
      </c>
      <c r="M98" s="186">
        <f>M50</f>
        <v>31</v>
      </c>
      <c r="N98" s="186">
        <f>'Monthly Data'!CD98</f>
        <v>22</v>
      </c>
      <c r="P98" s="186">
        <f>'GS &gt; 50 OLS Model (LC)'!$B$5</f>
        <v>-8436546.8467997499</v>
      </c>
      <c r="Q98" s="186">
        <f ca="1">'GS &gt; 50 OLS Model (LC)'!$B$6*D98</f>
        <v>15969422.36278663</v>
      </c>
      <c r="R98" s="186">
        <f ca="1">'GS &gt; 50 OLS Model (LC)'!$B$7*E98</f>
        <v>0</v>
      </c>
      <c r="S98" s="186">
        <f>'GS &gt; 50 OLS Model (LC)'!$B$8*F98</f>
        <v>33821938.985666931</v>
      </c>
      <c r="T98" s="186">
        <v>0</v>
      </c>
      <c r="U98" s="186">
        <f>'GS &gt; 50 OLS Model (LC)'!$B$9*H98</f>
        <v>0</v>
      </c>
      <c r="V98" s="186">
        <f>'GS &gt; 50 OLS Model (LC)'!$B$10*I98</f>
        <v>0</v>
      </c>
      <c r="W98" s="186">
        <f>'GS &gt; 50 OLS Model (LC)'!$B$11*J98</f>
        <v>0</v>
      </c>
      <c r="X98" s="186">
        <f>'GS &gt; 50 OLS Model (LC)'!$B$12*K98</f>
        <v>0</v>
      </c>
      <c r="Y98" s="186">
        <v>0</v>
      </c>
      <c r="Z98" s="186">
        <f>'GS &gt; 50 OLS Model (LC)'!$B$13*M98</f>
        <v>34805943.461156942</v>
      </c>
      <c r="AA98" s="186">
        <f>'GS &gt; 50 OLS Model (LC)'!$B$14*N98</f>
        <v>14249117.501484888</v>
      </c>
      <c r="AB98" s="186">
        <f t="shared" ca="1" si="8"/>
        <v>90409875.464295641</v>
      </c>
    </row>
    <row r="99" spans="1:28">
      <c r="A99" s="128">
        <v>42767</v>
      </c>
      <c r="B99" s="186">
        <f t="shared" si="7"/>
        <v>2017</v>
      </c>
      <c r="C99" s="230">
        <f ca="1">'Monthly Data'!T99</f>
        <v>79064176.789072469</v>
      </c>
      <c r="D99" s="186">
        <f t="shared" ca="1" si="10"/>
        <v>571.77</v>
      </c>
      <c r="E99" s="186">
        <f t="shared" ca="1" si="10"/>
        <v>0</v>
      </c>
      <c r="F99" s="186">
        <f>'Monthly Data'!BL99</f>
        <v>651932.30000000005</v>
      </c>
      <c r="G99" s="186">
        <f t="shared" ref="G99:G145" si="12">G98+1</f>
        <v>98</v>
      </c>
      <c r="H99" s="186">
        <f t="shared" ref="H99:L114" si="13">H87</f>
        <v>0</v>
      </c>
      <c r="I99" s="186">
        <f t="shared" si="13"/>
        <v>0</v>
      </c>
      <c r="J99" s="186">
        <f t="shared" si="13"/>
        <v>0</v>
      </c>
      <c r="K99" s="186">
        <f t="shared" si="13"/>
        <v>0</v>
      </c>
      <c r="L99" s="186">
        <f t="shared" si="13"/>
        <v>0</v>
      </c>
      <c r="M99" s="186">
        <f t="shared" ref="M99:M145" si="14">M51</f>
        <v>28</v>
      </c>
      <c r="N99" s="186">
        <f>'Monthly Data'!CD99</f>
        <v>19</v>
      </c>
      <c r="P99" s="186">
        <f>'GS &gt; 50 OLS Model (LC)'!$B$5</f>
        <v>-8436546.8467997499</v>
      </c>
      <c r="Q99" s="186">
        <f ca="1">'GS &gt; 50 OLS Model (LC)'!$B$6*D99</f>
        <v>13846559.338171624</v>
      </c>
      <c r="R99" s="186">
        <f ca="1">'GS &gt; 50 OLS Model (LC)'!$B$7*E99</f>
        <v>0</v>
      </c>
      <c r="S99" s="186">
        <f>'GS &gt; 50 OLS Model (LC)'!$B$8*F99</f>
        <v>33821938.985666931</v>
      </c>
      <c r="T99" s="186">
        <v>0</v>
      </c>
      <c r="U99" s="186">
        <f>'GS &gt; 50 OLS Model (LC)'!$B$9*H99</f>
        <v>0</v>
      </c>
      <c r="V99" s="186">
        <f>'GS &gt; 50 OLS Model (LC)'!$B$10*I99</f>
        <v>0</v>
      </c>
      <c r="W99" s="186">
        <f>'GS &gt; 50 OLS Model (LC)'!$B$11*J99</f>
        <v>0</v>
      </c>
      <c r="X99" s="186">
        <f>'GS &gt; 50 OLS Model (LC)'!$B$12*K99</f>
        <v>0</v>
      </c>
      <c r="Y99" s="186">
        <v>0</v>
      </c>
      <c r="Z99" s="186">
        <f>'GS &gt; 50 OLS Model (LC)'!$B$13*M99</f>
        <v>31437626.35201272</v>
      </c>
      <c r="AA99" s="186">
        <f>'GS &gt; 50 OLS Model (LC)'!$B$14*N99</f>
        <v>12306056.024009675</v>
      </c>
      <c r="AB99" s="186">
        <f t="shared" ca="1" si="8"/>
        <v>82975633.853061199</v>
      </c>
    </row>
    <row r="100" spans="1:28">
      <c r="A100" s="128">
        <v>42795</v>
      </c>
      <c r="B100" s="186">
        <f t="shared" si="7"/>
        <v>2017</v>
      </c>
      <c r="C100" s="230">
        <f ca="1">'Monthly Data'!T100</f>
        <v>84805567.54640986</v>
      </c>
      <c r="D100" s="186">
        <f t="shared" ca="1" si="10"/>
        <v>456.53999999999996</v>
      </c>
      <c r="E100" s="186">
        <f t="shared" ca="1" si="10"/>
        <v>0.48</v>
      </c>
      <c r="F100" s="186">
        <f>'Monthly Data'!BL100</f>
        <v>651932.30000000005</v>
      </c>
      <c r="G100" s="186">
        <f t="shared" si="12"/>
        <v>99</v>
      </c>
      <c r="H100" s="186">
        <f t="shared" si="13"/>
        <v>0</v>
      </c>
      <c r="I100" s="186">
        <f t="shared" si="13"/>
        <v>0</v>
      </c>
      <c r="J100" s="186">
        <f t="shared" si="13"/>
        <v>0</v>
      </c>
      <c r="K100" s="186">
        <f t="shared" si="13"/>
        <v>0</v>
      </c>
      <c r="L100" s="186">
        <f t="shared" si="13"/>
        <v>0</v>
      </c>
      <c r="M100" s="186">
        <f t="shared" si="14"/>
        <v>31</v>
      </c>
      <c r="N100" s="186">
        <f>'Monthly Data'!CD100</f>
        <v>23</v>
      </c>
      <c r="P100" s="186">
        <f>'GS &gt; 50 OLS Model (LC)'!$B$5</f>
        <v>-8436546.8467997499</v>
      </c>
      <c r="Q100" s="186">
        <f ca="1">'GS &gt; 50 OLS Model (LC)'!$B$6*D100</f>
        <v>11056033.370496655</v>
      </c>
      <c r="R100" s="186">
        <f ca="1">'GS &gt; 50 OLS Model (LC)'!$B$7*E100</f>
        <v>34258.983531099213</v>
      </c>
      <c r="S100" s="186">
        <f>'GS &gt; 50 OLS Model (LC)'!$B$8*F100</f>
        <v>33821938.985666931</v>
      </c>
      <c r="T100" s="186">
        <v>0</v>
      </c>
      <c r="U100" s="186">
        <f>'GS &gt; 50 OLS Model (LC)'!$B$9*H100</f>
        <v>0</v>
      </c>
      <c r="V100" s="186">
        <f>'GS &gt; 50 OLS Model (LC)'!$B$10*I100</f>
        <v>0</v>
      </c>
      <c r="W100" s="186">
        <f>'GS &gt; 50 OLS Model (LC)'!$B$11*J100</f>
        <v>0</v>
      </c>
      <c r="X100" s="186">
        <f>'GS &gt; 50 OLS Model (LC)'!$B$12*K100</f>
        <v>0</v>
      </c>
      <c r="Y100" s="186">
        <v>0</v>
      </c>
      <c r="Z100" s="186">
        <f>'GS &gt; 50 OLS Model (LC)'!$B$13*M100</f>
        <v>34805943.461156942</v>
      </c>
      <c r="AA100" s="186">
        <f>'GS &gt; 50 OLS Model (LC)'!$B$14*N100</f>
        <v>14896804.660643291</v>
      </c>
      <c r="AB100" s="186">
        <f t="shared" ca="1" si="8"/>
        <v>86178432.614695176</v>
      </c>
    </row>
    <row r="101" spans="1:28">
      <c r="A101" s="128">
        <v>42826</v>
      </c>
      <c r="B101" s="186">
        <f t="shared" si="7"/>
        <v>2017</v>
      </c>
      <c r="C101" s="230">
        <f ca="1">'Monthly Data'!T101</f>
        <v>74954400.188771799</v>
      </c>
      <c r="D101" s="186">
        <f t="shared" ca="1" si="10"/>
        <v>248.54999999999995</v>
      </c>
      <c r="E101" s="186">
        <f t="shared" ca="1" si="10"/>
        <v>2.63</v>
      </c>
      <c r="F101" s="186">
        <f>'Monthly Data'!BL101</f>
        <v>651932.30000000005</v>
      </c>
      <c r="G101" s="186">
        <f t="shared" si="12"/>
        <v>100</v>
      </c>
      <c r="H101" s="186">
        <f t="shared" si="13"/>
        <v>1</v>
      </c>
      <c r="I101" s="186">
        <f t="shared" si="13"/>
        <v>0</v>
      </c>
      <c r="J101" s="186">
        <f t="shared" si="13"/>
        <v>0</v>
      </c>
      <c r="K101" s="186">
        <f t="shared" si="13"/>
        <v>0</v>
      </c>
      <c r="L101" s="186">
        <f t="shared" si="13"/>
        <v>0</v>
      </c>
      <c r="M101" s="186">
        <f t="shared" si="14"/>
        <v>30</v>
      </c>
      <c r="N101" s="186">
        <f>'Monthly Data'!CD101</f>
        <v>19</v>
      </c>
      <c r="P101" s="186">
        <f>'GS &gt; 50 OLS Model (LC)'!$B$5</f>
        <v>-8436546.8467997499</v>
      </c>
      <c r="Q101" s="186">
        <f ca="1">'GS &gt; 50 OLS Model (LC)'!$B$6*D101</f>
        <v>6019137.631394715</v>
      </c>
      <c r="R101" s="186">
        <f ca="1">'GS &gt; 50 OLS Model (LC)'!$B$7*E101</f>
        <v>187710.68059748111</v>
      </c>
      <c r="S101" s="186">
        <f>'GS &gt; 50 OLS Model (LC)'!$B$8*F101</f>
        <v>33821938.985666931</v>
      </c>
      <c r="T101" s="186">
        <v>0</v>
      </c>
      <c r="U101" s="186">
        <f>'GS &gt; 50 OLS Model (LC)'!$B$9*H101</f>
        <v>-1670517.9110053701</v>
      </c>
      <c r="V101" s="186">
        <f>'GS &gt; 50 OLS Model (LC)'!$B$10*I101</f>
        <v>0</v>
      </c>
      <c r="W101" s="186">
        <f>'GS &gt; 50 OLS Model (LC)'!$B$11*J101</f>
        <v>0</v>
      </c>
      <c r="X101" s="186">
        <f>'GS &gt; 50 OLS Model (LC)'!$B$12*K101</f>
        <v>0</v>
      </c>
      <c r="Y101" s="186">
        <v>0</v>
      </c>
      <c r="Z101" s="186">
        <f>'GS &gt; 50 OLS Model (LC)'!$B$13*M101</f>
        <v>33683171.091442198</v>
      </c>
      <c r="AA101" s="186">
        <f>'GS &gt; 50 OLS Model (LC)'!$B$14*N101</f>
        <v>12306056.024009675</v>
      </c>
      <c r="AB101" s="186">
        <f t="shared" ca="1" si="8"/>
        <v>75910949.655305877</v>
      </c>
    </row>
    <row r="102" spans="1:28">
      <c r="A102" s="128">
        <v>42856</v>
      </c>
      <c r="B102" s="186">
        <f t="shared" si="7"/>
        <v>2017</v>
      </c>
      <c r="C102" s="230">
        <f ca="1">'Monthly Data'!T102</f>
        <v>78674140.138522223</v>
      </c>
      <c r="D102" s="186">
        <f t="shared" ca="1" si="10"/>
        <v>92.740000000000009</v>
      </c>
      <c r="E102" s="186">
        <f t="shared" ca="1" si="10"/>
        <v>47.37</v>
      </c>
      <c r="F102" s="186">
        <f>'Monthly Data'!BL102</f>
        <v>651932.30000000005</v>
      </c>
      <c r="G102" s="186">
        <f t="shared" si="12"/>
        <v>101</v>
      </c>
      <c r="H102" s="186">
        <f t="shared" si="13"/>
        <v>0</v>
      </c>
      <c r="I102" s="186">
        <f t="shared" si="13"/>
        <v>0</v>
      </c>
      <c r="J102" s="186">
        <f t="shared" si="13"/>
        <v>0</v>
      </c>
      <c r="K102" s="186">
        <f t="shared" si="13"/>
        <v>0</v>
      </c>
      <c r="L102" s="186">
        <f t="shared" si="13"/>
        <v>0</v>
      </c>
      <c r="M102" s="186">
        <f t="shared" si="14"/>
        <v>31</v>
      </c>
      <c r="N102" s="186">
        <f>'Monthly Data'!CD102</f>
        <v>22</v>
      </c>
      <c r="P102" s="186">
        <f>'GS &gt; 50 OLS Model (LC)'!$B$5</f>
        <v>-8436546.8467997499</v>
      </c>
      <c r="Q102" s="186">
        <f ca="1">'GS &gt; 50 OLS Model (LC)'!$B$6*D102</f>
        <v>2245885.4312433959</v>
      </c>
      <c r="R102" s="186">
        <f ca="1">'GS &gt; 50 OLS Model (LC)'!$B$7*E102</f>
        <v>3380933.4372253534</v>
      </c>
      <c r="S102" s="186">
        <f>'GS &gt; 50 OLS Model (LC)'!$B$8*F102</f>
        <v>33821938.985666931</v>
      </c>
      <c r="T102" s="186">
        <v>0</v>
      </c>
      <c r="U102" s="186">
        <f>'GS &gt; 50 OLS Model (LC)'!$B$9*H102</f>
        <v>0</v>
      </c>
      <c r="V102" s="186">
        <f>'GS &gt; 50 OLS Model (LC)'!$B$10*I102</f>
        <v>0</v>
      </c>
      <c r="W102" s="186">
        <f>'GS &gt; 50 OLS Model (LC)'!$B$11*J102</f>
        <v>0</v>
      </c>
      <c r="X102" s="186">
        <f>'GS &gt; 50 OLS Model (LC)'!$B$12*K102</f>
        <v>0</v>
      </c>
      <c r="Y102" s="186">
        <v>0</v>
      </c>
      <c r="Z102" s="186">
        <f>'GS &gt; 50 OLS Model (LC)'!$B$13*M102</f>
        <v>34805943.461156942</v>
      </c>
      <c r="AA102" s="186">
        <f>'GS &gt; 50 OLS Model (LC)'!$B$14*N102</f>
        <v>14249117.501484888</v>
      </c>
      <c r="AB102" s="186">
        <f t="shared" ca="1" si="8"/>
        <v>80067271.969977766</v>
      </c>
    </row>
    <row r="103" spans="1:28">
      <c r="A103" s="128">
        <v>42887</v>
      </c>
      <c r="B103" s="186">
        <f t="shared" si="7"/>
        <v>2017</v>
      </c>
      <c r="C103" s="230">
        <f ca="1">'Monthly Data'!T103</f>
        <v>82671566.563594013</v>
      </c>
      <c r="D103" s="186">
        <f t="shared" ca="1" si="10"/>
        <v>9.08</v>
      </c>
      <c r="E103" s="186">
        <f t="shared" ca="1" si="10"/>
        <v>117.23999999999997</v>
      </c>
      <c r="F103" s="186">
        <f>'Monthly Data'!BL103</f>
        <v>651932.30000000005</v>
      </c>
      <c r="G103" s="186">
        <f t="shared" si="12"/>
        <v>102</v>
      </c>
      <c r="H103" s="186">
        <f t="shared" si="13"/>
        <v>0</v>
      </c>
      <c r="I103" s="186">
        <f t="shared" si="13"/>
        <v>1</v>
      </c>
      <c r="J103" s="186">
        <f t="shared" si="13"/>
        <v>0</v>
      </c>
      <c r="K103" s="186">
        <f t="shared" si="13"/>
        <v>0</v>
      </c>
      <c r="L103" s="186">
        <f t="shared" si="13"/>
        <v>0</v>
      </c>
      <c r="M103" s="186">
        <f t="shared" si="14"/>
        <v>30</v>
      </c>
      <c r="N103" s="186">
        <f>'Monthly Data'!CD103</f>
        <v>22</v>
      </c>
      <c r="P103" s="186">
        <f>'GS &gt; 50 OLS Model (LC)'!$B$5</f>
        <v>-8436546.8467997499</v>
      </c>
      <c r="Q103" s="186">
        <f ca="1">'GS &gt; 50 OLS Model (LC)'!$B$6*D103</f>
        <v>219890.44334364927</v>
      </c>
      <c r="R103" s="186">
        <f ca="1">'GS &gt; 50 OLS Model (LC)'!$B$7*E103</f>
        <v>8367756.727470981</v>
      </c>
      <c r="S103" s="186">
        <f>'GS &gt; 50 OLS Model (LC)'!$B$8*F103</f>
        <v>33821938.985666931</v>
      </c>
      <c r="T103" s="186">
        <v>0</v>
      </c>
      <c r="U103" s="186">
        <f>'GS &gt; 50 OLS Model (LC)'!$B$9*H103</f>
        <v>0</v>
      </c>
      <c r="V103" s="186">
        <f>'GS &gt; 50 OLS Model (LC)'!$B$10*I103</f>
        <v>1260255.0136768401</v>
      </c>
      <c r="W103" s="186">
        <f>'GS &gt; 50 OLS Model (LC)'!$B$11*J103</f>
        <v>0</v>
      </c>
      <c r="X103" s="186">
        <f>'GS &gt; 50 OLS Model (LC)'!$B$12*K103</f>
        <v>0</v>
      </c>
      <c r="Y103" s="186">
        <v>0</v>
      </c>
      <c r="Z103" s="186">
        <f>'GS &gt; 50 OLS Model (LC)'!$B$13*M103</f>
        <v>33683171.091442198</v>
      </c>
      <c r="AA103" s="186">
        <f>'GS &gt; 50 OLS Model (LC)'!$B$14*N103</f>
        <v>14249117.501484888</v>
      </c>
      <c r="AB103" s="186">
        <f t="shared" ca="1" si="8"/>
        <v>83165582.916285738</v>
      </c>
    </row>
    <row r="104" spans="1:28">
      <c r="A104" s="128">
        <v>42917</v>
      </c>
      <c r="B104" s="186">
        <f t="shared" si="7"/>
        <v>2017</v>
      </c>
      <c r="C104" s="230">
        <f ca="1">'Monthly Data'!T104</f>
        <v>86176054.430500627</v>
      </c>
      <c r="D104" s="186">
        <f t="shared" ca="1" si="10"/>
        <v>0.51</v>
      </c>
      <c r="E104" s="186">
        <f t="shared" ca="1" si="10"/>
        <v>185.60999999999999</v>
      </c>
      <c r="F104" s="186">
        <f>'Monthly Data'!BL104</f>
        <v>651932.30000000005</v>
      </c>
      <c r="G104" s="186">
        <f t="shared" si="12"/>
        <v>103</v>
      </c>
      <c r="H104" s="186">
        <f t="shared" si="13"/>
        <v>0</v>
      </c>
      <c r="I104" s="186">
        <f t="shared" si="13"/>
        <v>0</v>
      </c>
      <c r="J104" s="186">
        <f t="shared" si="13"/>
        <v>0</v>
      </c>
      <c r="K104" s="186">
        <f t="shared" si="13"/>
        <v>0</v>
      </c>
      <c r="L104" s="186">
        <f t="shared" si="13"/>
        <v>0</v>
      </c>
      <c r="M104" s="186">
        <f t="shared" si="14"/>
        <v>31</v>
      </c>
      <c r="N104" s="186">
        <f>'Monthly Data'!CD104</f>
        <v>20</v>
      </c>
      <c r="P104" s="186">
        <f>'GS &gt; 50 OLS Model (LC)'!$B$5</f>
        <v>-8436546.8467997499</v>
      </c>
      <c r="Q104" s="186">
        <f ca="1">'GS &gt; 50 OLS Model (LC)'!$B$6*D104</f>
        <v>12350.67468119616</v>
      </c>
      <c r="R104" s="186">
        <f ca="1">'GS &gt; 50 OLS Model (LC)'!$B$7*E104</f>
        <v>13247520.694181927</v>
      </c>
      <c r="S104" s="186">
        <f>'GS &gt; 50 OLS Model (LC)'!$B$8*F104</f>
        <v>33821938.985666931</v>
      </c>
      <c r="T104" s="186">
        <v>0</v>
      </c>
      <c r="U104" s="186">
        <f>'GS &gt; 50 OLS Model (LC)'!$B$9*H104</f>
        <v>0</v>
      </c>
      <c r="V104" s="186">
        <f>'GS &gt; 50 OLS Model (LC)'!$B$10*I104</f>
        <v>0</v>
      </c>
      <c r="W104" s="186">
        <f>'GS &gt; 50 OLS Model (LC)'!$B$11*J104</f>
        <v>0</v>
      </c>
      <c r="X104" s="186">
        <f>'GS &gt; 50 OLS Model (LC)'!$B$12*K104</f>
        <v>0</v>
      </c>
      <c r="Y104" s="186">
        <v>0</v>
      </c>
      <c r="Z104" s="186">
        <f>'GS &gt; 50 OLS Model (LC)'!$B$13*M104</f>
        <v>34805943.461156942</v>
      </c>
      <c r="AA104" s="186">
        <f>'GS &gt; 50 OLS Model (LC)'!$B$14*N104</f>
        <v>12953743.18316808</v>
      </c>
      <c r="AB104" s="186">
        <f t="shared" ca="1" si="8"/>
        <v>86404950.152055323</v>
      </c>
    </row>
    <row r="105" spans="1:28">
      <c r="A105" s="128">
        <v>42948</v>
      </c>
      <c r="B105" s="186">
        <f t="shared" si="7"/>
        <v>2017</v>
      </c>
      <c r="C105" s="230">
        <f ca="1">'Monthly Data'!T105</f>
        <v>85719841.727218375</v>
      </c>
      <c r="D105" s="186">
        <f t="shared" ca="1" si="10"/>
        <v>1.51</v>
      </c>
      <c r="E105" s="186">
        <f t="shared" ca="1" si="10"/>
        <v>159.64000000000001</v>
      </c>
      <c r="F105" s="186">
        <f>'Monthly Data'!BL105</f>
        <v>651932.30000000005</v>
      </c>
      <c r="G105" s="186">
        <f t="shared" si="12"/>
        <v>104</v>
      </c>
      <c r="H105" s="186">
        <f t="shared" si="13"/>
        <v>0</v>
      </c>
      <c r="I105" s="186">
        <f t="shared" si="13"/>
        <v>0</v>
      </c>
      <c r="J105" s="186">
        <f t="shared" si="13"/>
        <v>1</v>
      </c>
      <c r="K105" s="186">
        <f t="shared" si="13"/>
        <v>0</v>
      </c>
      <c r="L105" s="186">
        <f t="shared" si="13"/>
        <v>0</v>
      </c>
      <c r="M105" s="186">
        <f t="shared" si="14"/>
        <v>31</v>
      </c>
      <c r="N105" s="186">
        <f>'Monthly Data'!CD105</f>
        <v>22</v>
      </c>
      <c r="P105" s="186">
        <f>'GS &gt; 50 OLS Model (LC)'!$B$5</f>
        <v>-8436546.8467997499</v>
      </c>
      <c r="Q105" s="186">
        <f ca="1">'GS &gt; 50 OLS Model (LC)'!$B$6*D105</f>
        <v>36567.683860012155</v>
      </c>
      <c r="R105" s="186">
        <f ca="1">'GS &gt; 50 OLS Model (LC)'!$B$7*E105</f>
        <v>11393966.939384749</v>
      </c>
      <c r="S105" s="186">
        <f>'GS &gt; 50 OLS Model (LC)'!$B$8*F105</f>
        <v>33821938.985666931</v>
      </c>
      <c r="T105" s="186">
        <v>0</v>
      </c>
      <c r="U105" s="186">
        <f>'GS &gt; 50 OLS Model (LC)'!$B$9*H105</f>
        <v>0</v>
      </c>
      <c r="V105" s="186">
        <f>'GS &gt; 50 OLS Model (LC)'!$B$10*I105</f>
        <v>0</v>
      </c>
      <c r="W105" s="186">
        <f>'GS &gt; 50 OLS Model (LC)'!$B$11*J105</f>
        <v>2501012.7689915099</v>
      </c>
      <c r="X105" s="186">
        <f>'GS &gt; 50 OLS Model (LC)'!$B$12*K105</f>
        <v>0</v>
      </c>
      <c r="Y105" s="186">
        <v>0</v>
      </c>
      <c r="Z105" s="186">
        <f>'GS &gt; 50 OLS Model (LC)'!$B$13*M105</f>
        <v>34805943.461156942</v>
      </c>
      <c r="AA105" s="186">
        <f>'GS &gt; 50 OLS Model (LC)'!$B$14*N105</f>
        <v>14249117.501484888</v>
      </c>
      <c r="AB105" s="186">
        <f t="shared" ca="1" si="8"/>
        <v>88372000.493745282</v>
      </c>
    </row>
    <row r="106" spans="1:28">
      <c r="A106" s="128">
        <v>42979</v>
      </c>
      <c r="B106" s="186">
        <f t="shared" si="7"/>
        <v>2017</v>
      </c>
      <c r="C106" s="230">
        <f ca="1">'Monthly Data'!T106</f>
        <v>80616907.03949745</v>
      </c>
      <c r="D106" s="186">
        <f t="shared" ca="1" si="10"/>
        <v>33.01</v>
      </c>
      <c r="E106" s="186">
        <f t="shared" ca="1" si="10"/>
        <v>72.989999999999981</v>
      </c>
      <c r="F106" s="186">
        <f>'Monthly Data'!BL106</f>
        <v>651932.30000000005</v>
      </c>
      <c r="G106" s="186">
        <f t="shared" si="12"/>
        <v>105</v>
      </c>
      <c r="H106" s="186">
        <f t="shared" si="13"/>
        <v>0</v>
      </c>
      <c r="I106" s="186">
        <f t="shared" si="13"/>
        <v>0</v>
      </c>
      <c r="J106" s="186">
        <f t="shared" si="13"/>
        <v>0</v>
      </c>
      <c r="K106" s="186">
        <f t="shared" si="13"/>
        <v>1</v>
      </c>
      <c r="L106" s="186">
        <f t="shared" si="13"/>
        <v>0</v>
      </c>
      <c r="M106" s="186">
        <f t="shared" si="14"/>
        <v>30</v>
      </c>
      <c r="N106" s="186">
        <f>'Monthly Data'!CD106</f>
        <v>20</v>
      </c>
      <c r="P106" s="186">
        <f>'GS &gt; 50 OLS Model (LC)'!$B$5</f>
        <v>-8436546.8467997499</v>
      </c>
      <c r="Q106" s="186">
        <f ca="1">'GS &gt; 50 OLS Model (LC)'!$B$6*D106</f>
        <v>799403.47299271612</v>
      </c>
      <c r="R106" s="186">
        <f ca="1">'GS &gt; 50 OLS Model (LC)'!$B$7*E106</f>
        <v>5209506.6831977731</v>
      </c>
      <c r="S106" s="186">
        <f>'GS &gt; 50 OLS Model (LC)'!$B$8*F106</f>
        <v>33821938.985666931</v>
      </c>
      <c r="T106" s="186">
        <v>0</v>
      </c>
      <c r="U106" s="186">
        <f>'GS &gt; 50 OLS Model (LC)'!$B$9*H106</f>
        <v>0</v>
      </c>
      <c r="V106" s="186">
        <f>'GS &gt; 50 OLS Model (LC)'!$B$10*I106</f>
        <v>0</v>
      </c>
      <c r="W106" s="186">
        <f>'GS &gt; 50 OLS Model (LC)'!$B$11*J106</f>
        <v>0</v>
      </c>
      <c r="X106" s="186">
        <f>'GS &gt; 50 OLS Model (LC)'!$B$12*K106</f>
        <v>2346294.5864150901</v>
      </c>
      <c r="Y106" s="186">
        <v>0</v>
      </c>
      <c r="Z106" s="186">
        <f>'GS &gt; 50 OLS Model (LC)'!$B$13*M106</f>
        <v>33683171.091442198</v>
      </c>
      <c r="AA106" s="186">
        <f>'GS &gt; 50 OLS Model (LC)'!$B$14*N106</f>
        <v>12953743.18316808</v>
      </c>
      <c r="AB106" s="186">
        <f t="shared" ca="1" si="8"/>
        <v>80377511.156083047</v>
      </c>
    </row>
    <row r="107" spans="1:28">
      <c r="A107" s="128">
        <v>43009</v>
      </c>
      <c r="B107" s="186">
        <f t="shared" si="7"/>
        <v>2017</v>
      </c>
      <c r="C107" s="230">
        <f ca="1">'Monthly Data'!T107</f>
        <v>79586762.162742123</v>
      </c>
      <c r="D107" s="186">
        <f t="shared" ca="1" si="10"/>
        <v>177.83999999999997</v>
      </c>
      <c r="E107" s="186">
        <f t="shared" ca="1" si="10"/>
        <v>10.779999999999998</v>
      </c>
      <c r="F107" s="186">
        <f>'Monthly Data'!BL107</f>
        <v>651932.30000000005</v>
      </c>
      <c r="G107" s="186">
        <f t="shared" si="12"/>
        <v>106</v>
      </c>
      <c r="H107" s="186">
        <f t="shared" si="13"/>
        <v>0</v>
      </c>
      <c r="I107" s="186">
        <f t="shared" si="13"/>
        <v>0</v>
      </c>
      <c r="J107" s="186">
        <f t="shared" si="13"/>
        <v>0</v>
      </c>
      <c r="K107" s="186">
        <f t="shared" si="13"/>
        <v>0</v>
      </c>
      <c r="L107" s="186">
        <f t="shared" si="13"/>
        <v>1</v>
      </c>
      <c r="M107" s="186">
        <f t="shared" si="14"/>
        <v>31</v>
      </c>
      <c r="N107" s="186">
        <f>'Monthly Data'!CD107</f>
        <v>21</v>
      </c>
      <c r="P107" s="186">
        <f>'GS &gt; 50 OLS Model (LC)'!$B$5</f>
        <v>-8436546.8467997499</v>
      </c>
      <c r="Q107" s="186">
        <f ca="1">'GS &gt; 50 OLS Model (LC)'!$B$6*D107</f>
        <v>4306752.9123606365</v>
      </c>
      <c r="R107" s="186">
        <f ca="1">'GS &gt; 50 OLS Model (LC)'!$B$7*E107</f>
        <v>769399.67180260306</v>
      </c>
      <c r="S107" s="186">
        <f>'GS &gt; 50 OLS Model (LC)'!$B$8*F107</f>
        <v>33821938.985666931</v>
      </c>
      <c r="T107" s="186">
        <v>0</v>
      </c>
      <c r="U107" s="186">
        <f>'GS &gt; 50 OLS Model (LC)'!$B$9*H107</f>
        <v>0</v>
      </c>
      <c r="V107" s="186">
        <f>'GS &gt; 50 OLS Model (LC)'!$B$10*I107</f>
        <v>0</v>
      </c>
      <c r="W107" s="186">
        <f>'GS &gt; 50 OLS Model (LC)'!$B$11*J107</f>
        <v>0</v>
      </c>
      <c r="X107" s="186">
        <f>'GS &gt; 50 OLS Model (LC)'!$B$12*K107</f>
        <v>0</v>
      </c>
      <c r="Y107" s="186">
        <v>0</v>
      </c>
      <c r="Z107" s="186">
        <f>'GS &gt; 50 OLS Model (LC)'!$B$13*M107</f>
        <v>34805943.461156942</v>
      </c>
      <c r="AA107" s="186">
        <f>'GS &gt; 50 OLS Model (LC)'!$B$14*N107</f>
        <v>13601430.342326485</v>
      </c>
      <c r="AB107" s="186">
        <f t="shared" ca="1" si="8"/>
        <v>78868918.526513845</v>
      </c>
    </row>
    <row r="108" spans="1:28">
      <c r="A108" s="128">
        <v>43040</v>
      </c>
      <c r="B108" s="186">
        <f t="shared" si="7"/>
        <v>2017</v>
      </c>
      <c r="C108" s="230">
        <f ca="1">'Monthly Data'!T108</f>
        <v>81281637.015617713</v>
      </c>
      <c r="D108" s="186">
        <f t="shared" ca="1" si="10"/>
        <v>361.94999999999993</v>
      </c>
      <c r="E108" s="186">
        <f t="shared" ca="1" si="10"/>
        <v>0.05</v>
      </c>
      <c r="F108" s="186">
        <f>'Monthly Data'!BL108</f>
        <v>651932.30000000005</v>
      </c>
      <c r="G108" s="186">
        <f t="shared" si="12"/>
        <v>107</v>
      </c>
      <c r="H108" s="186">
        <f t="shared" si="13"/>
        <v>0</v>
      </c>
      <c r="I108" s="186">
        <f t="shared" si="13"/>
        <v>0</v>
      </c>
      <c r="J108" s="186">
        <f t="shared" si="13"/>
        <v>0</v>
      </c>
      <c r="K108" s="186">
        <f t="shared" si="13"/>
        <v>0</v>
      </c>
      <c r="L108" s="186">
        <f t="shared" si="13"/>
        <v>0</v>
      </c>
      <c r="M108" s="186">
        <f t="shared" si="14"/>
        <v>30</v>
      </c>
      <c r="N108" s="186">
        <f>'Monthly Data'!CD108</f>
        <v>22</v>
      </c>
      <c r="P108" s="186">
        <f>'GS &gt; 50 OLS Model (LC)'!$B$5</f>
        <v>-8436546.8467997499</v>
      </c>
      <c r="Q108" s="186">
        <f ca="1">'GS &gt; 50 OLS Model (LC)'!$B$6*D108</f>
        <v>8765346.4722724482</v>
      </c>
      <c r="R108" s="186">
        <f ca="1">'GS &gt; 50 OLS Model (LC)'!$B$7*E108</f>
        <v>3568.6441178228351</v>
      </c>
      <c r="S108" s="186">
        <f>'GS &gt; 50 OLS Model (LC)'!$B$8*F108</f>
        <v>33821938.985666931</v>
      </c>
      <c r="T108" s="186">
        <v>0</v>
      </c>
      <c r="U108" s="186">
        <f>'GS &gt; 50 OLS Model (LC)'!$B$9*H108</f>
        <v>0</v>
      </c>
      <c r="V108" s="186">
        <f>'GS &gt; 50 OLS Model (LC)'!$B$10*I108</f>
        <v>0</v>
      </c>
      <c r="W108" s="186">
        <f>'GS &gt; 50 OLS Model (LC)'!$B$11*J108</f>
        <v>0</v>
      </c>
      <c r="X108" s="186">
        <f>'GS &gt; 50 OLS Model (LC)'!$B$12*K108</f>
        <v>0</v>
      </c>
      <c r="Y108" s="186">
        <v>0</v>
      </c>
      <c r="Z108" s="186">
        <f>'GS &gt; 50 OLS Model (LC)'!$B$13*M108</f>
        <v>33683171.091442198</v>
      </c>
      <c r="AA108" s="186">
        <f>'GS &gt; 50 OLS Model (LC)'!$B$14*N108</f>
        <v>14249117.501484888</v>
      </c>
      <c r="AB108" s="186">
        <f t="shared" ca="1" si="8"/>
        <v>82086595.848184541</v>
      </c>
    </row>
    <row r="109" spans="1:28">
      <c r="A109" s="128">
        <v>43070</v>
      </c>
      <c r="B109" s="186">
        <f t="shared" si="7"/>
        <v>2017</v>
      </c>
      <c r="C109" s="230">
        <f ca="1">'Monthly Data'!T109</f>
        <v>86442800.41125229</v>
      </c>
      <c r="D109" s="186">
        <f t="shared" ca="1" si="10"/>
        <v>556.41000000000008</v>
      </c>
      <c r="E109" s="186">
        <f t="shared" ca="1" si="10"/>
        <v>0</v>
      </c>
      <c r="F109" s="186">
        <f>'Monthly Data'!BL109</f>
        <v>651932.30000000005</v>
      </c>
      <c r="G109" s="186">
        <f t="shared" si="12"/>
        <v>108</v>
      </c>
      <c r="H109" s="186">
        <f t="shared" si="13"/>
        <v>0</v>
      </c>
      <c r="I109" s="186">
        <f t="shared" si="13"/>
        <v>0</v>
      </c>
      <c r="J109" s="186">
        <f t="shared" si="13"/>
        <v>0</v>
      </c>
      <c r="K109" s="186">
        <f t="shared" si="13"/>
        <v>0</v>
      </c>
      <c r="L109" s="186">
        <f t="shared" si="13"/>
        <v>0</v>
      </c>
      <c r="M109" s="186">
        <f t="shared" si="14"/>
        <v>31</v>
      </c>
      <c r="N109" s="186">
        <f>'Monthly Data'!CD109</f>
        <v>19</v>
      </c>
      <c r="P109" s="186">
        <f>'GS &gt; 50 OLS Model (LC)'!$B$5</f>
        <v>-8436546.8467997499</v>
      </c>
      <c r="Q109" s="186">
        <f ca="1">'GS &gt; 50 OLS Model (LC)'!$B$6*D109</f>
        <v>13474586.077185012</v>
      </c>
      <c r="R109" s="186">
        <f ca="1">'GS &gt; 50 OLS Model (LC)'!$B$7*E109</f>
        <v>0</v>
      </c>
      <c r="S109" s="186">
        <f>'GS &gt; 50 OLS Model (LC)'!$B$8*F109</f>
        <v>33821938.985666931</v>
      </c>
      <c r="T109" s="186">
        <v>0</v>
      </c>
      <c r="U109" s="186">
        <f>'GS &gt; 50 OLS Model (LC)'!$B$9*H109</f>
        <v>0</v>
      </c>
      <c r="V109" s="186">
        <f>'GS &gt; 50 OLS Model (LC)'!$B$10*I109</f>
        <v>0</v>
      </c>
      <c r="W109" s="186">
        <f>'GS &gt; 50 OLS Model (LC)'!$B$11*J109</f>
        <v>0</v>
      </c>
      <c r="X109" s="186">
        <f>'GS &gt; 50 OLS Model (LC)'!$B$12*K109</f>
        <v>0</v>
      </c>
      <c r="Y109" s="186">
        <v>0</v>
      </c>
      <c r="Z109" s="186">
        <f>'GS &gt; 50 OLS Model (LC)'!$B$13*M109</f>
        <v>34805943.461156942</v>
      </c>
      <c r="AA109" s="186">
        <f>'GS &gt; 50 OLS Model (LC)'!$B$14*N109</f>
        <v>12306056.024009675</v>
      </c>
      <c r="AB109" s="186">
        <f t="shared" ca="1" si="8"/>
        <v>85971977.701218814</v>
      </c>
    </row>
    <row r="110" spans="1:28">
      <c r="A110" s="128">
        <v>43101</v>
      </c>
      <c r="B110" s="186">
        <f t="shared" si="7"/>
        <v>2018</v>
      </c>
      <c r="C110" s="230">
        <f ca="1">'Monthly Data'!T110</f>
        <v>93065533.775852472</v>
      </c>
      <c r="D110" s="186">
        <f t="shared" ref="D110:E125" ca="1" si="15">D98</f>
        <v>659.42999999999984</v>
      </c>
      <c r="E110" s="186">
        <f t="shared" ca="1" si="15"/>
        <v>0</v>
      </c>
      <c r="F110" s="186">
        <f>'Monthly Data'!BL110</f>
        <v>665994.78021817585</v>
      </c>
      <c r="G110" s="186">
        <f t="shared" si="12"/>
        <v>109</v>
      </c>
      <c r="H110" s="186">
        <f t="shared" si="13"/>
        <v>0</v>
      </c>
      <c r="I110" s="186">
        <f t="shared" si="13"/>
        <v>0</v>
      </c>
      <c r="J110" s="186">
        <f t="shared" si="13"/>
        <v>0</v>
      </c>
      <c r="K110" s="186">
        <f t="shared" si="13"/>
        <v>0</v>
      </c>
      <c r="L110" s="186">
        <f t="shared" si="13"/>
        <v>0</v>
      </c>
      <c r="M110" s="186">
        <f t="shared" si="14"/>
        <v>31</v>
      </c>
      <c r="N110" s="186">
        <f>'Monthly Data'!CD110</f>
        <v>22</v>
      </c>
      <c r="P110" s="186">
        <f>'GS &gt; 50 OLS Model (LC)'!$B$5</f>
        <v>-8436546.8467997499</v>
      </c>
      <c r="Q110" s="186">
        <f ca="1">'GS &gt; 50 OLS Model (LC)'!$B$6*D110</f>
        <v>15969422.36278663</v>
      </c>
      <c r="R110" s="186">
        <f ca="1">'GS &gt; 50 OLS Model (LC)'!$B$7*E110</f>
        <v>0</v>
      </c>
      <c r="S110" s="186">
        <f>'GS &gt; 50 OLS Model (LC)'!$B$8*F110</f>
        <v>34551493.799757734</v>
      </c>
      <c r="T110" s="186">
        <v>0</v>
      </c>
      <c r="U110" s="186">
        <f>'GS &gt; 50 OLS Model (LC)'!$B$9*H110</f>
        <v>0</v>
      </c>
      <c r="V110" s="186">
        <f>'GS &gt; 50 OLS Model (LC)'!$B$10*I110</f>
        <v>0</v>
      </c>
      <c r="W110" s="186">
        <f>'GS &gt; 50 OLS Model (LC)'!$B$11*J110</f>
        <v>0</v>
      </c>
      <c r="X110" s="186">
        <f>'GS &gt; 50 OLS Model (LC)'!$B$12*K110</f>
        <v>0</v>
      </c>
      <c r="Y110" s="186">
        <v>0</v>
      </c>
      <c r="Z110" s="186">
        <f>'GS &gt; 50 OLS Model (LC)'!$B$13*M110</f>
        <v>34805943.461156942</v>
      </c>
      <c r="AA110" s="186">
        <f>'GS &gt; 50 OLS Model (LC)'!$B$14*N110</f>
        <v>14249117.501484888</v>
      </c>
      <c r="AB110" s="186">
        <f t="shared" ca="1" si="8"/>
        <v>91139430.278386444</v>
      </c>
    </row>
    <row r="111" spans="1:28">
      <c r="A111" s="128">
        <v>43132</v>
      </c>
      <c r="B111" s="186">
        <f t="shared" si="7"/>
        <v>2018</v>
      </c>
      <c r="C111" s="230">
        <f ca="1">'Monthly Data'!T111</f>
        <v>82075594.518568248</v>
      </c>
      <c r="D111" s="186">
        <f t="shared" ca="1" si="15"/>
        <v>571.77</v>
      </c>
      <c r="E111" s="186">
        <f t="shared" ca="1" si="15"/>
        <v>0</v>
      </c>
      <c r="F111" s="186">
        <f>'Monthly Data'!BL111</f>
        <v>665994.78021817585</v>
      </c>
      <c r="G111" s="186">
        <f t="shared" si="12"/>
        <v>110</v>
      </c>
      <c r="H111" s="186">
        <f t="shared" si="13"/>
        <v>0</v>
      </c>
      <c r="I111" s="186">
        <f t="shared" si="13"/>
        <v>0</v>
      </c>
      <c r="J111" s="186">
        <f t="shared" si="13"/>
        <v>0</v>
      </c>
      <c r="K111" s="186">
        <f t="shared" si="13"/>
        <v>0</v>
      </c>
      <c r="L111" s="186">
        <f t="shared" si="13"/>
        <v>0</v>
      </c>
      <c r="M111" s="186">
        <f t="shared" si="14"/>
        <v>28</v>
      </c>
      <c r="N111" s="186">
        <f>'Monthly Data'!CD111</f>
        <v>19</v>
      </c>
      <c r="P111" s="186">
        <f>'GS &gt; 50 OLS Model (LC)'!$B$5</f>
        <v>-8436546.8467997499</v>
      </c>
      <c r="Q111" s="186">
        <f ca="1">'GS &gt; 50 OLS Model (LC)'!$B$6*D111</f>
        <v>13846559.338171624</v>
      </c>
      <c r="R111" s="186">
        <f ca="1">'GS &gt; 50 OLS Model (LC)'!$B$7*E111</f>
        <v>0</v>
      </c>
      <c r="S111" s="186">
        <f>'GS &gt; 50 OLS Model (LC)'!$B$8*F111</f>
        <v>34551493.799757734</v>
      </c>
      <c r="T111" s="186">
        <v>0</v>
      </c>
      <c r="U111" s="186">
        <f>'GS &gt; 50 OLS Model (LC)'!$B$9*H111</f>
        <v>0</v>
      </c>
      <c r="V111" s="186">
        <f>'GS &gt; 50 OLS Model (LC)'!$B$10*I111</f>
        <v>0</v>
      </c>
      <c r="W111" s="186">
        <f>'GS &gt; 50 OLS Model (LC)'!$B$11*J111</f>
        <v>0</v>
      </c>
      <c r="X111" s="186">
        <f>'GS &gt; 50 OLS Model (LC)'!$B$12*K111</f>
        <v>0</v>
      </c>
      <c r="Y111" s="186">
        <v>0</v>
      </c>
      <c r="Z111" s="186">
        <f>'GS &gt; 50 OLS Model (LC)'!$B$13*M111</f>
        <v>31437626.35201272</v>
      </c>
      <c r="AA111" s="186">
        <f>'GS &gt; 50 OLS Model (LC)'!$B$14*N111</f>
        <v>12306056.024009675</v>
      </c>
      <c r="AB111" s="186">
        <f t="shared" ca="1" si="8"/>
        <v>83705188.667152002</v>
      </c>
    </row>
    <row r="112" spans="1:28">
      <c r="A112" s="128">
        <v>43160</v>
      </c>
      <c r="B112" s="186">
        <f t="shared" si="7"/>
        <v>2018</v>
      </c>
      <c r="C112" s="230">
        <f ca="1">'Monthly Data'!T112</f>
        <v>87168792.866108581</v>
      </c>
      <c r="D112" s="186">
        <f t="shared" ca="1" si="15"/>
        <v>456.53999999999996</v>
      </c>
      <c r="E112" s="186">
        <f t="shared" ca="1" si="15"/>
        <v>0.48</v>
      </c>
      <c r="F112" s="186">
        <f>'Monthly Data'!BL112</f>
        <v>665994.78021817585</v>
      </c>
      <c r="G112" s="186">
        <f t="shared" si="12"/>
        <v>111</v>
      </c>
      <c r="H112" s="186">
        <f t="shared" si="13"/>
        <v>0</v>
      </c>
      <c r="I112" s="186">
        <f t="shared" si="13"/>
        <v>0</v>
      </c>
      <c r="J112" s="186">
        <f t="shared" si="13"/>
        <v>0</v>
      </c>
      <c r="K112" s="186">
        <f t="shared" si="13"/>
        <v>0</v>
      </c>
      <c r="L112" s="186">
        <f t="shared" si="13"/>
        <v>0</v>
      </c>
      <c r="M112" s="186">
        <f t="shared" si="14"/>
        <v>31</v>
      </c>
      <c r="N112" s="186">
        <f>'Monthly Data'!CD112</f>
        <v>21</v>
      </c>
      <c r="P112" s="186">
        <f>'GS &gt; 50 OLS Model (LC)'!$B$5</f>
        <v>-8436546.8467997499</v>
      </c>
      <c r="Q112" s="186">
        <f ca="1">'GS &gt; 50 OLS Model (LC)'!$B$6*D112</f>
        <v>11056033.370496655</v>
      </c>
      <c r="R112" s="186">
        <f ca="1">'GS &gt; 50 OLS Model (LC)'!$B$7*E112</f>
        <v>34258.983531099213</v>
      </c>
      <c r="S112" s="186">
        <f>'GS &gt; 50 OLS Model (LC)'!$B$8*F112</f>
        <v>34551493.799757734</v>
      </c>
      <c r="T112" s="186">
        <v>0</v>
      </c>
      <c r="U112" s="186">
        <f>'GS &gt; 50 OLS Model (LC)'!$B$9*H112</f>
        <v>0</v>
      </c>
      <c r="V112" s="186">
        <f>'GS &gt; 50 OLS Model (LC)'!$B$10*I112</f>
        <v>0</v>
      </c>
      <c r="W112" s="186">
        <f>'GS &gt; 50 OLS Model (LC)'!$B$11*J112</f>
        <v>0</v>
      </c>
      <c r="X112" s="186">
        <f>'GS &gt; 50 OLS Model (LC)'!$B$12*K112</f>
        <v>0</v>
      </c>
      <c r="Y112" s="186">
        <v>0</v>
      </c>
      <c r="Z112" s="186">
        <f>'GS &gt; 50 OLS Model (LC)'!$B$13*M112</f>
        <v>34805943.461156942</v>
      </c>
      <c r="AA112" s="186">
        <f>'GS &gt; 50 OLS Model (LC)'!$B$14*N112</f>
        <v>13601430.342326485</v>
      </c>
      <c r="AB112" s="186">
        <f t="shared" ca="1" si="8"/>
        <v>85612613.110469162</v>
      </c>
    </row>
    <row r="113" spans="1:28">
      <c r="A113" s="128">
        <v>43191</v>
      </c>
      <c r="B113" s="186">
        <f t="shared" si="7"/>
        <v>2018</v>
      </c>
      <c r="C113" s="230">
        <f ca="1">'Monthly Data'!T113</f>
        <v>80266356.00638777</v>
      </c>
      <c r="D113" s="186">
        <f t="shared" ca="1" si="15"/>
        <v>248.54999999999995</v>
      </c>
      <c r="E113" s="186">
        <f t="shared" ca="1" si="15"/>
        <v>2.63</v>
      </c>
      <c r="F113" s="186">
        <f>'Monthly Data'!BL113</f>
        <v>665994.78021817585</v>
      </c>
      <c r="G113" s="186">
        <f t="shared" si="12"/>
        <v>112</v>
      </c>
      <c r="H113" s="186">
        <f t="shared" si="13"/>
        <v>1</v>
      </c>
      <c r="I113" s="186">
        <f t="shared" si="13"/>
        <v>0</v>
      </c>
      <c r="J113" s="186">
        <f t="shared" si="13"/>
        <v>0</v>
      </c>
      <c r="K113" s="186">
        <f t="shared" si="13"/>
        <v>0</v>
      </c>
      <c r="L113" s="186">
        <f t="shared" si="13"/>
        <v>0</v>
      </c>
      <c r="M113" s="186">
        <f t="shared" si="14"/>
        <v>30</v>
      </c>
      <c r="N113" s="186">
        <f>'Monthly Data'!CD113</f>
        <v>21</v>
      </c>
      <c r="P113" s="186">
        <f>'GS &gt; 50 OLS Model (LC)'!$B$5</f>
        <v>-8436546.8467997499</v>
      </c>
      <c r="Q113" s="186">
        <f ca="1">'GS &gt; 50 OLS Model (LC)'!$B$6*D113</f>
        <v>6019137.631394715</v>
      </c>
      <c r="R113" s="186">
        <f ca="1">'GS &gt; 50 OLS Model (LC)'!$B$7*E113</f>
        <v>187710.68059748111</v>
      </c>
      <c r="S113" s="186">
        <f>'GS &gt; 50 OLS Model (LC)'!$B$8*F113</f>
        <v>34551493.799757734</v>
      </c>
      <c r="T113" s="186">
        <v>0</v>
      </c>
      <c r="U113" s="186">
        <f>'GS &gt; 50 OLS Model (LC)'!$B$9*H113</f>
        <v>-1670517.9110053701</v>
      </c>
      <c r="V113" s="186">
        <f>'GS &gt; 50 OLS Model (LC)'!$B$10*I113</f>
        <v>0</v>
      </c>
      <c r="W113" s="186">
        <f>'GS &gt; 50 OLS Model (LC)'!$B$11*J113</f>
        <v>0</v>
      </c>
      <c r="X113" s="186">
        <f>'GS &gt; 50 OLS Model (LC)'!$B$12*K113</f>
        <v>0</v>
      </c>
      <c r="Y113" s="186">
        <v>0</v>
      </c>
      <c r="Z113" s="186">
        <f>'GS &gt; 50 OLS Model (LC)'!$B$13*M113</f>
        <v>33683171.091442198</v>
      </c>
      <c r="AA113" s="186">
        <f>'GS &gt; 50 OLS Model (LC)'!$B$14*N113</f>
        <v>13601430.342326485</v>
      </c>
      <c r="AB113" s="186">
        <f t="shared" ca="1" si="8"/>
        <v>77935878.787713498</v>
      </c>
    </row>
    <row r="114" spans="1:28">
      <c r="A114" s="128">
        <v>43221</v>
      </c>
      <c r="B114" s="186">
        <f t="shared" si="7"/>
        <v>2018</v>
      </c>
      <c r="C114" s="230">
        <f ca="1">'Monthly Data'!T114</f>
        <v>81142404.969656065</v>
      </c>
      <c r="D114" s="186">
        <f t="shared" ca="1" si="15"/>
        <v>92.740000000000009</v>
      </c>
      <c r="E114" s="186">
        <f t="shared" ca="1" si="15"/>
        <v>47.37</v>
      </c>
      <c r="F114" s="186">
        <f>'Monthly Data'!BL114</f>
        <v>665994.78021817585</v>
      </c>
      <c r="G114" s="186">
        <f t="shared" si="12"/>
        <v>113</v>
      </c>
      <c r="H114" s="186">
        <f t="shared" si="13"/>
        <v>0</v>
      </c>
      <c r="I114" s="186">
        <f t="shared" si="13"/>
        <v>0</v>
      </c>
      <c r="J114" s="186">
        <f t="shared" si="13"/>
        <v>0</v>
      </c>
      <c r="K114" s="186">
        <f t="shared" si="13"/>
        <v>0</v>
      </c>
      <c r="L114" s="186">
        <f t="shared" si="13"/>
        <v>0</v>
      </c>
      <c r="M114" s="186">
        <f t="shared" si="14"/>
        <v>31</v>
      </c>
      <c r="N114" s="186">
        <f>'Monthly Data'!CD114</f>
        <v>22</v>
      </c>
      <c r="P114" s="186">
        <f>'GS &gt; 50 OLS Model (LC)'!$B$5</f>
        <v>-8436546.8467997499</v>
      </c>
      <c r="Q114" s="186">
        <f ca="1">'GS &gt; 50 OLS Model (LC)'!$B$6*D114</f>
        <v>2245885.4312433959</v>
      </c>
      <c r="R114" s="186">
        <f ca="1">'GS &gt; 50 OLS Model (LC)'!$B$7*E114</f>
        <v>3380933.4372253534</v>
      </c>
      <c r="S114" s="186">
        <f>'GS &gt; 50 OLS Model (LC)'!$B$8*F114</f>
        <v>34551493.799757734</v>
      </c>
      <c r="T114" s="186">
        <v>0</v>
      </c>
      <c r="U114" s="186">
        <f>'GS &gt; 50 OLS Model (LC)'!$B$9*H114</f>
        <v>0</v>
      </c>
      <c r="V114" s="186">
        <f>'GS &gt; 50 OLS Model (LC)'!$B$10*I114</f>
        <v>0</v>
      </c>
      <c r="W114" s="186">
        <f>'GS &gt; 50 OLS Model (LC)'!$B$11*J114</f>
        <v>0</v>
      </c>
      <c r="X114" s="186">
        <f>'GS &gt; 50 OLS Model (LC)'!$B$12*K114</f>
        <v>0</v>
      </c>
      <c r="Y114" s="186">
        <v>0</v>
      </c>
      <c r="Z114" s="186">
        <f>'GS &gt; 50 OLS Model (LC)'!$B$13*M114</f>
        <v>34805943.461156942</v>
      </c>
      <c r="AA114" s="186">
        <f>'GS &gt; 50 OLS Model (LC)'!$B$14*N114</f>
        <v>14249117.501484888</v>
      </c>
      <c r="AB114" s="186">
        <f t="shared" ca="1" si="8"/>
        <v>80796826.78406857</v>
      </c>
    </row>
    <row r="115" spans="1:28">
      <c r="A115" s="128">
        <v>43252</v>
      </c>
      <c r="B115" s="186">
        <f t="shared" si="7"/>
        <v>2018</v>
      </c>
      <c r="C115" s="230">
        <f ca="1">'Monthly Data'!T115</f>
        <v>83962098.407322794</v>
      </c>
      <c r="D115" s="186">
        <f t="shared" ca="1" si="15"/>
        <v>9.08</v>
      </c>
      <c r="E115" s="186">
        <f t="shared" ca="1" si="15"/>
        <v>117.23999999999997</v>
      </c>
      <c r="F115" s="186">
        <f>'Monthly Data'!BL115</f>
        <v>665994.78021817585</v>
      </c>
      <c r="G115" s="186">
        <f t="shared" si="12"/>
        <v>114</v>
      </c>
      <c r="H115" s="186">
        <f t="shared" ref="H115:L130" si="16">H103</f>
        <v>0</v>
      </c>
      <c r="I115" s="186">
        <f t="shared" si="16"/>
        <v>1</v>
      </c>
      <c r="J115" s="186">
        <f t="shared" si="16"/>
        <v>0</v>
      </c>
      <c r="K115" s="186">
        <f t="shared" si="16"/>
        <v>0</v>
      </c>
      <c r="L115" s="186">
        <f t="shared" si="16"/>
        <v>0</v>
      </c>
      <c r="M115" s="186">
        <f t="shared" si="14"/>
        <v>30</v>
      </c>
      <c r="N115" s="186">
        <f>'Monthly Data'!CD115</f>
        <v>21</v>
      </c>
      <c r="P115" s="186">
        <f>'GS &gt; 50 OLS Model (LC)'!$B$5</f>
        <v>-8436546.8467997499</v>
      </c>
      <c r="Q115" s="186">
        <f ca="1">'GS &gt; 50 OLS Model (LC)'!$B$6*D115</f>
        <v>219890.44334364927</v>
      </c>
      <c r="R115" s="186">
        <f ca="1">'GS &gt; 50 OLS Model (LC)'!$B$7*E115</f>
        <v>8367756.727470981</v>
      </c>
      <c r="S115" s="186">
        <f>'GS &gt; 50 OLS Model (LC)'!$B$8*F115</f>
        <v>34551493.799757734</v>
      </c>
      <c r="T115" s="186">
        <v>0</v>
      </c>
      <c r="U115" s="186">
        <f>'GS &gt; 50 OLS Model (LC)'!$B$9*H115</f>
        <v>0</v>
      </c>
      <c r="V115" s="186">
        <f>'GS &gt; 50 OLS Model (LC)'!$B$10*I115</f>
        <v>1260255.0136768401</v>
      </c>
      <c r="W115" s="186">
        <f>'GS &gt; 50 OLS Model (LC)'!$B$11*J115</f>
        <v>0</v>
      </c>
      <c r="X115" s="186">
        <f>'GS &gt; 50 OLS Model (LC)'!$B$12*K115</f>
        <v>0</v>
      </c>
      <c r="Y115" s="186">
        <v>0</v>
      </c>
      <c r="Z115" s="186">
        <f>'GS &gt; 50 OLS Model (LC)'!$B$13*M115</f>
        <v>33683171.091442198</v>
      </c>
      <c r="AA115" s="186">
        <f>'GS &gt; 50 OLS Model (LC)'!$B$14*N115</f>
        <v>13601430.342326485</v>
      </c>
      <c r="AB115" s="186">
        <f t="shared" ca="1" si="8"/>
        <v>83247450.571218133</v>
      </c>
    </row>
    <row r="116" spans="1:28">
      <c r="A116" s="128">
        <v>43282</v>
      </c>
      <c r="B116" s="186">
        <f t="shared" si="7"/>
        <v>2018</v>
      </c>
      <c r="C116" s="230">
        <f ca="1">'Monthly Data'!T116</f>
        <v>88154358.02033484</v>
      </c>
      <c r="D116" s="186">
        <f t="shared" ca="1" si="15"/>
        <v>0.51</v>
      </c>
      <c r="E116" s="186">
        <f t="shared" ca="1" si="15"/>
        <v>185.60999999999999</v>
      </c>
      <c r="F116" s="186">
        <f>'Monthly Data'!BL116</f>
        <v>665994.78021817585</v>
      </c>
      <c r="G116" s="186">
        <f t="shared" si="12"/>
        <v>115</v>
      </c>
      <c r="H116" s="186">
        <f t="shared" si="16"/>
        <v>0</v>
      </c>
      <c r="I116" s="186">
        <f t="shared" si="16"/>
        <v>0</v>
      </c>
      <c r="J116" s="186">
        <f t="shared" si="16"/>
        <v>0</v>
      </c>
      <c r="K116" s="186">
        <f t="shared" si="16"/>
        <v>0</v>
      </c>
      <c r="L116" s="186">
        <f t="shared" si="16"/>
        <v>0</v>
      </c>
      <c r="M116" s="186">
        <f t="shared" si="14"/>
        <v>31</v>
      </c>
      <c r="N116" s="186">
        <f>'Monthly Data'!CD116</f>
        <v>21</v>
      </c>
      <c r="P116" s="186">
        <f>'GS &gt; 50 OLS Model (LC)'!$B$5</f>
        <v>-8436546.8467997499</v>
      </c>
      <c r="Q116" s="186">
        <f ca="1">'GS &gt; 50 OLS Model (LC)'!$B$6*D116</f>
        <v>12350.67468119616</v>
      </c>
      <c r="R116" s="186">
        <f ca="1">'GS &gt; 50 OLS Model (LC)'!$B$7*E116</f>
        <v>13247520.694181927</v>
      </c>
      <c r="S116" s="186">
        <f>'GS &gt; 50 OLS Model (LC)'!$B$8*F116</f>
        <v>34551493.799757734</v>
      </c>
      <c r="T116" s="186">
        <v>0</v>
      </c>
      <c r="U116" s="186">
        <f>'GS &gt; 50 OLS Model (LC)'!$B$9*H116</f>
        <v>0</v>
      </c>
      <c r="V116" s="186">
        <f>'GS &gt; 50 OLS Model (LC)'!$B$10*I116</f>
        <v>0</v>
      </c>
      <c r="W116" s="186">
        <f>'GS &gt; 50 OLS Model (LC)'!$B$11*J116</f>
        <v>0</v>
      </c>
      <c r="X116" s="186">
        <f>'GS &gt; 50 OLS Model (LC)'!$B$12*K116</f>
        <v>0</v>
      </c>
      <c r="Y116" s="186">
        <v>0</v>
      </c>
      <c r="Z116" s="186">
        <f>'GS &gt; 50 OLS Model (LC)'!$B$13*M116</f>
        <v>34805943.461156942</v>
      </c>
      <c r="AA116" s="186">
        <f>'GS &gt; 50 OLS Model (LC)'!$B$14*N116</f>
        <v>13601430.342326485</v>
      </c>
      <c r="AB116" s="186">
        <f t="shared" ca="1" si="8"/>
        <v>87782192.12530455</v>
      </c>
    </row>
    <row r="117" spans="1:28">
      <c r="A117" s="128">
        <v>43313</v>
      </c>
      <c r="B117" s="186">
        <f t="shared" si="7"/>
        <v>2018</v>
      </c>
      <c r="C117" s="230">
        <f ca="1">'Monthly Data'!T117</f>
        <v>89701635.106067449</v>
      </c>
      <c r="D117" s="186">
        <f t="shared" ca="1" si="15"/>
        <v>1.51</v>
      </c>
      <c r="E117" s="186">
        <f t="shared" ca="1" si="15"/>
        <v>159.64000000000001</v>
      </c>
      <c r="F117" s="186">
        <f>'Monthly Data'!BL117</f>
        <v>665994.78021817585</v>
      </c>
      <c r="G117" s="186">
        <f t="shared" si="12"/>
        <v>116</v>
      </c>
      <c r="H117" s="186">
        <f t="shared" si="16"/>
        <v>0</v>
      </c>
      <c r="I117" s="186">
        <f t="shared" si="16"/>
        <v>0</v>
      </c>
      <c r="J117" s="186">
        <f t="shared" si="16"/>
        <v>1</v>
      </c>
      <c r="K117" s="186">
        <f t="shared" si="16"/>
        <v>0</v>
      </c>
      <c r="L117" s="186">
        <f t="shared" si="16"/>
        <v>0</v>
      </c>
      <c r="M117" s="186">
        <f t="shared" si="14"/>
        <v>31</v>
      </c>
      <c r="N117" s="186">
        <f>'Monthly Data'!CD117</f>
        <v>22</v>
      </c>
      <c r="P117" s="186">
        <f>'GS &gt; 50 OLS Model (LC)'!$B$5</f>
        <v>-8436546.8467997499</v>
      </c>
      <c r="Q117" s="186">
        <f ca="1">'GS &gt; 50 OLS Model (LC)'!$B$6*D117</f>
        <v>36567.683860012155</v>
      </c>
      <c r="R117" s="186">
        <f ca="1">'GS &gt; 50 OLS Model (LC)'!$B$7*E117</f>
        <v>11393966.939384749</v>
      </c>
      <c r="S117" s="186">
        <f>'GS &gt; 50 OLS Model (LC)'!$B$8*F117</f>
        <v>34551493.799757734</v>
      </c>
      <c r="T117" s="186">
        <v>0</v>
      </c>
      <c r="U117" s="186">
        <f>'GS &gt; 50 OLS Model (LC)'!$B$9*H117</f>
        <v>0</v>
      </c>
      <c r="V117" s="186">
        <f>'GS &gt; 50 OLS Model (LC)'!$B$10*I117</f>
        <v>0</v>
      </c>
      <c r="W117" s="186">
        <f>'GS &gt; 50 OLS Model (LC)'!$B$11*J117</f>
        <v>2501012.7689915099</v>
      </c>
      <c r="X117" s="186">
        <f>'GS &gt; 50 OLS Model (LC)'!$B$12*K117</f>
        <v>0</v>
      </c>
      <c r="Y117" s="186">
        <v>0</v>
      </c>
      <c r="Z117" s="186">
        <f>'GS &gt; 50 OLS Model (LC)'!$B$13*M117</f>
        <v>34805943.461156942</v>
      </c>
      <c r="AA117" s="186">
        <f>'GS &gt; 50 OLS Model (LC)'!$B$14*N117</f>
        <v>14249117.501484888</v>
      </c>
      <c r="AB117" s="186">
        <f t="shared" ca="1" si="8"/>
        <v>89101555.307836071</v>
      </c>
    </row>
    <row r="118" spans="1:28">
      <c r="A118" s="128">
        <v>43344</v>
      </c>
      <c r="B118" s="186">
        <f t="shared" si="7"/>
        <v>2018</v>
      </c>
      <c r="C118" s="230">
        <f ca="1">'Monthly Data'!T118</f>
        <v>80810700.426849648</v>
      </c>
      <c r="D118" s="186">
        <f t="shared" ca="1" si="15"/>
        <v>33.01</v>
      </c>
      <c r="E118" s="186">
        <f t="shared" ca="1" si="15"/>
        <v>72.989999999999981</v>
      </c>
      <c r="F118" s="186">
        <f>'Monthly Data'!BL118</f>
        <v>665994.78021817585</v>
      </c>
      <c r="G118" s="186">
        <f t="shared" si="12"/>
        <v>117</v>
      </c>
      <c r="H118" s="186">
        <f t="shared" si="16"/>
        <v>0</v>
      </c>
      <c r="I118" s="186">
        <f t="shared" si="16"/>
        <v>0</v>
      </c>
      <c r="J118" s="186">
        <f t="shared" si="16"/>
        <v>0</v>
      </c>
      <c r="K118" s="186">
        <f t="shared" si="16"/>
        <v>1</v>
      </c>
      <c r="L118" s="186">
        <f t="shared" si="16"/>
        <v>0</v>
      </c>
      <c r="M118" s="186">
        <f t="shared" si="14"/>
        <v>30</v>
      </c>
      <c r="N118" s="186">
        <f>'Monthly Data'!CD118</f>
        <v>19</v>
      </c>
      <c r="P118" s="186">
        <f>'GS &gt; 50 OLS Model (LC)'!$B$5</f>
        <v>-8436546.8467997499</v>
      </c>
      <c r="Q118" s="186">
        <f ca="1">'GS &gt; 50 OLS Model (LC)'!$B$6*D118</f>
        <v>799403.47299271612</v>
      </c>
      <c r="R118" s="186">
        <f ca="1">'GS &gt; 50 OLS Model (LC)'!$B$7*E118</f>
        <v>5209506.6831977731</v>
      </c>
      <c r="S118" s="186">
        <f>'GS &gt; 50 OLS Model (LC)'!$B$8*F118</f>
        <v>34551493.799757734</v>
      </c>
      <c r="T118" s="186">
        <v>0</v>
      </c>
      <c r="U118" s="186">
        <f>'GS &gt; 50 OLS Model (LC)'!$B$9*H118</f>
        <v>0</v>
      </c>
      <c r="V118" s="186">
        <f>'GS &gt; 50 OLS Model (LC)'!$B$10*I118</f>
        <v>0</v>
      </c>
      <c r="W118" s="186">
        <f>'GS &gt; 50 OLS Model (LC)'!$B$11*J118</f>
        <v>0</v>
      </c>
      <c r="X118" s="186">
        <f>'GS &gt; 50 OLS Model (LC)'!$B$12*K118</f>
        <v>2346294.5864150901</v>
      </c>
      <c r="Y118" s="186">
        <v>0</v>
      </c>
      <c r="Z118" s="186">
        <f>'GS &gt; 50 OLS Model (LC)'!$B$13*M118</f>
        <v>33683171.091442198</v>
      </c>
      <c r="AA118" s="186">
        <f>'GS &gt; 50 OLS Model (LC)'!$B$14*N118</f>
        <v>12306056.024009675</v>
      </c>
      <c r="AB118" s="186">
        <f t="shared" ca="1" si="8"/>
        <v>80459378.811015427</v>
      </c>
    </row>
    <row r="119" spans="1:28">
      <c r="A119" s="128">
        <v>43374</v>
      </c>
      <c r="B119" s="186">
        <f t="shared" si="7"/>
        <v>2018</v>
      </c>
      <c r="C119" s="230">
        <f ca="1">'Monthly Data'!T119</f>
        <v>79623950.011380896</v>
      </c>
      <c r="D119" s="186">
        <f t="shared" ca="1" si="15"/>
        <v>177.83999999999997</v>
      </c>
      <c r="E119" s="186">
        <f t="shared" ca="1" si="15"/>
        <v>10.779999999999998</v>
      </c>
      <c r="F119" s="186">
        <f>'Monthly Data'!BL119</f>
        <v>665994.78021817585</v>
      </c>
      <c r="G119" s="186">
        <f t="shared" si="12"/>
        <v>118</v>
      </c>
      <c r="H119" s="186">
        <f t="shared" si="16"/>
        <v>0</v>
      </c>
      <c r="I119" s="186">
        <f t="shared" si="16"/>
        <v>0</v>
      </c>
      <c r="J119" s="186">
        <f t="shared" si="16"/>
        <v>0</v>
      </c>
      <c r="K119" s="186">
        <f t="shared" si="16"/>
        <v>0</v>
      </c>
      <c r="L119" s="186">
        <f t="shared" si="16"/>
        <v>1</v>
      </c>
      <c r="M119" s="186">
        <f t="shared" si="14"/>
        <v>31</v>
      </c>
      <c r="N119" s="186">
        <f>'Monthly Data'!CD119</f>
        <v>22</v>
      </c>
      <c r="P119" s="186">
        <f>'GS &gt; 50 OLS Model (LC)'!$B$5</f>
        <v>-8436546.8467997499</v>
      </c>
      <c r="Q119" s="186">
        <f ca="1">'GS &gt; 50 OLS Model (LC)'!$B$6*D119</f>
        <v>4306752.9123606365</v>
      </c>
      <c r="R119" s="186">
        <f ca="1">'GS &gt; 50 OLS Model (LC)'!$B$7*E119</f>
        <v>769399.67180260306</v>
      </c>
      <c r="S119" s="186">
        <f>'GS &gt; 50 OLS Model (LC)'!$B$8*F119</f>
        <v>34551493.799757734</v>
      </c>
      <c r="T119" s="186">
        <v>0</v>
      </c>
      <c r="U119" s="186">
        <f>'GS &gt; 50 OLS Model (LC)'!$B$9*H119</f>
        <v>0</v>
      </c>
      <c r="V119" s="186">
        <f>'GS &gt; 50 OLS Model (LC)'!$B$10*I119</f>
        <v>0</v>
      </c>
      <c r="W119" s="186">
        <f>'GS &gt; 50 OLS Model (LC)'!$B$11*J119</f>
        <v>0</v>
      </c>
      <c r="X119" s="186">
        <f>'GS &gt; 50 OLS Model (LC)'!$B$12*K119</f>
        <v>0</v>
      </c>
      <c r="Y119" s="186">
        <v>0</v>
      </c>
      <c r="Z119" s="186">
        <f>'GS &gt; 50 OLS Model (LC)'!$B$13*M119</f>
        <v>34805943.461156942</v>
      </c>
      <c r="AA119" s="186">
        <f>'GS &gt; 50 OLS Model (LC)'!$B$14*N119</f>
        <v>14249117.501484888</v>
      </c>
      <c r="AB119" s="186">
        <f t="shared" ca="1" si="8"/>
        <v>80246160.499763057</v>
      </c>
    </row>
    <row r="120" spans="1:28">
      <c r="A120" s="128">
        <v>43405</v>
      </c>
      <c r="B120" s="186">
        <f t="shared" si="7"/>
        <v>2018</v>
      </c>
      <c r="C120" s="230">
        <f ca="1">'Monthly Data'!T120</f>
        <v>81146978.237552956</v>
      </c>
      <c r="D120" s="186">
        <f t="shared" ca="1" si="15"/>
        <v>361.94999999999993</v>
      </c>
      <c r="E120" s="186">
        <f t="shared" ca="1" si="15"/>
        <v>0.05</v>
      </c>
      <c r="F120" s="186">
        <f>'Monthly Data'!BL120</f>
        <v>665994.78021817585</v>
      </c>
      <c r="G120" s="186">
        <f t="shared" si="12"/>
        <v>119</v>
      </c>
      <c r="H120" s="186">
        <f t="shared" si="16"/>
        <v>0</v>
      </c>
      <c r="I120" s="186">
        <f t="shared" si="16"/>
        <v>0</v>
      </c>
      <c r="J120" s="186">
        <f t="shared" si="16"/>
        <v>0</v>
      </c>
      <c r="K120" s="186">
        <f t="shared" si="16"/>
        <v>0</v>
      </c>
      <c r="L120" s="186">
        <f t="shared" si="16"/>
        <v>0</v>
      </c>
      <c r="M120" s="186">
        <f t="shared" si="14"/>
        <v>30</v>
      </c>
      <c r="N120" s="186">
        <f>'Monthly Data'!CD120</f>
        <v>22</v>
      </c>
      <c r="P120" s="186">
        <f>'GS &gt; 50 OLS Model (LC)'!$B$5</f>
        <v>-8436546.8467997499</v>
      </c>
      <c r="Q120" s="186">
        <f ca="1">'GS &gt; 50 OLS Model (LC)'!$B$6*D120</f>
        <v>8765346.4722724482</v>
      </c>
      <c r="R120" s="186">
        <f ca="1">'GS &gt; 50 OLS Model (LC)'!$B$7*E120</f>
        <v>3568.6441178228351</v>
      </c>
      <c r="S120" s="186">
        <f>'GS &gt; 50 OLS Model (LC)'!$B$8*F120</f>
        <v>34551493.799757734</v>
      </c>
      <c r="T120" s="186">
        <v>0</v>
      </c>
      <c r="U120" s="186">
        <f>'GS &gt; 50 OLS Model (LC)'!$B$9*H120</f>
        <v>0</v>
      </c>
      <c r="V120" s="186">
        <f>'GS &gt; 50 OLS Model (LC)'!$B$10*I120</f>
        <v>0</v>
      </c>
      <c r="W120" s="186">
        <f>'GS &gt; 50 OLS Model (LC)'!$B$11*J120</f>
        <v>0</v>
      </c>
      <c r="X120" s="186">
        <f>'GS &gt; 50 OLS Model (LC)'!$B$12*K120</f>
        <v>0</v>
      </c>
      <c r="Y120" s="186">
        <v>0</v>
      </c>
      <c r="Z120" s="186">
        <f>'GS &gt; 50 OLS Model (LC)'!$B$13*M120</f>
        <v>33683171.091442198</v>
      </c>
      <c r="AA120" s="186">
        <f>'GS &gt; 50 OLS Model (LC)'!$B$14*N120</f>
        <v>14249117.501484888</v>
      </c>
      <c r="AB120" s="186">
        <f t="shared" ca="1" si="8"/>
        <v>82816150.662275329</v>
      </c>
    </row>
    <row r="121" spans="1:28">
      <c r="A121" s="128">
        <v>43435</v>
      </c>
      <c r="B121" s="186">
        <f t="shared" si="7"/>
        <v>2018</v>
      </c>
      <c r="C121" s="230">
        <f ca="1">'Monthly Data'!T121</f>
        <v>81291484.354706481</v>
      </c>
      <c r="D121" s="186">
        <f t="shared" ca="1" si="15"/>
        <v>556.41000000000008</v>
      </c>
      <c r="E121" s="186">
        <f t="shared" ca="1" si="15"/>
        <v>0</v>
      </c>
      <c r="F121" s="186">
        <f>'Monthly Data'!BL121</f>
        <v>665994.78021817585</v>
      </c>
      <c r="G121" s="186">
        <f t="shared" si="12"/>
        <v>120</v>
      </c>
      <c r="H121" s="186">
        <f t="shared" si="16"/>
        <v>0</v>
      </c>
      <c r="I121" s="186">
        <f t="shared" si="16"/>
        <v>0</v>
      </c>
      <c r="J121" s="186">
        <f t="shared" si="16"/>
        <v>0</v>
      </c>
      <c r="K121" s="186">
        <f t="shared" si="16"/>
        <v>0</v>
      </c>
      <c r="L121" s="186">
        <f t="shared" si="16"/>
        <v>0</v>
      </c>
      <c r="M121" s="186">
        <f t="shared" si="14"/>
        <v>31</v>
      </c>
      <c r="N121" s="186">
        <f>'Monthly Data'!CD121</f>
        <v>19</v>
      </c>
      <c r="P121" s="186">
        <f>'GS &gt; 50 OLS Model (LC)'!$B$5</f>
        <v>-8436546.8467997499</v>
      </c>
      <c r="Q121" s="186">
        <f ca="1">'GS &gt; 50 OLS Model (LC)'!$B$6*D121</f>
        <v>13474586.077185012</v>
      </c>
      <c r="R121" s="186">
        <f ca="1">'GS &gt; 50 OLS Model (LC)'!$B$7*E121</f>
        <v>0</v>
      </c>
      <c r="S121" s="186">
        <f>'GS &gt; 50 OLS Model (LC)'!$B$8*F121</f>
        <v>34551493.799757734</v>
      </c>
      <c r="T121" s="186">
        <v>0</v>
      </c>
      <c r="U121" s="186">
        <f>'GS &gt; 50 OLS Model (LC)'!$B$9*H121</f>
        <v>0</v>
      </c>
      <c r="V121" s="186">
        <f>'GS &gt; 50 OLS Model (LC)'!$B$10*I121</f>
        <v>0</v>
      </c>
      <c r="W121" s="186">
        <f>'GS &gt; 50 OLS Model (LC)'!$B$11*J121</f>
        <v>0</v>
      </c>
      <c r="X121" s="186">
        <f>'GS &gt; 50 OLS Model (LC)'!$B$12*K121</f>
        <v>0</v>
      </c>
      <c r="Y121" s="186">
        <v>0</v>
      </c>
      <c r="Z121" s="186">
        <f>'GS &gt; 50 OLS Model (LC)'!$B$13*M121</f>
        <v>34805943.461156942</v>
      </c>
      <c r="AA121" s="186">
        <f>'GS &gt; 50 OLS Model (LC)'!$B$14*N121</f>
        <v>12306056.024009675</v>
      </c>
      <c r="AB121" s="186">
        <f t="shared" ca="1" si="8"/>
        <v>86701532.515309602</v>
      </c>
    </row>
    <row r="122" spans="1:28">
      <c r="A122" s="128">
        <v>43466</v>
      </c>
      <c r="B122" s="186">
        <f t="shared" si="7"/>
        <v>2019</v>
      </c>
      <c r="D122" s="186">
        <f t="shared" ca="1" si="15"/>
        <v>659.42999999999984</v>
      </c>
      <c r="E122" s="186">
        <f t="shared" ca="1" si="15"/>
        <v>0</v>
      </c>
      <c r="F122" s="186">
        <f>F110*(1+Employment!L$9)</f>
        <v>676783.89565771027</v>
      </c>
      <c r="G122" s="186">
        <f t="shared" si="12"/>
        <v>121</v>
      </c>
      <c r="H122" s="186">
        <f t="shared" si="16"/>
        <v>0</v>
      </c>
      <c r="I122" s="186">
        <f t="shared" si="16"/>
        <v>0</v>
      </c>
      <c r="J122" s="186">
        <f t="shared" si="16"/>
        <v>0</v>
      </c>
      <c r="K122" s="186">
        <f t="shared" si="16"/>
        <v>0</v>
      </c>
      <c r="L122" s="186">
        <f t="shared" si="16"/>
        <v>0</v>
      </c>
      <c r="M122" s="186">
        <f t="shared" si="14"/>
        <v>31</v>
      </c>
      <c r="N122" s="186">
        <v>22</v>
      </c>
      <c r="P122" s="186">
        <f>'GS &gt; 50 OLS Model (LC)'!$B$5</f>
        <v>-8436546.8467997499</v>
      </c>
      <c r="Q122" s="186">
        <f ca="1">'GS &gt; 50 OLS Model (LC)'!$B$6*D122</f>
        <v>15969422.36278663</v>
      </c>
      <c r="R122" s="186">
        <f ca="1">'GS &gt; 50 OLS Model (LC)'!$B$7*E122</f>
        <v>0</v>
      </c>
      <c r="S122" s="186">
        <f>'GS &gt; 50 OLS Model (LC)'!$B$8*F122</f>
        <v>35111227.999313809</v>
      </c>
      <c r="T122" s="186">
        <v>0</v>
      </c>
      <c r="U122" s="186">
        <f>'GS &gt; 50 OLS Model (LC)'!$B$9*H122</f>
        <v>0</v>
      </c>
      <c r="V122" s="186">
        <f>'GS &gt; 50 OLS Model (LC)'!$B$10*I122</f>
        <v>0</v>
      </c>
      <c r="W122" s="186">
        <f>'GS &gt; 50 OLS Model (LC)'!$B$11*J122</f>
        <v>0</v>
      </c>
      <c r="X122" s="186">
        <f>'GS &gt; 50 OLS Model (LC)'!$B$12*K122</f>
        <v>0</v>
      </c>
      <c r="Y122" s="186">
        <v>0</v>
      </c>
      <c r="Z122" s="186">
        <f>'GS &gt; 50 OLS Model (LC)'!$B$13*M122</f>
        <v>34805943.461156942</v>
      </c>
      <c r="AA122" s="186">
        <f>'GS &gt; 50 OLS Model (LC)'!$B$14*N122</f>
        <v>14249117.501484888</v>
      </c>
      <c r="AB122" s="186">
        <f t="shared" ca="1" si="8"/>
        <v>91699164.477942511</v>
      </c>
    </row>
    <row r="123" spans="1:28">
      <c r="A123" s="128">
        <v>43497</v>
      </c>
      <c r="B123" s="186">
        <f t="shared" si="7"/>
        <v>2019</v>
      </c>
      <c r="D123" s="186">
        <f t="shared" ca="1" si="15"/>
        <v>571.77</v>
      </c>
      <c r="E123" s="186">
        <f t="shared" ca="1" si="15"/>
        <v>0</v>
      </c>
      <c r="F123" s="186">
        <f>F111*(1+Employment!L$9)</f>
        <v>676783.89565771027</v>
      </c>
      <c r="G123" s="186">
        <f t="shared" si="12"/>
        <v>122</v>
      </c>
      <c r="H123" s="186">
        <f t="shared" si="16"/>
        <v>0</v>
      </c>
      <c r="I123" s="186">
        <f t="shared" si="16"/>
        <v>0</v>
      </c>
      <c r="J123" s="186">
        <f t="shared" si="16"/>
        <v>0</v>
      </c>
      <c r="K123" s="186">
        <f t="shared" si="16"/>
        <v>0</v>
      </c>
      <c r="L123" s="186">
        <f t="shared" si="16"/>
        <v>0</v>
      </c>
      <c r="M123" s="186">
        <f t="shared" si="14"/>
        <v>28</v>
      </c>
      <c r="N123" s="186">
        <v>19</v>
      </c>
      <c r="P123" s="186">
        <f>'GS &gt; 50 OLS Model (LC)'!$B$5</f>
        <v>-8436546.8467997499</v>
      </c>
      <c r="Q123" s="186">
        <f ca="1">'GS &gt; 50 OLS Model (LC)'!$B$6*D123</f>
        <v>13846559.338171624</v>
      </c>
      <c r="R123" s="186">
        <f ca="1">'GS &gt; 50 OLS Model (LC)'!$B$7*E123</f>
        <v>0</v>
      </c>
      <c r="S123" s="186">
        <f>'GS &gt; 50 OLS Model (LC)'!$B$8*F123</f>
        <v>35111227.999313809</v>
      </c>
      <c r="T123" s="186">
        <v>0</v>
      </c>
      <c r="U123" s="186">
        <f>'GS &gt; 50 OLS Model (LC)'!$B$9*H123</f>
        <v>0</v>
      </c>
      <c r="V123" s="186">
        <f>'GS &gt; 50 OLS Model (LC)'!$B$10*I123</f>
        <v>0</v>
      </c>
      <c r="W123" s="186">
        <f>'GS &gt; 50 OLS Model (LC)'!$B$11*J123</f>
        <v>0</v>
      </c>
      <c r="X123" s="186">
        <f>'GS &gt; 50 OLS Model (LC)'!$B$12*K123</f>
        <v>0</v>
      </c>
      <c r="Y123" s="186">
        <v>0</v>
      </c>
      <c r="Z123" s="186">
        <f>'GS &gt; 50 OLS Model (LC)'!$B$13*M123</f>
        <v>31437626.35201272</v>
      </c>
      <c r="AA123" s="186">
        <f>'GS &gt; 50 OLS Model (LC)'!$B$14*N123</f>
        <v>12306056.024009675</v>
      </c>
      <c r="AB123" s="186">
        <f t="shared" ca="1" si="8"/>
        <v>84264922.866708085</v>
      </c>
    </row>
    <row r="124" spans="1:28">
      <c r="A124" s="128">
        <v>43525</v>
      </c>
      <c r="B124" s="186">
        <f t="shared" si="7"/>
        <v>2019</v>
      </c>
      <c r="D124" s="186">
        <f t="shared" ca="1" si="15"/>
        <v>456.53999999999996</v>
      </c>
      <c r="E124" s="186">
        <f t="shared" ca="1" si="15"/>
        <v>0.48</v>
      </c>
      <c r="F124" s="186">
        <f>F112*(1+Employment!L$9)</f>
        <v>676783.89565771027</v>
      </c>
      <c r="G124" s="186">
        <f t="shared" si="12"/>
        <v>123</v>
      </c>
      <c r="H124" s="186">
        <f t="shared" si="16"/>
        <v>0</v>
      </c>
      <c r="I124" s="186">
        <f t="shared" si="16"/>
        <v>0</v>
      </c>
      <c r="J124" s="186">
        <f t="shared" si="16"/>
        <v>0</v>
      </c>
      <c r="K124" s="186">
        <f t="shared" si="16"/>
        <v>0</v>
      </c>
      <c r="L124" s="186">
        <f t="shared" si="16"/>
        <v>0</v>
      </c>
      <c r="M124" s="186">
        <f t="shared" si="14"/>
        <v>31</v>
      </c>
      <c r="N124" s="186">
        <v>21</v>
      </c>
      <c r="P124" s="186">
        <f>'GS &gt; 50 OLS Model (LC)'!$B$5</f>
        <v>-8436546.8467997499</v>
      </c>
      <c r="Q124" s="186">
        <f ca="1">'GS &gt; 50 OLS Model (LC)'!$B$6*D124</f>
        <v>11056033.370496655</v>
      </c>
      <c r="R124" s="186">
        <f ca="1">'GS &gt; 50 OLS Model (LC)'!$B$7*E124</f>
        <v>34258.983531099213</v>
      </c>
      <c r="S124" s="186">
        <f>'GS &gt; 50 OLS Model (LC)'!$B$8*F124</f>
        <v>35111227.999313809</v>
      </c>
      <c r="T124" s="186">
        <v>0</v>
      </c>
      <c r="U124" s="186">
        <f>'GS &gt; 50 OLS Model (LC)'!$B$9*H124</f>
        <v>0</v>
      </c>
      <c r="V124" s="186">
        <f>'GS &gt; 50 OLS Model (LC)'!$B$10*I124</f>
        <v>0</v>
      </c>
      <c r="W124" s="186">
        <f>'GS &gt; 50 OLS Model (LC)'!$B$11*J124</f>
        <v>0</v>
      </c>
      <c r="X124" s="186">
        <f>'GS &gt; 50 OLS Model (LC)'!$B$12*K124</f>
        <v>0</v>
      </c>
      <c r="Y124" s="186">
        <v>0</v>
      </c>
      <c r="Z124" s="186">
        <f>'GS &gt; 50 OLS Model (LC)'!$B$13*M124</f>
        <v>34805943.461156942</v>
      </c>
      <c r="AA124" s="186">
        <f>'GS &gt; 50 OLS Model (LC)'!$B$14*N124</f>
        <v>13601430.342326485</v>
      </c>
      <c r="AB124" s="186">
        <f t="shared" ca="1" si="8"/>
        <v>86172347.310025245</v>
      </c>
    </row>
    <row r="125" spans="1:28">
      <c r="A125" s="128">
        <v>43556</v>
      </c>
      <c r="B125" s="186">
        <f t="shared" si="7"/>
        <v>2019</v>
      </c>
      <c r="D125" s="186">
        <f t="shared" ca="1" si="15"/>
        <v>248.54999999999995</v>
      </c>
      <c r="E125" s="186">
        <f t="shared" ca="1" si="15"/>
        <v>2.63</v>
      </c>
      <c r="F125" s="186">
        <f>F113*(1+Employment!L$9)</f>
        <v>676783.89565771027</v>
      </c>
      <c r="G125" s="186">
        <f t="shared" si="12"/>
        <v>124</v>
      </c>
      <c r="H125" s="186">
        <f t="shared" si="16"/>
        <v>1</v>
      </c>
      <c r="I125" s="186">
        <f t="shared" si="16"/>
        <v>0</v>
      </c>
      <c r="J125" s="186">
        <f t="shared" si="16"/>
        <v>0</v>
      </c>
      <c r="K125" s="186">
        <f t="shared" si="16"/>
        <v>0</v>
      </c>
      <c r="L125" s="186">
        <f t="shared" si="16"/>
        <v>0</v>
      </c>
      <c r="M125" s="186">
        <f t="shared" si="14"/>
        <v>30</v>
      </c>
      <c r="N125" s="186">
        <v>20</v>
      </c>
      <c r="P125" s="186">
        <f>'GS &gt; 50 OLS Model (LC)'!$B$5</f>
        <v>-8436546.8467997499</v>
      </c>
      <c r="Q125" s="186">
        <f ca="1">'GS &gt; 50 OLS Model (LC)'!$B$6*D125</f>
        <v>6019137.631394715</v>
      </c>
      <c r="R125" s="186">
        <f ca="1">'GS &gt; 50 OLS Model (LC)'!$B$7*E125</f>
        <v>187710.68059748111</v>
      </c>
      <c r="S125" s="186">
        <f>'GS &gt; 50 OLS Model (LC)'!$B$8*F125</f>
        <v>35111227.999313809</v>
      </c>
      <c r="T125" s="186">
        <v>0</v>
      </c>
      <c r="U125" s="186">
        <f>'GS &gt; 50 OLS Model (LC)'!$B$9*H125</f>
        <v>-1670517.9110053701</v>
      </c>
      <c r="V125" s="186">
        <f>'GS &gt; 50 OLS Model (LC)'!$B$10*I125</f>
        <v>0</v>
      </c>
      <c r="W125" s="186">
        <f>'GS &gt; 50 OLS Model (LC)'!$B$11*J125</f>
        <v>0</v>
      </c>
      <c r="X125" s="186">
        <f>'GS &gt; 50 OLS Model (LC)'!$B$12*K125</f>
        <v>0</v>
      </c>
      <c r="Y125" s="186">
        <v>0</v>
      </c>
      <c r="Z125" s="186">
        <f>'GS &gt; 50 OLS Model (LC)'!$B$13*M125</f>
        <v>33683171.091442198</v>
      </c>
      <c r="AA125" s="186">
        <f>'GS &gt; 50 OLS Model (LC)'!$B$14*N125</f>
        <v>12953743.18316808</v>
      </c>
      <c r="AB125" s="186">
        <f t="shared" ca="1" si="8"/>
        <v>77847925.828111157</v>
      </c>
    </row>
    <row r="126" spans="1:28">
      <c r="A126" s="128">
        <v>43586</v>
      </c>
      <c r="B126" s="186">
        <f t="shared" si="7"/>
        <v>2019</v>
      </c>
      <c r="D126" s="186">
        <f t="shared" ref="D126:E141" ca="1" si="17">D114</f>
        <v>92.740000000000009</v>
      </c>
      <c r="E126" s="186">
        <f t="shared" ca="1" si="17"/>
        <v>47.37</v>
      </c>
      <c r="F126" s="186">
        <f>F114*(1+Employment!L$9)</f>
        <v>676783.89565771027</v>
      </c>
      <c r="G126" s="186">
        <f t="shared" si="12"/>
        <v>125</v>
      </c>
      <c r="H126" s="186">
        <f t="shared" si="16"/>
        <v>0</v>
      </c>
      <c r="I126" s="186">
        <f t="shared" si="16"/>
        <v>0</v>
      </c>
      <c r="J126" s="186">
        <f t="shared" si="16"/>
        <v>0</v>
      </c>
      <c r="K126" s="186">
        <f t="shared" si="16"/>
        <v>0</v>
      </c>
      <c r="L126" s="186">
        <f t="shared" si="16"/>
        <v>0</v>
      </c>
      <c r="M126" s="186">
        <f t="shared" si="14"/>
        <v>31</v>
      </c>
      <c r="N126" s="186">
        <v>22</v>
      </c>
      <c r="P126" s="186">
        <f>'GS &gt; 50 OLS Model (LC)'!$B$5</f>
        <v>-8436546.8467997499</v>
      </c>
      <c r="Q126" s="186">
        <f ca="1">'GS &gt; 50 OLS Model (LC)'!$B$6*D126</f>
        <v>2245885.4312433959</v>
      </c>
      <c r="R126" s="186">
        <f ca="1">'GS &gt; 50 OLS Model (LC)'!$B$7*E126</f>
        <v>3380933.4372253534</v>
      </c>
      <c r="S126" s="186">
        <f>'GS &gt; 50 OLS Model (LC)'!$B$8*F126</f>
        <v>35111227.999313809</v>
      </c>
      <c r="T126" s="186">
        <v>0</v>
      </c>
      <c r="U126" s="186">
        <f>'GS &gt; 50 OLS Model (LC)'!$B$9*H126</f>
        <v>0</v>
      </c>
      <c r="V126" s="186">
        <f>'GS &gt; 50 OLS Model (LC)'!$B$10*I126</f>
        <v>0</v>
      </c>
      <c r="W126" s="186">
        <f>'GS &gt; 50 OLS Model (LC)'!$B$11*J126</f>
        <v>0</v>
      </c>
      <c r="X126" s="186">
        <f>'GS &gt; 50 OLS Model (LC)'!$B$12*K126</f>
        <v>0</v>
      </c>
      <c r="Y126" s="186">
        <v>0</v>
      </c>
      <c r="Z126" s="186">
        <f>'GS &gt; 50 OLS Model (LC)'!$B$13*M126</f>
        <v>34805943.461156942</v>
      </c>
      <c r="AA126" s="186">
        <f>'GS &gt; 50 OLS Model (LC)'!$B$14*N126</f>
        <v>14249117.501484888</v>
      </c>
      <c r="AB126" s="186">
        <f t="shared" ca="1" si="8"/>
        <v>81356560.983624637</v>
      </c>
    </row>
    <row r="127" spans="1:28">
      <c r="A127" s="128">
        <v>43617</v>
      </c>
      <c r="B127" s="186">
        <f t="shared" si="7"/>
        <v>2019</v>
      </c>
      <c r="D127" s="186">
        <f t="shared" ca="1" si="17"/>
        <v>9.08</v>
      </c>
      <c r="E127" s="186">
        <f t="shared" ca="1" si="17"/>
        <v>117.23999999999997</v>
      </c>
      <c r="F127" s="186">
        <f>F115*(1+Employment!L$9)</f>
        <v>676783.89565771027</v>
      </c>
      <c r="G127" s="186">
        <f t="shared" si="12"/>
        <v>126</v>
      </c>
      <c r="H127" s="186">
        <f t="shared" si="16"/>
        <v>0</v>
      </c>
      <c r="I127" s="186">
        <f t="shared" si="16"/>
        <v>1</v>
      </c>
      <c r="J127" s="186">
        <f t="shared" si="16"/>
        <v>0</v>
      </c>
      <c r="K127" s="186">
        <f t="shared" si="16"/>
        <v>0</v>
      </c>
      <c r="L127" s="186">
        <f t="shared" si="16"/>
        <v>0</v>
      </c>
      <c r="M127" s="186">
        <f t="shared" si="14"/>
        <v>30</v>
      </c>
      <c r="N127" s="186">
        <v>20</v>
      </c>
      <c r="P127" s="186">
        <f>'GS &gt; 50 OLS Model (LC)'!$B$5</f>
        <v>-8436546.8467997499</v>
      </c>
      <c r="Q127" s="186">
        <f ca="1">'GS &gt; 50 OLS Model (LC)'!$B$6*D127</f>
        <v>219890.44334364927</v>
      </c>
      <c r="R127" s="186">
        <f ca="1">'GS &gt; 50 OLS Model (LC)'!$B$7*E127</f>
        <v>8367756.727470981</v>
      </c>
      <c r="S127" s="186">
        <f>'GS &gt; 50 OLS Model (LC)'!$B$8*F127</f>
        <v>35111227.999313809</v>
      </c>
      <c r="T127" s="186">
        <v>0</v>
      </c>
      <c r="U127" s="186">
        <f>'GS &gt; 50 OLS Model (LC)'!$B$9*H127</f>
        <v>0</v>
      </c>
      <c r="V127" s="186">
        <f>'GS &gt; 50 OLS Model (LC)'!$B$10*I127</f>
        <v>1260255.0136768401</v>
      </c>
      <c r="W127" s="186">
        <f>'GS &gt; 50 OLS Model (LC)'!$B$11*J127</f>
        <v>0</v>
      </c>
      <c r="X127" s="186">
        <f>'GS &gt; 50 OLS Model (LC)'!$B$12*K127</f>
        <v>0</v>
      </c>
      <c r="Y127" s="186">
        <v>0</v>
      </c>
      <c r="Z127" s="186">
        <f>'GS &gt; 50 OLS Model (LC)'!$B$13*M127</f>
        <v>33683171.091442198</v>
      </c>
      <c r="AA127" s="186">
        <f>'GS &gt; 50 OLS Model (LC)'!$B$14*N127</f>
        <v>12953743.18316808</v>
      </c>
      <c r="AB127" s="186">
        <f t="shared" ca="1" si="8"/>
        <v>83159497.611615807</v>
      </c>
    </row>
    <row r="128" spans="1:28">
      <c r="A128" s="128">
        <v>43647</v>
      </c>
      <c r="B128" s="186">
        <f t="shared" si="7"/>
        <v>2019</v>
      </c>
      <c r="D128" s="186">
        <f t="shared" ca="1" si="17"/>
        <v>0.51</v>
      </c>
      <c r="E128" s="186">
        <f t="shared" ca="1" si="17"/>
        <v>185.60999999999999</v>
      </c>
      <c r="F128" s="186">
        <f>F116*(1+Employment!L$9)</f>
        <v>676783.89565771027</v>
      </c>
      <c r="G128" s="186">
        <f t="shared" si="12"/>
        <v>127</v>
      </c>
      <c r="H128" s="186">
        <f t="shared" si="16"/>
        <v>0</v>
      </c>
      <c r="I128" s="186">
        <f t="shared" si="16"/>
        <v>0</v>
      </c>
      <c r="J128" s="186">
        <f t="shared" si="16"/>
        <v>0</v>
      </c>
      <c r="K128" s="186">
        <f t="shared" si="16"/>
        <v>0</v>
      </c>
      <c r="L128" s="186">
        <f t="shared" si="16"/>
        <v>0</v>
      </c>
      <c r="M128" s="186">
        <f t="shared" si="14"/>
        <v>31</v>
      </c>
      <c r="N128" s="186">
        <v>22</v>
      </c>
      <c r="P128" s="186">
        <f>'GS &gt; 50 OLS Model (LC)'!$B$5</f>
        <v>-8436546.8467997499</v>
      </c>
      <c r="Q128" s="186">
        <f ca="1">'GS &gt; 50 OLS Model (LC)'!$B$6*D128</f>
        <v>12350.67468119616</v>
      </c>
      <c r="R128" s="186">
        <f ca="1">'GS &gt; 50 OLS Model (LC)'!$B$7*E128</f>
        <v>13247520.694181927</v>
      </c>
      <c r="S128" s="186">
        <f>'GS &gt; 50 OLS Model (LC)'!$B$8*F128</f>
        <v>35111227.999313809</v>
      </c>
      <c r="T128" s="186">
        <v>0</v>
      </c>
      <c r="U128" s="186">
        <f>'GS &gt; 50 OLS Model (LC)'!$B$9*H128</f>
        <v>0</v>
      </c>
      <c r="V128" s="186">
        <f>'GS &gt; 50 OLS Model (LC)'!$B$10*I128</f>
        <v>0</v>
      </c>
      <c r="W128" s="186">
        <f>'GS &gt; 50 OLS Model (LC)'!$B$11*J128</f>
        <v>0</v>
      </c>
      <c r="X128" s="186">
        <f>'GS &gt; 50 OLS Model (LC)'!$B$12*K128</f>
        <v>0</v>
      </c>
      <c r="Y128" s="186">
        <v>0</v>
      </c>
      <c r="Z128" s="186">
        <f>'GS &gt; 50 OLS Model (LC)'!$B$13*M128</f>
        <v>34805943.461156942</v>
      </c>
      <c r="AA128" s="186">
        <f>'GS &gt; 50 OLS Model (LC)'!$B$14*N128</f>
        <v>14249117.501484888</v>
      </c>
      <c r="AB128" s="186">
        <f t="shared" ca="1" si="8"/>
        <v>88989613.484019011</v>
      </c>
    </row>
    <row r="129" spans="1:28">
      <c r="A129" s="128">
        <v>43678</v>
      </c>
      <c r="B129" s="186">
        <f t="shared" si="7"/>
        <v>2019</v>
      </c>
      <c r="D129" s="186">
        <f t="shared" ca="1" si="17"/>
        <v>1.51</v>
      </c>
      <c r="E129" s="186">
        <f t="shared" ca="1" si="17"/>
        <v>159.64000000000001</v>
      </c>
      <c r="F129" s="186">
        <f>F117*(1+Employment!L$9)</f>
        <v>676783.89565771027</v>
      </c>
      <c r="G129" s="186">
        <f t="shared" si="12"/>
        <v>128</v>
      </c>
      <c r="H129" s="186">
        <f t="shared" si="16"/>
        <v>0</v>
      </c>
      <c r="I129" s="186">
        <f t="shared" si="16"/>
        <v>0</v>
      </c>
      <c r="J129" s="186">
        <f t="shared" si="16"/>
        <v>1</v>
      </c>
      <c r="K129" s="186">
        <f t="shared" si="16"/>
        <v>0</v>
      </c>
      <c r="L129" s="186">
        <f t="shared" si="16"/>
        <v>0</v>
      </c>
      <c r="M129" s="186">
        <f t="shared" si="14"/>
        <v>31</v>
      </c>
      <c r="N129" s="186">
        <v>21</v>
      </c>
      <c r="P129" s="186">
        <f>'GS &gt; 50 OLS Model (LC)'!$B$5</f>
        <v>-8436546.8467997499</v>
      </c>
      <c r="Q129" s="186">
        <f ca="1">'GS &gt; 50 OLS Model (LC)'!$B$6*D129</f>
        <v>36567.683860012155</v>
      </c>
      <c r="R129" s="186">
        <f ca="1">'GS &gt; 50 OLS Model (LC)'!$B$7*E129</f>
        <v>11393966.939384749</v>
      </c>
      <c r="S129" s="186">
        <f>'GS &gt; 50 OLS Model (LC)'!$B$8*F129</f>
        <v>35111227.999313809</v>
      </c>
      <c r="T129" s="186">
        <v>0</v>
      </c>
      <c r="U129" s="186">
        <f>'GS &gt; 50 OLS Model (LC)'!$B$9*H129</f>
        <v>0</v>
      </c>
      <c r="V129" s="186">
        <f>'GS &gt; 50 OLS Model (LC)'!$B$10*I129</f>
        <v>0</v>
      </c>
      <c r="W129" s="186">
        <f>'GS &gt; 50 OLS Model (LC)'!$B$11*J129</f>
        <v>2501012.7689915099</v>
      </c>
      <c r="X129" s="186">
        <f>'GS &gt; 50 OLS Model (LC)'!$B$12*K129</f>
        <v>0</v>
      </c>
      <c r="Y129" s="186">
        <v>0</v>
      </c>
      <c r="Z129" s="186">
        <f>'GS &gt; 50 OLS Model (LC)'!$B$13*M129</f>
        <v>34805943.461156942</v>
      </c>
      <c r="AA129" s="186">
        <f>'GS &gt; 50 OLS Model (LC)'!$B$14*N129</f>
        <v>13601430.342326485</v>
      </c>
      <c r="AB129" s="186">
        <f t="shared" ca="1" si="8"/>
        <v>89013602.348233759</v>
      </c>
    </row>
    <row r="130" spans="1:28">
      <c r="A130" s="128">
        <v>43709</v>
      </c>
      <c r="B130" s="186">
        <f t="shared" ref="B130:B145" si="18">YEAR(A130)</f>
        <v>2019</v>
      </c>
      <c r="D130" s="186">
        <f t="shared" ca="1" si="17"/>
        <v>33.01</v>
      </c>
      <c r="E130" s="186">
        <f t="shared" ca="1" si="17"/>
        <v>72.989999999999981</v>
      </c>
      <c r="F130" s="186">
        <f>F118*(1+Employment!L$9)</f>
        <v>676783.89565771027</v>
      </c>
      <c r="G130" s="186">
        <f t="shared" si="12"/>
        <v>129</v>
      </c>
      <c r="H130" s="186">
        <f t="shared" si="16"/>
        <v>0</v>
      </c>
      <c r="I130" s="186">
        <f t="shared" si="16"/>
        <v>0</v>
      </c>
      <c r="J130" s="186">
        <f t="shared" si="16"/>
        <v>0</v>
      </c>
      <c r="K130" s="186">
        <f t="shared" si="16"/>
        <v>1</v>
      </c>
      <c r="L130" s="186">
        <f t="shared" si="16"/>
        <v>0</v>
      </c>
      <c r="M130" s="186">
        <f t="shared" si="14"/>
        <v>30</v>
      </c>
      <c r="N130" s="186">
        <v>20</v>
      </c>
      <c r="P130" s="186">
        <f>'GS &gt; 50 OLS Model (LC)'!$B$5</f>
        <v>-8436546.8467997499</v>
      </c>
      <c r="Q130" s="186">
        <f ca="1">'GS &gt; 50 OLS Model (LC)'!$B$6*D130</f>
        <v>799403.47299271612</v>
      </c>
      <c r="R130" s="186">
        <f ca="1">'GS &gt; 50 OLS Model (LC)'!$B$7*E130</f>
        <v>5209506.6831977731</v>
      </c>
      <c r="S130" s="186">
        <f>'GS &gt; 50 OLS Model (LC)'!$B$8*F130</f>
        <v>35111227.999313809</v>
      </c>
      <c r="T130" s="186">
        <v>0</v>
      </c>
      <c r="U130" s="186">
        <f>'GS &gt; 50 OLS Model (LC)'!$B$9*H130</f>
        <v>0</v>
      </c>
      <c r="V130" s="186">
        <f>'GS &gt; 50 OLS Model (LC)'!$B$10*I130</f>
        <v>0</v>
      </c>
      <c r="W130" s="186">
        <f>'GS &gt; 50 OLS Model (LC)'!$B$11*J130</f>
        <v>0</v>
      </c>
      <c r="X130" s="186">
        <f>'GS &gt; 50 OLS Model (LC)'!$B$12*K130</f>
        <v>2346294.5864150901</v>
      </c>
      <c r="Y130" s="186">
        <v>0</v>
      </c>
      <c r="Z130" s="186">
        <f>'GS &gt; 50 OLS Model (LC)'!$B$13*M130</f>
        <v>33683171.091442198</v>
      </c>
      <c r="AA130" s="186">
        <f>'GS &gt; 50 OLS Model (LC)'!$B$14*N130</f>
        <v>12953743.18316808</v>
      </c>
      <c r="AB130" s="186">
        <f t="shared" ref="AB130:AB145" ca="1" si="19">SUM(P130:AA130)</f>
        <v>81666800.169729918</v>
      </c>
    </row>
    <row r="131" spans="1:28">
      <c r="A131" s="128">
        <v>43739</v>
      </c>
      <c r="B131" s="186">
        <f t="shared" si="18"/>
        <v>2019</v>
      </c>
      <c r="D131" s="186">
        <f t="shared" ca="1" si="17"/>
        <v>177.83999999999997</v>
      </c>
      <c r="E131" s="186">
        <f t="shared" ca="1" si="17"/>
        <v>10.779999999999998</v>
      </c>
      <c r="F131" s="186">
        <f>F119*(1+Employment!L$9)</f>
        <v>676783.89565771027</v>
      </c>
      <c r="G131" s="186">
        <f t="shared" si="12"/>
        <v>130</v>
      </c>
      <c r="H131" s="186">
        <f t="shared" ref="H131:L145" si="20">H119</f>
        <v>0</v>
      </c>
      <c r="I131" s="186">
        <f t="shared" si="20"/>
        <v>0</v>
      </c>
      <c r="J131" s="186">
        <f t="shared" si="20"/>
        <v>0</v>
      </c>
      <c r="K131" s="186">
        <f t="shared" si="20"/>
        <v>0</v>
      </c>
      <c r="L131" s="186">
        <f t="shared" si="20"/>
        <v>1</v>
      </c>
      <c r="M131" s="186">
        <f t="shared" si="14"/>
        <v>31</v>
      </c>
      <c r="N131" s="186">
        <v>22</v>
      </c>
      <c r="P131" s="186">
        <f>'GS &gt; 50 OLS Model (LC)'!$B$5</f>
        <v>-8436546.8467997499</v>
      </c>
      <c r="Q131" s="186">
        <f ca="1">'GS &gt; 50 OLS Model (LC)'!$B$6*D131</f>
        <v>4306752.9123606365</v>
      </c>
      <c r="R131" s="186">
        <f ca="1">'GS &gt; 50 OLS Model (LC)'!$B$7*E131</f>
        <v>769399.67180260306</v>
      </c>
      <c r="S131" s="186">
        <f>'GS &gt; 50 OLS Model (LC)'!$B$8*F131</f>
        <v>35111227.999313809</v>
      </c>
      <c r="T131" s="186">
        <v>0</v>
      </c>
      <c r="U131" s="186">
        <f>'GS &gt; 50 OLS Model (LC)'!$B$9*H131</f>
        <v>0</v>
      </c>
      <c r="V131" s="186">
        <f>'GS &gt; 50 OLS Model (LC)'!$B$10*I131</f>
        <v>0</v>
      </c>
      <c r="W131" s="186">
        <f>'GS &gt; 50 OLS Model (LC)'!$B$11*J131</f>
        <v>0</v>
      </c>
      <c r="X131" s="186">
        <f>'GS &gt; 50 OLS Model (LC)'!$B$12*K131</f>
        <v>0</v>
      </c>
      <c r="Y131" s="186">
        <v>0</v>
      </c>
      <c r="Z131" s="186">
        <f>'GS &gt; 50 OLS Model (LC)'!$B$13*M131</f>
        <v>34805943.461156942</v>
      </c>
      <c r="AA131" s="186">
        <f>'GS &gt; 50 OLS Model (LC)'!$B$14*N131</f>
        <v>14249117.501484888</v>
      </c>
      <c r="AB131" s="186">
        <f t="shared" ca="1" si="19"/>
        <v>80805894.699319124</v>
      </c>
    </row>
    <row r="132" spans="1:28">
      <c r="A132" s="128">
        <v>43770</v>
      </c>
      <c r="B132" s="186">
        <f t="shared" si="18"/>
        <v>2019</v>
      </c>
      <c r="D132" s="186">
        <f t="shared" ca="1" si="17"/>
        <v>361.94999999999993</v>
      </c>
      <c r="E132" s="186">
        <f t="shared" ca="1" si="17"/>
        <v>0.05</v>
      </c>
      <c r="F132" s="186">
        <f>F120*(1+Employment!L$9)</f>
        <v>676783.89565771027</v>
      </c>
      <c r="G132" s="186">
        <f t="shared" si="12"/>
        <v>131</v>
      </c>
      <c r="H132" s="186">
        <f t="shared" si="20"/>
        <v>0</v>
      </c>
      <c r="I132" s="186">
        <f t="shared" si="20"/>
        <v>0</v>
      </c>
      <c r="J132" s="186">
        <f t="shared" si="20"/>
        <v>0</v>
      </c>
      <c r="K132" s="186">
        <f t="shared" si="20"/>
        <v>0</v>
      </c>
      <c r="L132" s="186">
        <f t="shared" si="20"/>
        <v>0</v>
      </c>
      <c r="M132" s="186">
        <f t="shared" si="14"/>
        <v>30</v>
      </c>
      <c r="N132" s="186">
        <v>21</v>
      </c>
      <c r="P132" s="186">
        <f>'GS &gt; 50 OLS Model (LC)'!$B$5</f>
        <v>-8436546.8467997499</v>
      </c>
      <c r="Q132" s="186">
        <f ca="1">'GS &gt; 50 OLS Model (LC)'!$B$6*D132</f>
        <v>8765346.4722724482</v>
      </c>
      <c r="R132" s="186">
        <f ca="1">'GS &gt; 50 OLS Model (LC)'!$B$7*E132</f>
        <v>3568.6441178228351</v>
      </c>
      <c r="S132" s="186">
        <f>'GS &gt; 50 OLS Model (LC)'!$B$8*F132</f>
        <v>35111227.999313809</v>
      </c>
      <c r="T132" s="186">
        <v>0</v>
      </c>
      <c r="U132" s="186">
        <f>'GS &gt; 50 OLS Model (LC)'!$B$9*H132</f>
        <v>0</v>
      </c>
      <c r="V132" s="186">
        <f>'GS &gt; 50 OLS Model (LC)'!$B$10*I132</f>
        <v>0</v>
      </c>
      <c r="W132" s="186">
        <f>'GS &gt; 50 OLS Model (LC)'!$B$11*J132</f>
        <v>0</v>
      </c>
      <c r="X132" s="186">
        <f>'GS &gt; 50 OLS Model (LC)'!$B$12*K132</f>
        <v>0</v>
      </c>
      <c r="Y132" s="186">
        <v>0</v>
      </c>
      <c r="Z132" s="186">
        <f>'GS &gt; 50 OLS Model (LC)'!$B$13*M132</f>
        <v>33683171.091442198</v>
      </c>
      <c r="AA132" s="186">
        <f>'GS &gt; 50 OLS Model (LC)'!$B$14*N132</f>
        <v>13601430.342326485</v>
      </c>
      <c r="AB132" s="186">
        <f t="shared" ca="1" si="19"/>
        <v>82728197.702673018</v>
      </c>
    </row>
    <row r="133" spans="1:28">
      <c r="A133" s="128">
        <v>43800</v>
      </c>
      <c r="B133" s="186">
        <f t="shared" si="18"/>
        <v>2019</v>
      </c>
      <c r="D133" s="186">
        <f t="shared" ca="1" si="17"/>
        <v>556.41000000000008</v>
      </c>
      <c r="E133" s="186">
        <f t="shared" ca="1" si="17"/>
        <v>0</v>
      </c>
      <c r="F133" s="186">
        <f>F121*(1+Employment!L$9)</f>
        <v>676783.89565771027</v>
      </c>
      <c r="G133" s="186">
        <f t="shared" si="12"/>
        <v>132</v>
      </c>
      <c r="H133" s="186">
        <f t="shared" si="20"/>
        <v>0</v>
      </c>
      <c r="I133" s="186">
        <f t="shared" si="20"/>
        <v>0</v>
      </c>
      <c r="J133" s="186">
        <f t="shared" si="20"/>
        <v>0</v>
      </c>
      <c r="K133" s="186">
        <f t="shared" si="20"/>
        <v>0</v>
      </c>
      <c r="L133" s="186">
        <f t="shared" si="20"/>
        <v>0</v>
      </c>
      <c r="M133" s="186">
        <f t="shared" si="14"/>
        <v>31</v>
      </c>
      <c r="N133" s="186">
        <v>20</v>
      </c>
      <c r="P133" s="186">
        <f>'GS &gt; 50 OLS Model (LC)'!$B$5</f>
        <v>-8436546.8467997499</v>
      </c>
      <c r="Q133" s="186">
        <f ca="1">'GS &gt; 50 OLS Model (LC)'!$B$6*D133</f>
        <v>13474586.077185012</v>
      </c>
      <c r="R133" s="186">
        <f ca="1">'GS &gt; 50 OLS Model (LC)'!$B$7*E133</f>
        <v>0</v>
      </c>
      <c r="S133" s="186">
        <f>'GS &gt; 50 OLS Model (LC)'!$B$8*F133</f>
        <v>35111227.999313809</v>
      </c>
      <c r="T133" s="186">
        <v>0</v>
      </c>
      <c r="U133" s="186">
        <f>'GS &gt; 50 OLS Model (LC)'!$B$9*H133</f>
        <v>0</v>
      </c>
      <c r="V133" s="186">
        <f>'GS &gt; 50 OLS Model (LC)'!$B$10*I133</f>
        <v>0</v>
      </c>
      <c r="W133" s="186">
        <f>'GS &gt; 50 OLS Model (LC)'!$B$11*J133</f>
        <v>0</v>
      </c>
      <c r="X133" s="186">
        <f>'GS &gt; 50 OLS Model (LC)'!$B$12*K133</f>
        <v>0</v>
      </c>
      <c r="Y133" s="186">
        <v>0</v>
      </c>
      <c r="Z133" s="186">
        <f>'GS &gt; 50 OLS Model (LC)'!$B$13*M133</f>
        <v>34805943.461156942</v>
      </c>
      <c r="AA133" s="186">
        <f>'GS &gt; 50 OLS Model (LC)'!$B$14*N133</f>
        <v>12953743.18316808</v>
      </c>
      <c r="AB133" s="186">
        <f t="shared" ca="1" si="19"/>
        <v>87908953.874024093</v>
      </c>
    </row>
    <row r="134" spans="1:28">
      <c r="A134" s="128">
        <v>43831</v>
      </c>
      <c r="B134" s="186">
        <f t="shared" si="18"/>
        <v>2020</v>
      </c>
      <c r="D134" s="186">
        <f t="shared" ca="1" si="17"/>
        <v>659.42999999999984</v>
      </c>
      <c r="E134" s="186">
        <f t="shared" ca="1" si="17"/>
        <v>0</v>
      </c>
      <c r="F134" s="186">
        <f>F122*(1+Employment!L$10)</f>
        <v>687206.36765083903</v>
      </c>
      <c r="G134" s="186">
        <f t="shared" si="12"/>
        <v>133</v>
      </c>
      <c r="H134" s="186">
        <f t="shared" si="20"/>
        <v>0</v>
      </c>
      <c r="I134" s="186">
        <f t="shared" si="20"/>
        <v>0</v>
      </c>
      <c r="J134" s="186">
        <f t="shared" si="20"/>
        <v>0</v>
      </c>
      <c r="K134" s="186">
        <f t="shared" si="20"/>
        <v>0</v>
      </c>
      <c r="L134" s="186">
        <f t="shared" si="20"/>
        <v>0</v>
      </c>
      <c r="M134" s="186">
        <f t="shared" si="14"/>
        <v>31</v>
      </c>
      <c r="N134" s="186">
        <v>22</v>
      </c>
      <c r="P134" s="186">
        <f>'GS &gt; 50 OLS Model (LC)'!$B$5</f>
        <v>-8436546.8467997499</v>
      </c>
      <c r="Q134" s="186">
        <f ca="1">'GS &gt; 50 OLS Model (LC)'!$B$6*D134</f>
        <v>15969422.36278663</v>
      </c>
      <c r="R134" s="186">
        <f ca="1">'GS &gt; 50 OLS Model (LC)'!$B$7*E134</f>
        <v>0</v>
      </c>
      <c r="S134" s="186">
        <f>'GS &gt; 50 OLS Model (LC)'!$B$8*F134</f>
        <v>35651940.910503238</v>
      </c>
      <c r="T134" s="186">
        <v>0</v>
      </c>
      <c r="U134" s="186">
        <f>'GS &gt; 50 OLS Model (LC)'!$B$9*H134</f>
        <v>0</v>
      </c>
      <c r="V134" s="186">
        <f>'GS &gt; 50 OLS Model (LC)'!$B$10*I134</f>
        <v>0</v>
      </c>
      <c r="W134" s="186">
        <f>'GS &gt; 50 OLS Model (LC)'!$B$11*J134</f>
        <v>0</v>
      </c>
      <c r="X134" s="186">
        <f>'GS &gt; 50 OLS Model (LC)'!$B$12*K134</f>
        <v>0</v>
      </c>
      <c r="Y134" s="186">
        <v>0</v>
      </c>
      <c r="Z134" s="186">
        <f>'GS &gt; 50 OLS Model (LC)'!$B$13*M134</f>
        <v>34805943.461156942</v>
      </c>
      <c r="AA134" s="186">
        <f>'GS &gt; 50 OLS Model (LC)'!$B$14*N134</f>
        <v>14249117.501484888</v>
      </c>
      <c r="AB134" s="186">
        <f t="shared" ca="1" si="19"/>
        <v>92239877.389131948</v>
      </c>
    </row>
    <row r="135" spans="1:28">
      <c r="A135" s="128">
        <v>43862</v>
      </c>
      <c r="B135" s="186">
        <f t="shared" si="18"/>
        <v>2020</v>
      </c>
      <c r="D135" s="186">
        <f t="shared" ca="1" si="17"/>
        <v>571.77</v>
      </c>
      <c r="E135" s="186">
        <f t="shared" ca="1" si="17"/>
        <v>0</v>
      </c>
      <c r="F135" s="186">
        <f>F123*(1+Employment!L$10)</f>
        <v>687206.36765083903</v>
      </c>
      <c r="G135" s="186">
        <f t="shared" si="12"/>
        <v>134</v>
      </c>
      <c r="H135" s="186">
        <f t="shared" si="20"/>
        <v>0</v>
      </c>
      <c r="I135" s="186">
        <f t="shared" si="20"/>
        <v>0</v>
      </c>
      <c r="J135" s="186">
        <f t="shared" si="20"/>
        <v>0</v>
      </c>
      <c r="K135" s="186">
        <f t="shared" si="20"/>
        <v>0</v>
      </c>
      <c r="L135" s="186">
        <f t="shared" si="20"/>
        <v>0</v>
      </c>
      <c r="M135" s="186">
        <f t="shared" si="14"/>
        <v>29</v>
      </c>
      <c r="N135" s="186">
        <v>19</v>
      </c>
      <c r="P135" s="186">
        <f>'GS &gt; 50 OLS Model (LC)'!$B$5</f>
        <v>-8436546.8467997499</v>
      </c>
      <c r="Q135" s="186">
        <f ca="1">'GS &gt; 50 OLS Model (LC)'!$B$6*D135</f>
        <v>13846559.338171624</v>
      </c>
      <c r="R135" s="186">
        <f ca="1">'GS &gt; 50 OLS Model (LC)'!$B$7*E135</f>
        <v>0</v>
      </c>
      <c r="S135" s="186">
        <f>'GS &gt; 50 OLS Model (LC)'!$B$8*F135</f>
        <v>35651940.910503238</v>
      </c>
      <c r="T135" s="186">
        <v>0</v>
      </c>
      <c r="U135" s="186">
        <f>'GS &gt; 50 OLS Model (LC)'!$B$9*H135</f>
        <v>0</v>
      </c>
      <c r="V135" s="186">
        <f>'GS &gt; 50 OLS Model (LC)'!$B$10*I135</f>
        <v>0</v>
      </c>
      <c r="W135" s="186">
        <f>'GS &gt; 50 OLS Model (LC)'!$B$11*J135</f>
        <v>0</v>
      </c>
      <c r="X135" s="186">
        <f>'GS &gt; 50 OLS Model (LC)'!$B$12*K135</f>
        <v>0</v>
      </c>
      <c r="Y135" s="186">
        <v>0</v>
      </c>
      <c r="Z135" s="186">
        <f>'GS &gt; 50 OLS Model (LC)'!$B$13*M135</f>
        <v>32560398.721727461</v>
      </c>
      <c r="AA135" s="186">
        <f>'GS &gt; 50 OLS Model (LC)'!$B$14*N135</f>
        <v>12306056.024009675</v>
      </c>
      <c r="AB135" s="186">
        <f t="shared" ca="1" si="19"/>
        <v>85928408.147612244</v>
      </c>
    </row>
    <row r="136" spans="1:28">
      <c r="A136" s="128">
        <v>43891</v>
      </c>
      <c r="B136" s="186">
        <f t="shared" si="18"/>
        <v>2020</v>
      </c>
      <c r="D136" s="186">
        <f t="shared" ca="1" si="17"/>
        <v>456.53999999999996</v>
      </c>
      <c r="E136" s="186">
        <f t="shared" ca="1" si="17"/>
        <v>0.48</v>
      </c>
      <c r="F136" s="186">
        <f>F124*(1+Employment!L$10)</f>
        <v>687206.36765083903</v>
      </c>
      <c r="G136" s="186">
        <f t="shared" si="12"/>
        <v>135</v>
      </c>
      <c r="H136" s="186">
        <f t="shared" si="20"/>
        <v>0</v>
      </c>
      <c r="I136" s="186">
        <f t="shared" si="20"/>
        <v>0</v>
      </c>
      <c r="J136" s="186">
        <f t="shared" si="20"/>
        <v>0</v>
      </c>
      <c r="K136" s="186">
        <f t="shared" si="20"/>
        <v>0</v>
      </c>
      <c r="L136" s="186">
        <f t="shared" si="20"/>
        <v>0</v>
      </c>
      <c r="M136" s="186">
        <f t="shared" si="14"/>
        <v>31</v>
      </c>
      <c r="N136" s="186">
        <v>22</v>
      </c>
      <c r="P136" s="186">
        <f>'GS &gt; 50 OLS Model (LC)'!$B$5</f>
        <v>-8436546.8467997499</v>
      </c>
      <c r="Q136" s="186">
        <f ca="1">'GS &gt; 50 OLS Model (LC)'!$B$6*D136</f>
        <v>11056033.370496655</v>
      </c>
      <c r="R136" s="186">
        <f ca="1">'GS &gt; 50 OLS Model (LC)'!$B$7*E136</f>
        <v>34258.983531099213</v>
      </c>
      <c r="S136" s="186">
        <f>'GS &gt; 50 OLS Model (LC)'!$B$8*F136</f>
        <v>35651940.910503238</v>
      </c>
      <c r="T136" s="186">
        <v>0</v>
      </c>
      <c r="U136" s="186">
        <f>'GS &gt; 50 OLS Model (LC)'!$B$9*H136</f>
        <v>0</v>
      </c>
      <c r="V136" s="186">
        <f>'GS &gt; 50 OLS Model (LC)'!$B$10*I136</f>
        <v>0</v>
      </c>
      <c r="W136" s="186">
        <f>'GS &gt; 50 OLS Model (LC)'!$B$11*J136</f>
        <v>0</v>
      </c>
      <c r="X136" s="186">
        <f>'GS &gt; 50 OLS Model (LC)'!$B$12*K136</f>
        <v>0</v>
      </c>
      <c r="Y136" s="186">
        <v>0</v>
      </c>
      <c r="Z136" s="186">
        <f>'GS &gt; 50 OLS Model (LC)'!$B$13*M136</f>
        <v>34805943.461156942</v>
      </c>
      <c r="AA136" s="186">
        <f>'GS &gt; 50 OLS Model (LC)'!$B$14*N136</f>
        <v>14249117.501484888</v>
      </c>
      <c r="AB136" s="186">
        <f t="shared" ca="1" si="19"/>
        <v>87360747.380373076</v>
      </c>
    </row>
    <row r="137" spans="1:28">
      <c r="A137" s="128">
        <v>43922</v>
      </c>
      <c r="B137" s="186">
        <f t="shared" si="18"/>
        <v>2020</v>
      </c>
      <c r="D137" s="186">
        <f t="shared" ca="1" si="17"/>
        <v>248.54999999999995</v>
      </c>
      <c r="E137" s="186">
        <f t="shared" ca="1" si="17"/>
        <v>2.63</v>
      </c>
      <c r="F137" s="186">
        <f>F125*(1+Employment!L$10)</f>
        <v>687206.36765083903</v>
      </c>
      <c r="G137" s="186">
        <f t="shared" si="12"/>
        <v>136</v>
      </c>
      <c r="H137" s="186">
        <f t="shared" si="20"/>
        <v>1</v>
      </c>
      <c r="I137" s="186">
        <f t="shared" si="20"/>
        <v>0</v>
      </c>
      <c r="J137" s="186">
        <f t="shared" si="20"/>
        <v>0</v>
      </c>
      <c r="K137" s="186">
        <f t="shared" si="20"/>
        <v>0</v>
      </c>
      <c r="L137" s="186">
        <f t="shared" si="20"/>
        <v>0</v>
      </c>
      <c r="M137" s="186">
        <f t="shared" si="14"/>
        <v>30</v>
      </c>
      <c r="N137" s="186">
        <v>21</v>
      </c>
      <c r="P137" s="186">
        <f>'GS &gt; 50 OLS Model (LC)'!$B$5</f>
        <v>-8436546.8467997499</v>
      </c>
      <c r="Q137" s="186">
        <f ca="1">'GS &gt; 50 OLS Model (LC)'!$B$6*D137</f>
        <v>6019137.631394715</v>
      </c>
      <c r="R137" s="186">
        <f ca="1">'GS &gt; 50 OLS Model (LC)'!$B$7*E137</f>
        <v>187710.68059748111</v>
      </c>
      <c r="S137" s="186">
        <f>'GS &gt; 50 OLS Model (LC)'!$B$8*F137</f>
        <v>35651940.910503238</v>
      </c>
      <c r="T137" s="186">
        <v>0</v>
      </c>
      <c r="U137" s="186">
        <f>'GS &gt; 50 OLS Model (LC)'!$B$9*H137</f>
        <v>-1670517.9110053701</v>
      </c>
      <c r="V137" s="186">
        <f>'GS &gt; 50 OLS Model (LC)'!$B$10*I137</f>
        <v>0</v>
      </c>
      <c r="W137" s="186">
        <f>'GS &gt; 50 OLS Model (LC)'!$B$11*J137</f>
        <v>0</v>
      </c>
      <c r="X137" s="186">
        <f>'GS &gt; 50 OLS Model (LC)'!$B$12*K137</f>
        <v>0</v>
      </c>
      <c r="Y137" s="186">
        <v>0</v>
      </c>
      <c r="Z137" s="186">
        <f>'GS &gt; 50 OLS Model (LC)'!$B$13*M137</f>
        <v>33683171.091442198</v>
      </c>
      <c r="AA137" s="186">
        <f>'GS &gt; 50 OLS Model (LC)'!$B$14*N137</f>
        <v>13601430.342326485</v>
      </c>
      <c r="AB137" s="186">
        <f t="shared" ca="1" si="19"/>
        <v>79036325.898458987</v>
      </c>
    </row>
    <row r="138" spans="1:28">
      <c r="A138" s="128">
        <v>43952</v>
      </c>
      <c r="B138" s="186">
        <f t="shared" si="18"/>
        <v>2020</v>
      </c>
      <c r="D138" s="186">
        <f t="shared" ca="1" si="17"/>
        <v>92.740000000000009</v>
      </c>
      <c r="E138" s="186">
        <f t="shared" ca="1" si="17"/>
        <v>47.37</v>
      </c>
      <c r="F138" s="186">
        <f>F126*(1+Employment!L$10)</f>
        <v>687206.36765083903</v>
      </c>
      <c r="G138" s="186">
        <f t="shared" si="12"/>
        <v>137</v>
      </c>
      <c r="H138" s="186">
        <f t="shared" si="20"/>
        <v>0</v>
      </c>
      <c r="I138" s="186">
        <f t="shared" si="20"/>
        <v>0</v>
      </c>
      <c r="J138" s="186">
        <f t="shared" si="20"/>
        <v>0</v>
      </c>
      <c r="K138" s="186">
        <f t="shared" si="20"/>
        <v>0</v>
      </c>
      <c r="L138" s="186">
        <f t="shared" si="20"/>
        <v>0</v>
      </c>
      <c r="M138" s="186">
        <f t="shared" si="14"/>
        <v>31</v>
      </c>
      <c r="N138" s="186">
        <v>20</v>
      </c>
      <c r="P138" s="186">
        <f>'GS &gt; 50 OLS Model (LC)'!$B$5</f>
        <v>-8436546.8467997499</v>
      </c>
      <c r="Q138" s="186">
        <f ca="1">'GS &gt; 50 OLS Model (LC)'!$B$6*D138</f>
        <v>2245885.4312433959</v>
      </c>
      <c r="R138" s="186">
        <f ca="1">'GS &gt; 50 OLS Model (LC)'!$B$7*E138</f>
        <v>3380933.4372253534</v>
      </c>
      <c r="S138" s="186">
        <f>'GS &gt; 50 OLS Model (LC)'!$B$8*F138</f>
        <v>35651940.910503238</v>
      </c>
      <c r="T138" s="186">
        <v>0</v>
      </c>
      <c r="U138" s="186">
        <f>'GS &gt; 50 OLS Model (LC)'!$B$9*H138</f>
        <v>0</v>
      </c>
      <c r="V138" s="186">
        <f>'GS &gt; 50 OLS Model (LC)'!$B$10*I138</f>
        <v>0</v>
      </c>
      <c r="W138" s="186">
        <f>'GS &gt; 50 OLS Model (LC)'!$B$11*J138</f>
        <v>0</v>
      </c>
      <c r="X138" s="186">
        <f>'GS &gt; 50 OLS Model (LC)'!$B$12*K138</f>
        <v>0</v>
      </c>
      <c r="Y138" s="186">
        <v>0</v>
      </c>
      <c r="Z138" s="186">
        <f>'GS &gt; 50 OLS Model (LC)'!$B$13*M138</f>
        <v>34805943.461156942</v>
      </c>
      <c r="AA138" s="186">
        <f>'GS &gt; 50 OLS Model (LC)'!$B$14*N138</f>
        <v>12953743.18316808</v>
      </c>
      <c r="AB138" s="186">
        <f t="shared" ca="1" si="19"/>
        <v>80601899.576497257</v>
      </c>
    </row>
    <row r="139" spans="1:28">
      <c r="A139" s="128">
        <v>43983</v>
      </c>
      <c r="B139" s="186">
        <f t="shared" si="18"/>
        <v>2020</v>
      </c>
      <c r="D139" s="186">
        <f t="shared" ca="1" si="17"/>
        <v>9.08</v>
      </c>
      <c r="E139" s="186">
        <f t="shared" ca="1" si="17"/>
        <v>117.23999999999997</v>
      </c>
      <c r="F139" s="186">
        <f>F127*(1+Employment!L$10)</f>
        <v>687206.36765083903</v>
      </c>
      <c r="G139" s="186">
        <f t="shared" si="12"/>
        <v>138</v>
      </c>
      <c r="H139" s="186">
        <f t="shared" si="20"/>
        <v>0</v>
      </c>
      <c r="I139" s="186">
        <f t="shared" si="20"/>
        <v>1</v>
      </c>
      <c r="J139" s="186">
        <f t="shared" si="20"/>
        <v>0</v>
      </c>
      <c r="K139" s="186">
        <f t="shared" si="20"/>
        <v>0</v>
      </c>
      <c r="L139" s="186">
        <f t="shared" si="20"/>
        <v>0</v>
      </c>
      <c r="M139" s="186">
        <f t="shared" si="14"/>
        <v>30</v>
      </c>
      <c r="N139" s="186">
        <v>22</v>
      </c>
      <c r="P139" s="186">
        <f>'GS &gt; 50 OLS Model (LC)'!$B$5</f>
        <v>-8436546.8467997499</v>
      </c>
      <c r="Q139" s="186">
        <f ca="1">'GS &gt; 50 OLS Model (LC)'!$B$6*D139</f>
        <v>219890.44334364927</v>
      </c>
      <c r="R139" s="186">
        <f ca="1">'GS &gt; 50 OLS Model (LC)'!$B$7*E139</f>
        <v>8367756.727470981</v>
      </c>
      <c r="S139" s="186">
        <f>'GS &gt; 50 OLS Model (LC)'!$B$8*F139</f>
        <v>35651940.910503238</v>
      </c>
      <c r="T139" s="186">
        <v>0</v>
      </c>
      <c r="U139" s="186">
        <f>'GS &gt; 50 OLS Model (LC)'!$B$9*H139</f>
        <v>0</v>
      </c>
      <c r="V139" s="186">
        <f>'GS &gt; 50 OLS Model (LC)'!$B$10*I139</f>
        <v>1260255.0136768401</v>
      </c>
      <c r="W139" s="186">
        <f>'GS &gt; 50 OLS Model (LC)'!$B$11*J139</f>
        <v>0</v>
      </c>
      <c r="X139" s="186">
        <f>'GS &gt; 50 OLS Model (LC)'!$B$12*K139</f>
        <v>0</v>
      </c>
      <c r="Y139" s="186">
        <v>0</v>
      </c>
      <c r="Z139" s="186">
        <f>'GS &gt; 50 OLS Model (LC)'!$B$13*M139</f>
        <v>33683171.091442198</v>
      </c>
      <c r="AA139" s="186">
        <f>'GS &gt; 50 OLS Model (LC)'!$B$14*N139</f>
        <v>14249117.501484888</v>
      </c>
      <c r="AB139" s="186">
        <f t="shared" ca="1" si="19"/>
        <v>84995584.841122046</v>
      </c>
    </row>
    <row r="140" spans="1:28">
      <c r="A140" s="128">
        <v>44013</v>
      </c>
      <c r="B140" s="186">
        <f t="shared" si="18"/>
        <v>2020</v>
      </c>
      <c r="D140" s="186">
        <f t="shared" ca="1" si="17"/>
        <v>0.51</v>
      </c>
      <c r="E140" s="186">
        <f t="shared" ca="1" si="17"/>
        <v>185.60999999999999</v>
      </c>
      <c r="F140" s="186">
        <f>F128*(1+Employment!L$10)</f>
        <v>687206.36765083903</v>
      </c>
      <c r="G140" s="186">
        <f t="shared" si="12"/>
        <v>139</v>
      </c>
      <c r="H140" s="186">
        <f t="shared" si="20"/>
        <v>0</v>
      </c>
      <c r="I140" s="186">
        <f t="shared" si="20"/>
        <v>0</v>
      </c>
      <c r="J140" s="186">
        <f t="shared" si="20"/>
        <v>0</v>
      </c>
      <c r="K140" s="186">
        <f t="shared" si="20"/>
        <v>0</v>
      </c>
      <c r="L140" s="186">
        <f t="shared" si="20"/>
        <v>0</v>
      </c>
      <c r="M140" s="186">
        <f t="shared" si="14"/>
        <v>31</v>
      </c>
      <c r="N140" s="186">
        <v>22</v>
      </c>
      <c r="P140" s="186">
        <f>'GS &gt; 50 OLS Model (LC)'!$B$5</f>
        <v>-8436546.8467997499</v>
      </c>
      <c r="Q140" s="186">
        <f ca="1">'GS &gt; 50 OLS Model (LC)'!$B$6*D140</f>
        <v>12350.67468119616</v>
      </c>
      <c r="R140" s="186">
        <f ca="1">'GS &gt; 50 OLS Model (LC)'!$B$7*E140</f>
        <v>13247520.694181927</v>
      </c>
      <c r="S140" s="186">
        <f>'GS &gt; 50 OLS Model (LC)'!$B$8*F140</f>
        <v>35651940.910503238</v>
      </c>
      <c r="T140" s="186">
        <v>0</v>
      </c>
      <c r="U140" s="186">
        <f>'GS &gt; 50 OLS Model (LC)'!$B$9*H140</f>
        <v>0</v>
      </c>
      <c r="V140" s="186">
        <f>'GS &gt; 50 OLS Model (LC)'!$B$10*I140</f>
        <v>0</v>
      </c>
      <c r="W140" s="186">
        <f>'GS &gt; 50 OLS Model (LC)'!$B$11*J140</f>
        <v>0</v>
      </c>
      <c r="X140" s="186">
        <f>'GS &gt; 50 OLS Model (LC)'!$B$12*K140</f>
        <v>0</v>
      </c>
      <c r="Y140" s="186">
        <v>0</v>
      </c>
      <c r="Z140" s="186">
        <f>'GS &gt; 50 OLS Model (LC)'!$B$13*M140</f>
        <v>34805943.461156942</v>
      </c>
      <c r="AA140" s="186">
        <f>'GS &gt; 50 OLS Model (LC)'!$B$14*N140</f>
        <v>14249117.501484888</v>
      </c>
      <c r="AB140" s="186">
        <f t="shared" ca="1" si="19"/>
        <v>89530326.395208433</v>
      </c>
    </row>
    <row r="141" spans="1:28">
      <c r="A141" s="128">
        <v>44044</v>
      </c>
      <c r="B141" s="186">
        <f t="shared" si="18"/>
        <v>2020</v>
      </c>
      <c r="D141" s="186">
        <f t="shared" ca="1" si="17"/>
        <v>1.51</v>
      </c>
      <c r="E141" s="186">
        <f t="shared" ca="1" si="17"/>
        <v>159.64000000000001</v>
      </c>
      <c r="F141" s="186">
        <f>F129*(1+Employment!L$10)</f>
        <v>687206.36765083903</v>
      </c>
      <c r="G141" s="186">
        <f t="shared" si="12"/>
        <v>140</v>
      </c>
      <c r="H141" s="186">
        <f t="shared" si="20"/>
        <v>0</v>
      </c>
      <c r="I141" s="186">
        <f t="shared" si="20"/>
        <v>0</v>
      </c>
      <c r="J141" s="186">
        <f t="shared" si="20"/>
        <v>1</v>
      </c>
      <c r="K141" s="186">
        <f t="shared" si="20"/>
        <v>0</v>
      </c>
      <c r="L141" s="186">
        <f t="shared" si="20"/>
        <v>0</v>
      </c>
      <c r="M141" s="186">
        <f t="shared" si="14"/>
        <v>31</v>
      </c>
      <c r="N141" s="186">
        <v>20</v>
      </c>
      <c r="P141" s="186">
        <f>'GS &gt; 50 OLS Model (LC)'!$B$5</f>
        <v>-8436546.8467997499</v>
      </c>
      <c r="Q141" s="186">
        <f ca="1">'GS &gt; 50 OLS Model (LC)'!$B$6*D141</f>
        <v>36567.683860012155</v>
      </c>
      <c r="R141" s="186">
        <f ca="1">'GS &gt; 50 OLS Model (LC)'!$B$7*E141</f>
        <v>11393966.939384749</v>
      </c>
      <c r="S141" s="186">
        <f>'GS &gt; 50 OLS Model (LC)'!$B$8*F141</f>
        <v>35651940.910503238</v>
      </c>
      <c r="T141" s="186">
        <v>0</v>
      </c>
      <c r="U141" s="186">
        <f>'GS &gt; 50 OLS Model (LC)'!$B$9*H141</f>
        <v>0</v>
      </c>
      <c r="V141" s="186">
        <f>'GS &gt; 50 OLS Model (LC)'!$B$10*I141</f>
        <v>0</v>
      </c>
      <c r="W141" s="186">
        <f>'GS &gt; 50 OLS Model (LC)'!$B$11*J141</f>
        <v>2501012.7689915099</v>
      </c>
      <c r="X141" s="186">
        <f>'GS &gt; 50 OLS Model (LC)'!$B$12*K141</f>
        <v>0</v>
      </c>
      <c r="Y141" s="186">
        <v>0</v>
      </c>
      <c r="Z141" s="186">
        <f>'GS &gt; 50 OLS Model (LC)'!$B$13*M141</f>
        <v>34805943.461156942</v>
      </c>
      <c r="AA141" s="186">
        <f>'GS &gt; 50 OLS Model (LC)'!$B$14*N141</f>
        <v>12953743.18316808</v>
      </c>
      <c r="AB141" s="186">
        <f t="shared" ca="1" si="19"/>
        <v>88906628.100264788</v>
      </c>
    </row>
    <row r="142" spans="1:28">
      <c r="A142" s="128">
        <v>44075</v>
      </c>
      <c r="B142" s="186">
        <f t="shared" si="18"/>
        <v>2020</v>
      </c>
      <c r="D142" s="186">
        <f t="shared" ref="D142:E145" ca="1" si="21">D130</f>
        <v>33.01</v>
      </c>
      <c r="E142" s="186">
        <f t="shared" ca="1" si="21"/>
        <v>72.989999999999981</v>
      </c>
      <c r="F142" s="186">
        <f>F130*(1+Employment!L$10)</f>
        <v>687206.36765083903</v>
      </c>
      <c r="G142" s="186">
        <f t="shared" si="12"/>
        <v>141</v>
      </c>
      <c r="H142" s="186">
        <f t="shared" si="20"/>
        <v>0</v>
      </c>
      <c r="I142" s="186">
        <f t="shared" si="20"/>
        <v>0</v>
      </c>
      <c r="J142" s="186">
        <f t="shared" si="20"/>
        <v>0</v>
      </c>
      <c r="K142" s="186">
        <f t="shared" si="20"/>
        <v>1</v>
      </c>
      <c r="L142" s="186">
        <f t="shared" si="20"/>
        <v>0</v>
      </c>
      <c r="M142" s="186">
        <f t="shared" si="14"/>
        <v>30</v>
      </c>
      <c r="N142" s="186">
        <v>21</v>
      </c>
      <c r="P142" s="186">
        <f>'GS &gt; 50 OLS Model (LC)'!$B$5</f>
        <v>-8436546.8467997499</v>
      </c>
      <c r="Q142" s="186">
        <f ca="1">'GS &gt; 50 OLS Model (LC)'!$B$6*D142</f>
        <v>799403.47299271612</v>
      </c>
      <c r="R142" s="186">
        <f ca="1">'GS &gt; 50 OLS Model (LC)'!$B$7*E142</f>
        <v>5209506.6831977731</v>
      </c>
      <c r="S142" s="186">
        <f>'GS &gt; 50 OLS Model (LC)'!$B$8*F142</f>
        <v>35651940.910503238</v>
      </c>
      <c r="T142" s="186">
        <v>0</v>
      </c>
      <c r="U142" s="186">
        <f>'GS &gt; 50 OLS Model (LC)'!$B$9*H142</f>
        <v>0</v>
      </c>
      <c r="V142" s="186">
        <f>'GS &gt; 50 OLS Model (LC)'!$B$10*I142</f>
        <v>0</v>
      </c>
      <c r="W142" s="186">
        <f>'GS &gt; 50 OLS Model (LC)'!$B$11*J142</f>
        <v>0</v>
      </c>
      <c r="X142" s="186">
        <f>'GS &gt; 50 OLS Model (LC)'!$B$12*K142</f>
        <v>2346294.5864150901</v>
      </c>
      <c r="Y142" s="186">
        <v>0</v>
      </c>
      <c r="Z142" s="186">
        <f>'GS &gt; 50 OLS Model (LC)'!$B$13*M142</f>
        <v>33683171.091442198</v>
      </c>
      <c r="AA142" s="186">
        <f>'GS &gt; 50 OLS Model (LC)'!$B$14*N142</f>
        <v>13601430.342326485</v>
      </c>
      <c r="AB142" s="186">
        <f t="shared" ca="1" si="19"/>
        <v>82855200.240077764</v>
      </c>
    </row>
    <row r="143" spans="1:28">
      <c r="A143" s="128">
        <v>44105</v>
      </c>
      <c r="B143" s="186">
        <f t="shared" si="18"/>
        <v>2020</v>
      </c>
      <c r="D143" s="186">
        <f t="shared" ca="1" si="21"/>
        <v>177.83999999999997</v>
      </c>
      <c r="E143" s="186">
        <f t="shared" ca="1" si="21"/>
        <v>10.779999999999998</v>
      </c>
      <c r="F143" s="186">
        <f>F131*(1+Employment!L$10)</f>
        <v>687206.36765083903</v>
      </c>
      <c r="G143" s="186">
        <f t="shared" si="12"/>
        <v>142</v>
      </c>
      <c r="H143" s="186">
        <f t="shared" si="20"/>
        <v>0</v>
      </c>
      <c r="I143" s="186">
        <f t="shared" si="20"/>
        <v>0</v>
      </c>
      <c r="J143" s="186">
        <f t="shared" si="20"/>
        <v>0</v>
      </c>
      <c r="K143" s="186">
        <f t="shared" si="20"/>
        <v>0</v>
      </c>
      <c r="L143" s="186">
        <f t="shared" si="20"/>
        <v>1</v>
      </c>
      <c r="M143" s="186">
        <f t="shared" si="14"/>
        <v>31</v>
      </c>
      <c r="N143" s="186">
        <v>21</v>
      </c>
      <c r="P143" s="186">
        <f>'GS &gt; 50 OLS Model (LC)'!$B$5</f>
        <v>-8436546.8467997499</v>
      </c>
      <c r="Q143" s="186">
        <f ca="1">'GS &gt; 50 OLS Model (LC)'!$B$6*D143</f>
        <v>4306752.9123606365</v>
      </c>
      <c r="R143" s="186">
        <f ca="1">'GS &gt; 50 OLS Model (LC)'!$B$7*E143</f>
        <v>769399.67180260306</v>
      </c>
      <c r="S143" s="186">
        <f>'GS &gt; 50 OLS Model (LC)'!$B$8*F143</f>
        <v>35651940.910503238</v>
      </c>
      <c r="T143" s="186">
        <v>0</v>
      </c>
      <c r="U143" s="186">
        <f>'GS &gt; 50 OLS Model (LC)'!$B$9*H143</f>
        <v>0</v>
      </c>
      <c r="V143" s="186">
        <f>'GS &gt; 50 OLS Model (LC)'!$B$10*I143</f>
        <v>0</v>
      </c>
      <c r="W143" s="186">
        <f>'GS &gt; 50 OLS Model (LC)'!$B$11*J143</f>
        <v>0</v>
      </c>
      <c r="X143" s="186">
        <f>'GS &gt; 50 OLS Model (LC)'!$B$12*K143</f>
        <v>0</v>
      </c>
      <c r="Y143" s="186">
        <v>0</v>
      </c>
      <c r="Z143" s="186">
        <f>'GS &gt; 50 OLS Model (LC)'!$B$13*M143</f>
        <v>34805943.461156942</v>
      </c>
      <c r="AA143" s="186">
        <f>'GS &gt; 50 OLS Model (LC)'!$B$14*N143</f>
        <v>13601430.342326485</v>
      </c>
      <c r="AB143" s="186">
        <f t="shared" ca="1" si="19"/>
        <v>80698920.451350152</v>
      </c>
    </row>
    <row r="144" spans="1:28">
      <c r="A144" s="128">
        <v>44136</v>
      </c>
      <c r="B144" s="186">
        <f t="shared" si="18"/>
        <v>2020</v>
      </c>
      <c r="D144" s="186">
        <f t="shared" ca="1" si="21"/>
        <v>361.94999999999993</v>
      </c>
      <c r="E144" s="186">
        <f t="shared" ca="1" si="21"/>
        <v>0.05</v>
      </c>
      <c r="F144" s="186">
        <f>F132*(1+Employment!L$10)</f>
        <v>687206.36765083903</v>
      </c>
      <c r="G144" s="186">
        <f t="shared" si="12"/>
        <v>143</v>
      </c>
      <c r="H144" s="186">
        <f t="shared" si="20"/>
        <v>0</v>
      </c>
      <c r="I144" s="186">
        <f t="shared" si="20"/>
        <v>0</v>
      </c>
      <c r="J144" s="186">
        <f t="shared" si="20"/>
        <v>0</v>
      </c>
      <c r="K144" s="186">
        <f t="shared" si="20"/>
        <v>0</v>
      </c>
      <c r="L144" s="186">
        <f t="shared" si="20"/>
        <v>0</v>
      </c>
      <c r="M144" s="186">
        <f t="shared" si="14"/>
        <v>30</v>
      </c>
      <c r="N144" s="186">
        <v>21</v>
      </c>
      <c r="P144" s="186">
        <f>'GS &gt; 50 OLS Model (LC)'!$B$5</f>
        <v>-8436546.8467997499</v>
      </c>
      <c r="Q144" s="186">
        <f ca="1">'GS &gt; 50 OLS Model (LC)'!$B$6*D144</f>
        <v>8765346.4722724482</v>
      </c>
      <c r="R144" s="186">
        <f ca="1">'GS &gt; 50 OLS Model (LC)'!$B$7*E144</f>
        <v>3568.6441178228351</v>
      </c>
      <c r="S144" s="186">
        <f>'GS &gt; 50 OLS Model (LC)'!$B$8*F144</f>
        <v>35651940.910503238</v>
      </c>
      <c r="T144" s="186">
        <v>0</v>
      </c>
      <c r="U144" s="186">
        <f>'GS &gt; 50 OLS Model (LC)'!$B$9*H144</f>
        <v>0</v>
      </c>
      <c r="V144" s="186">
        <f>'GS &gt; 50 OLS Model (LC)'!$B$10*I144</f>
        <v>0</v>
      </c>
      <c r="W144" s="186">
        <f>'GS &gt; 50 OLS Model (LC)'!$B$11*J144</f>
        <v>0</v>
      </c>
      <c r="X144" s="186">
        <f>'GS &gt; 50 OLS Model (LC)'!$B$12*K144</f>
        <v>0</v>
      </c>
      <c r="Y144" s="186">
        <v>0</v>
      </c>
      <c r="Z144" s="186">
        <f>'GS &gt; 50 OLS Model (LC)'!$B$13*M144</f>
        <v>33683171.091442198</v>
      </c>
      <c r="AA144" s="186">
        <f>'GS &gt; 50 OLS Model (LC)'!$B$14*N144</f>
        <v>13601430.342326485</v>
      </c>
      <c r="AB144" s="186">
        <f t="shared" ca="1" si="19"/>
        <v>83268910.613862455</v>
      </c>
    </row>
    <row r="145" spans="1:28">
      <c r="A145" s="128">
        <v>44166</v>
      </c>
      <c r="B145" s="186">
        <f t="shared" si="18"/>
        <v>2020</v>
      </c>
      <c r="D145" s="186">
        <f t="shared" ca="1" si="21"/>
        <v>556.41000000000008</v>
      </c>
      <c r="E145" s="186">
        <f t="shared" ca="1" si="21"/>
        <v>0</v>
      </c>
      <c r="F145" s="186">
        <f>F133*(1+Employment!L$10)</f>
        <v>687206.36765083903</v>
      </c>
      <c r="G145" s="186">
        <f t="shared" si="12"/>
        <v>144</v>
      </c>
      <c r="H145" s="186">
        <f t="shared" si="20"/>
        <v>0</v>
      </c>
      <c r="I145" s="186">
        <f t="shared" si="20"/>
        <v>0</v>
      </c>
      <c r="J145" s="186">
        <f t="shared" si="20"/>
        <v>0</v>
      </c>
      <c r="K145" s="186">
        <f t="shared" si="20"/>
        <v>0</v>
      </c>
      <c r="L145" s="186">
        <f t="shared" si="20"/>
        <v>0</v>
      </c>
      <c r="M145" s="186">
        <f t="shared" si="14"/>
        <v>31</v>
      </c>
      <c r="N145" s="186">
        <v>21</v>
      </c>
      <c r="P145" s="186">
        <f>'GS &gt; 50 OLS Model (LC)'!$B$5</f>
        <v>-8436546.8467997499</v>
      </c>
      <c r="Q145" s="186">
        <f ca="1">'GS &gt; 50 OLS Model (LC)'!$B$6*D145</f>
        <v>13474586.077185012</v>
      </c>
      <c r="R145" s="186">
        <f ca="1">'GS &gt; 50 OLS Model (LC)'!$B$7*E145</f>
        <v>0</v>
      </c>
      <c r="S145" s="186">
        <f>'GS &gt; 50 OLS Model (LC)'!$B$8*F145</f>
        <v>35651940.910503238</v>
      </c>
      <c r="T145" s="186">
        <v>0</v>
      </c>
      <c r="U145" s="186">
        <f>'GS &gt; 50 OLS Model (LC)'!$B$9*H145</f>
        <v>0</v>
      </c>
      <c r="V145" s="186">
        <f>'GS &gt; 50 OLS Model (LC)'!$B$10*I145</f>
        <v>0</v>
      </c>
      <c r="W145" s="186">
        <f>'GS &gt; 50 OLS Model (LC)'!$B$11*J145</f>
        <v>0</v>
      </c>
      <c r="X145" s="186">
        <f>'GS &gt; 50 OLS Model (LC)'!$B$12*K145</f>
        <v>0</v>
      </c>
      <c r="Y145" s="186">
        <v>0</v>
      </c>
      <c r="Z145" s="186">
        <f>'GS &gt; 50 OLS Model (LC)'!$B$13*M145</f>
        <v>34805943.461156942</v>
      </c>
      <c r="AA145" s="186">
        <f>'GS &gt; 50 OLS Model (LC)'!$B$14*N145</f>
        <v>13601430.342326485</v>
      </c>
      <c r="AB145" s="186">
        <f t="shared" ca="1" si="19"/>
        <v>89097353.944371939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R146"/>
  <sheetViews>
    <sheetView workbookViewId="0">
      <selection activeCell="Q2" sqref="Q2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1" customWidth="1"/>
    <col min="6" max="6" width="6" style="127" customWidth="1"/>
    <col min="7" max="7" width="3.83203125" bestFit="1" customWidth="1"/>
    <col min="8" max="8" width="10.1640625" bestFit="1" customWidth="1"/>
    <col min="11" max="11" width="12.6640625" bestFit="1" customWidth="1"/>
    <col min="12" max="13" width="12" bestFit="1" customWidth="1"/>
    <col min="14" max="14" width="12" style="127" customWidth="1"/>
    <col min="15" max="15" width="12.6640625" bestFit="1" customWidth="1"/>
    <col min="16" max="16" width="12" bestFit="1" customWidth="1"/>
    <col min="17" max="17" width="12.6640625" customWidth="1"/>
    <col min="18" max="18" width="12" bestFit="1" customWidth="1"/>
  </cols>
  <sheetData>
    <row r="1" spans="1:18">
      <c r="A1" t="s">
        <v>123</v>
      </c>
      <c r="B1" t="s">
        <v>124</v>
      </c>
      <c r="C1" t="str">
        <f>'Monthly Data'!Z1</f>
        <v>Intermediate_NO_CDM</v>
      </c>
      <c r="D1" s="127" t="str">
        <f>'Monthly Data'!BM1</f>
        <v>Trend</v>
      </c>
      <c r="E1" s="127" t="str">
        <f>'Monthly Data'!BJ1</f>
        <v>Ont_Empl</v>
      </c>
      <c r="F1" s="127" t="str">
        <f>'Monthly Data'!BS1</f>
        <v>Jun</v>
      </c>
      <c r="G1" s="127" t="str">
        <f>'Monthly Data'!BT1</f>
        <v>Jul</v>
      </c>
      <c r="H1" s="127" t="str">
        <f>'Monthly Data'!CA1</f>
        <v>Fall</v>
      </c>
      <c r="I1" s="127" t="str">
        <f>'Monthly Data'!CC1</f>
        <v>Month Days</v>
      </c>
      <c r="K1" t="s">
        <v>91</v>
      </c>
      <c r="L1" t="str">
        <f t="shared" ref="L1:Q1" si="0">D1</f>
        <v>Trend</v>
      </c>
      <c r="M1" t="str">
        <f t="shared" si="0"/>
        <v>Ont_Empl</v>
      </c>
      <c r="N1" s="127" t="str">
        <f t="shared" si="0"/>
        <v>Jun</v>
      </c>
      <c r="O1" t="str">
        <f t="shared" si="0"/>
        <v>Jul</v>
      </c>
      <c r="P1" t="str">
        <f t="shared" si="0"/>
        <v>Fall</v>
      </c>
      <c r="Q1" t="str">
        <f t="shared" si="0"/>
        <v>Month Days</v>
      </c>
      <c r="R1" t="s">
        <v>125</v>
      </c>
    </row>
    <row r="2" spans="1:18">
      <c r="A2" s="26">
        <f>'Monthly Data'!A2</f>
        <v>39814</v>
      </c>
      <c r="B2">
        <f t="shared" ref="B2:B42" si="1">YEAR(A2)</f>
        <v>2009</v>
      </c>
      <c r="C2">
        <f ca="1">'Monthly Data'!Z2</f>
        <v>4415320.5250500003</v>
      </c>
      <c r="D2">
        <f>'Monthly Data'!BM2</f>
        <v>1</v>
      </c>
      <c r="E2">
        <f>'Monthly Data'!BJ2</f>
        <v>6541.6</v>
      </c>
      <c r="F2" s="127">
        <f>'Monthly Data'!BS2</f>
        <v>0</v>
      </c>
      <c r="G2" s="127">
        <f>'Monthly Data'!BT2</f>
        <v>0</v>
      </c>
      <c r="H2" s="127">
        <f>'Monthly Data'!CA2</f>
        <v>0</v>
      </c>
      <c r="I2" s="127">
        <f>'Monthly Data'!CC2</f>
        <v>31</v>
      </c>
      <c r="K2" s="127">
        <f>'Intermediate OLS Model'!$B$5</f>
        <v>-415228.02881662402</v>
      </c>
      <c r="L2" s="127">
        <f>'Intermediate OLS Model'!$B$6*D2</f>
        <v>-5756.5183163388401</v>
      </c>
      <c r="M2" s="127">
        <v>0</v>
      </c>
      <c r="N2" s="127">
        <f>'Intermediate OLS Model'!$B$7*F2</f>
        <v>0</v>
      </c>
      <c r="O2" s="127">
        <f>'Intermediate OLS Model'!$B$8*G2</f>
        <v>0</v>
      </c>
      <c r="P2" s="186">
        <f>'Intermediate OLS Model'!$B$9*H2</f>
        <v>0</v>
      </c>
      <c r="Q2" s="127">
        <f>'Intermediate OLS Model'!$B$10*I2</f>
        <v>4597068.1483280482</v>
      </c>
      <c r="R2">
        <f t="shared" ref="R2:R21" si="2">SUM(K2:Q2)</f>
        <v>4176083.6011950853</v>
      </c>
    </row>
    <row r="3" spans="1:18">
      <c r="A3" s="26">
        <f>'Monthly Data'!A3</f>
        <v>39845</v>
      </c>
      <c r="B3">
        <f t="shared" si="1"/>
        <v>2009</v>
      </c>
      <c r="C3">
        <f ca="1">'Monthly Data'!Z3</f>
        <v>4063549.3825500002</v>
      </c>
      <c r="D3">
        <f>'Monthly Data'!BM3</f>
        <v>2</v>
      </c>
      <c r="E3">
        <f>'Monthly Data'!BJ3</f>
        <v>6506</v>
      </c>
      <c r="F3" s="127">
        <f>'Monthly Data'!BS3</f>
        <v>0</v>
      </c>
      <c r="G3" s="127">
        <f>'Monthly Data'!BT3</f>
        <v>0</v>
      </c>
      <c r="H3" s="127">
        <f>'Monthly Data'!CA3</f>
        <v>0</v>
      </c>
      <c r="I3" s="127">
        <f>'Monthly Data'!CC3</f>
        <v>28</v>
      </c>
      <c r="K3" s="127">
        <f>'Intermediate OLS Model'!$B$5</f>
        <v>-415228.02881662402</v>
      </c>
      <c r="L3" s="186">
        <f>'Intermediate OLS Model'!$B$6*D3</f>
        <v>-11513.03663267768</v>
      </c>
      <c r="M3" s="186">
        <v>0</v>
      </c>
      <c r="N3" s="186">
        <f>'Intermediate OLS Model'!$B$7*F3</f>
        <v>0</v>
      </c>
      <c r="O3" s="186">
        <f>'Intermediate OLS Model'!$B$8*G3</f>
        <v>0</v>
      </c>
      <c r="P3" s="186">
        <f>'Intermediate OLS Model'!$B$9*H3</f>
        <v>0</v>
      </c>
      <c r="Q3" s="186">
        <f>'Intermediate OLS Model'!$B$10*I3</f>
        <v>4152190.5855866238</v>
      </c>
      <c r="R3">
        <f t="shared" si="2"/>
        <v>3725449.5201373221</v>
      </c>
    </row>
    <row r="4" spans="1:18">
      <c r="A4" s="26">
        <f>'Monthly Data'!A4</f>
        <v>39873</v>
      </c>
      <c r="B4">
        <f t="shared" si="1"/>
        <v>2009</v>
      </c>
      <c r="C4">
        <f ca="1">'Monthly Data'!Z4</f>
        <v>4547876.9075999996</v>
      </c>
      <c r="D4">
        <f>'Monthly Data'!BM4</f>
        <v>3</v>
      </c>
      <c r="E4">
        <f>'Monthly Data'!BJ4</f>
        <v>6466.8</v>
      </c>
      <c r="F4" s="127">
        <f>'Monthly Data'!BS4</f>
        <v>0</v>
      </c>
      <c r="G4" s="127">
        <f>'Monthly Data'!BT4</f>
        <v>0</v>
      </c>
      <c r="H4" s="127">
        <f>'Monthly Data'!CA4</f>
        <v>0</v>
      </c>
      <c r="I4" s="127">
        <f>'Monthly Data'!CC4</f>
        <v>31</v>
      </c>
      <c r="K4" s="127">
        <f>'Intermediate OLS Model'!$B$5</f>
        <v>-415228.02881662402</v>
      </c>
      <c r="L4" s="186">
        <f>'Intermediate OLS Model'!$B$6*D4</f>
        <v>-17269.554949016521</v>
      </c>
      <c r="M4" s="186">
        <v>0</v>
      </c>
      <c r="N4" s="186">
        <f>'Intermediate OLS Model'!$B$7*F4</f>
        <v>0</v>
      </c>
      <c r="O4" s="186">
        <f>'Intermediate OLS Model'!$B$8*G4</f>
        <v>0</v>
      </c>
      <c r="P4" s="186">
        <f>'Intermediate OLS Model'!$B$9*H4</f>
        <v>0</v>
      </c>
      <c r="Q4" s="186">
        <f>'Intermediate OLS Model'!$B$10*I4</f>
        <v>4597068.1483280482</v>
      </c>
      <c r="R4">
        <f t="shared" si="2"/>
        <v>4164570.5645624078</v>
      </c>
    </row>
    <row r="5" spans="1:18">
      <c r="A5" s="26">
        <f>'Monthly Data'!A5</f>
        <v>39904</v>
      </c>
      <c r="B5">
        <f t="shared" si="1"/>
        <v>2009</v>
      </c>
      <c r="C5">
        <f ca="1">'Monthly Data'!Z5</f>
        <v>4092154.0065000001</v>
      </c>
      <c r="D5">
        <f>'Monthly Data'!BM5</f>
        <v>4</v>
      </c>
      <c r="E5">
        <f>'Monthly Data'!BJ5</f>
        <v>6445.5</v>
      </c>
      <c r="F5" s="127">
        <f>'Monthly Data'!BS5</f>
        <v>0</v>
      </c>
      <c r="G5" s="127">
        <f>'Monthly Data'!BT5</f>
        <v>0</v>
      </c>
      <c r="H5" s="127">
        <f>'Monthly Data'!CA5</f>
        <v>0</v>
      </c>
      <c r="I5" s="127">
        <f>'Monthly Data'!CC5</f>
        <v>30</v>
      </c>
      <c r="K5" s="127">
        <f>'Intermediate OLS Model'!$B$5</f>
        <v>-415228.02881662402</v>
      </c>
      <c r="L5" s="186">
        <f>'Intermediate OLS Model'!$B$6*D5</f>
        <v>-23026.07326535536</v>
      </c>
      <c r="M5" s="186">
        <v>0</v>
      </c>
      <c r="N5" s="186">
        <f>'Intermediate OLS Model'!$B$7*F5</f>
        <v>0</v>
      </c>
      <c r="O5" s="186">
        <f>'Intermediate OLS Model'!$B$8*G5</f>
        <v>0</v>
      </c>
      <c r="P5" s="186">
        <f>'Intermediate OLS Model'!$B$9*H5</f>
        <v>0</v>
      </c>
      <c r="Q5" s="186">
        <f>'Intermediate OLS Model'!$B$10*I5</f>
        <v>4448775.6274142396</v>
      </c>
      <c r="R5">
        <f t="shared" si="2"/>
        <v>4010521.5253322599</v>
      </c>
    </row>
    <row r="6" spans="1:18">
      <c r="A6" s="26">
        <f>'Monthly Data'!A6</f>
        <v>39934</v>
      </c>
      <c r="B6">
        <f t="shared" si="1"/>
        <v>2009</v>
      </c>
      <c r="C6">
        <f ca="1">'Monthly Data'!Z6</f>
        <v>4275362.9309440004</v>
      </c>
      <c r="D6">
        <f>'Monthly Data'!BM6</f>
        <v>5</v>
      </c>
      <c r="E6">
        <f>'Monthly Data'!BJ6</f>
        <v>6420.3</v>
      </c>
      <c r="F6" s="127">
        <f>'Monthly Data'!BS6</f>
        <v>0</v>
      </c>
      <c r="G6" s="127">
        <f>'Monthly Data'!BT6</f>
        <v>0</v>
      </c>
      <c r="H6" s="127">
        <f>'Monthly Data'!CA6</f>
        <v>0</v>
      </c>
      <c r="I6" s="127">
        <f>'Monthly Data'!CC6</f>
        <v>31</v>
      </c>
      <c r="K6" s="127">
        <f>'Intermediate OLS Model'!$B$5</f>
        <v>-415228.02881662402</v>
      </c>
      <c r="L6" s="186">
        <f>'Intermediate OLS Model'!$B$6*D6</f>
        <v>-28782.5915816942</v>
      </c>
      <c r="M6" s="186">
        <v>0</v>
      </c>
      <c r="N6" s="186">
        <f>'Intermediate OLS Model'!$B$7*F6</f>
        <v>0</v>
      </c>
      <c r="O6" s="186">
        <f>'Intermediate OLS Model'!$B$8*G6</f>
        <v>0</v>
      </c>
      <c r="P6" s="186">
        <f>'Intermediate OLS Model'!$B$9*H6</f>
        <v>0</v>
      </c>
      <c r="Q6" s="186">
        <f>'Intermediate OLS Model'!$B$10*I6</f>
        <v>4597068.1483280482</v>
      </c>
      <c r="R6">
        <f t="shared" si="2"/>
        <v>4153057.5279297298</v>
      </c>
    </row>
    <row r="7" spans="1:18">
      <c r="A7" s="26">
        <f>'Monthly Data'!A7</f>
        <v>39965</v>
      </c>
      <c r="B7">
        <f t="shared" si="1"/>
        <v>2009</v>
      </c>
      <c r="C7">
        <f ca="1">'Monthly Data'!Z7</f>
        <v>4339364.1067150002</v>
      </c>
      <c r="D7">
        <f>'Monthly Data'!BM7</f>
        <v>6</v>
      </c>
      <c r="E7">
        <f>'Monthly Data'!BJ7</f>
        <v>6393.2</v>
      </c>
      <c r="F7" s="127">
        <f>'Monthly Data'!BS7</f>
        <v>1</v>
      </c>
      <c r="G7" s="127">
        <f>'Monthly Data'!BT7</f>
        <v>0</v>
      </c>
      <c r="H7" s="127">
        <f>'Monthly Data'!CA7</f>
        <v>0</v>
      </c>
      <c r="I7" s="127">
        <f>'Monthly Data'!CC7</f>
        <v>30</v>
      </c>
      <c r="K7" s="127">
        <f>'Intermediate OLS Model'!$B$5</f>
        <v>-415228.02881662402</v>
      </c>
      <c r="L7" s="186">
        <f>'Intermediate OLS Model'!$B$6*D7</f>
        <v>-34539.109898033043</v>
      </c>
      <c r="M7" s="186">
        <v>0</v>
      </c>
      <c r="N7" s="186">
        <f>'Intermediate OLS Model'!$B$7*F7</f>
        <v>346553.62108035001</v>
      </c>
      <c r="O7" s="186">
        <f>'Intermediate OLS Model'!$B$8*G7</f>
        <v>0</v>
      </c>
      <c r="P7" s="186">
        <f>'Intermediate OLS Model'!$B$9*H7</f>
        <v>0</v>
      </c>
      <c r="Q7" s="186">
        <f>'Intermediate OLS Model'!$B$10*I7</f>
        <v>4448775.6274142396</v>
      </c>
      <c r="R7">
        <f t="shared" si="2"/>
        <v>4345562.1097799325</v>
      </c>
    </row>
    <row r="8" spans="1:18">
      <c r="A8" s="26">
        <f>'Monthly Data'!A8</f>
        <v>39995</v>
      </c>
      <c r="B8">
        <f t="shared" si="1"/>
        <v>2009</v>
      </c>
      <c r="C8">
        <f ca="1">'Monthly Data'!Z8</f>
        <v>4830360.0326429997</v>
      </c>
      <c r="D8">
        <f>'Monthly Data'!BM8</f>
        <v>7</v>
      </c>
      <c r="E8">
        <f>'Monthly Data'!BJ8</f>
        <v>6390.2</v>
      </c>
      <c r="F8" s="127">
        <f>'Monthly Data'!BS8</f>
        <v>0</v>
      </c>
      <c r="G8" s="127">
        <f>'Monthly Data'!BT8</f>
        <v>1</v>
      </c>
      <c r="H8" s="127">
        <f>'Monthly Data'!CA8</f>
        <v>0</v>
      </c>
      <c r="I8" s="127">
        <f>'Monthly Data'!CC8</f>
        <v>31</v>
      </c>
      <c r="K8" s="127">
        <f>'Intermediate OLS Model'!$B$5</f>
        <v>-415228.02881662402</v>
      </c>
      <c r="L8" s="186">
        <f>'Intermediate OLS Model'!$B$6*D8</f>
        <v>-40295.628214371878</v>
      </c>
      <c r="M8" s="186">
        <v>0</v>
      </c>
      <c r="N8" s="186">
        <f>'Intermediate OLS Model'!$B$7*F8</f>
        <v>0</v>
      </c>
      <c r="O8" s="186">
        <f>'Intermediate OLS Model'!$B$8*G8</f>
        <v>428565.96548408002</v>
      </c>
      <c r="P8" s="186">
        <f>'Intermediate OLS Model'!$B$9*H8</f>
        <v>0</v>
      </c>
      <c r="Q8" s="186">
        <f>'Intermediate OLS Model'!$B$10*I8</f>
        <v>4597068.1483280482</v>
      </c>
      <c r="R8">
        <f t="shared" si="2"/>
        <v>4570110.4567811321</v>
      </c>
    </row>
    <row r="9" spans="1:18">
      <c r="A9" s="26">
        <f>'Monthly Data'!A9</f>
        <v>40026</v>
      </c>
      <c r="B9">
        <f t="shared" si="1"/>
        <v>2009</v>
      </c>
      <c r="C9">
        <f ca="1">'Monthly Data'!Z9</f>
        <v>4185937.0571420002</v>
      </c>
      <c r="D9">
        <f>'Monthly Data'!BM9</f>
        <v>8</v>
      </c>
      <c r="E9">
        <f>'Monthly Data'!BJ9</f>
        <v>6401</v>
      </c>
      <c r="F9" s="127">
        <f>'Monthly Data'!BS9</f>
        <v>0</v>
      </c>
      <c r="G9" s="127">
        <f>'Monthly Data'!BT9</f>
        <v>0</v>
      </c>
      <c r="H9" s="127">
        <f>'Monthly Data'!CA9</f>
        <v>0</v>
      </c>
      <c r="I9" s="127">
        <f>'Monthly Data'!CC9</f>
        <v>31</v>
      </c>
      <c r="K9" s="127">
        <f>'Intermediate OLS Model'!$B$5</f>
        <v>-415228.02881662402</v>
      </c>
      <c r="L9" s="186">
        <f>'Intermediate OLS Model'!$B$6*D9</f>
        <v>-46052.146530710721</v>
      </c>
      <c r="M9" s="186">
        <v>0</v>
      </c>
      <c r="N9" s="186">
        <f>'Intermediate OLS Model'!$B$7*F9</f>
        <v>0</v>
      </c>
      <c r="O9" s="186">
        <f>'Intermediate OLS Model'!$B$8*G9</f>
        <v>0</v>
      </c>
      <c r="P9" s="186">
        <f>'Intermediate OLS Model'!$B$9*H9</f>
        <v>0</v>
      </c>
      <c r="Q9" s="186">
        <f>'Intermediate OLS Model'!$B$10*I9</f>
        <v>4597068.1483280482</v>
      </c>
      <c r="R9">
        <f t="shared" si="2"/>
        <v>4135787.9729807135</v>
      </c>
    </row>
    <row r="10" spans="1:18">
      <c r="A10" s="26">
        <f>'Monthly Data'!A10</f>
        <v>40057</v>
      </c>
      <c r="B10">
        <f t="shared" si="1"/>
        <v>2009</v>
      </c>
      <c r="C10">
        <f ca="1">'Monthly Data'!Z10</f>
        <v>4066294.1067980002</v>
      </c>
      <c r="D10">
        <f>'Monthly Data'!BM10</f>
        <v>9</v>
      </c>
      <c r="E10">
        <f>'Monthly Data'!BJ10</f>
        <v>6421.2</v>
      </c>
      <c r="F10" s="127">
        <f>'Monthly Data'!BS10</f>
        <v>0</v>
      </c>
      <c r="G10" s="127">
        <f>'Monthly Data'!BT10</f>
        <v>0</v>
      </c>
      <c r="H10" s="127">
        <f>'Monthly Data'!CA10</f>
        <v>1</v>
      </c>
      <c r="I10" s="127">
        <f>'Monthly Data'!CC10</f>
        <v>30</v>
      </c>
      <c r="K10" s="127">
        <f>'Intermediate OLS Model'!$B$5</f>
        <v>-415228.02881662402</v>
      </c>
      <c r="L10" s="186">
        <f>'Intermediate OLS Model'!$B$6*D10</f>
        <v>-51808.664847049564</v>
      </c>
      <c r="M10" s="186">
        <v>0</v>
      </c>
      <c r="N10" s="186">
        <f>'Intermediate OLS Model'!$B$7*F10</f>
        <v>0</v>
      </c>
      <c r="O10" s="186">
        <f>'Intermediate OLS Model'!$B$8*G10</f>
        <v>0</v>
      </c>
      <c r="P10" s="186">
        <f>'Intermediate OLS Model'!$B$9*H10</f>
        <v>219659.05071226999</v>
      </c>
      <c r="Q10" s="186">
        <f>'Intermediate OLS Model'!$B$10*I10</f>
        <v>4448775.6274142396</v>
      </c>
      <c r="R10">
        <f t="shared" si="2"/>
        <v>4201397.9844628358</v>
      </c>
    </row>
    <row r="11" spans="1:18">
      <c r="A11" s="26">
        <f>'Monthly Data'!A11</f>
        <v>40087</v>
      </c>
      <c r="B11">
        <f t="shared" si="1"/>
        <v>2009</v>
      </c>
      <c r="C11">
        <f ca="1">'Monthly Data'!Z11</f>
        <v>4216044.9663699996</v>
      </c>
      <c r="D11">
        <f>'Monthly Data'!BM11</f>
        <v>10</v>
      </c>
      <c r="E11">
        <f>'Monthly Data'!BJ11</f>
        <v>6438.2</v>
      </c>
      <c r="F11" s="127">
        <f>'Monthly Data'!BS11</f>
        <v>0</v>
      </c>
      <c r="G11" s="127">
        <f>'Monthly Data'!BT11</f>
        <v>0</v>
      </c>
      <c r="H11" s="127">
        <f>'Monthly Data'!CA11</f>
        <v>1</v>
      </c>
      <c r="I11" s="127">
        <f>'Monthly Data'!CC11</f>
        <v>31</v>
      </c>
      <c r="K11" s="127">
        <f>'Intermediate OLS Model'!$B$5</f>
        <v>-415228.02881662402</v>
      </c>
      <c r="L11" s="186">
        <f>'Intermediate OLS Model'!$B$6*D11</f>
        <v>-57565.183163388399</v>
      </c>
      <c r="M11" s="186">
        <v>0</v>
      </c>
      <c r="N11" s="186">
        <f>'Intermediate OLS Model'!$B$7*F11</f>
        <v>0</v>
      </c>
      <c r="O11" s="186">
        <f>'Intermediate OLS Model'!$B$8*G11</f>
        <v>0</v>
      </c>
      <c r="P11" s="186">
        <f>'Intermediate OLS Model'!$B$9*H11</f>
        <v>219659.05071226999</v>
      </c>
      <c r="Q11" s="186">
        <f>'Intermediate OLS Model'!$B$10*I11</f>
        <v>4597068.1483280482</v>
      </c>
      <c r="R11">
        <f t="shared" si="2"/>
        <v>4343933.9870603057</v>
      </c>
    </row>
    <row r="12" spans="1:18">
      <c r="A12" s="26">
        <f>'Monthly Data'!A12</f>
        <v>40118</v>
      </c>
      <c r="B12">
        <f t="shared" si="1"/>
        <v>2009</v>
      </c>
      <c r="C12">
        <f ca="1">'Monthly Data'!Z12</f>
        <v>4135261.855149</v>
      </c>
      <c r="D12">
        <f>'Monthly Data'!BM12</f>
        <v>11</v>
      </c>
      <c r="E12">
        <f>'Monthly Data'!BJ12</f>
        <v>6454</v>
      </c>
      <c r="F12" s="127">
        <f>'Monthly Data'!BS12</f>
        <v>0</v>
      </c>
      <c r="G12" s="127">
        <f>'Monthly Data'!BT12</f>
        <v>0</v>
      </c>
      <c r="H12" s="127">
        <f>'Monthly Data'!CA12</f>
        <v>1</v>
      </c>
      <c r="I12" s="127">
        <f>'Monthly Data'!CC12</f>
        <v>30</v>
      </c>
      <c r="K12" s="127">
        <f>'Intermediate OLS Model'!$B$5</f>
        <v>-415228.02881662402</v>
      </c>
      <c r="L12" s="186">
        <f>'Intermediate OLS Model'!$B$6*D12</f>
        <v>-63321.701479727242</v>
      </c>
      <c r="M12" s="186">
        <v>0</v>
      </c>
      <c r="N12" s="186">
        <f>'Intermediate OLS Model'!$B$7*F12</f>
        <v>0</v>
      </c>
      <c r="O12" s="186">
        <f>'Intermediate OLS Model'!$B$8*G12</f>
        <v>0</v>
      </c>
      <c r="P12" s="186">
        <f>'Intermediate OLS Model'!$B$9*H12</f>
        <v>219659.05071226999</v>
      </c>
      <c r="Q12" s="186">
        <f>'Intermediate OLS Model'!$B$10*I12</f>
        <v>4448775.6274142396</v>
      </c>
      <c r="R12">
        <f t="shared" si="2"/>
        <v>4189884.9478301583</v>
      </c>
    </row>
    <row r="13" spans="1:18">
      <c r="A13" s="26">
        <f>'Monthly Data'!A13</f>
        <v>40148</v>
      </c>
      <c r="B13">
        <f t="shared" si="1"/>
        <v>2009</v>
      </c>
      <c r="C13">
        <f ca="1">'Monthly Data'!Z13</f>
        <v>4139276.0675209998</v>
      </c>
      <c r="D13">
        <f>'Monthly Data'!BM13</f>
        <v>12</v>
      </c>
      <c r="E13">
        <f>'Monthly Data'!BJ13</f>
        <v>6458.5</v>
      </c>
      <c r="F13" s="127">
        <f>'Monthly Data'!BS13</f>
        <v>0</v>
      </c>
      <c r="G13" s="127">
        <f>'Monthly Data'!BT13</f>
        <v>0</v>
      </c>
      <c r="H13" s="127">
        <f>'Monthly Data'!CA13</f>
        <v>0</v>
      </c>
      <c r="I13" s="127">
        <f>'Monthly Data'!CC13</f>
        <v>31</v>
      </c>
      <c r="K13" s="127">
        <f>'Intermediate OLS Model'!$B$5</f>
        <v>-415228.02881662402</v>
      </c>
      <c r="L13" s="186">
        <f>'Intermediate OLS Model'!$B$6*D13</f>
        <v>-69078.219796066085</v>
      </c>
      <c r="M13" s="186">
        <v>0</v>
      </c>
      <c r="N13" s="186">
        <f>'Intermediate OLS Model'!$B$7*F13</f>
        <v>0</v>
      </c>
      <c r="O13" s="186">
        <f>'Intermediate OLS Model'!$B$8*G13</f>
        <v>0</v>
      </c>
      <c r="P13" s="186">
        <f>'Intermediate OLS Model'!$B$9*H13</f>
        <v>0</v>
      </c>
      <c r="Q13" s="186">
        <f>'Intermediate OLS Model'!$B$10*I13</f>
        <v>4597068.1483280482</v>
      </c>
      <c r="R13">
        <f t="shared" si="2"/>
        <v>4112761.8997153579</v>
      </c>
    </row>
    <row r="14" spans="1:18">
      <c r="A14" s="26">
        <f>'Monthly Data'!A14</f>
        <v>40179</v>
      </c>
      <c r="B14">
        <f t="shared" si="1"/>
        <v>2010</v>
      </c>
      <c r="C14">
        <f ca="1">'Monthly Data'!Z14</f>
        <v>3680290.2110469998</v>
      </c>
      <c r="D14">
        <f>'Monthly Data'!BM14</f>
        <v>13</v>
      </c>
      <c r="E14">
        <f>'Monthly Data'!BJ14</f>
        <v>6466.9</v>
      </c>
      <c r="F14" s="127">
        <f>'Monthly Data'!BS14</f>
        <v>0</v>
      </c>
      <c r="G14" s="127">
        <f>'Monthly Data'!BT14</f>
        <v>0</v>
      </c>
      <c r="H14" s="127">
        <f>'Monthly Data'!CA14</f>
        <v>0</v>
      </c>
      <c r="I14" s="127">
        <f>'Monthly Data'!CC14</f>
        <v>31</v>
      </c>
      <c r="K14" s="127">
        <f>'Intermediate OLS Model'!$B$5</f>
        <v>-415228.02881662402</v>
      </c>
      <c r="L14" s="186">
        <f>'Intermediate OLS Model'!$B$6*D14</f>
        <v>-74834.738112404928</v>
      </c>
      <c r="M14" s="186">
        <v>0</v>
      </c>
      <c r="N14" s="186">
        <f>'Intermediate OLS Model'!$B$7*F14</f>
        <v>0</v>
      </c>
      <c r="O14" s="186">
        <f>'Intermediate OLS Model'!$B$8*G14</f>
        <v>0</v>
      </c>
      <c r="P14" s="186">
        <f>'Intermediate OLS Model'!$B$9*H14</f>
        <v>0</v>
      </c>
      <c r="Q14" s="186">
        <f>'Intermediate OLS Model'!$B$10*I14</f>
        <v>4597068.1483280482</v>
      </c>
      <c r="R14">
        <f t="shared" si="2"/>
        <v>4107005.3813990192</v>
      </c>
    </row>
    <row r="15" spans="1:18">
      <c r="A15" s="26">
        <f>'Monthly Data'!A15</f>
        <v>40210</v>
      </c>
      <c r="B15">
        <f t="shared" si="1"/>
        <v>2010</v>
      </c>
      <c r="C15">
        <f ca="1">'Monthly Data'!Z15</f>
        <v>3458917.2119789999</v>
      </c>
      <c r="D15">
        <f>'Monthly Data'!BM15</f>
        <v>14</v>
      </c>
      <c r="E15">
        <f>'Monthly Data'!BJ15</f>
        <v>6471</v>
      </c>
      <c r="F15" s="127">
        <f>'Monthly Data'!BS15</f>
        <v>0</v>
      </c>
      <c r="G15" s="127">
        <f>'Monthly Data'!BT15</f>
        <v>0</v>
      </c>
      <c r="H15" s="127">
        <f>'Monthly Data'!CA15</f>
        <v>0</v>
      </c>
      <c r="I15" s="127">
        <f>'Monthly Data'!CC15</f>
        <v>28</v>
      </c>
      <c r="K15" s="127">
        <f>'Intermediate OLS Model'!$B$5</f>
        <v>-415228.02881662402</v>
      </c>
      <c r="L15" s="186">
        <f>'Intermediate OLS Model'!$B$6*D15</f>
        <v>-80591.256428743756</v>
      </c>
      <c r="M15" s="186">
        <v>0</v>
      </c>
      <c r="N15" s="186">
        <f>'Intermediate OLS Model'!$B$7*F15</f>
        <v>0</v>
      </c>
      <c r="O15" s="186">
        <f>'Intermediate OLS Model'!$B$8*G15</f>
        <v>0</v>
      </c>
      <c r="P15" s="186">
        <f>'Intermediate OLS Model'!$B$9*H15</f>
        <v>0</v>
      </c>
      <c r="Q15" s="186">
        <f>'Intermediate OLS Model'!$B$10*I15</f>
        <v>4152190.5855866238</v>
      </c>
      <c r="R15">
        <f t="shared" si="2"/>
        <v>3656371.300341256</v>
      </c>
    </row>
    <row r="16" spans="1:18">
      <c r="A16" s="26">
        <f>'Monthly Data'!A16</f>
        <v>40238</v>
      </c>
      <c r="B16">
        <f t="shared" si="1"/>
        <v>2010</v>
      </c>
      <c r="C16">
        <f ca="1">'Monthly Data'!Z16</f>
        <v>3961328.3825309998</v>
      </c>
      <c r="D16">
        <f>'Monthly Data'!BM16</f>
        <v>15</v>
      </c>
      <c r="E16">
        <f>'Monthly Data'!BJ16</f>
        <v>6477.5</v>
      </c>
      <c r="F16" s="127">
        <f>'Monthly Data'!BS16</f>
        <v>0</v>
      </c>
      <c r="G16" s="127">
        <f>'Monthly Data'!BT16</f>
        <v>0</v>
      </c>
      <c r="H16" s="127">
        <f>'Monthly Data'!CA16</f>
        <v>0</v>
      </c>
      <c r="I16" s="127">
        <f>'Monthly Data'!CC16</f>
        <v>31</v>
      </c>
      <c r="K16" s="127">
        <f>'Intermediate OLS Model'!$B$5</f>
        <v>-415228.02881662402</v>
      </c>
      <c r="L16" s="186">
        <f>'Intermediate OLS Model'!$B$6*D16</f>
        <v>-86347.774745082599</v>
      </c>
      <c r="M16" s="186">
        <v>0</v>
      </c>
      <c r="N16" s="186">
        <f>'Intermediate OLS Model'!$B$7*F16</f>
        <v>0</v>
      </c>
      <c r="O16" s="186">
        <f>'Intermediate OLS Model'!$B$8*G16</f>
        <v>0</v>
      </c>
      <c r="P16" s="186">
        <f>'Intermediate OLS Model'!$B$9*H16</f>
        <v>0</v>
      </c>
      <c r="Q16" s="186">
        <f>'Intermediate OLS Model'!$B$10*I16</f>
        <v>4597068.1483280482</v>
      </c>
      <c r="R16">
        <f t="shared" si="2"/>
        <v>4095492.3447663416</v>
      </c>
    </row>
    <row r="17" spans="1:18">
      <c r="A17" s="26">
        <f>'Monthly Data'!A17</f>
        <v>40269</v>
      </c>
      <c r="B17">
        <f t="shared" si="1"/>
        <v>2010</v>
      </c>
      <c r="C17">
        <f ca="1">'Monthly Data'!Z17</f>
        <v>3819290.2417009999</v>
      </c>
      <c r="D17">
        <f>'Monthly Data'!BM17</f>
        <v>16</v>
      </c>
      <c r="E17">
        <f>'Monthly Data'!BJ17</f>
        <v>6485</v>
      </c>
      <c r="F17" s="127">
        <f>'Monthly Data'!BS17</f>
        <v>0</v>
      </c>
      <c r="G17" s="127">
        <f>'Monthly Data'!BT17</f>
        <v>0</v>
      </c>
      <c r="H17" s="127">
        <f>'Monthly Data'!CA17</f>
        <v>0</v>
      </c>
      <c r="I17" s="127">
        <f>'Monthly Data'!CC17</f>
        <v>30</v>
      </c>
      <c r="K17" s="127">
        <f>'Intermediate OLS Model'!$B$5</f>
        <v>-415228.02881662402</v>
      </c>
      <c r="L17" s="186">
        <f>'Intermediate OLS Model'!$B$6*D17</f>
        <v>-92104.293061421442</v>
      </c>
      <c r="M17" s="186">
        <v>0</v>
      </c>
      <c r="N17" s="186">
        <f>'Intermediate OLS Model'!$B$7*F17</f>
        <v>0</v>
      </c>
      <c r="O17" s="186">
        <f>'Intermediate OLS Model'!$B$8*G17</f>
        <v>0</v>
      </c>
      <c r="P17" s="186">
        <f>'Intermediate OLS Model'!$B$9*H17</f>
        <v>0</v>
      </c>
      <c r="Q17" s="186">
        <f>'Intermediate OLS Model'!$B$10*I17</f>
        <v>4448775.6274142396</v>
      </c>
      <c r="R17">
        <f t="shared" si="2"/>
        <v>3941443.3055361942</v>
      </c>
    </row>
    <row r="18" spans="1:18">
      <c r="A18" s="26">
        <f>'Monthly Data'!A18</f>
        <v>40299</v>
      </c>
      <c r="B18">
        <f t="shared" si="1"/>
        <v>2010</v>
      </c>
      <c r="C18">
        <f ca="1">'Monthly Data'!Z18</f>
        <v>4025317.4492390002</v>
      </c>
      <c r="D18">
        <f>'Monthly Data'!BM18</f>
        <v>17</v>
      </c>
      <c r="E18">
        <f>'Monthly Data'!BJ18</f>
        <v>6506.8</v>
      </c>
      <c r="F18" s="127">
        <f>'Monthly Data'!BS18</f>
        <v>0</v>
      </c>
      <c r="G18" s="127">
        <f>'Monthly Data'!BT18</f>
        <v>0</v>
      </c>
      <c r="H18" s="127">
        <f>'Monthly Data'!CA18</f>
        <v>0</v>
      </c>
      <c r="I18" s="127">
        <f>'Monthly Data'!CC18</f>
        <v>31</v>
      </c>
      <c r="K18" s="127">
        <f>'Intermediate OLS Model'!$B$5</f>
        <v>-415228.02881662402</v>
      </c>
      <c r="L18" s="186">
        <f>'Intermediate OLS Model'!$B$6*D18</f>
        <v>-97860.811377760285</v>
      </c>
      <c r="M18" s="186">
        <v>0</v>
      </c>
      <c r="N18" s="186">
        <f>'Intermediate OLS Model'!$B$7*F18</f>
        <v>0</v>
      </c>
      <c r="O18" s="186">
        <f>'Intermediate OLS Model'!$B$8*G18</f>
        <v>0</v>
      </c>
      <c r="P18" s="186">
        <f>'Intermediate OLS Model'!$B$9*H18</f>
        <v>0</v>
      </c>
      <c r="Q18" s="186">
        <f>'Intermediate OLS Model'!$B$10*I18</f>
        <v>4597068.1483280482</v>
      </c>
      <c r="R18">
        <f t="shared" si="2"/>
        <v>4083979.3081336636</v>
      </c>
    </row>
    <row r="19" spans="1:18">
      <c r="A19" s="26">
        <f>'Monthly Data'!A19</f>
        <v>40330</v>
      </c>
      <c r="B19">
        <f t="shared" si="1"/>
        <v>2010</v>
      </c>
      <c r="C19">
        <f ca="1">'Monthly Data'!Z19</f>
        <v>4225303.8981990004</v>
      </c>
      <c r="D19">
        <f>'Monthly Data'!BM19</f>
        <v>18</v>
      </c>
      <c r="E19">
        <f>'Monthly Data'!BJ19</f>
        <v>6540.8</v>
      </c>
      <c r="F19" s="127">
        <f>'Monthly Data'!BS19</f>
        <v>1</v>
      </c>
      <c r="G19" s="127">
        <f>'Monthly Data'!BT19</f>
        <v>0</v>
      </c>
      <c r="H19" s="127">
        <f>'Monthly Data'!CA19</f>
        <v>0</v>
      </c>
      <c r="I19" s="127">
        <f>'Monthly Data'!CC19</f>
        <v>30</v>
      </c>
      <c r="K19" s="127">
        <f>'Intermediate OLS Model'!$B$5</f>
        <v>-415228.02881662402</v>
      </c>
      <c r="L19" s="186">
        <f>'Intermediate OLS Model'!$B$6*D19</f>
        <v>-103617.32969409913</v>
      </c>
      <c r="M19" s="186">
        <v>0</v>
      </c>
      <c r="N19" s="186">
        <f>'Intermediate OLS Model'!$B$7*F19</f>
        <v>346553.62108035001</v>
      </c>
      <c r="O19" s="186">
        <f>'Intermediate OLS Model'!$B$8*G19</f>
        <v>0</v>
      </c>
      <c r="P19" s="186">
        <f>'Intermediate OLS Model'!$B$9*H19</f>
        <v>0</v>
      </c>
      <c r="Q19" s="186">
        <f>'Intermediate OLS Model'!$B$10*I19</f>
        <v>4448775.6274142396</v>
      </c>
      <c r="R19">
        <f t="shared" si="2"/>
        <v>4276483.8899838664</v>
      </c>
    </row>
    <row r="20" spans="1:18">
      <c r="A20" s="26">
        <f>'Monthly Data'!A20</f>
        <v>40360</v>
      </c>
      <c r="B20">
        <f t="shared" si="1"/>
        <v>2010</v>
      </c>
      <c r="C20">
        <f ca="1">'Monthly Data'!Z20</f>
        <v>4362344.081638</v>
      </c>
      <c r="D20">
        <f>'Monthly Data'!BM20</f>
        <v>19</v>
      </c>
      <c r="E20">
        <f>'Monthly Data'!BJ20</f>
        <v>6561</v>
      </c>
      <c r="F20" s="127">
        <f>'Monthly Data'!BS20</f>
        <v>0</v>
      </c>
      <c r="G20" s="127">
        <f>'Monthly Data'!BT20</f>
        <v>1</v>
      </c>
      <c r="H20" s="127">
        <f>'Monthly Data'!CA20</f>
        <v>0</v>
      </c>
      <c r="I20" s="127">
        <f>'Monthly Data'!CC20</f>
        <v>31</v>
      </c>
      <c r="K20" s="127">
        <f>'Intermediate OLS Model'!$B$5</f>
        <v>-415228.02881662402</v>
      </c>
      <c r="L20" s="186">
        <f>'Intermediate OLS Model'!$B$6*D20</f>
        <v>-109373.84801043796</v>
      </c>
      <c r="M20" s="186">
        <v>0</v>
      </c>
      <c r="N20" s="186">
        <f>'Intermediate OLS Model'!$B$7*F20</f>
        <v>0</v>
      </c>
      <c r="O20" s="186">
        <f>'Intermediate OLS Model'!$B$8*G20</f>
        <v>428565.96548408002</v>
      </c>
      <c r="P20" s="186">
        <f>'Intermediate OLS Model'!$B$9*H20</f>
        <v>0</v>
      </c>
      <c r="Q20" s="186">
        <f>'Intermediate OLS Model'!$B$10*I20</f>
        <v>4597068.1483280482</v>
      </c>
      <c r="R20">
        <f t="shared" si="2"/>
        <v>4501032.236985066</v>
      </c>
    </row>
    <row r="21" spans="1:18">
      <c r="A21" s="26">
        <f>'Monthly Data'!A21</f>
        <v>40391</v>
      </c>
      <c r="B21">
        <f t="shared" si="1"/>
        <v>2010</v>
      </c>
      <c r="C21">
        <f ca="1">'Monthly Data'!Z21</f>
        <v>4421103.6722379997</v>
      </c>
      <c r="D21">
        <f>'Monthly Data'!BM21</f>
        <v>20</v>
      </c>
      <c r="E21">
        <f>'Monthly Data'!BJ21</f>
        <v>6568.9</v>
      </c>
      <c r="F21" s="127">
        <f>'Monthly Data'!BS21</f>
        <v>0</v>
      </c>
      <c r="G21" s="127">
        <f>'Monthly Data'!BT21</f>
        <v>0</v>
      </c>
      <c r="H21" s="127">
        <f>'Monthly Data'!CA21</f>
        <v>0</v>
      </c>
      <c r="I21" s="127">
        <f>'Monthly Data'!CC21</f>
        <v>31</v>
      </c>
      <c r="K21" s="127">
        <f>'Intermediate OLS Model'!$B$5</f>
        <v>-415228.02881662402</v>
      </c>
      <c r="L21" s="186">
        <f>'Intermediate OLS Model'!$B$6*D21</f>
        <v>-115130.3663267768</v>
      </c>
      <c r="M21" s="186">
        <v>0</v>
      </c>
      <c r="N21" s="186">
        <f>'Intermediate OLS Model'!$B$7*F21</f>
        <v>0</v>
      </c>
      <c r="O21" s="186">
        <f>'Intermediate OLS Model'!$B$8*G21</f>
        <v>0</v>
      </c>
      <c r="P21" s="186">
        <f>'Intermediate OLS Model'!$B$9*H21</f>
        <v>0</v>
      </c>
      <c r="Q21" s="186">
        <f>'Intermediate OLS Model'!$B$10*I21</f>
        <v>4597068.1483280482</v>
      </c>
      <c r="R21">
        <f t="shared" si="2"/>
        <v>4066709.7531846473</v>
      </c>
    </row>
    <row r="22" spans="1:18">
      <c r="A22" s="26">
        <f>'Monthly Data'!A22</f>
        <v>40422</v>
      </c>
      <c r="B22">
        <f t="shared" si="1"/>
        <v>2010</v>
      </c>
      <c r="C22">
        <f ca="1">'Monthly Data'!Z22</f>
        <v>4336552.6475419998</v>
      </c>
      <c r="D22">
        <f>'Monthly Data'!BM22</f>
        <v>21</v>
      </c>
      <c r="E22">
        <f>'Monthly Data'!BJ22</f>
        <v>6556</v>
      </c>
      <c r="F22" s="127">
        <f>'Monthly Data'!BS22</f>
        <v>0</v>
      </c>
      <c r="G22" s="127">
        <f>'Monthly Data'!BT22</f>
        <v>0</v>
      </c>
      <c r="H22" s="127">
        <f>'Monthly Data'!CA22</f>
        <v>1</v>
      </c>
      <c r="I22" s="127">
        <f>'Monthly Data'!CC22</f>
        <v>30</v>
      </c>
      <c r="K22" s="127">
        <f>'Intermediate OLS Model'!$B$5</f>
        <v>-415228.02881662402</v>
      </c>
      <c r="L22" s="186">
        <f>'Intermediate OLS Model'!$B$6*D22</f>
        <v>-120886.88464311564</v>
      </c>
      <c r="M22" s="186">
        <v>0</v>
      </c>
      <c r="N22" s="186">
        <f>'Intermediate OLS Model'!$B$7*F22</f>
        <v>0</v>
      </c>
      <c r="O22" s="186">
        <f>'Intermediate OLS Model'!$B$8*G22</f>
        <v>0</v>
      </c>
      <c r="P22" s="186">
        <f>'Intermediate OLS Model'!$B$9*H22</f>
        <v>219659.05071226999</v>
      </c>
      <c r="Q22" s="186">
        <f>'Intermediate OLS Model'!$B$10*I22</f>
        <v>4448775.6274142396</v>
      </c>
      <c r="R22">
        <f t="shared" ref="R22:R53" si="3">SUM(K22:Q22)</f>
        <v>4132319.7646667697</v>
      </c>
    </row>
    <row r="23" spans="1:18">
      <c r="A23" s="26">
        <f>'Monthly Data'!A23</f>
        <v>40452</v>
      </c>
      <c r="B23">
        <f t="shared" si="1"/>
        <v>2010</v>
      </c>
      <c r="C23">
        <f ca="1">'Monthly Data'!Z23</f>
        <v>4409060.9406300001</v>
      </c>
      <c r="D23">
        <f>'Monthly Data'!BM23</f>
        <v>22</v>
      </c>
      <c r="E23">
        <f>'Monthly Data'!BJ23</f>
        <v>6551.6</v>
      </c>
      <c r="F23" s="127">
        <f>'Monthly Data'!BS23</f>
        <v>0</v>
      </c>
      <c r="G23" s="127">
        <f>'Monthly Data'!BT23</f>
        <v>0</v>
      </c>
      <c r="H23" s="127">
        <f>'Monthly Data'!CA23</f>
        <v>1</v>
      </c>
      <c r="I23" s="127">
        <f>'Monthly Data'!CC23</f>
        <v>31</v>
      </c>
      <c r="K23" s="127">
        <f>'Intermediate OLS Model'!$B$5</f>
        <v>-415228.02881662402</v>
      </c>
      <c r="L23" s="186">
        <f>'Intermediate OLS Model'!$B$6*D23</f>
        <v>-126643.40295945448</v>
      </c>
      <c r="M23" s="186">
        <v>0</v>
      </c>
      <c r="N23" s="186">
        <f>'Intermediate OLS Model'!$B$7*F23</f>
        <v>0</v>
      </c>
      <c r="O23" s="186">
        <f>'Intermediate OLS Model'!$B$8*G23</f>
        <v>0</v>
      </c>
      <c r="P23" s="186">
        <f>'Intermediate OLS Model'!$B$9*H23</f>
        <v>219659.05071226999</v>
      </c>
      <c r="Q23" s="186">
        <f>'Intermediate OLS Model'!$B$10*I23</f>
        <v>4597068.1483280482</v>
      </c>
      <c r="R23">
        <f t="shared" si="3"/>
        <v>4274855.7672642395</v>
      </c>
    </row>
    <row r="24" spans="1:18">
      <c r="A24" s="26">
        <f>'Monthly Data'!A24</f>
        <v>40483</v>
      </c>
      <c r="B24">
        <f t="shared" si="1"/>
        <v>2010</v>
      </c>
      <c r="C24">
        <f ca="1">'Monthly Data'!Z24</f>
        <v>4233860.37414</v>
      </c>
      <c r="D24">
        <f>'Monthly Data'!BM24</f>
        <v>23</v>
      </c>
      <c r="E24">
        <f>'Monthly Data'!BJ24</f>
        <v>6555.7</v>
      </c>
      <c r="F24" s="127">
        <f>'Monthly Data'!BS24</f>
        <v>0</v>
      </c>
      <c r="G24" s="127">
        <f>'Monthly Data'!BT24</f>
        <v>0</v>
      </c>
      <c r="H24" s="127">
        <f>'Monthly Data'!CA24</f>
        <v>1</v>
      </c>
      <c r="I24" s="127">
        <f>'Monthly Data'!CC24</f>
        <v>30</v>
      </c>
      <c r="K24" s="127">
        <f>'Intermediate OLS Model'!$B$5</f>
        <v>-415228.02881662402</v>
      </c>
      <c r="L24" s="186">
        <f>'Intermediate OLS Model'!$B$6*D24</f>
        <v>-132399.92127579331</v>
      </c>
      <c r="M24" s="186">
        <v>0</v>
      </c>
      <c r="N24" s="186">
        <f>'Intermediate OLS Model'!$B$7*F24</f>
        <v>0</v>
      </c>
      <c r="O24" s="186">
        <f>'Intermediate OLS Model'!$B$8*G24</f>
        <v>0</v>
      </c>
      <c r="P24" s="186">
        <f>'Intermediate OLS Model'!$B$9*H24</f>
        <v>219659.05071226999</v>
      </c>
      <c r="Q24" s="186">
        <f>'Intermediate OLS Model'!$B$10*I24</f>
        <v>4448775.6274142396</v>
      </c>
      <c r="R24">
        <f t="shared" si="3"/>
        <v>4120806.7280340921</v>
      </c>
    </row>
    <row r="25" spans="1:18">
      <c r="A25" s="26">
        <f>'Monthly Data'!A25</f>
        <v>40513</v>
      </c>
      <c r="B25">
        <f t="shared" si="1"/>
        <v>2010</v>
      </c>
      <c r="C25">
        <f ca="1">'Monthly Data'!Z25</f>
        <v>4138518.7720019999</v>
      </c>
      <c r="D25">
        <f>'Monthly Data'!BM25</f>
        <v>24</v>
      </c>
      <c r="E25">
        <f>'Monthly Data'!BJ25</f>
        <v>6578.3</v>
      </c>
      <c r="F25" s="127">
        <f>'Monthly Data'!BS25</f>
        <v>0</v>
      </c>
      <c r="G25" s="127">
        <f>'Monthly Data'!BT25</f>
        <v>0</v>
      </c>
      <c r="H25" s="127">
        <f>'Monthly Data'!CA25</f>
        <v>0</v>
      </c>
      <c r="I25" s="127">
        <f>'Monthly Data'!CC25</f>
        <v>31</v>
      </c>
      <c r="K25" s="127">
        <f>'Intermediate OLS Model'!$B$5</f>
        <v>-415228.02881662402</v>
      </c>
      <c r="L25" s="186">
        <f>'Intermediate OLS Model'!$B$6*D25</f>
        <v>-138156.43959213217</v>
      </c>
      <c r="M25" s="186">
        <v>0</v>
      </c>
      <c r="N25" s="186">
        <f>'Intermediate OLS Model'!$B$7*F25</f>
        <v>0</v>
      </c>
      <c r="O25" s="186">
        <f>'Intermediate OLS Model'!$B$8*G25</f>
        <v>0</v>
      </c>
      <c r="P25" s="186">
        <f>'Intermediate OLS Model'!$B$9*H25</f>
        <v>0</v>
      </c>
      <c r="Q25" s="186">
        <f>'Intermediate OLS Model'!$B$10*I25</f>
        <v>4597068.1483280482</v>
      </c>
      <c r="R25">
        <f t="shared" si="3"/>
        <v>4043683.6799192922</v>
      </c>
    </row>
    <row r="26" spans="1:18">
      <c r="A26" s="26">
        <f>'Monthly Data'!A26</f>
        <v>40544</v>
      </c>
      <c r="B26">
        <f t="shared" si="1"/>
        <v>2011</v>
      </c>
      <c r="C26">
        <f ca="1">'Monthly Data'!Z26</f>
        <v>4225575.7611889997</v>
      </c>
      <c r="D26">
        <f>'Monthly Data'!BM26</f>
        <v>25</v>
      </c>
      <c r="E26">
        <f>'Monthly Data'!BJ26</f>
        <v>6606.3</v>
      </c>
      <c r="F26" s="127">
        <f>'Monthly Data'!BS26</f>
        <v>0</v>
      </c>
      <c r="G26" s="127">
        <f>'Monthly Data'!BT26</f>
        <v>0</v>
      </c>
      <c r="H26" s="127">
        <f>'Monthly Data'!CA26</f>
        <v>0</v>
      </c>
      <c r="I26" s="127">
        <f>'Monthly Data'!CC26</f>
        <v>31</v>
      </c>
      <c r="K26" s="127">
        <f>'Intermediate OLS Model'!$B$5</f>
        <v>-415228.02881662402</v>
      </c>
      <c r="L26" s="186">
        <f>'Intermediate OLS Model'!$B$6*D26</f>
        <v>-143912.957908471</v>
      </c>
      <c r="M26" s="186">
        <v>0</v>
      </c>
      <c r="N26" s="186">
        <f>'Intermediate OLS Model'!$B$7*F26</f>
        <v>0</v>
      </c>
      <c r="O26" s="186">
        <f>'Intermediate OLS Model'!$B$8*G26</f>
        <v>0</v>
      </c>
      <c r="P26" s="186">
        <f>'Intermediate OLS Model'!$B$9*H26</f>
        <v>0</v>
      </c>
      <c r="Q26" s="186">
        <f>'Intermediate OLS Model'!$B$10*I26</f>
        <v>4597068.1483280482</v>
      </c>
      <c r="R26">
        <f t="shared" si="3"/>
        <v>4037927.1616029534</v>
      </c>
    </row>
    <row r="27" spans="1:18">
      <c r="A27" s="26">
        <f>'Monthly Data'!A27</f>
        <v>40575</v>
      </c>
      <c r="B27">
        <f t="shared" si="1"/>
        <v>2011</v>
      </c>
      <c r="C27">
        <f ca="1">'Monthly Data'!Z27</f>
        <v>3677829.2420740002</v>
      </c>
      <c r="D27">
        <f>'Monthly Data'!BM27</f>
        <v>26</v>
      </c>
      <c r="E27">
        <f>'Monthly Data'!BJ27</f>
        <v>6619.5</v>
      </c>
      <c r="F27" s="127">
        <f>'Monthly Data'!BS27</f>
        <v>0</v>
      </c>
      <c r="G27" s="127">
        <f>'Monthly Data'!BT27</f>
        <v>0</v>
      </c>
      <c r="H27" s="127">
        <f>'Monthly Data'!CA27</f>
        <v>0</v>
      </c>
      <c r="I27" s="127">
        <f>'Monthly Data'!CC27</f>
        <v>28</v>
      </c>
      <c r="K27" s="127">
        <f>'Intermediate OLS Model'!$B$5</f>
        <v>-415228.02881662402</v>
      </c>
      <c r="L27" s="186">
        <f>'Intermediate OLS Model'!$B$6*D27</f>
        <v>-149669.47622480986</v>
      </c>
      <c r="M27" s="186">
        <v>0</v>
      </c>
      <c r="N27" s="186">
        <f>'Intermediate OLS Model'!$B$7*F27</f>
        <v>0</v>
      </c>
      <c r="O27" s="186">
        <f>'Intermediate OLS Model'!$B$8*G27</f>
        <v>0</v>
      </c>
      <c r="P27" s="186">
        <f>'Intermediate OLS Model'!$B$9*H27</f>
        <v>0</v>
      </c>
      <c r="Q27" s="186">
        <f>'Intermediate OLS Model'!$B$10*I27</f>
        <v>4152190.5855866238</v>
      </c>
      <c r="R27">
        <f t="shared" si="3"/>
        <v>3587293.0805451898</v>
      </c>
    </row>
    <row r="28" spans="1:18">
      <c r="A28" s="26">
        <f>'Monthly Data'!A28</f>
        <v>40603</v>
      </c>
      <c r="B28">
        <f t="shared" si="1"/>
        <v>2011</v>
      </c>
      <c r="C28">
        <f ca="1">'Monthly Data'!Z28</f>
        <v>4008991.4056159998</v>
      </c>
      <c r="D28">
        <f>'Monthly Data'!BM28</f>
        <v>27</v>
      </c>
      <c r="E28">
        <f>'Monthly Data'!BJ28</f>
        <v>6628.6</v>
      </c>
      <c r="F28" s="127">
        <f>'Monthly Data'!BS28</f>
        <v>0</v>
      </c>
      <c r="G28" s="127">
        <f>'Monthly Data'!BT28</f>
        <v>0</v>
      </c>
      <c r="H28" s="127">
        <f>'Monthly Data'!CA28</f>
        <v>0</v>
      </c>
      <c r="I28" s="127">
        <f>'Monthly Data'!CC28</f>
        <v>31</v>
      </c>
      <c r="K28" s="127">
        <f>'Intermediate OLS Model'!$B$5</f>
        <v>-415228.02881662402</v>
      </c>
      <c r="L28" s="186">
        <f>'Intermediate OLS Model'!$B$6*D28</f>
        <v>-155425.99454114868</v>
      </c>
      <c r="M28" s="186">
        <v>0</v>
      </c>
      <c r="N28" s="186">
        <f>'Intermediate OLS Model'!$B$7*F28</f>
        <v>0</v>
      </c>
      <c r="O28" s="186">
        <f>'Intermediate OLS Model'!$B$8*G28</f>
        <v>0</v>
      </c>
      <c r="P28" s="186">
        <f>'Intermediate OLS Model'!$B$9*H28</f>
        <v>0</v>
      </c>
      <c r="Q28" s="186">
        <f>'Intermediate OLS Model'!$B$10*I28</f>
        <v>4597068.1483280482</v>
      </c>
      <c r="R28">
        <f t="shared" si="3"/>
        <v>4026414.1249702754</v>
      </c>
    </row>
    <row r="29" spans="1:18">
      <c r="A29" s="26">
        <f>'Monthly Data'!A29</f>
        <v>40634</v>
      </c>
      <c r="B29">
        <f t="shared" si="1"/>
        <v>2011</v>
      </c>
      <c r="C29">
        <f ca="1">'Monthly Data'!Z29</f>
        <v>3911881.7842620001</v>
      </c>
      <c r="D29">
        <f>'Monthly Data'!BM29</f>
        <v>28</v>
      </c>
      <c r="E29">
        <f>'Monthly Data'!BJ29</f>
        <v>6635.5</v>
      </c>
      <c r="F29" s="127">
        <f>'Monthly Data'!BS29</f>
        <v>0</v>
      </c>
      <c r="G29" s="127">
        <f>'Monthly Data'!BT29</f>
        <v>0</v>
      </c>
      <c r="H29" s="127">
        <f>'Monthly Data'!CA29</f>
        <v>0</v>
      </c>
      <c r="I29" s="127">
        <f>'Monthly Data'!CC29</f>
        <v>30</v>
      </c>
      <c r="K29" s="127">
        <f>'Intermediate OLS Model'!$B$5</f>
        <v>-415228.02881662402</v>
      </c>
      <c r="L29" s="186">
        <f>'Intermediate OLS Model'!$B$6*D29</f>
        <v>-161182.51285748751</v>
      </c>
      <c r="M29" s="186">
        <v>0</v>
      </c>
      <c r="N29" s="186">
        <f>'Intermediate OLS Model'!$B$7*F29</f>
        <v>0</v>
      </c>
      <c r="O29" s="186">
        <f>'Intermediate OLS Model'!$B$8*G29</f>
        <v>0</v>
      </c>
      <c r="P29" s="186">
        <f>'Intermediate OLS Model'!$B$9*H29</f>
        <v>0</v>
      </c>
      <c r="Q29" s="186">
        <f>'Intermediate OLS Model'!$B$10*I29</f>
        <v>4448775.6274142396</v>
      </c>
      <c r="R29">
        <f t="shared" si="3"/>
        <v>3872365.0857401281</v>
      </c>
    </row>
    <row r="30" spans="1:18">
      <c r="A30" s="26">
        <f>'Monthly Data'!A30</f>
        <v>40664</v>
      </c>
      <c r="B30">
        <f t="shared" si="1"/>
        <v>2011</v>
      </c>
      <c r="C30">
        <f ca="1">'Monthly Data'!Z30</f>
        <v>4672710.2646949999</v>
      </c>
      <c r="D30">
        <f>'Monthly Data'!BM30</f>
        <v>29</v>
      </c>
      <c r="E30">
        <f>'Monthly Data'!BJ30</f>
        <v>6645.8</v>
      </c>
      <c r="F30" s="127">
        <f>'Monthly Data'!BS30</f>
        <v>0</v>
      </c>
      <c r="G30" s="127">
        <f>'Monthly Data'!BT30</f>
        <v>0</v>
      </c>
      <c r="H30" s="127">
        <f>'Monthly Data'!CA30</f>
        <v>0</v>
      </c>
      <c r="I30" s="127">
        <f>'Monthly Data'!CC30</f>
        <v>31</v>
      </c>
      <c r="K30" s="127">
        <f>'Intermediate OLS Model'!$B$5</f>
        <v>-415228.02881662402</v>
      </c>
      <c r="L30" s="186">
        <f>'Intermediate OLS Model'!$B$6*D30</f>
        <v>-166939.03117382637</v>
      </c>
      <c r="M30" s="186">
        <v>0</v>
      </c>
      <c r="N30" s="186">
        <f>'Intermediate OLS Model'!$B$7*F30</f>
        <v>0</v>
      </c>
      <c r="O30" s="186">
        <f>'Intermediate OLS Model'!$B$8*G30</f>
        <v>0</v>
      </c>
      <c r="P30" s="186">
        <f>'Intermediate OLS Model'!$B$9*H30</f>
        <v>0</v>
      </c>
      <c r="Q30" s="186">
        <f>'Intermediate OLS Model'!$B$10*I30</f>
        <v>4597068.1483280482</v>
      </c>
      <c r="R30">
        <f t="shared" si="3"/>
        <v>4014901.0883375979</v>
      </c>
    </row>
    <row r="31" spans="1:18">
      <c r="A31" s="26">
        <f>'Monthly Data'!A31</f>
        <v>40695</v>
      </c>
      <c r="B31">
        <f t="shared" si="1"/>
        <v>2011</v>
      </c>
      <c r="C31">
        <f ca="1">'Monthly Data'!Z31</f>
        <v>4411205.0579040004</v>
      </c>
      <c r="D31">
        <f>'Monthly Data'!BM31</f>
        <v>30</v>
      </c>
      <c r="E31">
        <f>'Monthly Data'!BJ31</f>
        <v>6662</v>
      </c>
      <c r="F31" s="127">
        <f>'Monthly Data'!BS31</f>
        <v>1</v>
      </c>
      <c r="G31" s="127">
        <f>'Monthly Data'!BT31</f>
        <v>0</v>
      </c>
      <c r="H31" s="127">
        <f>'Monthly Data'!CA31</f>
        <v>0</v>
      </c>
      <c r="I31" s="127">
        <f>'Monthly Data'!CC31</f>
        <v>30</v>
      </c>
      <c r="K31" s="127">
        <f>'Intermediate OLS Model'!$B$5</f>
        <v>-415228.02881662402</v>
      </c>
      <c r="L31" s="186">
        <f>'Intermediate OLS Model'!$B$6*D31</f>
        <v>-172695.5494901652</v>
      </c>
      <c r="M31" s="186">
        <v>0</v>
      </c>
      <c r="N31" s="186">
        <f>'Intermediate OLS Model'!$B$7*F31</f>
        <v>346553.62108035001</v>
      </c>
      <c r="O31" s="186">
        <f>'Intermediate OLS Model'!$B$8*G31</f>
        <v>0</v>
      </c>
      <c r="P31" s="186">
        <f>'Intermediate OLS Model'!$B$9*H31</f>
        <v>0</v>
      </c>
      <c r="Q31" s="186">
        <f>'Intermediate OLS Model'!$B$10*I31</f>
        <v>4448775.6274142396</v>
      </c>
      <c r="R31">
        <f t="shared" si="3"/>
        <v>4207405.6701878002</v>
      </c>
    </row>
    <row r="32" spans="1:18">
      <c r="A32" s="26">
        <f>'Monthly Data'!A32</f>
        <v>40725</v>
      </c>
      <c r="B32">
        <f t="shared" si="1"/>
        <v>2011</v>
      </c>
      <c r="C32">
        <f ca="1">'Monthly Data'!Z32</f>
        <v>4410294.6933960002</v>
      </c>
      <c r="D32">
        <f>'Monthly Data'!BM32</f>
        <v>31</v>
      </c>
      <c r="E32">
        <f>'Monthly Data'!BJ32</f>
        <v>6665.8</v>
      </c>
      <c r="F32" s="127">
        <f>'Monthly Data'!BS32</f>
        <v>0</v>
      </c>
      <c r="G32" s="127">
        <f>'Monthly Data'!BT32</f>
        <v>1</v>
      </c>
      <c r="H32" s="127">
        <f>'Monthly Data'!CA32</f>
        <v>0</v>
      </c>
      <c r="I32" s="127">
        <f>'Monthly Data'!CC32</f>
        <v>31</v>
      </c>
      <c r="K32" s="127">
        <f>'Intermediate OLS Model'!$B$5</f>
        <v>-415228.02881662402</v>
      </c>
      <c r="L32" s="186">
        <f>'Intermediate OLS Model'!$B$6*D32</f>
        <v>-178452.06780650406</v>
      </c>
      <c r="M32" s="186">
        <v>0</v>
      </c>
      <c r="N32" s="186">
        <f>'Intermediate OLS Model'!$B$7*F32</f>
        <v>0</v>
      </c>
      <c r="O32" s="186">
        <f>'Intermediate OLS Model'!$B$8*G32</f>
        <v>428565.96548408002</v>
      </c>
      <c r="P32" s="186">
        <f>'Intermediate OLS Model'!$B$9*H32</f>
        <v>0</v>
      </c>
      <c r="Q32" s="186">
        <f>'Intermediate OLS Model'!$B$10*I32</f>
        <v>4597068.1483280482</v>
      </c>
      <c r="R32">
        <f t="shared" si="3"/>
        <v>4431954.0171889998</v>
      </c>
    </row>
    <row r="33" spans="1:18">
      <c r="A33" s="26">
        <f>'Monthly Data'!A33</f>
        <v>40756</v>
      </c>
      <c r="B33">
        <f t="shared" si="1"/>
        <v>2011</v>
      </c>
      <c r="C33">
        <f ca="1">'Monthly Data'!Z33</f>
        <v>3989309.9328839998</v>
      </c>
      <c r="D33">
        <f>'Monthly Data'!BM33</f>
        <v>32</v>
      </c>
      <c r="E33">
        <f>'Monthly Data'!BJ33</f>
        <v>6677.5</v>
      </c>
      <c r="F33" s="127">
        <f>'Monthly Data'!BS33</f>
        <v>0</v>
      </c>
      <c r="G33" s="127">
        <f>'Monthly Data'!BT33</f>
        <v>0</v>
      </c>
      <c r="H33" s="127">
        <f>'Monthly Data'!CA33</f>
        <v>0</v>
      </c>
      <c r="I33" s="127">
        <f>'Monthly Data'!CC33</f>
        <v>31</v>
      </c>
      <c r="K33" s="127">
        <f>'Intermediate OLS Model'!$B$5</f>
        <v>-415228.02881662402</v>
      </c>
      <c r="L33" s="186">
        <f>'Intermediate OLS Model'!$B$6*D33</f>
        <v>-184208.58612284288</v>
      </c>
      <c r="M33" s="186">
        <v>0</v>
      </c>
      <c r="N33" s="186">
        <f>'Intermediate OLS Model'!$B$7*F33</f>
        <v>0</v>
      </c>
      <c r="O33" s="186">
        <f>'Intermediate OLS Model'!$B$8*G33</f>
        <v>0</v>
      </c>
      <c r="P33" s="186">
        <f>'Intermediate OLS Model'!$B$9*H33</f>
        <v>0</v>
      </c>
      <c r="Q33" s="186">
        <f>'Intermediate OLS Model'!$B$10*I33</f>
        <v>4597068.1483280482</v>
      </c>
      <c r="R33">
        <f t="shared" si="3"/>
        <v>3997631.5333885811</v>
      </c>
    </row>
    <row r="34" spans="1:18">
      <c r="A34" s="26">
        <f>'Monthly Data'!A34</f>
        <v>40787</v>
      </c>
      <c r="B34">
        <f t="shared" si="1"/>
        <v>2011</v>
      </c>
      <c r="C34">
        <f ca="1">'Monthly Data'!Z34</f>
        <v>3961994.71691</v>
      </c>
      <c r="D34">
        <f>'Monthly Data'!BM34</f>
        <v>33</v>
      </c>
      <c r="E34">
        <f>'Monthly Data'!BJ34</f>
        <v>6674.4</v>
      </c>
      <c r="F34" s="127">
        <f>'Monthly Data'!BS34</f>
        <v>0</v>
      </c>
      <c r="G34" s="127">
        <f>'Monthly Data'!BT34</f>
        <v>0</v>
      </c>
      <c r="H34" s="127">
        <f>'Monthly Data'!CA34</f>
        <v>1</v>
      </c>
      <c r="I34" s="127">
        <f>'Monthly Data'!CC34</f>
        <v>30</v>
      </c>
      <c r="K34" s="127">
        <f>'Intermediate OLS Model'!$B$5</f>
        <v>-415228.02881662402</v>
      </c>
      <c r="L34" s="186">
        <f>'Intermediate OLS Model'!$B$6*D34</f>
        <v>-189965.10443918171</v>
      </c>
      <c r="M34" s="186">
        <v>0</v>
      </c>
      <c r="N34" s="186">
        <f>'Intermediate OLS Model'!$B$7*F34</f>
        <v>0</v>
      </c>
      <c r="O34" s="186">
        <f>'Intermediate OLS Model'!$B$8*G34</f>
        <v>0</v>
      </c>
      <c r="P34" s="186">
        <f>'Intermediate OLS Model'!$B$9*H34</f>
        <v>219659.05071226999</v>
      </c>
      <c r="Q34" s="186">
        <f>'Intermediate OLS Model'!$B$10*I34</f>
        <v>4448775.6274142396</v>
      </c>
      <c r="R34">
        <f t="shared" si="3"/>
        <v>4063241.5448707039</v>
      </c>
    </row>
    <row r="35" spans="1:18">
      <c r="A35" s="26">
        <f>'Monthly Data'!A35</f>
        <v>40817</v>
      </c>
      <c r="B35">
        <f t="shared" si="1"/>
        <v>2011</v>
      </c>
      <c r="C35">
        <f ca="1">'Monthly Data'!Z35</f>
        <v>4046724.6678829999</v>
      </c>
      <c r="D35">
        <f>'Monthly Data'!BM35</f>
        <v>34</v>
      </c>
      <c r="E35">
        <f>'Monthly Data'!BJ35</f>
        <v>6668.1</v>
      </c>
      <c r="F35" s="127">
        <f>'Monthly Data'!BS35</f>
        <v>0</v>
      </c>
      <c r="G35" s="127">
        <f>'Monthly Data'!BT35</f>
        <v>0</v>
      </c>
      <c r="H35" s="127">
        <f>'Monthly Data'!CA35</f>
        <v>1</v>
      </c>
      <c r="I35" s="127">
        <f>'Monthly Data'!CC35</f>
        <v>31</v>
      </c>
      <c r="K35" s="127">
        <f>'Intermediate OLS Model'!$B$5</f>
        <v>-415228.02881662402</v>
      </c>
      <c r="L35" s="186">
        <f>'Intermediate OLS Model'!$B$6*D35</f>
        <v>-195721.62275552057</v>
      </c>
      <c r="M35" s="186">
        <v>0</v>
      </c>
      <c r="N35" s="186">
        <f>'Intermediate OLS Model'!$B$7*F35</f>
        <v>0</v>
      </c>
      <c r="O35" s="186">
        <f>'Intermediate OLS Model'!$B$8*G35</f>
        <v>0</v>
      </c>
      <c r="P35" s="186">
        <f>'Intermediate OLS Model'!$B$9*H35</f>
        <v>219659.05071226999</v>
      </c>
      <c r="Q35" s="186">
        <f>'Intermediate OLS Model'!$B$10*I35</f>
        <v>4597068.1483280482</v>
      </c>
      <c r="R35">
        <f t="shared" si="3"/>
        <v>4205777.5474681733</v>
      </c>
    </row>
    <row r="36" spans="1:18">
      <c r="A36" s="26">
        <f>'Monthly Data'!A36</f>
        <v>40848</v>
      </c>
      <c r="B36">
        <f t="shared" si="1"/>
        <v>2011</v>
      </c>
      <c r="C36">
        <f ca="1">'Monthly Data'!Z36</f>
        <v>3772717.8805010002</v>
      </c>
      <c r="D36">
        <f>'Monthly Data'!BM36</f>
        <v>35</v>
      </c>
      <c r="E36">
        <f>'Monthly Data'!BJ36</f>
        <v>6662.8</v>
      </c>
      <c r="F36" s="127">
        <f>'Monthly Data'!BS36</f>
        <v>0</v>
      </c>
      <c r="G36" s="127">
        <f>'Monthly Data'!BT36</f>
        <v>0</v>
      </c>
      <c r="H36" s="127">
        <f>'Monthly Data'!CA36</f>
        <v>1</v>
      </c>
      <c r="I36" s="127">
        <f>'Monthly Data'!CC36</f>
        <v>30</v>
      </c>
      <c r="K36" s="127">
        <f>'Intermediate OLS Model'!$B$5</f>
        <v>-415228.02881662402</v>
      </c>
      <c r="L36" s="186">
        <f>'Intermediate OLS Model'!$B$6*D36</f>
        <v>-201478.1410718594</v>
      </c>
      <c r="M36" s="186">
        <v>0</v>
      </c>
      <c r="N36" s="186">
        <f>'Intermediate OLS Model'!$B$7*F36</f>
        <v>0</v>
      </c>
      <c r="O36" s="186">
        <f>'Intermediate OLS Model'!$B$8*G36</f>
        <v>0</v>
      </c>
      <c r="P36" s="186">
        <f>'Intermediate OLS Model'!$B$9*H36</f>
        <v>219659.05071226999</v>
      </c>
      <c r="Q36" s="186">
        <f>'Intermediate OLS Model'!$B$10*I36</f>
        <v>4448775.6274142396</v>
      </c>
      <c r="R36">
        <f t="shared" si="3"/>
        <v>4051728.5082380259</v>
      </c>
    </row>
    <row r="37" spans="1:18">
      <c r="A37" s="26">
        <f>'Monthly Data'!A37</f>
        <v>40878</v>
      </c>
      <c r="B37">
        <f t="shared" si="1"/>
        <v>2011</v>
      </c>
      <c r="C37">
        <f ca="1">'Monthly Data'!Z37</f>
        <v>3705335.743148</v>
      </c>
      <c r="D37">
        <f>'Monthly Data'!BM37</f>
        <v>36</v>
      </c>
      <c r="E37">
        <f>'Monthly Data'!BJ37</f>
        <v>6667.5</v>
      </c>
      <c r="F37" s="127">
        <f>'Monthly Data'!BS37</f>
        <v>0</v>
      </c>
      <c r="G37" s="127">
        <f>'Monthly Data'!BT37</f>
        <v>0</v>
      </c>
      <c r="H37" s="127">
        <f>'Monthly Data'!CA37</f>
        <v>0</v>
      </c>
      <c r="I37" s="127">
        <f>'Monthly Data'!CC37</f>
        <v>31</v>
      </c>
      <c r="K37" s="127">
        <f>'Intermediate OLS Model'!$B$5</f>
        <v>-415228.02881662402</v>
      </c>
      <c r="L37" s="186">
        <f>'Intermediate OLS Model'!$B$6*D37</f>
        <v>-207234.65938819826</v>
      </c>
      <c r="M37" s="186">
        <v>0</v>
      </c>
      <c r="N37" s="186">
        <f>'Intermediate OLS Model'!$B$7*F37</f>
        <v>0</v>
      </c>
      <c r="O37" s="186">
        <f>'Intermediate OLS Model'!$B$8*G37</f>
        <v>0</v>
      </c>
      <c r="P37" s="186">
        <f>'Intermediate OLS Model'!$B$9*H37</f>
        <v>0</v>
      </c>
      <c r="Q37" s="186">
        <f>'Intermediate OLS Model'!$B$10*I37</f>
        <v>4597068.1483280482</v>
      </c>
      <c r="R37">
        <f t="shared" si="3"/>
        <v>3974605.460123226</v>
      </c>
    </row>
    <row r="38" spans="1:18">
      <c r="A38" s="26">
        <f>'Monthly Data'!A38</f>
        <v>40909</v>
      </c>
      <c r="B38">
        <f t="shared" si="1"/>
        <v>2012</v>
      </c>
      <c r="C38">
        <f ca="1">'Monthly Data'!Z38</f>
        <v>3676968.9810556835</v>
      </c>
      <c r="D38">
        <f>'Monthly Data'!BM38</f>
        <v>37</v>
      </c>
      <c r="E38">
        <f>'Monthly Data'!BJ38</f>
        <v>6673.6</v>
      </c>
      <c r="F38" s="127">
        <f>'Monthly Data'!BS38</f>
        <v>0</v>
      </c>
      <c r="G38" s="127">
        <f>'Monthly Data'!BT38</f>
        <v>0</v>
      </c>
      <c r="H38" s="127">
        <f>'Monthly Data'!CA38</f>
        <v>0</v>
      </c>
      <c r="I38" s="127">
        <f>'Monthly Data'!CC38</f>
        <v>31</v>
      </c>
      <c r="K38" s="127">
        <f>'Intermediate OLS Model'!$B$5</f>
        <v>-415228.02881662402</v>
      </c>
      <c r="L38" s="186">
        <f>'Intermediate OLS Model'!$B$6*D38</f>
        <v>-212991.17770453708</v>
      </c>
      <c r="M38" s="186">
        <v>0</v>
      </c>
      <c r="N38" s="186">
        <f>'Intermediate OLS Model'!$B$7*F38</f>
        <v>0</v>
      </c>
      <c r="O38" s="186">
        <f>'Intermediate OLS Model'!$B$8*G38</f>
        <v>0</v>
      </c>
      <c r="P38" s="186">
        <f>'Intermediate OLS Model'!$B$9*H38</f>
        <v>0</v>
      </c>
      <c r="Q38" s="186">
        <f>'Intermediate OLS Model'!$B$10*I38</f>
        <v>4597068.1483280482</v>
      </c>
      <c r="R38">
        <f t="shared" si="3"/>
        <v>3968848.9418068873</v>
      </c>
    </row>
    <row r="39" spans="1:18">
      <c r="A39" s="26">
        <f>'Monthly Data'!A39</f>
        <v>40940</v>
      </c>
      <c r="B39">
        <f t="shared" si="1"/>
        <v>2012</v>
      </c>
      <c r="C39">
        <f ca="1">'Monthly Data'!Z39</f>
        <v>3497416.8930946835</v>
      </c>
      <c r="D39">
        <f>'Monthly Data'!BM39</f>
        <v>38</v>
      </c>
      <c r="E39">
        <f>'Monthly Data'!BJ39</f>
        <v>6670.7</v>
      </c>
      <c r="F39" s="127">
        <f>'Monthly Data'!BS39</f>
        <v>0</v>
      </c>
      <c r="G39" s="127">
        <f>'Monthly Data'!BT39</f>
        <v>0</v>
      </c>
      <c r="H39" s="127">
        <f>'Monthly Data'!CA39</f>
        <v>0</v>
      </c>
      <c r="I39" s="127">
        <f>'Monthly Data'!CC39</f>
        <v>29</v>
      </c>
      <c r="K39" s="127">
        <f>'Intermediate OLS Model'!$B$5</f>
        <v>-415228.02881662402</v>
      </c>
      <c r="L39" s="186">
        <f>'Intermediate OLS Model'!$B$6*D39</f>
        <v>-218747.69602087591</v>
      </c>
      <c r="M39" s="186">
        <v>0</v>
      </c>
      <c r="N39" s="186">
        <f>'Intermediate OLS Model'!$B$7*F39</f>
        <v>0</v>
      </c>
      <c r="O39" s="186">
        <f>'Intermediate OLS Model'!$B$8*G39</f>
        <v>0</v>
      </c>
      <c r="P39" s="186">
        <f>'Intermediate OLS Model'!$B$9*H39</f>
        <v>0</v>
      </c>
      <c r="Q39" s="186">
        <f>'Intermediate OLS Model'!$B$10*I39</f>
        <v>4300483.1065004319</v>
      </c>
      <c r="R39">
        <f t="shared" si="3"/>
        <v>3666507.3816629322</v>
      </c>
    </row>
    <row r="40" spans="1:18">
      <c r="A40" s="26">
        <f>'Monthly Data'!A40</f>
        <v>40969</v>
      </c>
      <c r="B40">
        <f t="shared" si="1"/>
        <v>2012</v>
      </c>
      <c r="C40">
        <f ca="1">'Monthly Data'!Z40</f>
        <v>3797437.6184126833</v>
      </c>
      <c r="D40">
        <f>'Monthly Data'!BM40</f>
        <v>39</v>
      </c>
      <c r="E40">
        <f>'Monthly Data'!BJ40</f>
        <v>6674</v>
      </c>
      <c r="F40" s="127">
        <f>'Monthly Data'!BS40</f>
        <v>0</v>
      </c>
      <c r="G40" s="127">
        <f>'Monthly Data'!BT40</f>
        <v>0</v>
      </c>
      <c r="H40" s="127">
        <f>'Monthly Data'!CA40</f>
        <v>0</v>
      </c>
      <c r="I40" s="127">
        <f>'Monthly Data'!CC40</f>
        <v>31</v>
      </c>
      <c r="K40" s="127">
        <f>'Intermediate OLS Model'!$B$5</f>
        <v>-415228.02881662402</v>
      </c>
      <c r="L40" s="186">
        <f>'Intermediate OLS Model'!$B$6*D40</f>
        <v>-224504.21433721477</v>
      </c>
      <c r="M40" s="186">
        <v>0</v>
      </c>
      <c r="N40" s="186">
        <f>'Intermediate OLS Model'!$B$7*F40</f>
        <v>0</v>
      </c>
      <c r="O40" s="186">
        <f>'Intermediate OLS Model'!$B$8*G40</f>
        <v>0</v>
      </c>
      <c r="P40" s="186">
        <f>'Intermediate OLS Model'!$B$9*H40</f>
        <v>0</v>
      </c>
      <c r="Q40" s="186">
        <f>'Intermediate OLS Model'!$B$10*I40</f>
        <v>4597068.1483280482</v>
      </c>
      <c r="R40">
        <f t="shared" si="3"/>
        <v>3957335.9051742093</v>
      </c>
    </row>
    <row r="41" spans="1:18">
      <c r="A41" s="26">
        <f>'Monthly Data'!A41</f>
        <v>41000</v>
      </c>
      <c r="B41">
        <f t="shared" si="1"/>
        <v>2012</v>
      </c>
      <c r="C41">
        <f ca="1">'Monthly Data'!Z41</f>
        <v>3517504.1996336835</v>
      </c>
      <c r="D41">
        <f>'Monthly Data'!BM41</f>
        <v>40</v>
      </c>
      <c r="E41">
        <f>'Monthly Data'!BJ41</f>
        <v>6685.8</v>
      </c>
      <c r="F41" s="127">
        <f>'Monthly Data'!BS41</f>
        <v>0</v>
      </c>
      <c r="G41" s="127">
        <f>'Monthly Data'!BT41</f>
        <v>0</v>
      </c>
      <c r="H41" s="127">
        <f>'Monthly Data'!CA41</f>
        <v>0</v>
      </c>
      <c r="I41" s="127">
        <f>'Monthly Data'!CC41</f>
        <v>30</v>
      </c>
      <c r="K41" s="127">
        <f>'Intermediate OLS Model'!$B$5</f>
        <v>-415228.02881662402</v>
      </c>
      <c r="L41" s="186">
        <f>'Intermediate OLS Model'!$B$6*D41</f>
        <v>-230260.7326535536</v>
      </c>
      <c r="M41" s="186">
        <v>0</v>
      </c>
      <c r="N41" s="186">
        <f>'Intermediate OLS Model'!$B$7*F41</f>
        <v>0</v>
      </c>
      <c r="O41" s="186">
        <f>'Intermediate OLS Model'!$B$8*G41</f>
        <v>0</v>
      </c>
      <c r="P41" s="186">
        <f>'Intermediate OLS Model'!$B$9*H41</f>
        <v>0</v>
      </c>
      <c r="Q41" s="186">
        <f>'Intermediate OLS Model'!$B$10*I41</f>
        <v>4448775.6274142396</v>
      </c>
      <c r="R41">
        <f t="shared" si="3"/>
        <v>3803286.8659440619</v>
      </c>
    </row>
    <row r="42" spans="1:18">
      <c r="A42" s="26">
        <f>'Monthly Data'!A42</f>
        <v>41030</v>
      </c>
      <c r="B42">
        <f t="shared" si="1"/>
        <v>2012</v>
      </c>
      <c r="C42">
        <f ca="1">'Monthly Data'!Z42</f>
        <v>4044937.4375086837</v>
      </c>
      <c r="D42">
        <f>'Monthly Data'!BM42</f>
        <v>41</v>
      </c>
      <c r="E42">
        <f>'Monthly Data'!BJ42</f>
        <v>6690.1</v>
      </c>
      <c r="F42" s="127">
        <f>'Monthly Data'!BS42</f>
        <v>0</v>
      </c>
      <c r="G42" s="127">
        <f>'Monthly Data'!BT42</f>
        <v>0</v>
      </c>
      <c r="H42" s="127">
        <f>'Monthly Data'!CA42</f>
        <v>0</v>
      </c>
      <c r="I42" s="127">
        <f>'Monthly Data'!CC42</f>
        <v>31</v>
      </c>
      <c r="K42" s="127">
        <f>'Intermediate OLS Model'!$B$5</f>
        <v>-415228.02881662402</v>
      </c>
      <c r="L42" s="186">
        <f>'Intermediate OLS Model'!$B$6*D42</f>
        <v>-236017.25096989246</v>
      </c>
      <c r="M42" s="186">
        <v>0</v>
      </c>
      <c r="N42" s="186">
        <f>'Intermediate OLS Model'!$B$7*F42</f>
        <v>0</v>
      </c>
      <c r="O42" s="186">
        <f>'Intermediate OLS Model'!$B$8*G42</f>
        <v>0</v>
      </c>
      <c r="P42" s="186">
        <f>'Intermediate OLS Model'!$B$9*H42</f>
        <v>0</v>
      </c>
      <c r="Q42" s="186">
        <f>'Intermediate OLS Model'!$B$10*I42</f>
        <v>4597068.1483280482</v>
      </c>
      <c r="R42">
        <f t="shared" si="3"/>
        <v>3945822.8685415317</v>
      </c>
    </row>
    <row r="43" spans="1:18">
      <c r="A43" s="26">
        <f>'Monthly Data'!A43</f>
        <v>41061</v>
      </c>
      <c r="B43">
        <f t="shared" ref="B43:B106" si="4">YEAR(A43)</f>
        <v>2012</v>
      </c>
      <c r="C43">
        <f ca="1">'Monthly Data'!Z43</f>
        <v>4101522.8000286836</v>
      </c>
      <c r="D43">
        <f>'Monthly Data'!BM43</f>
        <v>42</v>
      </c>
      <c r="E43">
        <f>'Monthly Data'!BJ43</f>
        <v>6693.3</v>
      </c>
      <c r="F43" s="127">
        <f>'Monthly Data'!BS43</f>
        <v>1</v>
      </c>
      <c r="G43" s="127">
        <f>'Monthly Data'!BT43</f>
        <v>0</v>
      </c>
      <c r="H43" s="127">
        <f>'Monthly Data'!CA43</f>
        <v>0</v>
      </c>
      <c r="I43" s="127">
        <f>'Monthly Data'!CC43</f>
        <v>30</v>
      </c>
      <c r="K43" s="127">
        <f>'Intermediate OLS Model'!$B$5</f>
        <v>-415228.02881662402</v>
      </c>
      <c r="L43" s="186">
        <f>'Intermediate OLS Model'!$B$6*D43</f>
        <v>-241773.76928623128</v>
      </c>
      <c r="M43" s="186">
        <v>0</v>
      </c>
      <c r="N43" s="186">
        <f>'Intermediate OLS Model'!$B$7*F43</f>
        <v>346553.62108035001</v>
      </c>
      <c r="O43" s="186">
        <f>'Intermediate OLS Model'!$B$8*G43</f>
        <v>0</v>
      </c>
      <c r="P43" s="186">
        <f>'Intermediate OLS Model'!$B$9*H43</f>
        <v>0</v>
      </c>
      <c r="Q43" s="186">
        <f>'Intermediate OLS Model'!$B$10*I43</f>
        <v>4448775.6274142396</v>
      </c>
      <c r="R43">
        <f t="shared" si="3"/>
        <v>4138327.450391734</v>
      </c>
    </row>
    <row r="44" spans="1:18">
      <c r="A44" s="26">
        <f>'Monthly Data'!A44</f>
        <v>41091</v>
      </c>
      <c r="B44">
        <f t="shared" si="4"/>
        <v>2012</v>
      </c>
      <c r="C44">
        <f ca="1">'Monthly Data'!Z44</f>
        <v>4189025.0907676835</v>
      </c>
      <c r="D44">
        <f>'Monthly Data'!BM44</f>
        <v>43</v>
      </c>
      <c r="E44">
        <f>'Monthly Data'!BJ44</f>
        <v>6694.6</v>
      </c>
      <c r="F44" s="127">
        <f>'Monthly Data'!BS44</f>
        <v>0</v>
      </c>
      <c r="G44" s="127">
        <f>'Monthly Data'!BT44</f>
        <v>1</v>
      </c>
      <c r="H44" s="127">
        <f>'Monthly Data'!CA44</f>
        <v>0</v>
      </c>
      <c r="I44" s="127">
        <f>'Monthly Data'!CC44</f>
        <v>31</v>
      </c>
      <c r="K44" s="127">
        <f>'Intermediate OLS Model'!$B$5</f>
        <v>-415228.02881662402</v>
      </c>
      <c r="L44" s="186">
        <f>'Intermediate OLS Model'!$B$6*D44</f>
        <v>-247530.28760257011</v>
      </c>
      <c r="M44" s="186">
        <v>0</v>
      </c>
      <c r="N44" s="186">
        <f>'Intermediate OLS Model'!$B$7*F44</f>
        <v>0</v>
      </c>
      <c r="O44" s="186">
        <f>'Intermediate OLS Model'!$B$8*G44</f>
        <v>428565.96548408002</v>
      </c>
      <c r="P44" s="186">
        <f>'Intermediate OLS Model'!$B$9*H44</f>
        <v>0</v>
      </c>
      <c r="Q44" s="186">
        <f>'Intermediate OLS Model'!$B$10*I44</f>
        <v>4597068.1483280482</v>
      </c>
      <c r="R44">
        <f t="shared" si="3"/>
        <v>4362875.7973929346</v>
      </c>
    </row>
    <row r="45" spans="1:18">
      <c r="A45" s="26">
        <f>'Monthly Data'!A45</f>
        <v>41122</v>
      </c>
      <c r="B45">
        <f t="shared" si="4"/>
        <v>2012</v>
      </c>
      <c r="C45">
        <f ca="1">'Monthly Data'!Z45</f>
        <v>4037293.3264716836</v>
      </c>
      <c r="D45">
        <f>'Monthly Data'!BM45</f>
        <v>44</v>
      </c>
      <c r="E45">
        <f>'Monthly Data'!BJ45</f>
        <v>6703.3</v>
      </c>
      <c r="F45" s="127">
        <f>'Monthly Data'!BS45</f>
        <v>0</v>
      </c>
      <c r="G45" s="127">
        <f>'Monthly Data'!BT45</f>
        <v>0</v>
      </c>
      <c r="H45" s="127">
        <f>'Monthly Data'!CA45</f>
        <v>0</v>
      </c>
      <c r="I45" s="127">
        <f>'Monthly Data'!CC45</f>
        <v>31</v>
      </c>
      <c r="K45" s="127">
        <f>'Intermediate OLS Model'!$B$5</f>
        <v>-415228.02881662402</v>
      </c>
      <c r="L45" s="186">
        <f>'Intermediate OLS Model'!$B$6*D45</f>
        <v>-253286.80591890897</v>
      </c>
      <c r="M45" s="186">
        <v>0</v>
      </c>
      <c r="N45" s="186">
        <f>'Intermediate OLS Model'!$B$7*F45</f>
        <v>0</v>
      </c>
      <c r="O45" s="186">
        <f>'Intermediate OLS Model'!$B$8*G45</f>
        <v>0</v>
      </c>
      <c r="P45" s="186">
        <f>'Intermediate OLS Model'!$B$9*H45</f>
        <v>0</v>
      </c>
      <c r="Q45" s="186">
        <f>'Intermediate OLS Model'!$B$10*I45</f>
        <v>4597068.1483280482</v>
      </c>
      <c r="R45">
        <f t="shared" si="3"/>
        <v>3928553.313592515</v>
      </c>
    </row>
    <row r="46" spans="1:18">
      <c r="A46" s="26">
        <f>'Monthly Data'!A46</f>
        <v>41153</v>
      </c>
      <c r="B46">
        <f t="shared" si="4"/>
        <v>2012</v>
      </c>
      <c r="C46">
        <f ca="1">'Monthly Data'!Z46</f>
        <v>3505149.0576776834</v>
      </c>
      <c r="D46">
        <f>'Monthly Data'!BM46</f>
        <v>45</v>
      </c>
      <c r="E46">
        <f>'Monthly Data'!BJ46</f>
        <v>6707.4</v>
      </c>
      <c r="F46" s="127">
        <f>'Monthly Data'!BS46</f>
        <v>0</v>
      </c>
      <c r="G46" s="127">
        <f>'Monthly Data'!BT46</f>
        <v>0</v>
      </c>
      <c r="H46" s="127">
        <f>'Monthly Data'!CA46</f>
        <v>1</v>
      </c>
      <c r="I46" s="127">
        <f>'Monthly Data'!CC46</f>
        <v>30</v>
      </c>
      <c r="K46" s="127">
        <f>'Intermediate OLS Model'!$B$5</f>
        <v>-415228.02881662402</v>
      </c>
      <c r="L46" s="186">
        <f>'Intermediate OLS Model'!$B$6*D46</f>
        <v>-259043.3242352478</v>
      </c>
      <c r="M46" s="186">
        <v>0</v>
      </c>
      <c r="N46" s="186">
        <f>'Intermediate OLS Model'!$B$7*F46</f>
        <v>0</v>
      </c>
      <c r="O46" s="186">
        <f>'Intermediate OLS Model'!$B$8*G46</f>
        <v>0</v>
      </c>
      <c r="P46" s="186">
        <f>'Intermediate OLS Model'!$B$9*H46</f>
        <v>219659.05071226999</v>
      </c>
      <c r="Q46" s="186">
        <f>'Intermediate OLS Model'!$B$10*I46</f>
        <v>4448775.6274142396</v>
      </c>
      <c r="R46">
        <f t="shared" si="3"/>
        <v>3994163.3250746378</v>
      </c>
    </row>
    <row r="47" spans="1:18">
      <c r="A47" s="26">
        <f>'Monthly Data'!A47</f>
        <v>41183</v>
      </c>
      <c r="B47">
        <f t="shared" si="4"/>
        <v>2012</v>
      </c>
      <c r="C47">
        <f ca="1">'Monthly Data'!Z47</f>
        <v>3665713.2215106837</v>
      </c>
      <c r="D47">
        <f>'Monthly Data'!BM47</f>
        <v>46</v>
      </c>
      <c r="E47">
        <f>'Monthly Data'!BJ47</f>
        <v>6710</v>
      </c>
      <c r="F47" s="127">
        <f>'Monthly Data'!BS47</f>
        <v>0</v>
      </c>
      <c r="G47" s="127">
        <f>'Monthly Data'!BT47</f>
        <v>0</v>
      </c>
      <c r="H47" s="127">
        <f>'Monthly Data'!CA47</f>
        <v>1</v>
      </c>
      <c r="I47" s="127">
        <f>'Monthly Data'!CC47</f>
        <v>31</v>
      </c>
      <c r="K47" s="127">
        <f>'Intermediate OLS Model'!$B$5</f>
        <v>-415228.02881662402</v>
      </c>
      <c r="L47" s="186">
        <f>'Intermediate OLS Model'!$B$6*D47</f>
        <v>-264799.84255158663</v>
      </c>
      <c r="M47" s="186">
        <v>0</v>
      </c>
      <c r="N47" s="186">
        <f>'Intermediate OLS Model'!$B$7*F47</f>
        <v>0</v>
      </c>
      <c r="O47" s="186">
        <f>'Intermediate OLS Model'!$B$8*G47</f>
        <v>0</v>
      </c>
      <c r="P47" s="186">
        <f>'Intermediate OLS Model'!$B$9*H47</f>
        <v>219659.05071226999</v>
      </c>
      <c r="Q47" s="186">
        <f>'Intermediate OLS Model'!$B$10*I47</f>
        <v>4597068.1483280482</v>
      </c>
      <c r="R47">
        <f t="shared" si="3"/>
        <v>4136699.3276721076</v>
      </c>
    </row>
    <row r="48" spans="1:18">
      <c r="A48" s="26">
        <f>'Monthly Data'!A48</f>
        <v>41214</v>
      </c>
      <c r="B48">
        <f t="shared" si="4"/>
        <v>2012</v>
      </c>
      <c r="C48">
        <f ca="1">'Monthly Data'!Z48</f>
        <v>4332336.8526676828</v>
      </c>
      <c r="D48">
        <f>'Monthly Data'!BM48</f>
        <v>47</v>
      </c>
      <c r="E48">
        <f>'Monthly Data'!BJ48</f>
        <v>6722.4</v>
      </c>
      <c r="F48" s="127">
        <f>'Monthly Data'!BS48</f>
        <v>0</v>
      </c>
      <c r="G48" s="127">
        <f>'Monthly Data'!BT48</f>
        <v>0</v>
      </c>
      <c r="H48" s="127">
        <f>'Monthly Data'!CA48</f>
        <v>1</v>
      </c>
      <c r="I48" s="127">
        <f>'Monthly Data'!CC48</f>
        <v>30</v>
      </c>
      <c r="K48" s="127">
        <f>'Intermediate OLS Model'!$B$5</f>
        <v>-415228.02881662402</v>
      </c>
      <c r="L48" s="186">
        <f>'Intermediate OLS Model'!$B$6*D48</f>
        <v>-270556.36086792551</v>
      </c>
      <c r="M48" s="186">
        <v>0</v>
      </c>
      <c r="N48" s="186">
        <f>'Intermediate OLS Model'!$B$7*F48</f>
        <v>0</v>
      </c>
      <c r="O48" s="186">
        <f>'Intermediate OLS Model'!$B$8*G48</f>
        <v>0</v>
      </c>
      <c r="P48" s="186">
        <f>'Intermediate OLS Model'!$B$9*H48</f>
        <v>219659.05071226999</v>
      </c>
      <c r="Q48" s="186">
        <f>'Intermediate OLS Model'!$B$10*I48</f>
        <v>4448775.6274142396</v>
      </c>
      <c r="R48">
        <f t="shared" si="3"/>
        <v>3982650.2884419598</v>
      </c>
    </row>
    <row r="49" spans="1:18">
      <c r="A49" s="26">
        <f>'Monthly Data'!A49</f>
        <v>41244</v>
      </c>
      <c r="B49">
        <f t="shared" si="4"/>
        <v>2012</v>
      </c>
      <c r="C49">
        <f ca="1">'Monthly Data'!Z49</f>
        <v>3431298.8417096836</v>
      </c>
      <c r="D49">
        <f>'Monthly Data'!BM49</f>
        <v>48</v>
      </c>
      <c r="E49">
        <f>'Monthly Data'!BJ49</f>
        <v>6740.6</v>
      </c>
      <c r="F49" s="127">
        <f>'Monthly Data'!BS49</f>
        <v>0</v>
      </c>
      <c r="G49" s="127">
        <f>'Monthly Data'!BT49</f>
        <v>0</v>
      </c>
      <c r="H49" s="127">
        <f>'Monthly Data'!CA49</f>
        <v>0</v>
      </c>
      <c r="I49" s="127">
        <f>'Monthly Data'!CC49</f>
        <v>31</v>
      </c>
      <c r="K49" s="127">
        <f>'Intermediate OLS Model'!$B$5</f>
        <v>-415228.02881662402</v>
      </c>
      <c r="L49" s="186">
        <f>'Intermediate OLS Model'!$B$6*D49</f>
        <v>-276312.87918426434</v>
      </c>
      <c r="M49" s="186">
        <v>0</v>
      </c>
      <c r="N49" s="186">
        <f>'Intermediate OLS Model'!$B$7*F49</f>
        <v>0</v>
      </c>
      <c r="O49" s="186">
        <f>'Intermediate OLS Model'!$B$8*G49</f>
        <v>0</v>
      </c>
      <c r="P49" s="186">
        <f>'Intermediate OLS Model'!$B$9*H49</f>
        <v>0</v>
      </c>
      <c r="Q49" s="186">
        <f>'Intermediate OLS Model'!$B$10*I49</f>
        <v>4597068.1483280482</v>
      </c>
      <c r="R49">
        <f t="shared" si="3"/>
        <v>3905527.2403271599</v>
      </c>
    </row>
    <row r="50" spans="1:18">
      <c r="A50" s="26">
        <f>'Monthly Data'!A50</f>
        <v>41275</v>
      </c>
      <c r="B50">
        <f t="shared" si="4"/>
        <v>2013</v>
      </c>
      <c r="C50">
        <f ca="1">'Monthly Data'!Z50</f>
        <v>3650792.2621592293</v>
      </c>
      <c r="D50">
        <f>'Monthly Data'!BM50</f>
        <v>49</v>
      </c>
      <c r="E50">
        <f>'Monthly Data'!BJ50</f>
        <v>6758.8</v>
      </c>
      <c r="F50" s="127">
        <f>'Monthly Data'!BS50</f>
        <v>0</v>
      </c>
      <c r="G50" s="127">
        <f>'Monthly Data'!BT50</f>
        <v>0</v>
      </c>
      <c r="H50" s="127">
        <f>'Monthly Data'!CA50</f>
        <v>0</v>
      </c>
      <c r="I50" s="127">
        <f>'Monthly Data'!CC50</f>
        <v>31</v>
      </c>
      <c r="K50" s="127">
        <f>'Intermediate OLS Model'!$B$5</f>
        <v>-415228.02881662402</v>
      </c>
      <c r="L50" s="186">
        <f>'Intermediate OLS Model'!$B$6*D50</f>
        <v>-282069.39750060317</v>
      </c>
      <c r="M50" s="186">
        <v>0</v>
      </c>
      <c r="N50" s="186">
        <f>'Intermediate OLS Model'!$B$7*F50</f>
        <v>0</v>
      </c>
      <c r="O50" s="186">
        <f>'Intermediate OLS Model'!$B$8*G50</f>
        <v>0</v>
      </c>
      <c r="P50" s="186">
        <f>'Intermediate OLS Model'!$B$9*H50</f>
        <v>0</v>
      </c>
      <c r="Q50" s="186">
        <f>'Intermediate OLS Model'!$B$10*I50</f>
        <v>4597068.1483280482</v>
      </c>
      <c r="R50">
        <f t="shared" si="3"/>
        <v>3899770.7220108211</v>
      </c>
    </row>
    <row r="51" spans="1:18">
      <c r="A51" s="26">
        <f>'Monthly Data'!A51</f>
        <v>41306</v>
      </c>
      <c r="B51">
        <f t="shared" si="4"/>
        <v>2013</v>
      </c>
      <c r="C51">
        <f ca="1">'Monthly Data'!Z51</f>
        <v>3160249.3168802294</v>
      </c>
      <c r="D51">
        <f>'Monthly Data'!BM51</f>
        <v>50</v>
      </c>
      <c r="E51">
        <f>'Monthly Data'!BJ51</f>
        <v>6775.5</v>
      </c>
      <c r="F51" s="127">
        <f>'Monthly Data'!BS51</f>
        <v>0</v>
      </c>
      <c r="G51" s="127">
        <f>'Monthly Data'!BT51</f>
        <v>0</v>
      </c>
      <c r="H51" s="127">
        <f>'Monthly Data'!CA51</f>
        <v>0</v>
      </c>
      <c r="I51" s="127">
        <f>'Monthly Data'!CC51</f>
        <v>28</v>
      </c>
      <c r="K51" s="127">
        <f>'Intermediate OLS Model'!$B$5</f>
        <v>-415228.02881662402</v>
      </c>
      <c r="L51" s="186">
        <f>'Intermediate OLS Model'!$B$6*D51</f>
        <v>-287825.915816942</v>
      </c>
      <c r="M51" s="186">
        <v>0</v>
      </c>
      <c r="N51" s="186">
        <f>'Intermediate OLS Model'!$B$7*F51</f>
        <v>0</v>
      </c>
      <c r="O51" s="186">
        <f>'Intermediate OLS Model'!$B$8*G51</f>
        <v>0</v>
      </c>
      <c r="P51" s="186">
        <f>'Intermediate OLS Model'!$B$9*H51</f>
        <v>0</v>
      </c>
      <c r="Q51" s="186">
        <f>'Intermediate OLS Model'!$B$10*I51</f>
        <v>4152190.5855866238</v>
      </c>
      <c r="R51">
        <f t="shared" si="3"/>
        <v>3449136.6409530574</v>
      </c>
    </row>
    <row r="52" spans="1:18">
      <c r="A52" s="26">
        <f>'Monthly Data'!A52</f>
        <v>41334</v>
      </c>
      <c r="B52">
        <f t="shared" si="4"/>
        <v>2013</v>
      </c>
      <c r="C52">
        <f ca="1">'Monthly Data'!Z52</f>
        <v>2795571.2968722293</v>
      </c>
      <c r="D52">
        <f>'Monthly Data'!BM52</f>
        <v>51</v>
      </c>
      <c r="E52">
        <f>'Monthly Data'!BJ52</f>
        <v>6781.1</v>
      </c>
      <c r="F52" s="127">
        <f>'Monthly Data'!BS52</f>
        <v>0</v>
      </c>
      <c r="G52" s="127">
        <f>'Monthly Data'!BT52</f>
        <v>0</v>
      </c>
      <c r="H52" s="127">
        <f>'Monthly Data'!CA52</f>
        <v>0</v>
      </c>
      <c r="I52" s="127">
        <f>'Monthly Data'!CC52</f>
        <v>31</v>
      </c>
      <c r="K52" s="127">
        <f>'Intermediate OLS Model'!$B$5</f>
        <v>-415228.02881662402</v>
      </c>
      <c r="L52" s="186">
        <f>'Intermediate OLS Model'!$B$6*D52</f>
        <v>-293582.43413328083</v>
      </c>
      <c r="M52" s="186">
        <v>0</v>
      </c>
      <c r="N52" s="186">
        <f>'Intermediate OLS Model'!$B$7*F52</f>
        <v>0</v>
      </c>
      <c r="O52" s="186">
        <f>'Intermediate OLS Model'!$B$8*G52</f>
        <v>0</v>
      </c>
      <c r="P52" s="186">
        <f>'Intermediate OLS Model'!$B$9*H52</f>
        <v>0</v>
      </c>
      <c r="Q52" s="186">
        <f>'Intermediate OLS Model'!$B$10*I52</f>
        <v>4597068.1483280482</v>
      </c>
      <c r="R52">
        <f t="shared" si="3"/>
        <v>3888257.6853781436</v>
      </c>
    </row>
    <row r="53" spans="1:18">
      <c r="A53" s="26">
        <f>'Monthly Data'!A53</f>
        <v>41365</v>
      </c>
      <c r="B53">
        <f t="shared" si="4"/>
        <v>2013</v>
      </c>
      <c r="C53">
        <f ca="1">'Monthly Data'!Z53</f>
        <v>3642488.5188232292</v>
      </c>
      <c r="D53">
        <f>'Monthly Data'!BM53</f>
        <v>52</v>
      </c>
      <c r="E53">
        <f>'Monthly Data'!BJ53</f>
        <v>6788.9</v>
      </c>
      <c r="F53" s="127">
        <f>'Monthly Data'!BS53</f>
        <v>0</v>
      </c>
      <c r="G53" s="127">
        <f>'Monthly Data'!BT53</f>
        <v>0</v>
      </c>
      <c r="H53" s="127">
        <f>'Monthly Data'!CA53</f>
        <v>0</v>
      </c>
      <c r="I53" s="127">
        <f>'Monthly Data'!CC53</f>
        <v>30</v>
      </c>
      <c r="K53" s="127">
        <f>'Intermediate OLS Model'!$B$5</f>
        <v>-415228.02881662402</v>
      </c>
      <c r="L53" s="186">
        <f>'Intermediate OLS Model'!$B$6*D53</f>
        <v>-299338.95244961971</v>
      </c>
      <c r="M53" s="186">
        <v>0</v>
      </c>
      <c r="N53" s="186">
        <f>'Intermediate OLS Model'!$B$7*F53</f>
        <v>0</v>
      </c>
      <c r="O53" s="186">
        <f>'Intermediate OLS Model'!$B$8*G53</f>
        <v>0</v>
      </c>
      <c r="P53" s="186">
        <f>'Intermediate OLS Model'!$B$9*H53</f>
        <v>0</v>
      </c>
      <c r="Q53" s="186">
        <f>'Intermediate OLS Model'!$B$10*I53</f>
        <v>4448775.6274142396</v>
      </c>
      <c r="R53">
        <f t="shared" si="3"/>
        <v>3734208.6461479957</v>
      </c>
    </row>
    <row r="54" spans="1:18">
      <c r="A54" s="26">
        <f>'Monthly Data'!A54</f>
        <v>41395</v>
      </c>
      <c r="B54">
        <f t="shared" si="4"/>
        <v>2013</v>
      </c>
      <c r="C54">
        <f ca="1">'Monthly Data'!Z54</f>
        <v>4167859.4824122293</v>
      </c>
      <c r="D54">
        <f>'Monthly Data'!BM54</f>
        <v>53</v>
      </c>
      <c r="E54">
        <f>'Monthly Data'!BJ54</f>
        <v>6801.1</v>
      </c>
      <c r="F54" s="127">
        <f>'Monthly Data'!BS54</f>
        <v>0</v>
      </c>
      <c r="G54" s="127">
        <f>'Monthly Data'!BT54</f>
        <v>0</v>
      </c>
      <c r="H54" s="127">
        <f>'Monthly Data'!CA54</f>
        <v>0</v>
      </c>
      <c r="I54" s="127">
        <f>'Monthly Data'!CC54</f>
        <v>31</v>
      </c>
      <c r="K54" s="127">
        <f>'Intermediate OLS Model'!$B$5</f>
        <v>-415228.02881662402</v>
      </c>
      <c r="L54" s="186">
        <f>'Intermediate OLS Model'!$B$6*D54</f>
        <v>-305095.47076595854</v>
      </c>
      <c r="M54" s="186">
        <v>0</v>
      </c>
      <c r="N54" s="186">
        <f>'Intermediate OLS Model'!$B$7*F54</f>
        <v>0</v>
      </c>
      <c r="O54" s="186">
        <f>'Intermediate OLS Model'!$B$8*G54</f>
        <v>0</v>
      </c>
      <c r="P54" s="186">
        <f>'Intermediate OLS Model'!$B$9*H54</f>
        <v>0</v>
      </c>
      <c r="Q54" s="186">
        <f>'Intermediate OLS Model'!$B$10*I54</f>
        <v>4597068.1483280482</v>
      </c>
      <c r="R54">
        <f t="shared" ref="R54:R85" si="5">SUM(K54:Q54)</f>
        <v>3876744.6487454656</v>
      </c>
    </row>
    <row r="55" spans="1:18">
      <c r="A55" s="26">
        <f>'Monthly Data'!A55</f>
        <v>41426</v>
      </c>
      <c r="B55">
        <f t="shared" si="4"/>
        <v>2013</v>
      </c>
      <c r="C55">
        <f ca="1">'Monthly Data'!Z55</f>
        <v>4054002.5970822293</v>
      </c>
      <c r="D55">
        <f>'Monthly Data'!BM55</f>
        <v>54</v>
      </c>
      <c r="E55">
        <f>'Monthly Data'!BJ55</f>
        <v>6815.2</v>
      </c>
      <c r="F55" s="127">
        <f>'Monthly Data'!BS55</f>
        <v>1</v>
      </c>
      <c r="G55" s="127">
        <f>'Monthly Data'!BT55</f>
        <v>0</v>
      </c>
      <c r="H55" s="127">
        <f>'Monthly Data'!CA55</f>
        <v>0</v>
      </c>
      <c r="I55" s="127">
        <f>'Monthly Data'!CC55</f>
        <v>30</v>
      </c>
      <c r="K55" s="127">
        <f>'Intermediate OLS Model'!$B$5</f>
        <v>-415228.02881662402</v>
      </c>
      <c r="L55" s="186">
        <f>'Intermediate OLS Model'!$B$6*D55</f>
        <v>-310851.98908229737</v>
      </c>
      <c r="M55" s="186">
        <v>0</v>
      </c>
      <c r="N55" s="186">
        <f>'Intermediate OLS Model'!$B$7*F55</f>
        <v>346553.62108035001</v>
      </c>
      <c r="O55" s="186">
        <f>'Intermediate OLS Model'!$B$8*G55</f>
        <v>0</v>
      </c>
      <c r="P55" s="186">
        <f>'Intermediate OLS Model'!$B$9*H55</f>
        <v>0</v>
      </c>
      <c r="Q55" s="186">
        <f>'Intermediate OLS Model'!$B$10*I55</f>
        <v>4448775.6274142396</v>
      </c>
      <c r="R55">
        <f t="shared" si="5"/>
        <v>4069249.2305956683</v>
      </c>
    </row>
    <row r="56" spans="1:18">
      <c r="A56" s="26">
        <f>'Monthly Data'!A56</f>
        <v>41456</v>
      </c>
      <c r="B56">
        <f t="shared" si="4"/>
        <v>2013</v>
      </c>
      <c r="C56">
        <f ca="1">'Monthly Data'!Z56</f>
        <v>4267179.141496229</v>
      </c>
      <c r="D56">
        <f>'Monthly Data'!BM56</f>
        <v>55</v>
      </c>
      <c r="E56">
        <f>'Monthly Data'!BJ56</f>
        <v>6826.2</v>
      </c>
      <c r="F56" s="127">
        <f>'Monthly Data'!BS56</f>
        <v>0</v>
      </c>
      <c r="G56" s="127">
        <f>'Monthly Data'!BT56</f>
        <v>1</v>
      </c>
      <c r="H56" s="127">
        <f>'Monthly Data'!CA56</f>
        <v>0</v>
      </c>
      <c r="I56" s="127">
        <f>'Monthly Data'!CC56</f>
        <v>31</v>
      </c>
      <c r="K56" s="127">
        <f>'Intermediate OLS Model'!$B$5</f>
        <v>-415228.02881662402</v>
      </c>
      <c r="L56" s="186">
        <f>'Intermediate OLS Model'!$B$6*D56</f>
        <v>-316608.5073986362</v>
      </c>
      <c r="M56" s="186">
        <v>0</v>
      </c>
      <c r="N56" s="186">
        <f>'Intermediate OLS Model'!$B$7*F56</f>
        <v>0</v>
      </c>
      <c r="O56" s="186">
        <f>'Intermediate OLS Model'!$B$8*G56</f>
        <v>428565.96548408002</v>
      </c>
      <c r="P56" s="186">
        <f>'Intermediate OLS Model'!$B$9*H56</f>
        <v>0</v>
      </c>
      <c r="Q56" s="186">
        <f>'Intermediate OLS Model'!$B$10*I56</f>
        <v>4597068.1483280482</v>
      </c>
      <c r="R56">
        <f t="shared" si="5"/>
        <v>4293797.5775968684</v>
      </c>
    </row>
    <row r="57" spans="1:18">
      <c r="A57" s="26">
        <f>'Monthly Data'!A57</f>
        <v>41487</v>
      </c>
      <c r="B57">
        <f t="shared" si="4"/>
        <v>2013</v>
      </c>
      <c r="C57">
        <f ca="1">'Monthly Data'!Z57</f>
        <v>3913373.0792622296</v>
      </c>
      <c r="D57">
        <f>'Monthly Data'!BM57</f>
        <v>56</v>
      </c>
      <c r="E57">
        <f>'Monthly Data'!BJ57</f>
        <v>6833.9</v>
      </c>
      <c r="F57" s="127">
        <f>'Monthly Data'!BS57</f>
        <v>0</v>
      </c>
      <c r="G57" s="127">
        <f>'Monthly Data'!BT57</f>
        <v>0</v>
      </c>
      <c r="H57" s="127">
        <f>'Monthly Data'!CA57</f>
        <v>0</v>
      </c>
      <c r="I57" s="127">
        <f>'Monthly Data'!CC57</f>
        <v>31</v>
      </c>
      <c r="K57" s="127">
        <f>'Intermediate OLS Model'!$B$5</f>
        <v>-415228.02881662402</v>
      </c>
      <c r="L57" s="186">
        <f>'Intermediate OLS Model'!$B$6*D57</f>
        <v>-322365.02571497503</v>
      </c>
      <c r="M57" s="186">
        <v>0</v>
      </c>
      <c r="N57" s="186">
        <f>'Intermediate OLS Model'!$B$7*F57</f>
        <v>0</v>
      </c>
      <c r="O57" s="186">
        <f>'Intermediate OLS Model'!$B$8*G57</f>
        <v>0</v>
      </c>
      <c r="P57" s="186">
        <f>'Intermediate OLS Model'!$B$9*H57</f>
        <v>0</v>
      </c>
      <c r="Q57" s="186">
        <f>'Intermediate OLS Model'!$B$10*I57</f>
        <v>4597068.1483280482</v>
      </c>
      <c r="R57">
        <f t="shared" si="5"/>
        <v>3859475.0937964492</v>
      </c>
    </row>
    <row r="58" spans="1:18">
      <c r="A58" s="26">
        <f>'Monthly Data'!A58</f>
        <v>41518</v>
      </c>
      <c r="B58">
        <f t="shared" si="4"/>
        <v>2013</v>
      </c>
      <c r="C58">
        <f ca="1">'Monthly Data'!Z58</f>
        <v>4476539.753896229</v>
      </c>
      <c r="D58">
        <f>'Monthly Data'!BM58</f>
        <v>57</v>
      </c>
      <c r="E58">
        <f>'Monthly Data'!BJ58</f>
        <v>6843.3</v>
      </c>
      <c r="F58" s="127">
        <f>'Monthly Data'!BS58</f>
        <v>0</v>
      </c>
      <c r="G58" s="127">
        <f>'Monthly Data'!BT58</f>
        <v>0</v>
      </c>
      <c r="H58" s="127">
        <f>'Monthly Data'!CA58</f>
        <v>1</v>
      </c>
      <c r="I58" s="127">
        <f>'Monthly Data'!CC58</f>
        <v>30</v>
      </c>
      <c r="K58" s="127">
        <f>'Intermediate OLS Model'!$B$5</f>
        <v>-415228.02881662402</v>
      </c>
      <c r="L58" s="186">
        <f>'Intermediate OLS Model'!$B$6*D58</f>
        <v>-328121.54403131391</v>
      </c>
      <c r="M58" s="186">
        <v>0</v>
      </c>
      <c r="N58" s="186">
        <f>'Intermediate OLS Model'!$B$7*F58</f>
        <v>0</v>
      </c>
      <c r="O58" s="186">
        <f>'Intermediate OLS Model'!$B$8*G58</f>
        <v>0</v>
      </c>
      <c r="P58" s="186">
        <f>'Intermediate OLS Model'!$B$9*H58</f>
        <v>219659.05071226999</v>
      </c>
      <c r="Q58" s="186">
        <f>'Intermediate OLS Model'!$B$10*I58</f>
        <v>4448775.6274142396</v>
      </c>
      <c r="R58">
        <f t="shared" si="5"/>
        <v>3925085.1052785716</v>
      </c>
    </row>
    <row r="59" spans="1:18">
      <c r="A59" s="26">
        <f>'Monthly Data'!A59</f>
        <v>41548</v>
      </c>
      <c r="B59">
        <f t="shared" si="4"/>
        <v>2013</v>
      </c>
      <c r="C59">
        <f ca="1">'Monthly Data'!Z59</f>
        <v>4212272.7133522294</v>
      </c>
      <c r="D59">
        <f>'Monthly Data'!BM59</f>
        <v>58</v>
      </c>
      <c r="E59">
        <f>'Monthly Data'!BJ59</f>
        <v>6850.3</v>
      </c>
      <c r="F59" s="127">
        <f>'Monthly Data'!BS59</f>
        <v>0</v>
      </c>
      <c r="G59" s="127">
        <f>'Monthly Data'!BT59</f>
        <v>0</v>
      </c>
      <c r="H59" s="127">
        <f>'Monthly Data'!CA59</f>
        <v>1</v>
      </c>
      <c r="I59" s="127">
        <f>'Monthly Data'!CC59</f>
        <v>31</v>
      </c>
      <c r="K59" s="127">
        <f>'Intermediate OLS Model'!$B$5</f>
        <v>-415228.02881662402</v>
      </c>
      <c r="L59" s="186">
        <f>'Intermediate OLS Model'!$B$6*D59</f>
        <v>-333878.06234765274</v>
      </c>
      <c r="M59" s="186">
        <v>0</v>
      </c>
      <c r="N59" s="186">
        <f>'Intermediate OLS Model'!$B$7*F59</f>
        <v>0</v>
      </c>
      <c r="O59" s="186">
        <f>'Intermediate OLS Model'!$B$8*G59</f>
        <v>0</v>
      </c>
      <c r="P59" s="186">
        <f>'Intermediate OLS Model'!$B$9*H59</f>
        <v>219659.05071226999</v>
      </c>
      <c r="Q59" s="186">
        <f>'Intermediate OLS Model'!$B$10*I59</f>
        <v>4597068.1483280482</v>
      </c>
      <c r="R59">
        <f t="shared" si="5"/>
        <v>4067621.1078760414</v>
      </c>
    </row>
    <row r="60" spans="1:18">
      <c r="A60" s="26">
        <f>'Monthly Data'!A60</f>
        <v>41579</v>
      </c>
      <c r="B60">
        <f t="shared" si="4"/>
        <v>2013</v>
      </c>
      <c r="C60">
        <f ca="1">'Monthly Data'!Z60</f>
        <v>3811378.5648942296</v>
      </c>
      <c r="D60">
        <f>'Monthly Data'!BM60</f>
        <v>59</v>
      </c>
      <c r="E60">
        <f>'Monthly Data'!BJ60</f>
        <v>6854</v>
      </c>
      <c r="F60" s="127">
        <f>'Monthly Data'!BS60</f>
        <v>0</v>
      </c>
      <c r="G60" s="127">
        <f>'Monthly Data'!BT60</f>
        <v>0</v>
      </c>
      <c r="H60" s="127">
        <f>'Monthly Data'!CA60</f>
        <v>1</v>
      </c>
      <c r="I60" s="127">
        <f>'Monthly Data'!CC60</f>
        <v>30</v>
      </c>
      <c r="K60" s="127">
        <f>'Intermediate OLS Model'!$B$5</f>
        <v>-415228.02881662402</v>
      </c>
      <c r="L60" s="186">
        <f>'Intermediate OLS Model'!$B$6*D60</f>
        <v>-339634.58066399157</v>
      </c>
      <c r="M60" s="186">
        <v>0</v>
      </c>
      <c r="N60" s="186">
        <f>'Intermediate OLS Model'!$B$7*F60</f>
        <v>0</v>
      </c>
      <c r="O60" s="186">
        <f>'Intermediate OLS Model'!$B$8*G60</f>
        <v>0</v>
      </c>
      <c r="P60" s="186">
        <f>'Intermediate OLS Model'!$B$9*H60</f>
        <v>219659.05071226999</v>
      </c>
      <c r="Q60" s="186">
        <f>'Intermediate OLS Model'!$B$10*I60</f>
        <v>4448775.6274142396</v>
      </c>
      <c r="R60">
        <f t="shared" si="5"/>
        <v>3913572.0686458941</v>
      </c>
    </row>
    <row r="61" spans="1:18">
      <c r="A61" s="26">
        <f>'Monthly Data'!A61</f>
        <v>41609</v>
      </c>
      <c r="B61">
        <f t="shared" si="4"/>
        <v>2013</v>
      </c>
      <c r="C61">
        <f ca="1">'Monthly Data'!Z61</f>
        <v>3578441.9494242296</v>
      </c>
      <c r="D61">
        <f>'Monthly Data'!BM61</f>
        <v>60</v>
      </c>
      <c r="E61">
        <f>'Monthly Data'!BJ61</f>
        <v>6850.4</v>
      </c>
      <c r="F61" s="127">
        <f>'Monthly Data'!BS61</f>
        <v>0</v>
      </c>
      <c r="G61" s="127">
        <f>'Monthly Data'!BT61</f>
        <v>0</v>
      </c>
      <c r="H61" s="127">
        <f>'Monthly Data'!CA61</f>
        <v>0</v>
      </c>
      <c r="I61" s="127">
        <f>'Monthly Data'!CC61</f>
        <v>31</v>
      </c>
      <c r="K61" s="127">
        <f>'Intermediate OLS Model'!$B$5</f>
        <v>-415228.02881662402</v>
      </c>
      <c r="L61" s="186">
        <f>'Intermediate OLS Model'!$B$6*D61</f>
        <v>-345391.0989803304</v>
      </c>
      <c r="M61" s="186">
        <v>0</v>
      </c>
      <c r="N61" s="186">
        <f>'Intermediate OLS Model'!$B$7*F61</f>
        <v>0</v>
      </c>
      <c r="O61" s="186">
        <f>'Intermediate OLS Model'!$B$8*G61</f>
        <v>0</v>
      </c>
      <c r="P61" s="186">
        <f>'Intermediate OLS Model'!$B$9*H61</f>
        <v>0</v>
      </c>
      <c r="Q61" s="186">
        <f>'Intermediate OLS Model'!$B$10*I61</f>
        <v>4597068.1483280482</v>
      </c>
      <c r="R61">
        <f t="shared" si="5"/>
        <v>3836449.0205310937</v>
      </c>
    </row>
    <row r="62" spans="1:18">
      <c r="A62" s="26">
        <f>'Monthly Data'!A62</f>
        <v>41640</v>
      </c>
      <c r="B62">
        <f t="shared" si="4"/>
        <v>2014</v>
      </c>
      <c r="C62">
        <f ca="1">'Monthly Data'!Z62</f>
        <v>3977286.2197341081</v>
      </c>
      <c r="D62">
        <f>'Monthly Data'!BM62</f>
        <v>61</v>
      </c>
      <c r="E62">
        <f>'Monthly Data'!BJ62</f>
        <v>6848.3</v>
      </c>
      <c r="F62" s="127">
        <f>'Monthly Data'!BS62</f>
        <v>0</v>
      </c>
      <c r="G62" s="127">
        <f>'Monthly Data'!BT62</f>
        <v>0</v>
      </c>
      <c r="H62" s="127">
        <f>'Monthly Data'!CA62</f>
        <v>0</v>
      </c>
      <c r="I62" s="127">
        <f>'Monthly Data'!CC62</f>
        <v>31</v>
      </c>
      <c r="K62" s="127">
        <f>'Intermediate OLS Model'!$B$5</f>
        <v>-415228.02881662402</v>
      </c>
      <c r="L62" s="186">
        <f>'Intermediate OLS Model'!$B$6*D62</f>
        <v>-351147.61729666922</v>
      </c>
      <c r="M62" s="186">
        <v>0</v>
      </c>
      <c r="N62" s="186">
        <f>'Intermediate OLS Model'!$B$7*F62</f>
        <v>0</v>
      </c>
      <c r="O62" s="186">
        <f>'Intermediate OLS Model'!$B$8*G62</f>
        <v>0</v>
      </c>
      <c r="P62" s="186">
        <f>'Intermediate OLS Model'!$B$9*H62</f>
        <v>0</v>
      </c>
      <c r="Q62" s="186">
        <f>'Intermediate OLS Model'!$B$10*I62</f>
        <v>4597068.1483280482</v>
      </c>
      <c r="R62">
        <f t="shared" si="5"/>
        <v>3830692.5022147549</v>
      </c>
    </row>
    <row r="63" spans="1:18">
      <c r="A63" s="26">
        <f>'Monthly Data'!A63</f>
        <v>41671</v>
      </c>
      <c r="B63">
        <f t="shared" si="4"/>
        <v>2014</v>
      </c>
      <c r="C63">
        <f ca="1">'Monthly Data'!Z63</f>
        <v>3319296.860103108</v>
      </c>
      <c r="D63">
        <f>'Monthly Data'!BM63</f>
        <v>62</v>
      </c>
      <c r="E63">
        <f>'Monthly Data'!BJ63</f>
        <v>6850</v>
      </c>
      <c r="F63" s="127">
        <f>'Monthly Data'!BS63</f>
        <v>0</v>
      </c>
      <c r="G63" s="127">
        <f>'Monthly Data'!BT63</f>
        <v>0</v>
      </c>
      <c r="H63" s="127">
        <f>'Monthly Data'!CA63</f>
        <v>0</v>
      </c>
      <c r="I63" s="127">
        <f>'Monthly Data'!CC63</f>
        <v>28</v>
      </c>
      <c r="K63" s="127">
        <f>'Intermediate OLS Model'!$B$5</f>
        <v>-415228.02881662402</v>
      </c>
      <c r="L63" s="186">
        <f>'Intermediate OLS Model'!$B$6*D63</f>
        <v>-356904.13561300811</v>
      </c>
      <c r="M63" s="186">
        <v>0</v>
      </c>
      <c r="N63" s="186">
        <f>'Intermediate OLS Model'!$B$7*F63</f>
        <v>0</v>
      </c>
      <c r="O63" s="186">
        <f>'Intermediate OLS Model'!$B$8*G63</f>
        <v>0</v>
      </c>
      <c r="P63" s="186">
        <f>'Intermediate OLS Model'!$B$9*H63</f>
        <v>0</v>
      </c>
      <c r="Q63" s="186">
        <f>'Intermediate OLS Model'!$B$10*I63</f>
        <v>4152190.5855866238</v>
      </c>
      <c r="R63">
        <f t="shared" si="5"/>
        <v>3380058.4211569917</v>
      </c>
    </row>
    <row r="64" spans="1:18">
      <c r="A64" s="26">
        <f>'Monthly Data'!A64</f>
        <v>41699</v>
      </c>
      <c r="B64">
        <f t="shared" si="4"/>
        <v>2014</v>
      </c>
      <c r="C64">
        <f ca="1">'Monthly Data'!Z64</f>
        <v>3885375.2901031082</v>
      </c>
      <c r="D64">
        <f>'Monthly Data'!BM64</f>
        <v>63</v>
      </c>
      <c r="E64">
        <f>'Monthly Data'!BJ64</f>
        <v>6856.4</v>
      </c>
      <c r="F64" s="127">
        <f>'Monthly Data'!BS64</f>
        <v>0</v>
      </c>
      <c r="G64" s="127">
        <f>'Monthly Data'!BT64</f>
        <v>0</v>
      </c>
      <c r="H64" s="127">
        <f>'Monthly Data'!CA64</f>
        <v>0</v>
      </c>
      <c r="I64" s="127">
        <f>'Monthly Data'!CC64</f>
        <v>31</v>
      </c>
      <c r="K64" s="127">
        <f>'Intermediate OLS Model'!$B$5</f>
        <v>-415228.02881662402</v>
      </c>
      <c r="L64" s="186">
        <f>'Intermediate OLS Model'!$B$6*D64</f>
        <v>-362660.65392934694</v>
      </c>
      <c r="M64" s="186">
        <v>0</v>
      </c>
      <c r="N64" s="186">
        <f>'Intermediate OLS Model'!$B$7*F64</f>
        <v>0</v>
      </c>
      <c r="O64" s="186">
        <f>'Intermediate OLS Model'!$B$8*G64</f>
        <v>0</v>
      </c>
      <c r="P64" s="186">
        <f>'Intermediate OLS Model'!$B$9*H64</f>
        <v>0</v>
      </c>
      <c r="Q64" s="186">
        <f>'Intermediate OLS Model'!$B$10*I64</f>
        <v>4597068.1483280482</v>
      </c>
      <c r="R64">
        <f t="shared" si="5"/>
        <v>3819179.4655820774</v>
      </c>
    </row>
    <row r="65" spans="1:18">
      <c r="A65" s="26">
        <f>'Monthly Data'!A65</f>
        <v>41730</v>
      </c>
      <c r="B65">
        <f t="shared" si="4"/>
        <v>2014</v>
      </c>
      <c r="C65">
        <f ca="1">'Monthly Data'!Z65</f>
        <v>3911958.4601031081</v>
      </c>
      <c r="D65">
        <f>'Monthly Data'!BM65</f>
        <v>64</v>
      </c>
      <c r="E65">
        <f>'Monthly Data'!BJ65</f>
        <v>6869.6</v>
      </c>
      <c r="F65" s="127">
        <f>'Monthly Data'!BS65</f>
        <v>0</v>
      </c>
      <c r="G65" s="127">
        <f>'Monthly Data'!BT65</f>
        <v>0</v>
      </c>
      <c r="H65" s="127">
        <f>'Monthly Data'!CA65</f>
        <v>0</v>
      </c>
      <c r="I65" s="127">
        <f>'Monthly Data'!CC65</f>
        <v>30</v>
      </c>
      <c r="K65" s="127">
        <f>'Intermediate OLS Model'!$B$5</f>
        <v>-415228.02881662402</v>
      </c>
      <c r="L65" s="186">
        <f>'Intermediate OLS Model'!$B$6*D65</f>
        <v>-368417.17224568577</v>
      </c>
      <c r="M65" s="186">
        <v>0</v>
      </c>
      <c r="N65" s="186">
        <f>'Intermediate OLS Model'!$B$7*F65</f>
        <v>0</v>
      </c>
      <c r="O65" s="186">
        <f>'Intermediate OLS Model'!$B$8*G65</f>
        <v>0</v>
      </c>
      <c r="P65" s="186">
        <f>'Intermediate OLS Model'!$B$9*H65</f>
        <v>0</v>
      </c>
      <c r="Q65" s="186">
        <f>'Intermediate OLS Model'!$B$10*I65</f>
        <v>4448775.6274142396</v>
      </c>
      <c r="R65">
        <f t="shared" si="5"/>
        <v>3665130.42635193</v>
      </c>
    </row>
    <row r="66" spans="1:18">
      <c r="A66" s="26">
        <f>'Monthly Data'!A66</f>
        <v>41760</v>
      </c>
      <c r="B66">
        <f t="shared" si="4"/>
        <v>2014</v>
      </c>
      <c r="C66">
        <f ca="1">'Monthly Data'!Z66</f>
        <v>3824996.2101031081</v>
      </c>
      <c r="D66">
        <f>'Monthly Data'!BM66</f>
        <v>65</v>
      </c>
      <c r="E66">
        <f>'Monthly Data'!BJ66</f>
        <v>6870.6</v>
      </c>
      <c r="F66" s="127">
        <f>'Monthly Data'!BS66</f>
        <v>0</v>
      </c>
      <c r="G66" s="127">
        <f>'Monthly Data'!BT66</f>
        <v>0</v>
      </c>
      <c r="H66" s="127">
        <f>'Monthly Data'!CA66</f>
        <v>0</v>
      </c>
      <c r="I66" s="127">
        <f>'Monthly Data'!CC66</f>
        <v>31</v>
      </c>
      <c r="K66" s="127">
        <f>'Intermediate OLS Model'!$B$5</f>
        <v>-415228.02881662402</v>
      </c>
      <c r="L66" s="186">
        <f>'Intermediate OLS Model'!$B$6*D66</f>
        <v>-374173.6905620246</v>
      </c>
      <c r="M66" s="186">
        <v>0</v>
      </c>
      <c r="N66" s="186">
        <f>'Intermediate OLS Model'!$B$7*F66</f>
        <v>0</v>
      </c>
      <c r="O66" s="186">
        <f>'Intermediate OLS Model'!$B$8*G66</f>
        <v>0</v>
      </c>
      <c r="P66" s="186">
        <f>'Intermediate OLS Model'!$B$9*H66</f>
        <v>0</v>
      </c>
      <c r="Q66" s="186">
        <f>'Intermediate OLS Model'!$B$10*I66</f>
        <v>4597068.1483280482</v>
      </c>
      <c r="R66">
        <f t="shared" si="5"/>
        <v>3807666.4289493999</v>
      </c>
    </row>
    <row r="67" spans="1:18">
      <c r="A67" s="26">
        <f>'Monthly Data'!A67</f>
        <v>41791</v>
      </c>
      <c r="B67">
        <f t="shared" si="4"/>
        <v>2014</v>
      </c>
      <c r="C67">
        <f ca="1">'Monthly Data'!Z67</f>
        <v>4134163.2601031079</v>
      </c>
      <c r="D67">
        <f>'Monthly Data'!BM67</f>
        <v>66</v>
      </c>
      <c r="E67">
        <f>'Monthly Data'!BJ67</f>
        <v>6865.4</v>
      </c>
      <c r="F67" s="127">
        <f>'Monthly Data'!BS67</f>
        <v>1</v>
      </c>
      <c r="G67" s="127">
        <f>'Monthly Data'!BT67</f>
        <v>0</v>
      </c>
      <c r="H67" s="127">
        <f>'Monthly Data'!CA67</f>
        <v>0</v>
      </c>
      <c r="I67" s="127">
        <f>'Monthly Data'!CC67</f>
        <v>30</v>
      </c>
      <c r="K67" s="127">
        <f>'Intermediate OLS Model'!$B$5</f>
        <v>-415228.02881662402</v>
      </c>
      <c r="L67" s="186">
        <f>'Intermediate OLS Model'!$B$6*D67</f>
        <v>-379930.20887836342</v>
      </c>
      <c r="M67" s="186">
        <v>0</v>
      </c>
      <c r="N67" s="186">
        <f>'Intermediate OLS Model'!$B$7*F67</f>
        <v>346553.62108035001</v>
      </c>
      <c r="O67" s="186">
        <f>'Intermediate OLS Model'!$B$8*G67</f>
        <v>0</v>
      </c>
      <c r="P67" s="186">
        <f>'Intermediate OLS Model'!$B$9*H67</f>
        <v>0</v>
      </c>
      <c r="Q67" s="186">
        <f>'Intermediate OLS Model'!$B$10*I67</f>
        <v>4448775.6274142396</v>
      </c>
      <c r="R67">
        <f t="shared" si="5"/>
        <v>4000171.0107996021</v>
      </c>
    </row>
    <row r="68" spans="1:18">
      <c r="A68" s="26">
        <f>'Monthly Data'!A68</f>
        <v>41821</v>
      </c>
      <c r="B68">
        <f t="shared" si="4"/>
        <v>2014</v>
      </c>
      <c r="C68">
        <f ca="1">'Monthly Data'!Z68</f>
        <v>4416922.860103108</v>
      </c>
      <c r="D68">
        <f>'Monthly Data'!BM68</f>
        <v>67</v>
      </c>
      <c r="E68">
        <f>'Monthly Data'!BJ68</f>
        <v>6864.4</v>
      </c>
      <c r="F68" s="127">
        <f>'Monthly Data'!BS68</f>
        <v>0</v>
      </c>
      <c r="G68" s="127">
        <f>'Monthly Data'!BT68</f>
        <v>1</v>
      </c>
      <c r="H68" s="127">
        <f>'Monthly Data'!CA68</f>
        <v>0</v>
      </c>
      <c r="I68" s="127">
        <f>'Monthly Data'!CC68</f>
        <v>31</v>
      </c>
      <c r="K68" s="127">
        <f>'Intermediate OLS Model'!$B$5</f>
        <v>-415228.02881662402</v>
      </c>
      <c r="L68" s="186">
        <f>'Intermediate OLS Model'!$B$6*D68</f>
        <v>-385686.72719470231</v>
      </c>
      <c r="M68" s="186">
        <v>0</v>
      </c>
      <c r="N68" s="186">
        <f>'Intermediate OLS Model'!$B$7*F68</f>
        <v>0</v>
      </c>
      <c r="O68" s="186">
        <f>'Intermediate OLS Model'!$B$8*G68</f>
        <v>428565.96548408002</v>
      </c>
      <c r="P68" s="186">
        <f>'Intermediate OLS Model'!$B$9*H68</f>
        <v>0</v>
      </c>
      <c r="Q68" s="186">
        <f>'Intermediate OLS Model'!$B$10*I68</f>
        <v>4597068.1483280482</v>
      </c>
      <c r="R68">
        <f t="shared" si="5"/>
        <v>4224719.3578008022</v>
      </c>
    </row>
    <row r="69" spans="1:18">
      <c r="A69" s="26">
        <f>'Monthly Data'!A69</f>
        <v>41852</v>
      </c>
      <c r="B69">
        <f t="shared" si="4"/>
        <v>2014</v>
      </c>
      <c r="C69">
        <f ca="1">'Monthly Data'!Z69</f>
        <v>4004879.6001031082</v>
      </c>
      <c r="D69">
        <f>'Monthly Data'!BM69</f>
        <v>68</v>
      </c>
      <c r="E69">
        <f>'Monthly Data'!BJ69</f>
        <v>6869.9</v>
      </c>
      <c r="F69" s="127">
        <f>'Monthly Data'!BS69</f>
        <v>0</v>
      </c>
      <c r="G69" s="127">
        <f>'Monthly Data'!BT69</f>
        <v>0</v>
      </c>
      <c r="H69" s="127">
        <f>'Monthly Data'!CA69</f>
        <v>0</v>
      </c>
      <c r="I69" s="127">
        <f>'Monthly Data'!CC69</f>
        <v>31</v>
      </c>
      <c r="K69" s="127">
        <f>'Intermediate OLS Model'!$B$5</f>
        <v>-415228.02881662402</v>
      </c>
      <c r="L69" s="186">
        <f>'Intermediate OLS Model'!$B$6*D69</f>
        <v>-391443.24551104114</v>
      </c>
      <c r="M69" s="186">
        <v>0</v>
      </c>
      <c r="N69" s="186">
        <f>'Intermediate OLS Model'!$B$7*F69</f>
        <v>0</v>
      </c>
      <c r="O69" s="186">
        <f>'Intermediate OLS Model'!$B$8*G69</f>
        <v>0</v>
      </c>
      <c r="P69" s="186">
        <f>'Intermediate OLS Model'!$B$9*H69</f>
        <v>0</v>
      </c>
      <c r="Q69" s="186">
        <f>'Intermediate OLS Model'!$B$10*I69</f>
        <v>4597068.1483280482</v>
      </c>
      <c r="R69">
        <f t="shared" si="5"/>
        <v>3790396.8740003831</v>
      </c>
    </row>
    <row r="70" spans="1:18">
      <c r="A70" s="26">
        <f>'Monthly Data'!A70</f>
        <v>41883</v>
      </c>
      <c r="B70">
        <f t="shared" si="4"/>
        <v>2014</v>
      </c>
      <c r="C70">
        <f ca="1">'Monthly Data'!Z70</f>
        <v>4146273.0001031081</v>
      </c>
      <c r="D70">
        <f>'Monthly Data'!BM70</f>
        <v>69</v>
      </c>
      <c r="E70">
        <f>'Monthly Data'!BJ70</f>
        <v>6884.5</v>
      </c>
      <c r="F70" s="127">
        <f>'Monthly Data'!BS70</f>
        <v>0</v>
      </c>
      <c r="G70" s="127">
        <f>'Monthly Data'!BT70</f>
        <v>0</v>
      </c>
      <c r="H70" s="127">
        <f>'Monthly Data'!CA70</f>
        <v>1</v>
      </c>
      <c r="I70" s="127">
        <f>'Monthly Data'!CC70</f>
        <v>30</v>
      </c>
      <c r="K70" s="127">
        <f>'Intermediate OLS Model'!$B$5</f>
        <v>-415228.02881662402</v>
      </c>
      <c r="L70" s="186">
        <f>'Intermediate OLS Model'!$B$6*D70</f>
        <v>-397199.76382737997</v>
      </c>
      <c r="M70" s="186">
        <v>0</v>
      </c>
      <c r="N70" s="186">
        <f>'Intermediate OLS Model'!$B$7*F70</f>
        <v>0</v>
      </c>
      <c r="O70" s="186">
        <f>'Intermediate OLS Model'!$B$8*G70</f>
        <v>0</v>
      </c>
      <c r="P70" s="186">
        <f>'Intermediate OLS Model'!$B$9*H70</f>
        <v>219659.05071226999</v>
      </c>
      <c r="Q70" s="186">
        <f>'Intermediate OLS Model'!$B$10*I70</f>
        <v>4448775.6274142396</v>
      </c>
      <c r="R70">
        <f t="shared" si="5"/>
        <v>3856006.8854825054</v>
      </c>
    </row>
    <row r="71" spans="1:18">
      <c r="A71" s="26">
        <f>'Monthly Data'!A71</f>
        <v>41913</v>
      </c>
      <c r="B71">
        <f t="shared" si="4"/>
        <v>2014</v>
      </c>
      <c r="C71">
        <f ca="1">'Monthly Data'!Z71</f>
        <v>4193404.650103108</v>
      </c>
      <c r="D71">
        <f>'Monthly Data'!BM71</f>
        <v>70</v>
      </c>
      <c r="E71">
        <f>'Monthly Data'!BJ71</f>
        <v>6901.5</v>
      </c>
      <c r="F71" s="127">
        <f>'Monthly Data'!BS71</f>
        <v>0</v>
      </c>
      <c r="G71" s="127">
        <f>'Monthly Data'!BT71</f>
        <v>0</v>
      </c>
      <c r="H71" s="127">
        <f>'Monthly Data'!CA71</f>
        <v>1</v>
      </c>
      <c r="I71" s="127">
        <f>'Monthly Data'!CC71</f>
        <v>31</v>
      </c>
      <c r="K71" s="127">
        <f>'Intermediate OLS Model'!$B$5</f>
        <v>-415228.02881662402</v>
      </c>
      <c r="L71" s="186">
        <f>'Intermediate OLS Model'!$B$6*D71</f>
        <v>-402956.2821437188</v>
      </c>
      <c r="M71" s="186">
        <v>0</v>
      </c>
      <c r="N71" s="186">
        <f>'Intermediate OLS Model'!$B$7*F71</f>
        <v>0</v>
      </c>
      <c r="O71" s="186">
        <f>'Intermediate OLS Model'!$B$8*G71</f>
        <v>0</v>
      </c>
      <c r="P71" s="186">
        <f>'Intermediate OLS Model'!$B$9*H71</f>
        <v>219659.05071226999</v>
      </c>
      <c r="Q71" s="186">
        <f>'Intermediate OLS Model'!$B$10*I71</f>
        <v>4597068.1483280482</v>
      </c>
      <c r="R71">
        <f t="shared" si="5"/>
        <v>3998542.8880799753</v>
      </c>
    </row>
    <row r="72" spans="1:18">
      <c r="A72" s="26">
        <f>'Monthly Data'!A72</f>
        <v>41944</v>
      </c>
      <c r="B72">
        <f t="shared" si="4"/>
        <v>2014</v>
      </c>
      <c r="C72">
        <f ca="1">'Monthly Data'!Z72</f>
        <v>3890694.840103108</v>
      </c>
      <c r="D72">
        <f>'Monthly Data'!BM72</f>
        <v>71</v>
      </c>
      <c r="E72">
        <f>'Monthly Data'!BJ72</f>
        <v>6907.5</v>
      </c>
      <c r="F72" s="127">
        <f>'Monthly Data'!BS72</f>
        <v>0</v>
      </c>
      <c r="G72" s="127">
        <f>'Monthly Data'!BT72</f>
        <v>0</v>
      </c>
      <c r="H72" s="127">
        <f>'Monthly Data'!CA72</f>
        <v>1</v>
      </c>
      <c r="I72" s="127">
        <f>'Monthly Data'!CC72</f>
        <v>30</v>
      </c>
      <c r="K72" s="127">
        <f>'Intermediate OLS Model'!$B$5</f>
        <v>-415228.02881662402</v>
      </c>
      <c r="L72" s="186">
        <f>'Intermediate OLS Model'!$B$6*D72</f>
        <v>-408712.80046005762</v>
      </c>
      <c r="M72" s="186">
        <v>0</v>
      </c>
      <c r="N72" s="186">
        <f>'Intermediate OLS Model'!$B$7*F72</f>
        <v>0</v>
      </c>
      <c r="O72" s="186">
        <f>'Intermediate OLS Model'!$B$8*G72</f>
        <v>0</v>
      </c>
      <c r="P72" s="186">
        <f>'Intermediate OLS Model'!$B$9*H72</f>
        <v>219659.05071226999</v>
      </c>
      <c r="Q72" s="186">
        <f>'Intermediate OLS Model'!$B$10*I72</f>
        <v>4448775.6274142396</v>
      </c>
      <c r="R72">
        <f t="shared" si="5"/>
        <v>3844493.8488498279</v>
      </c>
    </row>
    <row r="73" spans="1:18">
      <c r="A73" s="26">
        <f>'Monthly Data'!A73</f>
        <v>41974</v>
      </c>
      <c r="B73">
        <f t="shared" si="4"/>
        <v>2014</v>
      </c>
      <c r="C73">
        <f ca="1">'Monthly Data'!Z73</f>
        <v>3891709.5801031082</v>
      </c>
      <c r="D73">
        <f>'Monthly Data'!BM73</f>
        <v>72</v>
      </c>
      <c r="E73">
        <f>'Monthly Data'!BJ73</f>
        <v>6903.1</v>
      </c>
      <c r="F73" s="127">
        <f>'Monthly Data'!BS73</f>
        <v>0</v>
      </c>
      <c r="G73" s="127">
        <f>'Monthly Data'!BT73</f>
        <v>0</v>
      </c>
      <c r="H73" s="127">
        <f>'Monthly Data'!CA73</f>
        <v>0</v>
      </c>
      <c r="I73" s="127">
        <f>'Monthly Data'!CC73</f>
        <v>31</v>
      </c>
      <c r="K73" s="127">
        <f>'Intermediate OLS Model'!$B$5</f>
        <v>-415228.02881662402</v>
      </c>
      <c r="L73" s="186">
        <f>'Intermediate OLS Model'!$B$6*D73</f>
        <v>-414469.31877639651</v>
      </c>
      <c r="M73" s="186">
        <v>0</v>
      </c>
      <c r="N73" s="186">
        <f>'Intermediate OLS Model'!$B$7*F73</f>
        <v>0</v>
      </c>
      <c r="O73" s="186">
        <f>'Intermediate OLS Model'!$B$8*G73</f>
        <v>0</v>
      </c>
      <c r="P73" s="186">
        <f>'Intermediate OLS Model'!$B$9*H73</f>
        <v>0</v>
      </c>
      <c r="Q73" s="186">
        <f>'Intermediate OLS Model'!$B$10*I73</f>
        <v>4597068.1483280482</v>
      </c>
      <c r="R73">
        <f t="shared" si="5"/>
        <v>3767370.8007350275</v>
      </c>
    </row>
    <row r="74" spans="1:18">
      <c r="A74" s="26">
        <f>'Monthly Data'!A74</f>
        <v>42005</v>
      </c>
      <c r="B74">
        <f t="shared" si="4"/>
        <v>2015</v>
      </c>
      <c r="C74">
        <f ca="1">'Monthly Data'!Z74</f>
        <v>4093961.0032661795</v>
      </c>
      <c r="D74">
        <f>'Monthly Data'!BM74</f>
        <v>73</v>
      </c>
      <c r="E74">
        <f>'Monthly Data'!BJ74</f>
        <v>6885.7</v>
      </c>
      <c r="F74" s="127">
        <f>'Monthly Data'!BS74</f>
        <v>0</v>
      </c>
      <c r="G74" s="127">
        <f>'Monthly Data'!BT74</f>
        <v>0</v>
      </c>
      <c r="H74" s="127">
        <f>'Monthly Data'!CA74</f>
        <v>0</v>
      </c>
      <c r="I74" s="127">
        <f>'Monthly Data'!CC74</f>
        <v>31</v>
      </c>
      <c r="K74" s="127">
        <f>'Intermediate OLS Model'!$B$5</f>
        <v>-415228.02881662402</v>
      </c>
      <c r="L74" s="186">
        <f>'Intermediate OLS Model'!$B$6*D74</f>
        <v>-420225.83709273534</v>
      </c>
      <c r="M74" s="186">
        <v>0</v>
      </c>
      <c r="N74" s="186">
        <f>'Intermediate OLS Model'!$B$7*F74</f>
        <v>0</v>
      </c>
      <c r="O74" s="186">
        <f>'Intermediate OLS Model'!$B$8*G74</f>
        <v>0</v>
      </c>
      <c r="P74" s="186">
        <f>'Intermediate OLS Model'!$B$9*H74</f>
        <v>0</v>
      </c>
      <c r="Q74" s="186">
        <f>'Intermediate OLS Model'!$B$10*I74</f>
        <v>4597068.1483280482</v>
      </c>
      <c r="R74">
        <f t="shared" si="5"/>
        <v>3761614.2824186888</v>
      </c>
    </row>
    <row r="75" spans="1:18">
      <c r="A75" s="26">
        <f>'Monthly Data'!A75</f>
        <v>42036</v>
      </c>
      <c r="B75">
        <f t="shared" si="4"/>
        <v>2015</v>
      </c>
      <c r="C75">
        <f ca="1">'Monthly Data'!Z75</f>
        <v>3523842.6232661791</v>
      </c>
      <c r="D75">
        <f>'Monthly Data'!BM75</f>
        <v>74</v>
      </c>
      <c r="E75">
        <f>'Monthly Data'!BJ75</f>
        <v>6885.3</v>
      </c>
      <c r="F75" s="127">
        <f>'Monthly Data'!BS75</f>
        <v>0</v>
      </c>
      <c r="G75" s="127">
        <f>'Monthly Data'!BT75</f>
        <v>0</v>
      </c>
      <c r="H75" s="127">
        <f>'Monthly Data'!CA75</f>
        <v>0</v>
      </c>
      <c r="I75" s="127">
        <f>'Monthly Data'!CC75</f>
        <v>28</v>
      </c>
      <c r="K75" s="127">
        <f>'Intermediate OLS Model'!$B$5</f>
        <v>-415228.02881662402</v>
      </c>
      <c r="L75" s="186">
        <f>'Intermediate OLS Model'!$B$6*D75</f>
        <v>-425982.35540907417</v>
      </c>
      <c r="M75" s="186">
        <v>0</v>
      </c>
      <c r="N75" s="186">
        <f>'Intermediate OLS Model'!$B$7*F75</f>
        <v>0</v>
      </c>
      <c r="O75" s="186">
        <f>'Intermediate OLS Model'!$B$8*G75</f>
        <v>0</v>
      </c>
      <c r="P75" s="186">
        <f>'Intermediate OLS Model'!$B$9*H75</f>
        <v>0</v>
      </c>
      <c r="Q75" s="186">
        <f>'Intermediate OLS Model'!$B$10*I75</f>
        <v>4152190.5855866238</v>
      </c>
      <c r="R75">
        <f t="shared" si="5"/>
        <v>3310980.2013609256</v>
      </c>
    </row>
    <row r="76" spans="1:18">
      <c r="A76" s="26">
        <f>'Monthly Data'!A76</f>
        <v>42064</v>
      </c>
      <c r="B76">
        <f t="shared" si="4"/>
        <v>2015</v>
      </c>
      <c r="C76">
        <f ca="1">'Monthly Data'!Z76</f>
        <v>3811662.5532661793</v>
      </c>
      <c r="D76">
        <f>'Monthly Data'!BM76</f>
        <v>75</v>
      </c>
      <c r="E76">
        <f>'Monthly Data'!BJ76</f>
        <v>6892.1</v>
      </c>
      <c r="F76" s="127">
        <f>'Monthly Data'!BS76</f>
        <v>0</v>
      </c>
      <c r="G76" s="127">
        <f>'Monthly Data'!BT76</f>
        <v>0</v>
      </c>
      <c r="H76" s="127">
        <f>'Monthly Data'!CA76</f>
        <v>0</v>
      </c>
      <c r="I76" s="127">
        <f>'Monthly Data'!CC76</f>
        <v>31</v>
      </c>
      <c r="K76" s="127">
        <f>'Intermediate OLS Model'!$B$5</f>
        <v>-415228.02881662402</v>
      </c>
      <c r="L76" s="186">
        <f>'Intermediate OLS Model'!$B$6*D76</f>
        <v>-431738.873725413</v>
      </c>
      <c r="M76" s="186">
        <v>0</v>
      </c>
      <c r="N76" s="186">
        <f>'Intermediate OLS Model'!$B$7*F76</f>
        <v>0</v>
      </c>
      <c r="O76" s="186">
        <f>'Intermediate OLS Model'!$B$8*G76</f>
        <v>0</v>
      </c>
      <c r="P76" s="186">
        <f>'Intermediate OLS Model'!$B$9*H76</f>
        <v>0</v>
      </c>
      <c r="Q76" s="186">
        <f>'Intermediate OLS Model'!$B$10*I76</f>
        <v>4597068.1483280482</v>
      </c>
      <c r="R76">
        <f t="shared" si="5"/>
        <v>3750101.2457860112</v>
      </c>
    </row>
    <row r="77" spans="1:18">
      <c r="A77" s="26">
        <f>'Monthly Data'!A77</f>
        <v>42095</v>
      </c>
      <c r="B77">
        <f t="shared" si="4"/>
        <v>2015</v>
      </c>
      <c r="C77">
        <f ca="1">'Monthly Data'!Z77</f>
        <v>3577372.4732661792</v>
      </c>
      <c r="D77">
        <f>'Monthly Data'!BM77</f>
        <v>76</v>
      </c>
      <c r="E77">
        <f>'Monthly Data'!BJ77</f>
        <v>6897.3</v>
      </c>
      <c r="F77" s="127">
        <f>'Monthly Data'!BS77</f>
        <v>0</v>
      </c>
      <c r="G77" s="127">
        <f>'Monthly Data'!BT77</f>
        <v>0</v>
      </c>
      <c r="H77" s="127">
        <f>'Monthly Data'!CA77</f>
        <v>0</v>
      </c>
      <c r="I77" s="127">
        <f>'Monthly Data'!CC77</f>
        <v>30</v>
      </c>
      <c r="K77" s="127">
        <f>'Intermediate OLS Model'!$B$5</f>
        <v>-415228.02881662402</v>
      </c>
      <c r="L77" s="186">
        <f>'Intermediate OLS Model'!$B$6*D77</f>
        <v>-437495.39204175182</v>
      </c>
      <c r="M77" s="186">
        <v>0</v>
      </c>
      <c r="N77" s="186">
        <f>'Intermediate OLS Model'!$B$7*F77</f>
        <v>0</v>
      </c>
      <c r="O77" s="186">
        <f>'Intermediate OLS Model'!$B$8*G77</f>
        <v>0</v>
      </c>
      <c r="P77" s="186">
        <f>'Intermediate OLS Model'!$B$9*H77</f>
        <v>0</v>
      </c>
      <c r="Q77" s="186">
        <f>'Intermediate OLS Model'!$B$10*I77</f>
        <v>4448775.6274142396</v>
      </c>
      <c r="R77">
        <f t="shared" si="5"/>
        <v>3596052.2065558638</v>
      </c>
    </row>
    <row r="78" spans="1:18">
      <c r="A78" s="26">
        <f>'Monthly Data'!A78</f>
        <v>42125</v>
      </c>
      <c r="B78">
        <f t="shared" si="4"/>
        <v>2015</v>
      </c>
      <c r="C78">
        <f ca="1">'Monthly Data'!Z78</f>
        <v>3991285.1132661793</v>
      </c>
      <c r="D78">
        <f>'Monthly Data'!BM78</f>
        <v>77</v>
      </c>
      <c r="E78">
        <f>'Monthly Data'!BJ78</f>
        <v>6906.5</v>
      </c>
      <c r="F78" s="127">
        <f>'Monthly Data'!BS78</f>
        <v>0</v>
      </c>
      <c r="G78" s="127">
        <f>'Monthly Data'!BT78</f>
        <v>0</v>
      </c>
      <c r="H78" s="127">
        <f>'Monthly Data'!CA78</f>
        <v>0</v>
      </c>
      <c r="I78" s="127">
        <f>'Monthly Data'!CC78</f>
        <v>31</v>
      </c>
      <c r="K78" s="127">
        <f>'Intermediate OLS Model'!$B$5</f>
        <v>-415228.02881662402</v>
      </c>
      <c r="L78" s="186">
        <f>'Intermediate OLS Model'!$B$6*D78</f>
        <v>-443251.91035809071</v>
      </c>
      <c r="M78" s="186">
        <v>0</v>
      </c>
      <c r="N78" s="186">
        <f>'Intermediate OLS Model'!$B$7*F78</f>
        <v>0</v>
      </c>
      <c r="O78" s="186">
        <f>'Intermediate OLS Model'!$B$8*G78</f>
        <v>0</v>
      </c>
      <c r="P78" s="186">
        <f>'Intermediate OLS Model'!$B$9*H78</f>
        <v>0</v>
      </c>
      <c r="Q78" s="186">
        <f>'Intermediate OLS Model'!$B$10*I78</f>
        <v>4597068.1483280482</v>
      </c>
      <c r="R78">
        <f t="shared" si="5"/>
        <v>3738588.2091533337</v>
      </c>
    </row>
    <row r="79" spans="1:18">
      <c r="A79" s="26">
        <f>'Monthly Data'!A79</f>
        <v>42156</v>
      </c>
      <c r="B79">
        <f t="shared" si="4"/>
        <v>2015</v>
      </c>
      <c r="C79">
        <f ca="1">'Monthly Data'!Z79</f>
        <v>3758112.9032661794</v>
      </c>
      <c r="D79">
        <f>'Monthly Data'!BM79</f>
        <v>78</v>
      </c>
      <c r="E79">
        <f>'Monthly Data'!BJ79</f>
        <v>6921.3</v>
      </c>
      <c r="F79" s="127">
        <f>'Monthly Data'!BS79</f>
        <v>1</v>
      </c>
      <c r="G79" s="127">
        <f>'Monthly Data'!BT79</f>
        <v>0</v>
      </c>
      <c r="H79" s="127">
        <f>'Monthly Data'!CA79</f>
        <v>0</v>
      </c>
      <c r="I79" s="127">
        <f>'Monthly Data'!CC79</f>
        <v>30</v>
      </c>
      <c r="K79" s="127">
        <f>'Intermediate OLS Model'!$B$5</f>
        <v>-415228.02881662402</v>
      </c>
      <c r="L79" s="186">
        <f>'Intermediate OLS Model'!$B$6*D79</f>
        <v>-449008.42867442954</v>
      </c>
      <c r="M79" s="186">
        <v>0</v>
      </c>
      <c r="N79" s="186">
        <f>'Intermediate OLS Model'!$B$7*F79</f>
        <v>346553.62108035001</v>
      </c>
      <c r="O79" s="186">
        <f>'Intermediate OLS Model'!$B$8*G79</f>
        <v>0</v>
      </c>
      <c r="P79" s="186">
        <f>'Intermediate OLS Model'!$B$9*H79</f>
        <v>0</v>
      </c>
      <c r="Q79" s="186">
        <f>'Intermediate OLS Model'!$B$10*I79</f>
        <v>4448775.6274142396</v>
      </c>
      <c r="R79">
        <f t="shared" si="5"/>
        <v>3931092.791003536</v>
      </c>
    </row>
    <row r="80" spans="1:18">
      <c r="A80" s="26">
        <f>'Monthly Data'!A80</f>
        <v>42186</v>
      </c>
      <c r="B80">
        <f t="shared" si="4"/>
        <v>2015</v>
      </c>
      <c r="C80">
        <f ca="1">'Monthly Data'!Z80</f>
        <v>4199678.1332661798</v>
      </c>
      <c r="D80">
        <f>'Monthly Data'!BM80</f>
        <v>79</v>
      </c>
      <c r="E80">
        <f>'Monthly Data'!BJ80</f>
        <v>6941.2</v>
      </c>
      <c r="F80" s="127">
        <f>'Monthly Data'!BS80</f>
        <v>0</v>
      </c>
      <c r="G80" s="127">
        <f>'Monthly Data'!BT80</f>
        <v>1</v>
      </c>
      <c r="H80" s="127">
        <f>'Monthly Data'!CA80</f>
        <v>0</v>
      </c>
      <c r="I80" s="127">
        <f>'Monthly Data'!CC80</f>
        <v>31</v>
      </c>
      <c r="K80" s="127">
        <f>'Intermediate OLS Model'!$B$5</f>
        <v>-415228.02881662402</v>
      </c>
      <c r="L80" s="186">
        <f>'Intermediate OLS Model'!$B$6*D80</f>
        <v>-454764.94699076837</v>
      </c>
      <c r="M80" s="186">
        <v>0</v>
      </c>
      <c r="N80" s="186">
        <f>'Intermediate OLS Model'!$B$7*F80</f>
        <v>0</v>
      </c>
      <c r="O80" s="186">
        <f>'Intermediate OLS Model'!$B$8*G80</f>
        <v>428565.96548408002</v>
      </c>
      <c r="P80" s="186">
        <f>'Intermediate OLS Model'!$B$9*H80</f>
        <v>0</v>
      </c>
      <c r="Q80" s="186">
        <f>'Intermediate OLS Model'!$B$10*I80</f>
        <v>4597068.1483280482</v>
      </c>
      <c r="R80">
        <f t="shared" si="5"/>
        <v>4155641.138004736</v>
      </c>
    </row>
    <row r="81" spans="1:18">
      <c r="A81" s="26">
        <f>'Monthly Data'!A81</f>
        <v>42217</v>
      </c>
      <c r="B81">
        <f t="shared" si="4"/>
        <v>2015</v>
      </c>
      <c r="C81">
        <f ca="1">'Monthly Data'!Z81</f>
        <v>3385911.6132661789</v>
      </c>
      <c r="D81">
        <f>'Monthly Data'!BM81</f>
        <v>80</v>
      </c>
      <c r="E81">
        <f>'Monthly Data'!BJ81</f>
        <v>6949.2</v>
      </c>
      <c r="F81" s="127">
        <f>'Monthly Data'!BS81</f>
        <v>0</v>
      </c>
      <c r="G81" s="127">
        <f>'Monthly Data'!BT81</f>
        <v>0</v>
      </c>
      <c r="H81" s="127">
        <f>'Monthly Data'!CA81</f>
        <v>0</v>
      </c>
      <c r="I81" s="127">
        <f>'Monthly Data'!CC81</f>
        <v>31</v>
      </c>
      <c r="K81" s="127">
        <f>'Intermediate OLS Model'!$B$5</f>
        <v>-415228.02881662402</v>
      </c>
      <c r="L81" s="186">
        <f>'Intermediate OLS Model'!$B$6*D81</f>
        <v>-460521.4653071072</v>
      </c>
      <c r="M81" s="186">
        <v>0</v>
      </c>
      <c r="N81" s="186">
        <f>'Intermediate OLS Model'!$B$7*F81</f>
        <v>0</v>
      </c>
      <c r="O81" s="186">
        <f>'Intermediate OLS Model'!$B$8*G81</f>
        <v>0</v>
      </c>
      <c r="P81" s="186">
        <f>'Intermediate OLS Model'!$B$9*H81</f>
        <v>0</v>
      </c>
      <c r="Q81" s="186">
        <f>'Intermediate OLS Model'!$B$10*I81</f>
        <v>4597068.1483280482</v>
      </c>
      <c r="R81">
        <f t="shared" si="5"/>
        <v>3721318.6542043169</v>
      </c>
    </row>
    <row r="82" spans="1:18">
      <c r="A82" s="26">
        <f>'Monthly Data'!A82</f>
        <v>42248</v>
      </c>
      <c r="B82">
        <f t="shared" si="4"/>
        <v>2015</v>
      </c>
      <c r="C82">
        <f ca="1">'Monthly Data'!Z82</f>
        <v>3774070.6732661794</v>
      </c>
      <c r="D82">
        <f>'Monthly Data'!BM82</f>
        <v>81</v>
      </c>
      <c r="E82">
        <f>'Monthly Data'!BJ82</f>
        <v>6941.1</v>
      </c>
      <c r="F82" s="127">
        <f>'Monthly Data'!BS82</f>
        <v>0</v>
      </c>
      <c r="G82" s="127">
        <f>'Monthly Data'!BT82</f>
        <v>0</v>
      </c>
      <c r="H82" s="127">
        <f>'Monthly Data'!CA82</f>
        <v>1</v>
      </c>
      <c r="I82" s="127">
        <f>'Monthly Data'!CC82</f>
        <v>30</v>
      </c>
      <c r="K82" s="127">
        <f>'Intermediate OLS Model'!$B$5</f>
        <v>-415228.02881662402</v>
      </c>
      <c r="L82" s="186">
        <f>'Intermediate OLS Model'!$B$6*D82</f>
        <v>-466277.98362344602</v>
      </c>
      <c r="M82" s="186">
        <v>0</v>
      </c>
      <c r="N82" s="186">
        <f>'Intermediate OLS Model'!$B$7*F82</f>
        <v>0</v>
      </c>
      <c r="O82" s="186">
        <f>'Intermediate OLS Model'!$B$8*G82</f>
        <v>0</v>
      </c>
      <c r="P82" s="186">
        <f>'Intermediate OLS Model'!$B$9*H82</f>
        <v>219659.05071226999</v>
      </c>
      <c r="Q82" s="186">
        <f>'Intermediate OLS Model'!$B$10*I82</f>
        <v>4448775.6274142396</v>
      </c>
      <c r="R82">
        <f t="shared" si="5"/>
        <v>3786928.6656864397</v>
      </c>
    </row>
    <row r="83" spans="1:18">
      <c r="A83" s="26">
        <f>'Monthly Data'!A83</f>
        <v>42278</v>
      </c>
      <c r="B83">
        <f t="shared" si="4"/>
        <v>2015</v>
      </c>
      <c r="C83">
        <f ca="1">'Monthly Data'!Z83</f>
        <v>3704194.3132661795</v>
      </c>
      <c r="D83">
        <f>'Monthly Data'!BM83</f>
        <v>82</v>
      </c>
      <c r="E83">
        <f>'Monthly Data'!BJ83</f>
        <v>6934.8</v>
      </c>
      <c r="F83" s="127">
        <f>'Monthly Data'!BS83</f>
        <v>0</v>
      </c>
      <c r="G83" s="127">
        <f>'Monthly Data'!BT83</f>
        <v>0</v>
      </c>
      <c r="H83" s="127">
        <f>'Monthly Data'!CA83</f>
        <v>1</v>
      </c>
      <c r="I83" s="127">
        <f>'Monthly Data'!CC83</f>
        <v>31</v>
      </c>
      <c r="K83" s="127">
        <f>'Intermediate OLS Model'!$B$5</f>
        <v>-415228.02881662402</v>
      </c>
      <c r="L83" s="186">
        <f>'Intermediate OLS Model'!$B$6*D83</f>
        <v>-472034.50193978491</v>
      </c>
      <c r="M83" s="186">
        <v>0</v>
      </c>
      <c r="N83" s="186">
        <f>'Intermediate OLS Model'!$B$7*F83</f>
        <v>0</v>
      </c>
      <c r="O83" s="186">
        <f>'Intermediate OLS Model'!$B$8*G83</f>
        <v>0</v>
      </c>
      <c r="P83" s="186">
        <f>'Intermediate OLS Model'!$B$9*H83</f>
        <v>219659.05071226999</v>
      </c>
      <c r="Q83" s="186">
        <f>'Intermediate OLS Model'!$B$10*I83</f>
        <v>4597068.1483280482</v>
      </c>
      <c r="R83">
        <f t="shared" si="5"/>
        <v>3929464.6682839091</v>
      </c>
    </row>
    <row r="84" spans="1:18">
      <c r="A84" s="26">
        <f>'Monthly Data'!A84</f>
        <v>42309</v>
      </c>
      <c r="B84">
        <f t="shared" si="4"/>
        <v>2015</v>
      </c>
      <c r="C84">
        <f ca="1">'Monthly Data'!Z84</f>
        <v>3527052.9232661789</v>
      </c>
      <c r="D84">
        <f>'Monthly Data'!BM84</f>
        <v>83</v>
      </c>
      <c r="E84">
        <f>'Monthly Data'!BJ84</f>
        <v>6928.3</v>
      </c>
      <c r="F84" s="127">
        <f>'Monthly Data'!BS84</f>
        <v>0</v>
      </c>
      <c r="G84" s="127">
        <f>'Monthly Data'!BT84</f>
        <v>0</v>
      </c>
      <c r="H84" s="127">
        <f>'Monthly Data'!CA84</f>
        <v>1</v>
      </c>
      <c r="I84" s="127">
        <f>'Monthly Data'!CC84</f>
        <v>30</v>
      </c>
      <c r="K84" s="127">
        <f>'Intermediate OLS Model'!$B$5</f>
        <v>-415228.02881662402</v>
      </c>
      <c r="L84" s="186">
        <f>'Intermediate OLS Model'!$B$6*D84</f>
        <v>-477791.02025612374</v>
      </c>
      <c r="M84" s="186">
        <v>0</v>
      </c>
      <c r="N84" s="186">
        <f>'Intermediate OLS Model'!$B$7*F84</f>
        <v>0</v>
      </c>
      <c r="O84" s="186">
        <f>'Intermediate OLS Model'!$B$8*G84</f>
        <v>0</v>
      </c>
      <c r="P84" s="186">
        <f>'Intermediate OLS Model'!$B$9*H84</f>
        <v>219659.05071226999</v>
      </c>
      <c r="Q84" s="186">
        <f>'Intermediate OLS Model'!$B$10*I84</f>
        <v>4448775.6274142396</v>
      </c>
      <c r="R84">
        <f t="shared" si="5"/>
        <v>3775415.6290537617</v>
      </c>
    </row>
    <row r="85" spans="1:18">
      <c r="A85" s="26">
        <f>'Monthly Data'!A85</f>
        <v>42339</v>
      </c>
      <c r="B85">
        <f t="shared" si="4"/>
        <v>2015</v>
      </c>
      <c r="C85">
        <f ca="1">'Monthly Data'!Z85</f>
        <v>3267111.6732661794</v>
      </c>
      <c r="D85">
        <f>'Monthly Data'!BM85</f>
        <v>84</v>
      </c>
      <c r="E85">
        <f>'Monthly Data'!BJ85</f>
        <v>6942.8</v>
      </c>
      <c r="F85" s="127">
        <f>'Monthly Data'!BS85</f>
        <v>0</v>
      </c>
      <c r="G85" s="127">
        <f>'Monthly Data'!BT85</f>
        <v>0</v>
      </c>
      <c r="H85" s="127">
        <f>'Monthly Data'!CA85</f>
        <v>0</v>
      </c>
      <c r="I85" s="127">
        <f>'Monthly Data'!CC85</f>
        <v>31</v>
      </c>
      <c r="K85" s="127">
        <f>'Intermediate OLS Model'!$B$5</f>
        <v>-415228.02881662402</v>
      </c>
      <c r="L85" s="186">
        <f>'Intermediate OLS Model'!$B$6*D85</f>
        <v>-483547.53857246257</v>
      </c>
      <c r="M85" s="186">
        <v>0</v>
      </c>
      <c r="N85" s="186">
        <f>'Intermediate OLS Model'!$B$7*F85</f>
        <v>0</v>
      </c>
      <c r="O85" s="186">
        <f>'Intermediate OLS Model'!$B$8*G85</f>
        <v>0</v>
      </c>
      <c r="P85" s="186">
        <f>'Intermediate OLS Model'!$B$9*H85</f>
        <v>0</v>
      </c>
      <c r="Q85" s="186">
        <f>'Intermediate OLS Model'!$B$10*I85</f>
        <v>4597068.1483280482</v>
      </c>
      <c r="R85">
        <f t="shared" si="5"/>
        <v>3698292.5809389614</v>
      </c>
    </row>
    <row r="86" spans="1:18">
      <c r="A86" s="26">
        <f>'Monthly Data'!A86</f>
        <v>42370</v>
      </c>
      <c r="B86">
        <f t="shared" si="4"/>
        <v>2016</v>
      </c>
      <c r="C86">
        <f ca="1">'Monthly Data'!Z86</f>
        <v>3533933.7732470939</v>
      </c>
      <c r="D86">
        <f>'Monthly Data'!BM86</f>
        <v>85</v>
      </c>
      <c r="E86">
        <f>'Monthly Data'!BJ86</f>
        <v>6956.6</v>
      </c>
      <c r="F86" s="127">
        <f>'Monthly Data'!BS86</f>
        <v>0</v>
      </c>
      <c r="G86" s="127">
        <f>'Monthly Data'!BT86</f>
        <v>0</v>
      </c>
      <c r="H86" s="127">
        <f>'Monthly Data'!CA86</f>
        <v>0</v>
      </c>
      <c r="I86" s="127">
        <f>'Monthly Data'!CC86</f>
        <v>31</v>
      </c>
      <c r="K86" s="127">
        <f>'Intermediate OLS Model'!$B$5</f>
        <v>-415228.02881662402</v>
      </c>
      <c r="L86" s="186">
        <f>'Intermediate OLS Model'!$B$6*D86</f>
        <v>-489304.05688880139</v>
      </c>
      <c r="M86" s="186">
        <v>0</v>
      </c>
      <c r="N86" s="186">
        <f>'Intermediate OLS Model'!$B$7*F86</f>
        <v>0</v>
      </c>
      <c r="O86" s="186">
        <f>'Intermediate OLS Model'!$B$8*G86</f>
        <v>0</v>
      </c>
      <c r="P86" s="186">
        <f>'Intermediate OLS Model'!$B$9*H86</f>
        <v>0</v>
      </c>
      <c r="Q86" s="186">
        <f>'Intermediate OLS Model'!$B$10*I86</f>
        <v>4597068.1483280482</v>
      </c>
      <c r="R86">
        <f t="shared" ref="R86:R109" si="6">SUM(K86:Q86)</f>
        <v>3692536.0626226226</v>
      </c>
    </row>
    <row r="87" spans="1:18">
      <c r="A87" s="26">
        <f>'Monthly Data'!A87</f>
        <v>42401</v>
      </c>
      <c r="B87">
        <f t="shared" si="4"/>
        <v>2016</v>
      </c>
      <c r="C87">
        <f ca="1">'Monthly Data'!Z87</f>
        <v>3495480.8832470938</v>
      </c>
      <c r="D87">
        <f>'Monthly Data'!BM87</f>
        <v>86</v>
      </c>
      <c r="E87">
        <f>'Monthly Data'!BJ87</f>
        <v>6968.5</v>
      </c>
      <c r="F87" s="127">
        <f>'Monthly Data'!BS87</f>
        <v>0</v>
      </c>
      <c r="G87" s="127">
        <f>'Monthly Data'!BT87</f>
        <v>0</v>
      </c>
      <c r="H87" s="127">
        <f>'Monthly Data'!CA87</f>
        <v>0</v>
      </c>
      <c r="I87" s="127">
        <f>'Monthly Data'!CC87</f>
        <v>29</v>
      </c>
      <c r="K87" s="127">
        <f>'Intermediate OLS Model'!$B$5</f>
        <v>-415228.02881662402</v>
      </c>
      <c r="L87" s="186">
        <f>'Intermediate OLS Model'!$B$6*D87</f>
        <v>-495060.57520514022</v>
      </c>
      <c r="M87" s="186">
        <v>0</v>
      </c>
      <c r="N87" s="186">
        <f>'Intermediate OLS Model'!$B$7*F87</f>
        <v>0</v>
      </c>
      <c r="O87" s="186">
        <f>'Intermediate OLS Model'!$B$8*G87</f>
        <v>0</v>
      </c>
      <c r="P87" s="186">
        <f>'Intermediate OLS Model'!$B$9*H87</f>
        <v>0</v>
      </c>
      <c r="Q87" s="186">
        <f>'Intermediate OLS Model'!$B$10*I87</f>
        <v>4300483.1065004319</v>
      </c>
      <c r="R87">
        <f t="shared" si="6"/>
        <v>3390194.5024786675</v>
      </c>
    </row>
    <row r="88" spans="1:18">
      <c r="A88" s="26">
        <f>'Monthly Data'!A88</f>
        <v>42430</v>
      </c>
      <c r="B88">
        <f t="shared" si="4"/>
        <v>2016</v>
      </c>
      <c r="C88">
        <f ca="1">'Monthly Data'!Z88</f>
        <v>3636082.5632470935</v>
      </c>
      <c r="D88">
        <f>'Monthly Data'!BM88</f>
        <v>87</v>
      </c>
      <c r="E88">
        <f>'Monthly Data'!BJ88</f>
        <v>6975.7</v>
      </c>
      <c r="F88" s="127">
        <f>'Monthly Data'!BS88</f>
        <v>0</v>
      </c>
      <c r="G88" s="127">
        <f>'Monthly Data'!BT88</f>
        <v>0</v>
      </c>
      <c r="H88" s="127">
        <f>'Monthly Data'!CA88</f>
        <v>0</v>
      </c>
      <c r="I88" s="127">
        <f>'Monthly Data'!CC88</f>
        <v>31</v>
      </c>
      <c r="K88" s="127">
        <f>'Intermediate OLS Model'!$B$5</f>
        <v>-415228.02881662402</v>
      </c>
      <c r="L88" s="186">
        <f>'Intermediate OLS Model'!$B$6*D88</f>
        <v>-500817.09352147911</v>
      </c>
      <c r="M88" s="186">
        <v>0</v>
      </c>
      <c r="N88" s="186">
        <f>'Intermediate OLS Model'!$B$7*F88</f>
        <v>0</v>
      </c>
      <c r="O88" s="186">
        <f>'Intermediate OLS Model'!$B$8*G88</f>
        <v>0</v>
      </c>
      <c r="P88" s="186">
        <f>'Intermediate OLS Model'!$B$9*H88</f>
        <v>0</v>
      </c>
      <c r="Q88" s="186">
        <f>'Intermediate OLS Model'!$B$10*I88</f>
        <v>4597068.1483280482</v>
      </c>
      <c r="R88">
        <f t="shared" si="6"/>
        <v>3681023.025989945</v>
      </c>
    </row>
    <row r="89" spans="1:18">
      <c r="A89" s="26">
        <f>'Monthly Data'!A89</f>
        <v>42461</v>
      </c>
      <c r="B89">
        <f t="shared" si="4"/>
        <v>2016</v>
      </c>
      <c r="C89">
        <f ca="1">'Monthly Data'!Z89</f>
        <v>3430288.7432470941</v>
      </c>
      <c r="D89">
        <f>'Monthly Data'!BM89</f>
        <v>88</v>
      </c>
      <c r="E89">
        <f>'Monthly Data'!BJ89</f>
        <v>6979.7</v>
      </c>
      <c r="F89" s="127">
        <f>'Monthly Data'!BS89</f>
        <v>0</v>
      </c>
      <c r="G89" s="127">
        <f>'Monthly Data'!BT89</f>
        <v>0</v>
      </c>
      <c r="H89" s="127">
        <f>'Monthly Data'!CA89</f>
        <v>0</v>
      </c>
      <c r="I89" s="127">
        <f>'Monthly Data'!CC89</f>
        <v>30</v>
      </c>
      <c r="K89" s="127">
        <f>'Intermediate OLS Model'!$B$5</f>
        <v>-415228.02881662402</v>
      </c>
      <c r="L89" s="186">
        <f>'Intermediate OLS Model'!$B$6*D89</f>
        <v>-506573.61183781794</v>
      </c>
      <c r="M89" s="186">
        <v>0</v>
      </c>
      <c r="N89" s="186">
        <f>'Intermediate OLS Model'!$B$7*F89</f>
        <v>0</v>
      </c>
      <c r="O89" s="186">
        <f>'Intermediate OLS Model'!$B$8*G89</f>
        <v>0</v>
      </c>
      <c r="P89" s="186">
        <f>'Intermediate OLS Model'!$B$9*H89</f>
        <v>0</v>
      </c>
      <c r="Q89" s="186">
        <f>'Intermediate OLS Model'!$B$10*I89</f>
        <v>4448775.6274142396</v>
      </c>
      <c r="R89">
        <f t="shared" si="6"/>
        <v>3526973.9867597977</v>
      </c>
    </row>
    <row r="90" spans="1:18">
      <c r="A90" s="26">
        <f>'Monthly Data'!A90</f>
        <v>42491</v>
      </c>
      <c r="B90">
        <f t="shared" si="4"/>
        <v>2016</v>
      </c>
      <c r="C90">
        <f ca="1">'Monthly Data'!Z90</f>
        <v>3783247.3232470937</v>
      </c>
      <c r="D90">
        <f>'Monthly Data'!BM90</f>
        <v>89</v>
      </c>
      <c r="E90">
        <f>'Monthly Data'!BJ90</f>
        <v>6990.5</v>
      </c>
      <c r="F90" s="127">
        <f>'Monthly Data'!BS90</f>
        <v>0</v>
      </c>
      <c r="G90" s="127">
        <f>'Monthly Data'!BT90</f>
        <v>0</v>
      </c>
      <c r="H90" s="127">
        <f>'Monthly Data'!CA90</f>
        <v>0</v>
      </c>
      <c r="I90" s="127">
        <f>'Monthly Data'!CC90</f>
        <v>31</v>
      </c>
      <c r="K90" s="127">
        <f>'Intermediate OLS Model'!$B$5</f>
        <v>-415228.02881662402</v>
      </c>
      <c r="L90" s="186">
        <f>'Intermediate OLS Model'!$B$6*D90</f>
        <v>-512330.13015415677</v>
      </c>
      <c r="M90" s="186">
        <v>0</v>
      </c>
      <c r="N90" s="186">
        <f>'Intermediate OLS Model'!$B$7*F90</f>
        <v>0</v>
      </c>
      <c r="O90" s="186">
        <f>'Intermediate OLS Model'!$B$8*G90</f>
        <v>0</v>
      </c>
      <c r="P90" s="186">
        <f>'Intermediate OLS Model'!$B$9*H90</f>
        <v>0</v>
      </c>
      <c r="Q90" s="186">
        <f>'Intermediate OLS Model'!$B$10*I90</f>
        <v>4597068.1483280482</v>
      </c>
      <c r="R90">
        <f t="shared" si="6"/>
        <v>3669509.9893572675</v>
      </c>
    </row>
    <row r="91" spans="1:18">
      <c r="A91" s="26">
        <f>'Monthly Data'!A91</f>
        <v>42522</v>
      </c>
      <c r="B91">
        <f t="shared" si="4"/>
        <v>2016</v>
      </c>
      <c r="C91">
        <f ca="1">'Monthly Data'!Z91</f>
        <v>4068589.4732470941</v>
      </c>
      <c r="D91">
        <f>'Monthly Data'!BM91</f>
        <v>90</v>
      </c>
      <c r="E91">
        <f>'Monthly Data'!BJ91</f>
        <v>6998.8</v>
      </c>
      <c r="F91" s="127">
        <f>'Monthly Data'!BS91</f>
        <v>1</v>
      </c>
      <c r="G91" s="127">
        <f>'Monthly Data'!BT91</f>
        <v>0</v>
      </c>
      <c r="H91" s="127">
        <f>'Monthly Data'!CA91</f>
        <v>0</v>
      </c>
      <c r="I91" s="127">
        <f>'Monthly Data'!CC91</f>
        <v>30</v>
      </c>
      <c r="K91" s="127">
        <f>'Intermediate OLS Model'!$B$5</f>
        <v>-415228.02881662402</v>
      </c>
      <c r="L91" s="186">
        <f>'Intermediate OLS Model'!$B$6*D91</f>
        <v>-518086.64847049559</v>
      </c>
      <c r="M91" s="186">
        <v>0</v>
      </c>
      <c r="N91" s="186">
        <f>'Intermediate OLS Model'!$B$7*F91</f>
        <v>346553.62108035001</v>
      </c>
      <c r="O91" s="186">
        <f>'Intermediate OLS Model'!$B$8*G91</f>
        <v>0</v>
      </c>
      <c r="P91" s="186">
        <f>'Intermediate OLS Model'!$B$9*H91</f>
        <v>0</v>
      </c>
      <c r="Q91" s="186">
        <f>'Intermediate OLS Model'!$B$10*I91</f>
        <v>4448775.6274142396</v>
      </c>
      <c r="R91">
        <f t="shared" si="6"/>
        <v>3862014.5712074698</v>
      </c>
    </row>
    <row r="92" spans="1:18">
      <c r="A92" s="26">
        <f>'Monthly Data'!A92</f>
        <v>42552</v>
      </c>
      <c r="B92">
        <f t="shared" si="4"/>
        <v>2016</v>
      </c>
      <c r="C92">
        <f ca="1">'Monthly Data'!Z92</f>
        <v>3984566.7832470937</v>
      </c>
      <c r="D92">
        <f>'Monthly Data'!BM92</f>
        <v>91</v>
      </c>
      <c r="E92">
        <f>'Monthly Data'!BJ92</f>
        <v>6995</v>
      </c>
      <c r="F92" s="127">
        <f>'Monthly Data'!BS92</f>
        <v>0</v>
      </c>
      <c r="G92" s="127">
        <f>'Monthly Data'!BT92</f>
        <v>1</v>
      </c>
      <c r="H92" s="127">
        <f>'Monthly Data'!CA92</f>
        <v>0</v>
      </c>
      <c r="I92" s="127">
        <f>'Monthly Data'!CC92</f>
        <v>31</v>
      </c>
      <c r="K92" s="127">
        <f>'Intermediate OLS Model'!$B$5</f>
        <v>-415228.02881662402</v>
      </c>
      <c r="L92" s="186">
        <f>'Intermediate OLS Model'!$B$6*D92</f>
        <v>-523843.16678683442</v>
      </c>
      <c r="M92" s="186">
        <v>0</v>
      </c>
      <c r="N92" s="186">
        <f>'Intermediate OLS Model'!$B$7*F92</f>
        <v>0</v>
      </c>
      <c r="O92" s="186">
        <f>'Intermediate OLS Model'!$B$8*G92</f>
        <v>428565.96548408002</v>
      </c>
      <c r="P92" s="186">
        <f>'Intermediate OLS Model'!$B$9*H92</f>
        <v>0</v>
      </c>
      <c r="Q92" s="186">
        <f>'Intermediate OLS Model'!$B$10*I92</f>
        <v>4597068.1483280482</v>
      </c>
      <c r="R92">
        <f t="shared" si="6"/>
        <v>4086562.9182086699</v>
      </c>
    </row>
    <row r="93" spans="1:18">
      <c r="A93" s="26">
        <f>'Monthly Data'!A93</f>
        <v>42583</v>
      </c>
      <c r="B93">
        <f t="shared" si="4"/>
        <v>2016</v>
      </c>
      <c r="C93">
        <f ca="1">'Monthly Data'!Z93</f>
        <v>3315041.8332470939</v>
      </c>
      <c r="D93">
        <f>'Monthly Data'!BM93</f>
        <v>92</v>
      </c>
      <c r="E93">
        <f>'Monthly Data'!BJ93</f>
        <v>6991</v>
      </c>
      <c r="F93" s="127">
        <f>'Monthly Data'!BS93</f>
        <v>0</v>
      </c>
      <c r="G93" s="127">
        <f>'Monthly Data'!BT93</f>
        <v>0</v>
      </c>
      <c r="H93" s="127">
        <f>'Monthly Data'!CA93</f>
        <v>0</v>
      </c>
      <c r="I93" s="127">
        <f>'Monthly Data'!CC93</f>
        <v>31</v>
      </c>
      <c r="K93" s="127">
        <f>'Intermediate OLS Model'!$B$5</f>
        <v>-415228.02881662402</v>
      </c>
      <c r="L93" s="186">
        <f>'Intermediate OLS Model'!$B$6*D93</f>
        <v>-529599.68510317325</v>
      </c>
      <c r="M93" s="186">
        <v>0</v>
      </c>
      <c r="N93" s="186">
        <f>'Intermediate OLS Model'!$B$7*F93</f>
        <v>0</v>
      </c>
      <c r="O93" s="186">
        <f>'Intermediate OLS Model'!$B$8*G93</f>
        <v>0</v>
      </c>
      <c r="P93" s="186">
        <f>'Intermediate OLS Model'!$B$9*H93</f>
        <v>0</v>
      </c>
      <c r="Q93" s="186">
        <f>'Intermediate OLS Model'!$B$10*I93</f>
        <v>4597068.1483280482</v>
      </c>
      <c r="R93">
        <f t="shared" si="6"/>
        <v>3652240.4344082512</v>
      </c>
    </row>
    <row r="94" spans="1:18">
      <c r="A94" s="26">
        <f>'Monthly Data'!A94</f>
        <v>42614</v>
      </c>
      <c r="B94">
        <f t="shared" si="4"/>
        <v>2016</v>
      </c>
      <c r="C94">
        <f ca="1">'Monthly Data'!Z94</f>
        <v>3610685.643247094</v>
      </c>
      <c r="D94">
        <f>'Monthly Data'!BM94</f>
        <v>93</v>
      </c>
      <c r="E94">
        <f>'Monthly Data'!BJ94</f>
        <v>6989.1</v>
      </c>
      <c r="F94" s="127">
        <f>'Monthly Data'!BS94</f>
        <v>0</v>
      </c>
      <c r="G94" s="127">
        <f>'Monthly Data'!BT94</f>
        <v>0</v>
      </c>
      <c r="H94" s="127">
        <f>'Monthly Data'!CA94</f>
        <v>1</v>
      </c>
      <c r="I94" s="127">
        <f>'Monthly Data'!CC94</f>
        <v>30</v>
      </c>
      <c r="K94" s="127">
        <f>'Intermediate OLS Model'!$B$5</f>
        <v>-415228.02881662402</v>
      </c>
      <c r="L94" s="186">
        <f>'Intermediate OLS Model'!$B$6*D94</f>
        <v>-535356.20341951214</v>
      </c>
      <c r="M94" s="186">
        <v>0</v>
      </c>
      <c r="N94" s="186">
        <f>'Intermediate OLS Model'!$B$7*F94</f>
        <v>0</v>
      </c>
      <c r="O94" s="186">
        <f>'Intermediate OLS Model'!$B$8*G94</f>
        <v>0</v>
      </c>
      <c r="P94" s="186">
        <f>'Intermediate OLS Model'!$B$9*H94</f>
        <v>219659.05071226999</v>
      </c>
      <c r="Q94" s="186">
        <f>'Intermediate OLS Model'!$B$10*I94</f>
        <v>4448775.6274142396</v>
      </c>
      <c r="R94">
        <f t="shared" si="6"/>
        <v>3717850.4458903736</v>
      </c>
    </row>
    <row r="95" spans="1:18">
      <c r="A95" s="26">
        <f>'Monthly Data'!A95</f>
        <v>42644</v>
      </c>
      <c r="B95">
        <f t="shared" si="4"/>
        <v>2016</v>
      </c>
      <c r="C95">
        <f ca="1">'Monthly Data'!Z95</f>
        <v>3809029.3432470937</v>
      </c>
      <c r="D95">
        <f>'Monthly Data'!BM95</f>
        <v>94</v>
      </c>
      <c r="E95">
        <f>'Monthly Data'!BJ95</f>
        <v>7005.5</v>
      </c>
      <c r="F95" s="127">
        <f>'Monthly Data'!BS95</f>
        <v>0</v>
      </c>
      <c r="G95" s="127">
        <f>'Monthly Data'!BT95</f>
        <v>0</v>
      </c>
      <c r="H95" s="127">
        <f>'Monthly Data'!CA95</f>
        <v>1</v>
      </c>
      <c r="I95" s="127">
        <f>'Monthly Data'!CC95</f>
        <v>31</v>
      </c>
      <c r="K95" s="127">
        <f>'Intermediate OLS Model'!$B$5</f>
        <v>-415228.02881662402</v>
      </c>
      <c r="L95" s="186">
        <f>'Intermediate OLS Model'!$B$6*D95</f>
        <v>-541112.72173585102</v>
      </c>
      <c r="M95" s="186">
        <v>0</v>
      </c>
      <c r="N95" s="186">
        <f>'Intermediate OLS Model'!$B$7*F95</f>
        <v>0</v>
      </c>
      <c r="O95" s="186">
        <f>'Intermediate OLS Model'!$B$8*G95</f>
        <v>0</v>
      </c>
      <c r="P95" s="186">
        <f>'Intermediate OLS Model'!$B$9*H95</f>
        <v>219659.05071226999</v>
      </c>
      <c r="Q95" s="186">
        <f>'Intermediate OLS Model'!$B$10*I95</f>
        <v>4597068.1483280482</v>
      </c>
      <c r="R95">
        <f t="shared" si="6"/>
        <v>3860386.4484878434</v>
      </c>
    </row>
    <row r="96" spans="1:18">
      <c r="A96" s="26">
        <f>'Monthly Data'!A96</f>
        <v>42675</v>
      </c>
      <c r="B96">
        <f t="shared" si="4"/>
        <v>2016</v>
      </c>
      <c r="C96">
        <f ca="1">'Monthly Data'!Z96</f>
        <v>3762256.7532470939</v>
      </c>
      <c r="D96">
        <f>'Monthly Data'!BM96</f>
        <v>95</v>
      </c>
      <c r="E96">
        <f>'Monthly Data'!BJ96</f>
        <v>7021.6</v>
      </c>
      <c r="F96" s="127">
        <f>'Monthly Data'!BS96</f>
        <v>0</v>
      </c>
      <c r="G96" s="127">
        <f>'Monthly Data'!BT96</f>
        <v>0</v>
      </c>
      <c r="H96" s="127">
        <f>'Monthly Data'!CA96</f>
        <v>1</v>
      </c>
      <c r="I96" s="127">
        <f>'Monthly Data'!CC96</f>
        <v>30</v>
      </c>
      <c r="K96" s="127">
        <f>'Intermediate OLS Model'!$B$5</f>
        <v>-415228.02881662402</v>
      </c>
      <c r="L96" s="186">
        <f>'Intermediate OLS Model'!$B$6*D96</f>
        <v>-546869.24005218979</v>
      </c>
      <c r="M96" s="186">
        <v>0</v>
      </c>
      <c r="N96" s="186">
        <f>'Intermediate OLS Model'!$B$7*F96</f>
        <v>0</v>
      </c>
      <c r="O96" s="186">
        <f>'Intermediate OLS Model'!$B$8*G96</f>
        <v>0</v>
      </c>
      <c r="P96" s="186">
        <f>'Intermediate OLS Model'!$B$9*H96</f>
        <v>219659.05071226999</v>
      </c>
      <c r="Q96" s="186">
        <f>'Intermediate OLS Model'!$B$10*I96</f>
        <v>4448775.6274142396</v>
      </c>
      <c r="R96">
        <f t="shared" si="6"/>
        <v>3706337.409257696</v>
      </c>
    </row>
    <row r="97" spans="1:18">
      <c r="A97" s="26">
        <f>'Monthly Data'!A97</f>
        <v>42705</v>
      </c>
      <c r="B97">
        <f t="shared" si="4"/>
        <v>2016</v>
      </c>
      <c r="C97">
        <f ca="1">'Monthly Data'!Z97</f>
        <v>4040160.4732470936</v>
      </c>
      <c r="D97">
        <f>'Monthly Data'!BM97</f>
        <v>96</v>
      </c>
      <c r="E97">
        <f>'Monthly Data'!BJ97</f>
        <v>7035.1</v>
      </c>
      <c r="F97" s="127">
        <f>'Monthly Data'!BS97</f>
        <v>0</v>
      </c>
      <c r="G97" s="127">
        <f>'Monthly Data'!BT97</f>
        <v>0</v>
      </c>
      <c r="H97" s="127">
        <f>'Monthly Data'!CA97</f>
        <v>0</v>
      </c>
      <c r="I97" s="127">
        <f>'Monthly Data'!CC97</f>
        <v>31</v>
      </c>
      <c r="K97" s="127">
        <f>'Intermediate OLS Model'!$B$5</f>
        <v>-415228.02881662402</v>
      </c>
      <c r="L97" s="186">
        <f>'Intermediate OLS Model'!$B$6*D97</f>
        <v>-552625.75836852868</v>
      </c>
      <c r="M97" s="186">
        <v>0</v>
      </c>
      <c r="N97" s="186">
        <f>'Intermediate OLS Model'!$B$7*F97</f>
        <v>0</v>
      </c>
      <c r="O97" s="186">
        <f>'Intermediate OLS Model'!$B$8*G97</f>
        <v>0</v>
      </c>
      <c r="P97" s="186">
        <f>'Intermediate OLS Model'!$B$9*H97</f>
        <v>0</v>
      </c>
      <c r="Q97" s="186">
        <f>'Intermediate OLS Model'!$B$10*I97</f>
        <v>4597068.1483280482</v>
      </c>
      <c r="R97">
        <f t="shared" si="6"/>
        <v>3629214.3611428952</v>
      </c>
    </row>
    <row r="98" spans="1:18">
      <c r="A98" s="26">
        <v>42736</v>
      </c>
      <c r="B98">
        <f t="shared" si="4"/>
        <v>2017</v>
      </c>
      <c r="C98" s="127">
        <f ca="1">'Monthly Data'!Z98</f>
        <v>4673482.8519639345</v>
      </c>
      <c r="D98">
        <f>D97+1</f>
        <v>97</v>
      </c>
      <c r="E98" s="127">
        <f>'Monthly Data'!BJ98</f>
        <v>7049.2</v>
      </c>
      <c r="F98" s="127">
        <f>'Monthly Data'!BS98</f>
        <v>0</v>
      </c>
      <c r="G98" s="127">
        <f>'Monthly Data'!BT98</f>
        <v>0</v>
      </c>
      <c r="H98" s="127">
        <f>'Monthly Data'!CA98</f>
        <v>0</v>
      </c>
      <c r="I98" s="127">
        <f>'Monthly Data'!CC98</f>
        <v>31</v>
      </c>
      <c r="K98" s="127">
        <f>'Intermediate OLS Model'!$B$5</f>
        <v>-415228.02881662402</v>
      </c>
      <c r="L98" s="186">
        <f>'Intermediate OLS Model'!$B$6*D98</f>
        <v>-558382.27668486745</v>
      </c>
      <c r="M98" s="186">
        <v>0</v>
      </c>
      <c r="N98" s="186">
        <f>'Intermediate OLS Model'!$B$7*F98</f>
        <v>0</v>
      </c>
      <c r="O98" s="186">
        <f>'Intermediate OLS Model'!$B$8*G98</f>
        <v>0</v>
      </c>
      <c r="P98" s="186">
        <f>'Intermediate OLS Model'!$B$9*H98</f>
        <v>0</v>
      </c>
      <c r="Q98" s="186">
        <f>'Intermediate OLS Model'!$B$10*I98</f>
        <v>4597068.1483280482</v>
      </c>
      <c r="R98">
        <f t="shared" si="6"/>
        <v>3623457.8428265564</v>
      </c>
    </row>
    <row r="99" spans="1:18">
      <c r="A99" s="26">
        <v>42767</v>
      </c>
      <c r="B99">
        <f t="shared" si="4"/>
        <v>2017</v>
      </c>
      <c r="C99" s="127">
        <f ca="1">'Monthly Data'!Z99</f>
        <v>3160702.7119639348</v>
      </c>
      <c r="D99">
        <f t="shared" ref="D99:D145" si="7">D98+1</f>
        <v>98</v>
      </c>
      <c r="E99" s="127">
        <f>'Monthly Data'!BJ99</f>
        <v>7062.5</v>
      </c>
      <c r="F99" s="127">
        <f>'Monthly Data'!BS99</f>
        <v>0</v>
      </c>
      <c r="G99" s="127">
        <f>'Monthly Data'!BT99</f>
        <v>0</v>
      </c>
      <c r="H99" s="127">
        <f>'Monthly Data'!CA99</f>
        <v>0</v>
      </c>
      <c r="I99" s="127">
        <f>'Monthly Data'!CC99</f>
        <v>28</v>
      </c>
      <c r="K99" s="127">
        <f>'Intermediate OLS Model'!$B$5</f>
        <v>-415228.02881662402</v>
      </c>
      <c r="L99" s="186">
        <f>'Intermediate OLS Model'!$B$6*D99</f>
        <v>-564138.79500120634</v>
      </c>
      <c r="M99" s="186">
        <v>0</v>
      </c>
      <c r="N99" s="186">
        <f>'Intermediate OLS Model'!$B$7*F99</f>
        <v>0</v>
      </c>
      <c r="O99" s="186">
        <f>'Intermediate OLS Model'!$B$8*G99</f>
        <v>0</v>
      </c>
      <c r="P99" s="186">
        <f>'Intermediate OLS Model'!$B$9*H99</f>
        <v>0</v>
      </c>
      <c r="Q99" s="186">
        <f>'Intermediate OLS Model'!$B$10*I99</f>
        <v>4152190.5855866238</v>
      </c>
      <c r="R99">
        <f t="shared" si="6"/>
        <v>3172823.7617687937</v>
      </c>
    </row>
    <row r="100" spans="1:18">
      <c r="A100" s="26">
        <v>42795</v>
      </c>
      <c r="B100">
        <f t="shared" si="4"/>
        <v>2017</v>
      </c>
      <c r="C100" s="127">
        <f ca="1">'Monthly Data'!Z100</f>
        <v>3516291.0219639349</v>
      </c>
      <c r="D100">
        <f t="shared" si="7"/>
        <v>99</v>
      </c>
      <c r="E100" s="127">
        <f>'Monthly Data'!BJ100</f>
        <v>7071</v>
      </c>
      <c r="F100" s="127">
        <f>'Monthly Data'!BS100</f>
        <v>0</v>
      </c>
      <c r="G100" s="127">
        <f>'Monthly Data'!BT100</f>
        <v>0</v>
      </c>
      <c r="H100" s="127">
        <f>'Monthly Data'!CA100</f>
        <v>0</v>
      </c>
      <c r="I100" s="127">
        <f>'Monthly Data'!CC100</f>
        <v>31</v>
      </c>
      <c r="K100" s="127">
        <f>'Intermediate OLS Model'!$B$5</f>
        <v>-415228.02881662402</v>
      </c>
      <c r="L100" s="186">
        <f>'Intermediate OLS Model'!$B$6*D100</f>
        <v>-569895.31331754522</v>
      </c>
      <c r="M100" s="186">
        <v>0</v>
      </c>
      <c r="N100" s="186">
        <f>'Intermediate OLS Model'!$B$7*F100</f>
        <v>0</v>
      </c>
      <c r="O100" s="186">
        <f>'Intermediate OLS Model'!$B$8*G100</f>
        <v>0</v>
      </c>
      <c r="P100" s="186">
        <f>'Intermediate OLS Model'!$B$9*H100</f>
        <v>0</v>
      </c>
      <c r="Q100" s="186">
        <f>'Intermediate OLS Model'!$B$10*I100</f>
        <v>4597068.1483280482</v>
      </c>
      <c r="R100">
        <f t="shared" si="6"/>
        <v>3611944.8061938789</v>
      </c>
    </row>
    <row r="101" spans="1:18">
      <c r="A101" s="26">
        <v>42826</v>
      </c>
      <c r="B101">
        <f t="shared" si="4"/>
        <v>2017</v>
      </c>
      <c r="C101" s="127">
        <f ca="1">'Monthly Data'!Z101</f>
        <v>3257803.3419639347</v>
      </c>
      <c r="D101">
        <f t="shared" si="7"/>
        <v>100</v>
      </c>
      <c r="E101" s="127">
        <f>'Monthly Data'!BJ101</f>
        <v>7073.2</v>
      </c>
      <c r="F101" s="127">
        <f>'Monthly Data'!BS101</f>
        <v>0</v>
      </c>
      <c r="G101" s="127">
        <f>'Monthly Data'!BT101</f>
        <v>0</v>
      </c>
      <c r="H101" s="127">
        <f>'Monthly Data'!CA101</f>
        <v>0</v>
      </c>
      <c r="I101" s="127">
        <f>'Monthly Data'!CC101</f>
        <v>30</v>
      </c>
      <c r="K101" s="127">
        <f>'Intermediate OLS Model'!$B$5</f>
        <v>-415228.02881662402</v>
      </c>
      <c r="L101" s="186">
        <f>'Intermediate OLS Model'!$B$6*D101</f>
        <v>-575651.83163388399</v>
      </c>
      <c r="M101" s="186">
        <v>0</v>
      </c>
      <c r="N101" s="186">
        <f>'Intermediate OLS Model'!$B$7*F101</f>
        <v>0</v>
      </c>
      <c r="O101" s="186">
        <f>'Intermediate OLS Model'!$B$8*G101</f>
        <v>0</v>
      </c>
      <c r="P101" s="186">
        <f>'Intermediate OLS Model'!$B$9*H101</f>
        <v>0</v>
      </c>
      <c r="Q101" s="186">
        <f>'Intermediate OLS Model'!$B$10*I101</f>
        <v>4448775.6274142396</v>
      </c>
      <c r="R101">
        <f t="shared" si="6"/>
        <v>3457895.7669637315</v>
      </c>
    </row>
    <row r="102" spans="1:18">
      <c r="A102" s="26">
        <v>42856</v>
      </c>
      <c r="B102">
        <f t="shared" si="4"/>
        <v>2017</v>
      </c>
      <c r="C102" s="127">
        <f ca="1">'Monthly Data'!Z102</f>
        <v>3505256.1119639347</v>
      </c>
      <c r="D102">
        <f t="shared" si="7"/>
        <v>101</v>
      </c>
      <c r="E102" s="127">
        <f>'Monthly Data'!BJ102</f>
        <v>7076.2</v>
      </c>
      <c r="F102" s="127">
        <f>'Monthly Data'!BS102</f>
        <v>0</v>
      </c>
      <c r="G102" s="127">
        <f>'Monthly Data'!BT102</f>
        <v>0</v>
      </c>
      <c r="H102" s="127">
        <f>'Monthly Data'!CA102</f>
        <v>0</v>
      </c>
      <c r="I102" s="127">
        <f>'Monthly Data'!CC102</f>
        <v>31</v>
      </c>
      <c r="K102" s="127">
        <f>'Intermediate OLS Model'!$B$5</f>
        <v>-415228.02881662402</v>
      </c>
      <c r="L102" s="186">
        <f>'Intermediate OLS Model'!$B$6*D102</f>
        <v>-581408.34995022288</v>
      </c>
      <c r="M102" s="186">
        <v>0</v>
      </c>
      <c r="N102" s="186">
        <f>'Intermediate OLS Model'!$B$7*F102</f>
        <v>0</v>
      </c>
      <c r="O102" s="186">
        <f>'Intermediate OLS Model'!$B$8*G102</f>
        <v>0</v>
      </c>
      <c r="P102" s="186">
        <f>'Intermediate OLS Model'!$B$9*H102</f>
        <v>0</v>
      </c>
      <c r="Q102" s="186">
        <f>'Intermediate OLS Model'!$B$10*I102</f>
        <v>4597068.1483280482</v>
      </c>
      <c r="R102">
        <f t="shared" si="6"/>
        <v>3600431.7695612013</v>
      </c>
    </row>
    <row r="103" spans="1:18">
      <c r="A103" s="26">
        <v>42887</v>
      </c>
      <c r="B103">
        <f t="shared" si="4"/>
        <v>2017</v>
      </c>
      <c r="C103" s="127">
        <f ca="1">'Monthly Data'!Z103</f>
        <v>3900962.201963935</v>
      </c>
      <c r="D103">
        <f t="shared" si="7"/>
        <v>102</v>
      </c>
      <c r="E103" s="127">
        <f>'Monthly Data'!BJ103</f>
        <v>7082.2</v>
      </c>
      <c r="F103" s="127">
        <f>'Monthly Data'!BS103</f>
        <v>1</v>
      </c>
      <c r="G103" s="127">
        <f>'Monthly Data'!BT103</f>
        <v>0</v>
      </c>
      <c r="H103" s="127">
        <f>'Monthly Data'!CA103</f>
        <v>0</v>
      </c>
      <c r="I103" s="127">
        <f>'Monthly Data'!CC103</f>
        <v>30</v>
      </c>
      <c r="K103" s="127">
        <f>'Intermediate OLS Model'!$B$5</f>
        <v>-415228.02881662402</v>
      </c>
      <c r="L103" s="186">
        <f>'Intermediate OLS Model'!$B$6*D103</f>
        <v>-587164.86826656165</v>
      </c>
      <c r="M103" s="186">
        <v>0</v>
      </c>
      <c r="N103" s="186">
        <f>'Intermediate OLS Model'!$B$7*F103</f>
        <v>346553.62108035001</v>
      </c>
      <c r="O103" s="186">
        <f>'Intermediate OLS Model'!$B$8*G103</f>
        <v>0</v>
      </c>
      <c r="P103" s="186">
        <f>'Intermediate OLS Model'!$B$9*H103</f>
        <v>0</v>
      </c>
      <c r="Q103" s="186">
        <f>'Intermediate OLS Model'!$B$10*I103</f>
        <v>4448775.6274142396</v>
      </c>
      <c r="R103">
        <f t="shared" si="6"/>
        <v>3792936.3514114041</v>
      </c>
    </row>
    <row r="104" spans="1:18">
      <c r="A104" s="26">
        <v>42917</v>
      </c>
      <c r="B104">
        <f t="shared" si="4"/>
        <v>2017</v>
      </c>
      <c r="C104" s="127">
        <f ca="1">'Monthly Data'!Z104</f>
        <v>3948803.201963935</v>
      </c>
      <c r="D104">
        <f t="shared" si="7"/>
        <v>103</v>
      </c>
      <c r="E104" s="127">
        <f>'Monthly Data'!BJ104</f>
        <v>7098</v>
      </c>
      <c r="F104" s="127">
        <f>'Monthly Data'!BS104</f>
        <v>0</v>
      </c>
      <c r="G104" s="127">
        <f>'Monthly Data'!BT104</f>
        <v>1</v>
      </c>
      <c r="H104" s="127">
        <f>'Monthly Data'!CA104</f>
        <v>0</v>
      </c>
      <c r="I104" s="127">
        <f>'Monthly Data'!CC104</f>
        <v>31</v>
      </c>
      <c r="K104" s="127">
        <f>'Intermediate OLS Model'!$B$5</f>
        <v>-415228.02881662402</v>
      </c>
      <c r="L104" s="186">
        <f>'Intermediate OLS Model'!$B$6*D104</f>
        <v>-592921.38658290054</v>
      </c>
      <c r="M104" s="186">
        <v>0</v>
      </c>
      <c r="N104" s="186">
        <f>'Intermediate OLS Model'!$B$7*F104</f>
        <v>0</v>
      </c>
      <c r="O104" s="186">
        <f>'Intermediate OLS Model'!$B$8*G104</f>
        <v>428565.96548408002</v>
      </c>
      <c r="P104" s="186">
        <f>'Intermediate OLS Model'!$B$9*H104</f>
        <v>0</v>
      </c>
      <c r="Q104" s="186">
        <f>'Intermediate OLS Model'!$B$10*I104</f>
        <v>4597068.1483280482</v>
      </c>
      <c r="R104">
        <f t="shared" si="6"/>
        <v>4017484.6984126037</v>
      </c>
    </row>
    <row r="105" spans="1:18">
      <c r="A105" s="26">
        <v>42948</v>
      </c>
      <c r="B105">
        <f t="shared" si="4"/>
        <v>2017</v>
      </c>
      <c r="C105" s="127">
        <f ca="1">'Monthly Data'!Z105</f>
        <v>2923548.0019639349</v>
      </c>
      <c r="D105">
        <f t="shared" si="7"/>
        <v>104</v>
      </c>
      <c r="E105" s="127">
        <f>'Monthly Data'!BJ105</f>
        <v>7118.8</v>
      </c>
      <c r="F105" s="127">
        <f>'Monthly Data'!BS105</f>
        <v>0</v>
      </c>
      <c r="G105" s="127">
        <f>'Monthly Data'!BT105</f>
        <v>0</v>
      </c>
      <c r="H105" s="127">
        <f>'Monthly Data'!CA105</f>
        <v>0</v>
      </c>
      <c r="I105" s="127">
        <f>'Monthly Data'!CC105</f>
        <v>31</v>
      </c>
      <c r="K105" s="127">
        <f>'Intermediate OLS Model'!$B$5</f>
        <v>-415228.02881662402</v>
      </c>
      <c r="L105" s="186">
        <f>'Intermediate OLS Model'!$B$6*D105</f>
        <v>-598677.90489923942</v>
      </c>
      <c r="M105" s="186">
        <v>0</v>
      </c>
      <c r="N105" s="186">
        <f>'Intermediate OLS Model'!$B$7*F105</f>
        <v>0</v>
      </c>
      <c r="O105" s="186">
        <f>'Intermediate OLS Model'!$B$8*G105</f>
        <v>0</v>
      </c>
      <c r="P105" s="186">
        <f>'Intermediate OLS Model'!$B$9*H105</f>
        <v>0</v>
      </c>
      <c r="Q105" s="186">
        <f>'Intermediate OLS Model'!$B$10*I105</f>
        <v>4597068.1483280482</v>
      </c>
      <c r="R105">
        <f t="shared" si="6"/>
        <v>3583162.214612185</v>
      </c>
    </row>
    <row r="106" spans="1:18">
      <c r="A106" s="26">
        <v>42979</v>
      </c>
      <c r="B106">
        <f t="shared" si="4"/>
        <v>2017</v>
      </c>
      <c r="C106" s="127">
        <f ca="1">'Monthly Data'!Z106</f>
        <v>3551345.6319639347</v>
      </c>
      <c r="D106">
        <f t="shared" si="7"/>
        <v>105</v>
      </c>
      <c r="E106" s="127">
        <f>'Monthly Data'!BJ106</f>
        <v>7148.9</v>
      </c>
      <c r="F106" s="127">
        <f>'Monthly Data'!BS106</f>
        <v>0</v>
      </c>
      <c r="G106" s="127">
        <f>'Monthly Data'!BT106</f>
        <v>0</v>
      </c>
      <c r="H106" s="127">
        <f>'Monthly Data'!CA106</f>
        <v>1</v>
      </c>
      <c r="I106" s="127">
        <f>'Monthly Data'!CC106</f>
        <v>30</v>
      </c>
      <c r="K106" s="127">
        <f>'Intermediate OLS Model'!$B$5</f>
        <v>-415228.02881662402</v>
      </c>
      <c r="L106" s="186">
        <f>'Intermediate OLS Model'!$B$6*D106</f>
        <v>-604434.42321557819</v>
      </c>
      <c r="M106" s="186">
        <v>0</v>
      </c>
      <c r="N106" s="186">
        <f>'Intermediate OLS Model'!$B$7*F106</f>
        <v>0</v>
      </c>
      <c r="O106" s="186">
        <f>'Intermediate OLS Model'!$B$8*G106</f>
        <v>0</v>
      </c>
      <c r="P106" s="186">
        <f>'Intermediate OLS Model'!$B$9*H106</f>
        <v>219659.05071226999</v>
      </c>
      <c r="Q106" s="186">
        <f>'Intermediate OLS Model'!$B$10*I106</f>
        <v>4448775.6274142396</v>
      </c>
      <c r="R106">
        <f t="shared" si="6"/>
        <v>3648772.2260943074</v>
      </c>
    </row>
    <row r="107" spans="1:18">
      <c r="A107" s="26">
        <v>43009</v>
      </c>
      <c r="B107">
        <f t="shared" ref="B107:B133" si="8">YEAR(A107)</f>
        <v>2017</v>
      </c>
      <c r="C107" s="127">
        <f ca="1">'Monthly Data'!Z107</f>
        <v>4675960.2019639341</v>
      </c>
      <c r="D107">
        <f t="shared" si="7"/>
        <v>106</v>
      </c>
      <c r="E107" s="127">
        <f>'Monthly Data'!BJ107</f>
        <v>7168.4</v>
      </c>
      <c r="F107" s="127">
        <f>'Monthly Data'!BS107</f>
        <v>0</v>
      </c>
      <c r="G107" s="127">
        <f>'Monthly Data'!BT107</f>
        <v>0</v>
      </c>
      <c r="H107" s="127">
        <f>'Monthly Data'!CA107</f>
        <v>1</v>
      </c>
      <c r="I107" s="127">
        <f>'Monthly Data'!CC107</f>
        <v>31</v>
      </c>
      <c r="K107" s="127">
        <f>'Intermediate OLS Model'!$B$5</f>
        <v>-415228.02881662402</v>
      </c>
      <c r="L107" s="186">
        <f>'Intermediate OLS Model'!$B$6*D107</f>
        <v>-610190.94153191708</v>
      </c>
      <c r="M107" s="186">
        <v>0</v>
      </c>
      <c r="N107" s="186">
        <f>'Intermediate OLS Model'!$B$7*F107</f>
        <v>0</v>
      </c>
      <c r="O107" s="186">
        <f>'Intermediate OLS Model'!$B$8*G107</f>
        <v>0</v>
      </c>
      <c r="P107" s="186">
        <f>'Intermediate OLS Model'!$B$9*H107</f>
        <v>219659.05071226999</v>
      </c>
      <c r="Q107" s="186">
        <f>'Intermediate OLS Model'!$B$10*I107</f>
        <v>4597068.1483280482</v>
      </c>
      <c r="R107">
        <f t="shared" si="6"/>
        <v>3791308.2286917772</v>
      </c>
    </row>
    <row r="108" spans="1:18">
      <c r="A108" s="26">
        <v>43040</v>
      </c>
      <c r="B108">
        <f t="shared" si="8"/>
        <v>2017</v>
      </c>
      <c r="C108" s="127">
        <f ca="1">'Monthly Data'!Z108</f>
        <v>3582167.1319639347</v>
      </c>
      <c r="D108">
        <f t="shared" si="7"/>
        <v>107</v>
      </c>
      <c r="E108" s="127">
        <f>'Monthly Data'!BJ108</f>
        <v>7192.2</v>
      </c>
      <c r="F108" s="127">
        <f>'Monthly Data'!BS108</f>
        <v>0</v>
      </c>
      <c r="G108" s="127">
        <f>'Monthly Data'!BT108</f>
        <v>0</v>
      </c>
      <c r="H108" s="127">
        <f>'Monthly Data'!CA108</f>
        <v>1</v>
      </c>
      <c r="I108" s="127">
        <f>'Monthly Data'!CC108</f>
        <v>30</v>
      </c>
      <c r="K108" s="127">
        <f>'Intermediate OLS Model'!$B$5</f>
        <v>-415228.02881662402</v>
      </c>
      <c r="L108" s="186">
        <f>'Intermediate OLS Model'!$B$6*D108</f>
        <v>-615947.45984825585</v>
      </c>
      <c r="M108" s="186">
        <v>0</v>
      </c>
      <c r="N108" s="186">
        <f>'Intermediate OLS Model'!$B$7*F108</f>
        <v>0</v>
      </c>
      <c r="O108" s="186">
        <f>'Intermediate OLS Model'!$B$8*G108</f>
        <v>0</v>
      </c>
      <c r="P108" s="186">
        <f>'Intermediate OLS Model'!$B$9*H108</f>
        <v>219659.05071226999</v>
      </c>
      <c r="Q108" s="186">
        <f>'Intermediate OLS Model'!$B$10*I108</f>
        <v>4448775.6274142396</v>
      </c>
      <c r="R108">
        <f t="shared" si="6"/>
        <v>3637259.1894616298</v>
      </c>
    </row>
    <row r="109" spans="1:18">
      <c r="A109" s="26">
        <v>43070</v>
      </c>
      <c r="B109">
        <f t="shared" si="8"/>
        <v>2017</v>
      </c>
      <c r="C109" s="127">
        <f ca="1">'Monthly Data'!Z109</f>
        <v>4051590.7719639349</v>
      </c>
      <c r="D109">
        <f t="shared" si="7"/>
        <v>108</v>
      </c>
      <c r="E109" s="168">
        <f>Employment!B133</f>
        <v>7207.4</v>
      </c>
      <c r="F109" s="127">
        <f>'Monthly Data'!BS109</f>
        <v>0</v>
      </c>
      <c r="G109" s="127">
        <f>'Monthly Data'!BT109</f>
        <v>0</v>
      </c>
      <c r="H109" s="127">
        <f>'Monthly Data'!CA109</f>
        <v>0</v>
      </c>
      <c r="I109" s="127">
        <f>'Monthly Data'!CC109</f>
        <v>31</v>
      </c>
      <c r="K109" s="127">
        <f>'Intermediate OLS Model'!$B$5</f>
        <v>-415228.02881662402</v>
      </c>
      <c r="L109" s="186">
        <f>'Intermediate OLS Model'!$B$6*D109</f>
        <v>-621703.97816459474</v>
      </c>
      <c r="M109" s="186">
        <v>0</v>
      </c>
      <c r="N109" s="186">
        <f>'Intermediate OLS Model'!$B$7*F109</f>
        <v>0</v>
      </c>
      <c r="O109" s="186">
        <f>'Intermediate OLS Model'!$B$8*G109</f>
        <v>0</v>
      </c>
      <c r="P109" s="186">
        <f>'Intermediate OLS Model'!$B$9*H109</f>
        <v>0</v>
      </c>
      <c r="Q109" s="186">
        <f>'Intermediate OLS Model'!$B$10*I109</f>
        <v>4597068.1483280482</v>
      </c>
      <c r="R109">
        <f t="shared" si="6"/>
        <v>3560136.1413468295</v>
      </c>
    </row>
    <row r="110" spans="1:18">
      <c r="A110" s="128">
        <v>43101</v>
      </c>
      <c r="B110" s="186">
        <f t="shared" si="8"/>
        <v>2018</v>
      </c>
      <c r="C110" s="186">
        <f ca="1">'Monthly Data'!Z110</f>
        <v>3830105.218467033</v>
      </c>
      <c r="D110" s="186">
        <f t="shared" si="7"/>
        <v>109</v>
      </c>
      <c r="E110" s="186">
        <f>'Monthly Data'!BJ110</f>
        <v>7166.6339368397712</v>
      </c>
      <c r="F110" s="186">
        <f>'Monthly Data'!BS110</f>
        <v>0</v>
      </c>
      <c r="G110" s="186">
        <f>'Monthly Data'!BT110</f>
        <v>0</v>
      </c>
      <c r="H110" s="186">
        <f>'Monthly Data'!CA110</f>
        <v>0</v>
      </c>
      <c r="I110" s="186">
        <f>'Monthly Data'!CC110</f>
        <v>31</v>
      </c>
      <c r="J110" s="186"/>
      <c r="K110" s="186">
        <f>'Intermediate OLS Model'!$B$5</f>
        <v>-415228.02881662402</v>
      </c>
      <c r="L110" s="186">
        <f>'Intermediate OLS Model'!$B$6*D110</f>
        <v>-627460.49648093362</v>
      </c>
      <c r="M110" s="186">
        <v>0</v>
      </c>
      <c r="N110" s="186">
        <f>'Intermediate OLS Model'!$B$7*F110</f>
        <v>0</v>
      </c>
      <c r="O110" s="186">
        <f>'Intermediate OLS Model'!$B$8*G110</f>
        <v>0</v>
      </c>
      <c r="P110" s="186">
        <f>'Intermediate OLS Model'!$B$9*H110</f>
        <v>0</v>
      </c>
      <c r="Q110" s="186">
        <f>'Intermediate OLS Model'!$B$10*I110</f>
        <v>4597068.1483280482</v>
      </c>
      <c r="R110" s="186">
        <f t="shared" ref="R110:R121" si="9">SUM(K110:Q110)</f>
        <v>3554379.6230304902</v>
      </c>
    </row>
    <row r="111" spans="1:18">
      <c r="A111" s="128">
        <v>43132</v>
      </c>
      <c r="B111" s="186">
        <f t="shared" ref="B111:B121" si="10">YEAR(A111)</f>
        <v>2018</v>
      </c>
      <c r="C111" s="186">
        <f ca="1">'Monthly Data'!Z111</f>
        <v>3294091.5384670328</v>
      </c>
      <c r="D111" s="186">
        <f t="shared" si="7"/>
        <v>110</v>
      </c>
      <c r="E111" s="186">
        <f>'Monthly Data'!BJ111</f>
        <v>7119.8728643912718</v>
      </c>
      <c r="F111" s="186">
        <f>'Monthly Data'!BS111</f>
        <v>0</v>
      </c>
      <c r="G111" s="186">
        <f>'Monthly Data'!BT111</f>
        <v>0</v>
      </c>
      <c r="H111" s="186">
        <f>'Monthly Data'!CA111</f>
        <v>0</v>
      </c>
      <c r="I111" s="186">
        <f>'Monthly Data'!CC111</f>
        <v>28</v>
      </c>
      <c r="J111" s="186"/>
      <c r="K111" s="186">
        <f>'Intermediate OLS Model'!$B$5</f>
        <v>-415228.02881662402</v>
      </c>
      <c r="L111" s="186">
        <f>'Intermediate OLS Model'!$B$6*D111</f>
        <v>-633217.01479727239</v>
      </c>
      <c r="M111" s="186">
        <v>0</v>
      </c>
      <c r="N111" s="186">
        <f>'Intermediate OLS Model'!$B$7*F111</f>
        <v>0</v>
      </c>
      <c r="O111" s="186">
        <f>'Intermediate OLS Model'!$B$8*G111</f>
        <v>0</v>
      </c>
      <c r="P111" s="186">
        <f>'Intermediate OLS Model'!$B$9*H111</f>
        <v>0</v>
      </c>
      <c r="Q111" s="186">
        <f>'Intermediate OLS Model'!$B$10*I111</f>
        <v>4152190.5855866238</v>
      </c>
      <c r="R111" s="186">
        <f t="shared" si="9"/>
        <v>3103745.5419727275</v>
      </c>
    </row>
    <row r="112" spans="1:18">
      <c r="A112" s="128">
        <v>43160</v>
      </c>
      <c r="B112" s="186">
        <f t="shared" si="10"/>
        <v>2018</v>
      </c>
      <c r="C112" s="186">
        <f ca="1">'Monthly Data'!Z112</f>
        <v>3181748.4384670327</v>
      </c>
      <c r="D112" s="186">
        <f t="shared" si="7"/>
        <v>111</v>
      </c>
      <c r="E112" s="186">
        <f>'Monthly Data'!BJ112</f>
        <v>7076.4090470513211</v>
      </c>
      <c r="F112" s="186">
        <f>'Monthly Data'!BS112</f>
        <v>0</v>
      </c>
      <c r="G112" s="186">
        <f>'Monthly Data'!BT112</f>
        <v>0</v>
      </c>
      <c r="H112" s="186">
        <f>'Monthly Data'!CA112</f>
        <v>0</v>
      </c>
      <c r="I112" s="186">
        <f>'Monthly Data'!CC112</f>
        <v>31</v>
      </c>
      <c r="J112" s="186"/>
      <c r="K112" s="186">
        <f>'Intermediate OLS Model'!$B$5</f>
        <v>-415228.02881662402</v>
      </c>
      <c r="L112" s="186">
        <f>'Intermediate OLS Model'!$B$6*D112</f>
        <v>-638973.53311361128</v>
      </c>
      <c r="M112" s="186">
        <v>0</v>
      </c>
      <c r="N112" s="186">
        <f>'Intermediate OLS Model'!$B$7*F112</f>
        <v>0</v>
      </c>
      <c r="O112" s="186">
        <f>'Intermediate OLS Model'!$B$8*G112</f>
        <v>0</v>
      </c>
      <c r="P112" s="186">
        <f>'Intermediate OLS Model'!$B$9*H112</f>
        <v>0</v>
      </c>
      <c r="Q112" s="186">
        <f>'Intermediate OLS Model'!$B$10*I112</f>
        <v>4597068.1483280482</v>
      </c>
      <c r="R112" s="186">
        <f t="shared" si="9"/>
        <v>3542866.5863978127</v>
      </c>
    </row>
    <row r="113" spans="1:18">
      <c r="A113" s="128">
        <v>43191</v>
      </c>
      <c r="B113" s="186">
        <f t="shared" si="10"/>
        <v>2018</v>
      </c>
      <c r="C113" s="186">
        <f ca="1">'Monthly Data'!Z113</f>
        <v>3438894.3684670329</v>
      </c>
      <c r="D113" s="186">
        <f t="shared" si="7"/>
        <v>112</v>
      </c>
      <c r="E113" s="168">
        <f>Employment!B137</f>
        <v>7102.4873374552917</v>
      </c>
      <c r="F113" s="186">
        <f>'Monthly Data'!BS113</f>
        <v>0</v>
      </c>
      <c r="G113" s="186">
        <f>'Monthly Data'!BT113</f>
        <v>0</v>
      </c>
      <c r="H113" s="186">
        <f>'Monthly Data'!CA113</f>
        <v>0</v>
      </c>
      <c r="I113" s="186">
        <f>'Monthly Data'!CC113</f>
        <v>30</v>
      </c>
      <c r="J113" s="186"/>
      <c r="K113" s="186">
        <f>'Intermediate OLS Model'!$B$5</f>
        <v>-415228.02881662402</v>
      </c>
      <c r="L113" s="186">
        <f>'Intermediate OLS Model'!$B$6*D113</f>
        <v>-644730.05142995005</v>
      </c>
      <c r="M113" s="186">
        <v>0</v>
      </c>
      <c r="N113" s="186">
        <f>'Intermediate OLS Model'!$B$7*F113</f>
        <v>0</v>
      </c>
      <c r="O113" s="186">
        <f>'Intermediate OLS Model'!$B$8*G113</f>
        <v>0</v>
      </c>
      <c r="P113" s="186">
        <f>'Intermediate OLS Model'!$B$9*H113</f>
        <v>0</v>
      </c>
      <c r="Q113" s="186">
        <f>'Intermediate OLS Model'!$B$10*I113</f>
        <v>4448775.6274142396</v>
      </c>
      <c r="R113" s="186">
        <f t="shared" si="9"/>
        <v>3388817.5471676653</v>
      </c>
    </row>
    <row r="114" spans="1:18">
      <c r="A114" s="128">
        <v>43221</v>
      </c>
      <c r="B114" s="186">
        <f t="shared" si="10"/>
        <v>2018</v>
      </c>
      <c r="C114" s="186">
        <f ca="1">'Monthly Data'!Z114</f>
        <v>3285743.2084670328</v>
      </c>
      <c r="D114" s="186">
        <f t="shared" si="7"/>
        <v>113</v>
      </c>
      <c r="E114" s="186">
        <f>'Monthly Data'!BJ114</f>
        <v>7168.7321900906645</v>
      </c>
      <c r="F114" s="186">
        <f>'Monthly Data'!BS114</f>
        <v>0</v>
      </c>
      <c r="G114" s="186">
        <f>'Monthly Data'!BT114</f>
        <v>0</v>
      </c>
      <c r="H114" s="186">
        <f>'Monthly Data'!CA114</f>
        <v>0</v>
      </c>
      <c r="I114" s="186">
        <f>'Monthly Data'!CC114</f>
        <v>31</v>
      </c>
      <c r="J114" s="186"/>
      <c r="K114" s="186">
        <f>'Intermediate OLS Model'!$B$5</f>
        <v>-415228.02881662402</v>
      </c>
      <c r="L114" s="186">
        <f>'Intermediate OLS Model'!$B$6*D114</f>
        <v>-650486.56974628894</v>
      </c>
      <c r="M114" s="186">
        <v>0</v>
      </c>
      <c r="N114" s="186">
        <f>'Intermediate OLS Model'!$B$7*F114</f>
        <v>0</v>
      </c>
      <c r="O114" s="186">
        <f>'Intermediate OLS Model'!$B$8*G114</f>
        <v>0</v>
      </c>
      <c r="P114" s="186">
        <f>'Intermediate OLS Model'!$B$9*H114</f>
        <v>0</v>
      </c>
      <c r="Q114" s="186">
        <f>'Intermediate OLS Model'!$B$10*I114</f>
        <v>4597068.1483280482</v>
      </c>
      <c r="R114" s="186">
        <f t="shared" si="9"/>
        <v>3531353.5497651352</v>
      </c>
    </row>
    <row r="115" spans="1:18">
      <c r="A115" s="128">
        <v>43252</v>
      </c>
      <c r="B115" s="186">
        <f t="shared" si="10"/>
        <v>2018</v>
      </c>
      <c r="C115" s="186">
        <f ca="1">'Monthly Data'!Z115</f>
        <v>3353874.9084670329</v>
      </c>
      <c r="D115" s="186">
        <f t="shared" si="7"/>
        <v>114</v>
      </c>
      <c r="E115" s="186">
        <f>'Monthly Data'!BJ115</f>
        <v>7263.1535863809013</v>
      </c>
      <c r="F115" s="186">
        <f>'Monthly Data'!BS115</f>
        <v>1</v>
      </c>
      <c r="G115" s="186">
        <f>'Monthly Data'!BT115</f>
        <v>0</v>
      </c>
      <c r="H115" s="186">
        <f>'Monthly Data'!CA115</f>
        <v>0</v>
      </c>
      <c r="I115" s="186">
        <f>'Monthly Data'!CC115</f>
        <v>30</v>
      </c>
      <c r="J115" s="186"/>
      <c r="K115" s="186">
        <f>'Intermediate OLS Model'!$B$5</f>
        <v>-415228.02881662402</v>
      </c>
      <c r="L115" s="186">
        <f>'Intermediate OLS Model'!$B$6*D115</f>
        <v>-656243.08806262782</v>
      </c>
      <c r="M115" s="186">
        <v>0</v>
      </c>
      <c r="N115" s="186">
        <f>'Intermediate OLS Model'!$B$7*F115</f>
        <v>346553.62108035001</v>
      </c>
      <c r="O115" s="186">
        <f>'Intermediate OLS Model'!$B$8*G115</f>
        <v>0</v>
      </c>
      <c r="P115" s="186">
        <f>'Intermediate OLS Model'!$B$9*H115</f>
        <v>0</v>
      </c>
      <c r="Q115" s="186">
        <f>'Intermediate OLS Model'!$B$10*I115</f>
        <v>4448775.6274142396</v>
      </c>
      <c r="R115" s="186">
        <f t="shared" si="9"/>
        <v>3723858.1316153379</v>
      </c>
    </row>
    <row r="116" spans="1:18">
      <c r="A116" s="128">
        <v>43282</v>
      </c>
      <c r="B116" s="186">
        <f t="shared" si="10"/>
        <v>2018</v>
      </c>
      <c r="C116" s="186">
        <f ca="1">'Monthly Data'!Z116</f>
        <v>3983410.6584670329</v>
      </c>
      <c r="D116" s="186">
        <f t="shared" si="7"/>
        <v>115</v>
      </c>
      <c r="E116" s="186">
        <f>'Monthly Data'!BJ116</f>
        <v>7346.3842986663703</v>
      </c>
      <c r="F116" s="186">
        <f>'Monthly Data'!BS116</f>
        <v>0</v>
      </c>
      <c r="G116" s="186">
        <f>'Monthly Data'!BT116</f>
        <v>1</v>
      </c>
      <c r="H116" s="186">
        <f>'Monthly Data'!CA116</f>
        <v>0</v>
      </c>
      <c r="I116" s="186">
        <f>'Monthly Data'!CC116</f>
        <v>31</v>
      </c>
      <c r="J116" s="186"/>
      <c r="K116" s="186">
        <f>'Intermediate OLS Model'!$B$5</f>
        <v>-415228.02881662402</v>
      </c>
      <c r="L116" s="186">
        <f>'Intermediate OLS Model'!$B$6*D116</f>
        <v>-661999.60637896659</v>
      </c>
      <c r="M116" s="186">
        <v>0</v>
      </c>
      <c r="N116" s="186">
        <f>'Intermediate OLS Model'!$B$7*F116</f>
        <v>0</v>
      </c>
      <c r="O116" s="186">
        <f>'Intermediate OLS Model'!$B$8*G116</f>
        <v>428565.96548408002</v>
      </c>
      <c r="P116" s="186">
        <f>'Intermediate OLS Model'!$B$9*H116</f>
        <v>0</v>
      </c>
      <c r="Q116" s="186">
        <f>'Intermediate OLS Model'!$B$10*I116</f>
        <v>4597068.1483280482</v>
      </c>
      <c r="R116" s="186">
        <f t="shared" si="9"/>
        <v>3948406.4786165375</v>
      </c>
    </row>
    <row r="117" spans="1:18">
      <c r="A117" s="128">
        <v>43313</v>
      </c>
      <c r="B117" s="186">
        <f t="shared" si="10"/>
        <v>2018</v>
      </c>
      <c r="C117" s="186">
        <f ca="1">'Monthly Data'!Z117</f>
        <v>3230274.8984670327</v>
      </c>
      <c r="D117" s="186">
        <f t="shared" si="7"/>
        <v>116</v>
      </c>
      <c r="E117" s="168">
        <f>Employment!B141</f>
        <v>7349.8813874178613</v>
      </c>
      <c r="F117" s="186">
        <f>'Monthly Data'!BS117</f>
        <v>0</v>
      </c>
      <c r="G117" s="186">
        <f>'Monthly Data'!BT117</f>
        <v>0</v>
      </c>
      <c r="H117" s="186">
        <f>'Monthly Data'!CA117</f>
        <v>0</v>
      </c>
      <c r="I117" s="186">
        <f>'Monthly Data'!CC117</f>
        <v>31</v>
      </c>
      <c r="J117" s="186"/>
      <c r="K117" s="186">
        <f>'Intermediate OLS Model'!$B$5</f>
        <v>-415228.02881662402</v>
      </c>
      <c r="L117" s="186">
        <f>'Intermediate OLS Model'!$B$6*D117</f>
        <v>-667756.12469530548</v>
      </c>
      <c r="M117" s="186">
        <v>0</v>
      </c>
      <c r="N117" s="186">
        <f>'Intermediate OLS Model'!$B$7*F117</f>
        <v>0</v>
      </c>
      <c r="O117" s="186">
        <f>'Intermediate OLS Model'!$B$8*G117</f>
        <v>0</v>
      </c>
      <c r="P117" s="186">
        <f>'Intermediate OLS Model'!$B$9*H117</f>
        <v>0</v>
      </c>
      <c r="Q117" s="186">
        <f>'Intermediate OLS Model'!$B$10*I117</f>
        <v>4597068.1483280482</v>
      </c>
      <c r="R117" s="186">
        <f t="shared" si="9"/>
        <v>3514083.9948161189</v>
      </c>
    </row>
    <row r="118" spans="1:18">
      <c r="A118" s="128">
        <v>43344</v>
      </c>
      <c r="B118" s="186">
        <f t="shared" si="10"/>
        <v>2018</v>
      </c>
      <c r="C118" s="186">
        <f ca="1">'Monthly Data'!Z118</f>
        <v>3384714.4784670328</v>
      </c>
      <c r="D118" s="186">
        <f t="shared" si="7"/>
        <v>117</v>
      </c>
      <c r="E118" s="186">
        <f>'Monthly Data'!BJ118</f>
        <v>7309.115324257632</v>
      </c>
      <c r="F118" s="186">
        <f>'Monthly Data'!BS118</f>
        <v>0</v>
      </c>
      <c r="G118" s="186">
        <f>'Monthly Data'!BT118</f>
        <v>0</v>
      </c>
      <c r="H118" s="186">
        <f>'Monthly Data'!CA118</f>
        <v>1</v>
      </c>
      <c r="I118" s="186">
        <f>'Monthly Data'!CC118</f>
        <v>30</v>
      </c>
      <c r="J118" s="186"/>
      <c r="K118" s="186">
        <f>'Intermediate OLS Model'!$B$5</f>
        <v>-415228.02881662402</v>
      </c>
      <c r="L118" s="186">
        <f>'Intermediate OLS Model'!$B$6*D118</f>
        <v>-673512.64301164425</v>
      </c>
      <c r="M118" s="186">
        <v>0</v>
      </c>
      <c r="N118" s="186">
        <f>'Intermediate OLS Model'!$B$7*F118</f>
        <v>0</v>
      </c>
      <c r="O118" s="186">
        <f>'Intermediate OLS Model'!$B$8*G118</f>
        <v>0</v>
      </c>
      <c r="P118" s="186">
        <f>'Intermediate OLS Model'!$B$9*H118</f>
        <v>219659.05071226999</v>
      </c>
      <c r="Q118" s="186">
        <f>'Intermediate OLS Model'!$B$10*I118</f>
        <v>4448775.6274142396</v>
      </c>
      <c r="R118" s="186">
        <f t="shared" si="9"/>
        <v>3579694.0062982412</v>
      </c>
    </row>
    <row r="119" spans="1:18">
      <c r="A119" s="128">
        <v>43374</v>
      </c>
      <c r="B119" s="186">
        <f t="shared" si="10"/>
        <v>2018</v>
      </c>
      <c r="C119" s="186">
        <f ca="1">'Monthly Data'!Z119</f>
        <v>3691608.7784670331</v>
      </c>
      <c r="D119" s="186">
        <f t="shared" si="7"/>
        <v>118</v>
      </c>
      <c r="E119" s="186">
        <f>'Monthly Data'!BJ119</f>
        <v>7268.3492610974017</v>
      </c>
      <c r="F119" s="186">
        <f>'Monthly Data'!BS119</f>
        <v>0</v>
      </c>
      <c r="G119" s="186">
        <f>'Monthly Data'!BT119</f>
        <v>0</v>
      </c>
      <c r="H119" s="186">
        <f>'Monthly Data'!CA119</f>
        <v>1</v>
      </c>
      <c r="I119" s="186">
        <f>'Monthly Data'!CC119</f>
        <v>31</v>
      </c>
      <c r="J119" s="186"/>
      <c r="K119" s="186">
        <f>'Intermediate OLS Model'!$B$5</f>
        <v>-415228.02881662402</v>
      </c>
      <c r="L119" s="186">
        <f>'Intermediate OLS Model'!$B$6*D119</f>
        <v>-679269.16132798314</v>
      </c>
      <c r="M119" s="186">
        <v>0</v>
      </c>
      <c r="N119" s="186">
        <f>'Intermediate OLS Model'!$B$7*F119</f>
        <v>0</v>
      </c>
      <c r="O119" s="186">
        <f>'Intermediate OLS Model'!$B$8*G119</f>
        <v>0</v>
      </c>
      <c r="P119" s="186">
        <f>'Intermediate OLS Model'!$B$9*H119</f>
        <v>219659.05071226999</v>
      </c>
      <c r="Q119" s="186">
        <f>'Intermediate OLS Model'!$B$10*I119</f>
        <v>4597068.1483280482</v>
      </c>
      <c r="R119" s="186">
        <f t="shared" si="9"/>
        <v>3722230.008895711</v>
      </c>
    </row>
    <row r="120" spans="1:18">
      <c r="A120" s="128">
        <v>43405</v>
      </c>
      <c r="B120" s="186">
        <f t="shared" si="10"/>
        <v>2018</v>
      </c>
      <c r="C120" s="186">
        <f ca="1">'Monthly Data'!Z120</f>
        <v>3541248.8384670331</v>
      </c>
      <c r="D120" s="186">
        <f t="shared" si="7"/>
        <v>119</v>
      </c>
      <c r="E120" s="186">
        <f>'Monthly Data'!BJ120</f>
        <v>7272.9454348850759</v>
      </c>
      <c r="F120" s="186">
        <f>'Monthly Data'!BS120</f>
        <v>0</v>
      </c>
      <c r="G120" s="186">
        <f>'Monthly Data'!BT120</f>
        <v>0</v>
      </c>
      <c r="H120" s="186">
        <f>'Monthly Data'!CA120</f>
        <v>1</v>
      </c>
      <c r="I120" s="186">
        <f>'Monthly Data'!CC120</f>
        <v>30</v>
      </c>
      <c r="J120" s="186"/>
      <c r="K120" s="186">
        <f>'Intermediate OLS Model'!$B$5</f>
        <v>-415228.02881662402</v>
      </c>
      <c r="L120" s="186">
        <f>'Intermediate OLS Model'!$B$6*D120</f>
        <v>-685025.67964432202</v>
      </c>
      <c r="M120" s="186">
        <v>0</v>
      </c>
      <c r="N120" s="186">
        <f>'Intermediate OLS Model'!$B$7*F120</f>
        <v>0</v>
      </c>
      <c r="O120" s="186">
        <f>'Intermediate OLS Model'!$B$8*G120</f>
        <v>0</v>
      </c>
      <c r="P120" s="186">
        <f>'Intermediate OLS Model'!$B$9*H120</f>
        <v>219659.05071226999</v>
      </c>
      <c r="Q120" s="186">
        <f>'Intermediate OLS Model'!$B$10*I120</f>
        <v>4448775.6274142396</v>
      </c>
      <c r="R120" s="186">
        <f t="shared" si="9"/>
        <v>3568180.9696655637</v>
      </c>
    </row>
    <row r="121" spans="1:18">
      <c r="A121" s="128">
        <v>43435</v>
      </c>
      <c r="B121" s="186">
        <f t="shared" si="10"/>
        <v>2018</v>
      </c>
      <c r="C121" s="186">
        <f ca="1">'Monthly Data'!Z121</f>
        <v>3941344.4184670327</v>
      </c>
      <c r="D121" s="186">
        <f t="shared" si="7"/>
        <v>120</v>
      </c>
      <c r="E121" s="168">
        <f>Employment!B145</f>
        <v>7296.6257215737387</v>
      </c>
      <c r="F121" s="186">
        <f>'Monthly Data'!BS121</f>
        <v>0</v>
      </c>
      <c r="G121" s="186">
        <f>'Monthly Data'!BT121</f>
        <v>0</v>
      </c>
      <c r="H121" s="186">
        <f>'Monthly Data'!CA121</f>
        <v>0</v>
      </c>
      <c r="I121" s="186">
        <f>'Monthly Data'!CC121</f>
        <v>31</v>
      </c>
      <c r="J121" s="186"/>
      <c r="K121" s="186">
        <f>'Intermediate OLS Model'!$B$5</f>
        <v>-415228.02881662402</v>
      </c>
      <c r="L121" s="186">
        <f>'Intermediate OLS Model'!$B$6*D121</f>
        <v>-690782.19796066079</v>
      </c>
      <c r="M121" s="186">
        <v>0</v>
      </c>
      <c r="N121" s="186">
        <f>'Intermediate OLS Model'!$B$7*F121</f>
        <v>0</v>
      </c>
      <c r="O121" s="186">
        <f>'Intermediate OLS Model'!$B$8*G121</f>
        <v>0</v>
      </c>
      <c r="P121" s="186">
        <f>'Intermediate OLS Model'!$B$9*H121</f>
        <v>0</v>
      </c>
      <c r="Q121" s="186">
        <f>'Intermediate OLS Model'!$B$10*I121</f>
        <v>4597068.1483280482</v>
      </c>
      <c r="R121" s="186">
        <f t="shared" si="9"/>
        <v>3491057.9215507633</v>
      </c>
    </row>
    <row r="122" spans="1:18">
      <c r="A122" s="26">
        <v>43466</v>
      </c>
      <c r="B122">
        <f t="shared" si="8"/>
        <v>2019</v>
      </c>
      <c r="D122">
        <f t="shared" si="7"/>
        <v>121</v>
      </c>
      <c r="E122">
        <f>E110*(1+Employment!L$4)</f>
        <v>7341.4998048986618</v>
      </c>
      <c r="F122" s="127">
        <f t="shared" ref="F122:H122" si="11">F74</f>
        <v>0</v>
      </c>
      <c r="G122" s="127">
        <f t="shared" si="11"/>
        <v>0</v>
      </c>
      <c r="H122" s="127">
        <f t="shared" si="11"/>
        <v>0</v>
      </c>
      <c r="I122" s="127">
        <f t="shared" ref="I122:I145" si="12">I74</f>
        <v>31</v>
      </c>
      <c r="K122" s="127">
        <f>'Intermediate OLS Model'!$B$5</f>
        <v>-415228.02881662402</v>
      </c>
      <c r="L122" s="186">
        <f>'Intermediate OLS Model'!$B$6*D122</f>
        <v>-696538.71627699968</v>
      </c>
      <c r="M122" s="186">
        <v>0</v>
      </c>
      <c r="N122" s="186">
        <f>'Intermediate OLS Model'!$B$7*F122</f>
        <v>0</v>
      </c>
      <c r="O122" s="186">
        <f>'Intermediate OLS Model'!$B$8*G122</f>
        <v>0</v>
      </c>
      <c r="P122" s="186">
        <f>'Intermediate OLS Model'!$B$9*H122</f>
        <v>0</v>
      </c>
      <c r="Q122" s="186">
        <f>'Intermediate OLS Model'!$B$10*I122</f>
        <v>4597068.1483280482</v>
      </c>
      <c r="R122">
        <f t="shared" ref="R122:R145" si="13">SUM(K122:Q122)</f>
        <v>3485301.4032344245</v>
      </c>
    </row>
    <row r="123" spans="1:18">
      <c r="A123" s="26">
        <v>43497</v>
      </c>
      <c r="B123">
        <f t="shared" si="8"/>
        <v>2019</v>
      </c>
      <c r="D123">
        <f t="shared" si="7"/>
        <v>122</v>
      </c>
      <c r="E123">
        <f>E111*(1+Employment!L$4)</f>
        <v>7293.5977622824184</v>
      </c>
      <c r="F123" s="127">
        <f t="shared" ref="F123:H123" si="14">F75</f>
        <v>0</v>
      </c>
      <c r="G123" s="127">
        <f t="shared" si="14"/>
        <v>0</v>
      </c>
      <c r="H123" s="127">
        <f t="shared" si="14"/>
        <v>0</v>
      </c>
      <c r="I123" s="127">
        <f t="shared" si="12"/>
        <v>28</v>
      </c>
      <c r="K123" s="127">
        <f>'Intermediate OLS Model'!$B$5</f>
        <v>-415228.02881662402</v>
      </c>
      <c r="L123" s="186">
        <f>'Intermediate OLS Model'!$B$6*D123</f>
        <v>-702295.23459333845</v>
      </c>
      <c r="M123" s="186">
        <v>0</v>
      </c>
      <c r="N123" s="186">
        <f>'Intermediate OLS Model'!$B$7*F123</f>
        <v>0</v>
      </c>
      <c r="O123" s="186">
        <f>'Intermediate OLS Model'!$B$8*G123</f>
        <v>0</v>
      </c>
      <c r="P123" s="186">
        <f>'Intermediate OLS Model'!$B$9*H123</f>
        <v>0</v>
      </c>
      <c r="Q123" s="186">
        <f>'Intermediate OLS Model'!$B$10*I123</f>
        <v>4152190.5855866238</v>
      </c>
      <c r="R123">
        <f t="shared" si="13"/>
        <v>3034667.3221766613</v>
      </c>
    </row>
    <row r="124" spans="1:18">
      <c r="A124" s="26">
        <v>43525</v>
      </c>
      <c r="B124">
        <f t="shared" si="8"/>
        <v>2019</v>
      </c>
      <c r="D124">
        <f t="shared" si="7"/>
        <v>123</v>
      </c>
      <c r="E124">
        <f>E112*(1+Employment!L$4)</f>
        <v>7249.0734277993733</v>
      </c>
      <c r="F124" s="127">
        <f t="shared" ref="F124:H124" si="15">F76</f>
        <v>0</v>
      </c>
      <c r="G124" s="127">
        <f t="shared" si="15"/>
        <v>0</v>
      </c>
      <c r="H124" s="127">
        <f t="shared" si="15"/>
        <v>0</v>
      </c>
      <c r="I124" s="127">
        <f t="shared" si="12"/>
        <v>31</v>
      </c>
      <c r="K124" s="127">
        <f>'Intermediate OLS Model'!$B$5</f>
        <v>-415228.02881662402</v>
      </c>
      <c r="L124" s="186">
        <f>'Intermediate OLS Model'!$B$6*D124</f>
        <v>-708051.75290967734</v>
      </c>
      <c r="M124" s="186">
        <v>0</v>
      </c>
      <c r="N124" s="186">
        <f>'Intermediate OLS Model'!$B$7*F124</f>
        <v>0</v>
      </c>
      <c r="O124" s="186">
        <f>'Intermediate OLS Model'!$B$8*G124</f>
        <v>0</v>
      </c>
      <c r="P124" s="186">
        <f>'Intermediate OLS Model'!$B$9*H124</f>
        <v>0</v>
      </c>
      <c r="Q124" s="186">
        <f>'Intermediate OLS Model'!$B$10*I124</f>
        <v>4597068.1483280482</v>
      </c>
      <c r="R124">
        <f t="shared" si="13"/>
        <v>3473788.3666017465</v>
      </c>
    </row>
    <row r="125" spans="1:18">
      <c r="A125" s="26">
        <v>43556</v>
      </c>
      <c r="B125">
        <f t="shared" si="8"/>
        <v>2019</v>
      </c>
      <c r="D125">
        <f t="shared" si="7"/>
        <v>124</v>
      </c>
      <c r="E125">
        <f>E113*(1+Employment!L$4)</f>
        <v>7275.7880284892008</v>
      </c>
      <c r="F125" s="127">
        <f t="shared" ref="F125:H125" si="16">F77</f>
        <v>0</v>
      </c>
      <c r="G125" s="127">
        <f t="shared" si="16"/>
        <v>0</v>
      </c>
      <c r="H125" s="127">
        <f t="shared" si="16"/>
        <v>0</v>
      </c>
      <c r="I125" s="127">
        <f t="shared" si="12"/>
        <v>30</v>
      </c>
      <c r="K125" s="127">
        <f>'Intermediate OLS Model'!$B$5</f>
        <v>-415228.02881662402</v>
      </c>
      <c r="L125" s="186">
        <f>'Intermediate OLS Model'!$B$6*D125</f>
        <v>-713808.27122601622</v>
      </c>
      <c r="M125" s="186">
        <v>0</v>
      </c>
      <c r="N125" s="186">
        <f>'Intermediate OLS Model'!$B$7*F125</f>
        <v>0</v>
      </c>
      <c r="O125" s="186">
        <f>'Intermediate OLS Model'!$B$8*G125</f>
        <v>0</v>
      </c>
      <c r="P125" s="186">
        <f>'Intermediate OLS Model'!$B$9*H125</f>
        <v>0</v>
      </c>
      <c r="Q125" s="186">
        <f>'Intermediate OLS Model'!$B$10*I125</f>
        <v>4448775.6274142396</v>
      </c>
      <c r="R125">
        <f t="shared" si="13"/>
        <v>3319739.3273715992</v>
      </c>
    </row>
    <row r="126" spans="1:18">
      <c r="A126" s="26">
        <v>43586</v>
      </c>
      <c r="B126">
        <f t="shared" si="8"/>
        <v>2019</v>
      </c>
      <c r="D126">
        <f t="shared" si="7"/>
        <v>125</v>
      </c>
      <c r="E126">
        <f>E114*(1+Employment!L$4)</f>
        <v>7343.6492555288769</v>
      </c>
      <c r="F126" s="127">
        <f t="shared" ref="F126:H126" si="17">F78</f>
        <v>0</v>
      </c>
      <c r="G126" s="127">
        <f t="shared" si="17"/>
        <v>0</v>
      </c>
      <c r="H126" s="127">
        <f t="shared" si="17"/>
        <v>0</v>
      </c>
      <c r="I126" s="127">
        <f t="shared" si="12"/>
        <v>31</v>
      </c>
      <c r="K126" s="127">
        <f>'Intermediate OLS Model'!$B$5</f>
        <v>-415228.02881662402</v>
      </c>
      <c r="L126" s="186">
        <f>'Intermediate OLS Model'!$B$6*D126</f>
        <v>-719564.78954235499</v>
      </c>
      <c r="M126" s="186">
        <v>0</v>
      </c>
      <c r="N126" s="186">
        <f>'Intermediate OLS Model'!$B$7*F126</f>
        <v>0</v>
      </c>
      <c r="O126" s="186">
        <f>'Intermediate OLS Model'!$B$8*G126</f>
        <v>0</v>
      </c>
      <c r="P126" s="186">
        <f>'Intermediate OLS Model'!$B$9*H126</f>
        <v>0</v>
      </c>
      <c r="Q126" s="186">
        <f>'Intermediate OLS Model'!$B$10*I126</f>
        <v>4597068.1483280482</v>
      </c>
      <c r="R126">
        <f t="shared" si="13"/>
        <v>3462275.329969069</v>
      </c>
    </row>
    <row r="127" spans="1:18">
      <c r="A127" s="26">
        <v>43617</v>
      </c>
      <c r="B127">
        <f t="shared" si="8"/>
        <v>2019</v>
      </c>
      <c r="D127">
        <f t="shared" si="7"/>
        <v>126</v>
      </c>
      <c r="E127">
        <f>E115*(1+Employment!L$4)</f>
        <v>7440.3745338885947</v>
      </c>
      <c r="F127" s="127">
        <f t="shared" ref="F127:H127" si="18">F79</f>
        <v>1</v>
      </c>
      <c r="G127" s="127">
        <f t="shared" si="18"/>
        <v>0</v>
      </c>
      <c r="H127" s="127">
        <f t="shared" si="18"/>
        <v>0</v>
      </c>
      <c r="I127" s="127">
        <f t="shared" si="12"/>
        <v>30</v>
      </c>
      <c r="K127" s="127">
        <f>'Intermediate OLS Model'!$B$5</f>
        <v>-415228.02881662402</v>
      </c>
      <c r="L127" s="186">
        <f>'Intermediate OLS Model'!$B$6*D127</f>
        <v>-725321.30785869388</v>
      </c>
      <c r="M127" s="186">
        <v>0</v>
      </c>
      <c r="N127" s="186">
        <f>'Intermediate OLS Model'!$B$7*F127</f>
        <v>346553.62108035001</v>
      </c>
      <c r="O127" s="186">
        <f>'Intermediate OLS Model'!$B$8*G127</f>
        <v>0</v>
      </c>
      <c r="P127" s="186">
        <f>'Intermediate OLS Model'!$B$9*H127</f>
        <v>0</v>
      </c>
      <c r="Q127" s="186">
        <f>'Intermediate OLS Model'!$B$10*I127</f>
        <v>4448775.6274142396</v>
      </c>
      <c r="R127">
        <f t="shared" si="13"/>
        <v>3654779.9118192717</v>
      </c>
    </row>
    <row r="128" spans="1:18">
      <c r="A128" s="26">
        <v>43647</v>
      </c>
      <c r="B128">
        <f t="shared" si="8"/>
        <v>2019</v>
      </c>
      <c r="D128">
        <f t="shared" si="7"/>
        <v>127</v>
      </c>
      <c r="E128">
        <f>E116*(1+Employment!L$4)</f>
        <v>7525.6360755538299</v>
      </c>
      <c r="F128" s="127">
        <f t="shared" ref="F128:H128" si="19">F80</f>
        <v>0</v>
      </c>
      <c r="G128" s="127">
        <f t="shared" si="19"/>
        <v>1</v>
      </c>
      <c r="H128" s="127">
        <f t="shared" si="19"/>
        <v>0</v>
      </c>
      <c r="I128" s="127">
        <f t="shared" si="12"/>
        <v>31</v>
      </c>
      <c r="K128" s="127">
        <f>'Intermediate OLS Model'!$B$5</f>
        <v>-415228.02881662402</v>
      </c>
      <c r="L128" s="186">
        <f>'Intermediate OLS Model'!$B$6*D128</f>
        <v>-731077.82617503265</v>
      </c>
      <c r="M128" s="186">
        <v>0</v>
      </c>
      <c r="N128" s="186">
        <f>'Intermediate OLS Model'!$B$7*F128</f>
        <v>0</v>
      </c>
      <c r="O128" s="186">
        <f>'Intermediate OLS Model'!$B$8*G128</f>
        <v>428565.96548408002</v>
      </c>
      <c r="P128" s="186">
        <f>'Intermediate OLS Model'!$B$9*H128</f>
        <v>0</v>
      </c>
      <c r="Q128" s="186">
        <f>'Intermediate OLS Model'!$B$10*I128</f>
        <v>4597068.1483280482</v>
      </c>
      <c r="R128">
        <f t="shared" si="13"/>
        <v>3879328.2588204714</v>
      </c>
    </row>
    <row r="129" spans="1:18">
      <c r="A129" s="26">
        <v>43678</v>
      </c>
      <c r="B129">
        <f t="shared" si="8"/>
        <v>2019</v>
      </c>
      <c r="D129">
        <f t="shared" si="7"/>
        <v>128</v>
      </c>
      <c r="E129">
        <f>E117*(1+Employment!L$4)</f>
        <v>7529.2184932708569</v>
      </c>
      <c r="F129" s="127">
        <f t="shared" ref="F129:H129" si="20">F81</f>
        <v>0</v>
      </c>
      <c r="G129" s="127">
        <f t="shared" si="20"/>
        <v>0</v>
      </c>
      <c r="H129" s="127">
        <f t="shared" si="20"/>
        <v>0</v>
      </c>
      <c r="I129" s="127">
        <f t="shared" si="12"/>
        <v>31</v>
      </c>
      <c r="K129" s="127">
        <f>'Intermediate OLS Model'!$B$5</f>
        <v>-415228.02881662402</v>
      </c>
      <c r="L129" s="186">
        <f>'Intermediate OLS Model'!$B$6*D129</f>
        <v>-736834.34449137154</v>
      </c>
      <c r="M129" s="186">
        <v>0</v>
      </c>
      <c r="N129" s="186">
        <f>'Intermediate OLS Model'!$B$7*F129</f>
        <v>0</v>
      </c>
      <c r="O129" s="186">
        <f>'Intermediate OLS Model'!$B$8*G129</f>
        <v>0</v>
      </c>
      <c r="P129" s="186">
        <f>'Intermediate OLS Model'!$B$9*H129</f>
        <v>0</v>
      </c>
      <c r="Q129" s="186">
        <f>'Intermediate OLS Model'!$B$10*I129</f>
        <v>4597068.1483280482</v>
      </c>
      <c r="R129">
        <f t="shared" si="13"/>
        <v>3445005.7750200527</v>
      </c>
    </row>
    <row r="130" spans="1:18">
      <c r="A130" s="26">
        <v>43709</v>
      </c>
      <c r="B130">
        <f t="shared" si="8"/>
        <v>2019</v>
      </c>
      <c r="D130">
        <f t="shared" si="7"/>
        <v>129</v>
      </c>
      <c r="E130">
        <f>E118*(1+Employment!L$4)</f>
        <v>7487.4577381695181</v>
      </c>
      <c r="F130" s="127">
        <f t="shared" ref="F130:H130" si="21">F82</f>
        <v>0</v>
      </c>
      <c r="G130" s="127">
        <f t="shared" si="21"/>
        <v>0</v>
      </c>
      <c r="H130" s="127">
        <f t="shared" si="21"/>
        <v>1</v>
      </c>
      <c r="I130" s="127">
        <f t="shared" si="12"/>
        <v>30</v>
      </c>
      <c r="K130" s="127">
        <f>'Intermediate OLS Model'!$B$5</f>
        <v>-415228.02881662402</v>
      </c>
      <c r="L130" s="186">
        <f>'Intermediate OLS Model'!$B$6*D130</f>
        <v>-742590.86280771042</v>
      </c>
      <c r="M130" s="186">
        <v>0</v>
      </c>
      <c r="N130" s="186">
        <f>'Intermediate OLS Model'!$B$7*F130</f>
        <v>0</v>
      </c>
      <c r="O130" s="186">
        <f>'Intermediate OLS Model'!$B$8*G130</f>
        <v>0</v>
      </c>
      <c r="P130" s="186">
        <f>'Intermediate OLS Model'!$B$9*H130</f>
        <v>219659.05071226999</v>
      </c>
      <c r="Q130" s="186">
        <f>'Intermediate OLS Model'!$B$10*I130</f>
        <v>4448775.6274142396</v>
      </c>
      <c r="R130">
        <f t="shared" si="13"/>
        <v>3510615.786502175</v>
      </c>
    </row>
    <row r="131" spans="1:18">
      <c r="A131" s="26">
        <v>43739</v>
      </c>
      <c r="B131">
        <f t="shared" si="8"/>
        <v>2019</v>
      </c>
      <c r="D131">
        <f t="shared" si="7"/>
        <v>130</v>
      </c>
      <c r="E131">
        <f>E119*(1+Employment!L$4)</f>
        <v>7445.6969830681783</v>
      </c>
      <c r="F131" s="127">
        <f t="shared" ref="F131:H131" si="22">F83</f>
        <v>0</v>
      </c>
      <c r="G131" s="127">
        <f t="shared" si="22"/>
        <v>0</v>
      </c>
      <c r="H131" s="127">
        <f t="shared" si="22"/>
        <v>1</v>
      </c>
      <c r="I131" s="127">
        <f t="shared" si="12"/>
        <v>31</v>
      </c>
      <c r="K131" s="127">
        <f>'Intermediate OLS Model'!$B$5</f>
        <v>-415228.02881662402</v>
      </c>
      <c r="L131" s="186">
        <f>'Intermediate OLS Model'!$B$6*D131</f>
        <v>-748347.38112404919</v>
      </c>
      <c r="M131" s="186">
        <v>0</v>
      </c>
      <c r="N131" s="186">
        <f>'Intermediate OLS Model'!$B$7*F131</f>
        <v>0</v>
      </c>
      <c r="O131" s="186">
        <f>'Intermediate OLS Model'!$B$8*G131</f>
        <v>0</v>
      </c>
      <c r="P131" s="186">
        <f>'Intermediate OLS Model'!$B$9*H131</f>
        <v>219659.05071226999</v>
      </c>
      <c r="Q131" s="186">
        <f>'Intermediate OLS Model'!$B$10*I131</f>
        <v>4597068.1483280482</v>
      </c>
      <c r="R131">
        <f t="shared" si="13"/>
        <v>3653151.7890996449</v>
      </c>
    </row>
    <row r="132" spans="1:18">
      <c r="A132" s="26">
        <v>43770</v>
      </c>
      <c r="B132">
        <f t="shared" si="8"/>
        <v>2019</v>
      </c>
      <c r="D132">
        <f t="shared" si="7"/>
        <v>131</v>
      </c>
      <c r="E132">
        <f>E120*(1+Employment!L$4)</f>
        <v>7450.4053034962717</v>
      </c>
      <c r="F132" s="127">
        <f t="shared" ref="F132:H132" si="23">F84</f>
        <v>0</v>
      </c>
      <c r="G132" s="127">
        <f t="shared" si="23"/>
        <v>0</v>
      </c>
      <c r="H132" s="127">
        <f t="shared" si="23"/>
        <v>1</v>
      </c>
      <c r="I132" s="127">
        <f t="shared" si="12"/>
        <v>30</v>
      </c>
      <c r="K132" s="127">
        <f>'Intermediate OLS Model'!$B$5</f>
        <v>-415228.02881662402</v>
      </c>
      <c r="L132" s="186">
        <f>'Intermediate OLS Model'!$B$6*D132</f>
        <v>-754103.89944038808</v>
      </c>
      <c r="M132" s="186">
        <v>0</v>
      </c>
      <c r="N132" s="186">
        <f>'Intermediate OLS Model'!$B$7*F132</f>
        <v>0</v>
      </c>
      <c r="O132" s="186">
        <f>'Intermediate OLS Model'!$B$8*G132</f>
        <v>0</v>
      </c>
      <c r="P132" s="186">
        <f>'Intermediate OLS Model'!$B$9*H132</f>
        <v>219659.05071226999</v>
      </c>
      <c r="Q132" s="186">
        <f>'Intermediate OLS Model'!$B$10*I132</f>
        <v>4448775.6274142396</v>
      </c>
      <c r="R132">
        <f t="shared" si="13"/>
        <v>3499102.7498694975</v>
      </c>
    </row>
    <row r="133" spans="1:18">
      <c r="A133" s="26">
        <v>43800</v>
      </c>
      <c r="B133">
        <f t="shared" si="8"/>
        <v>2019</v>
      </c>
      <c r="D133">
        <f t="shared" si="7"/>
        <v>132</v>
      </c>
      <c r="E133">
        <f>E121*(1+Employment!L$4)</f>
        <v>7474.6633891801375</v>
      </c>
      <c r="F133" s="127">
        <f t="shared" ref="F133:H133" si="24">F85</f>
        <v>0</v>
      </c>
      <c r="G133" s="127">
        <f t="shared" si="24"/>
        <v>0</v>
      </c>
      <c r="H133" s="127">
        <f t="shared" si="24"/>
        <v>0</v>
      </c>
      <c r="I133" s="127">
        <f t="shared" si="12"/>
        <v>31</v>
      </c>
      <c r="K133" s="127">
        <f>'Intermediate OLS Model'!$B$5</f>
        <v>-415228.02881662402</v>
      </c>
      <c r="L133" s="186">
        <f>'Intermediate OLS Model'!$B$6*D133</f>
        <v>-759860.41775672685</v>
      </c>
      <c r="M133" s="186">
        <v>0</v>
      </c>
      <c r="N133" s="186">
        <f>'Intermediate OLS Model'!$B$7*F133</f>
        <v>0</v>
      </c>
      <c r="O133" s="186">
        <f>'Intermediate OLS Model'!$B$8*G133</f>
        <v>0</v>
      </c>
      <c r="P133" s="186">
        <f>'Intermediate OLS Model'!$B$9*H133</f>
        <v>0</v>
      </c>
      <c r="Q133" s="186">
        <f>'Intermediate OLS Model'!$B$10*I133</f>
        <v>4597068.1483280482</v>
      </c>
      <c r="R133">
        <f t="shared" si="13"/>
        <v>3421979.7017546976</v>
      </c>
    </row>
    <row r="134" spans="1:18">
      <c r="A134" s="128">
        <v>43831</v>
      </c>
      <c r="B134" s="127">
        <f t="shared" ref="B134:B145" si="25">YEAR(A134)</f>
        <v>2020</v>
      </c>
      <c r="C134" s="127"/>
      <c r="D134" s="127">
        <f t="shared" si="7"/>
        <v>133</v>
      </c>
      <c r="E134" s="127">
        <f>E122*(1+Employment!L$5)</f>
        <v>7417.8514028696072</v>
      </c>
      <c r="F134" s="127">
        <f t="shared" ref="F134:H134" si="26">F86</f>
        <v>0</v>
      </c>
      <c r="G134" s="127">
        <f t="shared" si="26"/>
        <v>0</v>
      </c>
      <c r="H134" s="127">
        <f t="shared" si="26"/>
        <v>0</v>
      </c>
      <c r="I134" s="127">
        <f t="shared" si="12"/>
        <v>31</v>
      </c>
      <c r="J134" s="127"/>
      <c r="K134" s="127">
        <f>'Intermediate OLS Model'!$B$5</f>
        <v>-415228.02881662402</v>
      </c>
      <c r="L134" s="186">
        <f>'Intermediate OLS Model'!$B$6*D134</f>
        <v>-765616.93607306574</v>
      </c>
      <c r="M134" s="186">
        <v>0</v>
      </c>
      <c r="N134" s="186">
        <f>'Intermediate OLS Model'!$B$7*F134</f>
        <v>0</v>
      </c>
      <c r="O134" s="186">
        <f>'Intermediate OLS Model'!$B$8*G134</f>
        <v>0</v>
      </c>
      <c r="P134" s="186">
        <f>'Intermediate OLS Model'!$B$9*H134</f>
        <v>0</v>
      </c>
      <c r="Q134" s="186">
        <f>'Intermediate OLS Model'!$B$10*I134</f>
        <v>4597068.1483280482</v>
      </c>
      <c r="R134" s="127">
        <f t="shared" si="13"/>
        <v>3416223.1834383584</v>
      </c>
    </row>
    <row r="135" spans="1:18">
      <c r="A135" s="128">
        <v>43862</v>
      </c>
      <c r="B135" s="127">
        <f t="shared" si="25"/>
        <v>2020</v>
      </c>
      <c r="C135" s="127"/>
      <c r="D135" s="127">
        <f t="shared" si="7"/>
        <v>134</v>
      </c>
      <c r="E135" s="127">
        <f>E123*(1+Employment!L$5)</f>
        <v>7369.4511790101551</v>
      </c>
      <c r="F135" s="127">
        <f t="shared" ref="F135:H135" si="27">F87</f>
        <v>0</v>
      </c>
      <c r="G135" s="127">
        <f t="shared" si="27"/>
        <v>0</v>
      </c>
      <c r="H135" s="127">
        <f t="shared" si="27"/>
        <v>0</v>
      </c>
      <c r="I135" s="127">
        <f t="shared" si="12"/>
        <v>29</v>
      </c>
      <c r="J135" s="127"/>
      <c r="K135" s="127">
        <f>'Intermediate OLS Model'!$B$5</f>
        <v>-415228.02881662402</v>
      </c>
      <c r="L135" s="186">
        <f>'Intermediate OLS Model'!$B$6*D135</f>
        <v>-771373.45438940462</v>
      </c>
      <c r="M135" s="186">
        <v>0</v>
      </c>
      <c r="N135" s="186">
        <f>'Intermediate OLS Model'!$B$7*F135</f>
        <v>0</v>
      </c>
      <c r="O135" s="186">
        <f>'Intermediate OLS Model'!$B$8*G135</f>
        <v>0</v>
      </c>
      <c r="P135" s="186">
        <f>'Intermediate OLS Model'!$B$9*H135</f>
        <v>0</v>
      </c>
      <c r="Q135" s="186">
        <f>'Intermediate OLS Model'!$B$10*I135</f>
        <v>4300483.1065004319</v>
      </c>
      <c r="R135" s="127">
        <f t="shared" si="13"/>
        <v>3113881.6232944033</v>
      </c>
    </row>
    <row r="136" spans="1:18">
      <c r="A136" s="128">
        <v>43891</v>
      </c>
      <c r="B136" s="127">
        <f t="shared" si="25"/>
        <v>2020</v>
      </c>
      <c r="C136" s="127"/>
      <c r="D136" s="127">
        <f t="shared" si="7"/>
        <v>135</v>
      </c>
      <c r="E136" s="127">
        <f>E124*(1+Employment!L$5)</f>
        <v>7324.4637914484865</v>
      </c>
      <c r="F136" s="127">
        <f t="shared" ref="F136:H136" si="28">F88</f>
        <v>0</v>
      </c>
      <c r="G136" s="127">
        <f t="shared" si="28"/>
        <v>0</v>
      </c>
      <c r="H136" s="127">
        <f t="shared" si="28"/>
        <v>0</v>
      </c>
      <c r="I136" s="127">
        <f t="shared" si="12"/>
        <v>31</v>
      </c>
      <c r="J136" s="127"/>
      <c r="K136" s="127">
        <f>'Intermediate OLS Model'!$B$5</f>
        <v>-415228.02881662402</v>
      </c>
      <c r="L136" s="186">
        <f>'Intermediate OLS Model'!$B$6*D136</f>
        <v>-777129.97270574339</v>
      </c>
      <c r="M136" s="186">
        <v>0</v>
      </c>
      <c r="N136" s="186">
        <f>'Intermediate OLS Model'!$B$7*F136</f>
        <v>0</v>
      </c>
      <c r="O136" s="186">
        <f>'Intermediate OLS Model'!$B$8*G136</f>
        <v>0</v>
      </c>
      <c r="P136" s="186">
        <f>'Intermediate OLS Model'!$B$9*H136</f>
        <v>0</v>
      </c>
      <c r="Q136" s="186">
        <f>'Intermediate OLS Model'!$B$10*I136</f>
        <v>4597068.1483280482</v>
      </c>
      <c r="R136" s="127">
        <f t="shared" si="13"/>
        <v>3404710.1468056808</v>
      </c>
    </row>
    <row r="137" spans="1:18">
      <c r="A137" s="128">
        <v>43922</v>
      </c>
      <c r="B137" s="127">
        <f t="shared" si="25"/>
        <v>2020</v>
      </c>
      <c r="C137" s="127"/>
      <c r="D137" s="127">
        <f t="shared" si="7"/>
        <v>136</v>
      </c>
      <c r="E137" s="127">
        <f>E125*(1+Employment!L$5)</f>
        <v>7351.4562239854886</v>
      </c>
      <c r="F137" s="127">
        <f t="shared" ref="F137:H137" si="29">F89</f>
        <v>0</v>
      </c>
      <c r="G137" s="127">
        <f t="shared" si="29"/>
        <v>0</v>
      </c>
      <c r="H137" s="127">
        <f t="shared" si="29"/>
        <v>0</v>
      </c>
      <c r="I137" s="127">
        <f t="shared" si="12"/>
        <v>30</v>
      </c>
      <c r="J137" s="127"/>
      <c r="K137" s="127">
        <f>'Intermediate OLS Model'!$B$5</f>
        <v>-415228.02881662402</v>
      </c>
      <c r="L137" s="186">
        <f>'Intermediate OLS Model'!$B$6*D137</f>
        <v>-782886.49102208228</v>
      </c>
      <c r="M137" s="186">
        <v>0</v>
      </c>
      <c r="N137" s="186">
        <f>'Intermediate OLS Model'!$B$7*F137</f>
        <v>0</v>
      </c>
      <c r="O137" s="186">
        <f>'Intermediate OLS Model'!$B$8*G137</f>
        <v>0</v>
      </c>
      <c r="P137" s="186">
        <f>'Intermediate OLS Model'!$B$9*H137</f>
        <v>0</v>
      </c>
      <c r="Q137" s="186">
        <f>'Intermediate OLS Model'!$B$10*I137</f>
        <v>4448775.6274142396</v>
      </c>
      <c r="R137" s="127">
        <f t="shared" si="13"/>
        <v>3250661.107575533</v>
      </c>
    </row>
    <row r="138" spans="1:18">
      <c r="A138" s="128">
        <v>43952</v>
      </c>
      <c r="B138" s="127">
        <f t="shared" si="25"/>
        <v>2020</v>
      </c>
      <c r="C138" s="127"/>
      <c r="D138" s="127">
        <f t="shared" si="7"/>
        <v>137</v>
      </c>
      <c r="E138" s="127">
        <f>E126*(1+Employment!L$5)</f>
        <v>7420.0232077863766</v>
      </c>
      <c r="F138" s="127">
        <f t="shared" ref="F138:H138" si="30">F90</f>
        <v>0</v>
      </c>
      <c r="G138" s="127">
        <f t="shared" si="30"/>
        <v>0</v>
      </c>
      <c r="H138" s="127">
        <f t="shared" si="30"/>
        <v>0</v>
      </c>
      <c r="I138" s="127">
        <f t="shared" si="12"/>
        <v>31</v>
      </c>
      <c r="J138" s="127"/>
      <c r="K138" s="127">
        <f>'Intermediate OLS Model'!$B$5</f>
        <v>-415228.02881662402</v>
      </c>
      <c r="L138" s="186">
        <f>'Intermediate OLS Model'!$B$6*D138</f>
        <v>-788643.00933842105</v>
      </c>
      <c r="M138" s="186">
        <v>0</v>
      </c>
      <c r="N138" s="186">
        <f>'Intermediate OLS Model'!$B$7*F138</f>
        <v>0</v>
      </c>
      <c r="O138" s="186">
        <f>'Intermediate OLS Model'!$B$8*G138</f>
        <v>0</v>
      </c>
      <c r="P138" s="186">
        <f>'Intermediate OLS Model'!$B$9*H138</f>
        <v>0</v>
      </c>
      <c r="Q138" s="186">
        <f>'Intermediate OLS Model'!$B$10*I138</f>
        <v>4597068.1483280482</v>
      </c>
      <c r="R138" s="127">
        <f t="shared" si="13"/>
        <v>3393197.1101730028</v>
      </c>
    </row>
    <row r="139" spans="1:18">
      <c r="A139" s="128">
        <v>43983</v>
      </c>
      <c r="B139" s="127">
        <f t="shared" si="25"/>
        <v>2020</v>
      </c>
      <c r="C139" s="127"/>
      <c r="D139" s="127">
        <f t="shared" si="7"/>
        <v>138</v>
      </c>
      <c r="E139" s="127">
        <f>E127*(1+Employment!L$5)</f>
        <v>7517.754429041036</v>
      </c>
      <c r="F139" s="127">
        <f t="shared" ref="F139:H139" si="31">F91</f>
        <v>1</v>
      </c>
      <c r="G139" s="127">
        <f t="shared" si="31"/>
        <v>0</v>
      </c>
      <c r="H139" s="127">
        <f t="shared" si="31"/>
        <v>0</v>
      </c>
      <c r="I139" s="127">
        <f t="shared" si="12"/>
        <v>30</v>
      </c>
      <c r="J139" s="127"/>
      <c r="K139" s="127">
        <f>'Intermediate OLS Model'!$B$5</f>
        <v>-415228.02881662402</v>
      </c>
      <c r="L139" s="186">
        <f>'Intermediate OLS Model'!$B$6*D139</f>
        <v>-794399.52765475994</v>
      </c>
      <c r="M139" s="186">
        <v>0</v>
      </c>
      <c r="N139" s="186">
        <f>'Intermediate OLS Model'!$B$7*F139</f>
        <v>346553.62108035001</v>
      </c>
      <c r="O139" s="186">
        <f>'Intermediate OLS Model'!$B$8*G139</f>
        <v>0</v>
      </c>
      <c r="P139" s="186">
        <f>'Intermediate OLS Model'!$B$9*H139</f>
        <v>0</v>
      </c>
      <c r="Q139" s="186">
        <f>'Intermediate OLS Model'!$B$10*I139</f>
        <v>4448775.6274142396</v>
      </c>
      <c r="R139" s="127">
        <f t="shared" si="13"/>
        <v>3585701.6920232056</v>
      </c>
    </row>
    <row r="140" spans="1:18">
      <c r="A140" s="128">
        <v>44013</v>
      </c>
      <c r="B140" s="127">
        <f t="shared" si="25"/>
        <v>2020</v>
      </c>
      <c r="C140" s="127"/>
      <c r="D140" s="127">
        <f t="shared" si="7"/>
        <v>139</v>
      </c>
      <c r="E140" s="127">
        <f>E128*(1+Employment!L$5)</f>
        <v>7603.9026907395892</v>
      </c>
      <c r="F140" s="127">
        <f t="shared" ref="F140:H140" si="32">F92</f>
        <v>0</v>
      </c>
      <c r="G140" s="127">
        <f t="shared" si="32"/>
        <v>1</v>
      </c>
      <c r="H140" s="127">
        <f t="shared" si="32"/>
        <v>0</v>
      </c>
      <c r="I140" s="127">
        <f t="shared" si="12"/>
        <v>31</v>
      </c>
      <c r="J140" s="127"/>
      <c r="K140" s="127">
        <f>'Intermediate OLS Model'!$B$5</f>
        <v>-415228.02881662402</v>
      </c>
      <c r="L140" s="186">
        <f>'Intermediate OLS Model'!$B$6*D140</f>
        <v>-800156.04597109882</v>
      </c>
      <c r="M140" s="186">
        <v>0</v>
      </c>
      <c r="N140" s="186">
        <f>'Intermediate OLS Model'!$B$7*F140</f>
        <v>0</v>
      </c>
      <c r="O140" s="186">
        <f>'Intermediate OLS Model'!$B$8*G140</f>
        <v>428565.96548408002</v>
      </c>
      <c r="P140" s="186">
        <f>'Intermediate OLS Model'!$B$9*H140</f>
        <v>0</v>
      </c>
      <c r="Q140" s="186">
        <f>'Intermediate OLS Model'!$B$10*I140</f>
        <v>4597068.1483280482</v>
      </c>
      <c r="R140" s="127">
        <f t="shared" si="13"/>
        <v>3810250.0390244052</v>
      </c>
    </row>
    <row r="141" spans="1:18">
      <c r="A141" s="128">
        <v>44044</v>
      </c>
      <c r="B141" s="127">
        <f t="shared" si="25"/>
        <v>2020</v>
      </c>
      <c r="C141" s="127"/>
      <c r="D141" s="127">
        <f t="shared" si="7"/>
        <v>140</v>
      </c>
      <c r="E141" s="127">
        <f>E129*(1+Employment!L$5)</f>
        <v>7607.5223656008739</v>
      </c>
      <c r="F141" s="127">
        <f t="shared" ref="F141:H141" si="33">F93</f>
        <v>0</v>
      </c>
      <c r="G141" s="127">
        <f t="shared" si="33"/>
        <v>0</v>
      </c>
      <c r="H141" s="127">
        <f t="shared" si="33"/>
        <v>0</v>
      </c>
      <c r="I141" s="127">
        <f t="shared" si="12"/>
        <v>31</v>
      </c>
      <c r="J141" s="127"/>
      <c r="K141" s="127">
        <f>'Intermediate OLS Model'!$B$5</f>
        <v>-415228.02881662402</v>
      </c>
      <c r="L141" s="186">
        <f>'Intermediate OLS Model'!$B$6*D141</f>
        <v>-805912.56428743759</v>
      </c>
      <c r="M141" s="186">
        <v>0</v>
      </c>
      <c r="N141" s="186">
        <f>'Intermediate OLS Model'!$B$7*F141</f>
        <v>0</v>
      </c>
      <c r="O141" s="186">
        <f>'Intermediate OLS Model'!$B$8*G141</f>
        <v>0</v>
      </c>
      <c r="P141" s="186">
        <f>'Intermediate OLS Model'!$B$9*H141</f>
        <v>0</v>
      </c>
      <c r="Q141" s="186">
        <f>'Intermediate OLS Model'!$B$10*I141</f>
        <v>4597068.1483280482</v>
      </c>
      <c r="R141" s="127">
        <f t="shared" si="13"/>
        <v>3375927.5552239865</v>
      </c>
    </row>
    <row r="142" spans="1:18">
      <c r="A142" s="128">
        <v>44075</v>
      </c>
      <c r="B142" s="127">
        <f t="shared" si="25"/>
        <v>2020</v>
      </c>
      <c r="C142" s="127"/>
      <c r="D142" s="127">
        <f t="shared" si="7"/>
        <v>141</v>
      </c>
      <c r="E142" s="127">
        <f>E130*(1+Employment!L$5)</f>
        <v>7565.3272986464808</v>
      </c>
      <c r="F142" s="127">
        <f t="shared" ref="F142:H142" si="34">F94</f>
        <v>0</v>
      </c>
      <c r="G142" s="127">
        <f t="shared" si="34"/>
        <v>0</v>
      </c>
      <c r="H142" s="127">
        <f t="shared" si="34"/>
        <v>1</v>
      </c>
      <c r="I142" s="127">
        <f t="shared" si="12"/>
        <v>30</v>
      </c>
      <c r="J142" s="127"/>
      <c r="K142" s="127">
        <f>'Intermediate OLS Model'!$B$5</f>
        <v>-415228.02881662402</v>
      </c>
      <c r="L142" s="186">
        <f>'Intermediate OLS Model'!$B$6*D142</f>
        <v>-811669.08260377648</v>
      </c>
      <c r="M142" s="186">
        <v>0</v>
      </c>
      <c r="N142" s="186">
        <f>'Intermediate OLS Model'!$B$7*F142</f>
        <v>0</v>
      </c>
      <c r="O142" s="186">
        <f>'Intermediate OLS Model'!$B$8*G142</f>
        <v>0</v>
      </c>
      <c r="P142" s="186">
        <f>'Intermediate OLS Model'!$B$9*H142</f>
        <v>219659.05071226999</v>
      </c>
      <c r="Q142" s="186">
        <f>'Intermediate OLS Model'!$B$10*I142</f>
        <v>4448775.6274142396</v>
      </c>
      <c r="R142" s="127">
        <f t="shared" si="13"/>
        <v>3441537.5667061089</v>
      </c>
    </row>
    <row r="143" spans="1:18">
      <c r="A143" s="128">
        <v>44105</v>
      </c>
      <c r="B143" s="127">
        <f t="shared" si="25"/>
        <v>2020</v>
      </c>
      <c r="C143" s="127"/>
      <c r="D143" s="127">
        <f t="shared" si="7"/>
        <v>142</v>
      </c>
      <c r="E143" s="127">
        <f>E131*(1+Employment!L$5)</f>
        <v>7523.1322316920869</v>
      </c>
      <c r="F143" s="127">
        <f t="shared" ref="F143:H143" si="35">F95</f>
        <v>0</v>
      </c>
      <c r="G143" s="127">
        <f t="shared" si="35"/>
        <v>0</v>
      </c>
      <c r="H143" s="127">
        <f t="shared" si="35"/>
        <v>1</v>
      </c>
      <c r="I143" s="127">
        <f t="shared" si="12"/>
        <v>31</v>
      </c>
      <c r="J143" s="127"/>
      <c r="K143" s="127">
        <f>'Intermediate OLS Model'!$B$5</f>
        <v>-415228.02881662402</v>
      </c>
      <c r="L143" s="186">
        <f>'Intermediate OLS Model'!$B$6*D143</f>
        <v>-817425.60092011525</v>
      </c>
      <c r="M143" s="186">
        <v>0</v>
      </c>
      <c r="N143" s="186">
        <f>'Intermediate OLS Model'!$B$7*F143</f>
        <v>0</v>
      </c>
      <c r="O143" s="186">
        <f>'Intermediate OLS Model'!$B$8*G143</f>
        <v>0</v>
      </c>
      <c r="P143" s="186">
        <f>'Intermediate OLS Model'!$B$9*H143</f>
        <v>219659.05071226999</v>
      </c>
      <c r="Q143" s="186">
        <f>'Intermediate OLS Model'!$B$10*I143</f>
        <v>4597068.1483280482</v>
      </c>
      <c r="R143" s="127">
        <f t="shared" si="13"/>
        <v>3584073.5693035787</v>
      </c>
    </row>
    <row r="144" spans="1:18">
      <c r="A144" s="128">
        <v>44136</v>
      </c>
      <c r="B144" s="127">
        <f t="shared" si="25"/>
        <v>2020</v>
      </c>
      <c r="C144" s="127"/>
      <c r="D144" s="127">
        <f t="shared" si="7"/>
        <v>143</v>
      </c>
      <c r="E144" s="127">
        <f>E132*(1+Employment!L$5)</f>
        <v>7527.8895186526324</v>
      </c>
      <c r="F144" s="127">
        <f t="shared" ref="F144:H144" si="36">F96</f>
        <v>0</v>
      </c>
      <c r="G144" s="127">
        <f t="shared" si="36"/>
        <v>0</v>
      </c>
      <c r="H144" s="127">
        <f t="shared" si="36"/>
        <v>1</v>
      </c>
      <c r="I144" s="127">
        <f t="shared" si="12"/>
        <v>30</v>
      </c>
      <c r="J144" s="127"/>
      <c r="K144" s="127">
        <f>'Intermediate OLS Model'!$B$5</f>
        <v>-415228.02881662402</v>
      </c>
      <c r="L144" s="186">
        <f>'Intermediate OLS Model'!$B$6*D144</f>
        <v>-823182.11923645413</v>
      </c>
      <c r="M144" s="186">
        <v>0</v>
      </c>
      <c r="N144" s="186">
        <f>'Intermediate OLS Model'!$B$7*F144</f>
        <v>0</v>
      </c>
      <c r="O144" s="186">
        <f>'Intermediate OLS Model'!$B$8*G144</f>
        <v>0</v>
      </c>
      <c r="P144" s="186">
        <f>'Intermediate OLS Model'!$B$9*H144</f>
        <v>219659.05071226999</v>
      </c>
      <c r="Q144" s="186">
        <f>'Intermediate OLS Model'!$B$10*I144</f>
        <v>4448775.6274142396</v>
      </c>
      <c r="R144" s="127">
        <f t="shared" si="13"/>
        <v>3430024.5300734313</v>
      </c>
    </row>
    <row r="145" spans="1:18">
      <c r="A145" s="128">
        <v>44166</v>
      </c>
      <c r="B145" s="127">
        <f t="shared" si="25"/>
        <v>2020</v>
      </c>
      <c r="C145" s="127"/>
      <c r="D145" s="127">
        <f t="shared" si="7"/>
        <v>144</v>
      </c>
      <c r="E145" s="127">
        <f>E133*(1+Employment!L$5)</f>
        <v>7552.3998884276107</v>
      </c>
      <c r="F145" s="127">
        <f t="shared" ref="F145:H145" si="37">F97</f>
        <v>0</v>
      </c>
      <c r="G145" s="127">
        <f t="shared" si="37"/>
        <v>0</v>
      </c>
      <c r="H145" s="127">
        <f t="shared" si="37"/>
        <v>0</v>
      </c>
      <c r="I145" s="127">
        <f t="shared" si="12"/>
        <v>31</v>
      </c>
      <c r="J145" s="127"/>
      <c r="K145" s="127">
        <f>'Intermediate OLS Model'!$B$5</f>
        <v>-415228.02881662402</v>
      </c>
      <c r="L145" s="186">
        <f>'Intermediate OLS Model'!$B$6*D145</f>
        <v>-828938.63755279302</v>
      </c>
      <c r="M145" s="186">
        <v>0</v>
      </c>
      <c r="N145" s="186">
        <f>'Intermediate OLS Model'!$B$7*F145</f>
        <v>0</v>
      </c>
      <c r="O145" s="186">
        <f>'Intermediate OLS Model'!$B$8*G145</f>
        <v>0</v>
      </c>
      <c r="P145" s="186">
        <f>'Intermediate OLS Model'!$B$9*H145</f>
        <v>0</v>
      </c>
      <c r="Q145" s="186">
        <f>'Intermediate OLS Model'!$B$10*I145</f>
        <v>4597068.1483280482</v>
      </c>
      <c r="R145" s="127">
        <f t="shared" si="13"/>
        <v>3352901.4819586314</v>
      </c>
    </row>
    <row r="146" spans="1:18">
      <c r="A146" s="128"/>
      <c r="B146" s="127"/>
      <c r="C146" s="127"/>
      <c r="D146" s="127"/>
      <c r="E146" s="127"/>
      <c r="G146" s="127"/>
      <c r="H146" s="127"/>
      <c r="I146" s="127"/>
      <c r="J146" s="127"/>
      <c r="K146" s="127"/>
      <c r="L146" s="127"/>
      <c r="M146" s="127"/>
      <c r="O146" s="127"/>
      <c r="P146" s="127"/>
      <c r="Q146" s="127"/>
      <c r="R146" s="127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R151"/>
  <sheetViews>
    <sheetView workbookViewId="0">
      <selection activeCell="W145" sqref="W145"/>
    </sheetView>
  </sheetViews>
  <sheetFormatPr defaultRowHeight="12.75"/>
  <cols>
    <col min="1" max="1" width="10.33203125" bestFit="1" customWidth="1"/>
    <col min="2" max="2" width="5" bestFit="1" customWidth="1"/>
    <col min="3" max="3" width="18.6640625" bestFit="1" customWidth="1"/>
    <col min="4" max="4" width="6" bestFit="1" customWidth="1"/>
    <col min="5" max="5" width="12.1640625" bestFit="1" customWidth="1"/>
    <col min="6" max="6" width="9" bestFit="1" customWidth="1"/>
    <col min="7" max="7" width="3.83203125" bestFit="1" customWidth="1"/>
    <col min="8" max="8" width="10.1640625" bestFit="1" customWidth="1"/>
    <col min="9" max="9" width="5.33203125" bestFit="1" customWidth="1"/>
    <col min="11" max="11" width="12.6640625" bestFit="1" customWidth="1"/>
    <col min="12" max="12" width="12" bestFit="1" customWidth="1"/>
    <col min="13" max="13" width="15.1640625" bestFit="1" customWidth="1"/>
    <col min="14" max="15" width="12.6640625" bestFit="1" customWidth="1"/>
    <col min="16" max="16" width="12" bestFit="1" customWidth="1"/>
    <col min="17" max="17" width="12.6640625" bestFit="1" customWidth="1"/>
    <col min="18" max="18" width="16.6640625" bestFit="1" customWidth="1"/>
  </cols>
  <sheetData>
    <row r="1" spans="1:18">
      <c r="A1" t="s">
        <v>123</v>
      </c>
      <c r="B1" t="s">
        <v>124</v>
      </c>
      <c r="C1" t="str">
        <f>'Monthly Data'!AE1</f>
        <v>Large_Use_NO_CDM</v>
      </c>
      <c r="D1" s="127" t="str">
        <f>'Monthly Data'!BI1</f>
        <v>CDD</v>
      </c>
      <c r="E1" s="124" t="str">
        <f>'Monthly Data'!BJ1</f>
        <v>Ont_Empl</v>
      </c>
      <c r="F1" s="127" t="str">
        <f>'Monthly Data'!BM1</f>
        <v>Trend</v>
      </c>
      <c r="G1" s="127" t="str">
        <f>'Monthly Data'!BT1</f>
        <v>Jul</v>
      </c>
      <c r="H1" s="127" t="str">
        <f>'Monthly Data'!BY1</f>
        <v>Dec</v>
      </c>
      <c r="I1" s="127" t="str">
        <f>'Monthly Data'!CC1</f>
        <v>Month Days</v>
      </c>
      <c r="K1" t="s">
        <v>91</v>
      </c>
      <c r="L1" t="str">
        <f t="shared" ref="L1:Q1" si="0">D1</f>
        <v>CDD</v>
      </c>
      <c r="M1" t="str">
        <f t="shared" si="0"/>
        <v>Ont_Empl</v>
      </c>
      <c r="N1" t="str">
        <f t="shared" si="0"/>
        <v>Trend</v>
      </c>
      <c r="O1" t="str">
        <f t="shared" si="0"/>
        <v>Jul</v>
      </c>
      <c r="P1" t="str">
        <f t="shared" si="0"/>
        <v>Dec</v>
      </c>
      <c r="Q1" t="str">
        <f t="shared" si="0"/>
        <v>Month Days</v>
      </c>
      <c r="R1" t="s">
        <v>125</v>
      </c>
    </row>
    <row r="2" spans="1:18">
      <c r="A2" s="26">
        <f>'Monthly Data'!A2</f>
        <v>39814</v>
      </c>
      <c r="B2">
        <f t="shared" ref="B2:B42" si="1">YEAR(A2)</f>
        <v>2009</v>
      </c>
      <c r="C2">
        <f ca="1">'Monthly Data'!AE2</f>
        <v>24657854.515772</v>
      </c>
      <c r="D2" s="127">
        <f ca="1">Weather!H69</f>
        <v>0</v>
      </c>
      <c r="E2" s="124">
        <f>'Monthly Data'!BJ2</f>
        <v>6541.6</v>
      </c>
      <c r="F2" s="127">
        <f>'Monthly Data'!BM2</f>
        <v>1</v>
      </c>
      <c r="G2" s="127">
        <f>'Monthly Data'!BT2</f>
        <v>0</v>
      </c>
      <c r="H2" s="127">
        <f>'Monthly Data'!BY2</f>
        <v>0</v>
      </c>
      <c r="I2" s="127">
        <f>'Monthly Data'!CC2</f>
        <v>31</v>
      </c>
      <c r="K2" s="127">
        <f>'Large Use OLS Model'!$B$5</f>
        <v>-19707994.0131674</v>
      </c>
      <c r="L2" s="127">
        <f ca="1">'Large Use OLS Model'!$B$6*D2</f>
        <v>0</v>
      </c>
      <c r="M2" s="127">
        <f>'Large Use OLS Model'!$B$7*E2</f>
        <v>22435880.350870017</v>
      </c>
      <c r="N2" s="127">
        <v>0</v>
      </c>
      <c r="O2" s="127">
        <f>'Large Use OLS Model'!$B$8*G2</f>
        <v>0</v>
      </c>
      <c r="P2" s="127">
        <f>'Large Use OLS Model'!$B$9*H2</f>
        <v>0</v>
      </c>
      <c r="Q2" s="127">
        <f>'Large Use OLS Model'!$B$10*I2</f>
        <v>21377604.951162424</v>
      </c>
      <c r="R2">
        <f t="shared" ref="R2:R21" ca="1" si="2">SUM(K2:Q2)</f>
        <v>24105491.288865041</v>
      </c>
    </row>
    <row r="3" spans="1:18">
      <c r="A3" s="26">
        <f>'Monthly Data'!A3</f>
        <v>39845</v>
      </c>
      <c r="B3">
        <f t="shared" si="1"/>
        <v>2009</v>
      </c>
      <c r="C3">
        <f ca="1">'Monthly Data'!AE3</f>
        <v>22260143.476391003</v>
      </c>
      <c r="D3" s="186">
        <f ca="1">Weather!H70</f>
        <v>0</v>
      </c>
      <c r="E3" s="124">
        <f>'Monthly Data'!BJ3</f>
        <v>6506</v>
      </c>
      <c r="F3" s="127">
        <f>'Monthly Data'!BM3</f>
        <v>2</v>
      </c>
      <c r="G3" s="127">
        <f>'Monthly Data'!BT3</f>
        <v>0</v>
      </c>
      <c r="H3" s="127">
        <f>'Monthly Data'!BY3</f>
        <v>0</v>
      </c>
      <c r="I3" s="127">
        <f>'Monthly Data'!CC3</f>
        <v>28</v>
      </c>
      <c r="K3" s="127">
        <f>'Large Use OLS Model'!$B$5</f>
        <v>-19707994.0131674</v>
      </c>
      <c r="L3" s="186">
        <f ca="1">'Large Use OLS Model'!$B$6*D3</f>
        <v>0</v>
      </c>
      <c r="M3" s="186">
        <f>'Large Use OLS Model'!$B$7*E3</f>
        <v>22313782.18826592</v>
      </c>
      <c r="N3" s="186">
        <v>0</v>
      </c>
      <c r="O3" s="186">
        <f>'Large Use OLS Model'!$B$8*G3</f>
        <v>0</v>
      </c>
      <c r="P3" s="186">
        <f>'Large Use OLS Model'!$B$9*H3</f>
        <v>0</v>
      </c>
      <c r="Q3" s="186">
        <f>'Large Use OLS Model'!$B$10*I3</f>
        <v>19308804.472017676</v>
      </c>
      <c r="R3">
        <f t="shared" ca="1" si="2"/>
        <v>21914592.647116195</v>
      </c>
    </row>
    <row r="4" spans="1:18">
      <c r="A4" s="26">
        <f>'Monthly Data'!A4</f>
        <v>39873</v>
      </c>
      <c r="B4">
        <f t="shared" si="1"/>
        <v>2009</v>
      </c>
      <c r="C4">
        <f ca="1">'Monthly Data'!AE4</f>
        <v>20653970.599032998</v>
      </c>
      <c r="D4" s="186">
        <f ca="1">Weather!H71</f>
        <v>0.48</v>
      </c>
      <c r="E4" s="124">
        <f>'Monthly Data'!BJ4</f>
        <v>6466.8</v>
      </c>
      <c r="F4" s="127">
        <f>'Monthly Data'!BM4</f>
        <v>3</v>
      </c>
      <c r="G4" s="127">
        <f>'Monthly Data'!BT4</f>
        <v>0</v>
      </c>
      <c r="H4" s="127">
        <f>'Monthly Data'!BY4</f>
        <v>0</v>
      </c>
      <c r="I4" s="127">
        <f>'Monthly Data'!CC4</f>
        <v>31</v>
      </c>
      <c r="K4" s="127">
        <f>'Large Use OLS Model'!$B$5</f>
        <v>-19707994.0131674</v>
      </c>
      <c r="L4" s="186">
        <f ca="1">'Large Use OLS Model'!$B$6*D4</f>
        <v>12684.556414476479</v>
      </c>
      <c r="M4" s="186">
        <f>'Large Use OLS Model'!$B$7*E4</f>
        <v>22179337.020454664</v>
      </c>
      <c r="N4" s="186">
        <v>0</v>
      </c>
      <c r="O4" s="186">
        <f>'Large Use OLS Model'!$B$8*G4</f>
        <v>0</v>
      </c>
      <c r="P4" s="186">
        <f>'Large Use OLS Model'!$B$9*H4</f>
        <v>0</v>
      </c>
      <c r="Q4" s="186">
        <f>'Large Use OLS Model'!$B$10*I4</f>
        <v>21377604.951162424</v>
      </c>
      <c r="R4">
        <f t="shared" ca="1" si="2"/>
        <v>23861632.514864165</v>
      </c>
    </row>
    <row r="5" spans="1:18">
      <c r="A5" s="26">
        <f>'Monthly Data'!A5</f>
        <v>39904</v>
      </c>
      <c r="B5">
        <f t="shared" si="1"/>
        <v>2009</v>
      </c>
      <c r="C5">
        <f ca="1">'Monthly Data'!AE5</f>
        <v>19934511.746649001</v>
      </c>
      <c r="D5" s="186">
        <f ca="1">Weather!H72</f>
        <v>2.63</v>
      </c>
      <c r="E5" s="124">
        <f>'Monthly Data'!BJ5</f>
        <v>6445.5</v>
      </c>
      <c r="F5" s="127">
        <f>'Monthly Data'!BM5</f>
        <v>4</v>
      </c>
      <c r="G5" s="127">
        <f>'Monthly Data'!BT5</f>
        <v>0</v>
      </c>
      <c r="H5" s="127">
        <f>'Monthly Data'!BY5</f>
        <v>0</v>
      </c>
      <c r="I5" s="127">
        <f>'Monthly Data'!CC5</f>
        <v>30</v>
      </c>
      <c r="K5" s="127">
        <f>'Large Use OLS Model'!$B$5</f>
        <v>-19707994.0131674</v>
      </c>
      <c r="L5" s="186">
        <f ca="1">'Large Use OLS Model'!$B$6*D5</f>
        <v>69500.798687652379</v>
      </c>
      <c r="M5" s="186">
        <f>'Large Use OLS Model'!$B$7*E5</f>
        <v>22106283.906312324</v>
      </c>
      <c r="N5" s="186">
        <v>0</v>
      </c>
      <c r="O5" s="186">
        <f>'Large Use OLS Model'!$B$8*G5</f>
        <v>0</v>
      </c>
      <c r="P5" s="186">
        <f>'Large Use OLS Model'!$B$9*H5</f>
        <v>0</v>
      </c>
      <c r="Q5" s="186">
        <f>'Large Use OLS Model'!$B$10*I5</f>
        <v>20688004.791447509</v>
      </c>
      <c r="R5">
        <f t="shared" ca="1" si="2"/>
        <v>23155795.483280085</v>
      </c>
    </row>
    <row r="6" spans="1:18">
      <c r="A6" s="26">
        <f>'Monthly Data'!A6</f>
        <v>39934</v>
      </c>
      <c r="B6">
        <f t="shared" si="1"/>
        <v>2009</v>
      </c>
      <c r="C6">
        <f ca="1">'Monthly Data'!AE6</f>
        <v>20696037.706291001</v>
      </c>
      <c r="D6" s="186">
        <f ca="1">Weather!H73</f>
        <v>47.37</v>
      </c>
      <c r="E6" s="124">
        <f>'Monthly Data'!BJ6</f>
        <v>6420.3</v>
      </c>
      <c r="F6" s="127">
        <f>'Monthly Data'!BM6</f>
        <v>5</v>
      </c>
      <c r="G6" s="127">
        <f>'Monthly Data'!BT6</f>
        <v>0</v>
      </c>
      <c r="H6" s="127">
        <f>'Monthly Data'!BY6</f>
        <v>0</v>
      </c>
      <c r="I6" s="127">
        <f>'Monthly Data'!CC6</f>
        <v>31</v>
      </c>
      <c r="K6" s="127">
        <f>'Large Use OLS Model'!$B$5</f>
        <v>-19707994.0131674</v>
      </c>
      <c r="L6" s="186">
        <f ca="1">'Large Use OLS Model'!$B$6*D6</f>
        <v>1251807.1611536476</v>
      </c>
      <c r="M6" s="186">
        <f>'Large Use OLS Model'!$B$7*E6</f>
        <v>22019854.869862232</v>
      </c>
      <c r="N6" s="186">
        <v>0</v>
      </c>
      <c r="O6" s="186">
        <f>'Large Use OLS Model'!$B$8*G6</f>
        <v>0</v>
      </c>
      <c r="P6" s="186">
        <f>'Large Use OLS Model'!$B$9*H6</f>
        <v>0</v>
      </c>
      <c r="Q6" s="186">
        <f>'Large Use OLS Model'!$B$10*I6</f>
        <v>21377604.951162424</v>
      </c>
      <c r="R6">
        <f t="shared" ca="1" si="2"/>
        <v>24941272.969010904</v>
      </c>
    </row>
    <row r="7" spans="1:18">
      <c r="A7" s="26">
        <f>'Monthly Data'!A7</f>
        <v>39965</v>
      </c>
      <c r="B7">
        <f t="shared" si="1"/>
        <v>2009</v>
      </c>
      <c r="C7">
        <f ca="1">'Monthly Data'!AE7</f>
        <v>23177348.254234999</v>
      </c>
      <c r="D7" s="186">
        <f ca="1">Weather!H74</f>
        <v>117.23999999999997</v>
      </c>
      <c r="E7" s="124">
        <f>'Monthly Data'!BJ7</f>
        <v>6393.2</v>
      </c>
      <c r="F7" s="127">
        <f>'Monthly Data'!BM7</f>
        <v>6</v>
      </c>
      <c r="G7" s="127">
        <f>'Monthly Data'!BT7</f>
        <v>0</v>
      </c>
      <c r="H7" s="127">
        <f>'Monthly Data'!BY7</f>
        <v>0</v>
      </c>
      <c r="I7" s="127">
        <f>'Monthly Data'!CC7</f>
        <v>30</v>
      </c>
      <c r="K7" s="127">
        <f>'Large Use OLS Model'!$B$5</f>
        <v>-19707994.0131674</v>
      </c>
      <c r="L7" s="186">
        <f ca="1">'Large Use OLS Model'!$B$6*D7</f>
        <v>3098202.9042358794</v>
      </c>
      <c r="M7" s="186">
        <f>'Large Use OLS Model'!$B$7*E7</f>
        <v>21926909.358441696</v>
      </c>
      <c r="N7" s="186">
        <v>0</v>
      </c>
      <c r="O7" s="186">
        <f>'Large Use OLS Model'!$B$8*G7</f>
        <v>0</v>
      </c>
      <c r="P7" s="186">
        <f>'Large Use OLS Model'!$B$9*H7</f>
        <v>0</v>
      </c>
      <c r="Q7" s="186">
        <f>'Large Use OLS Model'!$B$10*I7</f>
        <v>20688004.791447509</v>
      </c>
      <c r="R7">
        <f t="shared" ca="1" si="2"/>
        <v>26005123.040957682</v>
      </c>
    </row>
    <row r="8" spans="1:18">
      <c r="A8" s="26">
        <f>'Monthly Data'!A8</f>
        <v>39995</v>
      </c>
      <c r="B8">
        <f t="shared" si="1"/>
        <v>2009</v>
      </c>
      <c r="C8">
        <f ca="1">'Monthly Data'!AE8</f>
        <v>24105091.778898001</v>
      </c>
      <c r="D8" s="186">
        <f ca="1">Weather!H75</f>
        <v>185.60999999999999</v>
      </c>
      <c r="E8" s="124">
        <f>'Monthly Data'!BJ8</f>
        <v>6390.2</v>
      </c>
      <c r="F8" s="127">
        <f>'Monthly Data'!BM8</f>
        <v>7</v>
      </c>
      <c r="G8" s="127">
        <f>'Monthly Data'!BT8</f>
        <v>1</v>
      </c>
      <c r="H8" s="127">
        <f>'Monthly Data'!BY8</f>
        <v>0</v>
      </c>
      <c r="I8" s="127">
        <f>'Monthly Data'!CC8</f>
        <v>31</v>
      </c>
      <c r="K8" s="127">
        <f>'Large Use OLS Model'!$B$5</f>
        <v>-19707994.0131674</v>
      </c>
      <c r="L8" s="186">
        <f ca="1">'Large Use OLS Model'!$B$6*D8</f>
        <v>4904959.4085228732</v>
      </c>
      <c r="M8" s="186">
        <f>'Large Use OLS Model'!$B$7*E8</f>
        <v>21916620.187435731</v>
      </c>
      <c r="N8" s="186">
        <v>0</v>
      </c>
      <c r="O8" s="186">
        <f>'Large Use OLS Model'!$B$8*G8</f>
        <v>-1563237.6990636101</v>
      </c>
      <c r="P8" s="186">
        <f>'Large Use OLS Model'!$B$9*H8</f>
        <v>0</v>
      </c>
      <c r="Q8" s="186">
        <f>'Large Use OLS Model'!$B$10*I8</f>
        <v>21377604.951162424</v>
      </c>
      <c r="R8">
        <f t="shared" ca="1" si="2"/>
        <v>26927952.834890019</v>
      </c>
    </row>
    <row r="9" spans="1:18">
      <c r="A9" s="26">
        <f>'Monthly Data'!A9</f>
        <v>40026</v>
      </c>
      <c r="B9">
        <f t="shared" si="1"/>
        <v>2009</v>
      </c>
      <c r="C9">
        <f ca="1">'Monthly Data'!AE9</f>
        <v>25408029.314557001</v>
      </c>
      <c r="D9" s="186">
        <f ca="1">Weather!H76</f>
        <v>159.64000000000001</v>
      </c>
      <c r="E9" s="124">
        <f>'Monthly Data'!BJ9</f>
        <v>6401</v>
      </c>
      <c r="F9" s="127">
        <f>'Monthly Data'!BM9</f>
        <v>8</v>
      </c>
      <c r="G9" s="127">
        <f>'Monthly Data'!BT9</f>
        <v>0</v>
      </c>
      <c r="H9" s="127">
        <f>'Monthly Data'!BY9</f>
        <v>0</v>
      </c>
      <c r="I9" s="127">
        <f>'Monthly Data'!CC9</f>
        <v>31</v>
      </c>
      <c r="K9" s="127">
        <f>'Large Use OLS Model'!$B$5</f>
        <v>-19707994.0131674</v>
      </c>
      <c r="L9" s="186">
        <f ca="1">'Large Use OLS Model'!$B$6*D9</f>
        <v>4218672.0541813029</v>
      </c>
      <c r="M9" s="186">
        <f>'Large Use OLS Model'!$B$7*E9</f>
        <v>21953661.2030572</v>
      </c>
      <c r="N9" s="186">
        <v>0</v>
      </c>
      <c r="O9" s="186">
        <f>'Large Use OLS Model'!$B$8*G9</f>
        <v>0</v>
      </c>
      <c r="P9" s="186">
        <f>'Large Use OLS Model'!$B$9*H9</f>
        <v>0</v>
      </c>
      <c r="Q9" s="186">
        <f>'Large Use OLS Model'!$B$10*I9</f>
        <v>21377604.951162424</v>
      </c>
      <c r="R9">
        <f t="shared" ca="1" si="2"/>
        <v>27841944.195233528</v>
      </c>
    </row>
    <row r="10" spans="1:18">
      <c r="A10" s="26">
        <f>'Monthly Data'!A10</f>
        <v>40057</v>
      </c>
      <c r="B10">
        <f t="shared" si="1"/>
        <v>2009</v>
      </c>
      <c r="C10">
        <f ca="1">'Monthly Data'!AE10</f>
        <v>24750387.851640001</v>
      </c>
      <c r="D10" s="186">
        <f ca="1">Weather!H77</f>
        <v>72.989999999999981</v>
      </c>
      <c r="E10" s="124">
        <f>'Monthly Data'!BJ10</f>
        <v>6421.2</v>
      </c>
      <c r="F10" s="127">
        <f>'Monthly Data'!BM10</f>
        <v>9</v>
      </c>
      <c r="G10" s="127">
        <f>'Monthly Data'!BT10</f>
        <v>0</v>
      </c>
      <c r="H10" s="127">
        <f>'Monthly Data'!BY10</f>
        <v>0</v>
      </c>
      <c r="I10" s="127">
        <f>'Monthly Data'!CC10</f>
        <v>30</v>
      </c>
      <c r="K10" s="127">
        <f>'Large Use OLS Model'!$B$5</f>
        <v>-19707994.0131674</v>
      </c>
      <c r="L10" s="186">
        <f ca="1">'Large Use OLS Model'!$B$6*D10</f>
        <v>1928845.3597763292</v>
      </c>
      <c r="M10" s="186">
        <f>'Large Use OLS Model'!$B$7*E10</f>
        <v>22022941.62116402</v>
      </c>
      <c r="N10" s="186">
        <v>0</v>
      </c>
      <c r="O10" s="186">
        <f>'Large Use OLS Model'!$B$8*G10</f>
        <v>0</v>
      </c>
      <c r="P10" s="186">
        <f>'Large Use OLS Model'!$B$9*H10</f>
        <v>0</v>
      </c>
      <c r="Q10" s="186">
        <f>'Large Use OLS Model'!$B$10*I10</f>
        <v>20688004.791447509</v>
      </c>
      <c r="R10">
        <f t="shared" ca="1" si="2"/>
        <v>24931797.759220459</v>
      </c>
    </row>
    <row r="11" spans="1:18">
      <c r="A11" s="26">
        <f>'Monthly Data'!A11</f>
        <v>40087</v>
      </c>
      <c r="B11">
        <f t="shared" si="1"/>
        <v>2009</v>
      </c>
      <c r="C11">
        <f ca="1">'Monthly Data'!AE11</f>
        <v>22390724.243762001</v>
      </c>
      <c r="D11" s="186">
        <f ca="1">Weather!H78</f>
        <v>10.779999999999998</v>
      </c>
      <c r="E11" s="124">
        <f>'Monthly Data'!BJ11</f>
        <v>6438.2</v>
      </c>
      <c r="F11" s="127">
        <f>'Monthly Data'!BM11</f>
        <v>10</v>
      </c>
      <c r="G11" s="127">
        <f>'Monthly Data'!BT11</f>
        <v>0</v>
      </c>
      <c r="H11" s="127">
        <f>'Monthly Data'!BY11</f>
        <v>0</v>
      </c>
      <c r="I11" s="127">
        <f>'Monthly Data'!CC11</f>
        <v>31</v>
      </c>
      <c r="K11" s="127">
        <f>'Large Use OLS Model'!$B$5</f>
        <v>-19707994.0131674</v>
      </c>
      <c r="L11" s="186">
        <f ca="1">'Large Use OLS Model'!$B$6*D11</f>
        <v>284873.99614178424</v>
      </c>
      <c r="M11" s="186">
        <f>'Large Use OLS Model'!$B$7*E11</f>
        <v>22081246.923531145</v>
      </c>
      <c r="N11" s="186">
        <v>0</v>
      </c>
      <c r="O11" s="186">
        <f>'Large Use OLS Model'!$B$8*G11</f>
        <v>0</v>
      </c>
      <c r="P11" s="186">
        <f>'Large Use OLS Model'!$B$9*H11</f>
        <v>0</v>
      </c>
      <c r="Q11" s="186">
        <f>'Large Use OLS Model'!$B$10*I11</f>
        <v>21377604.951162424</v>
      </c>
      <c r="R11">
        <f t="shared" ca="1" si="2"/>
        <v>24035731.857667953</v>
      </c>
    </row>
    <row r="12" spans="1:18">
      <c r="A12" s="26">
        <f>'Monthly Data'!A12</f>
        <v>40118</v>
      </c>
      <c r="B12">
        <f t="shared" si="1"/>
        <v>2009</v>
      </c>
      <c r="C12">
        <f ca="1">'Monthly Data'!AE12</f>
        <v>21830185.762596998</v>
      </c>
      <c r="D12" s="186">
        <f ca="1">Weather!H79</f>
        <v>0.05</v>
      </c>
      <c r="E12" s="124">
        <f>'Monthly Data'!BJ12</f>
        <v>6454</v>
      </c>
      <c r="F12" s="127">
        <f>'Monthly Data'!BM12</f>
        <v>11</v>
      </c>
      <c r="G12" s="127">
        <f>'Monthly Data'!BT12</f>
        <v>0</v>
      </c>
      <c r="H12" s="127">
        <f>'Monthly Data'!BY12</f>
        <v>0</v>
      </c>
      <c r="I12" s="127">
        <f>'Monthly Data'!CC12</f>
        <v>30</v>
      </c>
      <c r="K12" s="127">
        <f>'Large Use OLS Model'!$B$5</f>
        <v>-19707994.0131674</v>
      </c>
      <c r="L12" s="186">
        <f ca="1">'Large Use OLS Model'!$B$6*D12</f>
        <v>1321.3079598413001</v>
      </c>
      <c r="M12" s="186">
        <f>'Large Use OLS Model'!$B$7*E12</f>
        <v>22135436.557495885</v>
      </c>
      <c r="N12" s="186">
        <v>0</v>
      </c>
      <c r="O12" s="186">
        <f>'Large Use OLS Model'!$B$8*G12</f>
        <v>0</v>
      </c>
      <c r="P12" s="186">
        <f>'Large Use OLS Model'!$B$9*H12</f>
        <v>0</v>
      </c>
      <c r="Q12" s="186">
        <f>'Large Use OLS Model'!$B$10*I12</f>
        <v>20688004.791447509</v>
      </c>
      <c r="R12">
        <f t="shared" ca="1" si="2"/>
        <v>23116768.643735833</v>
      </c>
    </row>
    <row r="13" spans="1:18">
      <c r="A13" s="26">
        <f>'Monthly Data'!A13</f>
        <v>40148</v>
      </c>
      <c r="B13">
        <f t="shared" si="1"/>
        <v>2009</v>
      </c>
      <c r="C13">
        <f ca="1">'Monthly Data'!AE13</f>
        <v>22001519.052356999</v>
      </c>
      <c r="D13" s="186">
        <f ca="1">Weather!H80</f>
        <v>0</v>
      </c>
      <c r="E13" s="124">
        <f>'Monthly Data'!BJ13</f>
        <v>6458.5</v>
      </c>
      <c r="F13" s="127">
        <f>'Monthly Data'!BM13</f>
        <v>12</v>
      </c>
      <c r="G13" s="127">
        <f>'Monthly Data'!BT13</f>
        <v>0</v>
      </c>
      <c r="H13" s="127">
        <f>'Monthly Data'!BY13</f>
        <v>1</v>
      </c>
      <c r="I13" s="127">
        <f>'Monthly Data'!CC13</f>
        <v>31</v>
      </c>
      <c r="K13" s="127">
        <f>'Large Use OLS Model'!$B$5</f>
        <v>-19707994.0131674</v>
      </c>
      <c r="L13" s="186">
        <f ca="1">'Large Use OLS Model'!$B$6*D13</f>
        <v>0</v>
      </c>
      <c r="M13" s="186">
        <f>'Large Use OLS Model'!$B$7*E13</f>
        <v>22150870.314004831</v>
      </c>
      <c r="N13" s="186">
        <v>0</v>
      </c>
      <c r="O13" s="186">
        <f>'Large Use OLS Model'!$B$8*G13</f>
        <v>0</v>
      </c>
      <c r="P13" s="186">
        <f>'Large Use OLS Model'!$B$9*H13</f>
        <v>-2219022.2541699898</v>
      </c>
      <c r="Q13" s="186">
        <f>'Large Use OLS Model'!$B$10*I13</f>
        <v>21377604.951162424</v>
      </c>
      <c r="R13">
        <f t="shared" ca="1" si="2"/>
        <v>21601458.997829866</v>
      </c>
    </row>
    <row r="14" spans="1:18">
      <c r="A14" s="26">
        <f>'Monthly Data'!A14</f>
        <v>40179</v>
      </c>
      <c r="B14">
        <f t="shared" si="1"/>
        <v>2010</v>
      </c>
      <c r="C14">
        <f ca="1">'Monthly Data'!AE14</f>
        <v>23267481.492624</v>
      </c>
      <c r="D14" s="127">
        <f t="shared" ref="D14:D65" ca="1" si="3">D2</f>
        <v>0</v>
      </c>
      <c r="E14" s="124">
        <f>'Monthly Data'!BJ14</f>
        <v>6466.9</v>
      </c>
      <c r="F14" s="127">
        <f>'Monthly Data'!BM14</f>
        <v>13</v>
      </c>
      <c r="G14" s="127">
        <f>'Monthly Data'!BT14</f>
        <v>0</v>
      </c>
      <c r="H14" s="127">
        <f>'Monthly Data'!BY14</f>
        <v>0</v>
      </c>
      <c r="I14" s="127">
        <f>'Monthly Data'!CC14</f>
        <v>31</v>
      </c>
      <c r="K14" s="127">
        <f>'Large Use OLS Model'!$B$5</f>
        <v>-19707994.0131674</v>
      </c>
      <c r="L14" s="186">
        <f ca="1">'Large Use OLS Model'!$B$6*D14</f>
        <v>0</v>
      </c>
      <c r="M14" s="186">
        <f>'Large Use OLS Model'!$B$7*E14</f>
        <v>22179679.992821526</v>
      </c>
      <c r="N14" s="186">
        <v>0</v>
      </c>
      <c r="O14" s="186">
        <f>'Large Use OLS Model'!$B$8*G14</f>
        <v>0</v>
      </c>
      <c r="P14" s="186">
        <f>'Large Use OLS Model'!$B$9*H14</f>
        <v>0</v>
      </c>
      <c r="Q14" s="186">
        <f>'Large Use OLS Model'!$B$10*I14</f>
        <v>21377604.951162424</v>
      </c>
      <c r="R14">
        <f t="shared" ca="1" si="2"/>
        <v>23849290.93081655</v>
      </c>
    </row>
    <row r="15" spans="1:18">
      <c r="A15" s="26">
        <f>'Monthly Data'!A15</f>
        <v>40210</v>
      </c>
      <c r="B15">
        <f t="shared" si="1"/>
        <v>2010</v>
      </c>
      <c r="C15">
        <f ca="1">'Monthly Data'!AE15</f>
        <v>21795460.432082001</v>
      </c>
      <c r="D15" s="127">
        <f t="shared" ca="1" si="3"/>
        <v>0</v>
      </c>
      <c r="E15" s="124">
        <f>'Monthly Data'!BJ15</f>
        <v>6471</v>
      </c>
      <c r="F15" s="127">
        <f>'Monthly Data'!BM15</f>
        <v>14</v>
      </c>
      <c r="G15" s="127">
        <f>'Monthly Data'!BT15</f>
        <v>0</v>
      </c>
      <c r="H15" s="127">
        <f>'Monthly Data'!BY15</f>
        <v>0</v>
      </c>
      <c r="I15" s="127">
        <f>'Monthly Data'!CC15</f>
        <v>28</v>
      </c>
      <c r="K15" s="127">
        <f>'Large Use OLS Model'!$B$5</f>
        <v>-19707994.0131674</v>
      </c>
      <c r="L15" s="186">
        <f ca="1">'Large Use OLS Model'!$B$6*D15</f>
        <v>0</v>
      </c>
      <c r="M15" s="186">
        <f>'Large Use OLS Model'!$B$7*E15</f>
        <v>22193741.859863013</v>
      </c>
      <c r="N15" s="186">
        <v>0</v>
      </c>
      <c r="O15" s="186">
        <f>'Large Use OLS Model'!$B$8*G15</f>
        <v>0</v>
      </c>
      <c r="P15" s="186">
        <f>'Large Use OLS Model'!$B$9*H15</f>
        <v>0</v>
      </c>
      <c r="Q15" s="186">
        <f>'Large Use OLS Model'!$B$10*I15</f>
        <v>19308804.472017676</v>
      </c>
      <c r="R15">
        <f t="shared" ca="1" si="2"/>
        <v>21794552.318713289</v>
      </c>
    </row>
    <row r="16" spans="1:18">
      <c r="A16" s="26">
        <f>'Monthly Data'!A16</f>
        <v>40238</v>
      </c>
      <c r="B16">
        <f t="shared" si="1"/>
        <v>2010</v>
      </c>
      <c r="C16">
        <f ca="1">'Monthly Data'!AE16</f>
        <v>23702308.642981</v>
      </c>
      <c r="D16" s="127">
        <f t="shared" ca="1" si="3"/>
        <v>0.48</v>
      </c>
      <c r="E16" s="124">
        <f>'Monthly Data'!BJ16</f>
        <v>6477.5</v>
      </c>
      <c r="F16" s="127">
        <f>'Monthly Data'!BM16</f>
        <v>15</v>
      </c>
      <c r="G16" s="127">
        <f>'Monthly Data'!BT16</f>
        <v>0</v>
      </c>
      <c r="H16" s="127">
        <f>'Monthly Data'!BY16</f>
        <v>0</v>
      </c>
      <c r="I16" s="127">
        <f>'Monthly Data'!CC16</f>
        <v>31</v>
      </c>
      <c r="K16" s="127">
        <f>'Large Use OLS Model'!$B$5</f>
        <v>-19707994.0131674</v>
      </c>
      <c r="L16" s="186">
        <f ca="1">'Large Use OLS Model'!$B$6*D16</f>
        <v>12684.556414476479</v>
      </c>
      <c r="M16" s="186">
        <f>'Large Use OLS Model'!$B$7*E16</f>
        <v>22216035.063709266</v>
      </c>
      <c r="N16" s="186">
        <v>0</v>
      </c>
      <c r="O16" s="186">
        <f>'Large Use OLS Model'!$B$8*G16</f>
        <v>0</v>
      </c>
      <c r="P16" s="186">
        <f>'Large Use OLS Model'!$B$9*H16</f>
        <v>0</v>
      </c>
      <c r="Q16" s="186">
        <f>'Large Use OLS Model'!$B$10*I16</f>
        <v>21377604.951162424</v>
      </c>
      <c r="R16">
        <f t="shared" ca="1" si="2"/>
        <v>23898330.558118768</v>
      </c>
    </row>
    <row r="17" spans="1:18">
      <c r="A17" s="26">
        <f>'Monthly Data'!A17</f>
        <v>40269</v>
      </c>
      <c r="B17">
        <f t="shared" si="1"/>
        <v>2010</v>
      </c>
      <c r="C17">
        <f ca="1">'Monthly Data'!AE17</f>
        <v>22434537.258079</v>
      </c>
      <c r="D17" s="127">
        <f t="shared" ca="1" si="3"/>
        <v>2.63</v>
      </c>
      <c r="E17" s="124">
        <f>'Monthly Data'!BJ17</f>
        <v>6485</v>
      </c>
      <c r="F17" s="127">
        <f>'Monthly Data'!BM17</f>
        <v>16</v>
      </c>
      <c r="G17" s="127">
        <f>'Monthly Data'!BT17</f>
        <v>0</v>
      </c>
      <c r="H17" s="127">
        <f>'Monthly Data'!BY17</f>
        <v>0</v>
      </c>
      <c r="I17" s="127">
        <f>'Monthly Data'!CC17</f>
        <v>30</v>
      </c>
      <c r="K17" s="127">
        <f>'Large Use OLS Model'!$B$5</f>
        <v>-19707994.0131674</v>
      </c>
      <c r="L17" s="186">
        <f ca="1">'Large Use OLS Model'!$B$6*D17</f>
        <v>69500.798687652379</v>
      </c>
      <c r="M17" s="186">
        <f>'Large Use OLS Model'!$B$7*E17</f>
        <v>22241757.991224173</v>
      </c>
      <c r="N17" s="186">
        <v>0</v>
      </c>
      <c r="O17" s="186">
        <f>'Large Use OLS Model'!$B$8*G17</f>
        <v>0</v>
      </c>
      <c r="P17" s="186">
        <f>'Large Use OLS Model'!$B$9*H17</f>
        <v>0</v>
      </c>
      <c r="Q17" s="186">
        <f>'Large Use OLS Model'!$B$10*I17</f>
        <v>20688004.791447509</v>
      </c>
      <c r="R17">
        <f t="shared" ca="1" si="2"/>
        <v>23291269.568191934</v>
      </c>
    </row>
    <row r="18" spans="1:18">
      <c r="A18" s="26">
        <f>'Monthly Data'!A18</f>
        <v>40299</v>
      </c>
      <c r="B18">
        <f t="shared" si="1"/>
        <v>2010</v>
      </c>
      <c r="C18">
        <f ca="1">'Monthly Data'!AE18</f>
        <v>24754424.438850001</v>
      </c>
      <c r="D18" s="127">
        <f t="shared" ca="1" si="3"/>
        <v>47.37</v>
      </c>
      <c r="E18" s="124">
        <f>'Monthly Data'!BJ18</f>
        <v>6506.8</v>
      </c>
      <c r="F18" s="127">
        <f>'Monthly Data'!BM18</f>
        <v>17</v>
      </c>
      <c r="G18" s="127">
        <f>'Monthly Data'!BT18</f>
        <v>0</v>
      </c>
      <c r="H18" s="127">
        <f>'Monthly Data'!BY18</f>
        <v>0</v>
      </c>
      <c r="I18" s="127">
        <f>'Monthly Data'!CC18</f>
        <v>31</v>
      </c>
      <c r="K18" s="127">
        <f>'Large Use OLS Model'!$B$5</f>
        <v>-19707994.0131674</v>
      </c>
      <c r="L18" s="186">
        <f ca="1">'Large Use OLS Model'!$B$6*D18</f>
        <v>1251807.1611536476</v>
      </c>
      <c r="M18" s="186">
        <f>'Large Use OLS Model'!$B$7*E18</f>
        <v>22316525.967200842</v>
      </c>
      <c r="N18" s="186">
        <v>0</v>
      </c>
      <c r="O18" s="186">
        <f>'Large Use OLS Model'!$B$8*G18</f>
        <v>0</v>
      </c>
      <c r="P18" s="186">
        <f>'Large Use OLS Model'!$B$9*H18</f>
        <v>0</v>
      </c>
      <c r="Q18" s="186">
        <f>'Large Use OLS Model'!$B$10*I18</f>
        <v>21377604.951162424</v>
      </c>
      <c r="R18">
        <f t="shared" ca="1" si="2"/>
        <v>25237944.066349514</v>
      </c>
    </row>
    <row r="19" spans="1:18">
      <c r="A19" s="26">
        <f>'Monthly Data'!A19</f>
        <v>40330</v>
      </c>
      <c r="B19">
        <f t="shared" si="1"/>
        <v>2010</v>
      </c>
      <c r="C19">
        <f ca="1">'Monthly Data'!AE19</f>
        <v>27908850.407844998</v>
      </c>
      <c r="D19" s="127">
        <f t="shared" ca="1" si="3"/>
        <v>117.23999999999997</v>
      </c>
      <c r="E19" s="124">
        <f>'Monthly Data'!BJ19</f>
        <v>6540.8</v>
      </c>
      <c r="F19" s="127">
        <f>'Monthly Data'!BM19</f>
        <v>18</v>
      </c>
      <c r="G19" s="127">
        <f>'Monthly Data'!BT19</f>
        <v>0</v>
      </c>
      <c r="H19" s="127">
        <f>'Monthly Data'!BY19</f>
        <v>0</v>
      </c>
      <c r="I19" s="127">
        <f>'Monthly Data'!CC19</f>
        <v>30</v>
      </c>
      <c r="K19" s="127">
        <f>'Large Use OLS Model'!$B$5</f>
        <v>-19707994.0131674</v>
      </c>
      <c r="L19" s="186">
        <f ca="1">'Large Use OLS Model'!$B$6*D19</f>
        <v>3098202.9042358794</v>
      </c>
      <c r="M19" s="186">
        <f>'Large Use OLS Model'!$B$7*E19</f>
        <v>22433136.571935095</v>
      </c>
      <c r="N19" s="186">
        <v>0</v>
      </c>
      <c r="O19" s="186">
        <f>'Large Use OLS Model'!$B$8*G19</f>
        <v>0</v>
      </c>
      <c r="P19" s="186">
        <f>'Large Use OLS Model'!$B$9*H19</f>
        <v>0</v>
      </c>
      <c r="Q19" s="186">
        <f>'Large Use OLS Model'!$B$10*I19</f>
        <v>20688004.791447509</v>
      </c>
      <c r="R19">
        <f t="shared" ca="1" si="2"/>
        <v>26511350.254451081</v>
      </c>
    </row>
    <row r="20" spans="1:18">
      <c r="A20" s="26">
        <f>'Monthly Data'!A20</f>
        <v>40360</v>
      </c>
      <c r="B20">
        <f t="shared" si="1"/>
        <v>2010</v>
      </c>
      <c r="C20">
        <f ca="1">'Monthly Data'!AE20</f>
        <v>28114606.937438</v>
      </c>
      <c r="D20" s="127">
        <f t="shared" ca="1" si="3"/>
        <v>185.60999999999999</v>
      </c>
      <c r="E20" s="124">
        <f>'Monthly Data'!BJ20</f>
        <v>6561</v>
      </c>
      <c r="F20" s="127">
        <f>'Monthly Data'!BM20</f>
        <v>19</v>
      </c>
      <c r="G20" s="127">
        <f>'Monthly Data'!BT20</f>
        <v>1</v>
      </c>
      <c r="H20" s="127">
        <f>'Monthly Data'!BY20</f>
        <v>0</v>
      </c>
      <c r="I20" s="127">
        <f>'Monthly Data'!CC20</f>
        <v>31</v>
      </c>
      <c r="K20" s="127">
        <f>'Large Use OLS Model'!$B$5</f>
        <v>-19707994.0131674</v>
      </c>
      <c r="L20" s="186">
        <f ca="1">'Large Use OLS Model'!$B$6*D20</f>
        <v>4904959.4085228732</v>
      </c>
      <c r="M20" s="186">
        <f>'Large Use OLS Model'!$B$7*E20</f>
        <v>22502416.990041912</v>
      </c>
      <c r="N20" s="186">
        <v>0</v>
      </c>
      <c r="O20" s="186">
        <f>'Large Use OLS Model'!$B$8*G20</f>
        <v>-1563237.6990636101</v>
      </c>
      <c r="P20" s="186">
        <f>'Large Use OLS Model'!$B$9*H20</f>
        <v>0</v>
      </c>
      <c r="Q20" s="186">
        <f>'Large Use OLS Model'!$B$10*I20</f>
        <v>21377604.951162424</v>
      </c>
      <c r="R20">
        <f t="shared" ca="1" si="2"/>
        <v>27513749.637496199</v>
      </c>
    </row>
    <row r="21" spans="1:18">
      <c r="A21" s="26">
        <f>'Monthly Data'!A21</f>
        <v>40391</v>
      </c>
      <c r="B21">
        <f t="shared" si="1"/>
        <v>2010</v>
      </c>
      <c r="C21">
        <f ca="1">'Monthly Data'!AE21</f>
        <v>28003793.798920002</v>
      </c>
      <c r="D21" s="127">
        <f t="shared" ca="1" si="3"/>
        <v>159.64000000000001</v>
      </c>
      <c r="E21" s="124">
        <f>'Monthly Data'!BJ21</f>
        <v>6568.9</v>
      </c>
      <c r="F21" s="127">
        <f>'Monthly Data'!BM21</f>
        <v>20</v>
      </c>
      <c r="G21" s="127">
        <f>'Monthly Data'!BT21</f>
        <v>0</v>
      </c>
      <c r="H21" s="127">
        <f>'Monthly Data'!BY21</f>
        <v>0</v>
      </c>
      <c r="I21" s="127">
        <f>'Monthly Data'!CC21</f>
        <v>31</v>
      </c>
      <c r="K21" s="127">
        <f>'Large Use OLS Model'!$B$5</f>
        <v>-19707994.0131674</v>
      </c>
      <c r="L21" s="186">
        <f ca="1">'Large Use OLS Model'!$B$6*D21</f>
        <v>4218672.0541813029</v>
      </c>
      <c r="M21" s="186">
        <f>'Large Use OLS Model'!$B$7*E21</f>
        <v>22529511.807024281</v>
      </c>
      <c r="N21" s="186">
        <v>0</v>
      </c>
      <c r="O21" s="186">
        <f>'Large Use OLS Model'!$B$8*G21</f>
        <v>0</v>
      </c>
      <c r="P21" s="186">
        <f>'Large Use OLS Model'!$B$9*H21</f>
        <v>0</v>
      </c>
      <c r="Q21" s="186">
        <f>'Large Use OLS Model'!$B$10*I21</f>
        <v>21377604.951162424</v>
      </c>
      <c r="R21">
        <f t="shared" ca="1" si="2"/>
        <v>28417794.799200609</v>
      </c>
    </row>
    <row r="22" spans="1:18">
      <c r="A22" s="26">
        <f>'Monthly Data'!A22</f>
        <v>40422</v>
      </c>
      <c r="B22">
        <f t="shared" si="1"/>
        <v>2010</v>
      </c>
      <c r="C22">
        <f ca="1">'Monthly Data'!AE22</f>
        <v>25632165.922669999</v>
      </c>
      <c r="D22" s="127">
        <f t="shared" ca="1" si="3"/>
        <v>72.989999999999981</v>
      </c>
      <c r="E22" s="124">
        <f>'Monthly Data'!BJ22</f>
        <v>6556</v>
      </c>
      <c r="F22" s="127">
        <f>'Monthly Data'!BM22</f>
        <v>21</v>
      </c>
      <c r="G22" s="127">
        <f>'Monthly Data'!BT22</f>
        <v>0</v>
      </c>
      <c r="H22" s="127">
        <f>'Monthly Data'!BY22</f>
        <v>0</v>
      </c>
      <c r="I22" s="127">
        <f>'Monthly Data'!CC22</f>
        <v>30</v>
      </c>
      <c r="K22" s="127">
        <f>'Large Use OLS Model'!$B$5</f>
        <v>-19707994.0131674</v>
      </c>
      <c r="L22" s="186">
        <f ca="1">'Large Use OLS Model'!$B$6*D22</f>
        <v>1928845.3597763292</v>
      </c>
      <c r="M22" s="186">
        <f>'Large Use OLS Model'!$B$7*E22</f>
        <v>22485268.37169864</v>
      </c>
      <c r="N22" s="186">
        <v>0</v>
      </c>
      <c r="O22" s="186">
        <f>'Large Use OLS Model'!$B$8*G22</f>
        <v>0</v>
      </c>
      <c r="P22" s="186">
        <f>'Large Use OLS Model'!$B$9*H22</f>
        <v>0</v>
      </c>
      <c r="Q22" s="186">
        <f>'Large Use OLS Model'!$B$10*I22</f>
        <v>20688004.791447509</v>
      </c>
      <c r="R22">
        <f t="shared" ref="R22:R53" ca="1" si="4">SUM(K22:Q22)</f>
        <v>25394124.509755079</v>
      </c>
    </row>
    <row r="23" spans="1:18">
      <c r="A23" s="26">
        <f>'Monthly Data'!A23</f>
        <v>40452</v>
      </c>
      <c r="B23">
        <f t="shared" si="1"/>
        <v>2010</v>
      </c>
      <c r="C23">
        <f ca="1">'Monthly Data'!AE23</f>
        <v>22852757.804852001</v>
      </c>
      <c r="D23" s="127">
        <f t="shared" ca="1" si="3"/>
        <v>10.779999999999998</v>
      </c>
      <c r="E23" s="124">
        <f>'Monthly Data'!BJ23</f>
        <v>6551.6</v>
      </c>
      <c r="F23" s="127">
        <f>'Monthly Data'!BM23</f>
        <v>22</v>
      </c>
      <c r="G23" s="127">
        <f>'Monthly Data'!BT23</f>
        <v>0</v>
      </c>
      <c r="H23" s="127">
        <f>'Monthly Data'!BY23</f>
        <v>0</v>
      </c>
      <c r="I23" s="127">
        <f>'Monthly Data'!CC23</f>
        <v>31</v>
      </c>
      <c r="K23" s="127">
        <f>'Large Use OLS Model'!$B$5</f>
        <v>-19707994.0131674</v>
      </c>
      <c r="L23" s="186">
        <f ca="1">'Large Use OLS Model'!$B$6*D23</f>
        <v>284873.99614178424</v>
      </c>
      <c r="M23" s="186">
        <f>'Large Use OLS Model'!$B$7*E23</f>
        <v>22470177.587556563</v>
      </c>
      <c r="N23" s="186">
        <v>0</v>
      </c>
      <c r="O23" s="186">
        <f>'Large Use OLS Model'!$B$8*G23</f>
        <v>0</v>
      </c>
      <c r="P23" s="186">
        <f>'Large Use OLS Model'!$B$9*H23</f>
        <v>0</v>
      </c>
      <c r="Q23" s="186">
        <f>'Large Use OLS Model'!$B$10*I23</f>
        <v>21377604.951162424</v>
      </c>
      <c r="R23">
        <f t="shared" ca="1" si="4"/>
        <v>24424662.521693371</v>
      </c>
    </row>
    <row r="24" spans="1:18">
      <c r="A24" s="26">
        <f>'Monthly Data'!A24</f>
        <v>40483</v>
      </c>
      <c r="B24">
        <f t="shared" si="1"/>
        <v>2010</v>
      </c>
      <c r="C24">
        <f ca="1">'Monthly Data'!AE24</f>
        <v>23723679.543327</v>
      </c>
      <c r="D24" s="127">
        <f t="shared" ca="1" si="3"/>
        <v>0.05</v>
      </c>
      <c r="E24" s="124">
        <f>'Monthly Data'!BJ24</f>
        <v>6555.7</v>
      </c>
      <c r="F24" s="127">
        <f>'Monthly Data'!BM24</f>
        <v>23</v>
      </c>
      <c r="G24" s="127">
        <f>'Monthly Data'!BT24</f>
        <v>0</v>
      </c>
      <c r="H24" s="127">
        <f>'Monthly Data'!BY24</f>
        <v>0</v>
      </c>
      <c r="I24" s="127">
        <f>'Monthly Data'!CC24</f>
        <v>30</v>
      </c>
      <c r="K24" s="127">
        <f>'Large Use OLS Model'!$B$5</f>
        <v>-19707994.0131674</v>
      </c>
      <c r="L24" s="186">
        <f ca="1">'Large Use OLS Model'!$B$6*D24</f>
        <v>1321.3079598413001</v>
      </c>
      <c r="M24" s="186">
        <f>'Large Use OLS Model'!$B$7*E24</f>
        <v>22484239.454598043</v>
      </c>
      <c r="N24" s="186">
        <v>0</v>
      </c>
      <c r="O24" s="186">
        <f>'Large Use OLS Model'!$B$8*G24</f>
        <v>0</v>
      </c>
      <c r="P24" s="186">
        <f>'Large Use OLS Model'!$B$9*H24</f>
        <v>0</v>
      </c>
      <c r="Q24" s="186">
        <f>'Large Use OLS Model'!$B$10*I24</f>
        <v>20688004.791447509</v>
      </c>
      <c r="R24">
        <f t="shared" ca="1" si="4"/>
        <v>23465571.540837992</v>
      </c>
    </row>
    <row r="25" spans="1:18">
      <c r="A25" s="26">
        <f>'Monthly Data'!A25</f>
        <v>40513</v>
      </c>
      <c r="B25">
        <f t="shared" si="1"/>
        <v>2010</v>
      </c>
      <c r="C25">
        <f ca="1">'Monthly Data'!AE25</f>
        <v>22899884.576402999</v>
      </c>
      <c r="D25" s="127">
        <f t="shared" ca="1" si="3"/>
        <v>0</v>
      </c>
      <c r="E25" s="124">
        <f>'Monthly Data'!BJ25</f>
        <v>6578.3</v>
      </c>
      <c r="F25" s="127">
        <f>'Monthly Data'!BM25</f>
        <v>24</v>
      </c>
      <c r="G25" s="127">
        <f>'Monthly Data'!BT25</f>
        <v>0</v>
      </c>
      <c r="H25" s="127">
        <f>'Monthly Data'!BY25</f>
        <v>1</v>
      </c>
      <c r="I25" s="127">
        <f>'Monthly Data'!CC25</f>
        <v>31</v>
      </c>
      <c r="K25" s="127">
        <f>'Large Use OLS Model'!$B$5</f>
        <v>-19707994.0131674</v>
      </c>
      <c r="L25" s="186">
        <f ca="1">'Large Use OLS Model'!$B$6*D25</f>
        <v>0</v>
      </c>
      <c r="M25" s="186">
        <f>'Large Use OLS Model'!$B$7*E25</f>
        <v>22561751.209509637</v>
      </c>
      <c r="N25" s="186">
        <v>0</v>
      </c>
      <c r="O25" s="186">
        <f>'Large Use OLS Model'!$B$8*G25</f>
        <v>0</v>
      </c>
      <c r="P25" s="186">
        <f>'Large Use OLS Model'!$B$9*H25</f>
        <v>-2219022.2541699898</v>
      </c>
      <c r="Q25" s="186">
        <f>'Large Use OLS Model'!$B$10*I25</f>
        <v>21377604.951162424</v>
      </c>
      <c r="R25">
        <f t="shared" ca="1" si="4"/>
        <v>22012339.893334672</v>
      </c>
    </row>
    <row r="26" spans="1:18">
      <c r="A26" s="26">
        <f>'Monthly Data'!A26</f>
        <v>40544</v>
      </c>
      <c r="B26">
        <f t="shared" si="1"/>
        <v>2011</v>
      </c>
      <c r="C26">
        <f ca="1">'Monthly Data'!AE26</f>
        <v>25034209.612390783</v>
      </c>
      <c r="D26" s="127">
        <f t="shared" ca="1" si="3"/>
        <v>0</v>
      </c>
      <c r="E26" s="124">
        <f>'Monthly Data'!BJ26</f>
        <v>6606.3</v>
      </c>
      <c r="F26" s="127">
        <f>'Monthly Data'!BM26</f>
        <v>25</v>
      </c>
      <c r="G26" s="127">
        <f>'Monthly Data'!BT26</f>
        <v>0</v>
      </c>
      <c r="H26" s="127">
        <f>'Monthly Data'!BY26</f>
        <v>0</v>
      </c>
      <c r="I26" s="127">
        <f>'Monthly Data'!CC26</f>
        <v>31</v>
      </c>
      <c r="K26" s="127">
        <f>'Large Use OLS Model'!$B$5</f>
        <v>-19707994.0131674</v>
      </c>
      <c r="L26" s="186">
        <f ca="1">'Large Use OLS Model'!$B$6*D26</f>
        <v>0</v>
      </c>
      <c r="M26" s="186">
        <f>'Large Use OLS Model'!$B$7*E26</f>
        <v>22657783.472231962</v>
      </c>
      <c r="N26" s="186">
        <v>0</v>
      </c>
      <c r="O26" s="186">
        <f>'Large Use OLS Model'!$B$8*G26</f>
        <v>0</v>
      </c>
      <c r="P26" s="186">
        <f>'Large Use OLS Model'!$B$9*H26</f>
        <v>0</v>
      </c>
      <c r="Q26" s="186">
        <f>'Large Use OLS Model'!$B$10*I26</f>
        <v>21377604.951162424</v>
      </c>
      <c r="R26">
        <f t="shared" ca="1" si="4"/>
        <v>24327394.410226986</v>
      </c>
    </row>
    <row r="27" spans="1:18">
      <c r="A27" s="26">
        <f>'Monthly Data'!A27</f>
        <v>40575</v>
      </c>
      <c r="B27">
        <f t="shared" si="1"/>
        <v>2011</v>
      </c>
      <c r="C27">
        <f ca="1">'Monthly Data'!AE27</f>
        <v>23164195.346903782</v>
      </c>
      <c r="D27" s="127">
        <f t="shared" ca="1" si="3"/>
        <v>0</v>
      </c>
      <c r="E27" s="124">
        <f>'Monthly Data'!BJ27</f>
        <v>6619.5</v>
      </c>
      <c r="F27" s="127">
        <f>'Monthly Data'!BM27</f>
        <v>26</v>
      </c>
      <c r="G27" s="127">
        <f>'Monthly Data'!BT27</f>
        <v>0</v>
      </c>
      <c r="H27" s="127">
        <f>'Monthly Data'!BY27</f>
        <v>0</v>
      </c>
      <c r="I27" s="127">
        <f>'Monthly Data'!CC27</f>
        <v>28</v>
      </c>
      <c r="K27" s="127">
        <f>'Large Use OLS Model'!$B$5</f>
        <v>-19707994.0131674</v>
      </c>
      <c r="L27" s="186">
        <f ca="1">'Large Use OLS Model'!$B$6*D27</f>
        <v>0</v>
      </c>
      <c r="M27" s="186">
        <f>'Large Use OLS Model'!$B$7*E27</f>
        <v>22703055.8246582</v>
      </c>
      <c r="N27" s="186">
        <v>0</v>
      </c>
      <c r="O27" s="186">
        <f>'Large Use OLS Model'!$B$8*G27</f>
        <v>0</v>
      </c>
      <c r="P27" s="186">
        <f>'Large Use OLS Model'!$B$9*H27</f>
        <v>0</v>
      </c>
      <c r="Q27" s="186">
        <f>'Large Use OLS Model'!$B$10*I27</f>
        <v>19308804.472017676</v>
      </c>
      <c r="R27">
        <f t="shared" ca="1" si="4"/>
        <v>22303866.283508476</v>
      </c>
    </row>
    <row r="28" spans="1:18">
      <c r="A28" s="26">
        <f>'Monthly Data'!A28</f>
        <v>40603</v>
      </c>
      <c r="B28">
        <f t="shared" si="1"/>
        <v>2011</v>
      </c>
      <c r="C28">
        <f ca="1">'Monthly Data'!AE28</f>
        <v>26459090.230250776</v>
      </c>
      <c r="D28" s="127">
        <f t="shared" ca="1" si="3"/>
        <v>0.48</v>
      </c>
      <c r="E28" s="124">
        <f>'Monthly Data'!BJ28</f>
        <v>6628.6</v>
      </c>
      <c r="F28" s="127">
        <f>'Monthly Data'!BM28</f>
        <v>27</v>
      </c>
      <c r="G28" s="127">
        <f>'Monthly Data'!BT28</f>
        <v>0</v>
      </c>
      <c r="H28" s="127">
        <f>'Monthly Data'!BY28</f>
        <v>0</v>
      </c>
      <c r="I28" s="127">
        <f>'Monthly Data'!CC28</f>
        <v>31</v>
      </c>
      <c r="K28" s="127">
        <f>'Large Use OLS Model'!$B$5</f>
        <v>-19707994.0131674</v>
      </c>
      <c r="L28" s="186">
        <f ca="1">'Large Use OLS Model'!$B$6*D28</f>
        <v>12684.556414476479</v>
      </c>
      <c r="M28" s="186">
        <f>'Large Use OLS Model'!$B$7*E28</f>
        <v>22734266.310042955</v>
      </c>
      <c r="N28" s="186">
        <v>0</v>
      </c>
      <c r="O28" s="186">
        <f>'Large Use OLS Model'!$B$8*G28</f>
        <v>0</v>
      </c>
      <c r="P28" s="186">
        <f>'Large Use OLS Model'!$B$9*H28</f>
        <v>0</v>
      </c>
      <c r="Q28" s="186">
        <f>'Large Use OLS Model'!$B$10*I28</f>
        <v>21377604.951162424</v>
      </c>
      <c r="R28">
        <f t="shared" ca="1" si="4"/>
        <v>24416561.804452457</v>
      </c>
    </row>
    <row r="29" spans="1:18">
      <c r="A29" s="26">
        <f>'Monthly Data'!A29</f>
        <v>40634</v>
      </c>
      <c r="B29">
        <f t="shared" si="1"/>
        <v>2011</v>
      </c>
      <c r="C29">
        <f ca="1">'Monthly Data'!AE29</f>
        <v>25022567.66299478</v>
      </c>
      <c r="D29" s="127">
        <f t="shared" ca="1" si="3"/>
        <v>2.63</v>
      </c>
      <c r="E29" s="124">
        <f>'Monthly Data'!BJ29</f>
        <v>6635.5</v>
      </c>
      <c r="F29" s="127">
        <f>'Monthly Data'!BM29</f>
        <v>28</v>
      </c>
      <c r="G29" s="127">
        <f>'Monthly Data'!BT29</f>
        <v>0</v>
      </c>
      <c r="H29" s="127">
        <f>'Monthly Data'!BY29</f>
        <v>0</v>
      </c>
      <c r="I29" s="127">
        <f>'Monthly Data'!CC29</f>
        <v>30</v>
      </c>
      <c r="K29" s="127">
        <f>'Large Use OLS Model'!$B$5</f>
        <v>-19707994.0131674</v>
      </c>
      <c r="L29" s="186">
        <f ca="1">'Large Use OLS Model'!$B$6*D29</f>
        <v>69500.798687652379</v>
      </c>
      <c r="M29" s="186">
        <f>'Large Use OLS Model'!$B$7*E29</f>
        <v>22757931.403356671</v>
      </c>
      <c r="N29" s="186">
        <v>0</v>
      </c>
      <c r="O29" s="186">
        <f>'Large Use OLS Model'!$B$8*G29</f>
        <v>0</v>
      </c>
      <c r="P29" s="186">
        <f>'Large Use OLS Model'!$B$9*H29</f>
        <v>0</v>
      </c>
      <c r="Q29" s="186">
        <f>'Large Use OLS Model'!$B$10*I29</f>
        <v>20688004.791447509</v>
      </c>
      <c r="R29">
        <f t="shared" ca="1" si="4"/>
        <v>23807442.980324432</v>
      </c>
    </row>
    <row r="30" spans="1:18">
      <c r="A30" s="26">
        <f>'Monthly Data'!A30</f>
        <v>40664</v>
      </c>
      <c r="B30">
        <f t="shared" si="1"/>
        <v>2011</v>
      </c>
      <c r="C30">
        <f ca="1">'Monthly Data'!AE30</f>
        <v>26704085.36537778</v>
      </c>
      <c r="D30" s="127">
        <f t="shared" ca="1" si="3"/>
        <v>47.37</v>
      </c>
      <c r="E30" s="124">
        <f>'Monthly Data'!BJ30</f>
        <v>6645.8</v>
      </c>
      <c r="F30" s="127">
        <f>'Monthly Data'!BM30</f>
        <v>29</v>
      </c>
      <c r="G30" s="127">
        <f>'Monthly Data'!BT30</f>
        <v>0</v>
      </c>
      <c r="H30" s="127">
        <f>'Monthly Data'!BY30</f>
        <v>0</v>
      </c>
      <c r="I30" s="127">
        <f>'Monthly Data'!CC30</f>
        <v>31</v>
      </c>
      <c r="K30" s="127">
        <f>'Large Use OLS Model'!$B$5</f>
        <v>-19707994.0131674</v>
      </c>
      <c r="L30" s="186">
        <f ca="1">'Large Use OLS Model'!$B$6*D30</f>
        <v>1251807.1611536476</v>
      </c>
      <c r="M30" s="186">
        <f>'Large Use OLS Model'!$B$7*E30</f>
        <v>22793257.557143811</v>
      </c>
      <c r="N30" s="186">
        <v>0</v>
      </c>
      <c r="O30" s="186">
        <f>'Large Use OLS Model'!$B$8*G30</f>
        <v>0</v>
      </c>
      <c r="P30" s="186">
        <f>'Large Use OLS Model'!$B$9*H30</f>
        <v>0</v>
      </c>
      <c r="Q30" s="186">
        <f>'Large Use OLS Model'!$B$10*I30</f>
        <v>21377604.951162424</v>
      </c>
      <c r="R30">
        <f t="shared" ca="1" si="4"/>
        <v>25714675.656292483</v>
      </c>
    </row>
    <row r="31" spans="1:18">
      <c r="A31" s="26">
        <f>'Monthly Data'!A31</f>
        <v>40695</v>
      </c>
      <c r="B31">
        <f t="shared" si="1"/>
        <v>2011</v>
      </c>
      <c r="C31">
        <f ca="1">'Monthly Data'!AE31</f>
        <v>28111785.629975785</v>
      </c>
      <c r="D31" s="127">
        <f t="shared" ca="1" si="3"/>
        <v>117.23999999999997</v>
      </c>
      <c r="E31" s="124">
        <f>'Monthly Data'!BJ31</f>
        <v>6662</v>
      </c>
      <c r="F31" s="127">
        <f>'Monthly Data'!BM31</f>
        <v>30</v>
      </c>
      <c r="G31" s="127">
        <f>'Monthly Data'!BT31</f>
        <v>0</v>
      </c>
      <c r="H31" s="127">
        <f>'Monthly Data'!BY31</f>
        <v>0</v>
      </c>
      <c r="I31" s="127">
        <f>'Monthly Data'!CC31</f>
        <v>30</v>
      </c>
      <c r="K31" s="127">
        <f>'Large Use OLS Model'!$B$5</f>
        <v>-19707994.0131674</v>
      </c>
      <c r="L31" s="186">
        <f ca="1">'Large Use OLS Model'!$B$6*D31</f>
        <v>3098202.9042358794</v>
      </c>
      <c r="M31" s="186">
        <f>'Large Use OLS Model'!$B$7*E31</f>
        <v>22848819.080576014</v>
      </c>
      <c r="N31" s="186">
        <v>0</v>
      </c>
      <c r="O31" s="186">
        <f>'Large Use OLS Model'!$B$8*G31</f>
        <v>0</v>
      </c>
      <c r="P31" s="186">
        <f>'Large Use OLS Model'!$B$9*H31</f>
        <v>0</v>
      </c>
      <c r="Q31" s="186">
        <f>'Large Use OLS Model'!$B$10*I31</f>
        <v>20688004.791447509</v>
      </c>
      <c r="R31">
        <f t="shared" ca="1" si="4"/>
        <v>26927032.763092004</v>
      </c>
    </row>
    <row r="32" spans="1:18">
      <c r="A32" s="26">
        <f>'Monthly Data'!A32</f>
        <v>40725</v>
      </c>
      <c r="B32">
        <f t="shared" si="1"/>
        <v>2011</v>
      </c>
      <c r="C32">
        <f ca="1">'Monthly Data'!AE32</f>
        <v>30190116.641824778</v>
      </c>
      <c r="D32" s="127">
        <f t="shared" ca="1" si="3"/>
        <v>185.60999999999999</v>
      </c>
      <c r="E32" s="124">
        <f>'Monthly Data'!BJ32</f>
        <v>6665.8</v>
      </c>
      <c r="F32" s="127">
        <f>'Monthly Data'!BM32</f>
        <v>31</v>
      </c>
      <c r="G32" s="127">
        <f>'Monthly Data'!BT32</f>
        <v>1</v>
      </c>
      <c r="H32" s="127">
        <f>'Monthly Data'!BY32</f>
        <v>0</v>
      </c>
      <c r="I32" s="127">
        <f>'Monthly Data'!CC32</f>
        <v>31</v>
      </c>
      <c r="K32" s="127">
        <f>'Large Use OLS Model'!$B$5</f>
        <v>-19707994.0131674</v>
      </c>
      <c r="L32" s="186">
        <f ca="1">'Large Use OLS Model'!$B$6*D32</f>
        <v>4904959.4085228732</v>
      </c>
      <c r="M32" s="186">
        <f>'Large Use OLS Model'!$B$7*E32</f>
        <v>22861852.0305169</v>
      </c>
      <c r="N32" s="186">
        <v>0</v>
      </c>
      <c r="O32" s="186">
        <f>'Large Use OLS Model'!$B$8*G32</f>
        <v>-1563237.6990636101</v>
      </c>
      <c r="P32" s="186">
        <f>'Large Use OLS Model'!$B$9*H32</f>
        <v>0</v>
      </c>
      <c r="Q32" s="186">
        <f>'Large Use OLS Model'!$B$10*I32</f>
        <v>21377604.951162424</v>
      </c>
      <c r="R32">
        <f t="shared" ca="1" si="4"/>
        <v>27873184.677971188</v>
      </c>
    </row>
    <row r="33" spans="1:18">
      <c r="A33" s="26">
        <f>'Monthly Data'!A33</f>
        <v>40756</v>
      </c>
      <c r="B33">
        <f t="shared" si="1"/>
        <v>2011</v>
      </c>
      <c r="C33">
        <f ca="1">'Monthly Data'!AE33</f>
        <v>30861622.659266785</v>
      </c>
      <c r="D33" s="127">
        <f t="shared" ca="1" si="3"/>
        <v>159.64000000000001</v>
      </c>
      <c r="E33" s="124">
        <f>'Monthly Data'!BJ33</f>
        <v>6677.5</v>
      </c>
      <c r="F33" s="127">
        <f>'Monthly Data'!BM33</f>
        <v>32</v>
      </c>
      <c r="G33" s="127">
        <f>'Monthly Data'!BT33</f>
        <v>0</v>
      </c>
      <c r="H33" s="127">
        <f>'Monthly Data'!BY33</f>
        <v>0</v>
      </c>
      <c r="I33" s="127">
        <f>'Monthly Data'!CC33</f>
        <v>31</v>
      </c>
      <c r="K33" s="127">
        <f>'Large Use OLS Model'!$B$5</f>
        <v>-19707994.0131674</v>
      </c>
      <c r="L33" s="186">
        <f ca="1">'Large Use OLS Model'!$B$6*D33</f>
        <v>4218672.0541813029</v>
      </c>
      <c r="M33" s="186">
        <f>'Large Use OLS Model'!$B$7*E33</f>
        <v>22901979.797440156</v>
      </c>
      <c r="N33" s="186">
        <v>0</v>
      </c>
      <c r="O33" s="186">
        <f>'Large Use OLS Model'!$B$8*G33</f>
        <v>0</v>
      </c>
      <c r="P33" s="186">
        <f>'Large Use OLS Model'!$B$9*H33</f>
        <v>0</v>
      </c>
      <c r="Q33" s="186">
        <f>'Large Use OLS Model'!$B$10*I33</f>
        <v>21377604.951162424</v>
      </c>
      <c r="R33">
        <f t="shared" ca="1" si="4"/>
        <v>28790262.789616484</v>
      </c>
    </row>
    <row r="34" spans="1:18">
      <c r="A34" s="26">
        <f>'Monthly Data'!A34</f>
        <v>40787</v>
      </c>
      <c r="B34">
        <f t="shared" si="1"/>
        <v>2011</v>
      </c>
      <c r="C34">
        <f ca="1">'Monthly Data'!AE34</f>
        <v>28060858.582085781</v>
      </c>
      <c r="D34" s="127">
        <f t="shared" ca="1" si="3"/>
        <v>72.989999999999981</v>
      </c>
      <c r="E34" s="124">
        <f>'Monthly Data'!BJ34</f>
        <v>6674.4</v>
      </c>
      <c r="F34" s="127">
        <f>'Monthly Data'!BM34</f>
        <v>33</v>
      </c>
      <c r="G34" s="127">
        <f>'Monthly Data'!BT34</f>
        <v>0</v>
      </c>
      <c r="H34" s="127">
        <f>'Monthly Data'!BY34</f>
        <v>0</v>
      </c>
      <c r="I34" s="127">
        <f>'Monthly Data'!CC34</f>
        <v>30</v>
      </c>
      <c r="K34" s="127">
        <f>'Large Use OLS Model'!$B$5</f>
        <v>-19707994.0131674</v>
      </c>
      <c r="L34" s="186">
        <f ca="1">'Large Use OLS Model'!$B$6*D34</f>
        <v>1928845.3597763292</v>
      </c>
      <c r="M34" s="186">
        <f>'Large Use OLS Model'!$B$7*E34</f>
        <v>22891347.654067326</v>
      </c>
      <c r="N34" s="186">
        <v>0</v>
      </c>
      <c r="O34" s="186">
        <f>'Large Use OLS Model'!$B$8*G34</f>
        <v>0</v>
      </c>
      <c r="P34" s="186">
        <f>'Large Use OLS Model'!$B$9*H34</f>
        <v>0</v>
      </c>
      <c r="Q34" s="186">
        <f>'Large Use OLS Model'!$B$10*I34</f>
        <v>20688004.791447509</v>
      </c>
      <c r="R34">
        <f t="shared" ca="1" si="4"/>
        <v>25800203.792123765</v>
      </c>
    </row>
    <row r="35" spans="1:18">
      <c r="A35" s="26">
        <f>'Monthly Data'!A35</f>
        <v>40817</v>
      </c>
      <c r="B35">
        <f t="shared" si="1"/>
        <v>2011</v>
      </c>
      <c r="C35">
        <f ca="1">'Monthly Data'!AE35</f>
        <v>27577133.736433782</v>
      </c>
      <c r="D35" s="127">
        <f t="shared" ca="1" si="3"/>
        <v>10.779999999999998</v>
      </c>
      <c r="E35" s="124">
        <f>'Monthly Data'!BJ35</f>
        <v>6668.1</v>
      </c>
      <c r="F35" s="127">
        <f>'Monthly Data'!BM35</f>
        <v>34</v>
      </c>
      <c r="G35" s="127">
        <f>'Monthly Data'!BT35</f>
        <v>0</v>
      </c>
      <c r="H35" s="127">
        <f>'Monthly Data'!BY35</f>
        <v>0</v>
      </c>
      <c r="I35" s="127">
        <f>'Monthly Data'!CC35</f>
        <v>31</v>
      </c>
      <c r="K35" s="127">
        <f>'Large Use OLS Model'!$B$5</f>
        <v>-19707994.0131674</v>
      </c>
      <c r="L35" s="186">
        <f ca="1">'Large Use OLS Model'!$B$6*D35</f>
        <v>284873.99614178424</v>
      </c>
      <c r="M35" s="186">
        <f>'Large Use OLS Model'!$B$7*E35</f>
        <v>22869740.394954808</v>
      </c>
      <c r="N35" s="186">
        <v>0</v>
      </c>
      <c r="O35" s="186">
        <f>'Large Use OLS Model'!$B$8*G35</f>
        <v>0</v>
      </c>
      <c r="P35" s="186">
        <f>'Large Use OLS Model'!$B$9*H35</f>
        <v>0</v>
      </c>
      <c r="Q35" s="186">
        <f>'Large Use OLS Model'!$B$10*I35</f>
        <v>21377604.951162424</v>
      </c>
      <c r="R35">
        <f t="shared" ca="1" si="4"/>
        <v>24824225.329091616</v>
      </c>
    </row>
    <row r="36" spans="1:18">
      <c r="A36" s="26">
        <f>'Monthly Data'!A36</f>
        <v>40848</v>
      </c>
      <c r="B36">
        <f t="shared" si="1"/>
        <v>2011</v>
      </c>
      <c r="C36">
        <f ca="1">'Monthly Data'!AE36</f>
        <v>25509610.906105783</v>
      </c>
      <c r="D36" s="127">
        <f t="shared" ca="1" si="3"/>
        <v>0.05</v>
      </c>
      <c r="E36" s="124">
        <f>'Monthly Data'!BJ36</f>
        <v>6662.8</v>
      </c>
      <c r="F36" s="127">
        <f>'Monthly Data'!BM36</f>
        <v>35</v>
      </c>
      <c r="G36" s="127">
        <f>'Monthly Data'!BT36</f>
        <v>0</v>
      </c>
      <c r="H36" s="127">
        <f>'Monthly Data'!BY36</f>
        <v>0</v>
      </c>
      <c r="I36" s="127">
        <f>'Monthly Data'!CC36</f>
        <v>30</v>
      </c>
      <c r="K36" s="127">
        <f>'Large Use OLS Model'!$B$5</f>
        <v>-19707994.0131674</v>
      </c>
      <c r="L36" s="186">
        <f ca="1">'Large Use OLS Model'!$B$6*D36</f>
        <v>1321.3079598413001</v>
      </c>
      <c r="M36" s="186">
        <f>'Large Use OLS Model'!$B$7*E36</f>
        <v>22851562.85951094</v>
      </c>
      <c r="N36" s="186">
        <v>0</v>
      </c>
      <c r="O36" s="186">
        <f>'Large Use OLS Model'!$B$8*G36</f>
        <v>0</v>
      </c>
      <c r="P36" s="186">
        <f>'Large Use OLS Model'!$B$9*H36</f>
        <v>0</v>
      </c>
      <c r="Q36" s="186">
        <f>'Large Use OLS Model'!$B$10*I36</f>
        <v>20688004.791447509</v>
      </c>
      <c r="R36">
        <f t="shared" ca="1" si="4"/>
        <v>23832894.945750888</v>
      </c>
    </row>
    <row r="37" spans="1:18">
      <c r="A37" s="26">
        <f>'Monthly Data'!A37</f>
        <v>40878</v>
      </c>
      <c r="B37">
        <f t="shared" si="1"/>
        <v>2011</v>
      </c>
      <c r="C37">
        <f ca="1">'Monthly Data'!AE37</f>
        <v>24520015.174318783</v>
      </c>
      <c r="D37" s="127">
        <f t="shared" ca="1" si="3"/>
        <v>0</v>
      </c>
      <c r="E37" s="124">
        <f>'Monthly Data'!BJ37</f>
        <v>6667.5</v>
      </c>
      <c r="F37" s="127">
        <f>'Monthly Data'!BM37</f>
        <v>36</v>
      </c>
      <c r="G37" s="127">
        <f>'Monthly Data'!BT37</f>
        <v>0</v>
      </c>
      <c r="H37" s="127">
        <f>'Monthly Data'!BY37</f>
        <v>1</v>
      </c>
      <c r="I37" s="127">
        <f>'Monthly Data'!CC37</f>
        <v>31</v>
      </c>
      <c r="K37" s="127">
        <f>'Large Use OLS Model'!$B$5</f>
        <v>-19707994.0131674</v>
      </c>
      <c r="L37" s="186">
        <f ca="1">'Large Use OLS Model'!$B$6*D37</f>
        <v>0</v>
      </c>
      <c r="M37" s="186">
        <f>'Large Use OLS Model'!$B$7*E37</f>
        <v>22867682.560753614</v>
      </c>
      <c r="N37" s="186">
        <v>0</v>
      </c>
      <c r="O37" s="186">
        <f>'Large Use OLS Model'!$B$8*G37</f>
        <v>0</v>
      </c>
      <c r="P37" s="186">
        <f>'Large Use OLS Model'!$B$9*H37</f>
        <v>-2219022.2541699898</v>
      </c>
      <c r="Q37" s="186">
        <f>'Large Use OLS Model'!$B$10*I37</f>
        <v>21377604.951162424</v>
      </c>
      <c r="R37">
        <f t="shared" ca="1" si="4"/>
        <v>22318271.244578648</v>
      </c>
    </row>
    <row r="38" spans="1:18">
      <c r="A38" s="26">
        <f>'Monthly Data'!A38</f>
        <v>40909</v>
      </c>
      <c r="B38">
        <f t="shared" si="1"/>
        <v>2012</v>
      </c>
      <c r="C38">
        <f ca="1">'Monthly Data'!AE38</f>
        <v>24619746.910415377</v>
      </c>
      <c r="D38" s="127">
        <f t="shared" ca="1" si="3"/>
        <v>0</v>
      </c>
      <c r="E38" s="124">
        <f>'Monthly Data'!BJ38</f>
        <v>6673.6</v>
      </c>
      <c r="F38" s="127">
        <f>'Monthly Data'!BM38</f>
        <v>37</v>
      </c>
      <c r="G38" s="127">
        <f>'Monthly Data'!BT38</f>
        <v>0</v>
      </c>
      <c r="H38" s="127">
        <f>'Monthly Data'!BY38</f>
        <v>0</v>
      </c>
      <c r="I38" s="127">
        <f>'Monthly Data'!CC38</f>
        <v>31</v>
      </c>
      <c r="K38" s="127">
        <f>'Large Use OLS Model'!$B$5</f>
        <v>-19707994.0131674</v>
      </c>
      <c r="L38" s="186">
        <f ca="1">'Large Use OLS Model'!$B$6*D38</f>
        <v>0</v>
      </c>
      <c r="M38" s="186">
        <f>'Large Use OLS Model'!$B$7*E38</f>
        <v>22888603.875132408</v>
      </c>
      <c r="N38" s="186">
        <v>0</v>
      </c>
      <c r="O38" s="186">
        <f>'Large Use OLS Model'!$B$8*G38</f>
        <v>0</v>
      </c>
      <c r="P38" s="186">
        <f>'Large Use OLS Model'!$B$9*H38</f>
        <v>0</v>
      </c>
      <c r="Q38" s="186">
        <f>'Large Use OLS Model'!$B$10*I38</f>
        <v>21377604.951162424</v>
      </c>
      <c r="R38">
        <f t="shared" ca="1" si="4"/>
        <v>24558214.813127432</v>
      </c>
    </row>
    <row r="39" spans="1:18">
      <c r="A39" s="26">
        <f>'Monthly Data'!A39</f>
        <v>40940</v>
      </c>
      <c r="B39">
        <f t="shared" si="1"/>
        <v>2012</v>
      </c>
      <c r="C39">
        <f ca="1">'Monthly Data'!AE39</f>
        <v>23358346.485932376</v>
      </c>
      <c r="D39" s="127">
        <f t="shared" ca="1" si="3"/>
        <v>0</v>
      </c>
      <c r="E39" s="124">
        <f>'Monthly Data'!BJ39</f>
        <v>6670.7</v>
      </c>
      <c r="F39" s="127">
        <f>'Monthly Data'!BM39</f>
        <v>38</v>
      </c>
      <c r="G39" s="127">
        <f>'Monthly Data'!BT39</f>
        <v>0</v>
      </c>
      <c r="H39" s="127">
        <f>'Monthly Data'!BY39</f>
        <v>0</v>
      </c>
      <c r="I39" s="127">
        <f>'Monthly Data'!CC39</f>
        <v>29</v>
      </c>
      <c r="K39" s="127">
        <f>'Large Use OLS Model'!$B$5</f>
        <v>-19707994.0131674</v>
      </c>
      <c r="L39" s="186">
        <f ca="1">'Large Use OLS Model'!$B$6*D39</f>
        <v>0</v>
      </c>
      <c r="M39" s="186">
        <f>'Large Use OLS Model'!$B$7*E39</f>
        <v>22878657.676493306</v>
      </c>
      <c r="N39" s="186">
        <v>0</v>
      </c>
      <c r="O39" s="186">
        <f>'Large Use OLS Model'!$B$8*G39</f>
        <v>0</v>
      </c>
      <c r="P39" s="186">
        <f>'Large Use OLS Model'!$B$9*H39</f>
        <v>0</v>
      </c>
      <c r="Q39" s="186">
        <f>'Large Use OLS Model'!$B$10*I39</f>
        <v>19998404.63173259</v>
      </c>
      <c r="R39">
        <f t="shared" ca="1" si="4"/>
        <v>23169068.295058496</v>
      </c>
    </row>
    <row r="40" spans="1:18">
      <c r="A40" s="26">
        <f>'Monthly Data'!A40</f>
        <v>40969</v>
      </c>
      <c r="B40">
        <f t="shared" si="1"/>
        <v>2012</v>
      </c>
      <c r="C40">
        <f ca="1">'Monthly Data'!AE40</f>
        <v>25697582.403648376</v>
      </c>
      <c r="D40" s="127">
        <f t="shared" ca="1" si="3"/>
        <v>0.48</v>
      </c>
      <c r="E40" s="124">
        <f>'Monthly Data'!BJ40</f>
        <v>6674</v>
      </c>
      <c r="F40" s="127">
        <f>'Monthly Data'!BM40</f>
        <v>39</v>
      </c>
      <c r="G40" s="127">
        <f>'Monthly Data'!BT40</f>
        <v>0</v>
      </c>
      <c r="H40" s="127">
        <f>'Monthly Data'!BY40</f>
        <v>0</v>
      </c>
      <c r="I40" s="127">
        <f>'Monthly Data'!CC40</f>
        <v>31</v>
      </c>
      <c r="K40" s="127">
        <f>'Large Use OLS Model'!$B$5</f>
        <v>-19707994.0131674</v>
      </c>
      <c r="L40" s="186">
        <f ca="1">'Large Use OLS Model'!$B$6*D40</f>
        <v>12684.556414476479</v>
      </c>
      <c r="M40" s="186">
        <f>'Large Use OLS Model'!$B$7*E40</f>
        <v>22889975.764599867</v>
      </c>
      <c r="N40" s="186">
        <v>0</v>
      </c>
      <c r="O40" s="186">
        <f>'Large Use OLS Model'!$B$8*G40</f>
        <v>0</v>
      </c>
      <c r="P40" s="186">
        <f>'Large Use OLS Model'!$B$9*H40</f>
        <v>0</v>
      </c>
      <c r="Q40" s="186">
        <f>'Large Use OLS Model'!$B$10*I40</f>
        <v>21377604.951162424</v>
      </c>
      <c r="R40">
        <f t="shared" ca="1" si="4"/>
        <v>24572271.259009369</v>
      </c>
    </row>
    <row r="41" spans="1:18">
      <c r="A41" s="26">
        <f>'Monthly Data'!A41</f>
        <v>41000</v>
      </c>
      <c r="B41">
        <f t="shared" si="1"/>
        <v>2012</v>
      </c>
      <c r="C41">
        <f ca="1">'Monthly Data'!AE41</f>
        <v>22724090.569431376</v>
      </c>
      <c r="D41" s="127">
        <f t="shared" ca="1" si="3"/>
        <v>2.63</v>
      </c>
      <c r="E41" s="124">
        <f>'Monthly Data'!BJ41</f>
        <v>6685.8</v>
      </c>
      <c r="F41" s="127">
        <f>'Monthly Data'!BM41</f>
        <v>40</v>
      </c>
      <c r="G41" s="127">
        <f>'Monthly Data'!BT41</f>
        <v>0</v>
      </c>
      <c r="H41" s="127">
        <f>'Monthly Data'!BY41</f>
        <v>0</v>
      </c>
      <c r="I41" s="127">
        <f>'Monthly Data'!CC41</f>
        <v>30</v>
      </c>
      <c r="K41" s="127">
        <f>'Large Use OLS Model'!$B$5</f>
        <v>-19707994.0131674</v>
      </c>
      <c r="L41" s="186">
        <f ca="1">'Large Use OLS Model'!$B$6*D41</f>
        <v>69500.798687652379</v>
      </c>
      <c r="M41" s="186">
        <f>'Large Use OLS Model'!$B$7*E41</f>
        <v>22930446.503889989</v>
      </c>
      <c r="N41" s="186">
        <v>0</v>
      </c>
      <c r="O41" s="186">
        <f>'Large Use OLS Model'!$B$8*G41</f>
        <v>0</v>
      </c>
      <c r="P41" s="186">
        <f>'Large Use OLS Model'!$B$9*H41</f>
        <v>0</v>
      </c>
      <c r="Q41" s="186">
        <f>'Large Use OLS Model'!$B$10*I41</f>
        <v>20688004.791447509</v>
      </c>
      <c r="R41">
        <f t="shared" ca="1" si="4"/>
        <v>23979958.08085775</v>
      </c>
    </row>
    <row r="42" spans="1:18">
      <c r="A42" s="26">
        <f>'Monthly Data'!A42</f>
        <v>41030</v>
      </c>
      <c r="B42">
        <f t="shared" si="1"/>
        <v>2012</v>
      </c>
      <c r="C42">
        <f ca="1">'Monthly Data'!AE42</f>
        <v>26147718.708103377</v>
      </c>
      <c r="D42" s="127">
        <f t="shared" ca="1" si="3"/>
        <v>47.37</v>
      </c>
      <c r="E42" s="124">
        <f>'Monthly Data'!BJ42</f>
        <v>6690.1</v>
      </c>
      <c r="F42" s="127">
        <f>'Monthly Data'!BM42</f>
        <v>41</v>
      </c>
      <c r="G42" s="127">
        <f>'Monthly Data'!BT42</f>
        <v>0</v>
      </c>
      <c r="H42" s="127">
        <f>'Monthly Data'!BY42</f>
        <v>0</v>
      </c>
      <c r="I42" s="127">
        <f>'Monthly Data'!CC42</f>
        <v>31</v>
      </c>
      <c r="K42" s="127">
        <f>'Large Use OLS Model'!$B$5</f>
        <v>-19707994.0131674</v>
      </c>
      <c r="L42" s="186">
        <f ca="1">'Large Use OLS Model'!$B$6*D42</f>
        <v>1251807.1611536476</v>
      </c>
      <c r="M42" s="186">
        <f>'Large Use OLS Model'!$B$7*E42</f>
        <v>22945194.315665204</v>
      </c>
      <c r="N42" s="186">
        <v>0</v>
      </c>
      <c r="O42" s="186">
        <f>'Large Use OLS Model'!$B$8*G42</f>
        <v>0</v>
      </c>
      <c r="P42" s="186">
        <f>'Large Use OLS Model'!$B$9*H42</f>
        <v>0</v>
      </c>
      <c r="Q42" s="186">
        <f>'Large Use OLS Model'!$B$10*I42</f>
        <v>21377604.951162424</v>
      </c>
      <c r="R42">
        <f t="shared" ca="1" si="4"/>
        <v>25866612.414813876</v>
      </c>
    </row>
    <row r="43" spans="1:18">
      <c r="A43" s="26">
        <f>'Monthly Data'!A43</f>
        <v>41061</v>
      </c>
      <c r="B43">
        <f t="shared" ref="B43:B106" si="5">YEAR(A43)</f>
        <v>2012</v>
      </c>
      <c r="C43">
        <f ca="1">'Monthly Data'!AE43</f>
        <v>27110911.66941338</v>
      </c>
      <c r="D43" s="127">
        <f t="shared" ca="1" si="3"/>
        <v>117.23999999999997</v>
      </c>
      <c r="E43" s="124">
        <f>'Monthly Data'!BJ43</f>
        <v>6693.3</v>
      </c>
      <c r="F43" s="127">
        <f>'Monthly Data'!BM43</f>
        <v>42</v>
      </c>
      <c r="G43" s="127">
        <f>'Monthly Data'!BT43</f>
        <v>0</v>
      </c>
      <c r="H43" s="127">
        <f>'Monthly Data'!BY43</f>
        <v>0</v>
      </c>
      <c r="I43" s="127">
        <f>'Monthly Data'!CC43</f>
        <v>30</v>
      </c>
      <c r="K43" s="127">
        <f>'Large Use OLS Model'!$B$5</f>
        <v>-19707994.0131674</v>
      </c>
      <c r="L43" s="186">
        <f ca="1">'Large Use OLS Model'!$B$6*D43</f>
        <v>3098202.9042358794</v>
      </c>
      <c r="M43" s="186">
        <f>'Large Use OLS Model'!$B$7*E43</f>
        <v>22956169.4314049</v>
      </c>
      <c r="N43" s="186">
        <v>0</v>
      </c>
      <c r="O43" s="186">
        <f>'Large Use OLS Model'!$B$8*G43</f>
        <v>0</v>
      </c>
      <c r="P43" s="186">
        <f>'Large Use OLS Model'!$B$9*H43</f>
        <v>0</v>
      </c>
      <c r="Q43" s="186">
        <f>'Large Use OLS Model'!$B$10*I43</f>
        <v>20688004.791447509</v>
      </c>
      <c r="R43">
        <f t="shared" ca="1" si="4"/>
        <v>27034383.11392089</v>
      </c>
    </row>
    <row r="44" spans="1:18">
      <c r="A44" s="26">
        <f>'Monthly Data'!A44</f>
        <v>41091</v>
      </c>
      <c r="B44">
        <f t="shared" si="5"/>
        <v>2012</v>
      </c>
      <c r="C44">
        <f ca="1">'Monthly Data'!AE44</f>
        <v>28651532.946666375</v>
      </c>
      <c r="D44" s="127">
        <f t="shared" ca="1" si="3"/>
        <v>185.60999999999999</v>
      </c>
      <c r="E44" s="124">
        <f>'Monthly Data'!BJ44</f>
        <v>6694.6</v>
      </c>
      <c r="F44" s="127">
        <f>'Monthly Data'!BM44</f>
        <v>43</v>
      </c>
      <c r="G44" s="127">
        <f>'Monthly Data'!BT44</f>
        <v>1</v>
      </c>
      <c r="H44" s="127">
        <f>'Monthly Data'!BY44</f>
        <v>0</v>
      </c>
      <c r="I44" s="127">
        <f>'Monthly Data'!CC44</f>
        <v>31</v>
      </c>
      <c r="K44" s="127">
        <f>'Large Use OLS Model'!$B$5</f>
        <v>-19707994.0131674</v>
      </c>
      <c r="L44" s="186">
        <f ca="1">'Large Use OLS Model'!$B$6*D44</f>
        <v>4904959.4085228732</v>
      </c>
      <c r="M44" s="186">
        <f>'Large Use OLS Model'!$B$7*E44</f>
        <v>22960628.07217415</v>
      </c>
      <c r="N44" s="186">
        <v>0</v>
      </c>
      <c r="O44" s="186">
        <f>'Large Use OLS Model'!$B$8*G44</f>
        <v>-1563237.6990636101</v>
      </c>
      <c r="P44" s="186">
        <f>'Large Use OLS Model'!$B$9*H44</f>
        <v>0</v>
      </c>
      <c r="Q44" s="186">
        <f>'Large Use OLS Model'!$B$10*I44</f>
        <v>21377604.951162424</v>
      </c>
      <c r="R44">
        <f t="shared" ca="1" si="4"/>
        <v>27971960.719628438</v>
      </c>
    </row>
    <row r="45" spans="1:18">
      <c r="A45" s="26">
        <f>'Monthly Data'!A45</f>
        <v>41122</v>
      </c>
      <c r="B45">
        <f t="shared" si="5"/>
        <v>2012</v>
      </c>
      <c r="C45">
        <f ca="1">'Monthly Data'!AE45</f>
        <v>29135996.964846376</v>
      </c>
      <c r="D45" s="127">
        <f t="shared" ca="1" si="3"/>
        <v>159.64000000000001</v>
      </c>
      <c r="E45" s="124">
        <f>'Monthly Data'!BJ45</f>
        <v>6703.3</v>
      </c>
      <c r="F45" s="127">
        <f>'Monthly Data'!BM45</f>
        <v>44</v>
      </c>
      <c r="G45" s="127">
        <f>'Monthly Data'!BT45</f>
        <v>0</v>
      </c>
      <c r="H45" s="127">
        <f>'Monthly Data'!BY45</f>
        <v>0</v>
      </c>
      <c r="I45" s="127">
        <f>'Monthly Data'!CC45</f>
        <v>31</v>
      </c>
      <c r="K45" s="127">
        <f>'Large Use OLS Model'!$B$5</f>
        <v>-19707994.0131674</v>
      </c>
      <c r="L45" s="186">
        <f ca="1">'Large Use OLS Model'!$B$6*D45</f>
        <v>4218672.0541813029</v>
      </c>
      <c r="M45" s="186">
        <f>'Large Use OLS Model'!$B$7*E45</f>
        <v>22990466.668091442</v>
      </c>
      <c r="N45" s="186">
        <v>0</v>
      </c>
      <c r="O45" s="186">
        <f>'Large Use OLS Model'!$B$8*G45</f>
        <v>0</v>
      </c>
      <c r="P45" s="186">
        <f>'Large Use OLS Model'!$B$9*H45</f>
        <v>0</v>
      </c>
      <c r="Q45" s="186">
        <f>'Large Use OLS Model'!$B$10*I45</f>
        <v>21377604.951162424</v>
      </c>
      <c r="R45">
        <f t="shared" ca="1" si="4"/>
        <v>28878749.66026777</v>
      </c>
    </row>
    <row r="46" spans="1:18">
      <c r="A46" s="26">
        <f>'Monthly Data'!A46</f>
        <v>41153</v>
      </c>
      <c r="B46">
        <f t="shared" si="5"/>
        <v>2012</v>
      </c>
      <c r="C46">
        <f ca="1">'Monthly Data'!AE46</f>
        <v>26827518.381083377</v>
      </c>
      <c r="D46" s="127">
        <f t="shared" ca="1" si="3"/>
        <v>72.989999999999981</v>
      </c>
      <c r="E46" s="124">
        <f>'Monthly Data'!BJ46</f>
        <v>6707.4</v>
      </c>
      <c r="F46" s="127">
        <f>'Monthly Data'!BM46</f>
        <v>45</v>
      </c>
      <c r="G46" s="127">
        <f>'Monthly Data'!BT46</f>
        <v>0</v>
      </c>
      <c r="H46" s="127">
        <f>'Monthly Data'!BY46</f>
        <v>0</v>
      </c>
      <c r="I46" s="127">
        <f>'Monthly Data'!CC46</f>
        <v>30</v>
      </c>
      <c r="K46" s="127">
        <f>'Large Use OLS Model'!$B$5</f>
        <v>-19707994.0131674</v>
      </c>
      <c r="L46" s="186">
        <f ca="1">'Large Use OLS Model'!$B$6*D46</f>
        <v>1928845.3597763292</v>
      </c>
      <c r="M46" s="186">
        <f>'Large Use OLS Model'!$B$7*E46</f>
        <v>23004528.535132926</v>
      </c>
      <c r="N46" s="186">
        <v>0</v>
      </c>
      <c r="O46" s="186">
        <f>'Large Use OLS Model'!$B$8*G46</f>
        <v>0</v>
      </c>
      <c r="P46" s="186">
        <f>'Large Use OLS Model'!$B$9*H46</f>
        <v>0</v>
      </c>
      <c r="Q46" s="186">
        <f>'Large Use OLS Model'!$B$10*I46</f>
        <v>20688004.791447509</v>
      </c>
      <c r="R46">
        <f t="shared" ca="1" si="4"/>
        <v>25913384.673189364</v>
      </c>
    </row>
    <row r="47" spans="1:18">
      <c r="A47" s="26">
        <f>'Monthly Data'!A47</f>
        <v>41183</v>
      </c>
      <c r="B47">
        <f t="shared" si="5"/>
        <v>2012</v>
      </c>
      <c r="C47">
        <f ca="1">'Monthly Data'!AE47</f>
        <v>26040528.23985038</v>
      </c>
      <c r="D47" s="127">
        <f t="shared" ca="1" si="3"/>
        <v>10.779999999999998</v>
      </c>
      <c r="E47" s="124">
        <f>'Monthly Data'!BJ47</f>
        <v>6710</v>
      </c>
      <c r="F47" s="127">
        <f>'Monthly Data'!BM47</f>
        <v>46</v>
      </c>
      <c r="G47" s="127">
        <f>'Monthly Data'!BT47</f>
        <v>0</v>
      </c>
      <c r="H47" s="127">
        <f>'Monthly Data'!BY47</f>
        <v>0</v>
      </c>
      <c r="I47" s="127">
        <f>'Monthly Data'!CC47</f>
        <v>31</v>
      </c>
      <c r="K47" s="127">
        <f>'Large Use OLS Model'!$B$5</f>
        <v>-19707994.0131674</v>
      </c>
      <c r="L47" s="186">
        <f ca="1">'Large Use OLS Model'!$B$6*D47</f>
        <v>284873.99614178424</v>
      </c>
      <c r="M47" s="186">
        <f>'Large Use OLS Model'!$B$7*E47</f>
        <v>23013445.816671427</v>
      </c>
      <c r="N47" s="186">
        <v>0</v>
      </c>
      <c r="O47" s="186">
        <f>'Large Use OLS Model'!$B$8*G47</f>
        <v>0</v>
      </c>
      <c r="P47" s="186">
        <f>'Large Use OLS Model'!$B$9*H47</f>
        <v>0</v>
      </c>
      <c r="Q47" s="186">
        <f>'Large Use OLS Model'!$B$10*I47</f>
        <v>21377604.951162424</v>
      </c>
      <c r="R47">
        <f t="shared" ca="1" si="4"/>
        <v>24967930.750808235</v>
      </c>
    </row>
    <row r="48" spans="1:18">
      <c r="A48" s="26">
        <f>'Monthly Data'!A48</f>
        <v>41214</v>
      </c>
      <c r="B48">
        <f t="shared" si="5"/>
        <v>2012</v>
      </c>
      <c r="C48">
        <f ca="1">'Monthly Data'!AE48</f>
        <v>24522347.921087377</v>
      </c>
      <c r="D48" s="127">
        <f t="shared" ca="1" si="3"/>
        <v>0.05</v>
      </c>
      <c r="E48" s="124">
        <f>'Monthly Data'!BJ48</f>
        <v>6722.4</v>
      </c>
      <c r="F48" s="127">
        <f>'Monthly Data'!BM48</f>
        <v>47</v>
      </c>
      <c r="G48" s="127">
        <f>'Monthly Data'!BT48</f>
        <v>0</v>
      </c>
      <c r="H48" s="127">
        <f>'Monthly Data'!BY48</f>
        <v>0</v>
      </c>
      <c r="I48" s="127">
        <f>'Monthly Data'!CC48</f>
        <v>30</v>
      </c>
      <c r="K48" s="127">
        <f>'Large Use OLS Model'!$B$5</f>
        <v>-19707994.0131674</v>
      </c>
      <c r="L48" s="186">
        <f ca="1">'Large Use OLS Model'!$B$6*D48</f>
        <v>1321.3079598413001</v>
      </c>
      <c r="M48" s="186">
        <f>'Large Use OLS Model'!$B$7*E48</f>
        <v>23055974.390162744</v>
      </c>
      <c r="N48" s="186">
        <v>0</v>
      </c>
      <c r="O48" s="186">
        <f>'Large Use OLS Model'!$B$8*G48</f>
        <v>0</v>
      </c>
      <c r="P48" s="186">
        <f>'Large Use OLS Model'!$B$9*H48</f>
        <v>0</v>
      </c>
      <c r="Q48" s="186">
        <f>'Large Use OLS Model'!$B$10*I48</f>
        <v>20688004.791447509</v>
      </c>
      <c r="R48">
        <f t="shared" ca="1" si="4"/>
        <v>24037306.476402692</v>
      </c>
    </row>
    <row r="49" spans="1:18">
      <c r="A49" s="26">
        <f>'Monthly Data'!A49</f>
        <v>41244</v>
      </c>
      <c r="B49">
        <f t="shared" si="5"/>
        <v>2012</v>
      </c>
      <c r="C49">
        <f ca="1">'Monthly Data'!AE49</f>
        <v>22515876.246065378</v>
      </c>
      <c r="D49" s="127">
        <f t="shared" ca="1" si="3"/>
        <v>0</v>
      </c>
      <c r="E49" s="124">
        <f>'Monthly Data'!BJ49</f>
        <v>6740.6</v>
      </c>
      <c r="F49" s="127">
        <f>'Monthly Data'!BM49</f>
        <v>48</v>
      </c>
      <c r="G49" s="127">
        <f>'Monthly Data'!BT49</f>
        <v>0</v>
      </c>
      <c r="H49" s="127">
        <f>'Monthly Data'!BY49</f>
        <v>1</v>
      </c>
      <c r="I49" s="127">
        <f>'Monthly Data'!CC49</f>
        <v>31</v>
      </c>
      <c r="K49" s="127">
        <f>'Large Use OLS Model'!$B$5</f>
        <v>-19707994.0131674</v>
      </c>
      <c r="L49" s="186">
        <f ca="1">'Large Use OLS Model'!$B$6*D49</f>
        <v>0</v>
      </c>
      <c r="M49" s="186">
        <f>'Large Use OLS Model'!$B$7*E49</f>
        <v>23118395.360932257</v>
      </c>
      <c r="N49" s="186">
        <v>0</v>
      </c>
      <c r="O49" s="186">
        <f>'Large Use OLS Model'!$B$8*G49</f>
        <v>0</v>
      </c>
      <c r="P49" s="186">
        <f>'Large Use OLS Model'!$B$9*H49</f>
        <v>-2219022.2541699898</v>
      </c>
      <c r="Q49" s="186">
        <f>'Large Use OLS Model'!$B$10*I49</f>
        <v>21377604.951162424</v>
      </c>
      <c r="R49">
        <f t="shared" ca="1" si="4"/>
        <v>22568984.044757292</v>
      </c>
    </row>
    <row r="50" spans="1:18">
      <c r="A50" s="26">
        <f>'Monthly Data'!A50</f>
        <v>41275</v>
      </c>
      <c r="B50">
        <f t="shared" si="5"/>
        <v>2013</v>
      </c>
      <c r="C50">
        <f ca="1">'Monthly Data'!AE50</f>
        <v>23925452.935251616</v>
      </c>
      <c r="D50" s="127">
        <f t="shared" ca="1" si="3"/>
        <v>0</v>
      </c>
      <c r="E50" s="124">
        <f>'Monthly Data'!BJ50</f>
        <v>6758.8</v>
      </c>
      <c r="F50" s="127">
        <f>'Monthly Data'!BM50</f>
        <v>49</v>
      </c>
      <c r="G50" s="127">
        <f>'Monthly Data'!BT50</f>
        <v>0</v>
      </c>
      <c r="H50" s="127">
        <f>'Monthly Data'!BY50</f>
        <v>0</v>
      </c>
      <c r="I50" s="127">
        <f>'Monthly Data'!CC50</f>
        <v>31</v>
      </c>
      <c r="K50" s="127">
        <f>'Large Use OLS Model'!$B$5</f>
        <v>-19707994.0131674</v>
      </c>
      <c r="L50" s="186">
        <f ca="1">'Large Use OLS Model'!$B$6*D50</f>
        <v>0</v>
      </c>
      <c r="M50" s="186">
        <f>'Large Use OLS Model'!$B$7*E50</f>
        <v>23180816.331701767</v>
      </c>
      <c r="N50" s="186">
        <v>0</v>
      </c>
      <c r="O50" s="186">
        <f>'Large Use OLS Model'!$B$8*G50</f>
        <v>0</v>
      </c>
      <c r="P50" s="186">
        <f>'Large Use OLS Model'!$B$9*H50</f>
        <v>0</v>
      </c>
      <c r="Q50" s="186">
        <f>'Large Use OLS Model'!$B$10*I50</f>
        <v>21377604.951162424</v>
      </c>
      <c r="R50">
        <f t="shared" ca="1" si="4"/>
        <v>24850427.269696791</v>
      </c>
    </row>
    <row r="51" spans="1:18">
      <c r="A51" s="26">
        <f>'Monthly Data'!A51</f>
        <v>41306</v>
      </c>
      <c r="B51">
        <f t="shared" si="5"/>
        <v>2013</v>
      </c>
      <c r="C51">
        <f ca="1">'Monthly Data'!AE51</f>
        <v>22074898.569297619</v>
      </c>
      <c r="D51" s="127">
        <f t="shared" ca="1" si="3"/>
        <v>0</v>
      </c>
      <c r="E51" s="124">
        <f>'Monthly Data'!BJ51</f>
        <v>6775.5</v>
      </c>
      <c r="F51" s="127">
        <f>'Monthly Data'!BM51</f>
        <v>50</v>
      </c>
      <c r="G51" s="127">
        <f>'Monthly Data'!BT51</f>
        <v>0</v>
      </c>
      <c r="H51" s="127">
        <f>'Monthly Data'!BY51</f>
        <v>0</v>
      </c>
      <c r="I51" s="127">
        <f>'Monthly Data'!CC51</f>
        <v>28</v>
      </c>
      <c r="K51" s="127">
        <f>'Large Use OLS Model'!$B$5</f>
        <v>-19707994.0131674</v>
      </c>
      <c r="L51" s="186">
        <f ca="1">'Large Use OLS Model'!$B$6*D51</f>
        <v>0</v>
      </c>
      <c r="M51" s="186">
        <f>'Large Use OLS Model'!$B$7*E51</f>
        <v>23238092.716968294</v>
      </c>
      <c r="N51" s="186">
        <v>0</v>
      </c>
      <c r="O51" s="186">
        <f>'Large Use OLS Model'!$B$8*G51</f>
        <v>0</v>
      </c>
      <c r="P51" s="186">
        <f>'Large Use OLS Model'!$B$9*H51</f>
        <v>0</v>
      </c>
      <c r="Q51" s="186">
        <f>'Large Use OLS Model'!$B$10*I51</f>
        <v>19308804.472017676</v>
      </c>
      <c r="R51">
        <f t="shared" ca="1" si="4"/>
        <v>22838903.17581857</v>
      </c>
    </row>
    <row r="52" spans="1:18">
      <c r="A52" s="26">
        <f>'Monthly Data'!A52</f>
        <v>41334</v>
      </c>
      <c r="B52">
        <f t="shared" si="5"/>
        <v>2013</v>
      </c>
      <c r="C52">
        <f ca="1">'Monthly Data'!AE52</f>
        <v>25957172.465708617</v>
      </c>
      <c r="D52" s="127">
        <f t="shared" ca="1" si="3"/>
        <v>0.48</v>
      </c>
      <c r="E52" s="124">
        <f>'Monthly Data'!BJ52</f>
        <v>6781.1</v>
      </c>
      <c r="F52" s="127">
        <f>'Monthly Data'!BM52</f>
        <v>51</v>
      </c>
      <c r="G52" s="127">
        <f>'Monthly Data'!BT52</f>
        <v>0</v>
      </c>
      <c r="H52" s="127">
        <f>'Monthly Data'!BY52</f>
        <v>0</v>
      </c>
      <c r="I52" s="127">
        <f>'Monthly Data'!CC52</f>
        <v>31</v>
      </c>
      <c r="K52" s="127">
        <f>'Large Use OLS Model'!$B$5</f>
        <v>-19707994.0131674</v>
      </c>
      <c r="L52" s="186">
        <f ca="1">'Large Use OLS Model'!$B$6*D52</f>
        <v>12684.556414476479</v>
      </c>
      <c r="M52" s="186">
        <f>'Large Use OLS Model'!$B$7*E52</f>
        <v>23257299.16951276</v>
      </c>
      <c r="N52" s="186">
        <v>0</v>
      </c>
      <c r="O52" s="186">
        <f>'Large Use OLS Model'!$B$8*G52</f>
        <v>0</v>
      </c>
      <c r="P52" s="186">
        <f>'Large Use OLS Model'!$B$9*H52</f>
        <v>0</v>
      </c>
      <c r="Q52" s="186">
        <f>'Large Use OLS Model'!$B$10*I52</f>
        <v>21377604.951162424</v>
      </c>
      <c r="R52">
        <f t="shared" ca="1" si="4"/>
        <v>24939594.663922261</v>
      </c>
    </row>
    <row r="53" spans="1:18">
      <c r="A53" s="26">
        <f>'Monthly Data'!A53</f>
        <v>41365</v>
      </c>
      <c r="B53">
        <f t="shared" si="5"/>
        <v>2013</v>
      </c>
      <c r="C53">
        <f ca="1">'Monthly Data'!AE53</f>
        <v>25334732.869080614</v>
      </c>
      <c r="D53" s="127">
        <f t="shared" ca="1" si="3"/>
        <v>2.63</v>
      </c>
      <c r="E53" s="124">
        <f>'Monthly Data'!BJ53</f>
        <v>6788.9</v>
      </c>
      <c r="F53" s="127">
        <f>'Monthly Data'!BM53</f>
        <v>52</v>
      </c>
      <c r="G53" s="127">
        <f>'Monthly Data'!BT53</f>
        <v>0</v>
      </c>
      <c r="H53" s="127">
        <f>'Monthly Data'!BY53</f>
        <v>0</v>
      </c>
      <c r="I53" s="127">
        <f>'Monthly Data'!CC53</f>
        <v>30</v>
      </c>
      <c r="K53" s="127">
        <f>'Large Use OLS Model'!$B$5</f>
        <v>-19707994.0131674</v>
      </c>
      <c r="L53" s="186">
        <f ca="1">'Large Use OLS Model'!$B$6*D53</f>
        <v>69500.798687652379</v>
      </c>
      <c r="M53" s="186">
        <f>'Large Use OLS Model'!$B$7*E53</f>
        <v>23284051.014128264</v>
      </c>
      <c r="N53" s="186">
        <v>0</v>
      </c>
      <c r="O53" s="186">
        <f>'Large Use OLS Model'!$B$8*G53</f>
        <v>0</v>
      </c>
      <c r="P53" s="186">
        <f>'Large Use OLS Model'!$B$9*H53</f>
        <v>0</v>
      </c>
      <c r="Q53" s="186">
        <f>'Large Use OLS Model'!$B$10*I53</f>
        <v>20688004.791447509</v>
      </c>
      <c r="R53">
        <f t="shared" ca="1" si="4"/>
        <v>24333562.591096025</v>
      </c>
    </row>
    <row r="54" spans="1:18">
      <c r="A54" s="26">
        <f>'Monthly Data'!A54</f>
        <v>41395</v>
      </c>
      <c r="B54">
        <f t="shared" si="5"/>
        <v>2013</v>
      </c>
      <c r="C54">
        <f ca="1">'Monthly Data'!AE54</f>
        <v>26406281.115671616</v>
      </c>
      <c r="D54" s="127">
        <f t="shared" ca="1" si="3"/>
        <v>47.37</v>
      </c>
      <c r="E54" s="124">
        <f>'Monthly Data'!BJ54</f>
        <v>6801.1</v>
      </c>
      <c r="F54" s="127">
        <f>'Monthly Data'!BM54</f>
        <v>53</v>
      </c>
      <c r="G54" s="127">
        <f>'Monthly Data'!BT54</f>
        <v>0</v>
      </c>
      <c r="H54" s="127">
        <f>'Monthly Data'!BY54</f>
        <v>0</v>
      </c>
      <c r="I54" s="127">
        <f>'Monthly Data'!CC54</f>
        <v>31</v>
      </c>
      <c r="K54" s="127">
        <f>'Large Use OLS Model'!$B$5</f>
        <v>-19707994.0131674</v>
      </c>
      <c r="L54" s="186">
        <f ca="1">'Large Use OLS Model'!$B$6*D54</f>
        <v>1251807.1611536476</v>
      </c>
      <c r="M54" s="186">
        <f>'Large Use OLS Model'!$B$7*E54</f>
        <v>23325893.642885849</v>
      </c>
      <c r="N54" s="186">
        <v>0</v>
      </c>
      <c r="O54" s="186">
        <f>'Large Use OLS Model'!$B$8*G54</f>
        <v>0</v>
      </c>
      <c r="P54" s="186">
        <f>'Large Use OLS Model'!$B$9*H54</f>
        <v>0</v>
      </c>
      <c r="Q54" s="186">
        <f>'Large Use OLS Model'!$B$10*I54</f>
        <v>21377604.951162424</v>
      </c>
      <c r="R54">
        <f t="shared" ref="R54:R85" ca="1" si="6">SUM(K54:Q54)</f>
        <v>26247311.742034521</v>
      </c>
    </row>
    <row r="55" spans="1:18">
      <c r="A55" s="26">
        <f>'Monthly Data'!A55</f>
        <v>41426</v>
      </c>
      <c r="B55">
        <f t="shared" si="5"/>
        <v>2013</v>
      </c>
      <c r="C55">
        <f ca="1">'Monthly Data'!AE55</f>
        <v>26304525.374992616</v>
      </c>
      <c r="D55" s="127">
        <f t="shared" ca="1" si="3"/>
        <v>117.23999999999997</v>
      </c>
      <c r="E55" s="124">
        <f>'Monthly Data'!BJ55</f>
        <v>6815.2</v>
      </c>
      <c r="F55" s="127">
        <f>'Monthly Data'!BM55</f>
        <v>54</v>
      </c>
      <c r="G55" s="127">
        <f>'Monthly Data'!BT55</f>
        <v>0</v>
      </c>
      <c r="H55" s="127">
        <f>'Monthly Data'!BY55</f>
        <v>0</v>
      </c>
      <c r="I55" s="127">
        <f>'Monthly Data'!CC55</f>
        <v>30</v>
      </c>
      <c r="K55" s="127">
        <f>'Large Use OLS Model'!$B$5</f>
        <v>-19707994.0131674</v>
      </c>
      <c r="L55" s="186">
        <f ca="1">'Large Use OLS Model'!$B$6*D55</f>
        <v>3098202.9042358794</v>
      </c>
      <c r="M55" s="186">
        <f>'Large Use OLS Model'!$B$7*E55</f>
        <v>23374252.746613875</v>
      </c>
      <c r="N55" s="186">
        <v>0</v>
      </c>
      <c r="O55" s="186">
        <f>'Large Use OLS Model'!$B$8*G55</f>
        <v>0</v>
      </c>
      <c r="P55" s="186">
        <f>'Large Use OLS Model'!$B$9*H55</f>
        <v>0</v>
      </c>
      <c r="Q55" s="186">
        <f>'Large Use OLS Model'!$B$10*I55</f>
        <v>20688004.791447509</v>
      </c>
      <c r="R55">
        <f t="shared" ca="1" si="6"/>
        <v>27452466.429129861</v>
      </c>
    </row>
    <row r="56" spans="1:18">
      <c r="A56" s="26">
        <f>'Monthly Data'!A56</f>
        <v>41456</v>
      </c>
      <c r="B56">
        <f t="shared" si="5"/>
        <v>2013</v>
      </c>
      <c r="C56">
        <f ca="1">'Monthly Data'!AE56</f>
        <v>25876608.308857616</v>
      </c>
      <c r="D56" s="127">
        <f t="shared" ca="1" si="3"/>
        <v>185.60999999999999</v>
      </c>
      <c r="E56" s="124">
        <f>'Monthly Data'!BJ56</f>
        <v>6826.2</v>
      </c>
      <c r="F56" s="127">
        <f>'Monthly Data'!BM56</f>
        <v>55</v>
      </c>
      <c r="G56" s="127">
        <f>'Monthly Data'!BT56</f>
        <v>1</v>
      </c>
      <c r="H56" s="127">
        <f>'Monthly Data'!BY56</f>
        <v>0</v>
      </c>
      <c r="I56" s="127">
        <f>'Monthly Data'!CC56</f>
        <v>31</v>
      </c>
      <c r="K56" s="127">
        <f>'Large Use OLS Model'!$B$5</f>
        <v>-19707994.0131674</v>
      </c>
      <c r="L56" s="186">
        <f ca="1">'Large Use OLS Model'!$B$6*D56</f>
        <v>4904959.4085228732</v>
      </c>
      <c r="M56" s="186">
        <f>'Large Use OLS Model'!$B$7*E56</f>
        <v>23411979.706969075</v>
      </c>
      <c r="N56" s="186">
        <v>0</v>
      </c>
      <c r="O56" s="186">
        <f>'Large Use OLS Model'!$B$8*G56</f>
        <v>-1563237.6990636101</v>
      </c>
      <c r="P56" s="186">
        <f>'Large Use OLS Model'!$B$9*H56</f>
        <v>0</v>
      </c>
      <c r="Q56" s="186">
        <f>'Large Use OLS Model'!$B$10*I56</f>
        <v>21377604.951162424</v>
      </c>
      <c r="R56">
        <f t="shared" ca="1" si="6"/>
        <v>28423312.354423363</v>
      </c>
    </row>
    <row r="57" spans="1:18">
      <c r="A57" s="26">
        <f>'Monthly Data'!A57</f>
        <v>41487</v>
      </c>
      <c r="B57">
        <f t="shared" si="5"/>
        <v>2013</v>
      </c>
      <c r="C57">
        <f ca="1">'Monthly Data'!AE57</f>
        <v>27134287.862933617</v>
      </c>
      <c r="D57" s="127">
        <f t="shared" ca="1" si="3"/>
        <v>159.64000000000001</v>
      </c>
      <c r="E57" s="124">
        <f>'Monthly Data'!BJ57</f>
        <v>6833.9</v>
      </c>
      <c r="F57" s="127">
        <f>'Monthly Data'!BM57</f>
        <v>56</v>
      </c>
      <c r="G57" s="127">
        <f>'Monthly Data'!BT57</f>
        <v>0</v>
      </c>
      <c r="H57" s="127">
        <f>'Monthly Data'!BY57</f>
        <v>0</v>
      </c>
      <c r="I57" s="127">
        <f>'Monthly Data'!CC57</f>
        <v>31</v>
      </c>
      <c r="K57" s="127">
        <f>'Large Use OLS Model'!$B$5</f>
        <v>-19707994.0131674</v>
      </c>
      <c r="L57" s="186">
        <f ca="1">'Large Use OLS Model'!$B$6*D57</f>
        <v>4218672.0541813029</v>
      </c>
      <c r="M57" s="186">
        <f>'Large Use OLS Model'!$B$7*E57</f>
        <v>23438388.579217713</v>
      </c>
      <c r="N57" s="186">
        <v>0</v>
      </c>
      <c r="O57" s="186">
        <f>'Large Use OLS Model'!$B$8*G57</f>
        <v>0</v>
      </c>
      <c r="P57" s="186">
        <f>'Large Use OLS Model'!$B$9*H57</f>
        <v>0</v>
      </c>
      <c r="Q57" s="186">
        <f>'Large Use OLS Model'!$B$10*I57</f>
        <v>21377604.951162424</v>
      </c>
      <c r="R57">
        <f t="shared" ca="1" si="6"/>
        <v>29326671.571394041</v>
      </c>
    </row>
    <row r="58" spans="1:18">
      <c r="A58" s="26">
        <f>'Monthly Data'!A58</f>
        <v>41518</v>
      </c>
      <c r="B58">
        <f t="shared" si="5"/>
        <v>2013</v>
      </c>
      <c r="C58">
        <f ca="1">'Monthly Data'!AE58</f>
        <v>24944209.616773617</v>
      </c>
      <c r="D58" s="127">
        <f t="shared" ca="1" si="3"/>
        <v>72.989999999999981</v>
      </c>
      <c r="E58" s="124">
        <f>'Monthly Data'!BJ58</f>
        <v>6843.3</v>
      </c>
      <c r="F58" s="127">
        <f>'Monthly Data'!BM58</f>
        <v>57</v>
      </c>
      <c r="G58" s="127">
        <f>'Monthly Data'!BT58</f>
        <v>0</v>
      </c>
      <c r="H58" s="127">
        <f>'Monthly Data'!BY58</f>
        <v>0</v>
      </c>
      <c r="I58" s="127">
        <f>'Monthly Data'!CC58</f>
        <v>30</v>
      </c>
      <c r="K58" s="127">
        <f>'Large Use OLS Model'!$B$5</f>
        <v>-19707994.0131674</v>
      </c>
      <c r="L58" s="186">
        <f ca="1">'Large Use OLS Model'!$B$6*D58</f>
        <v>1928845.3597763292</v>
      </c>
      <c r="M58" s="186">
        <f>'Large Use OLS Model'!$B$7*E58</f>
        <v>23470627.981703069</v>
      </c>
      <c r="N58" s="186">
        <v>0</v>
      </c>
      <c r="O58" s="186">
        <f>'Large Use OLS Model'!$B$8*G58</f>
        <v>0</v>
      </c>
      <c r="P58" s="186">
        <f>'Large Use OLS Model'!$B$9*H58</f>
        <v>0</v>
      </c>
      <c r="Q58" s="186">
        <f>'Large Use OLS Model'!$B$10*I58</f>
        <v>20688004.791447509</v>
      </c>
      <c r="R58">
        <f t="shared" ca="1" si="6"/>
        <v>26379484.119759507</v>
      </c>
    </row>
    <row r="59" spans="1:18">
      <c r="A59" s="26">
        <f>'Monthly Data'!A59</f>
        <v>41548</v>
      </c>
      <c r="B59">
        <f t="shared" si="5"/>
        <v>2013</v>
      </c>
      <c r="C59">
        <f ca="1">'Monthly Data'!AE59</f>
        <v>25745628.725316614</v>
      </c>
      <c r="D59" s="127">
        <f t="shared" ca="1" si="3"/>
        <v>10.779999999999998</v>
      </c>
      <c r="E59" s="124">
        <f>'Monthly Data'!BJ59</f>
        <v>6850.3</v>
      </c>
      <c r="F59" s="127">
        <f>'Monthly Data'!BM59</f>
        <v>58</v>
      </c>
      <c r="G59" s="127">
        <f>'Monthly Data'!BT59</f>
        <v>0</v>
      </c>
      <c r="H59" s="127">
        <f>'Monthly Data'!BY59</f>
        <v>0</v>
      </c>
      <c r="I59" s="127">
        <f>'Monthly Data'!CC59</f>
        <v>31</v>
      </c>
      <c r="K59" s="127">
        <f>'Large Use OLS Model'!$B$5</f>
        <v>-19707994.0131674</v>
      </c>
      <c r="L59" s="186">
        <f ca="1">'Large Use OLS Model'!$B$6*D59</f>
        <v>284873.99614178424</v>
      </c>
      <c r="M59" s="186">
        <f>'Large Use OLS Model'!$B$7*E59</f>
        <v>23494636.047383651</v>
      </c>
      <c r="N59" s="186">
        <v>0</v>
      </c>
      <c r="O59" s="186">
        <f>'Large Use OLS Model'!$B$8*G59</f>
        <v>0</v>
      </c>
      <c r="P59" s="186">
        <f>'Large Use OLS Model'!$B$9*H59</f>
        <v>0</v>
      </c>
      <c r="Q59" s="186">
        <f>'Large Use OLS Model'!$B$10*I59</f>
        <v>21377604.951162424</v>
      </c>
      <c r="R59">
        <f t="shared" ca="1" si="6"/>
        <v>25449120.981520459</v>
      </c>
    </row>
    <row r="60" spans="1:18">
      <c r="A60" s="26">
        <f>'Monthly Data'!A60</f>
        <v>41579</v>
      </c>
      <c r="B60">
        <f t="shared" si="5"/>
        <v>2013</v>
      </c>
      <c r="C60">
        <f ca="1">'Monthly Data'!AE60</f>
        <v>24932264.781123616</v>
      </c>
      <c r="D60" s="127">
        <f t="shared" ca="1" si="3"/>
        <v>0.05</v>
      </c>
      <c r="E60" s="124">
        <f>'Monthly Data'!BJ60</f>
        <v>6854</v>
      </c>
      <c r="F60" s="127">
        <f>'Monthly Data'!BM60</f>
        <v>59</v>
      </c>
      <c r="G60" s="127">
        <f>'Monthly Data'!BT60</f>
        <v>0</v>
      </c>
      <c r="H60" s="127">
        <f>'Monthly Data'!BY60</f>
        <v>0</v>
      </c>
      <c r="I60" s="127">
        <f>'Monthly Data'!CC60</f>
        <v>30</v>
      </c>
      <c r="K60" s="127">
        <f>'Large Use OLS Model'!$B$5</f>
        <v>-19707994.0131674</v>
      </c>
      <c r="L60" s="186">
        <f ca="1">'Large Use OLS Model'!$B$6*D60</f>
        <v>1321.3079598413001</v>
      </c>
      <c r="M60" s="186">
        <f>'Large Use OLS Model'!$B$7*E60</f>
        <v>23507326.024957672</v>
      </c>
      <c r="N60" s="186">
        <v>0</v>
      </c>
      <c r="O60" s="186">
        <f>'Large Use OLS Model'!$B$8*G60</f>
        <v>0</v>
      </c>
      <c r="P60" s="186">
        <f>'Large Use OLS Model'!$B$9*H60</f>
        <v>0</v>
      </c>
      <c r="Q60" s="186">
        <f>'Large Use OLS Model'!$B$10*I60</f>
        <v>20688004.791447509</v>
      </c>
      <c r="R60">
        <f t="shared" ca="1" si="6"/>
        <v>24488658.111197621</v>
      </c>
    </row>
    <row r="61" spans="1:18">
      <c r="A61" s="26">
        <f>'Monthly Data'!A61</f>
        <v>41609</v>
      </c>
      <c r="B61">
        <f t="shared" si="5"/>
        <v>2013</v>
      </c>
      <c r="C61">
        <f ca="1">'Monthly Data'!AE61</f>
        <v>22639929.518798616</v>
      </c>
      <c r="D61" s="127">
        <f t="shared" ca="1" si="3"/>
        <v>0</v>
      </c>
      <c r="E61" s="124">
        <f>'Monthly Data'!BJ61</f>
        <v>6850.4</v>
      </c>
      <c r="F61" s="127">
        <f>'Monthly Data'!BM61</f>
        <v>60</v>
      </c>
      <c r="G61" s="127">
        <f>'Monthly Data'!BT61</f>
        <v>0</v>
      </c>
      <c r="H61" s="127">
        <f>'Monthly Data'!BY61</f>
        <v>1</v>
      </c>
      <c r="I61" s="127">
        <f>'Monthly Data'!CC61</f>
        <v>31</v>
      </c>
      <c r="K61" s="127">
        <f>'Large Use OLS Model'!$B$5</f>
        <v>-19707994.0131674</v>
      </c>
      <c r="L61" s="186">
        <f ca="1">'Large Use OLS Model'!$B$6*D61</f>
        <v>0</v>
      </c>
      <c r="M61" s="186">
        <f>'Large Use OLS Model'!$B$7*E61</f>
        <v>23494979.019750513</v>
      </c>
      <c r="N61" s="186">
        <v>0</v>
      </c>
      <c r="O61" s="186">
        <f>'Large Use OLS Model'!$B$8*G61</f>
        <v>0</v>
      </c>
      <c r="P61" s="186">
        <f>'Large Use OLS Model'!$B$9*H61</f>
        <v>-2219022.2541699898</v>
      </c>
      <c r="Q61" s="186">
        <f>'Large Use OLS Model'!$B$10*I61</f>
        <v>21377604.951162424</v>
      </c>
      <c r="R61">
        <f t="shared" ca="1" si="6"/>
        <v>22945567.703575548</v>
      </c>
    </row>
    <row r="62" spans="1:18">
      <c r="A62" s="26">
        <f>'Monthly Data'!A62</f>
        <v>41640</v>
      </c>
      <c r="B62">
        <f t="shared" si="5"/>
        <v>2014</v>
      </c>
      <c r="C62">
        <f ca="1">'Monthly Data'!AE62</f>
        <v>26670683.232928887</v>
      </c>
      <c r="D62" s="127">
        <f t="shared" ca="1" si="3"/>
        <v>0</v>
      </c>
      <c r="E62" s="124">
        <f>'Monthly Data'!BJ62</f>
        <v>6848.3</v>
      </c>
      <c r="F62" s="127">
        <f>'Monthly Data'!BM62</f>
        <v>61</v>
      </c>
      <c r="G62" s="127">
        <f>'Monthly Data'!BT62</f>
        <v>0</v>
      </c>
      <c r="H62" s="127">
        <f>'Monthly Data'!BY62</f>
        <v>0</v>
      </c>
      <c r="I62" s="127">
        <f>'Monthly Data'!CC62</f>
        <v>31</v>
      </c>
      <c r="K62" s="127">
        <f>'Large Use OLS Model'!$B$5</f>
        <v>-19707994.0131674</v>
      </c>
      <c r="L62" s="186">
        <f ca="1">'Large Use OLS Model'!$B$6*D62</f>
        <v>0</v>
      </c>
      <c r="M62" s="186">
        <f>'Large Use OLS Model'!$B$7*E62</f>
        <v>23487776.60004634</v>
      </c>
      <c r="N62" s="186">
        <v>0</v>
      </c>
      <c r="O62" s="186">
        <f>'Large Use OLS Model'!$B$8*G62</f>
        <v>0</v>
      </c>
      <c r="P62" s="186">
        <f>'Large Use OLS Model'!$B$9*H62</f>
        <v>0</v>
      </c>
      <c r="Q62" s="186">
        <f>'Large Use OLS Model'!$B$10*I62</f>
        <v>21377604.951162424</v>
      </c>
      <c r="R62">
        <f t="shared" ca="1" si="6"/>
        <v>25157387.538041364</v>
      </c>
    </row>
    <row r="63" spans="1:18">
      <c r="A63" s="26">
        <f>'Monthly Data'!A63</f>
        <v>41671</v>
      </c>
      <c r="B63">
        <f t="shared" si="5"/>
        <v>2014</v>
      </c>
      <c r="C63">
        <f ca="1">'Monthly Data'!AE63</f>
        <v>23471289.154199887</v>
      </c>
      <c r="D63" s="127">
        <f t="shared" ca="1" si="3"/>
        <v>0</v>
      </c>
      <c r="E63" s="124">
        <f>'Monthly Data'!BJ63</f>
        <v>6850</v>
      </c>
      <c r="F63" s="127">
        <f>'Monthly Data'!BM63</f>
        <v>62</v>
      </c>
      <c r="G63" s="127">
        <f>'Monthly Data'!BT63</f>
        <v>0</v>
      </c>
      <c r="H63" s="127">
        <f>'Monthly Data'!BY63</f>
        <v>0</v>
      </c>
      <c r="I63" s="127">
        <f>'Monthly Data'!CC63</f>
        <v>28</v>
      </c>
      <c r="K63" s="127">
        <f>'Large Use OLS Model'!$B$5</f>
        <v>-19707994.0131674</v>
      </c>
      <c r="L63" s="186">
        <f ca="1">'Large Use OLS Model'!$B$6*D63</f>
        <v>0</v>
      </c>
      <c r="M63" s="186">
        <f>'Large Use OLS Model'!$B$7*E63</f>
        <v>23493607.130283054</v>
      </c>
      <c r="N63" s="186">
        <v>0</v>
      </c>
      <c r="O63" s="186">
        <f>'Large Use OLS Model'!$B$8*G63</f>
        <v>0</v>
      </c>
      <c r="P63" s="186">
        <f>'Large Use OLS Model'!$B$9*H63</f>
        <v>0</v>
      </c>
      <c r="Q63" s="186">
        <f>'Large Use OLS Model'!$B$10*I63</f>
        <v>19308804.472017676</v>
      </c>
      <c r="R63">
        <f t="shared" ca="1" si="6"/>
        <v>23094417.58913333</v>
      </c>
    </row>
    <row r="64" spans="1:18">
      <c r="A64" s="26">
        <f>'Monthly Data'!A64</f>
        <v>41699</v>
      </c>
      <c r="B64">
        <f t="shared" si="5"/>
        <v>2014</v>
      </c>
      <c r="C64">
        <f ca="1">'Monthly Data'!AE64</f>
        <v>25265167.314199887</v>
      </c>
      <c r="D64" s="127">
        <f t="shared" ca="1" si="3"/>
        <v>0.48</v>
      </c>
      <c r="E64" s="124">
        <f>'Monthly Data'!BJ64</f>
        <v>6856.4</v>
      </c>
      <c r="F64" s="127">
        <f>'Monthly Data'!BM64</f>
        <v>63</v>
      </c>
      <c r="G64" s="127">
        <f>'Monthly Data'!BT64</f>
        <v>0</v>
      </c>
      <c r="H64" s="127">
        <f>'Monthly Data'!BY64</f>
        <v>0</v>
      </c>
      <c r="I64" s="127">
        <f>'Monthly Data'!CC64</f>
        <v>31</v>
      </c>
      <c r="K64" s="127">
        <f>'Large Use OLS Model'!$B$5</f>
        <v>-19707994.0131674</v>
      </c>
      <c r="L64" s="186">
        <f ca="1">'Large Use OLS Model'!$B$6*D64</f>
        <v>12684.556414476479</v>
      </c>
      <c r="M64" s="186">
        <f>'Large Use OLS Model'!$B$7*E64</f>
        <v>23515557.361762438</v>
      </c>
      <c r="N64" s="186">
        <v>0</v>
      </c>
      <c r="O64" s="186">
        <f>'Large Use OLS Model'!$B$8*G64</f>
        <v>0</v>
      </c>
      <c r="P64" s="186">
        <f>'Large Use OLS Model'!$B$9*H64</f>
        <v>0</v>
      </c>
      <c r="Q64" s="186">
        <f>'Large Use OLS Model'!$B$10*I64</f>
        <v>21377604.951162424</v>
      </c>
      <c r="R64">
        <f t="shared" ca="1" si="6"/>
        <v>25197852.85617194</v>
      </c>
    </row>
    <row r="65" spans="1:18">
      <c r="A65" s="26">
        <f>'Monthly Data'!A65</f>
        <v>41730</v>
      </c>
      <c r="B65">
        <f t="shared" si="5"/>
        <v>2014</v>
      </c>
      <c r="C65">
        <f ca="1">'Monthly Data'!AE65</f>
        <v>22877973.494199887</v>
      </c>
      <c r="D65" s="127">
        <f t="shared" ca="1" si="3"/>
        <v>2.63</v>
      </c>
      <c r="E65" s="124">
        <f>'Monthly Data'!BJ65</f>
        <v>6869.6</v>
      </c>
      <c r="F65" s="127">
        <f>'Monthly Data'!BM65</f>
        <v>64</v>
      </c>
      <c r="G65" s="127">
        <f>'Monthly Data'!BT65</f>
        <v>0</v>
      </c>
      <c r="H65" s="127">
        <f>'Monthly Data'!BY65</f>
        <v>0</v>
      </c>
      <c r="I65" s="127">
        <f>'Monthly Data'!CC65</f>
        <v>30</v>
      </c>
      <c r="K65" s="127">
        <f>'Large Use OLS Model'!$B$5</f>
        <v>-19707994.0131674</v>
      </c>
      <c r="L65" s="186">
        <f ca="1">'Large Use OLS Model'!$B$6*D65</f>
        <v>69500.798687652379</v>
      </c>
      <c r="M65" s="186">
        <f>'Large Use OLS Model'!$B$7*E65</f>
        <v>23560829.71418868</v>
      </c>
      <c r="N65" s="186">
        <v>0</v>
      </c>
      <c r="O65" s="186">
        <f>'Large Use OLS Model'!$B$8*G65</f>
        <v>0</v>
      </c>
      <c r="P65" s="186">
        <f>'Large Use OLS Model'!$B$9*H65</f>
        <v>0</v>
      </c>
      <c r="Q65" s="186">
        <f>'Large Use OLS Model'!$B$10*I65</f>
        <v>20688004.791447509</v>
      </c>
      <c r="R65">
        <f t="shared" ca="1" si="6"/>
        <v>24610341.291156441</v>
      </c>
    </row>
    <row r="66" spans="1:18">
      <c r="A66" s="26">
        <f>'Monthly Data'!A66</f>
        <v>41760</v>
      </c>
      <c r="B66">
        <f t="shared" si="5"/>
        <v>2014</v>
      </c>
      <c r="C66">
        <f ca="1">'Monthly Data'!AE66</f>
        <v>28623709.664199885</v>
      </c>
      <c r="D66" s="127">
        <f t="shared" ref="D66:D129" ca="1" si="7">D54</f>
        <v>47.37</v>
      </c>
      <c r="E66" s="124">
        <f>'Monthly Data'!BJ66</f>
        <v>6870.6</v>
      </c>
      <c r="F66" s="127">
        <f>'Monthly Data'!BM66</f>
        <v>65</v>
      </c>
      <c r="G66" s="127">
        <f>'Monthly Data'!BT66</f>
        <v>0</v>
      </c>
      <c r="H66" s="127">
        <f>'Monthly Data'!BY66</f>
        <v>0</v>
      </c>
      <c r="I66" s="127">
        <f>'Monthly Data'!CC66</f>
        <v>31</v>
      </c>
      <c r="K66" s="127">
        <f>'Large Use OLS Model'!$B$5</f>
        <v>-19707994.0131674</v>
      </c>
      <c r="L66" s="186">
        <f ca="1">'Large Use OLS Model'!$B$6*D66</f>
        <v>1251807.1611536476</v>
      </c>
      <c r="M66" s="186">
        <f>'Large Use OLS Model'!$B$7*E66</f>
        <v>23564259.437857337</v>
      </c>
      <c r="N66" s="186">
        <v>0</v>
      </c>
      <c r="O66" s="186">
        <f>'Large Use OLS Model'!$B$8*G66</f>
        <v>0</v>
      </c>
      <c r="P66" s="186">
        <f>'Large Use OLS Model'!$B$9*H66</f>
        <v>0</v>
      </c>
      <c r="Q66" s="186">
        <f>'Large Use OLS Model'!$B$10*I66</f>
        <v>21377604.951162424</v>
      </c>
      <c r="R66">
        <f t="shared" ca="1" si="6"/>
        <v>26485677.537006009</v>
      </c>
    </row>
    <row r="67" spans="1:18">
      <c r="A67" s="26">
        <f>'Monthly Data'!A67</f>
        <v>41791</v>
      </c>
      <c r="B67">
        <f t="shared" si="5"/>
        <v>2014</v>
      </c>
      <c r="C67">
        <f ca="1">'Monthly Data'!AE67</f>
        <v>30426752.654199883</v>
      </c>
      <c r="D67" s="127">
        <f t="shared" ca="1" si="7"/>
        <v>117.23999999999997</v>
      </c>
      <c r="E67" s="124">
        <f>'Monthly Data'!BJ67</f>
        <v>6865.4</v>
      </c>
      <c r="F67" s="127">
        <f>'Monthly Data'!BM67</f>
        <v>66</v>
      </c>
      <c r="G67" s="127">
        <f>'Monthly Data'!BT67</f>
        <v>0</v>
      </c>
      <c r="H67" s="127">
        <f>'Monthly Data'!BY67</f>
        <v>0</v>
      </c>
      <c r="I67" s="127">
        <f>'Monthly Data'!CC67</f>
        <v>30</v>
      </c>
      <c r="K67" s="127">
        <f>'Large Use OLS Model'!$B$5</f>
        <v>-19707994.0131674</v>
      </c>
      <c r="L67" s="186">
        <f ca="1">'Large Use OLS Model'!$B$6*D67</f>
        <v>3098202.9042358794</v>
      </c>
      <c r="M67" s="186">
        <f>'Large Use OLS Model'!$B$7*E67</f>
        <v>23546424.874780331</v>
      </c>
      <c r="N67" s="186">
        <v>0</v>
      </c>
      <c r="O67" s="186">
        <f>'Large Use OLS Model'!$B$8*G67</f>
        <v>0</v>
      </c>
      <c r="P67" s="186">
        <f>'Large Use OLS Model'!$B$9*H67</f>
        <v>0</v>
      </c>
      <c r="Q67" s="186">
        <f>'Large Use OLS Model'!$B$10*I67</f>
        <v>20688004.791447509</v>
      </c>
      <c r="R67">
        <f t="shared" ca="1" si="6"/>
        <v>27624638.557296321</v>
      </c>
    </row>
    <row r="68" spans="1:18">
      <c r="A68" s="26">
        <f>'Monthly Data'!A68</f>
        <v>41821</v>
      </c>
      <c r="B68">
        <f t="shared" si="5"/>
        <v>2014</v>
      </c>
      <c r="C68">
        <f ca="1">'Monthly Data'!AE68</f>
        <v>28757284.464199886</v>
      </c>
      <c r="D68" s="127">
        <f t="shared" ca="1" si="7"/>
        <v>185.60999999999999</v>
      </c>
      <c r="E68" s="124">
        <f>'Monthly Data'!BJ68</f>
        <v>6864.4</v>
      </c>
      <c r="F68" s="127">
        <f>'Monthly Data'!BM68</f>
        <v>67</v>
      </c>
      <c r="G68" s="127">
        <f>'Monthly Data'!BT68</f>
        <v>1</v>
      </c>
      <c r="H68" s="127">
        <f>'Monthly Data'!BY68</f>
        <v>0</v>
      </c>
      <c r="I68" s="127">
        <f>'Monthly Data'!CC68</f>
        <v>31</v>
      </c>
      <c r="K68" s="127">
        <f>'Large Use OLS Model'!$B$5</f>
        <v>-19707994.0131674</v>
      </c>
      <c r="L68" s="186">
        <f ca="1">'Large Use OLS Model'!$B$6*D68</f>
        <v>4904959.4085228732</v>
      </c>
      <c r="M68" s="186">
        <f>'Large Use OLS Model'!$B$7*E68</f>
        <v>23542995.151111674</v>
      </c>
      <c r="N68" s="186">
        <v>0</v>
      </c>
      <c r="O68" s="186">
        <f>'Large Use OLS Model'!$B$8*G68</f>
        <v>-1563237.6990636101</v>
      </c>
      <c r="P68" s="186">
        <f>'Large Use OLS Model'!$B$9*H68</f>
        <v>0</v>
      </c>
      <c r="Q68" s="186">
        <f>'Large Use OLS Model'!$B$10*I68</f>
        <v>21377604.951162424</v>
      </c>
      <c r="R68">
        <f t="shared" ca="1" si="6"/>
        <v>28554327.798565961</v>
      </c>
    </row>
    <row r="69" spans="1:18">
      <c r="A69" s="26">
        <f>'Monthly Data'!A69</f>
        <v>41852</v>
      </c>
      <c r="B69">
        <f t="shared" si="5"/>
        <v>2014</v>
      </c>
      <c r="C69">
        <f ca="1">'Monthly Data'!AE69</f>
        <v>29410529.954199888</v>
      </c>
      <c r="D69" s="127">
        <f t="shared" ca="1" si="7"/>
        <v>159.64000000000001</v>
      </c>
      <c r="E69" s="124">
        <f>'Monthly Data'!BJ69</f>
        <v>6869.9</v>
      </c>
      <c r="F69" s="127">
        <f>'Monthly Data'!BM69</f>
        <v>68</v>
      </c>
      <c r="G69" s="127">
        <f>'Monthly Data'!BT69</f>
        <v>0</v>
      </c>
      <c r="H69" s="127">
        <f>'Monthly Data'!BY69</f>
        <v>0</v>
      </c>
      <c r="I69" s="127">
        <f>'Monthly Data'!CC69</f>
        <v>31</v>
      </c>
      <c r="K69" s="127">
        <f>'Large Use OLS Model'!$B$5</f>
        <v>-19707994.0131674</v>
      </c>
      <c r="L69" s="186">
        <f ca="1">'Large Use OLS Model'!$B$6*D69</f>
        <v>4218672.0541813029</v>
      </c>
      <c r="M69" s="186">
        <f>'Large Use OLS Model'!$B$7*E69</f>
        <v>23561858.631289274</v>
      </c>
      <c r="N69" s="186">
        <v>0</v>
      </c>
      <c r="O69" s="186">
        <f>'Large Use OLS Model'!$B$8*G69</f>
        <v>0</v>
      </c>
      <c r="P69" s="186">
        <f>'Large Use OLS Model'!$B$9*H69</f>
        <v>0</v>
      </c>
      <c r="Q69" s="186">
        <f>'Large Use OLS Model'!$B$10*I69</f>
        <v>21377604.951162424</v>
      </c>
      <c r="R69">
        <f t="shared" ca="1" si="6"/>
        <v>29450141.623465601</v>
      </c>
    </row>
    <row r="70" spans="1:18">
      <c r="A70" s="26">
        <f>'Monthly Data'!A70</f>
        <v>41883</v>
      </c>
      <c r="B70">
        <f t="shared" si="5"/>
        <v>2014</v>
      </c>
      <c r="C70">
        <f ca="1">'Monthly Data'!AE70</f>
        <v>23959161.474199884</v>
      </c>
      <c r="D70" s="127">
        <f t="shared" ca="1" si="7"/>
        <v>72.989999999999981</v>
      </c>
      <c r="E70" s="124">
        <f>'Monthly Data'!BJ70</f>
        <v>6884.5</v>
      </c>
      <c r="F70" s="127">
        <f>'Monthly Data'!BM70</f>
        <v>69</v>
      </c>
      <c r="G70" s="127">
        <f>'Monthly Data'!BT70</f>
        <v>0</v>
      </c>
      <c r="H70" s="127">
        <f>'Monthly Data'!BY70</f>
        <v>0</v>
      </c>
      <c r="I70" s="127">
        <f>'Monthly Data'!CC70</f>
        <v>30</v>
      </c>
      <c r="K70" s="127">
        <f>'Large Use OLS Model'!$B$5</f>
        <v>-19707994.0131674</v>
      </c>
      <c r="L70" s="186">
        <f ca="1">'Large Use OLS Model'!$B$6*D70</f>
        <v>1928845.3597763292</v>
      </c>
      <c r="M70" s="186">
        <f>'Large Use OLS Model'!$B$7*E70</f>
        <v>23611932.596851632</v>
      </c>
      <c r="N70" s="186">
        <v>0</v>
      </c>
      <c r="O70" s="186">
        <f>'Large Use OLS Model'!$B$8*G70</f>
        <v>0</v>
      </c>
      <c r="P70" s="186">
        <f>'Large Use OLS Model'!$B$9*H70</f>
        <v>0</v>
      </c>
      <c r="Q70" s="186">
        <f>'Large Use OLS Model'!$B$10*I70</f>
        <v>20688004.791447509</v>
      </c>
      <c r="R70">
        <f t="shared" ca="1" si="6"/>
        <v>26520788.73490807</v>
      </c>
    </row>
    <row r="71" spans="1:18">
      <c r="A71" s="26">
        <f>'Monthly Data'!A71</f>
        <v>41913</v>
      </c>
      <c r="B71">
        <f t="shared" si="5"/>
        <v>2014</v>
      </c>
      <c r="C71">
        <f ca="1">'Monthly Data'!AE71</f>
        <v>25930142.964199886</v>
      </c>
      <c r="D71" s="127">
        <f t="shared" ca="1" si="7"/>
        <v>10.779999999999998</v>
      </c>
      <c r="E71" s="124">
        <f>'Monthly Data'!BJ71</f>
        <v>6901.5</v>
      </c>
      <c r="F71" s="127">
        <f>'Monthly Data'!BM71</f>
        <v>70</v>
      </c>
      <c r="G71" s="127">
        <f>'Monthly Data'!BT71</f>
        <v>0</v>
      </c>
      <c r="H71" s="127">
        <f>'Monthly Data'!BY71</f>
        <v>0</v>
      </c>
      <c r="I71" s="127">
        <f>'Monthly Data'!CC71</f>
        <v>31</v>
      </c>
      <c r="K71" s="127">
        <f>'Large Use OLS Model'!$B$5</f>
        <v>-19707994.0131674</v>
      </c>
      <c r="L71" s="186">
        <f ca="1">'Large Use OLS Model'!$B$6*D71</f>
        <v>284873.99614178424</v>
      </c>
      <c r="M71" s="186">
        <f>'Large Use OLS Model'!$B$7*E71</f>
        <v>23670237.899218757</v>
      </c>
      <c r="N71" s="186">
        <v>0</v>
      </c>
      <c r="O71" s="186">
        <f>'Large Use OLS Model'!$B$8*G71</f>
        <v>0</v>
      </c>
      <c r="P71" s="186">
        <f>'Large Use OLS Model'!$B$9*H71</f>
        <v>0</v>
      </c>
      <c r="Q71" s="186">
        <f>'Large Use OLS Model'!$B$10*I71</f>
        <v>21377604.951162424</v>
      </c>
      <c r="R71">
        <f t="shared" ca="1" si="6"/>
        <v>25624722.833355565</v>
      </c>
    </row>
    <row r="72" spans="1:18">
      <c r="A72" s="26">
        <f>'Monthly Data'!A72</f>
        <v>41944</v>
      </c>
      <c r="B72">
        <f t="shared" si="5"/>
        <v>2014</v>
      </c>
      <c r="C72">
        <f ca="1">'Monthly Data'!AE72</f>
        <v>24626116.624199886</v>
      </c>
      <c r="D72" s="127">
        <f t="shared" ca="1" si="7"/>
        <v>0.05</v>
      </c>
      <c r="E72" s="124">
        <f>'Monthly Data'!BJ72</f>
        <v>6907.5</v>
      </c>
      <c r="F72" s="127">
        <f>'Monthly Data'!BM72</f>
        <v>71</v>
      </c>
      <c r="G72" s="127">
        <f>'Monthly Data'!BT72</f>
        <v>0</v>
      </c>
      <c r="H72" s="127">
        <f>'Monthly Data'!BY72</f>
        <v>0</v>
      </c>
      <c r="I72" s="127">
        <f>'Monthly Data'!CC72</f>
        <v>30</v>
      </c>
      <c r="K72" s="127">
        <f>'Large Use OLS Model'!$B$5</f>
        <v>-19707994.0131674</v>
      </c>
      <c r="L72" s="186">
        <f ca="1">'Large Use OLS Model'!$B$6*D72</f>
        <v>1321.3079598413001</v>
      </c>
      <c r="M72" s="186">
        <f>'Large Use OLS Model'!$B$7*E72</f>
        <v>23690816.241230685</v>
      </c>
      <c r="N72" s="186">
        <v>0</v>
      </c>
      <c r="O72" s="186">
        <f>'Large Use OLS Model'!$B$8*G72</f>
        <v>0</v>
      </c>
      <c r="P72" s="186">
        <f>'Large Use OLS Model'!$B$9*H72</f>
        <v>0</v>
      </c>
      <c r="Q72" s="186">
        <f>'Large Use OLS Model'!$B$10*I72</f>
        <v>20688004.791447509</v>
      </c>
      <c r="R72">
        <f t="shared" ca="1" si="6"/>
        <v>24672148.327470634</v>
      </c>
    </row>
    <row r="73" spans="1:18">
      <c r="A73" s="26">
        <f>'Monthly Data'!A73</f>
        <v>41974</v>
      </c>
      <c r="B73">
        <f t="shared" si="5"/>
        <v>2014</v>
      </c>
      <c r="C73">
        <f ca="1">'Monthly Data'!AE73</f>
        <v>22876540.304199886</v>
      </c>
      <c r="D73" s="127">
        <f t="shared" ca="1" si="7"/>
        <v>0</v>
      </c>
      <c r="E73" s="124">
        <f>'Monthly Data'!BJ73</f>
        <v>6903.1</v>
      </c>
      <c r="F73" s="127">
        <f>'Monthly Data'!BM73</f>
        <v>72</v>
      </c>
      <c r="G73" s="127">
        <f>'Monthly Data'!BT73</f>
        <v>0</v>
      </c>
      <c r="H73" s="127">
        <f>'Monthly Data'!BY73</f>
        <v>1</v>
      </c>
      <c r="I73" s="127">
        <f>'Monthly Data'!CC73</f>
        <v>31</v>
      </c>
      <c r="K73" s="127">
        <f>'Large Use OLS Model'!$B$5</f>
        <v>-19707994.0131674</v>
      </c>
      <c r="L73" s="186">
        <f ca="1">'Large Use OLS Model'!$B$6*D73</f>
        <v>0</v>
      </c>
      <c r="M73" s="186">
        <f>'Large Use OLS Model'!$B$7*E73</f>
        <v>23675725.457088605</v>
      </c>
      <c r="N73" s="186">
        <v>0</v>
      </c>
      <c r="O73" s="186">
        <f>'Large Use OLS Model'!$B$8*G73</f>
        <v>0</v>
      </c>
      <c r="P73" s="186">
        <f>'Large Use OLS Model'!$B$9*H73</f>
        <v>-2219022.2541699898</v>
      </c>
      <c r="Q73" s="186">
        <f>'Large Use OLS Model'!$B$10*I73</f>
        <v>21377604.951162424</v>
      </c>
      <c r="R73">
        <f t="shared" ca="1" si="6"/>
        <v>23126314.140913639</v>
      </c>
    </row>
    <row r="74" spans="1:18">
      <c r="A74" s="26">
        <f>'Monthly Data'!A74</f>
        <v>42005</v>
      </c>
      <c r="B74">
        <f t="shared" si="5"/>
        <v>2015</v>
      </c>
      <c r="C74">
        <f ca="1">'Monthly Data'!AE74</f>
        <v>23987700.533313058</v>
      </c>
      <c r="D74" s="127">
        <f t="shared" ca="1" si="7"/>
        <v>0</v>
      </c>
      <c r="E74" s="124">
        <f>'Monthly Data'!BJ74</f>
        <v>6885.7</v>
      </c>
      <c r="F74" s="127">
        <f>'Monthly Data'!BM74</f>
        <v>73</v>
      </c>
      <c r="G74" s="127">
        <f>'Monthly Data'!BT74</f>
        <v>0</v>
      </c>
      <c r="H74" s="127">
        <f>'Monthly Data'!BY74</f>
        <v>0</v>
      </c>
      <c r="I74" s="127">
        <f>'Monthly Data'!CC74</f>
        <v>31</v>
      </c>
      <c r="K74" s="127">
        <f>'Large Use OLS Model'!$B$5</f>
        <v>-19707994.0131674</v>
      </c>
      <c r="L74" s="186">
        <f ca="1">'Large Use OLS Model'!$B$6*D74</f>
        <v>0</v>
      </c>
      <c r="M74" s="186">
        <f>'Large Use OLS Model'!$B$7*E74</f>
        <v>23616048.265254017</v>
      </c>
      <c r="N74" s="186">
        <v>0</v>
      </c>
      <c r="O74" s="186">
        <f>'Large Use OLS Model'!$B$8*G74</f>
        <v>0</v>
      </c>
      <c r="P74" s="186">
        <f>'Large Use OLS Model'!$B$9*H74</f>
        <v>0</v>
      </c>
      <c r="Q74" s="186">
        <f>'Large Use OLS Model'!$B$10*I74</f>
        <v>21377604.951162424</v>
      </c>
      <c r="R74">
        <f t="shared" ca="1" si="6"/>
        <v>25285659.203249041</v>
      </c>
    </row>
    <row r="75" spans="1:18">
      <c r="A75" s="26">
        <f>'Monthly Data'!A75</f>
        <v>42036</v>
      </c>
      <c r="B75">
        <f t="shared" si="5"/>
        <v>2015</v>
      </c>
      <c r="C75">
        <f ca="1">'Monthly Data'!AE75</f>
        <v>23738766.70331306</v>
      </c>
      <c r="D75" s="127">
        <f t="shared" ca="1" si="7"/>
        <v>0</v>
      </c>
      <c r="E75" s="124">
        <f>'Monthly Data'!BJ75</f>
        <v>6885.3</v>
      </c>
      <c r="F75" s="127">
        <f>'Monthly Data'!BM75</f>
        <v>74</v>
      </c>
      <c r="G75" s="127">
        <f>'Monthly Data'!BT75</f>
        <v>0</v>
      </c>
      <c r="H75" s="127">
        <f>'Monthly Data'!BY75</f>
        <v>0</v>
      </c>
      <c r="I75" s="127">
        <f>'Monthly Data'!CC75</f>
        <v>28</v>
      </c>
      <c r="K75" s="127">
        <f>'Large Use OLS Model'!$B$5</f>
        <v>-19707994.0131674</v>
      </c>
      <c r="L75" s="186">
        <f ca="1">'Large Use OLS Model'!$B$6*D75</f>
        <v>0</v>
      </c>
      <c r="M75" s="186">
        <f>'Large Use OLS Model'!$B$7*E75</f>
        <v>23614676.375786554</v>
      </c>
      <c r="N75" s="186">
        <v>0</v>
      </c>
      <c r="O75" s="186">
        <f>'Large Use OLS Model'!$B$8*G75</f>
        <v>0</v>
      </c>
      <c r="P75" s="186">
        <f>'Large Use OLS Model'!$B$9*H75</f>
        <v>0</v>
      </c>
      <c r="Q75" s="186">
        <f>'Large Use OLS Model'!$B$10*I75</f>
        <v>19308804.472017676</v>
      </c>
      <c r="R75">
        <f t="shared" ca="1" si="6"/>
        <v>23215486.83463683</v>
      </c>
    </row>
    <row r="76" spans="1:18">
      <c r="A76" s="26">
        <f>'Monthly Data'!A76</f>
        <v>42064</v>
      </c>
      <c r="B76">
        <f t="shared" si="5"/>
        <v>2015</v>
      </c>
      <c r="C76">
        <f ca="1">'Monthly Data'!AE76</f>
        <v>25313211.343313061</v>
      </c>
      <c r="D76" s="127">
        <f t="shared" ca="1" si="7"/>
        <v>0.48</v>
      </c>
      <c r="E76" s="124">
        <f>'Monthly Data'!BJ76</f>
        <v>6892.1</v>
      </c>
      <c r="F76" s="127">
        <f>'Monthly Data'!BM76</f>
        <v>75</v>
      </c>
      <c r="G76" s="127">
        <f>'Monthly Data'!BT76</f>
        <v>0</v>
      </c>
      <c r="H76" s="127">
        <f>'Monthly Data'!BY76</f>
        <v>0</v>
      </c>
      <c r="I76" s="127">
        <f>'Monthly Data'!CC76</f>
        <v>31</v>
      </c>
      <c r="K76" s="127">
        <f>'Large Use OLS Model'!$B$5</f>
        <v>-19707994.0131674</v>
      </c>
      <c r="L76" s="186">
        <f ca="1">'Large Use OLS Model'!$B$6*D76</f>
        <v>12684.556414476479</v>
      </c>
      <c r="M76" s="186">
        <f>'Large Use OLS Model'!$B$7*E76</f>
        <v>23637998.496733405</v>
      </c>
      <c r="N76" s="186">
        <v>0</v>
      </c>
      <c r="O76" s="186">
        <f>'Large Use OLS Model'!$B$8*G76</f>
        <v>0</v>
      </c>
      <c r="P76" s="186">
        <f>'Large Use OLS Model'!$B$9*H76</f>
        <v>0</v>
      </c>
      <c r="Q76" s="186">
        <f>'Large Use OLS Model'!$B$10*I76</f>
        <v>21377604.951162424</v>
      </c>
      <c r="R76">
        <f t="shared" ca="1" si="6"/>
        <v>25320293.991142906</v>
      </c>
    </row>
    <row r="77" spans="1:18">
      <c r="A77" s="26">
        <f>'Monthly Data'!A77</f>
        <v>42095</v>
      </c>
      <c r="B77">
        <f t="shared" si="5"/>
        <v>2015</v>
      </c>
      <c r="C77">
        <f ca="1">'Monthly Data'!AE77</f>
        <v>24471161.113313057</v>
      </c>
      <c r="D77" s="127">
        <f t="shared" ca="1" si="7"/>
        <v>2.63</v>
      </c>
      <c r="E77" s="124">
        <f>'Monthly Data'!BJ77</f>
        <v>6897.3</v>
      </c>
      <c r="F77" s="127">
        <f>'Monthly Data'!BM77</f>
        <v>76</v>
      </c>
      <c r="G77" s="127">
        <f>'Monthly Data'!BT77</f>
        <v>0</v>
      </c>
      <c r="H77" s="127">
        <f>'Monthly Data'!BY77</f>
        <v>0</v>
      </c>
      <c r="I77" s="127">
        <f>'Monthly Data'!CC77</f>
        <v>30</v>
      </c>
      <c r="K77" s="127">
        <f>'Large Use OLS Model'!$B$5</f>
        <v>-19707994.0131674</v>
      </c>
      <c r="L77" s="186">
        <f ca="1">'Large Use OLS Model'!$B$6*D77</f>
        <v>69500.798687652379</v>
      </c>
      <c r="M77" s="186">
        <f>'Large Use OLS Model'!$B$7*E77</f>
        <v>23655833.059810407</v>
      </c>
      <c r="N77" s="186">
        <v>0</v>
      </c>
      <c r="O77" s="186">
        <f>'Large Use OLS Model'!$B$8*G77</f>
        <v>0</v>
      </c>
      <c r="P77" s="186">
        <f>'Large Use OLS Model'!$B$9*H77</f>
        <v>0</v>
      </c>
      <c r="Q77" s="186">
        <f>'Large Use OLS Model'!$B$10*I77</f>
        <v>20688004.791447509</v>
      </c>
      <c r="R77">
        <f t="shared" ca="1" si="6"/>
        <v>24705344.636778168</v>
      </c>
    </row>
    <row r="78" spans="1:18">
      <c r="A78" s="26">
        <f>'Monthly Data'!A78</f>
        <v>42125</v>
      </c>
      <c r="B78">
        <f t="shared" si="5"/>
        <v>2015</v>
      </c>
      <c r="C78">
        <f ca="1">'Monthly Data'!AE78</f>
        <v>27691400.053313062</v>
      </c>
      <c r="D78" s="127">
        <f t="shared" ca="1" si="7"/>
        <v>47.37</v>
      </c>
      <c r="E78" s="124">
        <f>'Monthly Data'!BJ78</f>
        <v>6906.5</v>
      </c>
      <c r="F78" s="127">
        <f>'Monthly Data'!BM78</f>
        <v>77</v>
      </c>
      <c r="G78" s="127">
        <f>'Monthly Data'!BT78</f>
        <v>0</v>
      </c>
      <c r="H78" s="127">
        <f>'Monthly Data'!BY78</f>
        <v>0</v>
      </c>
      <c r="I78" s="127">
        <f>'Monthly Data'!CC78</f>
        <v>31</v>
      </c>
      <c r="K78" s="127">
        <f>'Large Use OLS Model'!$B$5</f>
        <v>-19707994.0131674</v>
      </c>
      <c r="L78" s="186">
        <f ca="1">'Large Use OLS Model'!$B$6*D78</f>
        <v>1251807.1611536476</v>
      </c>
      <c r="M78" s="186">
        <f>'Large Use OLS Model'!$B$7*E78</f>
        <v>23687386.517562028</v>
      </c>
      <c r="N78" s="186">
        <v>0</v>
      </c>
      <c r="O78" s="186">
        <f>'Large Use OLS Model'!$B$8*G78</f>
        <v>0</v>
      </c>
      <c r="P78" s="186">
        <f>'Large Use OLS Model'!$B$9*H78</f>
        <v>0</v>
      </c>
      <c r="Q78" s="186">
        <f>'Large Use OLS Model'!$B$10*I78</f>
        <v>21377604.951162424</v>
      </c>
      <c r="R78">
        <f t="shared" ca="1" si="6"/>
        <v>26608804.6167107</v>
      </c>
    </row>
    <row r="79" spans="1:18">
      <c r="A79" s="26">
        <f>'Monthly Data'!A79</f>
        <v>42156</v>
      </c>
      <c r="B79">
        <f t="shared" si="5"/>
        <v>2015</v>
      </c>
      <c r="C79">
        <f ca="1">'Monthly Data'!AE79</f>
        <v>28284245.943313062</v>
      </c>
      <c r="D79" s="127">
        <f t="shared" ca="1" si="7"/>
        <v>117.23999999999997</v>
      </c>
      <c r="E79" s="124">
        <f>'Monthly Data'!BJ79</f>
        <v>6921.3</v>
      </c>
      <c r="F79" s="127">
        <f>'Monthly Data'!BM79</f>
        <v>78</v>
      </c>
      <c r="G79" s="127">
        <f>'Monthly Data'!BT79</f>
        <v>0</v>
      </c>
      <c r="H79" s="127">
        <f>'Monthly Data'!BY79</f>
        <v>0</v>
      </c>
      <c r="I79" s="127">
        <f>'Monthly Data'!CC79</f>
        <v>30</v>
      </c>
      <c r="K79" s="127">
        <f>'Large Use OLS Model'!$B$5</f>
        <v>-19707994.0131674</v>
      </c>
      <c r="L79" s="186">
        <f ca="1">'Large Use OLS Model'!$B$6*D79</f>
        <v>3098202.9042358794</v>
      </c>
      <c r="M79" s="186">
        <f>'Large Use OLS Model'!$B$7*E79</f>
        <v>23738146.427858114</v>
      </c>
      <c r="N79" s="186">
        <v>0</v>
      </c>
      <c r="O79" s="186">
        <f>'Large Use OLS Model'!$B$8*G79</f>
        <v>0</v>
      </c>
      <c r="P79" s="186">
        <f>'Large Use OLS Model'!$B$9*H79</f>
        <v>0</v>
      </c>
      <c r="Q79" s="186">
        <f>'Large Use OLS Model'!$B$10*I79</f>
        <v>20688004.791447509</v>
      </c>
      <c r="R79">
        <f t="shared" ca="1" si="6"/>
        <v>27816360.110374101</v>
      </c>
    </row>
    <row r="80" spans="1:18">
      <c r="A80" s="26">
        <f>'Monthly Data'!A80</f>
        <v>42186</v>
      </c>
      <c r="B80">
        <f t="shared" si="5"/>
        <v>2015</v>
      </c>
      <c r="C80">
        <f ca="1">'Monthly Data'!AE80</f>
        <v>28027417.573313057</v>
      </c>
      <c r="D80" s="127">
        <f t="shared" ca="1" si="7"/>
        <v>185.60999999999999</v>
      </c>
      <c r="E80" s="124">
        <f>'Monthly Data'!BJ80</f>
        <v>6941.2</v>
      </c>
      <c r="F80" s="127">
        <f>'Monthly Data'!BM80</f>
        <v>79</v>
      </c>
      <c r="G80" s="127">
        <f>'Monthly Data'!BT80</f>
        <v>1</v>
      </c>
      <c r="H80" s="127">
        <f>'Monthly Data'!BY80</f>
        <v>0</v>
      </c>
      <c r="I80" s="127">
        <f>'Monthly Data'!CC80</f>
        <v>31</v>
      </c>
      <c r="K80" s="127">
        <f>'Large Use OLS Model'!$B$5</f>
        <v>-19707994.0131674</v>
      </c>
      <c r="L80" s="186">
        <f ca="1">'Large Use OLS Model'!$B$6*D80</f>
        <v>4904959.4085228732</v>
      </c>
      <c r="M80" s="186">
        <f>'Large Use OLS Model'!$B$7*E80</f>
        <v>23806397.928864338</v>
      </c>
      <c r="N80" s="186">
        <v>0</v>
      </c>
      <c r="O80" s="186">
        <f>'Large Use OLS Model'!$B$8*G80</f>
        <v>-1563237.6990636101</v>
      </c>
      <c r="P80" s="186">
        <f>'Large Use OLS Model'!$B$9*H80</f>
        <v>0</v>
      </c>
      <c r="Q80" s="186">
        <f>'Large Use OLS Model'!$B$10*I80</f>
        <v>21377604.951162424</v>
      </c>
      <c r="R80">
        <f t="shared" ca="1" si="6"/>
        <v>28817730.576318625</v>
      </c>
    </row>
    <row r="81" spans="1:18">
      <c r="A81" s="26">
        <f>'Monthly Data'!A81</f>
        <v>42217</v>
      </c>
      <c r="B81">
        <f t="shared" si="5"/>
        <v>2015</v>
      </c>
      <c r="C81">
        <f ca="1">'Monthly Data'!AE81</f>
        <v>29750781.553313062</v>
      </c>
      <c r="D81" s="127">
        <f t="shared" ca="1" si="7"/>
        <v>159.64000000000001</v>
      </c>
      <c r="E81" s="124">
        <f>'Monthly Data'!BJ81</f>
        <v>6949.2</v>
      </c>
      <c r="F81" s="127">
        <f>'Monthly Data'!BM81</f>
        <v>80</v>
      </c>
      <c r="G81" s="127">
        <f>'Monthly Data'!BT81</f>
        <v>0</v>
      </c>
      <c r="H81" s="127">
        <f>'Monthly Data'!BY81</f>
        <v>0</v>
      </c>
      <c r="I81" s="127">
        <f>'Monthly Data'!CC81</f>
        <v>31</v>
      </c>
      <c r="K81" s="127">
        <f>'Large Use OLS Model'!$B$5</f>
        <v>-19707994.0131674</v>
      </c>
      <c r="L81" s="186">
        <f ca="1">'Large Use OLS Model'!$B$6*D81</f>
        <v>4218672.0541813029</v>
      </c>
      <c r="M81" s="186">
        <f>'Large Use OLS Model'!$B$7*E81</f>
        <v>23833835.718213573</v>
      </c>
      <c r="N81" s="186">
        <v>0</v>
      </c>
      <c r="O81" s="186">
        <f>'Large Use OLS Model'!$B$8*G81</f>
        <v>0</v>
      </c>
      <c r="P81" s="186">
        <f>'Large Use OLS Model'!$B$9*H81</f>
        <v>0</v>
      </c>
      <c r="Q81" s="186">
        <f>'Large Use OLS Model'!$B$10*I81</f>
        <v>21377604.951162424</v>
      </c>
      <c r="R81">
        <f t="shared" ca="1" si="6"/>
        <v>29722118.710389901</v>
      </c>
    </row>
    <row r="82" spans="1:18">
      <c r="A82" s="26">
        <f>'Monthly Data'!A82</f>
        <v>42248</v>
      </c>
      <c r="B82">
        <f t="shared" si="5"/>
        <v>2015</v>
      </c>
      <c r="C82">
        <f ca="1">'Monthly Data'!AE82</f>
        <v>26713798.003313057</v>
      </c>
      <c r="D82" s="127">
        <f t="shared" ca="1" si="7"/>
        <v>72.989999999999981</v>
      </c>
      <c r="E82" s="124">
        <f>'Monthly Data'!BJ82</f>
        <v>6941.1</v>
      </c>
      <c r="F82" s="127">
        <f>'Monthly Data'!BM82</f>
        <v>81</v>
      </c>
      <c r="G82" s="127">
        <f>'Monthly Data'!BT82</f>
        <v>0</v>
      </c>
      <c r="H82" s="127">
        <f>'Monthly Data'!BY82</f>
        <v>0</v>
      </c>
      <c r="I82" s="127">
        <f>'Monthly Data'!CC82</f>
        <v>30</v>
      </c>
      <c r="K82" s="127">
        <f>'Large Use OLS Model'!$B$5</f>
        <v>-19707994.0131674</v>
      </c>
      <c r="L82" s="186">
        <f ca="1">'Large Use OLS Model'!$B$6*D82</f>
        <v>1928845.3597763292</v>
      </c>
      <c r="M82" s="186">
        <f>'Large Use OLS Model'!$B$7*E82</f>
        <v>23806054.956497476</v>
      </c>
      <c r="N82" s="186">
        <v>0</v>
      </c>
      <c r="O82" s="186">
        <f>'Large Use OLS Model'!$B$8*G82</f>
        <v>0</v>
      </c>
      <c r="P82" s="186">
        <f>'Large Use OLS Model'!$B$9*H82</f>
        <v>0</v>
      </c>
      <c r="Q82" s="186">
        <f>'Large Use OLS Model'!$B$10*I82</f>
        <v>20688004.791447509</v>
      </c>
      <c r="R82">
        <f t="shared" ca="1" si="6"/>
        <v>26714911.094553914</v>
      </c>
    </row>
    <row r="83" spans="1:18">
      <c r="A83" s="26">
        <f>'Monthly Data'!A83</f>
        <v>42278</v>
      </c>
      <c r="B83">
        <f t="shared" si="5"/>
        <v>2015</v>
      </c>
      <c r="C83">
        <f ca="1">'Monthly Data'!AE83</f>
        <v>25441621.893313058</v>
      </c>
      <c r="D83" s="127">
        <f t="shared" ca="1" si="7"/>
        <v>10.779999999999998</v>
      </c>
      <c r="E83" s="124">
        <f>'Monthly Data'!BJ83</f>
        <v>6934.8</v>
      </c>
      <c r="F83" s="127">
        <f>'Monthly Data'!BM83</f>
        <v>82</v>
      </c>
      <c r="G83" s="127">
        <f>'Monthly Data'!BT83</f>
        <v>0</v>
      </c>
      <c r="H83" s="127">
        <f>'Monthly Data'!BY83</f>
        <v>0</v>
      </c>
      <c r="I83" s="127">
        <f>'Monthly Data'!CC83</f>
        <v>31</v>
      </c>
      <c r="K83" s="127">
        <f>'Large Use OLS Model'!$B$5</f>
        <v>-19707994.0131674</v>
      </c>
      <c r="L83" s="186">
        <f ca="1">'Large Use OLS Model'!$B$6*D83</f>
        <v>284873.99614178424</v>
      </c>
      <c r="M83" s="186">
        <f>'Large Use OLS Model'!$B$7*E83</f>
        <v>23784447.69738495</v>
      </c>
      <c r="N83" s="186">
        <v>0</v>
      </c>
      <c r="O83" s="186">
        <f>'Large Use OLS Model'!$B$8*G83</f>
        <v>0</v>
      </c>
      <c r="P83" s="186">
        <f>'Large Use OLS Model'!$B$9*H83</f>
        <v>0</v>
      </c>
      <c r="Q83" s="186">
        <f>'Large Use OLS Model'!$B$10*I83</f>
        <v>21377604.951162424</v>
      </c>
      <c r="R83">
        <f t="shared" ca="1" si="6"/>
        <v>25738932.631521758</v>
      </c>
    </row>
    <row r="84" spans="1:18">
      <c r="A84" s="26">
        <f>'Monthly Data'!A84</f>
        <v>42309</v>
      </c>
      <c r="B84">
        <f t="shared" si="5"/>
        <v>2015</v>
      </c>
      <c r="C84">
        <f ca="1">'Monthly Data'!AE84</f>
        <v>24220410.913313061</v>
      </c>
      <c r="D84" s="127">
        <f t="shared" ca="1" si="7"/>
        <v>0.05</v>
      </c>
      <c r="E84" s="124">
        <f>'Monthly Data'!BJ84</f>
        <v>6928.3</v>
      </c>
      <c r="F84" s="127">
        <f>'Monthly Data'!BM84</f>
        <v>83</v>
      </c>
      <c r="G84" s="127">
        <f>'Monthly Data'!BT84</f>
        <v>0</v>
      </c>
      <c r="H84" s="127">
        <f>'Monthly Data'!BY84</f>
        <v>0</v>
      </c>
      <c r="I84" s="127">
        <f>'Monthly Data'!CC84</f>
        <v>30</v>
      </c>
      <c r="K84" s="127">
        <f>'Large Use OLS Model'!$B$5</f>
        <v>-19707994.0131674</v>
      </c>
      <c r="L84" s="186">
        <f ca="1">'Large Use OLS Model'!$B$6*D84</f>
        <v>1321.3079598413001</v>
      </c>
      <c r="M84" s="186">
        <f>'Large Use OLS Model'!$B$7*E84</f>
        <v>23762154.493538696</v>
      </c>
      <c r="N84" s="186">
        <v>0</v>
      </c>
      <c r="O84" s="186">
        <f>'Large Use OLS Model'!$B$8*G84</f>
        <v>0</v>
      </c>
      <c r="P84" s="186">
        <f>'Large Use OLS Model'!$B$9*H84</f>
        <v>0</v>
      </c>
      <c r="Q84" s="186">
        <f>'Large Use OLS Model'!$B$10*I84</f>
        <v>20688004.791447509</v>
      </c>
      <c r="R84">
        <f t="shared" ca="1" si="6"/>
        <v>24743486.579778645</v>
      </c>
    </row>
    <row r="85" spans="1:18">
      <c r="A85" s="26">
        <f>'Monthly Data'!A85</f>
        <v>42339</v>
      </c>
      <c r="B85">
        <f t="shared" si="5"/>
        <v>2015</v>
      </c>
      <c r="C85">
        <f ca="1">'Monthly Data'!AE85</f>
        <v>23661661.963313058</v>
      </c>
      <c r="D85" s="127">
        <f t="shared" ca="1" si="7"/>
        <v>0</v>
      </c>
      <c r="E85" s="124">
        <f>'Monthly Data'!BJ85</f>
        <v>6942.8</v>
      </c>
      <c r="F85" s="127">
        <f>'Monthly Data'!BM85</f>
        <v>84</v>
      </c>
      <c r="G85" s="127">
        <f>'Monthly Data'!BT85</f>
        <v>0</v>
      </c>
      <c r="H85" s="127">
        <f>'Monthly Data'!BY85</f>
        <v>1</v>
      </c>
      <c r="I85" s="127">
        <f>'Monthly Data'!CC85</f>
        <v>31</v>
      </c>
      <c r="K85" s="127">
        <f>'Large Use OLS Model'!$B$5</f>
        <v>-19707994.0131674</v>
      </c>
      <c r="L85" s="186">
        <f ca="1">'Large Use OLS Model'!$B$6*D85</f>
        <v>0</v>
      </c>
      <c r="M85" s="186">
        <f>'Large Use OLS Model'!$B$7*E85</f>
        <v>23811885.486734185</v>
      </c>
      <c r="N85" s="186">
        <v>0</v>
      </c>
      <c r="O85" s="186">
        <f>'Large Use OLS Model'!$B$8*G85</f>
        <v>0</v>
      </c>
      <c r="P85" s="186">
        <f>'Large Use OLS Model'!$B$9*H85</f>
        <v>-2219022.2541699898</v>
      </c>
      <c r="Q85" s="186">
        <f>'Large Use OLS Model'!$B$10*I85</f>
        <v>21377604.951162424</v>
      </c>
      <c r="R85">
        <f t="shared" ca="1" si="6"/>
        <v>23262474.17055922</v>
      </c>
    </row>
    <row r="86" spans="1:18">
      <c r="A86" s="26">
        <f>'Monthly Data'!A86</f>
        <v>42370</v>
      </c>
      <c r="B86">
        <f t="shared" si="5"/>
        <v>2016</v>
      </c>
      <c r="C86">
        <f ca="1">'Monthly Data'!AE86</f>
        <v>25090154.590573408</v>
      </c>
      <c r="D86" s="127">
        <f t="shared" ca="1" si="7"/>
        <v>0</v>
      </c>
      <c r="E86" s="124">
        <f>'Monthly Data'!BJ86</f>
        <v>6956.6</v>
      </c>
      <c r="F86" s="127">
        <f>'Monthly Data'!BM86</f>
        <v>85</v>
      </c>
      <c r="G86" s="127">
        <f>'Monthly Data'!BT86</f>
        <v>0</v>
      </c>
      <c r="H86" s="127">
        <f>'Monthly Data'!BY86</f>
        <v>0</v>
      </c>
      <c r="I86" s="127">
        <f>'Monthly Data'!CC86</f>
        <v>31</v>
      </c>
      <c r="K86" s="127">
        <f>'Large Use OLS Model'!$B$5</f>
        <v>-19707994.0131674</v>
      </c>
      <c r="L86" s="186">
        <f ca="1">'Large Use OLS Model'!$B$6*D86</f>
        <v>0</v>
      </c>
      <c r="M86" s="186">
        <f>'Large Use OLS Model'!$B$7*E86</f>
        <v>23859215.673361618</v>
      </c>
      <c r="N86" s="186">
        <v>0</v>
      </c>
      <c r="O86" s="186">
        <f>'Large Use OLS Model'!$B$8*G86</f>
        <v>0</v>
      </c>
      <c r="P86" s="186">
        <f>'Large Use OLS Model'!$B$9*H86</f>
        <v>0</v>
      </c>
      <c r="Q86" s="186">
        <f>'Large Use OLS Model'!$B$10*I86</f>
        <v>21377604.951162424</v>
      </c>
      <c r="R86">
        <f t="shared" ref="R86:R108" ca="1" si="8">SUM(K86:Q86)</f>
        <v>25528826.611356642</v>
      </c>
    </row>
    <row r="87" spans="1:18">
      <c r="A87" s="26">
        <f>'Monthly Data'!A87</f>
        <v>42401</v>
      </c>
      <c r="B87">
        <f t="shared" si="5"/>
        <v>2016</v>
      </c>
      <c r="C87">
        <f ca="1">'Monthly Data'!AE87</f>
        <v>24396990.330573406</v>
      </c>
      <c r="D87" s="127">
        <f t="shared" ca="1" si="7"/>
        <v>0</v>
      </c>
      <c r="E87" s="124">
        <f>'Monthly Data'!BJ87</f>
        <v>6968.5</v>
      </c>
      <c r="F87" s="127">
        <f>'Monthly Data'!BM87</f>
        <v>86</v>
      </c>
      <c r="G87" s="127">
        <f>'Monthly Data'!BT87</f>
        <v>0</v>
      </c>
      <c r="H87" s="127">
        <f>'Monthly Data'!BY87</f>
        <v>0</v>
      </c>
      <c r="I87" s="127">
        <f>'Monthly Data'!CC87</f>
        <v>29</v>
      </c>
      <c r="K87" s="127">
        <f>'Large Use OLS Model'!$B$5</f>
        <v>-19707994.0131674</v>
      </c>
      <c r="L87" s="186">
        <f ca="1">'Large Use OLS Model'!$B$6*D87</f>
        <v>0</v>
      </c>
      <c r="M87" s="186">
        <f>'Large Use OLS Model'!$B$7*E87</f>
        <v>23900029.385018606</v>
      </c>
      <c r="N87" s="186">
        <v>0</v>
      </c>
      <c r="O87" s="186">
        <f>'Large Use OLS Model'!$B$8*G87</f>
        <v>0</v>
      </c>
      <c r="P87" s="186">
        <f>'Large Use OLS Model'!$B$9*H87</f>
        <v>0</v>
      </c>
      <c r="Q87" s="186">
        <f>'Large Use OLS Model'!$B$10*I87</f>
        <v>19998404.63173259</v>
      </c>
      <c r="R87">
        <f t="shared" ca="1" si="8"/>
        <v>24190440.003583796</v>
      </c>
    </row>
    <row r="88" spans="1:18">
      <c r="A88" s="26">
        <f>'Monthly Data'!A88</f>
        <v>42430</v>
      </c>
      <c r="B88">
        <f t="shared" si="5"/>
        <v>2016</v>
      </c>
      <c r="C88">
        <f ca="1">'Monthly Data'!AE88</f>
        <v>27149345.800573409</v>
      </c>
      <c r="D88" s="127">
        <f t="shared" ca="1" si="7"/>
        <v>0.48</v>
      </c>
      <c r="E88" s="124">
        <f>'Monthly Data'!BJ88</f>
        <v>6975.7</v>
      </c>
      <c r="F88" s="127">
        <f>'Monthly Data'!BM88</f>
        <v>87</v>
      </c>
      <c r="G88" s="127">
        <f>'Monthly Data'!BT88</f>
        <v>0</v>
      </c>
      <c r="H88" s="127">
        <f>'Monthly Data'!BY88</f>
        <v>0</v>
      </c>
      <c r="I88" s="127">
        <f>'Monthly Data'!CC88</f>
        <v>31</v>
      </c>
      <c r="K88" s="127">
        <f>'Large Use OLS Model'!$B$5</f>
        <v>-19707994.0131674</v>
      </c>
      <c r="L88" s="186">
        <f ca="1">'Large Use OLS Model'!$B$6*D88</f>
        <v>12684.556414476479</v>
      </c>
      <c r="M88" s="186">
        <f>'Large Use OLS Model'!$B$7*E88</f>
        <v>23924723.395432916</v>
      </c>
      <c r="N88" s="186">
        <v>0</v>
      </c>
      <c r="O88" s="186">
        <f>'Large Use OLS Model'!$B$8*G88</f>
        <v>0</v>
      </c>
      <c r="P88" s="186">
        <f>'Large Use OLS Model'!$B$9*H88</f>
        <v>0</v>
      </c>
      <c r="Q88" s="186">
        <f>'Large Use OLS Model'!$B$10*I88</f>
        <v>21377604.951162424</v>
      </c>
      <c r="R88">
        <f t="shared" ca="1" si="8"/>
        <v>25607018.889842417</v>
      </c>
    </row>
    <row r="89" spans="1:18">
      <c r="A89" s="26">
        <f>'Monthly Data'!A89</f>
        <v>42461</v>
      </c>
      <c r="B89">
        <f t="shared" si="5"/>
        <v>2016</v>
      </c>
      <c r="C89">
        <f ca="1">'Monthly Data'!AE89</f>
        <v>27647505.130573407</v>
      </c>
      <c r="D89" s="127">
        <f t="shared" ca="1" si="7"/>
        <v>2.63</v>
      </c>
      <c r="E89" s="124">
        <f>'Monthly Data'!BJ89</f>
        <v>6979.7</v>
      </c>
      <c r="F89" s="127">
        <f>'Monthly Data'!BM89</f>
        <v>88</v>
      </c>
      <c r="G89" s="127">
        <f>'Monthly Data'!BT89</f>
        <v>0</v>
      </c>
      <c r="H89" s="127">
        <f>'Monthly Data'!BY89</f>
        <v>0</v>
      </c>
      <c r="I89" s="127">
        <f>'Monthly Data'!CC89</f>
        <v>30</v>
      </c>
      <c r="K89" s="127">
        <f>'Large Use OLS Model'!$B$5</f>
        <v>-19707994.0131674</v>
      </c>
      <c r="L89" s="186">
        <f ca="1">'Large Use OLS Model'!$B$6*D89</f>
        <v>69500.798687652379</v>
      </c>
      <c r="M89" s="186">
        <f>'Large Use OLS Model'!$B$7*E89</f>
        <v>23938442.290107537</v>
      </c>
      <c r="N89" s="186">
        <v>0</v>
      </c>
      <c r="O89" s="186">
        <f>'Large Use OLS Model'!$B$8*G89</f>
        <v>0</v>
      </c>
      <c r="P89" s="186">
        <f>'Large Use OLS Model'!$B$9*H89</f>
        <v>0</v>
      </c>
      <c r="Q89" s="186">
        <f>'Large Use OLS Model'!$B$10*I89</f>
        <v>20688004.791447509</v>
      </c>
      <c r="R89">
        <f t="shared" ca="1" si="8"/>
        <v>24987953.867075298</v>
      </c>
    </row>
    <row r="90" spans="1:18">
      <c r="A90" s="26">
        <f>'Monthly Data'!A90</f>
        <v>42491</v>
      </c>
      <c r="B90">
        <f t="shared" si="5"/>
        <v>2016</v>
      </c>
      <c r="C90">
        <f ca="1">'Monthly Data'!AE90</f>
        <v>28570914.350573409</v>
      </c>
      <c r="D90" s="127">
        <f t="shared" ca="1" si="7"/>
        <v>47.37</v>
      </c>
      <c r="E90" s="124">
        <f>'Monthly Data'!BJ90</f>
        <v>6990.5</v>
      </c>
      <c r="F90" s="127">
        <f>'Monthly Data'!BM90</f>
        <v>89</v>
      </c>
      <c r="G90" s="127">
        <f>'Monthly Data'!BT90</f>
        <v>0</v>
      </c>
      <c r="H90" s="127">
        <f>'Monthly Data'!BY90</f>
        <v>0</v>
      </c>
      <c r="I90" s="127">
        <f>'Monthly Data'!CC90</f>
        <v>31</v>
      </c>
      <c r="K90" s="127">
        <f>'Large Use OLS Model'!$B$5</f>
        <v>-19707994.0131674</v>
      </c>
      <c r="L90" s="186">
        <f ca="1">'Large Use OLS Model'!$B$6*D90</f>
        <v>1251807.1611536476</v>
      </c>
      <c r="M90" s="186">
        <f>'Large Use OLS Model'!$B$7*E90</f>
        <v>23975483.305729005</v>
      </c>
      <c r="N90" s="186">
        <v>0</v>
      </c>
      <c r="O90" s="186">
        <f>'Large Use OLS Model'!$B$8*G90</f>
        <v>0</v>
      </c>
      <c r="P90" s="186">
        <f>'Large Use OLS Model'!$B$9*H90</f>
        <v>0</v>
      </c>
      <c r="Q90" s="186">
        <f>'Large Use OLS Model'!$B$10*I90</f>
        <v>21377604.951162424</v>
      </c>
      <c r="R90">
        <f t="shared" ca="1" si="8"/>
        <v>26896901.404877678</v>
      </c>
    </row>
    <row r="91" spans="1:18">
      <c r="A91" s="26">
        <f>'Monthly Data'!A91</f>
        <v>42522</v>
      </c>
      <c r="B91">
        <f t="shared" si="5"/>
        <v>2016</v>
      </c>
      <c r="C91">
        <f ca="1">'Monthly Data'!AE91</f>
        <v>29314407.180573408</v>
      </c>
      <c r="D91" s="127">
        <f t="shared" ca="1" si="7"/>
        <v>117.23999999999997</v>
      </c>
      <c r="E91" s="124">
        <f>'Monthly Data'!BJ91</f>
        <v>6998.8</v>
      </c>
      <c r="F91" s="127">
        <f>'Monthly Data'!BM91</f>
        <v>90</v>
      </c>
      <c r="G91" s="127">
        <f>'Monthly Data'!BT91</f>
        <v>0</v>
      </c>
      <c r="H91" s="127">
        <f>'Monthly Data'!BY91</f>
        <v>0</v>
      </c>
      <c r="I91" s="127">
        <f>'Monthly Data'!CC91</f>
        <v>30</v>
      </c>
      <c r="K91" s="127">
        <f>'Large Use OLS Model'!$B$5</f>
        <v>-19707994.0131674</v>
      </c>
      <c r="L91" s="186">
        <f ca="1">'Large Use OLS Model'!$B$6*D91</f>
        <v>3098202.9042358794</v>
      </c>
      <c r="M91" s="186">
        <f>'Large Use OLS Model'!$B$7*E91</f>
        <v>24003950.012178838</v>
      </c>
      <c r="N91" s="186">
        <v>0</v>
      </c>
      <c r="O91" s="186">
        <f>'Large Use OLS Model'!$B$8*G91</f>
        <v>0</v>
      </c>
      <c r="P91" s="186">
        <f>'Large Use OLS Model'!$B$9*H91</f>
        <v>0</v>
      </c>
      <c r="Q91" s="186">
        <f>'Large Use OLS Model'!$B$10*I91</f>
        <v>20688004.791447509</v>
      </c>
      <c r="R91">
        <f t="shared" ca="1" si="8"/>
        <v>28082163.694694825</v>
      </c>
    </row>
    <row r="92" spans="1:18">
      <c r="A92" s="26">
        <f>'Monthly Data'!A92</f>
        <v>42552</v>
      </c>
      <c r="B92">
        <f t="shared" si="5"/>
        <v>2016</v>
      </c>
      <c r="C92">
        <f ca="1">'Monthly Data'!AE92</f>
        <v>30213662.17057341</v>
      </c>
      <c r="D92" s="127">
        <f t="shared" ca="1" si="7"/>
        <v>185.60999999999999</v>
      </c>
      <c r="E92" s="124">
        <f>'Monthly Data'!BJ92</f>
        <v>6995</v>
      </c>
      <c r="F92" s="127">
        <f>'Monthly Data'!BM92</f>
        <v>91</v>
      </c>
      <c r="G92" s="127">
        <f>'Monthly Data'!BT92</f>
        <v>1</v>
      </c>
      <c r="H92" s="127">
        <f>'Monthly Data'!BY92</f>
        <v>0</v>
      </c>
      <c r="I92" s="127">
        <f>'Monthly Data'!CC92</f>
        <v>31</v>
      </c>
      <c r="K92" s="127">
        <f>'Large Use OLS Model'!$B$5</f>
        <v>-19707994.0131674</v>
      </c>
      <c r="L92" s="186">
        <f ca="1">'Large Use OLS Model'!$B$6*D92</f>
        <v>4904959.4085228732</v>
      </c>
      <c r="M92" s="186">
        <f>'Large Use OLS Model'!$B$7*E92</f>
        <v>23990917.062237948</v>
      </c>
      <c r="N92" s="186">
        <v>0</v>
      </c>
      <c r="O92" s="186">
        <f>'Large Use OLS Model'!$B$8*G92</f>
        <v>-1563237.6990636101</v>
      </c>
      <c r="P92" s="186">
        <f>'Large Use OLS Model'!$B$9*H92</f>
        <v>0</v>
      </c>
      <c r="Q92" s="186">
        <f>'Large Use OLS Model'!$B$10*I92</f>
        <v>21377604.951162424</v>
      </c>
      <c r="R92">
        <f t="shared" ca="1" si="8"/>
        <v>29002249.709692236</v>
      </c>
    </row>
    <row r="93" spans="1:18">
      <c r="A93" s="26">
        <f>'Monthly Data'!A93</f>
        <v>42583</v>
      </c>
      <c r="B93">
        <f t="shared" si="5"/>
        <v>2016</v>
      </c>
      <c r="C93">
        <f ca="1">'Monthly Data'!AE93</f>
        <v>31803691.650573406</v>
      </c>
      <c r="D93" s="127">
        <f t="shared" ca="1" si="7"/>
        <v>159.64000000000001</v>
      </c>
      <c r="E93" s="124">
        <f>'Monthly Data'!BJ93</f>
        <v>6991</v>
      </c>
      <c r="F93" s="127">
        <f>'Monthly Data'!BM93</f>
        <v>92</v>
      </c>
      <c r="G93" s="127">
        <f>'Monthly Data'!BT93</f>
        <v>0</v>
      </c>
      <c r="H93" s="127">
        <f>'Monthly Data'!BY93</f>
        <v>0</v>
      </c>
      <c r="I93" s="127">
        <f>'Monthly Data'!CC93</f>
        <v>31</v>
      </c>
      <c r="K93" s="127">
        <f>'Large Use OLS Model'!$B$5</f>
        <v>-19707994.0131674</v>
      </c>
      <c r="L93" s="186">
        <f ca="1">'Large Use OLS Model'!$B$6*D93</f>
        <v>4218672.0541813029</v>
      </c>
      <c r="M93" s="186">
        <f>'Large Use OLS Model'!$B$7*E93</f>
        <v>23977198.16756333</v>
      </c>
      <c r="N93" s="186">
        <v>0</v>
      </c>
      <c r="O93" s="186">
        <f>'Large Use OLS Model'!$B$8*G93</f>
        <v>0</v>
      </c>
      <c r="P93" s="186">
        <f>'Large Use OLS Model'!$B$9*H93</f>
        <v>0</v>
      </c>
      <c r="Q93" s="186">
        <f>'Large Use OLS Model'!$B$10*I93</f>
        <v>21377604.951162424</v>
      </c>
      <c r="R93">
        <f t="shared" ca="1" si="8"/>
        <v>29865481.159739658</v>
      </c>
    </row>
    <row r="94" spans="1:18">
      <c r="A94" s="26">
        <f>'Monthly Data'!A94</f>
        <v>42614</v>
      </c>
      <c r="B94">
        <f t="shared" si="5"/>
        <v>2016</v>
      </c>
      <c r="C94">
        <f ca="1">'Monthly Data'!AE94</f>
        <v>28562406.850573409</v>
      </c>
      <c r="D94" s="127">
        <f t="shared" ca="1" si="7"/>
        <v>72.989999999999981</v>
      </c>
      <c r="E94" s="124">
        <f>'Monthly Data'!BJ94</f>
        <v>6989.1</v>
      </c>
      <c r="F94" s="127">
        <f>'Monthly Data'!BM94</f>
        <v>93</v>
      </c>
      <c r="G94" s="127">
        <f>'Monthly Data'!BT94</f>
        <v>0</v>
      </c>
      <c r="H94" s="127">
        <f>'Monthly Data'!BY94</f>
        <v>0</v>
      </c>
      <c r="I94" s="127">
        <f>'Monthly Data'!CC94</f>
        <v>30</v>
      </c>
      <c r="K94" s="127">
        <f>'Large Use OLS Model'!$B$5</f>
        <v>-19707994.0131674</v>
      </c>
      <c r="L94" s="186">
        <f ca="1">'Large Use OLS Model'!$B$6*D94</f>
        <v>1928845.3597763292</v>
      </c>
      <c r="M94" s="186">
        <f>'Large Use OLS Model'!$B$7*E94</f>
        <v>23970681.692592889</v>
      </c>
      <c r="N94" s="186">
        <v>0</v>
      </c>
      <c r="O94" s="186">
        <f>'Large Use OLS Model'!$B$8*G94</f>
        <v>0</v>
      </c>
      <c r="P94" s="186">
        <f>'Large Use OLS Model'!$B$9*H94</f>
        <v>0</v>
      </c>
      <c r="Q94" s="186">
        <f>'Large Use OLS Model'!$B$10*I94</f>
        <v>20688004.791447509</v>
      </c>
      <c r="R94">
        <f t="shared" ca="1" si="8"/>
        <v>26879537.830649327</v>
      </c>
    </row>
    <row r="95" spans="1:18">
      <c r="A95" s="26">
        <f>'Monthly Data'!A95</f>
        <v>42644</v>
      </c>
      <c r="B95">
        <f t="shared" si="5"/>
        <v>2016</v>
      </c>
      <c r="C95">
        <f ca="1">'Monthly Data'!AE95</f>
        <v>27098824.600573409</v>
      </c>
      <c r="D95" s="127">
        <f t="shared" ca="1" si="7"/>
        <v>10.779999999999998</v>
      </c>
      <c r="E95" s="124">
        <f>'Monthly Data'!BJ95</f>
        <v>7005.5</v>
      </c>
      <c r="F95" s="127">
        <f>'Monthly Data'!BM95</f>
        <v>94</v>
      </c>
      <c r="G95" s="127">
        <f>'Monthly Data'!BT95</f>
        <v>0</v>
      </c>
      <c r="H95" s="127">
        <f>'Monthly Data'!BY95</f>
        <v>0</v>
      </c>
      <c r="I95" s="127">
        <f>'Monthly Data'!CC95</f>
        <v>31</v>
      </c>
      <c r="K95" s="127">
        <f>'Large Use OLS Model'!$B$5</f>
        <v>-19707994.0131674</v>
      </c>
      <c r="L95" s="186">
        <f ca="1">'Large Use OLS Model'!$B$6*D95</f>
        <v>284873.99614178424</v>
      </c>
      <c r="M95" s="186">
        <f>'Large Use OLS Model'!$B$7*E95</f>
        <v>24026929.160758819</v>
      </c>
      <c r="N95" s="186">
        <v>0</v>
      </c>
      <c r="O95" s="186">
        <f>'Large Use OLS Model'!$B$8*G95</f>
        <v>0</v>
      </c>
      <c r="P95" s="186">
        <f>'Large Use OLS Model'!$B$9*H95</f>
        <v>0</v>
      </c>
      <c r="Q95" s="186">
        <f>'Large Use OLS Model'!$B$10*I95</f>
        <v>21377604.951162424</v>
      </c>
      <c r="R95">
        <f t="shared" ca="1" si="8"/>
        <v>25981414.094895627</v>
      </c>
    </row>
    <row r="96" spans="1:18">
      <c r="A96" s="26">
        <f>'Monthly Data'!A96</f>
        <v>42675</v>
      </c>
      <c r="B96">
        <f t="shared" si="5"/>
        <v>2016</v>
      </c>
      <c r="C96">
        <f ca="1">'Monthly Data'!AE96</f>
        <v>25594458.180573408</v>
      </c>
      <c r="D96" s="127">
        <f t="shared" ca="1" si="7"/>
        <v>0.05</v>
      </c>
      <c r="E96" s="124">
        <f>'Monthly Data'!BJ96</f>
        <v>7021.6</v>
      </c>
      <c r="F96" s="127">
        <f>'Monthly Data'!BM96</f>
        <v>95</v>
      </c>
      <c r="G96" s="127">
        <f>'Monthly Data'!BT96</f>
        <v>0</v>
      </c>
      <c r="H96" s="127">
        <f>'Monthly Data'!BY96</f>
        <v>0</v>
      </c>
      <c r="I96" s="127">
        <f>'Monthly Data'!CC96</f>
        <v>30</v>
      </c>
      <c r="K96" s="127">
        <f>'Large Use OLS Model'!$B$5</f>
        <v>-19707994.0131674</v>
      </c>
      <c r="L96" s="186">
        <f ca="1">'Large Use OLS Model'!$B$6*D96</f>
        <v>1321.3079598413001</v>
      </c>
      <c r="M96" s="186">
        <f>'Large Use OLS Model'!$B$7*E96</f>
        <v>24082147.71182416</v>
      </c>
      <c r="N96" s="186">
        <v>0</v>
      </c>
      <c r="O96" s="186">
        <f>'Large Use OLS Model'!$B$8*G96</f>
        <v>0</v>
      </c>
      <c r="P96" s="186">
        <f>'Large Use OLS Model'!$B$9*H96</f>
        <v>0</v>
      </c>
      <c r="Q96" s="186">
        <f>'Large Use OLS Model'!$B$10*I96</f>
        <v>20688004.791447509</v>
      </c>
      <c r="R96">
        <f t="shared" ca="1" si="8"/>
        <v>25063479.798064109</v>
      </c>
    </row>
    <row r="97" spans="1:18">
      <c r="A97" s="26">
        <f>'Monthly Data'!A97</f>
        <v>42705</v>
      </c>
      <c r="B97">
        <f t="shared" si="5"/>
        <v>2016</v>
      </c>
      <c r="C97">
        <f ca="1">'Monthly Data'!AE97</f>
        <v>23271647.370573409</v>
      </c>
      <c r="D97" s="127">
        <f t="shared" ca="1" si="7"/>
        <v>0</v>
      </c>
      <c r="E97" s="124">
        <f>'Monthly Data'!BJ97</f>
        <v>7035.1</v>
      </c>
      <c r="F97" s="127">
        <f>'Monthly Data'!BM97</f>
        <v>96</v>
      </c>
      <c r="G97" s="127">
        <f>'Monthly Data'!BT97</f>
        <v>0</v>
      </c>
      <c r="H97" s="127">
        <f>'Monthly Data'!BY97</f>
        <v>1</v>
      </c>
      <c r="I97" s="127">
        <f>'Monthly Data'!CC97</f>
        <v>31</v>
      </c>
      <c r="K97" s="127">
        <f>'Large Use OLS Model'!$B$5</f>
        <v>-19707994.0131674</v>
      </c>
      <c r="L97" s="186">
        <f ca="1">'Large Use OLS Model'!$B$6*D97</f>
        <v>0</v>
      </c>
      <c r="M97" s="186">
        <f>'Large Use OLS Model'!$B$7*E97</f>
        <v>24128448.981350996</v>
      </c>
      <c r="N97" s="186">
        <v>0</v>
      </c>
      <c r="O97" s="186">
        <f>'Large Use OLS Model'!$B$8*G97</f>
        <v>0</v>
      </c>
      <c r="P97" s="186">
        <f>'Large Use OLS Model'!$B$9*H97</f>
        <v>-2219022.2541699898</v>
      </c>
      <c r="Q97" s="186">
        <f>'Large Use OLS Model'!$B$10*I97</f>
        <v>21377604.951162424</v>
      </c>
      <c r="R97">
        <f t="shared" ca="1" si="8"/>
        <v>23579037.66517603</v>
      </c>
    </row>
    <row r="98" spans="1:18">
      <c r="A98" s="26">
        <v>42736</v>
      </c>
      <c r="B98">
        <f t="shared" si="5"/>
        <v>2017</v>
      </c>
      <c r="C98" s="127">
        <f ca="1">'Monthly Data'!AE98</f>
        <v>24541033.237536147</v>
      </c>
      <c r="D98" s="127">
        <f t="shared" ca="1" si="7"/>
        <v>0</v>
      </c>
      <c r="E98" s="124">
        <f>'Monthly Data'!BJ98</f>
        <v>7049.2</v>
      </c>
      <c r="F98" s="127">
        <f>'Monthly Data'!BM98</f>
        <v>97</v>
      </c>
      <c r="G98" s="127">
        <f>'Monthly Data'!BT98</f>
        <v>0</v>
      </c>
      <c r="H98" s="127">
        <f>'Monthly Data'!BY98</f>
        <v>0</v>
      </c>
      <c r="I98" s="127">
        <f>'Monthly Data'!CC98</f>
        <v>31</v>
      </c>
      <c r="K98" s="127">
        <f>'Large Use OLS Model'!$B$5</f>
        <v>-19707994.0131674</v>
      </c>
      <c r="L98" s="186">
        <f ca="1">'Large Use OLS Model'!$B$6*D98</f>
        <v>0</v>
      </c>
      <c r="M98" s="186">
        <f>'Large Use OLS Model'!$B$7*E98</f>
        <v>24176808.085079022</v>
      </c>
      <c r="N98" s="186">
        <v>0</v>
      </c>
      <c r="O98" s="186">
        <f>'Large Use OLS Model'!$B$8*G98</f>
        <v>0</v>
      </c>
      <c r="P98" s="186">
        <f>'Large Use OLS Model'!$B$9*H98</f>
        <v>0</v>
      </c>
      <c r="Q98" s="186">
        <f>'Large Use OLS Model'!$B$10*I98</f>
        <v>21377604.951162424</v>
      </c>
      <c r="R98">
        <f t="shared" ca="1" si="8"/>
        <v>25846419.023074046</v>
      </c>
    </row>
    <row r="99" spans="1:18">
      <c r="A99" s="26">
        <v>42767</v>
      </c>
      <c r="B99">
        <f t="shared" si="5"/>
        <v>2017</v>
      </c>
      <c r="C99" s="127">
        <f ca="1">'Monthly Data'!AE99</f>
        <v>22499336.237536147</v>
      </c>
      <c r="D99" s="127">
        <f t="shared" ca="1" si="7"/>
        <v>0</v>
      </c>
      <c r="E99" s="124">
        <f>'Monthly Data'!BJ99</f>
        <v>7062.5</v>
      </c>
      <c r="F99" s="127">
        <f>'Monthly Data'!BM99</f>
        <v>98</v>
      </c>
      <c r="G99" s="127">
        <f>'Monthly Data'!BT99</f>
        <v>0</v>
      </c>
      <c r="H99" s="127">
        <f>'Monthly Data'!BY99</f>
        <v>0</v>
      </c>
      <c r="I99" s="127">
        <f>'Monthly Data'!CC99</f>
        <v>28</v>
      </c>
      <c r="K99" s="127">
        <f>'Large Use OLS Model'!$B$5</f>
        <v>-19707994.0131674</v>
      </c>
      <c r="L99" s="186">
        <f ca="1">'Large Use OLS Model'!$B$6*D99</f>
        <v>0</v>
      </c>
      <c r="M99" s="186">
        <f>'Large Use OLS Model'!$B$7*E99</f>
        <v>24222423.409872126</v>
      </c>
      <c r="N99" s="186">
        <v>0</v>
      </c>
      <c r="O99" s="186">
        <f>'Large Use OLS Model'!$B$8*G99</f>
        <v>0</v>
      </c>
      <c r="P99" s="186">
        <f>'Large Use OLS Model'!$B$9*H99</f>
        <v>0</v>
      </c>
      <c r="Q99" s="186">
        <f>'Large Use OLS Model'!$B$10*I99</f>
        <v>19308804.472017676</v>
      </c>
      <c r="R99">
        <f t="shared" ca="1" si="8"/>
        <v>23823233.868722402</v>
      </c>
    </row>
    <row r="100" spans="1:18">
      <c r="A100" s="26">
        <v>42795</v>
      </c>
      <c r="B100">
        <f t="shared" si="5"/>
        <v>2017</v>
      </c>
      <c r="C100" s="127">
        <f ca="1">'Monthly Data'!AE100</f>
        <v>24743226.817536149</v>
      </c>
      <c r="D100" s="127">
        <f t="shared" ca="1" si="7"/>
        <v>0.48</v>
      </c>
      <c r="E100" s="124">
        <f>'Monthly Data'!BJ100</f>
        <v>7071</v>
      </c>
      <c r="F100" s="127">
        <f>'Monthly Data'!BM100</f>
        <v>99</v>
      </c>
      <c r="G100" s="127">
        <f>'Monthly Data'!BT100</f>
        <v>0</v>
      </c>
      <c r="H100" s="127">
        <f>'Monthly Data'!BY100</f>
        <v>0</v>
      </c>
      <c r="I100" s="127">
        <f>'Monthly Data'!CC100</f>
        <v>31</v>
      </c>
      <c r="K100" s="127">
        <f>'Large Use OLS Model'!$B$5</f>
        <v>-19707994.0131674</v>
      </c>
      <c r="L100" s="186">
        <f ca="1">'Large Use OLS Model'!$B$6*D100</f>
        <v>12684.556414476479</v>
      </c>
      <c r="M100" s="186">
        <f>'Large Use OLS Model'!$B$7*E100</f>
        <v>24251576.061055686</v>
      </c>
      <c r="N100" s="186">
        <v>0</v>
      </c>
      <c r="O100" s="186">
        <f>'Large Use OLS Model'!$B$8*G100</f>
        <v>0</v>
      </c>
      <c r="P100" s="186">
        <f>'Large Use OLS Model'!$B$9*H100</f>
        <v>0</v>
      </c>
      <c r="Q100" s="186">
        <f>'Large Use OLS Model'!$B$10*I100</f>
        <v>21377604.951162424</v>
      </c>
      <c r="R100">
        <f t="shared" ca="1" si="8"/>
        <v>25933871.555465188</v>
      </c>
    </row>
    <row r="101" spans="1:18">
      <c r="A101" s="26">
        <v>42826</v>
      </c>
      <c r="B101">
        <f t="shared" si="5"/>
        <v>2017</v>
      </c>
      <c r="C101" s="127">
        <f ca="1">'Monthly Data'!AE101</f>
        <v>23949395.767536148</v>
      </c>
      <c r="D101" s="127">
        <f t="shared" ca="1" si="7"/>
        <v>2.63</v>
      </c>
      <c r="E101" s="124">
        <f>'Monthly Data'!BJ101</f>
        <v>7073.2</v>
      </c>
      <c r="F101" s="127">
        <f>'Monthly Data'!BM101</f>
        <v>100</v>
      </c>
      <c r="G101" s="127">
        <f>'Monthly Data'!BT101</f>
        <v>0</v>
      </c>
      <c r="H101" s="127">
        <f>'Monthly Data'!BY101</f>
        <v>0</v>
      </c>
      <c r="I101" s="127">
        <f>'Monthly Data'!CC101</f>
        <v>30</v>
      </c>
      <c r="K101" s="127">
        <f>'Large Use OLS Model'!$B$5</f>
        <v>-19707994.0131674</v>
      </c>
      <c r="L101" s="186">
        <f ca="1">'Large Use OLS Model'!$B$6*D101</f>
        <v>69500.798687652379</v>
      </c>
      <c r="M101" s="186">
        <f>'Large Use OLS Model'!$B$7*E101</f>
        <v>24259121.453126729</v>
      </c>
      <c r="N101" s="186">
        <v>0</v>
      </c>
      <c r="O101" s="186">
        <f>'Large Use OLS Model'!$B$8*G101</f>
        <v>0</v>
      </c>
      <c r="P101" s="186">
        <f>'Large Use OLS Model'!$B$9*H101</f>
        <v>0</v>
      </c>
      <c r="Q101" s="186">
        <f>'Large Use OLS Model'!$B$10*I101</f>
        <v>20688004.791447509</v>
      </c>
      <c r="R101">
        <f t="shared" ca="1" si="8"/>
        <v>25308633.030094489</v>
      </c>
    </row>
    <row r="102" spans="1:18">
      <c r="A102" s="26">
        <v>42856</v>
      </c>
      <c r="B102">
        <f t="shared" si="5"/>
        <v>2017</v>
      </c>
      <c r="C102" s="127">
        <f ca="1">'Monthly Data'!AE102</f>
        <v>25751167.427536149</v>
      </c>
      <c r="D102" s="127">
        <f t="shared" ca="1" si="7"/>
        <v>47.37</v>
      </c>
      <c r="E102" s="124">
        <f>'Monthly Data'!BJ102</f>
        <v>7076.2</v>
      </c>
      <c r="F102" s="127">
        <f>'Monthly Data'!BM102</f>
        <v>101</v>
      </c>
      <c r="G102" s="127">
        <f>'Monthly Data'!BT102</f>
        <v>0</v>
      </c>
      <c r="H102" s="127">
        <f>'Monthly Data'!BY102</f>
        <v>0</v>
      </c>
      <c r="I102" s="127">
        <f>'Monthly Data'!CC102</f>
        <v>31</v>
      </c>
      <c r="K102" s="127">
        <f>'Large Use OLS Model'!$B$5</f>
        <v>-19707994.0131674</v>
      </c>
      <c r="L102" s="186">
        <f ca="1">'Large Use OLS Model'!$B$6*D102</f>
        <v>1251807.1611536476</v>
      </c>
      <c r="M102" s="186">
        <f>'Large Use OLS Model'!$B$7*E102</f>
        <v>24269410.624132689</v>
      </c>
      <c r="N102" s="186">
        <v>0</v>
      </c>
      <c r="O102" s="186">
        <f>'Large Use OLS Model'!$B$8*G102</f>
        <v>0</v>
      </c>
      <c r="P102" s="186">
        <f>'Large Use OLS Model'!$B$9*H102</f>
        <v>0</v>
      </c>
      <c r="Q102" s="186">
        <f>'Large Use OLS Model'!$B$10*I102</f>
        <v>21377604.951162424</v>
      </c>
      <c r="R102">
        <f t="shared" ca="1" si="8"/>
        <v>27190828.723281361</v>
      </c>
    </row>
    <row r="103" spans="1:18">
      <c r="A103" s="26">
        <v>42887</v>
      </c>
      <c r="B103">
        <f t="shared" si="5"/>
        <v>2017</v>
      </c>
      <c r="C103" s="127">
        <f ca="1">'Monthly Data'!AE103</f>
        <v>28230853.497536149</v>
      </c>
      <c r="D103" s="127">
        <f t="shared" ca="1" si="7"/>
        <v>117.23999999999997</v>
      </c>
      <c r="E103" s="124">
        <f>'Monthly Data'!BJ103</f>
        <v>7082.2</v>
      </c>
      <c r="F103" s="127">
        <f>'Monthly Data'!BM103</f>
        <v>102</v>
      </c>
      <c r="G103" s="127">
        <f>'Monthly Data'!BT103</f>
        <v>0</v>
      </c>
      <c r="H103" s="127">
        <f>'Monthly Data'!BY103</f>
        <v>0</v>
      </c>
      <c r="I103" s="127">
        <f>'Monthly Data'!CC103</f>
        <v>30</v>
      </c>
      <c r="K103" s="127">
        <f>'Large Use OLS Model'!$B$5</f>
        <v>-19707994.0131674</v>
      </c>
      <c r="L103" s="186">
        <f ca="1">'Large Use OLS Model'!$B$6*D103</f>
        <v>3098202.9042358794</v>
      </c>
      <c r="M103" s="186">
        <f>'Large Use OLS Model'!$B$7*E103</f>
        <v>24289988.966144618</v>
      </c>
      <c r="N103" s="186">
        <v>0</v>
      </c>
      <c r="O103" s="186">
        <f>'Large Use OLS Model'!$B$8*G103</f>
        <v>0</v>
      </c>
      <c r="P103" s="186">
        <f>'Large Use OLS Model'!$B$9*H103</f>
        <v>0</v>
      </c>
      <c r="Q103" s="186">
        <f>'Large Use OLS Model'!$B$10*I103</f>
        <v>20688004.791447509</v>
      </c>
      <c r="R103">
        <f t="shared" ca="1" si="8"/>
        <v>28368202.648660608</v>
      </c>
    </row>
    <row r="104" spans="1:18">
      <c r="A104" s="26">
        <v>42917</v>
      </c>
      <c r="B104">
        <f t="shared" si="5"/>
        <v>2017</v>
      </c>
      <c r="C104" s="127">
        <f ca="1">'Monthly Data'!AE104</f>
        <v>29806897.697536148</v>
      </c>
      <c r="D104" s="127">
        <f t="shared" ca="1" si="7"/>
        <v>185.60999999999999</v>
      </c>
      <c r="E104" s="124">
        <f>'Monthly Data'!BJ104</f>
        <v>7098</v>
      </c>
      <c r="F104" s="127">
        <f>'Monthly Data'!BM104</f>
        <v>103</v>
      </c>
      <c r="G104" s="127">
        <f>'Monthly Data'!BT104</f>
        <v>1</v>
      </c>
      <c r="H104" s="127">
        <f>'Monthly Data'!BY104</f>
        <v>0</v>
      </c>
      <c r="I104" s="127">
        <f>'Monthly Data'!CC104</f>
        <v>31</v>
      </c>
      <c r="K104" s="127">
        <f>'Large Use OLS Model'!$B$5</f>
        <v>-19707994.0131674</v>
      </c>
      <c r="L104" s="186">
        <f ca="1">'Large Use OLS Model'!$B$6*D104</f>
        <v>4904959.4085228732</v>
      </c>
      <c r="M104" s="186">
        <f>'Large Use OLS Model'!$B$7*E104</f>
        <v>24344178.600109357</v>
      </c>
      <c r="N104" s="186">
        <v>0</v>
      </c>
      <c r="O104" s="186">
        <f>'Large Use OLS Model'!$B$8*G104</f>
        <v>-1563237.6990636101</v>
      </c>
      <c r="P104" s="186">
        <f>'Large Use OLS Model'!$B$9*H104</f>
        <v>0</v>
      </c>
      <c r="Q104" s="186">
        <f>'Large Use OLS Model'!$B$10*I104</f>
        <v>21377604.951162424</v>
      </c>
      <c r="R104">
        <f t="shared" ca="1" si="8"/>
        <v>29355511.247563645</v>
      </c>
    </row>
    <row r="105" spans="1:18">
      <c r="A105" s="26">
        <v>42948</v>
      </c>
      <c r="B105">
        <f t="shared" si="5"/>
        <v>2017</v>
      </c>
      <c r="C105" s="127">
        <f ca="1">'Monthly Data'!AE105</f>
        <v>28084142.757536147</v>
      </c>
      <c r="D105" s="127">
        <f t="shared" ca="1" si="7"/>
        <v>159.64000000000001</v>
      </c>
      <c r="E105" s="124">
        <f>'Monthly Data'!BJ105</f>
        <v>7118.8</v>
      </c>
      <c r="F105" s="127">
        <f>'Monthly Data'!BM105</f>
        <v>104</v>
      </c>
      <c r="G105" s="127">
        <f>'Monthly Data'!BT105</f>
        <v>0</v>
      </c>
      <c r="H105" s="127">
        <f>'Monthly Data'!BY105</f>
        <v>0</v>
      </c>
      <c r="I105" s="127">
        <f>'Monthly Data'!CC105</f>
        <v>31</v>
      </c>
      <c r="K105" s="127">
        <f>'Large Use OLS Model'!$B$5</f>
        <v>-19707994.0131674</v>
      </c>
      <c r="L105" s="186">
        <f ca="1">'Large Use OLS Model'!$B$6*D105</f>
        <v>4218672.0541813029</v>
      </c>
      <c r="M105" s="186">
        <f>'Large Use OLS Model'!$B$7*E105</f>
        <v>24415516.852417372</v>
      </c>
      <c r="N105" s="186">
        <v>0</v>
      </c>
      <c r="O105" s="186">
        <f>'Large Use OLS Model'!$B$8*G105</f>
        <v>0</v>
      </c>
      <c r="P105" s="186">
        <f>'Large Use OLS Model'!$B$9*H105</f>
        <v>0</v>
      </c>
      <c r="Q105" s="186">
        <f>'Large Use OLS Model'!$B$10*I105</f>
        <v>21377604.951162424</v>
      </c>
      <c r="R105">
        <f t="shared" ca="1" si="8"/>
        <v>30303799.8445937</v>
      </c>
    </row>
    <row r="106" spans="1:18">
      <c r="A106" s="26">
        <v>42979</v>
      </c>
      <c r="B106">
        <f t="shared" si="5"/>
        <v>2017</v>
      </c>
      <c r="C106" s="127">
        <f ca="1">'Monthly Data'!AE106</f>
        <v>27096573.647536147</v>
      </c>
      <c r="D106" s="127">
        <f t="shared" ca="1" si="7"/>
        <v>72.989999999999981</v>
      </c>
      <c r="E106" s="124">
        <f>'Monthly Data'!BJ106</f>
        <v>7148.9</v>
      </c>
      <c r="F106" s="127">
        <f>'Monthly Data'!BM106</f>
        <v>105</v>
      </c>
      <c r="G106" s="127">
        <f>'Monthly Data'!BT106</f>
        <v>0</v>
      </c>
      <c r="H106" s="127">
        <f>'Monthly Data'!BY106</f>
        <v>0</v>
      </c>
      <c r="I106" s="127">
        <f>'Monthly Data'!CC106</f>
        <v>30</v>
      </c>
      <c r="K106" s="127">
        <f>'Large Use OLS Model'!$B$5</f>
        <v>-19707994.0131674</v>
      </c>
      <c r="L106" s="186">
        <f ca="1">'Large Use OLS Model'!$B$6*D106</f>
        <v>1928845.3597763292</v>
      </c>
      <c r="M106" s="186">
        <f>'Large Use OLS Model'!$B$7*E106</f>
        <v>24518751.53484387</v>
      </c>
      <c r="N106" s="186">
        <v>0</v>
      </c>
      <c r="O106" s="186">
        <f>'Large Use OLS Model'!$B$8*G106</f>
        <v>0</v>
      </c>
      <c r="P106" s="186">
        <f>'Large Use OLS Model'!$B$9*H106</f>
        <v>0</v>
      </c>
      <c r="Q106" s="186">
        <f>'Large Use OLS Model'!$B$10*I106</f>
        <v>20688004.791447509</v>
      </c>
      <c r="R106">
        <f t="shared" ca="1" si="8"/>
        <v>27427607.672900308</v>
      </c>
    </row>
    <row r="107" spans="1:18">
      <c r="A107" s="26">
        <v>43009</v>
      </c>
      <c r="B107">
        <f t="shared" ref="B107:B133" si="9">YEAR(A107)</f>
        <v>2017</v>
      </c>
      <c r="C107" s="127">
        <f ca="1">'Monthly Data'!AE107</f>
        <v>26885972.587536149</v>
      </c>
      <c r="D107" s="127">
        <f t="shared" ca="1" si="7"/>
        <v>10.779999999999998</v>
      </c>
      <c r="E107" s="124">
        <f>'Monthly Data'!BJ107</f>
        <v>7168.4</v>
      </c>
      <c r="F107" s="127">
        <f>'Monthly Data'!BM107</f>
        <v>106</v>
      </c>
      <c r="G107" s="127">
        <f>'Monthly Data'!BT107</f>
        <v>0</v>
      </c>
      <c r="H107" s="127">
        <f>'Monthly Data'!BY107</f>
        <v>0</v>
      </c>
      <c r="I107" s="127">
        <f>'Monthly Data'!CC107</f>
        <v>31</v>
      </c>
      <c r="K107" s="127">
        <f>'Large Use OLS Model'!$B$5</f>
        <v>-19707994.0131674</v>
      </c>
      <c r="L107" s="186">
        <f ca="1">'Large Use OLS Model'!$B$6*D107</f>
        <v>284873.99614178424</v>
      </c>
      <c r="M107" s="186">
        <f>'Large Use OLS Model'!$B$7*E107</f>
        <v>24585631.14638263</v>
      </c>
      <c r="N107" s="186">
        <v>0</v>
      </c>
      <c r="O107" s="186">
        <f>'Large Use OLS Model'!$B$8*G107</f>
        <v>0</v>
      </c>
      <c r="P107" s="186">
        <f>'Large Use OLS Model'!$B$9*H107</f>
        <v>0</v>
      </c>
      <c r="Q107" s="186">
        <f>'Large Use OLS Model'!$B$10*I107</f>
        <v>21377604.951162424</v>
      </c>
      <c r="R107">
        <f t="shared" ca="1" si="8"/>
        <v>26540116.080519438</v>
      </c>
    </row>
    <row r="108" spans="1:18">
      <c r="A108" s="26">
        <v>43040</v>
      </c>
      <c r="B108">
        <f t="shared" si="9"/>
        <v>2017</v>
      </c>
      <c r="C108" s="127">
        <f ca="1">'Monthly Data'!AE108</f>
        <v>24700471.057536148</v>
      </c>
      <c r="D108" s="127">
        <f t="shared" ca="1" si="7"/>
        <v>0.05</v>
      </c>
      <c r="E108" s="124">
        <f>'Monthly Data'!BJ108</f>
        <v>7192.2</v>
      </c>
      <c r="F108" s="127">
        <f>'Monthly Data'!BM108</f>
        <v>107</v>
      </c>
      <c r="G108" s="127">
        <f>'Monthly Data'!BT108</f>
        <v>0</v>
      </c>
      <c r="H108" s="127">
        <f>'Monthly Data'!BY108</f>
        <v>0</v>
      </c>
      <c r="I108" s="127">
        <f>'Monthly Data'!CC108</f>
        <v>30</v>
      </c>
      <c r="K108" s="127">
        <f>'Large Use OLS Model'!$B$5</f>
        <v>-19707994.0131674</v>
      </c>
      <c r="L108" s="186">
        <f ca="1">'Large Use OLS Model'!$B$6*D108</f>
        <v>1321.3079598413001</v>
      </c>
      <c r="M108" s="186">
        <f>'Large Use OLS Model'!$B$7*E108</f>
        <v>24667258.569696609</v>
      </c>
      <c r="N108" s="186">
        <v>0</v>
      </c>
      <c r="O108" s="186">
        <f>'Large Use OLS Model'!$B$8*G108</f>
        <v>0</v>
      </c>
      <c r="P108" s="186">
        <f>'Large Use OLS Model'!$B$9*H108</f>
        <v>0</v>
      </c>
      <c r="Q108" s="186">
        <f>'Large Use OLS Model'!$B$10*I108</f>
        <v>20688004.791447509</v>
      </c>
      <c r="R108">
        <f t="shared" ca="1" si="8"/>
        <v>25648590.655936558</v>
      </c>
    </row>
    <row r="109" spans="1:18">
      <c r="A109" s="128">
        <v>43070</v>
      </c>
      <c r="B109" s="186">
        <f t="shared" si="9"/>
        <v>2017</v>
      </c>
      <c r="C109" s="186">
        <f ca="1">'Monthly Data'!AE109</f>
        <v>23760465.877536148</v>
      </c>
      <c r="D109" s="186">
        <f t="shared" ca="1" si="7"/>
        <v>0</v>
      </c>
      <c r="E109" s="124">
        <f>'Monthly Data'!BJ109</f>
        <v>7207.4</v>
      </c>
      <c r="F109" s="186">
        <f>'Monthly Data'!BM109</f>
        <v>108</v>
      </c>
      <c r="G109" s="186">
        <f>'Monthly Data'!BT109</f>
        <v>0</v>
      </c>
      <c r="H109" s="186">
        <f>'Monthly Data'!BY109</f>
        <v>1</v>
      </c>
      <c r="I109" s="186">
        <f>'Monthly Data'!CC109</f>
        <v>31</v>
      </c>
      <c r="J109" s="186"/>
      <c r="K109" s="186">
        <f>'Large Use OLS Model'!$B$5</f>
        <v>-19707994.0131674</v>
      </c>
      <c r="L109" s="186">
        <f ca="1">'Large Use OLS Model'!$B$6*D109</f>
        <v>0</v>
      </c>
      <c r="M109" s="186">
        <f>'Large Use OLS Model'!$B$7*E109</f>
        <v>24719390.369460154</v>
      </c>
      <c r="N109" s="186">
        <v>0</v>
      </c>
      <c r="O109" s="186">
        <f>'Large Use OLS Model'!$B$8*G109</f>
        <v>0</v>
      </c>
      <c r="P109" s="186">
        <f>'Large Use OLS Model'!$B$9*H109</f>
        <v>-2219022.2541699898</v>
      </c>
      <c r="Q109" s="186">
        <f>'Large Use OLS Model'!$B$10*I109</f>
        <v>21377604.951162424</v>
      </c>
      <c r="R109" s="186">
        <f t="shared" ref="R109:R121" ca="1" si="10">SUM(K109:Q109)</f>
        <v>24169979.053285189</v>
      </c>
    </row>
    <row r="110" spans="1:18">
      <c r="A110" s="128">
        <v>43101</v>
      </c>
      <c r="B110" s="186">
        <f t="shared" si="9"/>
        <v>2018</v>
      </c>
      <c r="C110" s="186">
        <f ca="1">'Monthly Data'!AE110</f>
        <v>25945759.032864273</v>
      </c>
      <c r="D110" s="186">
        <f t="shared" ca="1" si="7"/>
        <v>0</v>
      </c>
      <c r="E110" s="124">
        <f>'Monthly Data'!BJ110</f>
        <v>7166.6339368397712</v>
      </c>
      <c r="F110" s="186">
        <f>'Monthly Data'!BM110</f>
        <v>109</v>
      </c>
      <c r="G110" s="186">
        <f>'Monthly Data'!BT110</f>
        <v>0</v>
      </c>
      <c r="H110" s="186">
        <f>'Monthly Data'!BY110</f>
        <v>0</v>
      </c>
      <c r="I110" s="186">
        <f>'Monthly Data'!CC110</f>
        <v>31</v>
      </c>
      <c r="J110" s="186"/>
      <c r="K110" s="186">
        <f>'Large Use OLS Model'!$B$5</f>
        <v>-19707994.0131674</v>
      </c>
      <c r="L110" s="186">
        <f ca="1">'Large Use OLS Model'!$B$6*D110</f>
        <v>0</v>
      </c>
      <c r="M110" s="186">
        <f>'Large Use OLS Model'!$B$7*E110</f>
        <v>24579574.037761658</v>
      </c>
      <c r="N110" s="186">
        <v>0</v>
      </c>
      <c r="O110" s="186">
        <f>'Large Use OLS Model'!$B$8*G110</f>
        <v>0</v>
      </c>
      <c r="P110" s="186">
        <f>'Large Use OLS Model'!$B$9*H110</f>
        <v>0</v>
      </c>
      <c r="Q110" s="186">
        <f>'Large Use OLS Model'!$B$10*I110</f>
        <v>21377604.951162424</v>
      </c>
      <c r="R110" s="186">
        <f t="shared" ca="1" si="10"/>
        <v>26249184.975756682</v>
      </c>
    </row>
    <row r="111" spans="1:18">
      <c r="A111" s="128">
        <v>43132</v>
      </c>
      <c r="B111" s="186">
        <f t="shared" si="9"/>
        <v>2018</v>
      </c>
      <c r="C111" s="186">
        <f ca="1">'Monthly Data'!AE111</f>
        <v>23723363.452864274</v>
      </c>
      <c r="D111" s="186">
        <f t="shared" ca="1" si="7"/>
        <v>0</v>
      </c>
      <c r="E111" s="124">
        <f>'Monthly Data'!BJ111</f>
        <v>7119.8728643912718</v>
      </c>
      <c r="F111" s="186">
        <f>'Monthly Data'!BM111</f>
        <v>110</v>
      </c>
      <c r="G111" s="186">
        <f>'Monthly Data'!BT111</f>
        <v>0</v>
      </c>
      <c r="H111" s="186">
        <f>'Monthly Data'!BY111</f>
        <v>0</v>
      </c>
      <c r="I111" s="186">
        <f>'Monthly Data'!CC111</f>
        <v>28</v>
      </c>
      <c r="J111" s="186"/>
      <c r="K111" s="186">
        <f>'Large Use OLS Model'!$B$5</f>
        <v>-19707994.0131674</v>
      </c>
      <c r="L111" s="186">
        <f ca="1">'Large Use OLS Model'!$B$6*D111</f>
        <v>0</v>
      </c>
      <c r="M111" s="186">
        <f>'Large Use OLS Model'!$B$7*E111</f>
        <v>24419196.480813373</v>
      </c>
      <c r="N111" s="186">
        <v>0</v>
      </c>
      <c r="O111" s="186">
        <f>'Large Use OLS Model'!$B$8*G111</f>
        <v>0</v>
      </c>
      <c r="P111" s="186">
        <f>'Large Use OLS Model'!$B$9*H111</f>
        <v>0</v>
      </c>
      <c r="Q111" s="186">
        <f>'Large Use OLS Model'!$B$10*I111</f>
        <v>19308804.472017676</v>
      </c>
      <c r="R111" s="186">
        <f t="shared" ca="1" si="10"/>
        <v>24020006.939663649</v>
      </c>
    </row>
    <row r="112" spans="1:18">
      <c r="A112" s="128">
        <v>43160</v>
      </c>
      <c r="B112" s="186">
        <f t="shared" si="9"/>
        <v>2018</v>
      </c>
      <c r="C112" s="186">
        <f ca="1">'Monthly Data'!AE112</f>
        <v>27257041.482864272</v>
      </c>
      <c r="D112" s="186">
        <f t="shared" ca="1" si="7"/>
        <v>0.48</v>
      </c>
      <c r="E112" s="124">
        <f>'Monthly Data'!BJ112</f>
        <v>7076.4090470513211</v>
      </c>
      <c r="F112" s="186">
        <f>'Monthly Data'!BM112</f>
        <v>111</v>
      </c>
      <c r="G112" s="186">
        <f>'Monthly Data'!BT112</f>
        <v>0</v>
      </c>
      <c r="H112" s="186">
        <f>'Monthly Data'!BY112</f>
        <v>0</v>
      </c>
      <c r="I112" s="186">
        <f>'Monthly Data'!CC112</f>
        <v>31</v>
      </c>
      <c r="J112" s="186"/>
      <c r="K112" s="186">
        <f>'Large Use OLS Model'!$B$5</f>
        <v>-19707994.0131674</v>
      </c>
      <c r="L112" s="186">
        <f ca="1">'Large Use OLS Model'!$B$6*D112</f>
        <v>12684.556414476479</v>
      </c>
      <c r="M112" s="186">
        <f>'Large Use OLS Model'!$B$7*E112</f>
        <v>24270127.597752471</v>
      </c>
      <c r="N112" s="186">
        <v>0</v>
      </c>
      <c r="O112" s="186">
        <f>'Large Use OLS Model'!$B$8*G112</f>
        <v>0</v>
      </c>
      <c r="P112" s="186">
        <f>'Large Use OLS Model'!$B$9*H112</f>
        <v>0</v>
      </c>
      <c r="Q112" s="186">
        <f>'Large Use OLS Model'!$B$10*I112</f>
        <v>21377604.951162424</v>
      </c>
      <c r="R112" s="186">
        <f t="shared" ca="1" si="10"/>
        <v>25952423.092161972</v>
      </c>
    </row>
    <row r="113" spans="1:18">
      <c r="A113" s="128">
        <v>43191</v>
      </c>
      <c r="B113" s="186">
        <f t="shared" si="9"/>
        <v>2018</v>
      </c>
      <c r="C113" s="186">
        <f ca="1">'Monthly Data'!AE113</f>
        <v>25500957.362864275</v>
      </c>
      <c r="D113" s="186">
        <f t="shared" ca="1" si="7"/>
        <v>2.63</v>
      </c>
      <c r="E113" s="124">
        <f>'Monthly Data'!BJ113</f>
        <v>7102.4873374552917</v>
      </c>
      <c r="F113" s="186">
        <f>'Monthly Data'!BM113</f>
        <v>112</v>
      </c>
      <c r="G113" s="186">
        <f>'Monthly Data'!BT113</f>
        <v>0</v>
      </c>
      <c r="H113" s="186">
        <f>'Monthly Data'!BY113</f>
        <v>0</v>
      </c>
      <c r="I113" s="186">
        <f>'Monthly Data'!CC113</f>
        <v>30</v>
      </c>
      <c r="J113" s="186"/>
      <c r="K113" s="186">
        <f>'Large Use OLS Model'!$B$5</f>
        <v>-19707994.0131674</v>
      </c>
      <c r="L113" s="186">
        <f ca="1">'Large Use OLS Model'!$B$6*D113</f>
        <v>69500.798687652379</v>
      </c>
      <c r="M113" s="186">
        <f>'Large Use OLS Model'!$B$7*E113</f>
        <v>24359568.92758901</v>
      </c>
      <c r="N113" s="186">
        <v>0</v>
      </c>
      <c r="O113" s="186">
        <f>'Large Use OLS Model'!$B$8*G113</f>
        <v>0</v>
      </c>
      <c r="P113" s="186">
        <f>'Large Use OLS Model'!$B$9*H113</f>
        <v>0</v>
      </c>
      <c r="Q113" s="186">
        <f>'Large Use OLS Model'!$B$10*I113</f>
        <v>20688004.791447509</v>
      </c>
      <c r="R113" s="186">
        <f t="shared" ca="1" si="10"/>
        <v>25409080.504556771</v>
      </c>
    </row>
    <row r="114" spans="1:18">
      <c r="A114" s="128">
        <v>43221</v>
      </c>
      <c r="B114" s="186">
        <f t="shared" ref="B114:B121" si="11">YEAR(A114)</f>
        <v>2018</v>
      </c>
      <c r="C114" s="186">
        <f ca="1">'Monthly Data'!AE114</f>
        <v>29537487.852864273</v>
      </c>
      <c r="D114" s="186">
        <f t="shared" ca="1" si="7"/>
        <v>47.37</v>
      </c>
      <c r="E114" s="124">
        <f>'Monthly Data'!BJ114</f>
        <v>7168.7321900906645</v>
      </c>
      <c r="F114" s="186">
        <f>'Monthly Data'!BM114</f>
        <v>113</v>
      </c>
      <c r="G114" s="186">
        <f>'Monthly Data'!BT114</f>
        <v>0</v>
      </c>
      <c r="H114" s="186">
        <f>'Monthly Data'!BY114</f>
        <v>0</v>
      </c>
      <c r="I114" s="186">
        <f>'Monthly Data'!CC114</f>
        <v>31</v>
      </c>
      <c r="J114" s="186"/>
      <c r="K114" s="186">
        <f>'Large Use OLS Model'!$B$5</f>
        <v>-19707994.0131674</v>
      </c>
      <c r="L114" s="186">
        <f ca="1">'Large Use OLS Model'!$B$6*D114</f>
        <v>1251807.1611536476</v>
      </c>
      <c r="M114" s="186">
        <f>'Large Use OLS Model'!$B$7*E114</f>
        <v>24586770.466599077</v>
      </c>
      <c r="N114" s="186">
        <v>0</v>
      </c>
      <c r="O114" s="186">
        <f>'Large Use OLS Model'!$B$8*G114</f>
        <v>0</v>
      </c>
      <c r="P114" s="186">
        <f>'Large Use OLS Model'!$B$9*H114</f>
        <v>0</v>
      </c>
      <c r="Q114" s="186">
        <f>'Large Use OLS Model'!$B$10*I114</f>
        <v>21377604.951162424</v>
      </c>
      <c r="R114" s="186">
        <f t="shared" ca="1" si="10"/>
        <v>27508188.565747749</v>
      </c>
    </row>
    <row r="115" spans="1:18">
      <c r="A115" s="128">
        <v>43252</v>
      </c>
      <c r="B115" s="186">
        <f t="shared" si="11"/>
        <v>2018</v>
      </c>
      <c r="C115" s="186">
        <f ca="1">'Monthly Data'!AE115</f>
        <v>30656694.902864274</v>
      </c>
      <c r="D115" s="186">
        <f t="shared" ca="1" si="7"/>
        <v>117.23999999999997</v>
      </c>
      <c r="E115" s="124">
        <f>'Monthly Data'!BJ115</f>
        <v>7263.1535863809013</v>
      </c>
      <c r="F115" s="186">
        <f>'Monthly Data'!BM115</f>
        <v>114</v>
      </c>
      <c r="G115" s="186">
        <f>'Monthly Data'!BT115</f>
        <v>0</v>
      </c>
      <c r="H115" s="186">
        <f>'Monthly Data'!BY115</f>
        <v>0</v>
      </c>
      <c r="I115" s="186">
        <f>'Monthly Data'!CC115</f>
        <v>30</v>
      </c>
      <c r="J115" s="186"/>
      <c r="K115" s="186">
        <f>'Large Use OLS Model'!$B$5</f>
        <v>-19707994.0131674</v>
      </c>
      <c r="L115" s="186">
        <f ca="1">'Large Use OLS Model'!$B$6*D115</f>
        <v>3098202.9042358794</v>
      </c>
      <c r="M115" s="186">
        <f>'Large Use OLS Model'!$B$7*E115</f>
        <v>24910609.764283106</v>
      </c>
      <c r="N115" s="186">
        <v>0</v>
      </c>
      <c r="O115" s="186">
        <f>'Large Use OLS Model'!$B$8*G115</f>
        <v>0</v>
      </c>
      <c r="P115" s="186">
        <f>'Large Use OLS Model'!$B$9*H115</f>
        <v>0</v>
      </c>
      <c r="Q115" s="186">
        <f>'Large Use OLS Model'!$B$10*I115</f>
        <v>20688004.791447509</v>
      </c>
      <c r="R115" s="186">
        <f t="shared" ca="1" si="10"/>
        <v>28988823.446799092</v>
      </c>
    </row>
    <row r="116" spans="1:18">
      <c r="A116" s="128">
        <v>43282</v>
      </c>
      <c r="B116" s="186">
        <f t="shared" si="11"/>
        <v>2018</v>
      </c>
      <c r="C116" s="186">
        <f ca="1">'Monthly Data'!AE116</f>
        <v>30904161.792864271</v>
      </c>
      <c r="D116" s="186">
        <f t="shared" ca="1" si="7"/>
        <v>185.60999999999999</v>
      </c>
      <c r="E116" s="124">
        <f>'Monthly Data'!BJ116</f>
        <v>7346.3842986663703</v>
      </c>
      <c r="F116" s="186">
        <f>'Monthly Data'!BM116</f>
        <v>115</v>
      </c>
      <c r="G116" s="186">
        <f>'Monthly Data'!BT116</f>
        <v>1</v>
      </c>
      <c r="H116" s="186">
        <f>'Monthly Data'!BY116</f>
        <v>0</v>
      </c>
      <c r="I116" s="186">
        <f>'Monthly Data'!CC116</f>
        <v>31</v>
      </c>
      <c r="J116" s="186"/>
      <c r="K116" s="186">
        <f>'Large Use OLS Model'!$B$5</f>
        <v>-19707994.0131674</v>
      </c>
      <c r="L116" s="186">
        <f ca="1">'Large Use OLS Model'!$B$6*D116</f>
        <v>4904959.4085228732</v>
      </c>
      <c r="M116" s="186">
        <f>'Large Use OLS Model'!$B$7*E116</f>
        <v>25196068.108167548</v>
      </c>
      <c r="N116" s="186">
        <v>0</v>
      </c>
      <c r="O116" s="186">
        <f>'Large Use OLS Model'!$B$8*G116</f>
        <v>-1563237.6990636101</v>
      </c>
      <c r="P116" s="186">
        <f>'Large Use OLS Model'!$B$9*H116</f>
        <v>0</v>
      </c>
      <c r="Q116" s="186">
        <f>'Large Use OLS Model'!$B$10*I116</f>
        <v>21377604.951162424</v>
      </c>
      <c r="R116" s="186">
        <f t="shared" ca="1" si="10"/>
        <v>30207400.755621836</v>
      </c>
    </row>
    <row r="117" spans="1:18">
      <c r="A117" s="128">
        <v>43313</v>
      </c>
      <c r="B117" s="186">
        <f t="shared" si="11"/>
        <v>2018</v>
      </c>
      <c r="C117" s="186">
        <f ca="1">'Monthly Data'!AE117</f>
        <v>30192199.592864275</v>
      </c>
      <c r="D117" s="186">
        <f t="shared" ca="1" si="7"/>
        <v>159.64000000000001</v>
      </c>
      <c r="E117" s="124">
        <f>'Monthly Data'!BJ117</f>
        <v>7349.8813874178613</v>
      </c>
      <c r="F117" s="186">
        <f>'Monthly Data'!BM117</f>
        <v>116</v>
      </c>
      <c r="G117" s="186">
        <f>'Monthly Data'!BT117</f>
        <v>0</v>
      </c>
      <c r="H117" s="186">
        <f>'Monthly Data'!BY117</f>
        <v>0</v>
      </c>
      <c r="I117" s="186">
        <f>'Monthly Data'!CC117</f>
        <v>31</v>
      </c>
      <c r="J117" s="186"/>
      <c r="K117" s="186">
        <f>'Large Use OLS Model'!$B$5</f>
        <v>-19707994.0131674</v>
      </c>
      <c r="L117" s="186">
        <f ca="1">'Large Use OLS Model'!$B$6*D117</f>
        <v>4218672.0541813029</v>
      </c>
      <c r="M117" s="186">
        <f>'Large Use OLS Model'!$B$7*E117</f>
        <v>25208062.156229921</v>
      </c>
      <c r="N117" s="186">
        <v>0</v>
      </c>
      <c r="O117" s="186">
        <f>'Large Use OLS Model'!$B$8*G117</f>
        <v>0</v>
      </c>
      <c r="P117" s="186">
        <f>'Large Use OLS Model'!$B$9*H117</f>
        <v>0</v>
      </c>
      <c r="Q117" s="186">
        <f>'Large Use OLS Model'!$B$10*I117</f>
        <v>21377604.951162424</v>
      </c>
      <c r="R117" s="186">
        <f t="shared" ca="1" si="10"/>
        <v>31096345.148406249</v>
      </c>
    </row>
    <row r="118" spans="1:18">
      <c r="A118" s="128">
        <v>43344</v>
      </c>
      <c r="B118" s="186">
        <f t="shared" si="11"/>
        <v>2018</v>
      </c>
      <c r="C118" s="186">
        <f ca="1">'Monthly Data'!AE118</f>
        <v>28299525.392864272</v>
      </c>
      <c r="D118" s="186">
        <f t="shared" ca="1" si="7"/>
        <v>72.989999999999981</v>
      </c>
      <c r="E118" s="124">
        <f>'Monthly Data'!BJ118</f>
        <v>7309.115324257632</v>
      </c>
      <c r="F118" s="186">
        <f>'Monthly Data'!BM118</f>
        <v>117</v>
      </c>
      <c r="G118" s="186">
        <f>'Monthly Data'!BT118</f>
        <v>0</v>
      </c>
      <c r="H118" s="186">
        <f>'Monthly Data'!BY118</f>
        <v>0</v>
      </c>
      <c r="I118" s="186">
        <f>'Monthly Data'!CC118</f>
        <v>30</v>
      </c>
      <c r="J118" s="186"/>
      <c r="K118" s="186">
        <f>'Large Use OLS Model'!$B$5</f>
        <v>-19707994.0131674</v>
      </c>
      <c r="L118" s="186">
        <f ca="1">'Large Use OLS Model'!$B$6*D118</f>
        <v>1928845.3597763292</v>
      </c>
      <c r="M118" s="186">
        <f>'Large Use OLS Model'!$B$7*E118</f>
        <v>25068245.824531421</v>
      </c>
      <c r="N118" s="186">
        <v>0</v>
      </c>
      <c r="O118" s="186">
        <f>'Large Use OLS Model'!$B$8*G118</f>
        <v>0</v>
      </c>
      <c r="P118" s="186">
        <f>'Large Use OLS Model'!$B$9*H118</f>
        <v>0</v>
      </c>
      <c r="Q118" s="186">
        <f>'Large Use OLS Model'!$B$10*I118</f>
        <v>20688004.791447509</v>
      </c>
      <c r="R118" s="186">
        <f t="shared" ca="1" si="10"/>
        <v>27977101.962587859</v>
      </c>
    </row>
    <row r="119" spans="1:18">
      <c r="A119" s="128">
        <v>43374</v>
      </c>
      <c r="B119" s="186">
        <f t="shared" si="11"/>
        <v>2018</v>
      </c>
      <c r="C119" s="186">
        <f ca="1">'Monthly Data'!AE119</f>
        <v>25590231.122864276</v>
      </c>
      <c r="D119" s="186">
        <f t="shared" ca="1" si="7"/>
        <v>10.779999999999998</v>
      </c>
      <c r="E119" s="124">
        <f>'Monthly Data'!BJ119</f>
        <v>7268.3492610974017</v>
      </c>
      <c r="F119" s="186">
        <f>'Monthly Data'!BM119</f>
        <v>118</v>
      </c>
      <c r="G119" s="186">
        <f>'Monthly Data'!BT119</f>
        <v>0</v>
      </c>
      <c r="H119" s="186">
        <f>'Monthly Data'!BY119</f>
        <v>0</v>
      </c>
      <c r="I119" s="186">
        <f>'Monthly Data'!CC119</f>
        <v>31</v>
      </c>
      <c r="J119" s="186"/>
      <c r="K119" s="186">
        <f>'Large Use OLS Model'!$B$5</f>
        <v>-19707994.0131674</v>
      </c>
      <c r="L119" s="186">
        <f ca="1">'Large Use OLS Model'!$B$6*D119</f>
        <v>284873.99614178424</v>
      </c>
      <c r="M119" s="186">
        <f>'Large Use OLS Model'!$B$7*E119</f>
        <v>24928429.492832914</v>
      </c>
      <c r="N119" s="186">
        <v>0</v>
      </c>
      <c r="O119" s="186">
        <f>'Large Use OLS Model'!$B$8*G119</f>
        <v>0</v>
      </c>
      <c r="P119" s="186">
        <f>'Large Use OLS Model'!$B$9*H119</f>
        <v>0</v>
      </c>
      <c r="Q119" s="186">
        <f>'Large Use OLS Model'!$B$10*I119</f>
        <v>21377604.951162424</v>
      </c>
      <c r="R119" s="186">
        <f t="shared" ca="1" si="10"/>
        <v>26882914.426969722</v>
      </c>
    </row>
    <row r="120" spans="1:18">
      <c r="A120" s="128">
        <v>43405</v>
      </c>
      <c r="B120" s="186">
        <f t="shared" si="11"/>
        <v>2018</v>
      </c>
      <c r="C120" s="186">
        <f ca="1">'Monthly Data'!AE120</f>
        <v>23444500.422864273</v>
      </c>
      <c r="D120" s="186">
        <f t="shared" ca="1" si="7"/>
        <v>0.05</v>
      </c>
      <c r="E120" s="124">
        <f>'Monthly Data'!BJ120</f>
        <v>7272.9454348850759</v>
      </c>
      <c r="F120" s="186">
        <f>'Monthly Data'!BM120</f>
        <v>119</v>
      </c>
      <c r="G120" s="186">
        <f>'Monthly Data'!BT120</f>
        <v>0</v>
      </c>
      <c r="H120" s="186">
        <f>'Monthly Data'!BY120</f>
        <v>0</v>
      </c>
      <c r="I120" s="186">
        <f>'Monthly Data'!CC120</f>
        <v>30</v>
      </c>
      <c r="J120" s="186"/>
      <c r="K120" s="186">
        <f>'Large Use OLS Model'!$B$5</f>
        <v>-19707994.0131674</v>
      </c>
      <c r="L120" s="186">
        <f ca="1">'Large Use OLS Model'!$B$6*D120</f>
        <v>1321.3079598413001</v>
      </c>
      <c r="M120" s="186">
        <f>'Large Use OLS Model'!$B$7*E120</f>
        <v>24944193.098857749</v>
      </c>
      <c r="N120" s="186">
        <v>0</v>
      </c>
      <c r="O120" s="186">
        <f>'Large Use OLS Model'!$B$8*G120</f>
        <v>0</v>
      </c>
      <c r="P120" s="186">
        <f>'Large Use OLS Model'!$B$9*H120</f>
        <v>0</v>
      </c>
      <c r="Q120" s="186">
        <f>'Large Use OLS Model'!$B$10*I120</f>
        <v>20688004.791447509</v>
      </c>
      <c r="R120" s="186">
        <f t="shared" ca="1" si="10"/>
        <v>25925525.185097698</v>
      </c>
    </row>
    <row r="121" spans="1:18">
      <c r="A121" s="128">
        <v>43435</v>
      </c>
      <c r="B121" s="186">
        <f t="shared" si="11"/>
        <v>2018</v>
      </c>
      <c r="C121" s="186">
        <f ca="1">'Monthly Data'!AE121</f>
        <v>21912885.452864274</v>
      </c>
      <c r="D121" s="186">
        <f t="shared" ca="1" si="7"/>
        <v>0</v>
      </c>
      <c r="E121" s="124">
        <f>'Monthly Data'!BJ121</f>
        <v>7296.6257215737387</v>
      </c>
      <c r="F121" s="186">
        <f>'Monthly Data'!BM121</f>
        <v>120</v>
      </c>
      <c r="G121" s="186">
        <f>'Monthly Data'!BT121</f>
        <v>0</v>
      </c>
      <c r="H121" s="186">
        <f>'Monthly Data'!BY121</f>
        <v>1</v>
      </c>
      <c r="I121" s="186">
        <f>'Monthly Data'!CC121</f>
        <v>31</v>
      </c>
      <c r="J121" s="186"/>
      <c r="K121" s="186">
        <f>'Large Use OLS Model'!$B$5</f>
        <v>-19707994.0131674</v>
      </c>
      <c r="L121" s="186">
        <f ca="1">'Large Use OLS Model'!$B$6*D121</f>
        <v>0</v>
      </c>
      <c r="M121" s="186">
        <f>'Large Use OLS Model'!$B$7*E121</f>
        <v>25025409.938594382</v>
      </c>
      <c r="N121" s="186">
        <v>0</v>
      </c>
      <c r="O121" s="186">
        <f>'Large Use OLS Model'!$B$8*G121</f>
        <v>0</v>
      </c>
      <c r="P121" s="186">
        <f>'Large Use OLS Model'!$B$9*H121</f>
        <v>-2219022.2541699898</v>
      </c>
      <c r="Q121" s="186">
        <f>'Large Use OLS Model'!$B$10*I121</f>
        <v>21377604.951162424</v>
      </c>
      <c r="R121" s="186">
        <f t="shared" ca="1" si="10"/>
        <v>24475998.622419417</v>
      </c>
    </row>
    <row r="122" spans="1:18">
      <c r="A122" s="26">
        <v>43466</v>
      </c>
      <c r="B122">
        <f t="shared" si="9"/>
        <v>2019</v>
      </c>
      <c r="D122" s="127">
        <f t="shared" ca="1" si="7"/>
        <v>0</v>
      </c>
      <c r="E122" s="124">
        <f>E110*(1+Employment!$L$4)</f>
        <v>7341.4998048986618</v>
      </c>
      <c r="F122" s="127">
        <f t="shared" ref="F122:F145" si="12">F121+1</f>
        <v>121</v>
      </c>
      <c r="G122" s="127">
        <f t="shared" ref="G122:I122" si="13">G74</f>
        <v>0</v>
      </c>
      <c r="H122" s="127">
        <f t="shared" si="13"/>
        <v>0</v>
      </c>
      <c r="I122" s="127">
        <f t="shared" si="13"/>
        <v>31</v>
      </c>
      <c r="K122" s="127">
        <f>'Large Use OLS Model'!$B$5</f>
        <v>-19707994.0131674</v>
      </c>
      <c r="L122" s="186">
        <f ca="1">'Large Use OLS Model'!$B$6*D122</f>
        <v>0</v>
      </c>
      <c r="M122" s="186">
        <f>'Large Use OLS Model'!$B$7*E122</f>
        <v>25179315.644283041</v>
      </c>
      <c r="N122" s="186">
        <v>0</v>
      </c>
      <c r="O122" s="186">
        <f>'Large Use OLS Model'!$B$8*G122</f>
        <v>0</v>
      </c>
      <c r="P122" s="186">
        <f>'Large Use OLS Model'!$B$9*H122</f>
        <v>0</v>
      </c>
      <c r="Q122" s="186">
        <f>'Large Use OLS Model'!$B$10*I122</f>
        <v>21377604.951162424</v>
      </c>
      <c r="R122">
        <f t="shared" ref="R122:R133" ca="1" si="14">SUM(K122:Q122)</f>
        <v>26848926.582278065</v>
      </c>
    </row>
    <row r="123" spans="1:18">
      <c r="A123" s="26">
        <v>43497</v>
      </c>
      <c r="B123">
        <f t="shared" si="9"/>
        <v>2019</v>
      </c>
      <c r="D123" s="127">
        <f t="shared" ca="1" si="7"/>
        <v>0</v>
      </c>
      <c r="E123" s="124">
        <f>E111*(1+Employment!$L$4)</f>
        <v>7293.5977622824184</v>
      </c>
      <c r="F123" s="127">
        <f t="shared" si="12"/>
        <v>122</v>
      </c>
      <c r="G123" s="127">
        <f t="shared" ref="G123:I123" si="15">G75</f>
        <v>0</v>
      </c>
      <c r="H123" s="127">
        <f t="shared" si="15"/>
        <v>0</v>
      </c>
      <c r="I123" s="127">
        <f t="shared" si="15"/>
        <v>28</v>
      </c>
      <c r="K123" s="127">
        <f>'Large Use OLS Model'!$B$5</f>
        <v>-19707994.0131674</v>
      </c>
      <c r="L123" s="186">
        <f ca="1">'Large Use OLS Model'!$B$6*D123</f>
        <v>0</v>
      </c>
      <c r="M123" s="186">
        <f>'Large Use OLS Model'!$B$7*E123</f>
        <v>25015024.874945216</v>
      </c>
      <c r="N123" s="186">
        <v>0</v>
      </c>
      <c r="O123" s="186">
        <f>'Large Use OLS Model'!$B$8*G123</f>
        <v>0</v>
      </c>
      <c r="P123" s="186">
        <f>'Large Use OLS Model'!$B$9*H123</f>
        <v>0</v>
      </c>
      <c r="Q123" s="186">
        <f>'Large Use OLS Model'!$B$10*I123</f>
        <v>19308804.472017676</v>
      </c>
      <c r="R123">
        <f t="shared" ca="1" si="14"/>
        <v>24615835.333795492</v>
      </c>
    </row>
    <row r="124" spans="1:18">
      <c r="A124" s="26">
        <v>43525</v>
      </c>
      <c r="B124">
        <f t="shared" si="9"/>
        <v>2019</v>
      </c>
      <c r="D124" s="127">
        <f t="shared" ca="1" si="7"/>
        <v>0.48</v>
      </c>
      <c r="E124" s="124">
        <f>E112*(1+Employment!$L$4)</f>
        <v>7249.0734277993733</v>
      </c>
      <c r="F124" s="127">
        <f t="shared" si="12"/>
        <v>123</v>
      </c>
      <c r="G124" s="127">
        <f t="shared" ref="G124:I124" si="16">G76</f>
        <v>0</v>
      </c>
      <c r="H124" s="127">
        <f t="shared" si="16"/>
        <v>0</v>
      </c>
      <c r="I124" s="127">
        <f t="shared" si="16"/>
        <v>31</v>
      </c>
      <c r="K124" s="127">
        <f>'Large Use OLS Model'!$B$5</f>
        <v>-19707994.0131674</v>
      </c>
      <c r="L124" s="186">
        <f ca="1">'Large Use OLS Model'!$B$6*D124</f>
        <v>12684.556414476479</v>
      </c>
      <c r="M124" s="186">
        <f>'Large Use OLS Model'!$B$7*E124</f>
        <v>24862318.71113763</v>
      </c>
      <c r="N124" s="186">
        <v>0</v>
      </c>
      <c r="O124" s="186">
        <f>'Large Use OLS Model'!$B$8*G124</f>
        <v>0</v>
      </c>
      <c r="P124" s="186">
        <f>'Large Use OLS Model'!$B$9*H124</f>
        <v>0</v>
      </c>
      <c r="Q124" s="186">
        <f>'Large Use OLS Model'!$B$10*I124</f>
        <v>21377604.951162424</v>
      </c>
      <c r="R124">
        <f t="shared" ca="1" si="14"/>
        <v>26544614.205547132</v>
      </c>
    </row>
    <row r="125" spans="1:18">
      <c r="A125" s="26">
        <v>43556</v>
      </c>
      <c r="B125">
        <f t="shared" si="9"/>
        <v>2019</v>
      </c>
      <c r="D125" s="127">
        <f t="shared" ca="1" si="7"/>
        <v>2.63</v>
      </c>
      <c r="E125" s="124">
        <f>E113*(1+Employment!$L$4)</f>
        <v>7275.7880284892008</v>
      </c>
      <c r="F125" s="127">
        <f t="shared" si="12"/>
        <v>124</v>
      </c>
      <c r="G125" s="127">
        <f t="shared" ref="G125:I125" si="17">G77</f>
        <v>0</v>
      </c>
      <c r="H125" s="127">
        <f t="shared" si="17"/>
        <v>0</v>
      </c>
      <c r="I125" s="127">
        <f t="shared" si="17"/>
        <v>30</v>
      </c>
      <c r="K125" s="127">
        <f>'Large Use OLS Model'!$B$5</f>
        <v>-19707994.0131674</v>
      </c>
      <c r="L125" s="186">
        <f ca="1">'Large Use OLS Model'!$B$6*D125</f>
        <v>69500.798687652379</v>
      </c>
      <c r="M125" s="186">
        <f>'Large Use OLS Model'!$B$7*E125</f>
        <v>24953942.409422185</v>
      </c>
      <c r="N125" s="186">
        <v>0</v>
      </c>
      <c r="O125" s="186">
        <f>'Large Use OLS Model'!$B$8*G125</f>
        <v>0</v>
      </c>
      <c r="P125" s="186">
        <f>'Large Use OLS Model'!$B$9*H125</f>
        <v>0</v>
      </c>
      <c r="Q125" s="186">
        <f>'Large Use OLS Model'!$B$10*I125</f>
        <v>20688004.791447509</v>
      </c>
      <c r="R125">
        <f t="shared" ca="1" si="14"/>
        <v>26003453.986389946</v>
      </c>
    </row>
    <row r="126" spans="1:18">
      <c r="A126" s="26">
        <v>43586</v>
      </c>
      <c r="B126">
        <f t="shared" si="9"/>
        <v>2019</v>
      </c>
      <c r="D126" s="127">
        <f t="shared" ca="1" si="7"/>
        <v>47.37</v>
      </c>
      <c r="E126" s="124">
        <f>E114*(1+Employment!$L$4)</f>
        <v>7343.6492555288769</v>
      </c>
      <c r="F126" s="127">
        <f t="shared" si="12"/>
        <v>125</v>
      </c>
      <c r="G126" s="127">
        <f t="shared" ref="G126:I126" si="18">G78</f>
        <v>0</v>
      </c>
      <c r="H126" s="127">
        <f t="shared" si="18"/>
        <v>0</v>
      </c>
      <c r="I126" s="127">
        <f t="shared" si="18"/>
        <v>31</v>
      </c>
      <c r="K126" s="127">
        <f>'Large Use OLS Model'!$B$5</f>
        <v>-19707994.0131674</v>
      </c>
      <c r="L126" s="186">
        <f ca="1">'Large Use OLS Model'!$B$6*D126</f>
        <v>1251807.1611536476</v>
      </c>
      <c r="M126" s="186">
        <f>'Large Use OLS Model'!$B$7*E126</f>
        <v>25186687.665984094</v>
      </c>
      <c r="N126" s="186">
        <v>0</v>
      </c>
      <c r="O126" s="186">
        <f>'Large Use OLS Model'!$B$8*G126</f>
        <v>0</v>
      </c>
      <c r="P126" s="186">
        <f>'Large Use OLS Model'!$B$9*H126</f>
        <v>0</v>
      </c>
      <c r="Q126" s="186">
        <f>'Large Use OLS Model'!$B$10*I126</f>
        <v>21377604.951162424</v>
      </c>
      <c r="R126">
        <f t="shared" ca="1" si="14"/>
        <v>28108105.765132766</v>
      </c>
    </row>
    <row r="127" spans="1:18">
      <c r="A127" s="26">
        <v>43617</v>
      </c>
      <c r="B127">
        <f t="shared" si="9"/>
        <v>2019</v>
      </c>
      <c r="D127" s="127">
        <f t="shared" ca="1" si="7"/>
        <v>117.23999999999997</v>
      </c>
      <c r="E127" s="124">
        <f>E115*(1+Employment!$L$4)</f>
        <v>7440.3745338885947</v>
      </c>
      <c r="F127" s="127">
        <f t="shared" si="12"/>
        <v>126</v>
      </c>
      <c r="G127" s="127">
        <f t="shared" ref="G127:I127" si="19">G79</f>
        <v>0</v>
      </c>
      <c r="H127" s="127">
        <f t="shared" si="19"/>
        <v>0</v>
      </c>
      <c r="I127" s="127">
        <f t="shared" si="19"/>
        <v>30</v>
      </c>
      <c r="K127" s="127">
        <f>'Large Use OLS Model'!$B$5</f>
        <v>-19707994.0131674</v>
      </c>
      <c r="L127" s="186">
        <f ca="1">'Large Use OLS Model'!$B$6*D127</f>
        <v>3098202.9042358794</v>
      </c>
      <c r="M127" s="186">
        <f>'Large Use OLS Model'!$B$7*E127</f>
        <v>25518428.642531611</v>
      </c>
      <c r="N127" s="186">
        <v>0</v>
      </c>
      <c r="O127" s="186">
        <f>'Large Use OLS Model'!$B$8*G127</f>
        <v>0</v>
      </c>
      <c r="P127" s="186">
        <f>'Large Use OLS Model'!$B$9*H127</f>
        <v>0</v>
      </c>
      <c r="Q127" s="186">
        <f>'Large Use OLS Model'!$B$10*I127</f>
        <v>20688004.791447509</v>
      </c>
      <c r="R127">
        <f t="shared" ca="1" si="14"/>
        <v>29596642.325047597</v>
      </c>
    </row>
    <row r="128" spans="1:18">
      <c r="A128" s="26">
        <v>43647</v>
      </c>
      <c r="B128">
        <f t="shared" si="9"/>
        <v>2019</v>
      </c>
      <c r="D128" s="127">
        <f t="shared" ca="1" si="7"/>
        <v>185.60999999999999</v>
      </c>
      <c r="E128" s="124">
        <f>E116*(1+Employment!$L$4)</f>
        <v>7525.6360755538299</v>
      </c>
      <c r="F128" s="127">
        <f t="shared" si="12"/>
        <v>127</v>
      </c>
      <c r="G128" s="127">
        <f t="shared" ref="G128:I128" si="20">G80</f>
        <v>1</v>
      </c>
      <c r="H128" s="127">
        <f t="shared" si="20"/>
        <v>0</v>
      </c>
      <c r="I128" s="127">
        <f t="shared" si="20"/>
        <v>31</v>
      </c>
      <c r="K128" s="127">
        <f>'Large Use OLS Model'!$B$5</f>
        <v>-19707994.0131674</v>
      </c>
      <c r="L128" s="186">
        <f ca="1">'Large Use OLS Model'!$B$6*D128</f>
        <v>4904959.4085228732</v>
      </c>
      <c r="M128" s="186">
        <f>'Large Use OLS Model'!$B$7*E128</f>
        <v>25810852.170006834</v>
      </c>
      <c r="N128" s="186">
        <v>0</v>
      </c>
      <c r="O128" s="186">
        <f>'Large Use OLS Model'!$B$8*G128</f>
        <v>-1563237.6990636101</v>
      </c>
      <c r="P128" s="186">
        <f>'Large Use OLS Model'!$B$9*H128</f>
        <v>0</v>
      </c>
      <c r="Q128" s="186">
        <f>'Large Use OLS Model'!$B$10*I128</f>
        <v>21377604.951162424</v>
      </c>
      <c r="R128">
        <f t="shared" ca="1" si="14"/>
        <v>30822184.817461122</v>
      </c>
    </row>
    <row r="129" spans="1:18">
      <c r="A129" s="26">
        <v>43678</v>
      </c>
      <c r="B129">
        <f t="shared" si="9"/>
        <v>2019</v>
      </c>
      <c r="D129" s="127">
        <f t="shared" ca="1" si="7"/>
        <v>159.64000000000001</v>
      </c>
      <c r="E129" s="124">
        <f>E117*(1+Employment!$L$4)</f>
        <v>7529.2184932708569</v>
      </c>
      <c r="F129" s="127">
        <f t="shared" si="12"/>
        <v>128</v>
      </c>
      <c r="G129" s="127">
        <f t="shared" ref="G129:I129" si="21">G81</f>
        <v>0</v>
      </c>
      <c r="H129" s="127">
        <f t="shared" si="21"/>
        <v>0</v>
      </c>
      <c r="I129" s="127">
        <f t="shared" si="21"/>
        <v>31</v>
      </c>
      <c r="K129" s="127">
        <f>'Large Use OLS Model'!$B$5</f>
        <v>-19707994.0131674</v>
      </c>
      <c r="L129" s="186">
        <f ca="1">'Large Use OLS Model'!$B$6*D129</f>
        <v>4218672.0541813029</v>
      </c>
      <c r="M129" s="186">
        <f>'Large Use OLS Model'!$B$7*E129</f>
        <v>25823138.872841932</v>
      </c>
      <c r="N129" s="186">
        <v>0</v>
      </c>
      <c r="O129" s="186">
        <f>'Large Use OLS Model'!$B$8*G129</f>
        <v>0</v>
      </c>
      <c r="P129" s="186">
        <f>'Large Use OLS Model'!$B$9*H129</f>
        <v>0</v>
      </c>
      <c r="Q129" s="186">
        <f>'Large Use OLS Model'!$B$10*I129</f>
        <v>21377604.951162424</v>
      </c>
      <c r="R129">
        <f t="shared" ca="1" si="14"/>
        <v>31711421.86501826</v>
      </c>
    </row>
    <row r="130" spans="1:18">
      <c r="A130" s="26">
        <v>43709</v>
      </c>
      <c r="B130">
        <f t="shared" si="9"/>
        <v>2019</v>
      </c>
      <c r="D130" s="127">
        <f t="shared" ref="D130:D145" ca="1" si="22">D118</f>
        <v>72.989999999999981</v>
      </c>
      <c r="E130" s="124">
        <f>E118*(1+Employment!$L$4)</f>
        <v>7487.4577381695181</v>
      </c>
      <c r="F130" s="127">
        <f t="shared" si="12"/>
        <v>129</v>
      </c>
      <c r="G130" s="127">
        <f t="shared" ref="G130:I130" si="23">G82</f>
        <v>0</v>
      </c>
      <c r="H130" s="127">
        <f t="shared" si="23"/>
        <v>0</v>
      </c>
      <c r="I130" s="127">
        <f t="shared" si="23"/>
        <v>30</v>
      </c>
      <c r="K130" s="127">
        <f>'Large Use OLS Model'!$B$5</f>
        <v>-19707994.0131674</v>
      </c>
      <c r="L130" s="186">
        <f ca="1">'Large Use OLS Model'!$B$6*D130</f>
        <v>1928845.3597763292</v>
      </c>
      <c r="M130" s="186">
        <f>'Large Use OLS Model'!$B$7*E130</f>
        <v>25679911.022649985</v>
      </c>
      <c r="N130" s="186">
        <v>0</v>
      </c>
      <c r="O130" s="186">
        <f>'Large Use OLS Model'!$B$8*G130</f>
        <v>0</v>
      </c>
      <c r="P130" s="186">
        <f>'Large Use OLS Model'!$B$9*H130</f>
        <v>0</v>
      </c>
      <c r="Q130" s="186">
        <f>'Large Use OLS Model'!$B$10*I130</f>
        <v>20688004.791447509</v>
      </c>
      <c r="R130">
        <f t="shared" ca="1" si="14"/>
        <v>28588767.160706423</v>
      </c>
    </row>
    <row r="131" spans="1:18">
      <c r="A131" s="26">
        <v>43739</v>
      </c>
      <c r="B131">
        <f t="shared" si="9"/>
        <v>2019</v>
      </c>
      <c r="D131" s="127">
        <f t="shared" ca="1" si="22"/>
        <v>10.779999999999998</v>
      </c>
      <c r="E131" s="124">
        <f>E119*(1+Employment!$L$4)</f>
        <v>7445.6969830681783</v>
      </c>
      <c r="F131" s="127">
        <f t="shared" si="12"/>
        <v>130</v>
      </c>
      <c r="G131" s="127">
        <f t="shared" ref="G131:I131" si="24">G83</f>
        <v>0</v>
      </c>
      <c r="H131" s="127">
        <f t="shared" si="24"/>
        <v>0</v>
      </c>
      <c r="I131" s="127">
        <f t="shared" si="24"/>
        <v>31</v>
      </c>
      <c r="K131" s="127">
        <f>'Large Use OLS Model'!$B$5</f>
        <v>-19707994.0131674</v>
      </c>
      <c r="L131" s="186">
        <f ca="1">'Large Use OLS Model'!$B$6*D131</f>
        <v>284873.99614178424</v>
      </c>
      <c r="M131" s="186">
        <f>'Large Use OLS Model'!$B$7*E131</f>
        <v>25536683.172458038</v>
      </c>
      <c r="N131" s="186">
        <v>0</v>
      </c>
      <c r="O131" s="186">
        <f>'Large Use OLS Model'!$B$8*G131</f>
        <v>0</v>
      </c>
      <c r="P131" s="186">
        <f>'Large Use OLS Model'!$B$9*H131</f>
        <v>0</v>
      </c>
      <c r="Q131" s="186">
        <f>'Large Use OLS Model'!$B$10*I131</f>
        <v>21377604.951162424</v>
      </c>
      <c r="R131">
        <f t="shared" ca="1" si="14"/>
        <v>27491168.106594846</v>
      </c>
    </row>
    <row r="132" spans="1:18">
      <c r="A132" s="26">
        <v>43770</v>
      </c>
      <c r="B132">
        <f t="shared" si="9"/>
        <v>2019</v>
      </c>
      <c r="D132" s="127">
        <f t="shared" ca="1" si="22"/>
        <v>0.05</v>
      </c>
      <c r="E132" s="124">
        <f>E120*(1+Employment!$L$4)</f>
        <v>7450.4053034962717</v>
      </c>
      <c r="F132" s="127">
        <f t="shared" si="12"/>
        <v>131</v>
      </c>
      <c r="G132" s="127">
        <f t="shared" ref="G132:I132" si="25">G84</f>
        <v>0</v>
      </c>
      <c r="H132" s="127">
        <f t="shared" si="25"/>
        <v>0</v>
      </c>
      <c r="I132" s="127">
        <f t="shared" si="25"/>
        <v>30</v>
      </c>
      <c r="K132" s="127">
        <f>'Large Use OLS Model'!$B$5</f>
        <v>-19707994.0131674</v>
      </c>
      <c r="L132" s="186">
        <f ca="1">'Large Use OLS Model'!$B$6*D132</f>
        <v>1321.3079598413001</v>
      </c>
      <c r="M132" s="186">
        <f>'Large Use OLS Model'!$B$7*E132</f>
        <v>25552831.410469878</v>
      </c>
      <c r="N132" s="186">
        <v>0</v>
      </c>
      <c r="O132" s="186">
        <f>'Large Use OLS Model'!$B$8*G132</f>
        <v>0</v>
      </c>
      <c r="P132" s="186">
        <f>'Large Use OLS Model'!$B$9*H132</f>
        <v>0</v>
      </c>
      <c r="Q132" s="186">
        <f>'Large Use OLS Model'!$B$10*I132</f>
        <v>20688004.791447509</v>
      </c>
      <c r="R132">
        <f t="shared" ca="1" si="14"/>
        <v>26534163.496709827</v>
      </c>
    </row>
    <row r="133" spans="1:18">
      <c r="A133" s="26">
        <v>43800</v>
      </c>
      <c r="B133">
        <f t="shared" si="9"/>
        <v>2019</v>
      </c>
      <c r="D133" s="127">
        <f t="shared" ca="1" si="22"/>
        <v>0</v>
      </c>
      <c r="E133" s="124">
        <f>E121*(1+Employment!$L$4)</f>
        <v>7474.6633891801375</v>
      </c>
      <c r="F133" s="127">
        <f t="shared" si="12"/>
        <v>132</v>
      </c>
      <c r="G133" s="127">
        <f t="shared" ref="G133:I133" si="26">G85</f>
        <v>0</v>
      </c>
      <c r="H133" s="127">
        <f t="shared" si="26"/>
        <v>1</v>
      </c>
      <c r="I133" s="127">
        <f t="shared" si="26"/>
        <v>31</v>
      </c>
      <c r="K133" s="127">
        <f>'Large Use OLS Model'!$B$5</f>
        <v>-19707994.0131674</v>
      </c>
      <c r="L133" s="186">
        <f ca="1">'Large Use OLS Model'!$B$6*D133</f>
        <v>0</v>
      </c>
      <c r="M133" s="186">
        <f>'Large Use OLS Model'!$B$7*E133</f>
        <v>25636029.941096082</v>
      </c>
      <c r="N133" s="186">
        <v>0</v>
      </c>
      <c r="O133" s="186">
        <f>'Large Use OLS Model'!$B$8*G133</f>
        <v>0</v>
      </c>
      <c r="P133" s="186">
        <f>'Large Use OLS Model'!$B$9*H133</f>
        <v>-2219022.2541699898</v>
      </c>
      <c r="Q133" s="186">
        <f>'Large Use OLS Model'!$B$10*I133</f>
        <v>21377604.951162424</v>
      </c>
      <c r="R133">
        <f t="shared" ca="1" si="14"/>
        <v>25086618.624921117</v>
      </c>
    </row>
    <row r="134" spans="1:18">
      <c r="A134" s="128">
        <v>43831</v>
      </c>
      <c r="B134" s="127">
        <f t="shared" ref="B134:B145" si="27">YEAR(A134)</f>
        <v>2020</v>
      </c>
      <c r="C134" s="127"/>
      <c r="D134" s="127">
        <f t="shared" ca="1" si="22"/>
        <v>0</v>
      </c>
      <c r="E134" s="124">
        <f>E122*(1+Employment!$L$5)</f>
        <v>7417.8514028696072</v>
      </c>
      <c r="F134" s="127">
        <f t="shared" si="12"/>
        <v>133</v>
      </c>
      <c r="G134" s="127">
        <f t="shared" ref="G134:I134" si="28">G86</f>
        <v>0</v>
      </c>
      <c r="H134" s="127">
        <f t="shared" si="28"/>
        <v>0</v>
      </c>
      <c r="I134" s="127">
        <f t="shared" si="28"/>
        <v>31</v>
      </c>
      <c r="J134" s="127"/>
      <c r="K134" s="127">
        <f>'Large Use OLS Model'!$B$5</f>
        <v>-19707994.0131674</v>
      </c>
      <c r="L134" s="186">
        <f ca="1">'Large Use OLS Model'!$B$6*D134</f>
        <v>0</v>
      </c>
      <c r="M134" s="186">
        <f>'Large Use OLS Model'!$B$7*E134</f>
        <v>25441180.526983585</v>
      </c>
      <c r="N134" s="186">
        <v>0</v>
      </c>
      <c r="O134" s="186">
        <f>'Large Use OLS Model'!$B$8*G134</f>
        <v>0</v>
      </c>
      <c r="P134" s="186">
        <f>'Large Use OLS Model'!$B$9*H134</f>
        <v>0</v>
      </c>
      <c r="Q134" s="186">
        <f>'Large Use OLS Model'!$B$10*I134</f>
        <v>21377604.951162424</v>
      </c>
      <c r="R134" s="127">
        <f t="shared" ref="R134:R145" ca="1" si="29">SUM(K134:Q134)</f>
        <v>27110791.464978609</v>
      </c>
    </row>
    <row r="135" spans="1:18">
      <c r="A135" s="128">
        <v>43862</v>
      </c>
      <c r="B135" s="127">
        <f t="shared" si="27"/>
        <v>2020</v>
      </c>
      <c r="C135" s="127"/>
      <c r="D135" s="127">
        <f t="shared" ca="1" si="22"/>
        <v>0</v>
      </c>
      <c r="E135" s="124">
        <f>E123*(1+Employment!$L$5)</f>
        <v>7369.4511790101551</v>
      </c>
      <c r="F135" s="127">
        <f t="shared" si="12"/>
        <v>134</v>
      </c>
      <c r="G135" s="127">
        <f t="shared" ref="G135:I135" si="30">G87</f>
        <v>0</v>
      </c>
      <c r="H135" s="127">
        <f t="shared" si="30"/>
        <v>0</v>
      </c>
      <c r="I135" s="127">
        <f t="shared" si="30"/>
        <v>29</v>
      </c>
      <c r="J135" s="127"/>
      <c r="K135" s="127">
        <f>'Large Use OLS Model'!$B$5</f>
        <v>-19707994.0131674</v>
      </c>
      <c r="L135" s="186">
        <f ca="1">'Large Use OLS Model'!$B$6*D135</f>
        <v>0</v>
      </c>
      <c r="M135" s="186">
        <f>'Large Use OLS Model'!$B$7*E135</f>
        <v>25275181.133644648</v>
      </c>
      <c r="N135" s="186">
        <v>0</v>
      </c>
      <c r="O135" s="186">
        <f>'Large Use OLS Model'!$B$8*G135</f>
        <v>0</v>
      </c>
      <c r="P135" s="186">
        <f>'Large Use OLS Model'!$B$9*H135</f>
        <v>0</v>
      </c>
      <c r="Q135" s="186">
        <f>'Large Use OLS Model'!$B$10*I135</f>
        <v>19998404.63173259</v>
      </c>
      <c r="R135" s="127">
        <f t="shared" ca="1" si="29"/>
        <v>25565591.752209838</v>
      </c>
    </row>
    <row r="136" spans="1:18">
      <c r="A136" s="128">
        <v>43891</v>
      </c>
      <c r="B136" s="127">
        <f t="shared" si="27"/>
        <v>2020</v>
      </c>
      <c r="C136" s="127"/>
      <c r="D136" s="127">
        <f t="shared" ca="1" si="22"/>
        <v>0.48</v>
      </c>
      <c r="E136" s="124">
        <f>E124*(1+Employment!$L$5)</f>
        <v>7324.4637914484865</v>
      </c>
      <c r="F136" s="127">
        <f t="shared" si="12"/>
        <v>135</v>
      </c>
      <c r="G136" s="127">
        <f t="shared" ref="G136:I136" si="31">G88</f>
        <v>0</v>
      </c>
      <c r="H136" s="127">
        <f t="shared" si="31"/>
        <v>0</v>
      </c>
      <c r="I136" s="127">
        <f t="shared" si="31"/>
        <v>31</v>
      </c>
      <c r="J136" s="127"/>
      <c r="K136" s="127">
        <f>'Large Use OLS Model'!$B$5</f>
        <v>-19707994.0131674</v>
      </c>
      <c r="L136" s="186">
        <f ca="1">'Large Use OLS Model'!$B$6*D136</f>
        <v>12684.556414476479</v>
      </c>
      <c r="M136" s="186">
        <f>'Large Use OLS Model'!$B$7*E136</f>
        <v>25120886.82573346</v>
      </c>
      <c r="N136" s="186">
        <v>0</v>
      </c>
      <c r="O136" s="186">
        <f>'Large Use OLS Model'!$B$8*G136</f>
        <v>0</v>
      </c>
      <c r="P136" s="186">
        <f>'Large Use OLS Model'!$B$9*H136</f>
        <v>0</v>
      </c>
      <c r="Q136" s="186">
        <f>'Large Use OLS Model'!$B$10*I136</f>
        <v>21377604.951162424</v>
      </c>
      <c r="R136" s="127">
        <f t="shared" ca="1" si="29"/>
        <v>26803182.320142962</v>
      </c>
    </row>
    <row r="137" spans="1:18">
      <c r="A137" s="128">
        <v>43922</v>
      </c>
      <c r="B137" s="127">
        <f t="shared" si="27"/>
        <v>2020</v>
      </c>
      <c r="C137" s="127"/>
      <c r="D137" s="127">
        <f t="shared" ca="1" si="22"/>
        <v>2.63</v>
      </c>
      <c r="E137" s="124">
        <f>E125*(1+Employment!$L$5)</f>
        <v>7351.4562239854886</v>
      </c>
      <c r="F137" s="127">
        <f t="shared" si="12"/>
        <v>136</v>
      </c>
      <c r="G137" s="127">
        <f t="shared" ref="G137:I137" si="32">G89</f>
        <v>0</v>
      </c>
      <c r="H137" s="127">
        <f t="shared" si="32"/>
        <v>0</v>
      </c>
      <c r="I137" s="127">
        <f t="shared" si="32"/>
        <v>30</v>
      </c>
      <c r="J137" s="127"/>
      <c r="K137" s="127">
        <f>'Large Use OLS Model'!$B$5</f>
        <v>-19707994.0131674</v>
      </c>
      <c r="L137" s="186">
        <f ca="1">'Large Use OLS Model'!$B$6*D137</f>
        <v>69500.798687652379</v>
      </c>
      <c r="M137" s="186">
        <f>'Large Use OLS Model'!$B$7*E137</f>
        <v>25213463.410480175</v>
      </c>
      <c r="N137" s="186">
        <v>0</v>
      </c>
      <c r="O137" s="186">
        <f>'Large Use OLS Model'!$B$8*G137</f>
        <v>0</v>
      </c>
      <c r="P137" s="186">
        <f>'Large Use OLS Model'!$B$9*H137</f>
        <v>0</v>
      </c>
      <c r="Q137" s="186">
        <f>'Large Use OLS Model'!$B$10*I137</f>
        <v>20688004.791447509</v>
      </c>
      <c r="R137" s="127">
        <f t="shared" ca="1" si="29"/>
        <v>26262974.987447936</v>
      </c>
    </row>
    <row r="138" spans="1:18">
      <c r="A138" s="128">
        <v>43952</v>
      </c>
      <c r="B138" s="127">
        <f t="shared" si="27"/>
        <v>2020</v>
      </c>
      <c r="C138" s="127"/>
      <c r="D138" s="127">
        <f t="shared" ca="1" si="22"/>
        <v>47.37</v>
      </c>
      <c r="E138" s="124">
        <f>E126*(1+Employment!$L$5)</f>
        <v>7420.0232077863766</v>
      </c>
      <c r="F138" s="127">
        <f t="shared" si="12"/>
        <v>137</v>
      </c>
      <c r="G138" s="127">
        <f t="shared" ref="G138:I138" si="33">G90</f>
        <v>0</v>
      </c>
      <c r="H138" s="127">
        <f t="shared" si="33"/>
        <v>0</v>
      </c>
      <c r="I138" s="127">
        <f t="shared" si="33"/>
        <v>31</v>
      </c>
      <c r="J138" s="127"/>
      <c r="K138" s="127">
        <f>'Large Use OLS Model'!$B$5</f>
        <v>-19707994.0131674</v>
      </c>
      <c r="L138" s="186">
        <f ca="1">'Large Use OLS Model'!$B$6*D138</f>
        <v>1251807.1611536476</v>
      </c>
      <c r="M138" s="186">
        <f>'Large Use OLS Model'!$B$7*E138</f>
        <v>25448629.217710327</v>
      </c>
      <c r="N138" s="186">
        <v>0</v>
      </c>
      <c r="O138" s="186">
        <f>'Large Use OLS Model'!$B$8*G138</f>
        <v>0</v>
      </c>
      <c r="P138" s="186">
        <f>'Large Use OLS Model'!$B$9*H138</f>
        <v>0</v>
      </c>
      <c r="Q138" s="186">
        <f>'Large Use OLS Model'!$B$10*I138</f>
        <v>21377604.951162424</v>
      </c>
      <c r="R138" s="127">
        <f t="shared" ca="1" si="29"/>
        <v>28370047.316858999</v>
      </c>
    </row>
    <row r="139" spans="1:18">
      <c r="A139" s="128">
        <v>43983</v>
      </c>
      <c r="B139" s="127">
        <f t="shared" si="27"/>
        <v>2020</v>
      </c>
      <c r="C139" s="127"/>
      <c r="D139" s="127">
        <f t="shared" ca="1" si="22"/>
        <v>117.23999999999997</v>
      </c>
      <c r="E139" s="124">
        <f>E127*(1+Employment!$L$5)</f>
        <v>7517.754429041036</v>
      </c>
      <c r="F139" s="127">
        <f t="shared" si="12"/>
        <v>138</v>
      </c>
      <c r="G139" s="127">
        <f t="shared" ref="G139:I139" si="34">G91</f>
        <v>0</v>
      </c>
      <c r="H139" s="127">
        <f t="shared" si="34"/>
        <v>0</v>
      </c>
      <c r="I139" s="127">
        <f t="shared" si="34"/>
        <v>30</v>
      </c>
      <c r="J139" s="127"/>
      <c r="K139" s="127">
        <f>'Large Use OLS Model'!$B$5</f>
        <v>-19707994.0131674</v>
      </c>
      <c r="L139" s="186">
        <f ca="1">'Large Use OLS Model'!$B$6*D139</f>
        <v>3098202.9042358794</v>
      </c>
      <c r="M139" s="186">
        <f>'Large Use OLS Model'!$B$7*E139</f>
        <v>25783820.30041394</v>
      </c>
      <c r="N139" s="186">
        <v>0</v>
      </c>
      <c r="O139" s="186">
        <f>'Large Use OLS Model'!$B$8*G139</f>
        <v>0</v>
      </c>
      <c r="P139" s="186">
        <f>'Large Use OLS Model'!$B$9*H139</f>
        <v>0</v>
      </c>
      <c r="Q139" s="186">
        <f>'Large Use OLS Model'!$B$10*I139</f>
        <v>20688004.791447509</v>
      </c>
      <c r="R139" s="127">
        <f t="shared" ca="1" si="29"/>
        <v>29862033.98292993</v>
      </c>
    </row>
    <row r="140" spans="1:18">
      <c r="A140" s="128">
        <v>44013</v>
      </c>
      <c r="B140" s="127">
        <f t="shared" si="27"/>
        <v>2020</v>
      </c>
      <c r="C140" s="127"/>
      <c r="D140" s="127">
        <f t="shared" ca="1" si="22"/>
        <v>185.60999999999999</v>
      </c>
      <c r="E140" s="124">
        <f>E128*(1+Employment!$L$5)</f>
        <v>7603.9026907395892</v>
      </c>
      <c r="F140" s="127">
        <f t="shared" si="12"/>
        <v>139</v>
      </c>
      <c r="G140" s="127">
        <f t="shared" ref="G140:I140" si="35">G92</f>
        <v>1</v>
      </c>
      <c r="H140" s="127">
        <f t="shared" si="35"/>
        <v>0</v>
      </c>
      <c r="I140" s="127">
        <f t="shared" si="35"/>
        <v>31</v>
      </c>
      <c r="J140" s="127"/>
      <c r="K140" s="127">
        <f>'Large Use OLS Model'!$B$5</f>
        <v>-19707994.0131674</v>
      </c>
      <c r="L140" s="186">
        <f ca="1">'Large Use OLS Model'!$B$6*D140</f>
        <v>4904959.4085228732</v>
      </c>
      <c r="M140" s="186">
        <f>'Large Use OLS Model'!$B$7*E140</f>
        <v>26079285.032574903</v>
      </c>
      <c r="N140" s="186">
        <v>0</v>
      </c>
      <c r="O140" s="186">
        <f>'Large Use OLS Model'!$B$8*G140</f>
        <v>-1563237.6990636101</v>
      </c>
      <c r="P140" s="186">
        <f>'Large Use OLS Model'!$B$9*H140</f>
        <v>0</v>
      </c>
      <c r="Q140" s="186">
        <f>'Large Use OLS Model'!$B$10*I140</f>
        <v>21377604.951162424</v>
      </c>
      <c r="R140" s="127">
        <f t="shared" ca="1" si="29"/>
        <v>31090617.680029191</v>
      </c>
    </row>
    <row r="141" spans="1:18">
      <c r="A141" s="128">
        <v>44044</v>
      </c>
      <c r="B141" s="127">
        <f t="shared" si="27"/>
        <v>2020</v>
      </c>
      <c r="C141" s="127"/>
      <c r="D141" s="127">
        <f t="shared" ca="1" si="22"/>
        <v>159.64000000000001</v>
      </c>
      <c r="E141" s="124">
        <f>E129*(1+Employment!$L$5)</f>
        <v>7607.5223656008739</v>
      </c>
      <c r="F141" s="127">
        <f t="shared" si="12"/>
        <v>140</v>
      </c>
      <c r="G141" s="127">
        <f t="shared" ref="G141:I141" si="36">G93</f>
        <v>0</v>
      </c>
      <c r="H141" s="127">
        <f t="shared" si="36"/>
        <v>0</v>
      </c>
      <c r="I141" s="127">
        <f t="shared" si="36"/>
        <v>31</v>
      </c>
      <c r="J141" s="127"/>
      <c r="K141" s="127">
        <f>'Large Use OLS Model'!$B$5</f>
        <v>-19707994.0131674</v>
      </c>
      <c r="L141" s="186">
        <f ca="1">'Large Use OLS Model'!$B$6*D141</f>
        <v>4218672.0541813029</v>
      </c>
      <c r="M141" s="186">
        <f>'Large Use OLS Model'!$B$7*E141</f>
        <v>26091699.517119486</v>
      </c>
      <c r="N141" s="186">
        <v>0</v>
      </c>
      <c r="O141" s="186">
        <f>'Large Use OLS Model'!$B$8*G141</f>
        <v>0</v>
      </c>
      <c r="P141" s="186">
        <f>'Large Use OLS Model'!$B$9*H141</f>
        <v>0</v>
      </c>
      <c r="Q141" s="186">
        <f>'Large Use OLS Model'!$B$10*I141</f>
        <v>21377604.951162424</v>
      </c>
      <c r="R141" s="127">
        <f t="shared" ca="1" si="29"/>
        <v>31979982.509295814</v>
      </c>
    </row>
    <row r="142" spans="1:18">
      <c r="A142" s="128">
        <v>44075</v>
      </c>
      <c r="B142" s="127">
        <f t="shared" si="27"/>
        <v>2020</v>
      </c>
      <c r="C142" s="127"/>
      <c r="D142" s="127">
        <f t="shared" ca="1" si="22"/>
        <v>72.989999999999981</v>
      </c>
      <c r="E142" s="124">
        <f>E130*(1+Employment!$L$5)</f>
        <v>7565.3272986464808</v>
      </c>
      <c r="F142" s="127">
        <f t="shared" si="12"/>
        <v>141</v>
      </c>
      <c r="G142" s="127">
        <f t="shared" ref="G142:I142" si="37">G94</f>
        <v>0</v>
      </c>
      <c r="H142" s="127">
        <f t="shared" si="37"/>
        <v>0</v>
      </c>
      <c r="I142" s="127">
        <f t="shared" si="37"/>
        <v>30</v>
      </c>
      <c r="J142" s="127"/>
      <c r="K142" s="127">
        <f>'Large Use OLS Model'!$B$5</f>
        <v>-19707994.0131674</v>
      </c>
      <c r="L142" s="186">
        <f ca="1">'Large Use OLS Model'!$B$6*D142</f>
        <v>1928845.3597763292</v>
      </c>
      <c r="M142" s="186">
        <f>'Large Use OLS Model'!$B$7*E142</f>
        <v>25946982.097285546</v>
      </c>
      <c r="N142" s="186">
        <v>0</v>
      </c>
      <c r="O142" s="186">
        <f>'Large Use OLS Model'!$B$8*G142</f>
        <v>0</v>
      </c>
      <c r="P142" s="186">
        <f>'Large Use OLS Model'!$B$9*H142</f>
        <v>0</v>
      </c>
      <c r="Q142" s="186">
        <f>'Large Use OLS Model'!$B$10*I142</f>
        <v>20688004.791447509</v>
      </c>
      <c r="R142" s="127">
        <f t="shared" ca="1" si="29"/>
        <v>28855838.235341985</v>
      </c>
    </row>
    <row r="143" spans="1:18">
      <c r="A143" s="128">
        <v>44105</v>
      </c>
      <c r="B143" s="127">
        <f t="shared" si="27"/>
        <v>2020</v>
      </c>
      <c r="C143" s="127"/>
      <c r="D143" s="127">
        <f t="shared" ca="1" si="22"/>
        <v>10.779999999999998</v>
      </c>
      <c r="E143" s="124">
        <f>E131*(1+Employment!$L$5)</f>
        <v>7523.1322316920869</v>
      </c>
      <c r="F143" s="127">
        <f t="shared" si="12"/>
        <v>142</v>
      </c>
      <c r="G143" s="127">
        <f t="shared" ref="G143:I143" si="38">G95</f>
        <v>0</v>
      </c>
      <c r="H143" s="127">
        <f t="shared" si="38"/>
        <v>0</v>
      </c>
      <c r="I143" s="127">
        <f t="shared" si="38"/>
        <v>31</v>
      </c>
      <c r="J143" s="127"/>
      <c r="K143" s="127">
        <f>'Large Use OLS Model'!$B$5</f>
        <v>-19707994.0131674</v>
      </c>
      <c r="L143" s="186">
        <f ca="1">'Large Use OLS Model'!$B$6*D143</f>
        <v>284873.99614178424</v>
      </c>
      <c r="M143" s="186">
        <f>'Large Use OLS Model'!$B$7*E143</f>
        <v>25802264.677451599</v>
      </c>
      <c r="N143" s="186">
        <v>0</v>
      </c>
      <c r="O143" s="186">
        <f>'Large Use OLS Model'!$B$8*G143</f>
        <v>0</v>
      </c>
      <c r="P143" s="186">
        <f>'Large Use OLS Model'!$B$9*H143</f>
        <v>0</v>
      </c>
      <c r="Q143" s="186">
        <f>'Large Use OLS Model'!$B$10*I143</f>
        <v>21377604.951162424</v>
      </c>
      <c r="R143" s="127">
        <f t="shared" ca="1" si="29"/>
        <v>27756749.611588407</v>
      </c>
    </row>
    <row r="144" spans="1:18">
      <c r="A144" s="128">
        <v>44136</v>
      </c>
      <c r="B144" s="127">
        <f t="shared" si="27"/>
        <v>2020</v>
      </c>
      <c r="C144" s="127"/>
      <c r="D144" s="127">
        <f t="shared" ca="1" si="22"/>
        <v>0.05</v>
      </c>
      <c r="E144" s="124">
        <f>E132*(1+Employment!$L$5)</f>
        <v>7527.8895186526324</v>
      </c>
      <c r="F144" s="127">
        <f t="shared" si="12"/>
        <v>143</v>
      </c>
      <c r="G144" s="127">
        <f t="shared" ref="G144:I144" si="39">G96</f>
        <v>0</v>
      </c>
      <c r="H144" s="127">
        <f t="shared" si="39"/>
        <v>0</v>
      </c>
      <c r="I144" s="127">
        <f t="shared" si="39"/>
        <v>30</v>
      </c>
      <c r="J144" s="127"/>
      <c r="K144" s="127">
        <f>'Large Use OLS Model'!$B$5</f>
        <v>-19707994.0131674</v>
      </c>
      <c r="L144" s="186">
        <f ca="1">'Large Use OLS Model'!$B$6*D144</f>
        <v>1321.3079598413001</v>
      </c>
      <c r="M144" s="186">
        <f>'Large Use OLS Model'!$B$7*E144</f>
        <v>25818580.857138764</v>
      </c>
      <c r="N144" s="186">
        <v>0</v>
      </c>
      <c r="O144" s="186">
        <f>'Large Use OLS Model'!$B$8*G144</f>
        <v>0</v>
      </c>
      <c r="P144" s="186">
        <f>'Large Use OLS Model'!$B$9*H144</f>
        <v>0</v>
      </c>
      <c r="Q144" s="186">
        <f>'Large Use OLS Model'!$B$10*I144</f>
        <v>20688004.791447509</v>
      </c>
      <c r="R144" s="127">
        <f t="shared" ca="1" si="29"/>
        <v>26799912.943378713</v>
      </c>
    </row>
    <row r="145" spans="1:18">
      <c r="A145" s="128">
        <v>44166</v>
      </c>
      <c r="B145" s="127">
        <f t="shared" si="27"/>
        <v>2020</v>
      </c>
      <c r="C145" s="127"/>
      <c r="D145" s="127">
        <f t="shared" ca="1" si="22"/>
        <v>0</v>
      </c>
      <c r="E145" s="124">
        <f>E133*(1+Employment!$L$5)</f>
        <v>7552.3998884276107</v>
      </c>
      <c r="F145" s="127">
        <f t="shared" si="12"/>
        <v>144</v>
      </c>
      <c r="G145" s="127">
        <f t="shared" ref="G145:I145" si="40">G97</f>
        <v>0</v>
      </c>
      <c r="H145" s="127">
        <f t="shared" si="40"/>
        <v>1</v>
      </c>
      <c r="I145" s="127">
        <f t="shared" si="40"/>
        <v>31</v>
      </c>
      <c r="J145" s="127"/>
      <c r="K145" s="127">
        <f>'Large Use OLS Model'!$B$5</f>
        <v>-19707994.0131674</v>
      </c>
      <c r="L145" s="186">
        <f ca="1">'Large Use OLS Model'!$B$6*D145</f>
        <v>0</v>
      </c>
      <c r="M145" s="186">
        <f>'Large Use OLS Model'!$B$7*E145</f>
        <v>25902644.652483482</v>
      </c>
      <c r="N145" s="186">
        <v>0</v>
      </c>
      <c r="O145" s="186">
        <f>'Large Use OLS Model'!$B$8*G145</f>
        <v>0</v>
      </c>
      <c r="P145" s="186">
        <f>'Large Use OLS Model'!$B$9*H145</f>
        <v>-2219022.2541699898</v>
      </c>
      <c r="Q145" s="186">
        <f>'Large Use OLS Model'!$B$10*I145</f>
        <v>21377604.951162424</v>
      </c>
      <c r="R145" s="127">
        <f t="shared" ca="1" si="29"/>
        <v>25353233.336308517</v>
      </c>
    </row>
    <row r="150" spans="1:18">
      <c r="R150" s="155"/>
    </row>
    <row r="151" spans="1:18">
      <c r="R151" s="155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ED7EE-7505-43D3-881C-BBA6B97BAE12}">
  <dimension ref="A1:R150"/>
  <sheetViews>
    <sheetView topLeftCell="A80" workbookViewId="0">
      <selection activeCell="C90" sqref="C90"/>
    </sheetView>
  </sheetViews>
  <sheetFormatPr defaultRowHeight="12.75"/>
  <cols>
    <col min="1" max="1" width="10.33203125" style="186" bestFit="1" customWidth="1"/>
    <col min="2" max="2" width="5" style="186" bestFit="1" customWidth="1"/>
    <col min="3" max="3" width="21.1640625" style="186" customWidth="1"/>
    <col min="4" max="4" width="6" style="186" bestFit="1" customWidth="1"/>
    <col min="5" max="5" width="12.1640625" style="186" bestFit="1" customWidth="1"/>
    <col min="6" max="6" width="9" style="186" bestFit="1" customWidth="1"/>
    <col min="7" max="7" width="3.83203125" style="186" bestFit="1" customWidth="1"/>
    <col min="8" max="8" width="10.1640625" style="186" bestFit="1" customWidth="1"/>
    <col min="9" max="9" width="5.33203125" style="186" bestFit="1" customWidth="1"/>
    <col min="10" max="10" width="9.33203125" style="186"/>
    <col min="11" max="11" width="12.6640625" style="186" bestFit="1" customWidth="1"/>
    <col min="12" max="12" width="12" style="186" bestFit="1" customWidth="1"/>
    <col min="13" max="13" width="15.1640625" style="186" bestFit="1" customWidth="1"/>
    <col min="14" max="15" width="12.6640625" style="186" bestFit="1" customWidth="1"/>
    <col min="16" max="16" width="12" style="186" bestFit="1" customWidth="1"/>
    <col min="17" max="17" width="12.6640625" style="186" bestFit="1" customWidth="1"/>
    <col min="18" max="18" width="12" style="186" bestFit="1" customWidth="1"/>
    <col min="19" max="16384" width="9.33203125" style="186"/>
  </cols>
  <sheetData>
    <row r="1" spans="1:18">
      <c r="A1" s="186" t="s">
        <v>123</v>
      </c>
      <c r="B1" s="186" t="s">
        <v>124</v>
      </c>
      <c r="C1" s="124" t="str">
        <f>'Monthly Data'!AQ1</f>
        <v>Large_Use_LC_kWh_NO_CDM</v>
      </c>
      <c r="D1" s="186" t="str">
        <f>'Monthly Data'!BI1</f>
        <v>CDD</v>
      </c>
      <c r="E1" s="124" t="str">
        <f>'Monthly Data'!BJ1</f>
        <v>Ont_Empl</v>
      </c>
      <c r="F1" s="186" t="str">
        <f>'Monthly Data'!BM1</f>
        <v>Trend</v>
      </c>
      <c r="G1" s="186" t="str">
        <f>'Monthly Data'!BT1</f>
        <v>Jul</v>
      </c>
      <c r="H1" s="186" t="str">
        <f>'Monthly Data'!BY1</f>
        <v>Dec</v>
      </c>
      <c r="I1" s="186" t="str">
        <f>'Monthly Data'!CC1</f>
        <v>Month Days</v>
      </c>
      <c r="K1" s="186" t="s">
        <v>91</v>
      </c>
      <c r="L1" s="186" t="str">
        <f t="shared" ref="L1:Q1" si="0">D1</f>
        <v>CDD</v>
      </c>
      <c r="M1" s="186" t="str">
        <f t="shared" si="0"/>
        <v>Ont_Empl</v>
      </c>
      <c r="N1" s="186" t="str">
        <f t="shared" si="0"/>
        <v>Trend</v>
      </c>
      <c r="O1" s="186" t="str">
        <f t="shared" si="0"/>
        <v>Jul</v>
      </c>
      <c r="P1" s="186" t="str">
        <f t="shared" si="0"/>
        <v>Dec</v>
      </c>
      <c r="Q1" s="186" t="str">
        <f t="shared" si="0"/>
        <v>Month Days</v>
      </c>
      <c r="R1" s="186" t="s">
        <v>125</v>
      </c>
    </row>
    <row r="2" spans="1:18">
      <c r="A2" s="128">
        <f>'Monthly Data'!A2</f>
        <v>39814</v>
      </c>
      <c r="B2" s="186">
        <f t="shared" ref="B2:B65" si="1">YEAR(A2)</f>
        <v>2009</v>
      </c>
      <c r="C2" s="124">
        <f ca="1">'Monthly Data'!AQ2</f>
        <v>22028250.725647919</v>
      </c>
      <c r="D2" s="186">
        <f ca="1">Weather!H69</f>
        <v>0</v>
      </c>
      <c r="E2" s="124">
        <f>'Monthly Data'!BJ2</f>
        <v>6541.6</v>
      </c>
      <c r="F2" s="186">
        <f>'Monthly Data'!BM2</f>
        <v>1</v>
      </c>
      <c r="G2" s="186">
        <f>'Monthly Data'!BT2</f>
        <v>0</v>
      </c>
      <c r="H2" s="186">
        <f>'Monthly Data'!BY2</f>
        <v>0</v>
      </c>
      <c r="I2" s="186">
        <f>'Monthly Data'!CC2</f>
        <v>31</v>
      </c>
      <c r="K2" s="186">
        <f>'Large Use OLS Model (LC)'!$B$5</f>
        <v>-11585185.4436178</v>
      </c>
      <c r="L2" s="186">
        <f ca="1">'Large Use OLS Model (LC)'!$B$6*D2</f>
        <v>0</v>
      </c>
      <c r="M2" s="124">
        <f>'Large Use OLS Model (LC)'!$B$7*E2</f>
        <v>13603360.300978674</v>
      </c>
      <c r="N2" s="186">
        <v>0</v>
      </c>
      <c r="O2" s="186">
        <f>'Large Use OLS Model (LC)'!$B$8*G2</f>
        <v>0</v>
      </c>
      <c r="P2" s="186">
        <f>'Large Use OLS Model (LC)'!$B$9*H2</f>
        <v>0</v>
      </c>
      <c r="Q2" s="186">
        <f>'Large Use OLS Model (LC)'!$B$10*I2</f>
        <v>18122355.210333746</v>
      </c>
      <c r="R2" s="186">
        <f t="shared" ref="R2:R65" ca="1" si="2">SUM(K2:Q2)</f>
        <v>20140530.067694619</v>
      </c>
    </row>
    <row r="3" spans="1:18">
      <c r="A3" s="128">
        <f>'Monthly Data'!A3</f>
        <v>39845</v>
      </c>
      <c r="B3" s="186">
        <f t="shared" si="1"/>
        <v>2009</v>
      </c>
      <c r="C3" s="124">
        <f ca="1">'Monthly Data'!AQ3</f>
        <v>19634474.347390488</v>
      </c>
      <c r="D3" s="186">
        <f ca="1">Weather!H70</f>
        <v>0</v>
      </c>
      <c r="E3" s="124">
        <f>'Monthly Data'!BJ3</f>
        <v>6506</v>
      </c>
      <c r="F3" s="186">
        <f>'Monthly Data'!BM3</f>
        <v>2</v>
      </c>
      <c r="G3" s="186">
        <f>'Monthly Data'!BT3</f>
        <v>0</v>
      </c>
      <c r="H3" s="186">
        <f>'Monthly Data'!BY3</f>
        <v>0</v>
      </c>
      <c r="I3" s="186">
        <f>'Monthly Data'!CC3</f>
        <v>28</v>
      </c>
      <c r="K3" s="186">
        <f>'Large Use OLS Model (LC)'!$B$5</f>
        <v>-11585185.4436178</v>
      </c>
      <c r="L3" s="186">
        <f ca="1">'Large Use OLS Model (LC)'!$B$6*D3</f>
        <v>0</v>
      </c>
      <c r="M3" s="124">
        <f>'Large Use OLS Model (LC)'!$B$7*E3</f>
        <v>13529329.539893489</v>
      </c>
      <c r="N3" s="186">
        <v>0</v>
      </c>
      <c r="O3" s="186">
        <f>'Large Use OLS Model (LC)'!$B$8*G3</f>
        <v>0</v>
      </c>
      <c r="P3" s="186">
        <f>'Large Use OLS Model (LC)'!$B$9*H3</f>
        <v>0</v>
      </c>
      <c r="Q3" s="186">
        <f>'Large Use OLS Model (LC)'!$B$10*I3</f>
        <v>16368578.899656285</v>
      </c>
      <c r="R3" s="186">
        <f t="shared" ca="1" si="2"/>
        <v>18312722.995931976</v>
      </c>
    </row>
    <row r="4" spans="1:18">
      <c r="A4" s="128">
        <f>'Monthly Data'!A4</f>
        <v>39873</v>
      </c>
      <c r="B4" s="186">
        <f t="shared" si="1"/>
        <v>2009</v>
      </c>
      <c r="C4" s="124">
        <f ca="1">'Monthly Data'!AQ4</f>
        <v>19328255.735383421</v>
      </c>
      <c r="D4" s="186">
        <f ca="1">Weather!H71</f>
        <v>0.48</v>
      </c>
      <c r="E4" s="124">
        <f>'Monthly Data'!BJ4</f>
        <v>6466.8</v>
      </c>
      <c r="F4" s="186">
        <f>'Monthly Data'!BM4</f>
        <v>3</v>
      </c>
      <c r="G4" s="186">
        <f>'Monthly Data'!BT4</f>
        <v>0</v>
      </c>
      <c r="H4" s="186">
        <f>'Monthly Data'!BY4</f>
        <v>0</v>
      </c>
      <c r="I4" s="186">
        <f>'Monthly Data'!CC4</f>
        <v>31</v>
      </c>
      <c r="K4" s="186">
        <f>'Large Use OLS Model (LC)'!$B$5</f>
        <v>-11585185.4436178</v>
      </c>
      <c r="L4" s="186">
        <f ca="1">'Large Use OLS Model (LC)'!$B$6*D4</f>
        <v>12346.034817492864</v>
      </c>
      <c r="M4" s="124">
        <f>'Large Use OLS Model (LC)'!$B$7*E4</f>
        <v>13447812.522069354</v>
      </c>
      <c r="N4" s="186">
        <v>0</v>
      </c>
      <c r="O4" s="186">
        <f>'Large Use OLS Model (LC)'!$B$8*G4</f>
        <v>0</v>
      </c>
      <c r="P4" s="186">
        <f>'Large Use OLS Model (LC)'!$B$9*H4</f>
        <v>0</v>
      </c>
      <c r="Q4" s="186">
        <f>'Large Use OLS Model (LC)'!$B$10*I4</f>
        <v>18122355.210333746</v>
      </c>
      <c r="R4" s="186">
        <f t="shared" ca="1" si="2"/>
        <v>19997328.323602792</v>
      </c>
    </row>
    <row r="5" spans="1:18">
      <c r="A5" s="128">
        <f>'Monthly Data'!A5</f>
        <v>39904</v>
      </c>
      <c r="B5" s="186">
        <f t="shared" si="1"/>
        <v>2009</v>
      </c>
      <c r="C5" s="124">
        <f ca="1">'Monthly Data'!AQ5</f>
        <v>18204586.06263255</v>
      </c>
      <c r="D5" s="186">
        <f ca="1">Weather!H72</f>
        <v>2.63</v>
      </c>
      <c r="E5" s="124">
        <f>'Monthly Data'!BJ5</f>
        <v>6445.5</v>
      </c>
      <c r="F5" s="186">
        <f>'Monthly Data'!BM5</f>
        <v>4</v>
      </c>
      <c r="G5" s="186">
        <f>'Monthly Data'!BT5</f>
        <v>0</v>
      </c>
      <c r="H5" s="186">
        <f>'Monthly Data'!BY5</f>
        <v>0</v>
      </c>
      <c r="I5" s="186">
        <f>'Monthly Data'!CC5</f>
        <v>30</v>
      </c>
      <c r="K5" s="186">
        <f>'Large Use OLS Model (LC)'!$B$5</f>
        <v>-11585185.4436178</v>
      </c>
      <c r="L5" s="186">
        <f ca="1">'Large Use OLS Model (LC)'!$B$6*D5</f>
        <v>67645.982437512983</v>
      </c>
      <c r="M5" s="124">
        <f>'Large Use OLS Model (LC)'!$B$7*E5</f>
        <v>13403518.836363893</v>
      </c>
      <c r="N5" s="186">
        <v>0</v>
      </c>
      <c r="O5" s="186">
        <f>'Large Use OLS Model (LC)'!$B$8*G5</f>
        <v>0</v>
      </c>
      <c r="P5" s="186">
        <f>'Large Use OLS Model (LC)'!$B$9*H5</f>
        <v>0</v>
      </c>
      <c r="Q5" s="186">
        <f>'Large Use OLS Model (LC)'!$B$10*I5</f>
        <v>17537763.106774591</v>
      </c>
      <c r="R5" s="186">
        <f t="shared" ca="1" si="2"/>
        <v>19423742.481958196</v>
      </c>
    </row>
    <row r="6" spans="1:18">
      <c r="A6" s="128">
        <f>'Monthly Data'!A6</f>
        <v>39934</v>
      </c>
      <c r="B6" s="186">
        <f t="shared" si="1"/>
        <v>2009</v>
      </c>
      <c r="C6" s="124">
        <f ca="1">'Monthly Data'!AQ6</f>
        <v>18282543.475076191</v>
      </c>
      <c r="D6" s="186">
        <f ca="1">Weather!H73</f>
        <v>47.37</v>
      </c>
      <c r="E6" s="124">
        <f>'Monthly Data'!BJ6</f>
        <v>6420.3</v>
      </c>
      <c r="F6" s="186">
        <f>'Monthly Data'!BM6</f>
        <v>5</v>
      </c>
      <c r="G6" s="186">
        <f>'Monthly Data'!BT6</f>
        <v>0</v>
      </c>
      <c r="H6" s="186">
        <f>'Monthly Data'!BY6</f>
        <v>0</v>
      </c>
      <c r="I6" s="186">
        <f>'Monthly Data'!CC6</f>
        <v>31</v>
      </c>
      <c r="K6" s="186">
        <f>'Large Use OLS Model (LC)'!$B$5</f>
        <v>-11585185.4436178</v>
      </c>
      <c r="L6" s="186">
        <f ca="1">'Large Use OLS Model (LC)'!$B$6*D6</f>
        <v>1218399.311051327</v>
      </c>
      <c r="M6" s="124">
        <f>'Large Use OLS Model (LC)'!$B$7*E6</f>
        <v>13351115.039191235</v>
      </c>
      <c r="N6" s="186">
        <v>0</v>
      </c>
      <c r="O6" s="186">
        <f>'Large Use OLS Model (LC)'!$B$8*G6</f>
        <v>0</v>
      </c>
      <c r="P6" s="186">
        <f>'Large Use OLS Model (LC)'!$B$9*H6</f>
        <v>0</v>
      </c>
      <c r="Q6" s="186">
        <f>'Large Use OLS Model (LC)'!$B$10*I6</f>
        <v>18122355.210333746</v>
      </c>
      <c r="R6" s="186">
        <f t="shared" ca="1" si="2"/>
        <v>21106684.116958506</v>
      </c>
    </row>
    <row r="7" spans="1:18">
      <c r="A7" s="128">
        <f>'Monthly Data'!A7</f>
        <v>39965</v>
      </c>
      <c r="B7" s="186">
        <f t="shared" si="1"/>
        <v>2009</v>
      </c>
      <c r="C7" s="124">
        <f ca="1">'Monthly Data'!AQ7</f>
        <v>21113808.408363659</v>
      </c>
      <c r="D7" s="186">
        <f ca="1">Weather!H74</f>
        <v>117.23999999999997</v>
      </c>
      <c r="E7" s="124">
        <f>'Monthly Data'!BJ7</f>
        <v>6393.2</v>
      </c>
      <c r="F7" s="186">
        <f>'Monthly Data'!BM7</f>
        <v>6</v>
      </c>
      <c r="G7" s="186">
        <f>'Monthly Data'!BT7</f>
        <v>0</v>
      </c>
      <c r="H7" s="186">
        <f>'Monthly Data'!BY7</f>
        <v>0</v>
      </c>
      <c r="I7" s="186">
        <f>'Monthly Data'!CC7</f>
        <v>30</v>
      </c>
      <c r="K7" s="186">
        <f>'Large Use OLS Model (LC)'!$B$5</f>
        <v>-11585185.4436178</v>
      </c>
      <c r="L7" s="186">
        <f ca="1">'Large Use OLS Model (LC)'!$B$6*D7</f>
        <v>3015519.0041726315</v>
      </c>
      <c r="M7" s="124">
        <f>'Large Use OLS Model (LC)'!$B$7*E7</f>
        <v>13294760.162073018</v>
      </c>
      <c r="N7" s="186">
        <v>0</v>
      </c>
      <c r="O7" s="186">
        <f>'Large Use OLS Model (LC)'!$B$8*G7</f>
        <v>0</v>
      </c>
      <c r="P7" s="186">
        <f>'Large Use OLS Model (LC)'!$B$9*H7</f>
        <v>0</v>
      </c>
      <c r="Q7" s="186">
        <f>'Large Use OLS Model (LC)'!$B$10*I7</f>
        <v>17537763.106774591</v>
      </c>
      <c r="R7" s="186">
        <f t="shared" ca="1" si="2"/>
        <v>22262856.829402439</v>
      </c>
    </row>
    <row r="8" spans="1:18">
      <c r="A8" s="128">
        <f>'Monthly Data'!A8</f>
        <v>39995</v>
      </c>
      <c r="B8" s="186">
        <f t="shared" si="1"/>
        <v>2009</v>
      </c>
      <c r="C8" s="124">
        <f ca="1">'Monthly Data'!AQ8</f>
        <v>22008982.677487984</v>
      </c>
      <c r="D8" s="186">
        <f ca="1">Weather!H75</f>
        <v>185.60999999999999</v>
      </c>
      <c r="E8" s="124">
        <f>'Monthly Data'!BJ8</f>
        <v>6390.2</v>
      </c>
      <c r="F8" s="186">
        <f>'Monthly Data'!BM8</f>
        <v>7</v>
      </c>
      <c r="G8" s="186">
        <f>'Monthly Data'!BT8</f>
        <v>1</v>
      </c>
      <c r="H8" s="186">
        <f>'Monthly Data'!BY8</f>
        <v>0</v>
      </c>
      <c r="I8" s="186">
        <f>'Monthly Data'!CC8</f>
        <v>31</v>
      </c>
      <c r="K8" s="186">
        <f>'Large Use OLS Model (LC)'!$B$5</f>
        <v>-11585185.4436178</v>
      </c>
      <c r="L8" s="186">
        <f ca="1">'Large Use OLS Model (LC)'!$B$6*D8</f>
        <v>4774057.3384892717</v>
      </c>
      <c r="M8" s="124">
        <f>'Large Use OLS Model (LC)'!$B$7*E8</f>
        <v>13288521.614790559</v>
      </c>
      <c r="N8" s="186">
        <v>0</v>
      </c>
      <c r="O8" s="186">
        <f>'Large Use OLS Model (LC)'!$B$8*G8</f>
        <v>-947874.12245155603</v>
      </c>
      <c r="P8" s="186">
        <f>'Large Use OLS Model (LC)'!$B$9*H8</f>
        <v>0</v>
      </c>
      <c r="Q8" s="186">
        <f>'Large Use OLS Model (LC)'!$B$10*I8</f>
        <v>18122355.210333746</v>
      </c>
      <c r="R8" s="186">
        <f t="shared" ca="1" si="2"/>
        <v>23651874.597544219</v>
      </c>
    </row>
    <row r="9" spans="1:18">
      <c r="A9" s="128">
        <f>'Monthly Data'!A9</f>
        <v>40026</v>
      </c>
      <c r="B9" s="186">
        <f t="shared" si="1"/>
        <v>2009</v>
      </c>
      <c r="C9" s="124">
        <f ca="1">'Monthly Data'!AQ9</f>
        <v>22872095.056904018</v>
      </c>
      <c r="D9" s="186">
        <f ca="1">Weather!H76</f>
        <v>159.64000000000001</v>
      </c>
      <c r="E9" s="124">
        <f>'Monthly Data'!BJ9</f>
        <v>6401</v>
      </c>
      <c r="F9" s="186">
        <f>'Monthly Data'!BM9</f>
        <v>8</v>
      </c>
      <c r="G9" s="186">
        <f>'Monthly Data'!BT9</f>
        <v>0</v>
      </c>
      <c r="H9" s="186">
        <f>'Monthly Data'!BY9</f>
        <v>0</v>
      </c>
      <c r="I9" s="186">
        <f>'Monthly Data'!CC9</f>
        <v>31</v>
      </c>
      <c r="K9" s="186">
        <f>'Large Use OLS Model (LC)'!$B$5</f>
        <v>-11585185.4436178</v>
      </c>
      <c r="L9" s="186">
        <f ca="1">'Large Use OLS Model (LC)'!$B$6*D9</f>
        <v>4106085.4130511689</v>
      </c>
      <c r="M9" s="124">
        <f>'Large Use OLS Model (LC)'!$B$7*E9</f>
        <v>13310980.385007413</v>
      </c>
      <c r="N9" s="186">
        <v>0</v>
      </c>
      <c r="O9" s="186">
        <f>'Large Use OLS Model (LC)'!$B$8*G9</f>
        <v>0</v>
      </c>
      <c r="P9" s="186">
        <f>'Large Use OLS Model (LC)'!$B$9*H9</f>
        <v>0</v>
      </c>
      <c r="Q9" s="186">
        <f>'Large Use OLS Model (LC)'!$B$10*I9</f>
        <v>18122355.210333746</v>
      </c>
      <c r="R9" s="186">
        <f t="shared" ca="1" si="2"/>
        <v>23954235.564774528</v>
      </c>
    </row>
    <row r="10" spans="1:18">
      <c r="A10" s="128">
        <f>'Monthly Data'!A10</f>
        <v>40057</v>
      </c>
      <c r="B10" s="186">
        <f t="shared" si="1"/>
        <v>2009</v>
      </c>
      <c r="C10" s="124">
        <f ca="1">'Monthly Data'!AQ10</f>
        <v>20688385.851761155</v>
      </c>
      <c r="D10" s="186">
        <f ca="1">Weather!H77</f>
        <v>72.989999999999981</v>
      </c>
      <c r="E10" s="124">
        <f>'Monthly Data'!BJ10</f>
        <v>6421.2</v>
      </c>
      <c r="F10" s="186">
        <f>'Monthly Data'!BM10</f>
        <v>9</v>
      </c>
      <c r="G10" s="186">
        <f>'Monthly Data'!BT10</f>
        <v>0</v>
      </c>
      <c r="H10" s="186">
        <f>'Monthly Data'!BY10</f>
        <v>0</v>
      </c>
      <c r="I10" s="186">
        <f>'Monthly Data'!CC10</f>
        <v>30</v>
      </c>
      <c r="K10" s="186">
        <f>'Large Use OLS Model (LC)'!$B$5</f>
        <v>-11585185.4436178</v>
      </c>
      <c r="L10" s="186">
        <f ca="1">'Large Use OLS Model (LC)'!$B$6*D10</f>
        <v>1877368.9194350082</v>
      </c>
      <c r="M10" s="124">
        <f>'Large Use OLS Model (LC)'!$B$7*E10</f>
        <v>13352986.603375971</v>
      </c>
      <c r="N10" s="186">
        <v>0</v>
      </c>
      <c r="O10" s="186">
        <f>'Large Use OLS Model (LC)'!$B$8*G10</f>
        <v>0</v>
      </c>
      <c r="P10" s="186">
        <f>'Large Use OLS Model (LC)'!$B$9*H10</f>
        <v>0</v>
      </c>
      <c r="Q10" s="186">
        <f>'Large Use OLS Model (LC)'!$B$10*I10</f>
        <v>17537763.106774591</v>
      </c>
      <c r="R10" s="186">
        <f t="shared" ca="1" si="2"/>
        <v>21182933.185967769</v>
      </c>
    </row>
    <row r="11" spans="1:18">
      <c r="A11" s="128">
        <f>'Monthly Data'!A11</f>
        <v>40087</v>
      </c>
      <c r="B11" s="186">
        <f t="shared" si="1"/>
        <v>2009</v>
      </c>
      <c r="C11" s="124">
        <f ca="1">'Monthly Data'!AQ11</f>
        <v>18370827.816093475</v>
      </c>
      <c r="D11" s="186">
        <f ca="1">Weather!H78</f>
        <v>10.779999999999998</v>
      </c>
      <c r="E11" s="124">
        <f>'Monthly Data'!BJ11</f>
        <v>6438.2</v>
      </c>
      <c r="F11" s="186">
        <f>'Monthly Data'!BM11</f>
        <v>10</v>
      </c>
      <c r="G11" s="186">
        <f>'Monthly Data'!BT11</f>
        <v>0</v>
      </c>
      <c r="H11" s="186">
        <f>'Monthly Data'!BY11</f>
        <v>0</v>
      </c>
      <c r="I11" s="186">
        <f>'Monthly Data'!CC11</f>
        <v>31</v>
      </c>
      <c r="K11" s="186">
        <f>'Large Use OLS Model (LC)'!$B$5</f>
        <v>-11585185.4436178</v>
      </c>
      <c r="L11" s="186">
        <f ca="1">'Large Use OLS Model (LC)'!$B$6*D11</f>
        <v>277271.36527619383</v>
      </c>
      <c r="M11" s="124">
        <f>'Large Use OLS Model (LC)'!$B$7*E11</f>
        <v>13388338.371309908</v>
      </c>
      <c r="N11" s="186">
        <v>0</v>
      </c>
      <c r="O11" s="186">
        <f>'Large Use OLS Model (LC)'!$B$8*G11</f>
        <v>0</v>
      </c>
      <c r="P11" s="186">
        <f>'Large Use OLS Model (LC)'!$B$9*H11</f>
        <v>0</v>
      </c>
      <c r="Q11" s="186">
        <f>'Large Use OLS Model (LC)'!$B$10*I11</f>
        <v>18122355.210333746</v>
      </c>
      <c r="R11" s="186">
        <f t="shared" ca="1" si="2"/>
        <v>20202779.503302045</v>
      </c>
    </row>
    <row r="12" spans="1:18">
      <c r="A12" s="128">
        <f>'Monthly Data'!A12</f>
        <v>40118</v>
      </c>
      <c r="B12" s="186">
        <f t="shared" si="1"/>
        <v>2009</v>
      </c>
      <c r="C12" s="124">
        <f ca="1">'Monthly Data'!AQ12</f>
        <v>17897159.701150067</v>
      </c>
      <c r="D12" s="186">
        <f ca="1">Weather!H79</f>
        <v>0.05</v>
      </c>
      <c r="E12" s="124">
        <f>'Monthly Data'!BJ12</f>
        <v>6454</v>
      </c>
      <c r="F12" s="186">
        <f>'Monthly Data'!BM12</f>
        <v>11</v>
      </c>
      <c r="G12" s="186">
        <f>'Monthly Data'!BT12</f>
        <v>0</v>
      </c>
      <c r="H12" s="186">
        <f>'Monthly Data'!BY12</f>
        <v>0</v>
      </c>
      <c r="I12" s="186">
        <f>'Monthly Data'!CC12</f>
        <v>30</v>
      </c>
      <c r="K12" s="186">
        <f>'Large Use OLS Model (LC)'!$B$5</f>
        <v>-11585185.4436178</v>
      </c>
      <c r="L12" s="186">
        <f ca="1">'Large Use OLS Model (LC)'!$B$6*D12</f>
        <v>1286.0452934888401</v>
      </c>
      <c r="M12" s="124">
        <f>'Large Use OLS Model (LC)'!$B$7*E12</f>
        <v>13421194.72033086</v>
      </c>
      <c r="N12" s="186">
        <v>0</v>
      </c>
      <c r="O12" s="186">
        <f>'Large Use OLS Model (LC)'!$B$8*G12</f>
        <v>0</v>
      </c>
      <c r="P12" s="186">
        <f>'Large Use OLS Model (LC)'!$B$9*H12</f>
        <v>0</v>
      </c>
      <c r="Q12" s="186">
        <f>'Large Use OLS Model (LC)'!$B$10*I12</f>
        <v>17537763.106774591</v>
      </c>
      <c r="R12" s="186">
        <f t="shared" ca="1" si="2"/>
        <v>19375058.428781141</v>
      </c>
    </row>
    <row r="13" spans="1:18">
      <c r="A13" s="128">
        <f>'Monthly Data'!A13</f>
        <v>40148</v>
      </c>
      <c r="B13" s="186">
        <f t="shared" si="1"/>
        <v>2009</v>
      </c>
      <c r="C13" s="124">
        <f ca="1">'Monthly Data'!AQ13</f>
        <v>18512763.173234116</v>
      </c>
      <c r="D13" s="186">
        <f ca="1">Weather!H80</f>
        <v>0</v>
      </c>
      <c r="E13" s="124">
        <f>'Monthly Data'!BJ13</f>
        <v>6458.5</v>
      </c>
      <c r="F13" s="186">
        <f>'Monthly Data'!BM13</f>
        <v>12</v>
      </c>
      <c r="G13" s="186">
        <f>'Monthly Data'!BT13</f>
        <v>0</v>
      </c>
      <c r="H13" s="186">
        <f>'Monthly Data'!BY13</f>
        <v>1</v>
      </c>
      <c r="I13" s="186">
        <f>'Monthly Data'!CC13</f>
        <v>31</v>
      </c>
      <c r="K13" s="186">
        <f>'Large Use OLS Model (LC)'!$B$5</f>
        <v>-11585185.4436178</v>
      </c>
      <c r="L13" s="186">
        <f ca="1">'Large Use OLS Model (LC)'!$B$6*D13</f>
        <v>0</v>
      </c>
      <c r="M13" s="124">
        <f>'Large Use OLS Model (LC)'!$B$7*E13</f>
        <v>13430552.54125455</v>
      </c>
      <c r="N13" s="186">
        <v>0</v>
      </c>
      <c r="O13" s="186">
        <f>'Large Use OLS Model (LC)'!$B$8*G13</f>
        <v>0</v>
      </c>
      <c r="P13" s="186">
        <f>'Large Use OLS Model (LC)'!$B$9*H13</f>
        <v>-1776727.9579078101</v>
      </c>
      <c r="Q13" s="186">
        <f>'Large Use OLS Model (LC)'!$B$10*I13</f>
        <v>18122355.210333746</v>
      </c>
      <c r="R13" s="186">
        <f t="shared" ca="1" si="2"/>
        <v>18190994.350062687</v>
      </c>
    </row>
    <row r="14" spans="1:18">
      <c r="A14" s="128">
        <f>'Monthly Data'!A14</f>
        <v>40179</v>
      </c>
      <c r="B14" s="186">
        <f t="shared" si="1"/>
        <v>2010</v>
      </c>
      <c r="C14" s="124">
        <f ca="1">'Monthly Data'!AQ14</f>
        <v>19044313.514603201</v>
      </c>
      <c r="D14" s="186">
        <f t="shared" ref="D14:D77" ca="1" si="3">D2</f>
        <v>0</v>
      </c>
      <c r="E14" s="124">
        <f>'Monthly Data'!BJ14</f>
        <v>6466.9</v>
      </c>
      <c r="F14" s="186">
        <f>'Monthly Data'!BM14</f>
        <v>13</v>
      </c>
      <c r="G14" s="186">
        <f>'Monthly Data'!BT14</f>
        <v>0</v>
      </c>
      <c r="H14" s="186">
        <f>'Monthly Data'!BY14</f>
        <v>0</v>
      </c>
      <c r="I14" s="186">
        <f>'Monthly Data'!CC14</f>
        <v>31</v>
      </c>
      <c r="K14" s="186">
        <f>'Large Use OLS Model (LC)'!$B$5</f>
        <v>-11585185.4436178</v>
      </c>
      <c r="L14" s="186">
        <f ca="1">'Large Use OLS Model (LC)'!$B$6*D14</f>
        <v>0</v>
      </c>
      <c r="M14" s="124">
        <f>'Large Use OLS Model (LC)'!$B$7*E14</f>
        <v>13448020.473645436</v>
      </c>
      <c r="N14" s="186">
        <v>0</v>
      </c>
      <c r="O14" s="186">
        <f>'Large Use OLS Model (LC)'!$B$8*G14</f>
        <v>0</v>
      </c>
      <c r="P14" s="186">
        <f>'Large Use OLS Model (LC)'!$B$9*H14</f>
        <v>0</v>
      </c>
      <c r="Q14" s="186">
        <f>'Large Use OLS Model (LC)'!$B$10*I14</f>
        <v>18122355.210333746</v>
      </c>
      <c r="R14" s="186">
        <f t="shared" ca="1" si="2"/>
        <v>19985190.240361381</v>
      </c>
    </row>
    <row r="15" spans="1:18">
      <c r="A15" s="128">
        <f>'Monthly Data'!A15</f>
        <v>40210</v>
      </c>
      <c r="B15" s="186">
        <f t="shared" si="1"/>
        <v>2010</v>
      </c>
      <c r="C15" s="124">
        <f ca="1">'Monthly Data'!AQ15</f>
        <v>17686133.268556133</v>
      </c>
      <c r="D15" s="186">
        <f t="shared" ca="1" si="3"/>
        <v>0</v>
      </c>
      <c r="E15" s="124">
        <f>'Monthly Data'!BJ15</f>
        <v>6471</v>
      </c>
      <c r="F15" s="186">
        <f>'Monthly Data'!BM15</f>
        <v>14</v>
      </c>
      <c r="G15" s="186">
        <f>'Monthly Data'!BT15</f>
        <v>0</v>
      </c>
      <c r="H15" s="186">
        <f>'Monthly Data'!BY15</f>
        <v>0</v>
      </c>
      <c r="I15" s="186">
        <f>'Monthly Data'!CC15</f>
        <v>28</v>
      </c>
      <c r="K15" s="186">
        <f>'Large Use OLS Model (LC)'!$B$5</f>
        <v>-11585185.4436178</v>
      </c>
      <c r="L15" s="186">
        <f ca="1">'Large Use OLS Model (LC)'!$B$6*D15</f>
        <v>0</v>
      </c>
      <c r="M15" s="124">
        <f>'Large Use OLS Model (LC)'!$B$7*E15</f>
        <v>13456546.488264797</v>
      </c>
      <c r="N15" s="186">
        <v>0</v>
      </c>
      <c r="O15" s="186">
        <f>'Large Use OLS Model (LC)'!$B$8*G15</f>
        <v>0</v>
      </c>
      <c r="P15" s="186">
        <f>'Large Use OLS Model (LC)'!$B$9*H15</f>
        <v>0</v>
      </c>
      <c r="Q15" s="186">
        <f>'Large Use OLS Model (LC)'!$B$10*I15</f>
        <v>16368578.899656285</v>
      </c>
      <c r="R15" s="186">
        <f t="shared" ca="1" si="2"/>
        <v>18239939.944303282</v>
      </c>
    </row>
    <row r="16" spans="1:18">
      <c r="A16" s="128">
        <f>'Monthly Data'!A16</f>
        <v>40238</v>
      </c>
      <c r="B16" s="186">
        <f t="shared" si="1"/>
        <v>2010</v>
      </c>
      <c r="C16" s="124">
        <f ca="1">'Monthly Data'!AQ16</f>
        <v>19479538.882481217</v>
      </c>
      <c r="D16" s="186">
        <f t="shared" ca="1" si="3"/>
        <v>0.48</v>
      </c>
      <c r="E16" s="124">
        <f>'Monthly Data'!BJ16</f>
        <v>6477.5</v>
      </c>
      <c r="F16" s="186">
        <f>'Monthly Data'!BM16</f>
        <v>15</v>
      </c>
      <c r="G16" s="186">
        <f>'Monthly Data'!BT16</f>
        <v>0</v>
      </c>
      <c r="H16" s="186">
        <f>'Monthly Data'!BY16</f>
        <v>0</v>
      </c>
      <c r="I16" s="186">
        <f>'Monthly Data'!CC16</f>
        <v>31</v>
      </c>
      <c r="K16" s="186">
        <f>'Large Use OLS Model (LC)'!$B$5</f>
        <v>-11585185.4436178</v>
      </c>
      <c r="L16" s="186">
        <f ca="1">'Large Use OLS Model (LC)'!$B$6*D16</f>
        <v>12346.034817492864</v>
      </c>
      <c r="M16" s="124">
        <f>'Large Use OLS Model (LC)'!$B$7*E16</f>
        <v>13470063.340710126</v>
      </c>
      <c r="N16" s="186">
        <v>0</v>
      </c>
      <c r="O16" s="186">
        <f>'Large Use OLS Model (LC)'!$B$8*G16</f>
        <v>0</v>
      </c>
      <c r="P16" s="186">
        <f>'Large Use OLS Model (LC)'!$B$9*H16</f>
        <v>0</v>
      </c>
      <c r="Q16" s="186">
        <f>'Large Use OLS Model (LC)'!$B$10*I16</f>
        <v>18122355.210333746</v>
      </c>
      <c r="R16" s="186">
        <f t="shared" ca="1" si="2"/>
        <v>20019579.142243564</v>
      </c>
    </row>
    <row r="17" spans="1:18">
      <c r="A17" s="128">
        <f>'Monthly Data'!A17</f>
        <v>40269</v>
      </c>
      <c r="B17" s="186">
        <f t="shared" si="1"/>
        <v>2010</v>
      </c>
      <c r="C17" s="124">
        <f ca="1">'Monthly Data'!AQ17</f>
        <v>18625659.098729182</v>
      </c>
      <c r="D17" s="186">
        <f t="shared" ca="1" si="3"/>
        <v>2.63</v>
      </c>
      <c r="E17" s="124">
        <f>'Monthly Data'!BJ17</f>
        <v>6485</v>
      </c>
      <c r="F17" s="186">
        <f>'Monthly Data'!BM17</f>
        <v>16</v>
      </c>
      <c r="G17" s="186">
        <f>'Monthly Data'!BT17</f>
        <v>0</v>
      </c>
      <c r="H17" s="186">
        <f>'Monthly Data'!BY17</f>
        <v>0</v>
      </c>
      <c r="I17" s="186">
        <f>'Monthly Data'!CC17</f>
        <v>30</v>
      </c>
      <c r="K17" s="186">
        <f>'Large Use OLS Model (LC)'!$B$5</f>
        <v>-11585185.4436178</v>
      </c>
      <c r="L17" s="186">
        <f ca="1">'Large Use OLS Model (LC)'!$B$6*D17</f>
        <v>67645.982437512983</v>
      </c>
      <c r="M17" s="124">
        <f>'Large Use OLS Model (LC)'!$B$7*E17</f>
        <v>13485659.708916275</v>
      </c>
      <c r="N17" s="186">
        <v>0</v>
      </c>
      <c r="O17" s="186">
        <f>'Large Use OLS Model (LC)'!$B$8*G17</f>
        <v>0</v>
      </c>
      <c r="P17" s="186">
        <f>'Large Use OLS Model (LC)'!$B$9*H17</f>
        <v>0</v>
      </c>
      <c r="Q17" s="186">
        <f>'Large Use OLS Model (LC)'!$B$10*I17</f>
        <v>17537763.106774591</v>
      </c>
      <c r="R17" s="186">
        <f t="shared" ca="1" si="2"/>
        <v>19505883.354510579</v>
      </c>
    </row>
    <row r="18" spans="1:18">
      <c r="A18" s="128">
        <f>'Monthly Data'!A18</f>
        <v>40299</v>
      </c>
      <c r="B18" s="186">
        <f t="shared" si="1"/>
        <v>2010</v>
      </c>
      <c r="C18" s="124">
        <f ca="1">'Monthly Data'!AQ18</f>
        <v>20816001.059037603</v>
      </c>
      <c r="D18" s="186">
        <f t="shared" ca="1" si="3"/>
        <v>47.37</v>
      </c>
      <c r="E18" s="124">
        <f>'Monthly Data'!BJ18</f>
        <v>6506.8</v>
      </c>
      <c r="F18" s="186">
        <f>'Monthly Data'!BM18</f>
        <v>17</v>
      </c>
      <c r="G18" s="186">
        <f>'Monthly Data'!BT18</f>
        <v>0</v>
      </c>
      <c r="H18" s="186">
        <f>'Monthly Data'!BY18</f>
        <v>0</v>
      </c>
      <c r="I18" s="186">
        <f>'Monthly Data'!CC18</f>
        <v>31</v>
      </c>
      <c r="K18" s="186">
        <f>'Large Use OLS Model (LC)'!$B$5</f>
        <v>-11585185.4436178</v>
      </c>
      <c r="L18" s="186">
        <f ca="1">'Large Use OLS Model (LC)'!$B$6*D18</f>
        <v>1218399.311051327</v>
      </c>
      <c r="M18" s="124">
        <f>'Large Use OLS Model (LC)'!$B$7*E18</f>
        <v>13530993.152502146</v>
      </c>
      <c r="N18" s="186">
        <v>0</v>
      </c>
      <c r="O18" s="186">
        <f>'Large Use OLS Model (LC)'!$B$8*G18</f>
        <v>0</v>
      </c>
      <c r="P18" s="186">
        <f>'Large Use OLS Model (LC)'!$B$9*H18</f>
        <v>0</v>
      </c>
      <c r="Q18" s="186">
        <f>'Large Use OLS Model (LC)'!$B$10*I18</f>
        <v>18122355.210333746</v>
      </c>
      <c r="R18" s="186">
        <f t="shared" ca="1" si="2"/>
        <v>21286562.230269417</v>
      </c>
    </row>
    <row r="19" spans="1:18">
      <c r="A19" s="128">
        <f>'Monthly Data'!A19</f>
        <v>40330</v>
      </c>
      <c r="B19" s="186">
        <f t="shared" si="1"/>
        <v>2010</v>
      </c>
      <c r="C19" s="124">
        <f ca="1">'Monthly Data'!AQ19</f>
        <v>23509898.345266234</v>
      </c>
      <c r="D19" s="186">
        <f t="shared" ca="1" si="3"/>
        <v>117.23999999999997</v>
      </c>
      <c r="E19" s="124">
        <f>'Monthly Data'!BJ19</f>
        <v>6540.8</v>
      </c>
      <c r="F19" s="186">
        <f>'Monthly Data'!BM19</f>
        <v>18</v>
      </c>
      <c r="G19" s="186">
        <f>'Monthly Data'!BT19</f>
        <v>0</v>
      </c>
      <c r="H19" s="186">
        <f>'Monthly Data'!BY19</f>
        <v>0</v>
      </c>
      <c r="I19" s="186">
        <f>'Monthly Data'!CC19</f>
        <v>30</v>
      </c>
      <c r="K19" s="186">
        <f>'Large Use OLS Model (LC)'!$B$5</f>
        <v>-11585185.4436178</v>
      </c>
      <c r="L19" s="186">
        <f ca="1">'Large Use OLS Model (LC)'!$B$6*D19</f>
        <v>3015519.0041726315</v>
      </c>
      <c r="M19" s="124">
        <f>'Large Use OLS Model (LC)'!$B$7*E19</f>
        <v>13601696.688370017</v>
      </c>
      <c r="N19" s="186">
        <v>0</v>
      </c>
      <c r="O19" s="186">
        <f>'Large Use OLS Model (LC)'!$B$8*G19</f>
        <v>0</v>
      </c>
      <c r="P19" s="186">
        <f>'Large Use OLS Model (LC)'!$B$9*H19</f>
        <v>0</v>
      </c>
      <c r="Q19" s="186">
        <f>'Large Use OLS Model (LC)'!$B$10*I19</f>
        <v>17537763.106774591</v>
      </c>
      <c r="R19" s="186">
        <f t="shared" ca="1" si="2"/>
        <v>22569793.355699442</v>
      </c>
    </row>
    <row r="20" spans="1:18">
      <c r="A20" s="128">
        <f>'Monthly Data'!A20</f>
        <v>40360</v>
      </c>
      <c r="B20" s="186">
        <f t="shared" si="1"/>
        <v>2010</v>
      </c>
      <c r="C20" s="124">
        <f ca="1">'Monthly Data'!AQ20</f>
        <v>24336162.481910329</v>
      </c>
      <c r="D20" s="186">
        <f t="shared" ca="1" si="3"/>
        <v>185.60999999999999</v>
      </c>
      <c r="E20" s="124">
        <f>'Monthly Data'!BJ20</f>
        <v>6561</v>
      </c>
      <c r="F20" s="186">
        <f>'Monthly Data'!BM20</f>
        <v>19</v>
      </c>
      <c r="G20" s="186">
        <f>'Monthly Data'!BT20</f>
        <v>1</v>
      </c>
      <c r="H20" s="186">
        <f>'Monthly Data'!BY20</f>
        <v>0</v>
      </c>
      <c r="I20" s="186">
        <f>'Monthly Data'!CC20</f>
        <v>31</v>
      </c>
      <c r="K20" s="186">
        <f>'Large Use OLS Model (LC)'!$B$5</f>
        <v>-11585185.4436178</v>
      </c>
      <c r="L20" s="186">
        <f ca="1">'Large Use OLS Model (LC)'!$B$6*D20</f>
        <v>4774057.3384892717</v>
      </c>
      <c r="M20" s="124">
        <f>'Large Use OLS Model (LC)'!$B$7*E20</f>
        <v>13643702.906738577</v>
      </c>
      <c r="N20" s="186">
        <v>0</v>
      </c>
      <c r="O20" s="186">
        <f>'Large Use OLS Model (LC)'!$B$8*G20</f>
        <v>-947874.12245155603</v>
      </c>
      <c r="P20" s="186">
        <f>'Large Use OLS Model (LC)'!$B$9*H20</f>
        <v>0</v>
      </c>
      <c r="Q20" s="186">
        <f>'Large Use OLS Model (LC)'!$B$10*I20</f>
        <v>18122355.210333746</v>
      </c>
      <c r="R20" s="186">
        <f t="shared" ca="1" si="2"/>
        <v>24007055.88949224</v>
      </c>
    </row>
    <row r="21" spans="1:18">
      <c r="A21" s="128">
        <f>'Monthly Data'!A21</f>
        <v>40391</v>
      </c>
      <c r="B21" s="186">
        <f t="shared" si="1"/>
        <v>2010</v>
      </c>
      <c r="C21" s="124">
        <f ca="1">'Monthly Data'!AQ21</f>
        <v>23181072.6356427</v>
      </c>
      <c r="D21" s="186">
        <f t="shared" ca="1" si="3"/>
        <v>159.64000000000001</v>
      </c>
      <c r="E21" s="124">
        <f>'Monthly Data'!BJ21</f>
        <v>6568.9</v>
      </c>
      <c r="F21" s="186">
        <f>'Monthly Data'!BM21</f>
        <v>20</v>
      </c>
      <c r="G21" s="186">
        <f>'Monthly Data'!BT21</f>
        <v>0</v>
      </c>
      <c r="H21" s="186">
        <f>'Monthly Data'!BY21</f>
        <v>0</v>
      </c>
      <c r="I21" s="186">
        <f>'Monthly Data'!CC21</f>
        <v>31</v>
      </c>
      <c r="K21" s="186">
        <f>'Large Use OLS Model (LC)'!$B$5</f>
        <v>-11585185.4436178</v>
      </c>
      <c r="L21" s="186">
        <f ca="1">'Large Use OLS Model (LC)'!$B$6*D21</f>
        <v>4106085.4130511689</v>
      </c>
      <c r="M21" s="124">
        <f>'Large Use OLS Model (LC)'!$B$7*E21</f>
        <v>13660131.081249053</v>
      </c>
      <c r="N21" s="186">
        <v>0</v>
      </c>
      <c r="O21" s="186">
        <f>'Large Use OLS Model (LC)'!$B$8*G21</f>
        <v>0</v>
      </c>
      <c r="P21" s="186">
        <f>'Large Use OLS Model (LC)'!$B$9*H21</f>
        <v>0</v>
      </c>
      <c r="Q21" s="186">
        <f>'Large Use OLS Model (LC)'!$B$10*I21</f>
        <v>18122355.210333746</v>
      </c>
      <c r="R21" s="186">
        <f t="shared" ca="1" si="2"/>
        <v>24303386.261016168</v>
      </c>
    </row>
    <row r="22" spans="1:18">
      <c r="A22" s="128">
        <f>'Monthly Data'!A22</f>
        <v>40422</v>
      </c>
      <c r="B22" s="186">
        <f t="shared" si="1"/>
        <v>2010</v>
      </c>
      <c r="C22" s="124">
        <f ca="1">'Monthly Data'!AQ22</f>
        <v>21387323.124149039</v>
      </c>
      <c r="D22" s="186">
        <f t="shared" ca="1" si="3"/>
        <v>72.989999999999981</v>
      </c>
      <c r="E22" s="124">
        <f>'Monthly Data'!BJ22</f>
        <v>6556</v>
      </c>
      <c r="F22" s="186">
        <f>'Monthly Data'!BM22</f>
        <v>21</v>
      </c>
      <c r="G22" s="186">
        <f>'Monthly Data'!BT22</f>
        <v>0</v>
      </c>
      <c r="H22" s="186">
        <f>'Monthly Data'!BY22</f>
        <v>0</v>
      </c>
      <c r="I22" s="186">
        <f>'Monthly Data'!CC22</f>
        <v>30</v>
      </c>
      <c r="K22" s="186">
        <f>'Large Use OLS Model (LC)'!$B$5</f>
        <v>-11585185.4436178</v>
      </c>
      <c r="L22" s="186">
        <f ca="1">'Large Use OLS Model (LC)'!$B$6*D22</f>
        <v>1877368.9194350082</v>
      </c>
      <c r="M22" s="124">
        <f>'Large Use OLS Model (LC)'!$B$7*E22</f>
        <v>13633305.327934477</v>
      </c>
      <c r="N22" s="186">
        <v>0</v>
      </c>
      <c r="O22" s="186">
        <f>'Large Use OLS Model (LC)'!$B$8*G22</f>
        <v>0</v>
      </c>
      <c r="P22" s="186">
        <f>'Large Use OLS Model (LC)'!$B$9*H22</f>
        <v>0</v>
      </c>
      <c r="Q22" s="186">
        <f>'Large Use OLS Model (LC)'!$B$10*I22</f>
        <v>17537763.106774591</v>
      </c>
      <c r="R22" s="186">
        <f t="shared" ca="1" si="2"/>
        <v>21463251.910526276</v>
      </c>
    </row>
    <row r="23" spans="1:18">
      <c r="A23" s="128">
        <f>'Monthly Data'!A23</f>
        <v>40452</v>
      </c>
      <c r="B23" s="186">
        <f t="shared" si="1"/>
        <v>2010</v>
      </c>
      <c r="C23" s="124">
        <f ca="1">'Monthly Data'!AQ23</f>
        <v>18384718.318803035</v>
      </c>
      <c r="D23" s="186">
        <f t="shared" ca="1" si="3"/>
        <v>10.779999999999998</v>
      </c>
      <c r="E23" s="124">
        <f>'Monthly Data'!BJ23</f>
        <v>6551.6</v>
      </c>
      <c r="F23" s="186">
        <f>'Monthly Data'!BM23</f>
        <v>22</v>
      </c>
      <c r="G23" s="186">
        <f>'Monthly Data'!BT23</f>
        <v>0</v>
      </c>
      <c r="H23" s="186">
        <f>'Monthly Data'!BY23</f>
        <v>0</v>
      </c>
      <c r="I23" s="186">
        <f>'Monthly Data'!CC23</f>
        <v>31</v>
      </c>
      <c r="K23" s="186">
        <f>'Large Use OLS Model (LC)'!$B$5</f>
        <v>-11585185.4436178</v>
      </c>
      <c r="L23" s="186">
        <f ca="1">'Large Use OLS Model (LC)'!$B$6*D23</f>
        <v>277271.36527619383</v>
      </c>
      <c r="M23" s="124">
        <f>'Large Use OLS Model (LC)'!$B$7*E23</f>
        <v>13624155.458586872</v>
      </c>
      <c r="N23" s="186">
        <v>0</v>
      </c>
      <c r="O23" s="186">
        <f>'Large Use OLS Model (LC)'!$B$8*G23</f>
        <v>0</v>
      </c>
      <c r="P23" s="186">
        <f>'Large Use OLS Model (LC)'!$B$9*H23</f>
        <v>0</v>
      </c>
      <c r="Q23" s="186">
        <f>'Large Use OLS Model (LC)'!$B$10*I23</f>
        <v>18122355.210333746</v>
      </c>
      <c r="R23" s="186">
        <f t="shared" ca="1" si="2"/>
        <v>20438596.590579011</v>
      </c>
    </row>
    <row r="24" spans="1:18">
      <c r="A24" s="128">
        <f>'Monthly Data'!A24</f>
        <v>40483</v>
      </c>
      <c r="B24" s="186">
        <f t="shared" si="1"/>
        <v>2010</v>
      </c>
      <c r="C24" s="124">
        <f ca="1">'Monthly Data'!AQ24</f>
        <v>19335451.797419466</v>
      </c>
      <c r="D24" s="186">
        <f t="shared" ca="1" si="3"/>
        <v>0.05</v>
      </c>
      <c r="E24" s="124">
        <f>'Monthly Data'!BJ24</f>
        <v>6555.7</v>
      </c>
      <c r="F24" s="186">
        <f>'Monthly Data'!BM24</f>
        <v>23</v>
      </c>
      <c r="G24" s="186">
        <f>'Monthly Data'!BT24</f>
        <v>0</v>
      </c>
      <c r="H24" s="186">
        <f>'Monthly Data'!BY24</f>
        <v>0</v>
      </c>
      <c r="I24" s="186">
        <f>'Monthly Data'!CC24</f>
        <v>30</v>
      </c>
      <c r="K24" s="186">
        <f>'Large Use OLS Model (LC)'!$B$5</f>
        <v>-11585185.4436178</v>
      </c>
      <c r="L24" s="186">
        <f ca="1">'Large Use OLS Model (LC)'!$B$6*D24</f>
        <v>1286.0452934888401</v>
      </c>
      <c r="M24" s="124">
        <f>'Large Use OLS Model (LC)'!$B$7*E24</f>
        <v>13632681.473206231</v>
      </c>
      <c r="N24" s="186">
        <v>0</v>
      </c>
      <c r="O24" s="186">
        <f>'Large Use OLS Model (LC)'!$B$8*G24</f>
        <v>0</v>
      </c>
      <c r="P24" s="186">
        <f>'Large Use OLS Model (LC)'!$B$9*H24</f>
        <v>0</v>
      </c>
      <c r="Q24" s="186">
        <f>'Large Use OLS Model (LC)'!$B$10*I24</f>
        <v>17537763.106774591</v>
      </c>
      <c r="R24" s="186">
        <f t="shared" ca="1" si="2"/>
        <v>19586545.18165651</v>
      </c>
    </row>
    <row r="25" spans="1:18">
      <c r="A25" s="128">
        <f>'Monthly Data'!A25</f>
        <v>40513</v>
      </c>
      <c r="B25" s="186">
        <f t="shared" si="1"/>
        <v>2010</v>
      </c>
      <c r="C25" s="124">
        <f ca="1">'Monthly Data'!AQ25</f>
        <v>18685961.138548218</v>
      </c>
      <c r="D25" s="186">
        <f t="shared" ca="1" si="3"/>
        <v>0</v>
      </c>
      <c r="E25" s="124">
        <f>'Monthly Data'!BJ25</f>
        <v>6578.3</v>
      </c>
      <c r="F25" s="186">
        <f>'Monthly Data'!BM25</f>
        <v>24</v>
      </c>
      <c r="G25" s="186">
        <f>'Monthly Data'!BT25</f>
        <v>0</v>
      </c>
      <c r="H25" s="186">
        <f>'Monthly Data'!BY25</f>
        <v>1</v>
      </c>
      <c r="I25" s="186">
        <f>'Monthly Data'!CC25</f>
        <v>31</v>
      </c>
      <c r="K25" s="186">
        <f>'Large Use OLS Model (LC)'!$B$5</f>
        <v>-11585185.4436178</v>
      </c>
      <c r="L25" s="186">
        <f ca="1">'Large Use OLS Model (LC)'!$B$6*D25</f>
        <v>0</v>
      </c>
      <c r="M25" s="124">
        <f>'Large Use OLS Model (LC)'!$B$7*E25</f>
        <v>13679678.52940076</v>
      </c>
      <c r="N25" s="186">
        <v>0</v>
      </c>
      <c r="O25" s="186">
        <f>'Large Use OLS Model (LC)'!$B$8*G25</f>
        <v>0</v>
      </c>
      <c r="P25" s="186">
        <f>'Large Use OLS Model (LC)'!$B$9*H25</f>
        <v>-1776727.9579078101</v>
      </c>
      <c r="Q25" s="186">
        <f>'Large Use OLS Model (LC)'!$B$10*I25</f>
        <v>18122355.210333746</v>
      </c>
      <c r="R25" s="186">
        <f t="shared" ca="1" si="2"/>
        <v>18440120.338208895</v>
      </c>
    </row>
    <row r="26" spans="1:18">
      <c r="A26" s="128">
        <f>'Monthly Data'!A26</f>
        <v>40544</v>
      </c>
      <c r="B26" s="186">
        <f t="shared" si="1"/>
        <v>2011</v>
      </c>
      <c r="C26" s="124">
        <f ca="1">'Monthly Data'!AQ26</f>
        <v>20311443.914882537</v>
      </c>
      <c r="D26" s="186">
        <f t="shared" ca="1" si="3"/>
        <v>0</v>
      </c>
      <c r="E26" s="124">
        <f>'Monthly Data'!BJ26</f>
        <v>6606.3</v>
      </c>
      <c r="F26" s="186">
        <f>'Monthly Data'!BM26</f>
        <v>25</v>
      </c>
      <c r="G26" s="186">
        <f>'Monthly Data'!BT26</f>
        <v>0</v>
      </c>
      <c r="H26" s="186">
        <f>'Monthly Data'!BY26</f>
        <v>0</v>
      </c>
      <c r="I26" s="186">
        <f>'Monthly Data'!CC26</f>
        <v>31</v>
      </c>
      <c r="K26" s="186">
        <f>'Large Use OLS Model (LC)'!$B$5</f>
        <v>-11585185.4436178</v>
      </c>
      <c r="L26" s="186">
        <f ca="1">'Large Use OLS Model (LC)'!$B$6*D26</f>
        <v>0</v>
      </c>
      <c r="M26" s="124">
        <f>'Large Use OLS Model (LC)'!$B$7*E26</f>
        <v>13737904.970703714</v>
      </c>
      <c r="N26" s="186">
        <v>0</v>
      </c>
      <c r="O26" s="186">
        <f>'Large Use OLS Model (LC)'!$B$8*G26</f>
        <v>0</v>
      </c>
      <c r="P26" s="186">
        <f>'Large Use OLS Model (LC)'!$B$9*H26</f>
        <v>0</v>
      </c>
      <c r="Q26" s="186">
        <f>'Large Use OLS Model (LC)'!$B$10*I26</f>
        <v>18122355.210333746</v>
      </c>
      <c r="R26" s="186">
        <f t="shared" ca="1" si="2"/>
        <v>20275074.737419657</v>
      </c>
    </row>
    <row r="27" spans="1:18">
      <c r="A27" s="128">
        <f>'Monthly Data'!A27</f>
        <v>40575</v>
      </c>
      <c r="B27" s="186">
        <f t="shared" si="1"/>
        <v>2011</v>
      </c>
      <c r="C27" s="124">
        <f ca="1">'Monthly Data'!AQ27</f>
        <v>18637137.92498688</v>
      </c>
      <c r="D27" s="186">
        <f t="shared" ca="1" si="3"/>
        <v>0</v>
      </c>
      <c r="E27" s="124">
        <f>'Monthly Data'!BJ27</f>
        <v>6619.5</v>
      </c>
      <c r="F27" s="186">
        <f>'Monthly Data'!BM27</f>
        <v>26</v>
      </c>
      <c r="G27" s="186">
        <f>'Monthly Data'!BT27</f>
        <v>0</v>
      </c>
      <c r="H27" s="186">
        <f>'Monthly Data'!BY27</f>
        <v>0</v>
      </c>
      <c r="I27" s="186">
        <f>'Monthly Data'!CC27</f>
        <v>28</v>
      </c>
      <c r="K27" s="186">
        <f>'Large Use OLS Model (LC)'!$B$5</f>
        <v>-11585185.4436178</v>
      </c>
      <c r="L27" s="186">
        <f ca="1">'Large Use OLS Model (LC)'!$B$6*D27</f>
        <v>0</v>
      </c>
      <c r="M27" s="124">
        <f>'Large Use OLS Model (LC)'!$B$7*E27</f>
        <v>13765354.578746535</v>
      </c>
      <c r="N27" s="186">
        <v>0</v>
      </c>
      <c r="O27" s="186">
        <f>'Large Use OLS Model (LC)'!$B$8*G27</f>
        <v>0</v>
      </c>
      <c r="P27" s="186">
        <f>'Large Use OLS Model (LC)'!$B$9*H27</f>
        <v>0</v>
      </c>
      <c r="Q27" s="186">
        <f>'Large Use OLS Model (LC)'!$B$10*I27</f>
        <v>16368578.899656285</v>
      </c>
      <c r="R27" s="186">
        <f t="shared" ca="1" si="2"/>
        <v>18548748.034785017</v>
      </c>
    </row>
    <row r="28" spans="1:18">
      <c r="A28" s="128">
        <f>'Monthly Data'!A28</f>
        <v>40603</v>
      </c>
      <c r="B28" s="186">
        <f t="shared" si="1"/>
        <v>2011</v>
      </c>
      <c r="C28" s="124">
        <f ca="1">'Monthly Data'!AQ28</f>
        <v>21533862.722559217</v>
      </c>
      <c r="D28" s="186">
        <f t="shared" ca="1" si="3"/>
        <v>0.48</v>
      </c>
      <c r="E28" s="124">
        <f>'Monthly Data'!BJ28</f>
        <v>6628.6</v>
      </c>
      <c r="F28" s="186">
        <f>'Monthly Data'!BM28</f>
        <v>27</v>
      </c>
      <c r="G28" s="186">
        <f>'Monthly Data'!BT28</f>
        <v>0</v>
      </c>
      <c r="H28" s="186">
        <f>'Monthly Data'!BY28</f>
        <v>0</v>
      </c>
      <c r="I28" s="186">
        <f>'Monthly Data'!CC28</f>
        <v>31</v>
      </c>
      <c r="K28" s="186">
        <f>'Large Use OLS Model (LC)'!$B$5</f>
        <v>-11585185.4436178</v>
      </c>
      <c r="L28" s="186">
        <f ca="1">'Large Use OLS Model (LC)'!$B$6*D28</f>
        <v>12346.034817492864</v>
      </c>
      <c r="M28" s="124">
        <f>'Large Use OLS Model (LC)'!$B$7*E28</f>
        <v>13784278.172169995</v>
      </c>
      <c r="N28" s="186">
        <v>0</v>
      </c>
      <c r="O28" s="186">
        <f>'Large Use OLS Model (LC)'!$B$8*G28</f>
        <v>0</v>
      </c>
      <c r="P28" s="186">
        <f>'Large Use OLS Model (LC)'!$B$9*H28</f>
        <v>0</v>
      </c>
      <c r="Q28" s="186">
        <f>'Large Use OLS Model (LC)'!$B$10*I28</f>
        <v>18122355.210333746</v>
      </c>
      <c r="R28" s="186">
        <f t="shared" ca="1" si="2"/>
        <v>20333793.973703433</v>
      </c>
    </row>
    <row r="29" spans="1:18">
      <c r="A29" s="128">
        <f>'Monthly Data'!A29</f>
        <v>40634</v>
      </c>
      <c r="B29" s="186">
        <f t="shared" si="1"/>
        <v>2011</v>
      </c>
      <c r="C29" s="124">
        <f ca="1">'Monthly Data'!AQ29</f>
        <v>20450919.389425918</v>
      </c>
      <c r="D29" s="186">
        <f t="shared" ca="1" si="3"/>
        <v>2.63</v>
      </c>
      <c r="E29" s="124">
        <f>'Monthly Data'!BJ29</f>
        <v>6635.5</v>
      </c>
      <c r="F29" s="186">
        <f>'Monthly Data'!BM29</f>
        <v>28</v>
      </c>
      <c r="G29" s="186">
        <f>'Monthly Data'!BT29</f>
        <v>0</v>
      </c>
      <c r="H29" s="186">
        <f>'Monthly Data'!BY29</f>
        <v>0</v>
      </c>
      <c r="I29" s="186">
        <f>'Monthly Data'!CC29</f>
        <v>30</v>
      </c>
      <c r="K29" s="186">
        <f>'Large Use OLS Model (LC)'!$B$5</f>
        <v>-11585185.4436178</v>
      </c>
      <c r="L29" s="186">
        <f ca="1">'Large Use OLS Model (LC)'!$B$6*D29</f>
        <v>67645.982437512983</v>
      </c>
      <c r="M29" s="124">
        <f>'Large Use OLS Model (LC)'!$B$7*E29</f>
        <v>13798626.830919651</v>
      </c>
      <c r="N29" s="186">
        <v>0</v>
      </c>
      <c r="O29" s="186">
        <f>'Large Use OLS Model (LC)'!$B$8*G29</f>
        <v>0</v>
      </c>
      <c r="P29" s="186">
        <f>'Large Use OLS Model (LC)'!$B$9*H29</f>
        <v>0</v>
      </c>
      <c r="Q29" s="186">
        <f>'Large Use OLS Model (LC)'!$B$10*I29</f>
        <v>17537763.106774591</v>
      </c>
      <c r="R29" s="186">
        <f t="shared" ca="1" si="2"/>
        <v>19818850.476513956</v>
      </c>
    </row>
    <row r="30" spans="1:18">
      <c r="A30" s="128">
        <f>'Monthly Data'!A30</f>
        <v>40664</v>
      </c>
      <c r="B30" s="186">
        <f t="shared" si="1"/>
        <v>2011</v>
      </c>
      <c r="C30" s="124">
        <f ca="1">'Monthly Data'!AQ30</f>
        <v>21971453.581163168</v>
      </c>
      <c r="D30" s="186">
        <f t="shared" ca="1" si="3"/>
        <v>47.37</v>
      </c>
      <c r="E30" s="124">
        <f>'Monthly Data'!BJ30</f>
        <v>6645.8</v>
      </c>
      <c r="F30" s="186">
        <f>'Monthly Data'!BM30</f>
        <v>29</v>
      </c>
      <c r="G30" s="186">
        <f>'Monthly Data'!BT30</f>
        <v>0</v>
      </c>
      <c r="H30" s="186">
        <f>'Monthly Data'!BY30</f>
        <v>0</v>
      </c>
      <c r="I30" s="186">
        <f>'Monthly Data'!CC30</f>
        <v>31</v>
      </c>
      <c r="K30" s="186">
        <f>'Large Use OLS Model (LC)'!$B$5</f>
        <v>-11585185.4436178</v>
      </c>
      <c r="L30" s="186">
        <f ca="1">'Large Use OLS Model (LC)'!$B$6*D30</f>
        <v>1218399.311051327</v>
      </c>
      <c r="M30" s="124">
        <f>'Large Use OLS Model (LC)'!$B$7*E30</f>
        <v>13820045.843256095</v>
      </c>
      <c r="N30" s="186">
        <v>0</v>
      </c>
      <c r="O30" s="186">
        <f>'Large Use OLS Model (LC)'!$B$8*G30</f>
        <v>0</v>
      </c>
      <c r="P30" s="186">
        <f>'Large Use OLS Model (LC)'!$B$9*H30</f>
        <v>0</v>
      </c>
      <c r="Q30" s="186">
        <f>'Large Use OLS Model (LC)'!$B$10*I30</f>
        <v>18122355.210333746</v>
      </c>
      <c r="R30" s="186">
        <f t="shared" ca="1" si="2"/>
        <v>21575614.921023369</v>
      </c>
    </row>
    <row r="31" spans="1:18">
      <c r="A31" s="128">
        <f>'Monthly Data'!A31</f>
        <v>40695</v>
      </c>
      <c r="B31" s="186">
        <f t="shared" si="1"/>
        <v>2011</v>
      </c>
      <c r="C31" s="124">
        <f ca="1">'Monthly Data'!AQ31</f>
        <v>22815807.153374083</v>
      </c>
      <c r="D31" s="186">
        <f t="shared" ca="1" si="3"/>
        <v>117.23999999999997</v>
      </c>
      <c r="E31" s="124">
        <f>'Monthly Data'!BJ31</f>
        <v>6662</v>
      </c>
      <c r="F31" s="186">
        <f>'Monthly Data'!BM31</f>
        <v>30</v>
      </c>
      <c r="G31" s="186">
        <f>'Monthly Data'!BT31</f>
        <v>0</v>
      </c>
      <c r="H31" s="186">
        <f>'Monthly Data'!BY31</f>
        <v>0</v>
      </c>
      <c r="I31" s="186">
        <f>'Monthly Data'!CC31</f>
        <v>30</v>
      </c>
      <c r="K31" s="186">
        <f>'Large Use OLS Model (LC)'!$B$5</f>
        <v>-11585185.4436178</v>
      </c>
      <c r="L31" s="186">
        <f ca="1">'Large Use OLS Model (LC)'!$B$6*D31</f>
        <v>3015519.0041726315</v>
      </c>
      <c r="M31" s="124">
        <f>'Large Use OLS Model (LC)'!$B$7*E31</f>
        <v>13853733.998581376</v>
      </c>
      <c r="N31" s="186">
        <v>0</v>
      </c>
      <c r="O31" s="186">
        <f>'Large Use OLS Model (LC)'!$B$8*G31</f>
        <v>0</v>
      </c>
      <c r="P31" s="186">
        <f>'Large Use OLS Model (LC)'!$B$9*H31</f>
        <v>0</v>
      </c>
      <c r="Q31" s="186">
        <f>'Large Use OLS Model (LC)'!$B$10*I31</f>
        <v>17537763.106774591</v>
      </c>
      <c r="R31" s="186">
        <f t="shared" ca="1" si="2"/>
        <v>22821830.665910799</v>
      </c>
    </row>
    <row r="32" spans="1:18">
      <c r="A32" s="128">
        <f>'Monthly Data'!A32</f>
        <v>40725</v>
      </c>
      <c r="B32" s="186">
        <f t="shared" si="1"/>
        <v>2011</v>
      </c>
      <c r="C32" s="124">
        <f ca="1">'Monthly Data'!AQ32</f>
        <v>25456437.547008239</v>
      </c>
      <c r="D32" s="186">
        <f t="shared" ca="1" si="3"/>
        <v>185.60999999999999</v>
      </c>
      <c r="E32" s="124">
        <f>'Monthly Data'!BJ32</f>
        <v>6665.8</v>
      </c>
      <c r="F32" s="186">
        <f>'Monthly Data'!BM32</f>
        <v>31</v>
      </c>
      <c r="G32" s="186">
        <f>'Monthly Data'!BT32</f>
        <v>1</v>
      </c>
      <c r="H32" s="186">
        <f>'Monthly Data'!BY32</f>
        <v>0</v>
      </c>
      <c r="I32" s="186">
        <f>'Monthly Data'!CC32</f>
        <v>31</v>
      </c>
      <c r="K32" s="186">
        <f>'Large Use OLS Model (LC)'!$B$5</f>
        <v>-11585185.4436178</v>
      </c>
      <c r="L32" s="186">
        <f ca="1">'Large Use OLS Model (LC)'!$B$6*D32</f>
        <v>4774057.3384892717</v>
      </c>
      <c r="M32" s="124">
        <f>'Large Use OLS Model (LC)'!$B$7*E32</f>
        <v>13861636.158472491</v>
      </c>
      <c r="N32" s="186">
        <v>0</v>
      </c>
      <c r="O32" s="186">
        <f>'Large Use OLS Model (LC)'!$B$8*G32</f>
        <v>-947874.12245155603</v>
      </c>
      <c r="P32" s="186">
        <f>'Large Use OLS Model (LC)'!$B$9*H32</f>
        <v>0</v>
      </c>
      <c r="Q32" s="186">
        <f>'Large Use OLS Model (LC)'!$B$10*I32</f>
        <v>18122355.210333746</v>
      </c>
      <c r="R32" s="186">
        <f t="shared" ca="1" si="2"/>
        <v>24224989.141226154</v>
      </c>
    </row>
    <row r="33" spans="1:18">
      <c r="A33" s="128">
        <f>'Monthly Data'!A33</f>
        <v>40756</v>
      </c>
      <c r="B33" s="186">
        <f t="shared" si="1"/>
        <v>2011</v>
      </c>
      <c r="C33" s="124">
        <f ca="1">'Monthly Data'!AQ33</f>
        <v>24857683.720791303</v>
      </c>
      <c r="D33" s="186">
        <f t="shared" ca="1" si="3"/>
        <v>159.64000000000001</v>
      </c>
      <c r="E33" s="124">
        <f>'Monthly Data'!BJ33</f>
        <v>6677.5</v>
      </c>
      <c r="F33" s="186">
        <f>'Monthly Data'!BM33</f>
        <v>32</v>
      </c>
      <c r="G33" s="186">
        <f>'Monthly Data'!BT33</f>
        <v>0</v>
      </c>
      <c r="H33" s="186">
        <f>'Monthly Data'!BY33</f>
        <v>0</v>
      </c>
      <c r="I33" s="186">
        <f>'Monthly Data'!CC33</f>
        <v>31</v>
      </c>
      <c r="K33" s="186">
        <f>'Large Use OLS Model (LC)'!$B$5</f>
        <v>-11585185.4436178</v>
      </c>
      <c r="L33" s="186">
        <f ca="1">'Large Use OLS Model (LC)'!$B$6*D33</f>
        <v>4106085.4130511689</v>
      </c>
      <c r="M33" s="124">
        <f>'Large Use OLS Model (LC)'!$B$7*E33</f>
        <v>13885966.492874082</v>
      </c>
      <c r="N33" s="186">
        <v>0</v>
      </c>
      <c r="O33" s="186">
        <f>'Large Use OLS Model (LC)'!$B$8*G33</f>
        <v>0</v>
      </c>
      <c r="P33" s="186">
        <f>'Large Use OLS Model (LC)'!$B$9*H33</f>
        <v>0</v>
      </c>
      <c r="Q33" s="186">
        <f>'Large Use OLS Model (LC)'!$B$10*I33</f>
        <v>18122355.210333746</v>
      </c>
      <c r="R33" s="186">
        <f t="shared" ca="1" si="2"/>
        <v>24529221.672641195</v>
      </c>
    </row>
    <row r="34" spans="1:18">
      <c r="A34" s="128">
        <f>'Monthly Data'!A34</f>
        <v>40787</v>
      </c>
      <c r="B34" s="186">
        <f t="shared" si="1"/>
        <v>2011</v>
      </c>
      <c r="C34" s="124">
        <f ca="1">'Monthly Data'!AQ34</f>
        <v>22360661.77511223</v>
      </c>
      <c r="D34" s="186">
        <f t="shared" ca="1" si="3"/>
        <v>72.989999999999981</v>
      </c>
      <c r="E34" s="124">
        <f>'Monthly Data'!BJ34</f>
        <v>6674.4</v>
      </c>
      <c r="F34" s="186">
        <f>'Monthly Data'!BM34</f>
        <v>33</v>
      </c>
      <c r="G34" s="186">
        <f>'Monthly Data'!BT34</f>
        <v>0</v>
      </c>
      <c r="H34" s="186">
        <f>'Monthly Data'!BY34</f>
        <v>0</v>
      </c>
      <c r="I34" s="186">
        <f>'Monthly Data'!CC34</f>
        <v>30</v>
      </c>
      <c r="K34" s="186">
        <f>'Large Use OLS Model (LC)'!$B$5</f>
        <v>-11585185.4436178</v>
      </c>
      <c r="L34" s="186">
        <f ca="1">'Large Use OLS Model (LC)'!$B$6*D34</f>
        <v>1877368.9194350082</v>
      </c>
      <c r="M34" s="124">
        <f>'Large Use OLS Model (LC)'!$B$7*E34</f>
        <v>13879519.994015539</v>
      </c>
      <c r="N34" s="186">
        <v>0</v>
      </c>
      <c r="O34" s="186">
        <f>'Large Use OLS Model (LC)'!$B$8*G34</f>
        <v>0</v>
      </c>
      <c r="P34" s="186">
        <f>'Large Use OLS Model (LC)'!$B$9*H34</f>
        <v>0</v>
      </c>
      <c r="Q34" s="186">
        <f>'Large Use OLS Model (LC)'!$B$10*I34</f>
        <v>17537763.106774591</v>
      </c>
      <c r="R34" s="186">
        <f t="shared" ca="1" si="2"/>
        <v>21709466.576607339</v>
      </c>
    </row>
    <row r="35" spans="1:18">
      <c r="A35" s="128">
        <f>'Monthly Data'!A35</f>
        <v>40817</v>
      </c>
      <c r="B35" s="186">
        <f t="shared" si="1"/>
        <v>2011</v>
      </c>
      <c r="C35" s="124">
        <f ca="1">'Monthly Data'!AQ35</f>
        <v>21639744.647910222</v>
      </c>
      <c r="D35" s="186">
        <f t="shared" ca="1" si="3"/>
        <v>10.779999999999998</v>
      </c>
      <c r="E35" s="124">
        <f>'Monthly Data'!BJ35</f>
        <v>6668.1</v>
      </c>
      <c r="F35" s="186">
        <f>'Monthly Data'!BM35</f>
        <v>34</v>
      </c>
      <c r="G35" s="186">
        <f>'Monthly Data'!BT35</f>
        <v>0</v>
      </c>
      <c r="H35" s="186">
        <f>'Monthly Data'!BY35</f>
        <v>0</v>
      </c>
      <c r="I35" s="186">
        <f>'Monthly Data'!CC35</f>
        <v>31</v>
      </c>
      <c r="K35" s="186">
        <f>'Large Use OLS Model (LC)'!$B$5</f>
        <v>-11585185.4436178</v>
      </c>
      <c r="L35" s="186">
        <f ca="1">'Large Use OLS Model (LC)'!$B$6*D35</f>
        <v>277271.36527619383</v>
      </c>
      <c r="M35" s="124">
        <f>'Large Use OLS Model (LC)'!$B$7*E35</f>
        <v>13866419.044722376</v>
      </c>
      <c r="N35" s="186">
        <v>0</v>
      </c>
      <c r="O35" s="186">
        <f>'Large Use OLS Model (LC)'!$B$8*G35</f>
        <v>0</v>
      </c>
      <c r="P35" s="186">
        <f>'Large Use OLS Model (LC)'!$B$9*H35</f>
        <v>0</v>
      </c>
      <c r="Q35" s="186">
        <f>'Large Use OLS Model (LC)'!$B$10*I35</f>
        <v>18122355.210333746</v>
      </c>
      <c r="R35" s="186">
        <f t="shared" ca="1" si="2"/>
        <v>20680860.176714517</v>
      </c>
    </row>
    <row r="36" spans="1:18">
      <c r="A36" s="128">
        <f>'Monthly Data'!A36</f>
        <v>40848</v>
      </c>
      <c r="B36" s="186">
        <f t="shared" si="1"/>
        <v>2011</v>
      </c>
      <c r="C36" s="124">
        <f ca="1">'Monthly Data'!AQ36</f>
        <v>19883497.74559721</v>
      </c>
      <c r="D36" s="186">
        <f t="shared" ca="1" si="3"/>
        <v>0.05</v>
      </c>
      <c r="E36" s="124">
        <f>'Monthly Data'!BJ36</f>
        <v>6662.8</v>
      </c>
      <c r="F36" s="186">
        <f>'Monthly Data'!BM36</f>
        <v>35</v>
      </c>
      <c r="G36" s="186">
        <f>'Monthly Data'!BT36</f>
        <v>0</v>
      </c>
      <c r="H36" s="186">
        <f>'Monthly Data'!BY36</f>
        <v>0</v>
      </c>
      <c r="I36" s="186">
        <f>'Monthly Data'!CC36</f>
        <v>30</v>
      </c>
      <c r="K36" s="186">
        <f>'Large Use OLS Model (LC)'!$B$5</f>
        <v>-11585185.4436178</v>
      </c>
      <c r="L36" s="186">
        <f ca="1">'Large Use OLS Model (LC)'!$B$6*D36</f>
        <v>1286.0452934888401</v>
      </c>
      <c r="M36" s="124">
        <f>'Large Use OLS Model (LC)'!$B$7*E36</f>
        <v>13855397.61119003</v>
      </c>
      <c r="N36" s="186">
        <v>0</v>
      </c>
      <c r="O36" s="186">
        <f>'Large Use OLS Model (LC)'!$B$8*G36</f>
        <v>0</v>
      </c>
      <c r="P36" s="186">
        <f>'Large Use OLS Model (LC)'!$B$9*H36</f>
        <v>0</v>
      </c>
      <c r="Q36" s="186">
        <f>'Large Use OLS Model (LC)'!$B$10*I36</f>
        <v>17537763.106774591</v>
      </c>
      <c r="R36" s="186">
        <f t="shared" ca="1" si="2"/>
        <v>19809261.319640309</v>
      </c>
    </row>
    <row r="37" spans="1:18">
      <c r="A37" s="128">
        <f>'Monthly Data'!A37</f>
        <v>40878</v>
      </c>
      <c r="B37" s="186">
        <f t="shared" si="1"/>
        <v>2011</v>
      </c>
      <c r="C37" s="124">
        <f ca="1">'Monthly Data'!AQ37</f>
        <v>18586040.900826391</v>
      </c>
      <c r="D37" s="186">
        <f t="shared" ca="1" si="3"/>
        <v>0</v>
      </c>
      <c r="E37" s="124">
        <f>'Monthly Data'!BJ37</f>
        <v>6667.5</v>
      </c>
      <c r="F37" s="186">
        <f>'Monthly Data'!BM37</f>
        <v>36</v>
      </c>
      <c r="G37" s="186">
        <f>'Monthly Data'!BT37</f>
        <v>0</v>
      </c>
      <c r="H37" s="186">
        <f>'Monthly Data'!BY37</f>
        <v>1</v>
      </c>
      <c r="I37" s="186">
        <f>'Monthly Data'!CC37</f>
        <v>31</v>
      </c>
      <c r="K37" s="186">
        <f>'Large Use OLS Model (LC)'!$B$5</f>
        <v>-11585185.4436178</v>
      </c>
      <c r="L37" s="186">
        <f ca="1">'Large Use OLS Model (LC)'!$B$6*D37</f>
        <v>0</v>
      </c>
      <c r="M37" s="124">
        <f>'Large Use OLS Model (LC)'!$B$7*E37</f>
        <v>13865171.335265884</v>
      </c>
      <c r="N37" s="186">
        <v>0</v>
      </c>
      <c r="O37" s="186">
        <f>'Large Use OLS Model (LC)'!$B$8*G37</f>
        <v>0</v>
      </c>
      <c r="P37" s="186">
        <f>'Large Use OLS Model (LC)'!$B$9*H37</f>
        <v>-1776727.9579078101</v>
      </c>
      <c r="Q37" s="186">
        <f>'Large Use OLS Model (LC)'!$B$10*I37</f>
        <v>18122355.210333746</v>
      </c>
      <c r="R37" s="186">
        <f t="shared" ca="1" si="2"/>
        <v>18625613.144074019</v>
      </c>
    </row>
    <row r="38" spans="1:18">
      <c r="A38" s="128">
        <f>'Monthly Data'!A38</f>
        <v>40909</v>
      </c>
      <c r="B38" s="186">
        <f t="shared" si="1"/>
        <v>2012</v>
      </c>
      <c r="C38" s="124">
        <f ca="1">'Monthly Data'!AQ38</f>
        <v>19687814.33821645</v>
      </c>
      <c r="D38" s="186">
        <f t="shared" ca="1" si="3"/>
        <v>0</v>
      </c>
      <c r="E38" s="124">
        <f>'Monthly Data'!BJ38</f>
        <v>6673.6</v>
      </c>
      <c r="F38" s="186">
        <f>'Monthly Data'!BM38</f>
        <v>37</v>
      </c>
      <c r="G38" s="186">
        <f>'Monthly Data'!BT38</f>
        <v>0</v>
      </c>
      <c r="H38" s="186">
        <f>'Monthly Data'!BY38</f>
        <v>0</v>
      </c>
      <c r="I38" s="186">
        <f>'Monthly Data'!CC38</f>
        <v>31</v>
      </c>
      <c r="K38" s="186">
        <f>'Large Use OLS Model (LC)'!$B$5</f>
        <v>-11585185.4436178</v>
      </c>
      <c r="L38" s="186">
        <f ca="1">'Large Use OLS Model (LC)'!$B$6*D38</f>
        <v>0</v>
      </c>
      <c r="M38" s="124">
        <f>'Large Use OLS Model (LC)'!$B$7*E38</f>
        <v>13877856.381406885</v>
      </c>
      <c r="N38" s="186">
        <v>0</v>
      </c>
      <c r="O38" s="186">
        <f>'Large Use OLS Model (LC)'!$B$8*G38</f>
        <v>0</v>
      </c>
      <c r="P38" s="186">
        <f>'Large Use OLS Model (LC)'!$B$9*H38</f>
        <v>0</v>
      </c>
      <c r="Q38" s="186">
        <f>'Large Use OLS Model (LC)'!$B$10*I38</f>
        <v>18122355.210333746</v>
      </c>
      <c r="R38" s="186">
        <f t="shared" ca="1" si="2"/>
        <v>20415026.148122832</v>
      </c>
    </row>
    <row r="39" spans="1:18">
      <c r="A39" s="128">
        <f>'Monthly Data'!A39</f>
        <v>40940</v>
      </c>
      <c r="B39" s="186">
        <f t="shared" si="1"/>
        <v>2012</v>
      </c>
      <c r="C39" s="124">
        <f ca="1">'Monthly Data'!AQ39</f>
        <v>18467697.406501543</v>
      </c>
      <c r="D39" s="186">
        <f t="shared" ca="1" si="3"/>
        <v>0</v>
      </c>
      <c r="E39" s="124">
        <f>'Monthly Data'!BJ39</f>
        <v>6670.7</v>
      </c>
      <c r="F39" s="186">
        <f>'Monthly Data'!BM39</f>
        <v>38</v>
      </c>
      <c r="G39" s="186">
        <f>'Monthly Data'!BT39</f>
        <v>0</v>
      </c>
      <c r="H39" s="186">
        <f>'Monthly Data'!BY39</f>
        <v>0</v>
      </c>
      <c r="I39" s="186">
        <f>'Monthly Data'!CC39</f>
        <v>29</v>
      </c>
      <c r="K39" s="186">
        <f>'Large Use OLS Model (LC)'!$B$5</f>
        <v>-11585185.4436178</v>
      </c>
      <c r="L39" s="186">
        <f ca="1">'Large Use OLS Model (LC)'!$B$6*D39</f>
        <v>0</v>
      </c>
      <c r="M39" s="124">
        <f>'Large Use OLS Model (LC)'!$B$7*E39</f>
        <v>13871825.785700507</v>
      </c>
      <c r="N39" s="186">
        <v>0</v>
      </c>
      <c r="O39" s="186">
        <f>'Large Use OLS Model (LC)'!$B$8*G39</f>
        <v>0</v>
      </c>
      <c r="P39" s="186">
        <f>'Large Use OLS Model (LC)'!$B$9*H39</f>
        <v>0</v>
      </c>
      <c r="Q39" s="186">
        <f>'Large Use OLS Model (LC)'!$B$10*I39</f>
        <v>16953171.00321544</v>
      </c>
      <c r="R39" s="186">
        <f t="shared" ca="1" si="2"/>
        <v>19239811.345298149</v>
      </c>
    </row>
    <row r="40" spans="1:18">
      <c r="A40" s="128">
        <f>'Monthly Data'!A40</f>
        <v>40969</v>
      </c>
      <c r="B40" s="186">
        <f t="shared" si="1"/>
        <v>2012</v>
      </c>
      <c r="C40" s="124">
        <f ca="1">'Monthly Data'!AQ40</f>
        <v>20499238.476042025</v>
      </c>
      <c r="D40" s="186">
        <f t="shared" ca="1" si="3"/>
        <v>0.48</v>
      </c>
      <c r="E40" s="124">
        <f>'Monthly Data'!BJ40</f>
        <v>6674</v>
      </c>
      <c r="F40" s="186">
        <f>'Monthly Data'!BM40</f>
        <v>39</v>
      </c>
      <c r="G40" s="186">
        <f>'Monthly Data'!BT40</f>
        <v>0</v>
      </c>
      <c r="H40" s="186">
        <f>'Monthly Data'!BY40</f>
        <v>0</v>
      </c>
      <c r="I40" s="186">
        <f>'Monthly Data'!CC40</f>
        <v>31</v>
      </c>
      <c r="K40" s="186">
        <f>'Large Use OLS Model (LC)'!$B$5</f>
        <v>-11585185.4436178</v>
      </c>
      <c r="L40" s="186">
        <f ca="1">'Large Use OLS Model (LC)'!$B$6*D40</f>
        <v>12346.034817492864</v>
      </c>
      <c r="M40" s="124">
        <f>'Large Use OLS Model (LC)'!$B$7*E40</f>
        <v>13878688.187711213</v>
      </c>
      <c r="N40" s="186">
        <v>0</v>
      </c>
      <c r="O40" s="186">
        <f>'Large Use OLS Model (LC)'!$B$8*G40</f>
        <v>0</v>
      </c>
      <c r="P40" s="186">
        <f>'Large Use OLS Model (LC)'!$B$9*H40</f>
        <v>0</v>
      </c>
      <c r="Q40" s="186">
        <f>'Large Use OLS Model (LC)'!$B$10*I40</f>
        <v>18122355.210333746</v>
      </c>
      <c r="R40" s="186">
        <f t="shared" ca="1" si="2"/>
        <v>20428203.989244651</v>
      </c>
    </row>
    <row r="41" spans="1:18">
      <c r="A41" s="128">
        <f>'Monthly Data'!A41</f>
        <v>41000</v>
      </c>
      <c r="B41" s="186">
        <f t="shared" si="1"/>
        <v>2012</v>
      </c>
      <c r="C41" s="124">
        <f ca="1">'Monthly Data'!AQ41</f>
        <v>19245043.973630149</v>
      </c>
      <c r="D41" s="186">
        <f t="shared" ca="1" si="3"/>
        <v>2.63</v>
      </c>
      <c r="E41" s="124">
        <f>'Monthly Data'!BJ41</f>
        <v>6685.8</v>
      </c>
      <c r="F41" s="186">
        <f>'Monthly Data'!BM41</f>
        <v>40</v>
      </c>
      <c r="G41" s="186">
        <f>'Monthly Data'!BT41</f>
        <v>0</v>
      </c>
      <c r="H41" s="186">
        <f>'Monthly Data'!BY41</f>
        <v>0</v>
      </c>
      <c r="I41" s="186">
        <f>'Monthly Data'!CC41</f>
        <v>30</v>
      </c>
      <c r="K41" s="186">
        <f>'Large Use OLS Model (LC)'!$B$5</f>
        <v>-11585185.4436178</v>
      </c>
      <c r="L41" s="186">
        <f ca="1">'Large Use OLS Model (LC)'!$B$6*D41</f>
        <v>67645.982437512983</v>
      </c>
      <c r="M41" s="124">
        <f>'Large Use OLS Model (LC)'!$B$7*E41</f>
        <v>13903226.473688886</v>
      </c>
      <c r="N41" s="186">
        <v>0</v>
      </c>
      <c r="O41" s="186">
        <f>'Large Use OLS Model (LC)'!$B$8*G41</f>
        <v>0</v>
      </c>
      <c r="P41" s="186">
        <f>'Large Use OLS Model (LC)'!$B$9*H41</f>
        <v>0</v>
      </c>
      <c r="Q41" s="186">
        <f>'Large Use OLS Model (LC)'!$B$10*I41</f>
        <v>17537763.106774591</v>
      </c>
      <c r="R41" s="186">
        <f t="shared" ca="1" si="2"/>
        <v>19923450.119283192</v>
      </c>
    </row>
    <row r="42" spans="1:18">
      <c r="A42" s="128">
        <f>'Monthly Data'!A42</f>
        <v>41030</v>
      </c>
      <c r="B42" s="186">
        <f t="shared" si="1"/>
        <v>2012</v>
      </c>
      <c r="C42" s="124">
        <f ca="1">'Monthly Data'!AQ42</f>
        <v>22797281.19388999</v>
      </c>
      <c r="D42" s="186">
        <f t="shared" ca="1" si="3"/>
        <v>47.37</v>
      </c>
      <c r="E42" s="124">
        <f>'Monthly Data'!BJ42</f>
        <v>6690.1</v>
      </c>
      <c r="F42" s="186">
        <f>'Monthly Data'!BM42</f>
        <v>41</v>
      </c>
      <c r="G42" s="186">
        <f>'Monthly Data'!BT42</f>
        <v>0</v>
      </c>
      <c r="H42" s="186">
        <f>'Monthly Data'!BY42</f>
        <v>0</v>
      </c>
      <c r="I42" s="186">
        <f>'Monthly Data'!CC42</f>
        <v>31</v>
      </c>
      <c r="K42" s="186">
        <f>'Large Use OLS Model (LC)'!$B$5</f>
        <v>-11585185.4436178</v>
      </c>
      <c r="L42" s="186">
        <f ca="1">'Large Use OLS Model (LC)'!$B$6*D42</f>
        <v>1218399.311051327</v>
      </c>
      <c r="M42" s="124">
        <f>'Large Use OLS Model (LC)'!$B$7*E42</f>
        <v>13912168.391460411</v>
      </c>
      <c r="N42" s="186">
        <v>0</v>
      </c>
      <c r="O42" s="186">
        <f>'Large Use OLS Model (LC)'!$B$8*G42</f>
        <v>0</v>
      </c>
      <c r="P42" s="186">
        <f>'Large Use OLS Model (LC)'!$B$9*H42</f>
        <v>0</v>
      </c>
      <c r="Q42" s="186">
        <f>'Large Use OLS Model (LC)'!$B$10*I42</f>
        <v>18122355.210333746</v>
      </c>
      <c r="R42" s="186">
        <f t="shared" ca="1" si="2"/>
        <v>21667737.469227687</v>
      </c>
    </row>
    <row r="43" spans="1:18">
      <c r="A43" s="128">
        <f>'Monthly Data'!A43</f>
        <v>41061</v>
      </c>
      <c r="B43" s="186">
        <f t="shared" si="1"/>
        <v>2012</v>
      </c>
      <c r="C43" s="124">
        <f ca="1">'Monthly Data'!AQ43</f>
        <v>23456120.90443496</v>
      </c>
      <c r="D43" s="186">
        <f t="shared" ca="1" si="3"/>
        <v>117.23999999999997</v>
      </c>
      <c r="E43" s="124">
        <f>'Monthly Data'!BJ43</f>
        <v>6693.3</v>
      </c>
      <c r="F43" s="186">
        <f>'Monthly Data'!BM43</f>
        <v>42</v>
      </c>
      <c r="G43" s="186">
        <f>'Monthly Data'!BT43</f>
        <v>0</v>
      </c>
      <c r="H43" s="186">
        <f>'Monthly Data'!BY43</f>
        <v>0</v>
      </c>
      <c r="I43" s="186">
        <f>'Monthly Data'!CC43</f>
        <v>30</v>
      </c>
      <c r="K43" s="186">
        <f>'Large Use OLS Model (LC)'!$B$5</f>
        <v>-11585185.4436178</v>
      </c>
      <c r="L43" s="186">
        <f ca="1">'Large Use OLS Model (LC)'!$B$6*D43</f>
        <v>3015519.0041726315</v>
      </c>
      <c r="M43" s="124">
        <f>'Large Use OLS Model (LC)'!$B$7*E43</f>
        <v>13918822.841895035</v>
      </c>
      <c r="N43" s="186">
        <v>0</v>
      </c>
      <c r="O43" s="186">
        <f>'Large Use OLS Model (LC)'!$B$8*G43</f>
        <v>0</v>
      </c>
      <c r="P43" s="186">
        <f>'Large Use OLS Model (LC)'!$B$9*H43</f>
        <v>0</v>
      </c>
      <c r="Q43" s="186">
        <f>'Large Use OLS Model (LC)'!$B$10*I43</f>
        <v>17537763.106774591</v>
      </c>
      <c r="R43" s="186">
        <f t="shared" ca="1" si="2"/>
        <v>22886919.50922446</v>
      </c>
    </row>
    <row r="44" spans="1:18">
      <c r="A44" s="128">
        <f>'Monthly Data'!A44</f>
        <v>41091</v>
      </c>
      <c r="B44" s="186">
        <f t="shared" si="1"/>
        <v>2012</v>
      </c>
      <c r="C44" s="124">
        <f ca="1">'Monthly Data'!AQ44</f>
        <v>25361430.625164669</v>
      </c>
      <c r="D44" s="186">
        <f t="shared" ca="1" si="3"/>
        <v>185.60999999999999</v>
      </c>
      <c r="E44" s="124">
        <f>'Monthly Data'!BJ44</f>
        <v>6694.6</v>
      </c>
      <c r="F44" s="186">
        <f>'Monthly Data'!BM44</f>
        <v>43</v>
      </c>
      <c r="G44" s="186">
        <f>'Monthly Data'!BT44</f>
        <v>1</v>
      </c>
      <c r="H44" s="186">
        <f>'Monthly Data'!BY44</f>
        <v>0</v>
      </c>
      <c r="I44" s="186">
        <f>'Monthly Data'!CC44</f>
        <v>31</v>
      </c>
      <c r="K44" s="186">
        <f>'Large Use OLS Model (LC)'!$B$5</f>
        <v>-11585185.4436178</v>
      </c>
      <c r="L44" s="186">
        <f ca="1">'Large Use OLS Model (LC)'!$B$6*D44</f>
        <v>4774057.3384892717</v>
      </c>
      <c r="M44" s="124">
        <f>'Large Use OLS Model (LC)'!$B$7*E44</f>
        <v>13921526.212384101</v>
      </c>
      <c r="N44" s="186">
        <v>0</v>
      </c>
      <c r="O44" s="186">
        <f>'Large Use OLS Model (LC)'!$B$8*G44</f>
        <v>-947874.12245155603</v>
      </c>
      <c r="P44" s="186">
        <f>'Large Use OLS Model (LC)'!$B$9*H44</f>
        <v>0</v>
      </c>
      <c r="Q44" s="186">
        <f>'Large Use OLS Model (LC)'!$B$10*I44</f>
        <v>18122355.210333746</v>
      </c>
      <c r="R44" s="186">
        <f t="shared" ca="1" si="2"/>
        <v>24284879.195137762</v>
      </c>
    </row>
    <row r="45" spans="1:18">
      <c r="A45" s="128">
        <f>'Monthly Data'!A45</f>
        <v>41122</v>
      </c>
      <c r="B45" s="186">
        <f t="shared" si="1"/>
        <v>2012</v>
      </c>
      <c r="C45" s="124">
        <f ca="1">'Monthly Data'!AQ45</f>
        <v>24577913.731392249</v>
      </c>
      <c r="D45" s="186">
        <f t="shared" ca="1" si="3"/>
        <v>159.64000000000001</v>
      </c>
      <c r="E45" s="124">
        <f>'Monthly Data'!BJ45</f>
        <v>6703.3</v>
      </c>
      <c r="F45" s="186">
        <f>'Monthly Data'!BM45</f>
        <v>44</v>
      </c>
      <c r="G45" s="186">
        <f>'Monthly Data'!BT45</f>
        <v>0</v>
      </c>
      <c r="H45" s="186">
        <f>'Monthly Data'!BY45</f>
        <v>0</v>
      </c>
      <c r="I45" s="186">
        <f>'Monthly Data'!CC45</f>
        <v>31</v>
      </c>
      <c r="K45" s="186">
        <f>'Large Use OLS Model (LC)'!$B$5</f>
        <v>-11585185.4436178</v>
      </c>
      <c r="L45" s="186">
        <f ca="1">'Large Use OLS Model (LC)'!$B$6*D45</f>
        <v>4106085.4130511689</v>
      </c>
      <c r="M45" s="124">
        <f>'Large Use OLS Model (LC)'!$B$7*E45</f>
        <v>13939617.999503233</v>
      </c>
      <c r="N45" s="186">
        <v>0</v>
      </c>
      <c r="O45" s="186">
        <f>'Large Use OLS Model (LC)'!$B$8*G45</f>
        <v>0</v>
      </c>
      <c r="P45" s="186">
        <f>'Large Use OLS Model (LC)'!$B$9*H45</f>
        <v>0</v>
      </c>
      <c r="Q45" s="186">
        <f>'Large Use OLS Model (LC)'!$B$10*I45</f>
        <v>18122355.210333746</v>
      </c>
      <c r="R45" s="186">
        <f t="shared" ca="1" si="2"/>
        <v>24582873.179270349</v>
      </c>
    </row>
    <row r="46" spans="1:18">
      <c r="A46" s="128">
        <f>'Monthly Data'!A46</f>
        <v>41153</v>
      </c>
      <c r="B46" s="186">
        <f t="shared" si="1"/>
        <v>2012</v>
      </c>
      <c r="C46" s="124">
        <f ca="1">'Monthly Data'!AQ46</f>
        <v>22977997.316620789</v>
      </c>
      <c r="D46" s="186">
        <f t="shared" ca="1" si="3"/>
        <v>72.989999999999981</v>
      </c>
      <c r="E46" s="124">
        <f>'Monthly Data'!BJ46</f>
        <v>6707.4</v>
      </c>
      <c r="F46" s="186">
        <f>'Monthly Data'!BM46</f>
        <v>45</v>
      </c>
      <c r="G46" s="186">
        <f>'Monthly Data'!BT46</f>
        <v>0</v>
      </c>
      <c r="H46" s="186">
        <f>'Monthly Data'!BY46</f>
        <v>0</v>
      </c>
      <c r="I46" s="186">
        <f>'Monthly Data'!CC46</f>
        <v>30</v>
      </c>
      <c r="K46" s="186">
        <f>'Large Use OLS Model (LC)'!$B$5</f>
        <v>-11585185.4436178</v>
      </c>
      <c r="L46" s="186">
        <f ca="1">'Large Use OLS Model (LC)'!$B$6*D46</f>
        <v>1877368.9194350082</v>
      </c>
      <c r="M46" s="124">
        <f>'Large Use OLS Model (LC)'!$B$7*E46</f>
        <v>13948144.014122592</v>
      </c>
      <c r="N46" s="186">
        <v>0</v>
      </c>
      <c r="O46" s="186">
        <f>'Large Use OLS Model (LC)'!$B$8*G46</f>
        <v>0</v>
      </c>
      <c r="P46" s="186">
        <f>'Large Use OLS Model (LC)'!$B$9*H46</f>
        <v>0</v>
      </c>
      <c r="Q46" s="186">
        <f>'Large Use OLS Model (LC)'!$B$10*I46</f>
        <v>17537763.106774591</v>
      </c>
      <c r="R46" s="186">
        <f t="shared" ca="1" si="2"/>
        <v>21778090.596714392</v>
      </c>
    </row>
    <row r="47" spans="1:18">
      <c r="A47" s="128">
        <f>'Monthly Data'!A47</f>
        <v>41183</v>
      </c>
      <c r="B47" s="186">
        <f t="shared" si="1"/>
        <v>2012</v>
      </c>
      <c r="C47" s="124">
        <f ca="1">'Monthly Data'!AQ47</f>
        <v>21890662.71008677</v>
      </c>
      <c r="D47" s="186">
        <f t="shared" ca="1" si="3"/>
        <v>10.779999999999998</v>
      </c>
      <c r="E47" s="124">
        <f>'Monthly Data'!BJ47</f>
        <v>6710</v>
      </c>
      <c r="F47" s="186">
        <f>'Monthly Data'!BM47</f>
        <v>46</v>
      </c>
      <c r="G47" s="186">
        <f>'Monthly Data'!BT47</f>
        <v>0</v>
      </c>
      <c r="H47" s="186">
        <f>'Monthly Data'!BY47</f>
        <v>0</v>
      </c>
      <c r="I47" s="186">
        <f>'Monthly Data'!CC47</f>
        <v>31</v>
      </c>
      <c r="K47" s="186">
        <f>'Large Use OLS Model (LC)'!$B$5</f>
        <v>-11585185.4436178</v>
      </c>
      <c r="L47" s="186">
        <f ca="1">'Large Use OLS Model (LC)'!$B$6*D47</f>
        <v>277271.36527619383</v>
      </c>
      <c r="M47" s="124">
        <f>'Large Use OLS Model (LC)'!$B$7*E47</f>
        <v>13953550.755100725</v>
      </c>
      <c r="N47" s="186">
        <v>0</v>
      </c>
      <c r="O47" s="186">
        <f>'Large Use OLS Model (LC)'!$B$8*G47</f>
        <v>0</v>
      </c>
      <c r="P47" s="186">
        <f>'Large Use OLS Model (LC)'!$B$9*H47</f>
        <v>0</v>
      </c>
      <c r="Q47" s="186">
        <f>'Large Use OLS Model (LC)'!$B$10*I47</f>
        <v>18122355.210333746</v>
      </c>
      <c r="R47" s="186">
        <f t="shared" ca="1" si="2"/>
        <v>20767991.887092866</v>
      </c>
    </row>
    <row r="48" spans="1:18">
      <c r="A48" s="128">
        <f>'Monthly Data'!A48</f>
        <v>41214</v>
      </c>
      <c r="B48" s="186">
        <f t="shared" si="1"/>
        <v>2012</v>
      </c>
      <c r="C48" s="124">
        <f ca="1">'Monthly Data'!AQ48</f>
        <v>20407767.89345184</v>
      </c>
      <c r="D48" s="186">
        <f t="shared" ca="1" si="3"/>
        <v>0.05</v>
      </c>
      <c r="E48" s="124">
        <f>'Monthly Data'!BJ48</f>
        <v>6722.4</v>
      </c>
      <c r="F48" s="186">
        <f>'Monthly Data'!BM48</f>
        <v>47</v>
      </c>
      <c r="G48" s="186">
        <f>'Monthly Data'!BT48</f>
        <v>0</v>
      </c>
      <c r="H48" s="186">
        <f>'Monthly Data'!BY48</f>
        <v>0</v>
      </c>
      <c r="I48" s="186">
        <f>'Monthly Data'!CC48</f>
        <v>30</v>
      </c>
      <c r="K48" s="186">
        <f>'Large Use OLS Model (LC)'!$B$5</f>
        <v>-11585185.4436178</v>
      </c>
      <c r="L48" s="186">
        <f ca="1">'Large Use OLS Model (LC)'!$B$6*D48</f>
        <v>1286.0452934888401</v>
      </c>
      <c r="M48" s="124">
        <f>'Large Use OLS Model (LC)'!$B$7*E48</f>
        <v>13979336.750534888</v>
      </c>
      <c r="N48" s="186">
        <v>0</v>
      </c>
      <c r="O48" s="186">
        <f>'Large Use OLS Model (LC)'!$B$8*G48</f>
        <v>0</v>
      </c>
      <c r="P48" s="186">
        <f>'Large Use OLS Model (LC)'!$B$9*H48</f>
        <v>0</v>
      </c>
      <c r="Q48" s="186">
        <f>'Large Use OLS Model (LC)'!$B$10*I48</f>
        <v>17537763.106774591</v>
      </c>
      <c r="R48" s="186">
        <f t="shared" ca="1" si="2"/>
        <v>19933200.458985168</v>
      </c>
    </row>
    <row r="49" spans="1:18">
      <c r="A49" s="128">
        <f>'Monthly Data'!A49</f>
        <v>41244</v>
      </c>
      <c r="B49" s="186">
        <f t="shared" si="1"/>
        <v>2012</v>
      </c>
      <c r="C49" s="124">
        <f ca="1">'Monthly Data'!AQ49</f>
        <v>19317288.89377021</v>
      </c>
      <c r="D49" s="186">
        <f t="shared" ca="1" si="3"/>
        <v>0</v>
      </c>
      <c r="E49" s="124">
        <f>'Monthly Data'!BJ49</f>
        <v>6740.6</v>
      </c>
      <c r="F49" s="186">
        <f>'Monthly Data'!BM49</f>
        <v>48</v>
      </c>
      <c r="G49" s="186">
        <f>'Monthly Data'!BT49</f>
        <v>0</v>
      </c>
      <c r="H49" s="186">
        <f>'Monthly Data'!BY49</f>
        <v>1</v>
      </c>
      <c r="I49" s="186">
        <f>'Monthly Data'!CC49</f>
        <v>31</v>
      </c>
      <c r="K49" s="186">
        <f>'Large Use OLS Model (LC)'!$B$5</f>
        <v>-11585185.4436178</v>
      </c>
      <c r="L49" s="186">
        <f ca="1">'Large Use OLS Model (LC)'!$B$6*D49</f>
        <v>0</v>
      </c>
      <c r="M49" s="124">
        <f>'Large Use OLS Model (LC)'!$B$7*E49</f>
        <v>14017183.93738181</v>
      </c>
      <c r="N49" s="186">
        <v>0</v>
      </c>
      <c r="O49" s="186">
        <f>'Large Use OLS Model (LC)'!$B$8*G49</f>
        <v>0</v>
      </c>
      <c r="P49" s="186">
        <f>'Large Use OLS Model (LC)'!$B$9*H49</f>
        <v>-1776727.9579078101</v>
      </c>
      <c r="Q49" s="186">
        <f>'Large Use OLS Model (LC)'!$B$10*I49</f>
        <v>18122355.210333746</v>
      </c>
      <c r="R49" s="186">
        <f t="shared" ca="1" si="2"/>
        <v>18777625.746189944</v>
      </c>
    </row>
    <row r="50" spans="1:18">
      <c r="A50" s="128">
        <f>'Monthly Data'!A50</f>
        <v>41275</v>
      </c>
      <c r="B50" s="186">
        <f t="shared" si="1"/>
        <v>2013</v>
      </c>
      <c r="C50" s="124">
        <f ca="1">'Monthly Data'!AQ50</f>
        <v>20938144.430793405</v>
      </c>
      <c r="D50" s="186">
        <f t="shared" ca="1" si="3"/>
        <v>0</v>
      </c>
      <c r="E50" s="124">
        <f>'Monthly Data'!BJ50</f>
        <v>6758.8</v>
      </c>
      <c r="F50" s="186">
        <f>'Monthly Data'!BM50</f>
        <v>49</v>
      </c>
      <c r="G50" s="186">
        <f>'Monthly Data'!BT50</f>
        <v>0</v>
      </c>
      <c r="H50" s="186">
        <f>'Monthly Data'!BY50</f>
        <v>0</v>
      </c>
      <c r="I50" s="186">
        <f>'Monthly Data'!CC50</f>
        <v>31</v>
      </c>
      <c r="K50" s="186">
        <f>'Large Use OLS Model (LC)'!$B$5</f>
        <v>-11585185.4436178</v>
      </c>
      <c r="L50" s="186">
        <f ca="1">'Large Use OLS Model (LC)'!$B$6*D50</f>
        <v>0</v>
      </c>
      <c r="M50" s="124">
        <f>'Large Use OLS Model (LC)'!$B$7*E50</f>
        <v>14055031.124228731</v>
      </c>
      <c r="N50" s="186">
        <v>0</v>
      </c>
      <c r="O50" s="186">
        <f>'Large Use OLS Model (LC)'!$B$8*G50</f>
        <v>0</v>
      </c>
      <c r="P50" s="186">
        <f>'Large Use OLS Model (LC)'!$B$9*H50</f>
        <v>0</v>
      </c>
      <c r="Q50" s="186">
        <f>'Large Use OLS Model (LC)'!$B$10*I50</f>
        <v>18122355.210333746</v>
      </c>
      <c r="R50" s="186">
        <f t="shared" ca="1" si="2"/>
        <v>20592200.890944675</v>
      </c>
    </row>
    <row r="51" spans="1:18">
      <c r="A51" s="128">
        <f>'Monthly Data'!A51</f>
        <v>41306</v>
      </c>
      <c r="B51" s="186">
        <f t="shared" si="1"/>
        <v>2013</v>
      </c>
      <c r="C51" s="124">
        <f ca="1">'Monthly Data'!AQ51</f>
        <v>19315820.07202718</v>
      </c>
      <c r="D51" s="186">
        <f t="shared" ca="1" si="3"/>
        <v>0</v>
      </c>
      <c r="E51" s="124">
        <f>'Monthly Data'!BJ51</f>
        <v>6775.5</v>
      </c>
      <c r="F51" s="186">
        <f>'Monthly Data'!BM51</f>
        <v>50</v>
      </c>
      <c r="G51" s="186">
        <f>'Monthly Data'!BT51</f>
        <v>0</v>
      </c>
      <c r="H51" s="186">
        <f>'Monthly Data'!BY51</f>
        <v>0</v>
      </c>
      <c r="I51" s="186">
        <f>'Monthly Data'!CC51</f>
        <v>28</v>
      </c>
      <c r="K51" s="186">
        <f>'Large Use OLS Model (LC)'!$B$5</f>
        <v>-11585185.4436178</v>
      </c>
      <c r="L51" s="186">
        <f ca="1">'Large Use OLS Model (LC)'!$B$6*D51</f>
        <v>0</v>
      </c>
      <c r="M51" s="124">
        <f>'Large Use OLS Model (LC)'!$B$7*E51</f>
        <v>14089759.03743442</v>
      </c>
      <c r="N51" s="186">
        <v>0</v>
      </c>
      <c r="O51" s="186">
        <f>'Large Use OLS Model (LC)'!$B$8*G51</f>
        <v>0</v>
      </c>
      <c r="P51" s="186">
        <f>'Large Use OLS Model (LC)'!$B$9*H51</f>
        <v>0</v>
      </c>
      <c r="Q51" s="186">
        <f>'Large Use OLS Model (LC)'!$B$10*I51</f>
        <v>16368578.899656285</v>
      </c>
      <c r="R51" s="186">
        <f t="shared" ca="1" si="2"/>
        <v>18873152.493472904</v>
      </c>
    </row>
    <row r="52" spans="1:18">
      <c r="A52" s="128">
        <f>'Monthly Data'!A52</f>
        <v>41334</v>
      </c>
      <c r="B52" s="186">
        <f t="shared" si="1"/>
        <v>2013</v>
      </c>
      <c r="C52" s="124">
        <f ca="1">'Monthly Data'!AQ52</f>
        <v>23045320.972772148</v>
      </c>
      <c r="D52" s="186">
        <f t="shared" ca="1" si="3"/>
        <v>0.48</v>
      </c>
      <c r="E52" s="124">
        <f>'Monthly Data'!BJ52</f>
        <v>6781.1</v>
      </c>
      <c r="F52" s="186">
        <f>'Monthly Data'!BM52</f>
        <v>51</v>
      </c>
      <c r="G52" s="186">
        <f>'Monthly Data'!BT52</f>
        <v>0</v>
      </c>
      <c r="H52" s="186">
        <f>'Monthly Data'!BY52</f>
        <v>0</v>
      </c>
      <c r="I52" s="186">
        <f>'Monthly Data'!CC52</f>
        <v>31</v>
      </c>
      <c r="K52" s="186">
        <f>'Large Use OLS Model (LC)'!$B$5</f>
        <v>-11585185.4436178</v>
      </c>
      <c r="L52" s="186">
        <f ca="1">'Large Use OLS Model (LC)'!$B$6*D52</f>
        <v>12346.034817492864</v>
      </c>
      <c r="M52" s="124">
        <f>'Large Use OLS Model (LC)'!$B$7*E52</f>
        <v>14101404.325695012</v>
      </c>
      <c r="N52" s="186">
        <v>0</v>
      </c>
      <c r="O52" s="186">
        <f>'Large Use OLS Model (LC)'!$B$8*G52</f>
        <v>0</v>
      </c>
      <c r="P52" s="186">
        <f>'Large Use OLS Model (LC)'!$B$9*H52</f>
        <v>0</v>
      </c>
      <c r="Q52" s="186">
        <f>'Large Use OLS Model (LC)'!$B$10*I52</f>
        <v>18122355.210333746</v>
      </c>
      <c r="R52" s="186">
        <f t="shared" ca="1" si="2"/>
        <v>20650920.12722845</v>
      </c>
    </row>
    <row r="53" spans="1:18">
      <c r="A53" s="128">
        <f>'Monthly Data'!A53</f>
        <v>41365</v>
      </c>
      <c r="B53" s="186">
        <f t="shared" si="1"/>
        <v>2013</v>
      </c>
      <c r="C53" s="124">
        <f ca="1">'Monthly Data'!AQ53</f>
        <v>22026086.518144023</v>
      </c>
      <c r="D53" s="186">
        <f t="shared" ca="1" si="3"/>
        <v>2.63</v>
      </c>
      <c r="E53" s="124">
        <f>'Monthly Data'!BJ53</f>
        <v>6788.9</v>
      </c>
      <c r="F53" s="186">
        <f>'Monthly Data'!BM53</f>
        <v>52</v>
      </c>
      <c r="G53" s="186">
        <f>'Monthly Data'!BT53</f>
        <v>0</v>
      </c>
      <c r="H53" s="186">
        <f>'Monthly Data'!BY53</f>
        <v>0</v>
      </c>
      <c r="I53" s="186">
        <f>'Monthly Data'!CC53</f>
        <v>30</v>
      </c>
      <c r="K53" s="186">
        <f>'Large Use OLS Model (LC)'!$B$5</f>
        <v>-11585185.4436178</v>
      </c>
      <c r="L53" s="186">
        <f ca="1">'Large Use OLS Model (LC)'!$B$6*D53</f>
        <v>67645.982437512983</v>
      </c>
      <c r="M53" s="124">
        <f>'Large Use OLS Model (LC)'!$B$7*E53</f>
        <v>14117624.548629405</v>
      </c>
      <c r="N53" s="186">
        <v>0</v>
      </c>
      <c r="O53" s="186">
        <f>'Large Use OLS Model (LC)'!$B$8*G53</f>
        <v>0</v>
      </c>
      <c r="P53" s="186">
        <f>'Large Use OLS Model (LC)'!$B$9*H53</f>
        <v>0</v>
      </c>
      <c r="Q53" s="186">
        <f>'Large Use OLS Model (LC)'!$B$10*I53</f>
        <v>17537763.106774591</v>
      </c>
      <c r="R53" s="186">
        <f t="shared" ca="1" si="2"/>
        <v>20137848.194223709</v>
      </c>
    </row>
    <row r="54" spans="1:18">
      <c r="A54" s="128">
        <f>'Monthly Data'!A54</f>
        <v>41395</v>
      </c>
      <c r="B54" s="186">
        <f t="shared" si="1"/>
        <v>2013</v>
      </c>
      <c r="C54" s="124">
        <f ca="1">'Monthly Data'!AQ54</f>
        <v>22961717.117793832</v>
      </c>
      <c r="D54" s="186">
        <f t="shared" ca="1" si="3"/>
        <v>47.37</v>
      </c>
      <c r="E54" s="124">
        <f>'Monthly Data'!BJ54</f>
        <v>6801.1</v>
      </c>
      <c r="F54" s="186">
        <f>'Monthly Data'!BM54</f>
        <v>53</v>
      </c>
      <c r="G54" s="186">
        <f>'Monthly Data'!BT54</f>
        <v>0</v>
      </c>
      <c r="H54" s="186">
        <f>'Monthly Data'!BY54</f>
        <v>0</v>
      </c>
      <c r="I54" s="186">
        <f>'Monthly Data'!CC54</f>
        <v>31</v>
      </c>
      <c r="K54" s="186">
        <f>'Large Use OLS Model (LC)'!$B$5</f>
        <v>-11585185.4436178</v>
      </c>
      <c r="L54" s="186">
        <f ca="1">'Large Use OLS Model (LC)'!$B$6*D54</f>
        <v>1218399.311051327</v>
      </c>
      <c r="M54" s="124">
        <f>'Large Use OLS Model (LC)'!$B$7*E54</f>
        <v>14142994.640911408</v>
      </c>
      <c r="N54" s="186">
        <v>0</v>
      </c>
      <c r="O54" s="186">
        <f>'Large Use OLS Model (LC)'!$B$8*G54</f>
        <v>0</v>
      </c>
      <c r="P54" s="186">
        <f>'Large Use OLS Model (LC)'!$B$9*H54</f>
        <v>0</v>
      </c>
      <c r="Q54" s="186">
        <f>'Large Use OLS Model (LC)'!$B$10*I54</f>
        <v>18122355.210333746</v>
      </c>
      <c r="R54" s="186">
        <f t="shared" ca="1" si="2"/>
        <v>21898563.718678683</v>
      </c>
    </row>
    <row r="55" spans="1:18">
      <c r="A55" s="128">
        <f>'Monthly Data'!A55</f>
        <v>41426</v>
      </c>
      <c r="B55" s="186">
        <f t="shared" si="1"/>
        <v>2013</v>
      </c>
      <c r="C55" s="124">
        <f ca="1">'Monthly Data'!AQ55</f>
        <v>22886135.390346128</v>
      </c>
      <c r="D55" s="186">
        <f t="shared" ca="1" si="3"/>
        <v>117.23999999999997</v>
      </c>
      <c r="E55" s="124">
        <f>'Monthly Data'!BJ55</f>
        <v>6815.2</v>
      </c>
      <c r="F55" s="186">
        <f>'Monthly Data'!BM55</f>
        <v>54</v>
      </c>
      <c r="G55" s="186">
        <f>'Monthly Data'!BT55</f>
        <v>0</v>
      </c>
      <c r="H55" s="186">
        <f>'Monthly Data'!BY55</f>
        <v>0</v>
      </c>
      <c r="I55" s="186">
        <f>'Monthly Data'!CC55</f>
        <v>30</v>
      </c>
      <c r="K55" s="186">
        <f>'Large Use OLS Model (LC)'!$B$5</f>
        <v>-11585185.4436178</v>
      </c>
      <c r="L55" s="186">
        <f ca="1">'Large Use OLS Model (LC)'!$B$6*D55</f>
        <v>3015519.0041726315</v>
      </c>
      <c r="M55" s="124">
        <f>'Large Use OLS Model (LC)'!$B$7*E55</f>
        <v>14172315.813138966</v>
      </c>
      <c r="N55" s="186">
        <v>0</v>
      </c>
      <c r="O55" s="186">
        <f>'Large Use OLS Model (LC)'!$B$8*G55</f>
        <v>0</v>
      </c>
      <c r="P55" s="186">
        <f>'Large Use OLS Model (LC)'!$B$9*H55</f>
        <v>0</v>
      </c>
      <c r="Q55" s="186">
        <f>'Large Use OLS Model (LC)'!$B$10*I55</f>
        <v>17537763.106774591</v>
      </c>
      <c r="R55" s="186">
        <f t="shared" ca="1" si="2"/>
        <v>23140412.480468389</v>
      </c>
    </row>
    <row r="56" spans="1:18">
      <c r="A56" s="128">
        <f>'Monthly Data'!A56</f>
        <v>41456</v>
      </c>
      <c r="B56" s="186">
        <f t="shared" si="1"/>
        <v>2013</v>
      </c>
      <c r="C56" s="124">
        <f ca="1">'Monthly Data'!AQ56</f>
        <v>23748691.39553849</v>
      </c>
      <c r="D56" s="186">
        <f t="shared" ca="1" si="3"/>
        <v>185.60999999999999</v>
      </c>
      <c r="E56" s="124">
        <f>'Monthly Data'!BJ56</f>
        <v>6826.2</v>
      </c>
      <c r="F56" s="186">
        <f>'Monthly Data'!BM56</f>
        <v>55</v>
      </c>
      <c r="G56" s="186">
        <f>'Monthly Data'!BT56</f>
        <v>1</v>
      </c>
      <c r="H56" s="186">
        <f>'Monthly Data'!BY56</f>
        <v>0</v>
      </c>
      <c r="I56" s="186">
        <f>'Monthly Data'!CC56</f>
        <v>31</v>
      </c>
      <c r="K56" s="186">
        <f>'Large Use OLS Model (LC)'!$B$5</f>
        <v>-11585185.4436178</v>
      </c>
      <c r="L56" s="186">
        <f ca="1">'Large Use OLS Model (LC)'!$B$6*D56</f>
        <v>4774057.3384892717</v>
      </c>
      <c r="M56" s="124">
        <f>'Large Use OLS Model (LC)'!$B$7*E56</f>
        <v>14195190.486507982</v>
      </c>
      <c r="N56" s="186">
        <v>0</v>
      </c>
      <c r="O56" s="186">
        <f>'Large Use OLS Model (LC)'!$B$8*G56</f>
        <v>-947874.12245155603</v>
      </c>
      <c r="P56" s="186">
        <f>'Large Use OLS Model (LC)'!$B$9*H56</f>
        <v>0</v>
      </c>
      <c r="Q56" s="186">
        <f>'Large Use OLS Model (LC)'!$B$10*I56</f>
        <v>18122355.210333746</v>
      </c>
      <c r="R56" s="186">
        <f t="shared" ca="1" si="2"/>
        <v>24558543.469261643</v>
      </c>
    </row>
    <row r="57" spans="1:18">
      <c r="A57" s="128">
        <f>'Monthly Data'!A57</f>
        <v>41487</v>
      </c>
      <c r="B57" s="186">
        <f t="shared" si="1"/>
        <v>2013</v>
      </c>
      <c r="C57" s="124">
        <f ca="1">'Monthly Data'!AQ57</f>
        <v>24186748.846067321</v>
      </c>
      <c r="D57" s="186">
        <f t="shared" ca="1" si="3"/>
        <v>159.64000000000001</v>
      </c>
      <c r="E57" s="124">
        <f>'Monthly Data'!BJ57</f>
        <v>6833.9</v>
      </c>
      <c r="F57" s="186">
        <f>'Monthly Data'!BM57</f>
        <v>56</v>
      </c>
      <c r="G57" s="186">
        <f>'Monthly Data'!BT57</f>
        <v>0</v>
      </c>
      <c r="H57" s="186">
        <f>'Monthly Data'!BY57</f>
        <v>0</v>
      </c>
      <c r="I57" s="186">
        <f>'Monthly Data'!CC57</f>
        <v>31</v>
      </c>
      <c r="K57" s="186">
        <f>'Large Use OLS Model (LC)'!$B$5</f>
        <v>-11585185.4436178</v>
      </c>
      <c r="L57" s="186">
        <f ca="1">'Large Use OLS Model (LC)'!$B$6*D57</f>
        <v>4106085.4130511689</v>
      </c>
      <c r="M57" s="124">
        <f>'Large Use OLS Model (LC)'!$B$7*E57</f>
        <v>14211202.757866295</v>
      </c>
      <c r="N57" s="186">
        <v>0</v>
      </c>
      <c r="O57" s="186">
        <f>'Large Use OLS Model (LC)'!$B$8*G57</f>
        <v>0</v>
      </c>
      <c r="P57" s="186">
        <f>'Large Use OLS Model (LC)'!$B$9*H57</f>
        <v>0</v>
      </c>
      <c r="Q57" s="186">
        <f>'Large Use OLS Model (LC)'!$B$10*I57</f>
        <v>18122355.210333746</v>
      </c>
      <c r="R57" s="186">
        <f t="shared" ca="1" si="2"/>
        <v>24854457.93763341</v>
      </c>
    </row>
    <row r="58" spans="1:18">
      <c r="A58" s="128">
        <f>'Monthly Data'!A58</f>
        <v>41518</v>
      </c>
      <c r="B58" s="186">
        <f t="shared" si="1"/>
        <v>2013</v>
      </c>
      <c r="C58" s="124">
        <f ca="1">'Monthly Data'!AQ58</f>
        <v>21216640.257023308</v>
      </c>
      <c r="D58" s="186">
        <f t="shared" ca="1" si="3"/>
        <v>72.989999999999981</v>
      </c>
      <c r="E58" s="124">
        <f>'Monthly Data'!BJ58</f>
        <v>6843.3</v>
      </c>
      <c r="F58" s="186">
        <f>'Monthly Data'!BM58</f>
        <v>57</v>
      </c>
      <c r="G58" s="186">
        <f>'Monthly Data'!BT58</f>
        <v>0</v>
      </c>
      <c r="H58" s="186">
        <f>'Monthly Data'!BY58</f>
        <v>0</v>
      </c>
      <c r="I58" s="186">
        <f>'Monthly Data'!CC58</f>
        <v>30</v>
      </c>
      <c r="K58" s="186">
        <f>'Large Use OLS Model (LC)'!$B$5</f>
        <v>-11585185.4436178</v>
      </c>
      <c r="L58" s="186">
        <f ca="1">'Large Use OLS Model (LC)'!$B$6*D58</f>
        <v>1877368.9194350082</v>
      </c>
      <c r="M58" s="124">
        <f>'Large Use OLS Model (LC)'!$B$7*E58</f>
        <v>14230750.206018001</v>
      </c>
      <c r="N58" s="186">
        <v>0</v>
      </c>
      <c r="O58" s="186">
        <f>'Large Use OLS Model (LC)'!$B$8*G58</f>
        <v>0</v>
      </c>
      <c r="P58" s="186">
        <f>'Large Use OLS Model (LC)'!$B$9*H58</f>
        <v>0</v>
      </c>
      <c r="Q58" s="186">
        <f>'Large Use OLS Model (LC)'!$B$10*I58</f>
        <v>17537763.106774591</v>
      </c>
      <c r="R58" s="186">
        <f t="shared" ca="1" si="2"/>
        <v>22060696.788609799</v>
      </c>
    </row>
    <row r="59" spans="1:18">
      <c r="A59" s="128">
        <f>'Monthly Data'!A59</f>
        <v>41548</v>
      </c>
      <c r="B59" s="186">
        <f t="shared" si="1"/>
        <v>2013</v>
      </c>
      <c r="C59" s="124">
        <f ca="1">'Monthly Data'!AQ59</f>
        <v>21329674.185019702</v>
      </c>
      <c r="D59" s="186">
        <f t="shared" ca="1" si="3"/>
        <v>10.779999999999998</v>
      </c>
      <c r="E59" s="124">
        <f>'Monthly Data'!BJ59</f>
        <v>6850.3</v>
      </c>
      <c r="F59" s="186">
        <f>'Monthly Data'!BM59</f>
        <v>58</v>
      </c>
      <c r="G59" s="186">
        <f>'Monthly Data'!BT59</f>
        <v>0</v>
      </c>
      <c r="H59" s="186">
        <f>'Monthly Data'!BY59</f>
        <v>0</v>
      </c>
      <c r="I59" s="186">
        <f>'Monthly Data'!CC59</f>
        <v>31</v>
      </c>
      <c r="K59" s="186">
        <f>'Large Use OLS Model (LC)'!$B$5</f>
        <v>-11585185.4436178</v>
      </c>
      <c r="L59" s="186">
        <f ca="1">'Large Use OLS Model (LC)'!$B$6*D59</f>
        <v>277271.36527619383</v>
      </c>
      <c r="M59" s="124">
        <f>'Large Use OLS Model (LC)'!$B$7*E59</f>
        <v>14245306.81634374</v>
      </c>
      <c r="N59" s="186">
        <v>0</v>
      </c>
      <c r="O59" s="186">
        <f>'Large Use OLS Model (LC)'!$B$8*G59</f>
        <v>0</v>
      </c>
      <c r="P59" s="186">
        <f>'Large Use OLS Model (LC)'!$B$9*H59</f>
        <v>0</v>
      </c>
      <c r="Q59" s="186">
        <f>'Large Use OLS Model (LC)'!$B$10*I59</f>
        <v>18122355.210333746</v>
      </c>
      <c r="R59" s="186">
        <f t="shared" ca="1" si="2"/>
        <v>21059747.948335879</v>
      </c>
    </row>
    <row r="60" spans="1:18">
      <c r="A60" s="128">
        <f>'Monthly Data'!A60</f>
        <v>41579</v>
      </c>
      <c r="B60" s="186">
        <f t="shared" si="1"/>
        <v>2013</v>
      </c>
      <c r="C60" s="124">
        <f ca="1">'Monthly Data'!AQ60</f>
        <v>20487706.051090527</v>
      </c>
      <c r="D60" s="186">
        <f t="shared" ca="1" si="3"/>
        <v>0.05</v>
      </c>
      <c r="E60" s="124">
        <f>'Monthly Data'!BJ60</f>
        <v>6854</v>
      </c>
      <c r="F60" s="186">
        <f>'Monthly Data'!BM60</f>
        <v>59</v>
      </c>
      <c r="G60" s="186">
        <f>'Monthly Data'!BT60</f>
        <v>0</v>
      </c>
      <c r="H60" s="186">
        <f>'Monthly Data'!BY60</f>
        <v>0</v>
      </c>
      <c r="I60" s="186">
        <f>'Monthly Data'!CC60</f>
        <v>30</v>
      </c>
      <c r="K60" s="186">
        <f>'Large Use OLS Model (LC)'!$B$5</f>
        <v>-11585185.4436178</v>
      </c>
      <c r="L60" s="186">
        <f ca="1">'Large Use OLS Model (LC)'!$B$6*D60</f>
        <v>1286.0452934888401</v>
      </c>
      <c r="M60" s="124">
        <f>'Large Use OLS Model (LC)'!$B$7*E60</f>
        <v>14253001.024658773</v>
      </c>
      <c r="N60" s="186">
        <v>0</v>
      </c>
      <c r="O60" s="186">
        <f>'Large Use OLS Model (LC)'!$B$8*G60</f>
        <v>0</v>
      </c>
      <c r="P60" s="186">
        <f>'Large Use OLS Model (LC)'!$B$9*H60</f>
        <v>0</v>
      </c>
      <c r="Q60" s="186">
        <f>'Large Use OLS Model (LC)'!$B$10*I60</f>
        <v>17537763.106774591</v>
      </c>
      <c r="R60" s="186">
        <f t="shared" ca="1" si="2"/>
        <v>20206864.733109053</v>
      </c>
    </row>
    <row r="61" spans="1:18">
      <c r="A61" s="128">
        <f>'Monthly Data'!A61</f>
        <v>41609</v>
      </c>
      <c r="B61" s="186">
        <f t="shared" si="1"/>
        <v>2013</v>
      </c>
      <c r="C61" s="124">
        <f ca="1">'Monthly Data'!AQ61</f>
        <v>18775517.766363285</v>
      </c>
      <c r="D61" s="186">
        <f t="shared" ca="1" si="3"/>
        <v>0</v>
      </c>
      <c r="E61" s="124">
        <f>'Monthly Data'!BJ61</f>
        <v>6850.4</v>
      </c>
      <c r="F61" s="186">
        <f>'Monthly Data'!BM61</f>
        <v>60</v>
      </c>
      <c r="G61" s="186">
        <f>'Monthly Data'!BT61</f>
        <v>0</v>
      </c>
      <c r="H61" s="186">
        <f>'Monthly Data'!BY61</f>
        <v>1</v>
      </c>
      <c r="I61" s="186">
        <f>'Monthly Data'!CC61</f>
        <v>31</v>
      </c>
      <c r="K61" s="186">
        <f>'Large Use OLS Model (LC)'!$B$5</f>
        <v>-11585185.4436178</v>
      </c>
      <c r="L61" s="186">
        <f ca="1">'Large Use OLS Model (LC)'!$B$6*D61</f>
        <v>0</v>
      </c>
      <c r="M61" s="124">
        <f>'Large Use OLS Model (LC)'!$B$7*E61</f>
        <v>14245514.767919822</v>
      </c>
      <c r="N61" s="186">
        <v>0</v>
      </c>
      <c r="O61" s="186">
        <f>'Large Use OLS Model (LC)'!$B$8*G61</f>
        <v>0</v>
      </c>
      <c r="P61" s="186">
        <f>'Large Use OLS Model (LC)'!$B$9*H61</f>
        <v>-1776727.9579078101</v>
      </c>
      <c r="Q61" s="186">
        <f>'Large Use OLS Model (LC)'!$B$10*I61</f>
        <v>18122355.210333746</v>
      </c>
      <c r="R61" s="186">
        <f t="shared" ca="1" si="2"/>
        <v>19005956.576727957</v>
      </c>
    </row>
    <row r="62" spans="1:18">
      <c r="A62" s="128">
        <f>'Monthly Data'!A62</f>
        <v>41640</v>
      </c>
      <c r="B62" s="186">
        <f t="shared" si="1"/>
        <v>2014</v>
      </c>
      <c r="C62" s="124">
        <f ca="1">'Monthly Data'!AQ62</f>
        <v>22344717.219473366</v>
      </c>
      <c r="D62" s="186">
        <f t="shared" ca="1" si="3"/>
        <v>0</v>
      </c>
      <c r="E62" s="124">
        <f>'Monthly Data'!BJ62</f>
        <v>6848.3</v>
      </c>
      <c r="F62" s="186">
        <f>'Monthly Data'!BM62</f>
        <v>61</v>
      </c>
      <c r="G62" s="186">
        <f>'Monthly Data'!BT62</f>
        <v>0</v>
      </c>
      <c r="H62" s="186">
        <f>'Monthly Data'!BY62</f>
        <v>0</v>
      </c>
      <c r="I62" s="186">
        <f>'Monthly Data'!CC62</f>
        <v>31</v>
      </c>
      <c r="K62" s="186">
        <f>'Large Use OLS Model (LC)'!$B$5</f>
        <v>-11585185.4436178</v>
      </c>
      <c r="L62" s="186">
        <f ca="1">'Large Use OLS Model (LC)'!$B$6*D62</f>
        <v>0</v>
      </c>
      <c r="M62" s="124">
        <f>'Large Use OLS Model (LC)'!$B$7*E62</f>
        <v>14241147.784822101</v>
      </c>
      <c r="N62" s="186">
        <v>0</v>
      </c>
      <c r="O62" s="186">
        <f>'Large Use OLS Model (LC)'!$B$8*G62</f>
        <v>0</v>
      </c>
      <c r="P62" s="186">
        <f>'Large Use OLS Model (LC)'!$B$9*H62</f>
        <v>0</v>
      </c>
      <c r="Q62" s="186">
        <f>'Large Use OLS Model (LC)'!$B$10*I62</f>
        <v>18122355.210333746</v>
      </c>
      <c r="R62" s="186">
        <f t="shared" ca="1" si="2"/>
        <v>20778317.551538046</v>
      </c>
    </row>
    <row r="63" spans="1:18">
      <c r="A63" s="128">
        <f>'Monthly Data'!A63</f>
        <v>41671</v>
      </c>
      <c r="B63" s="186">
        <f t="shared" si="1"/>
        <v>2014</v>
      </c>
      <c r="C63" s="124">
        <f ca="1">'Monthly Data'!AQ63</f>
        <v>19245805.380664725</v>
      </c>
      <c r="D63" s="186">
        <f t="shared" ca="1" si="3"/>
        <v>0</v>
      </c>
      <c r="E63" s="124">
        <f>'Monthly Data'!BJ63</f>
        <v>6850</v>
      </c>
      <c r="F63" s="186">
        <f>'Monthly Data'!BM63</f>
        <v>62</v>
      </c>
      <c r="G63" s="186">
        <f>'Monthly Data'!BT63</f>
        <v>0</v>
      </c>
      <c r="H63" s="186">
        <f>'Monthly Data'!BY63</f>
        <v>0</v>
      </c>
      <c r="I63" s="186">
        <f>'Monthly Data'!CC63</f>
        <v>28</v>
      </c>
      <c r="K63" s="186">
        <f>'Large Use OLS Model (LC)'!$B$5</f>
        <v>-11585185.4436178</v>
      </c>
      <c r="L63" s="186">
        <f ca="1">'Large Use OLS Model (LC)'!$B$6*D63</f>
        <v>0</v>
      </c>
      <c r="M63" s="124">
        <f>'Large Use OLS Model (LC)'!$B$7*E63</f>
        <v>14244682.961615494</v>
      </c>
      <c r="N63" s="186">
        <v>0</v>
      </c>
      <c r="O63" s="186">
        <f>'Large Use OLS Model (LC)'!$B$8*G63</f>
        <v>0</v>
      </c>
      <c r="P63" s="186">
        <f>'Large Use OLS Model (LC)'!$B$9*H63</f>
        <v>0</v>
      </c>
      <c r="Q63" s="186">
        <f>'Large Use OLS Model (LC)'!$B$10*I63</f>
        <v>16368578.899656285</v>
      </c>
      <c r="R63" s="186">
        <f t="shared" ca="1" si="2"/>
        <v>19028076.417653978</v>
      </c>
    </row>
    <row r="64" spans="1:18">
      <c r="A64" s="128">
        <f>'Monthly Data'!A64</f>
        <v>41699</v>
      </c>
      <c r="B64" s="186">
        <f t="shared" si="1"/>
        <v>2014</v>
      </c>
      <c r="C64" s="124">
        <f ca="1">'Monthly Data'!AQ64</f>
        <v>21372491.534691606</v>
      </c>
      <c r="D64" s="186">
        <f t="shared" ca="1" si="3"/>
        <v>0.48</v>
      </c>
      <c r="E64" s="124">
        <f>'Monthly Data'!BJ64</f>
        <v>6856.4</v>
      </c>
      <c r="F64" s="186">
        <f>'Monthly Data'!BM64</f>
        <v>63</v>
      </c>
      <c r="G64" s="186">
        <f>'Monthly Data'!BT64</f>
        <v>0</v>
      </c>
      <c r="H64" s="186">
        <f>'Monthly Data'!BY64</f>
        <v>0</v>
      </c>
      <c r="I64" s="186">
        <f>'Monthly Data'!CC64</f>
        <v>31</v>
      </c>
      <c r="K64" s="186">
        <f>'Large Use OLS Model (LC)'!$B$5</f>
        <v>-11585185.4436178</v>
      </c>
      <c r="L64" s="186">
        <f ca="1">'Large Use OLS Model (LC)'!$B$6*D64</f>
        <v>12346.034817492864</v>
      </c>
      <c r="M64" s="124">
        <f>'Large Use OLS Model (LC)'!$B$7*E64</f>
        <v>14257991.86248474</v>
      </c>
      <c r="N64" s="186">
        <v>0</v>
      </c>
      <c r="O64" s="186">
        <f>'Large Use OLS Model (LC)'!$B$8*G64</f>
        <v>0</v>
      </c>
      <c r="P64" s="186">
        <f>'Large Use OLS Model (LC)'!$B$9*H64</f>
        <v>0</v>
      </c>
      <c r="Q64" s="186">
        <f>'Large Use OLS Model (LC)'!$B$10*I64</f>
        <v>18122355.210333746</v>
      </c>
      <c r="R64" s="186">
        <f t="shared" ca="1" si="2"/>
        <v>20807507.664018176</v>
      </c>
    </row>
    <row r="65" spans="1:18">
      <c r="A65" s="128">
        <f>'Monthly Data'!A65</f>
        <v>41730</v>
      </c>
      <c r="B65" s="186">
        <f t="shared" si="1"/>
        <v>2014</v>
      </c>
      <c r="C65" s="124">
        <f ca="1">'Monthly Data'!AQ65</f>
        <v>19337845.24082401</v>
      </c>
      <c r="D65" s="186">
        <f t="shared" ca="1" si="3"/>
        <v>2.63</v>
      </c>
      <c r="E65" s="124">
        <f>'Monthly Data'!BJ65</f>
        <v>6869.6</v>
      </c>
      <c r="F65" s="186">
        <f>'Monthly Data'!BM65</f>
        <v>64</v>
      </c>
      <c r="G65" s="186">
        <f>'Monthly Data'!BT65</f>
        <v>0</v>
      </c>
      <c r="H65" s="186">
        <f>'Monthly Data'!BY65</f>
        <v>0</v>
      </c>
      <c r="I65" s="186">
        <f>'Monthly Data'!CC65</f>
        <v>30</v>
      </c>
      <c r="K65" s="186">
        <f>'Large Use OLS Model (LC)'!$B$5</f>
        <v>-11585185.4436178</v>
      </c>
      <c r="L65" s="186">
        <f ca="1">'Large Use OLS Model (LC)'!$B$6*D65</f>
        <v>67645.982437512983</v>
      </c>
      <c r="M65" s="124">
        <f>'Large Use OLS Model (LC)'!$B$7*E65</f>
        <v>14285441.470527561</v>
      </c>
      <c r="N65" s="186">
        <v>0</v>
      </c>
      <c r="O65" s="186">
        <f>'Large Use OLS Model (LC)'!$B$8*G65</f>
        <v>0</v>
      </c>
      <c r="P65" s="186">
        <f>'Large Use OLS Model (LC)'!$B$9*H65</f>
        <v>0</v>
      </c>
      <c r="Q65" s="186">
        <f>'Large Use OLS Model (LC)'!$B$10*I65</f>
        <v>17537763.106774591</v>
      </c>
      <c r="R65" s="186">
        <f t="shared" ca="1" si="2"/>
        <v>20305665.116121866</v>
      </c>
    </row>
    <row r="66" spans="1:18">
      <c r="A66" s="128">
        <f>'Monthly Data'!A66</f>
        <v>41760</v>
      </c>
      <c r="B66" s="186">
        <f t="shared" ref="B66:B129" si="4">YEAR(A66)</f>
        <v>2014</v>
      </c>
      <c r="C66" s="124">
        <f ca="1">'Monthly Data'!AQ66</f>
        <v>23983038.364532318</v>
      </c>
      <c r="D66" s="186">
        <f t="shared" ca="1" si="3"/>
        <v>47.37</v>
      </c>
      <c r="E66" s="124">
        <f>'Monthly Data'!BJ66</f>
        <v>6870.6</v>
      </c>
      <c r="F66" s="186">
        <f>'Monthly Data'!BM66</f>
        <v>65</v>
      </c>
      <c r="G66" s="186">
        <f>'Monthly Data'!BT66</f>
        <v>0</v>
      </c>
      <c r="H66" s="186">
        <f>'Monthly Data'!BY66</f>
        <v>0</v>
      </c>
      <c r="I66" s="186">
        <f>'Monthly Data'!CC66</f>
        <v>31</v>
      </c>
      <c r="K66" s="186">
        <f>'Large Use OLS Model (LC)'!$B$5</f>
        <v>-11585185.4436178</v>
      </c>
      <c r="L66" s="186">
        <f ca="1">'Large Use OLS Model (LC)'!$B$6*D66</f>
        <v>1218399.311051327</v>
      </c>
      <c r="M66" s="124">
        <f>'Large Use OLS Model (LC)'!$B$7*E66</f>
        <v>14287520.986288382</v>
      </c>
      <c r="N66" s="186">
        <v>0</v>
      </c>
      <c r="O66" s="186">
        <f>'Large Use OLS Model (LC)'!$B$8*G66</f>
        <v>0</v>
      </c>
      <c r="P66" s="186">
        <f>'Large Use OLS Model (LC)'!$B$9*H66</f>
        <v>0</v>
      </c>
      <c r="Q66" s="186">
        <f>'Large Use OLS Model (LC)'!$B$10*I66</f>
        <v>18122355.210333746</v>
      </c>
      <c r="R66" s="186">
        <f t="shared" ref="R66:R129" ca="1" si="5">SUM(K66:Q66)</f>
        <v>22043090.064055655</v>
      </c>
    </row>
    <row r="67" spans="1:18">
      <c r="A67" s="128">
        <f>'Monthly Data'!A67</f>
        <v>41791</v>
      </c>
      <c r="B67" s="186">
        <f t="shared" si="4"/>
        <v>2014</v>
      </c>
      <c r="C67" s="124">
        <f ca="1">'Monthly Data'!AQ67</f>
        <v>25841742.160903648</v>
      </c>
      <c r="D67" s="186">
        <f t="shared" ca="1" si="3"/>
        <v>117.23999999999997</v>
      </c>
      <c r="E67" s="124">
        <f>'Monthly Data'!BJ67</f>
        <v>6865.4</v>
      </c>
      <c r="F67" s="186">
        <f>'Monthly Data'!BM67</f>
        <v>66</v>
      </c>
      <c r="G67" s="186">
        <f>'Monthly Data'!BT67</f>
        <v>0</v>
      </c>
      <c r="H67" s="186">
        <f>'Monthly Data'!BY67</f>
        <v>0</v>
      </c>
      <c r="I67" s="186">
        <f>'Monthly Data'!CC67</f>
        <v>30</v>
      </c>
      <c r="K67" s="186">
        <f>'Large Use OLS Model (LC)'!$B$5</f>
        <v>-11585185.4436178</v>
      </c>
      <c r="L67" s="186">
        <f ca="1">'Large Use OLS Model (LC)'!$B$6*D67</f>
        <v>3015519.0041726315</v>
      </c>
      <c r="M67" s="124">
        <f>'Large Use OLS Model (LC)'!$B$7*E67</f>
        <v>14276707.504332118</v>
      </c>
      <c r="N67" s="186">
        <v>0</v>
      </c>
      <c r="O67" s="186">
        <f>'Large Use OLS Model (LC)'!$B$8*G67</f>
        <v>0</v>
      </c>
      <c r="P67" s="186">
        <f>'Large Use OLS Model (LC)'!$B$9*H67</f>
        <v>0</v>
      </c>
      <c r="Q67" s="186">
        <f>'Large Use OLS Model (LC)'!$B$10*I67</f>
        <v>17537763.106774591</v>
      </c>
      <c r="R67" s="186">
        <f t="shared" ca="1" si="5"/>
        <v>23244804.171661541</v>
      </c>
    </row>
    <row r="68" spans="1:18">
      <c r="A68" s="128">
        <f>'Monthly Data'!A68</f>
        <v>41821</v>
      </c>
      <c r="B68" s="186">
        <f t="shared" si="4"/>
        <v>2014</v>
      </c>
      <c r="C68" s="124">
        <f ca="1">'Monthly Data'!AQ68</f>
        <v>24522462.771301858</v>
      </c>
      <c r="D68" s="186">
        <f t="shared" ca="1" si="3"/>
        <v>185.60999999999999</v>
      </c>
      <c r="E68" s="124">
        <f>'Monthly Data'!BJ68</f>
        <v>6864.4</v>
      </c>
      <c r="F68" s="186">
        <f>'Monthly Data'!BM68</f>
        <v>67</v>
      </c>
      <c r="G68" s="186">
        <f>'Monthly Data'!BT68</f>
        <v>1</v>
      </c>
      <c r="H68" s="186">
        <f>'Monthly Data'!BY68</f>
        <v>0</v>
      </c>
      <c r="I68" s="186">
        <f>'Monthly Data'!CC68</f>
        <v>31</v>
      </c>
      <c r="K68" s="186">
        <f>'Large Use OLS Model (LC)'!$B$5</f>
        <v>-11585185.4436178</v>
      </c>
      <c r="L68" s="186">
        <f ca="1">'Large Use OLS Model (LC)'!$B$6*D68</f>
        <v>4774057.3384892717</v>
      </c>
      <c r="M68" s="124">
        <f>'Large Use OLS Model (LC)'!$B$7*E68</f>
        <v>14274627.988571297</v>
      </c>
      <c r="N68" s="186">
        <v>0</v>
      </c>
      <c r="O68" s="186">
        <f>'Large Use OLS Model (LC)'!$B$8*G68</f>
        <v>-947874.12245155603</v>
      </c>
      <c r="P68" s="186">
        <f>'Large Use OLS Model (LC)'!$B$9*H68</f>
        <v>0</v>
      </c>
      <c r="Q68" s="186">
        <f>'Large Use OLS Model (LC)'!$B$10*I68</f>
        <v>18122355.210333746</v>
      </c>
      <c r="R68" s="186">
        <f t="shared" ca="1" si="5"/>
        <v>24637980.971324958</v>
      </c>
    </row>
    <row r="69" spans="1:18">
      <c r="A69" s="128">
        <f>'Monthly Data'!A69</f>
        <v>41852</v>
      </c>
      <c r="B69" s="186">
        <f t="shared" si="4"/>
        <v>2014</v>
      </c>
      <c r="C69" s="124">
        <f ca="1">'Monthly Data'!AQ69</f>
        <v>24555956.255328741</v>
      </c>
      <c r="D69" s="186">
        <f t="shared" ca="1" si="3"/>
        <v>159.64000000000001</v>
      </c>
      <c r="E69" s="124">
        <f>'Monthly Data'!BJ69</f>
        <v>6869.9</v>
      </c>
      <c r="F69" s="186">
        <f>'Monthly Data'!BM69</f>
        <v>68</v>
      </c>
      <c r="G69" s="186">
        <f>'Monthly Data'!BT69</f>
        <v>0</v>
      </c>
      <c r="H69" s="186">
        <f>'Monthly Data'!BY69</f>
        <v>0</v>
      </c>
      <c r="I69" s="186">
        <f>'Monthly Data'!CC69</f>
        <v>31</v>
      </c>
      <c r="K69" s="186">
        <f>'Large Use OLS Model (LC)'!$B$5</f>
        <v>-11585185.4436178</v>
      </c>
      <c r="L69" s="186">
        <f ca="1">'Large Use OLS Model (LC)'!$B$6*D69</f>
        <v>4106085.4130511689</v>
      </c>
      <c r="M69" s="124">
        <f>'Large Use OLS Model (LC)'!$B$7*E69</f>
        <v>14286065.325255806</v>
      </c>
      <c r="N69" s="186">
        <v>0</v>
      </c>
      <c r="O69" s="186">
        <f>'Large Use OLS Model (LC)'!$B$8*G69</f>
        <v>0</v>
      </c>
      <c r="P69" s="186">
        <f>'Large Use OLS Model (LC)'!$B$9*H69</f>
        <v>0</v>
      </c>
      <c r="Q69" s="186">
        <f>'Large Use OLS Model (LC)'!$B$10*I69</f>
        <v>18122355.210333746</v>
      </c>
      <c r="R69" s="186">
        <f t="shared" ca="1" si="5"/>
        <v>24929320.505022921</v>
      </c>
    </row>
    <row r="70" spans="1:18">
      <c r="A70" s="128">
        <f>'Monthly Data'!A70</f>
        <v>41883</v>
      </c>
      <c r="B70" s="186">
        <f t="shared" si="4"/>
        <v>2014</v>
      </c>
      <c r="C70" s="124">
        <f ca="1">'Monthly Data'!AQ70</f>
        <v>19514912.902257554</v>
      </c>
      <c r="D70" s="186">
        <f t="shared" ca="1" si="3"/>
        <v>72.989999999999981</v>
      </c>
      <c r="E70" s="124">
        <f>'Monthly Data'!BJ70</f>
        <v>6884.5</v>
      </c>
      <c r="F70" s="186">
        <f>'Monthly Data'!BM70</f>
        <v>69</v>
      </c>
      <c r="G70" s="186">
        <f>'Monthly Data'!BT70</f>
        <v>0</v>
      </c>
      <c r="H70" s="186">
        <f>'Monthly Data'!BY70</f>
        <v>0</v>
      </c>
      <c r="I70" s="186">
        <f>'Monthly Data'!CC70</f>
        <v>30</v>
      </c>
      <c r="K70" s="186">
        <f>'Large Use OLS Model (LC)'!$B$5</f>
        <v>-11585185.4436178</v>
      </c>
      <c r="L70" s="186">
        <f ca="1">'Large Use OLS Model (LC)'!$B$6*D70</f>
        <v>1877368.9194350082</v>
      </c>
      <c r="M70" s="124">
        <f>'Large Use OLS Model (LC)'!$B$7*E70</f>
        <v>14316426.255363775</v>
      </c>
      <c r="N70" s="186">
        <v>0</v>
      </c>
      <c r="O70" s="186">
        <f>'Large Use OLS Model (LC)'!$B$8*G70</f>
        <v>0</v>
      </c>
      <c r="P70" s="186">
        <f>'Large Use OLS Model (LC)'!$B$9*H70</f>
        <v>0</v>
      </c>
      <c r="Q70" s="186">
        <f>'Large Use OLS Model (LC)'!$B$10*I70</f>
        <v>17537763.106774591</v>
      </c>
      <c r="R70" s="186">
        <f t="shared" ca="1" si="5"/>
        <v>22146372.837955572</v>
      </c>
    </row>
    <row r="71" spans="1:18">
      <c r="A71" s="128">
        <f>'Monthly Data'!A71</f>
        <v>41913</v>
      </c>
      <c r="B71" s="186">
        <f t="shared" si="4"/>
        <v>2014</v>
      </c>
      <c r="C71" s="124">
        <f ca="1">'Monthly Data'!AQ71</f>
        <v>21300946.547558703</v>
      </c>
      <c r="D71" s="186">
        <f t="shared" ca="1" si="3"/>
        <v>10.779999999999998</v>
      </c>
      <c r="E71" s="124">
        <f>'Monthly Data'!BJ71</f>
        <v>6901.5</v>
      </c>
      <c r="F71" s="186">
        <f>'Monthly Data'!BM71</f>
        <v>70</v>
      </c>
      <c r="G71" s="186">
        <f>'Monthly Data'!BT71</f>
        <v>0</v>
      </c>
      <c r="H71" s="186">
        <f>'Monthly Data'!BY71</f>
        <v>0</v>
      </c>
      <c r="I71" s="186">
        <f>'Monthly Data'!CC71</f>
        <v>31</v>
      </c>
      <c r="K71" s="186">
        <f>'Large Use OLS Model (LC)'!$B$5</f>
        <v>-11585185.4436178</v>
      </c>
      <c r="L71" s="186">
        <f ca="1">'Large Use OLS Model (LC)'!$B$6*D71</f>
        <v>277271.36527619383</v>
      </c>
      <c r="M71" s="124">
        <f>'Large Use OLS Model (LC)'!$B$7*E71</f>
        <v>14351778.023297712</v>
      </c>
      <c r="N71" s="186">
        <v>0</v>
      </c>
      <c r="O71" s="186">
        <f>'Large Use OLS Model (LC)'!$B$8*G71</f>
        <v>0</v>
      </c>
      <c r="P71" s="186">
        <f>'Large Use OLS Model (LC)'!$B$9*H71</f>
        <v>0</v>
      </c>
      <c r="Q71" s="186">
        <f>'Large Use OLS Model (LC)'!$B$10*I71</f>
        <v>18122355.210333746</v>
      </c>
      <c r="R71" s="186">
        <f t="shared" ca="1" si="5"/>
        <v>21166219.155289851</v>
      </c>
    </row>
    <row r="72" spans="1:18">
      <c r="A72" s="128">
        <f>'Monthly Data'!A72</f>
        <v>41944</v>
      </c>
      <c r="B72" s="186">
        <f t="shared" si="4"/>
        <v>2014</v>
      </c>
      <c r="C72" s="124">
        <f ca="1">'Monthly Data'!AQ72</f>
        <v>20077193.487797629</v>
      </c>
      <c r="D72" s="186">
        <f t="shared" ca="1" si="3"/>
        <v>0.05</v>
      </c>
      <c r="E72" s="124">
        <f>'Monthly Data'!BJ72</f>
        <v>6907.5</v>
      </c>
      <c r="F72" s="186">
        <f>'Monthly Data'!BM72</f>
        <v>71</v>
      </c>
      <c r="G72" s="186">
        <f>'Monthly Data'!BT72</f>
        <v>0</v>
      </c>
      <c r="H72" s="186">
        <f>'Monthly Data'!BY72</f>
        <v>0</v>
      </c>
      <c r="I72" s="186">
        <f>'Monthly Data'!CC72</f>
        <v>30</v>
      </c>
      <c r="K72" s="186">
        <f>'Large Use OLS Model (LC)'!$B$5</f>
        <v>-11585185.4436178</v>
      </c>
      <c r="L72" s="186">
        <f ca="1">'Large Use OLS Model (LC)'!$B$6*D72</f>
        <v>1286.0452934888401</v>
      </c>
      <c r="M72" s="124">
        <f>'Large Use OLS Model (LC)'!$B$7*E72</f>
        <v>14364255.117862631</v>
      </c>
      <c r="N72" s="186">
        <v>0</v>
      </c>
      <c r="O72" s="186">
        <f>'Large Use OLS Model (LC)'!$B$8*G72</f>
        <v>0</v>
      </c>
      <c r="P72" s="186">
        <f>'Large Use OLS Model (LC)'!$B$9*H72</f>
        <v>0</v>
      </c>
      <c r="Q72" s="186">
        <f>'Large Use OLS Model (LC)'!$B$10*I72</f>
        <v>17537763.106774591</v>
      </c>
      <c r="R72" s="186">
        <f t="shared" ca="1" si="5"/>
        <v>20318118.826312911</v>
      </c>
    </row>
    <row r="73" spans="1:18">
      <c r="A73" s="128">
        <f>'Monthly Data'!A73</f>
        <v>41974</v>
      </c>
      <c r="B73" s="186">
        <f t="shared" si="4"/>
        <v>2014</v>
      </c>
      <c r="C73" s="124">
        <f ca="1">'Monthly Data'!AQ73</f>
        <v>18843492.369390458</v>
      </c>
      <c r="D73" s="186">
        <f t="shared" ca="1" si="3"/>
        <v>0</v>
      </c>
      <c r="E73" s="124">
        <f>'Monthly Data'!BJ73</f>
        <v>6903.1</v>
      </c>
      <c r="F73" s="186">
        <f>'Monthly Data'!BM73</f>
        <v>72</v>
      </c>
      <c r="G73" s="186">
        <f>'Monthly Data'!BT73</f>
        <v>0</v>
      </c>
      <c r="H73" s="186">
        <f>'Monthly Data'!BY73</f>
        <v>1</v>
      </c>
      <c r="I73" s="186">
        <f>'Monthly Data'!CC73</f>
        <v>31</v>
      </c>
      <c r="K73" s="186">
        <f>'Large Use OLS Model (LC)'!$B$5</f>
        <v>-11585185.4436178</v>
      </c>
      <c r="L73" s="186">
        <f ca="1">'Large Use OLS Model (LC)'!$B$6*D73</f>
        <v>0</v>
      </c>
      <c r="M73" s="124">
        <f>'Large Use OLS Model (LC)'!$B$7*E73</f>
        <v>14355105.248515025</v>
      </c>
      <c r="N73" s="186">
        <v>0</v>
      </c>
      <c r="O73" s="186">
        <f>'Large Use OLS Model (LC)'!$B$8*G73</f>
        <v>0</v>
      </c>
      <c r="P73" s="186">
        <f>'Large Use OLS Model (LC)'!$B$9*H73</f>
        <v>-1776727.9579078101</v>
      </c>
      <c r="Q73" s="186">
        <f>'Large Use OLS Model (LC)'!$B$10*I73</f>
        <v>18122355.210333746</v>
      </c>
      <c r="R73" s="186">
        <f t="shared" ca="1" si="5"/>
        <v>19115547.057323162</v>
      </c>
    </row>
    <row r="74" spans="1:18">
      <c r="A74" s="128">
        <f>'Monthly Data'!A74</f>
        <v>42005</v>
      </c>
      <c r="B74" s="186">
        <f t="shared" si="4"/>
        <v>2015</v>
      </c>
      <c r="C74" s="124">
        <f ca="1">'Monthly Data'!AQ74</f>
        <v>19855535.451200701</v>
      </c>
      <c r="D74" s="186">
        <f t="shared" ca="1" si="3"/>
        <v>0</v>
      </c>
      <c r="E74" s="124">
        <f>'Monthly Data'!BJ74</f>
        <v>6885.7</v>
      </c>
      <c r="F74" s="186">
        <f>'Monthly Data'!BM74</f>
        <v>73</v>
      </c>
      <c r="G74" s="186">
        <f>'Monthly Data'!BT74</f>
        <v>0</v>
      </c>
      <c r="H74" s="186">
        <f>'Monthly Data'!BY74</f>
        <v>0</v>
      </c>
      <c r="I74" s="186">
        <f>'Monthly Data'!CC74</f>
        <v>31</v>
      </c>
      <c r="K74" s="186">
        <f>'Large Use OLS Model (LC)'!$B$5</f>
        <v>-11585185.4436178</v>
      </c>
      <c r="L74" s="186">
        <f ca="1">'Large Use OLS Model (LC)'!$B$6*D74</f>
        <v>0</v>
      </c>
      <c r="M74" s="124">
        <f>'Large Use OLS Model (LC)'!$B$7*E74</f>
        <v>14318921.67427676</v>
      </c>
      <c r="N74" s="186">
        <v>0</v>
      </c>
      <c r="O74" s="186">
        <f>'Large Use OLS Model (LC)'!$B$8*G74</f>
        <v>0</v>
      </c>
      <c r="P74" s="186">
        <f>'Large Use OLS Model (LC)'!$B$9*H74</f>
        <v>0</v>
      </c>
      <c r="Q74" s="186">
        <f>'Large Use OLS Model (LC)'!$B$10*I74</f>
        <v>18122355.210333746</v>
      </c>
      <c r="R74" s="186">
        <f t="shared" ca="1" si="5"/>
        <v>20856091.440992706</v>
      </c>
    </row>
    <row r="75" spans="1:18">
      <c r="A75" s="128">
        <f>'Monthly Data'!A75</f>
        <v>42036</v>
      </c>
      <c r="B75" s="186">
        <f t="shared" si="4"/>
        <v>2015</v>
      </c>
      <c r="C75" s="124">
        <f ca="1">'Monthly Data'!AQ75</f>
        <v>19560967.066695973</v>
      </c>
      <c r="D75" s="186">
        <f t="shared" ca="1" si="3"/>
        <v>0</v>
      </c>
      <c r="E75" s="124">
        <f>'Monthly Data'!BJ75</f>
        <v>6885.3</v>
      </c>
      <c r="F75" s="186">
        <f>'Monthly Data'!BM75</f>
        <v>74</v>
      </c>
      <c r="G75" s="186">
        <f>'Monthly Data'!BT75</f>
        <v>0</v>
      </c>
      <c r="H75" s="186">
        <f>'Monthly Data'!BY75</f>
        <v>0</v>
      </c>
      <c r="I75" s="186">
        <f>'Monthly Data'!CC75</f>
        <v>28</v>
      </c>
      <c r="K75" s="186">
        <f>'Large Use OLS Model (LC)'!$B$5</f>
        <v>-11585185.4436178</v>
      </c>
      <c r="L75" s="186">
        <f ca="1">'Large Use OLS Model (LC)'!$B$6*D75</f>
        <v>0</v>
      </c>
      <c r="M75" s="124">
        <f>'Large Use OLS Model (LC)'!$B$7*E75</f>
        <v>14318089.867972432</v>
      </c>
      <c r="N75" s="186">
        <v>0</v>
      </c>
      <c r="O75" s="186">
        <f>'Large Use OLS Model (LC)'!$B$8*G75</f>
        <v>0</v>
      </c>
      <c r="P75" s="186">
        <f>'Large Use OLS Model (LC)'!$B$9*H75</f>
        <v>0</v>
      </c>
      <c r="Q75" s="186">
        <f>'Large Use OLS Model (LC)'!$B$10*I75</f>
        <v>16368578.899656285</v>
      </c>
      <c r="R75" s="186">
        <f t="shared" ca="1" si="5"/>
        <v>19101483.324010916</v>
      </c>
    </row>
    <row r="76" spans="1:18">
      <c r="A76" s="128">
        <f>'Monthly Data'!A76</f>
        <v>42064</v>
      </c>
      <c r="B76" s="186">
        <f t="shared" si="4"/>
        <v>2015</v>
      </c>
      <c r="C76" s="124">
        <f ca="1">'Monthly Data'!AQ76</f>
        <v>20639792.5031121</v>
      </c>
      <c r="D76" s="186">
        <f t="shared" ca="1" si="3"/>
        <v>0.48</v>
      </c>
      <c r="E76" s="124">
        <f>'Monthly Data'!BJ76</f>
        <v>6892.1</v>
      </c>
      <c r="F76" s="186">
        <f>'Monthly Data'!BM76</f>
        <v>75</v>
      </c>
      <c r="G76" s="186">
        <f>'Monthly Data'!BT76</f>
        <v>0</v>
      </c>
      <c r="H76" s="186">
        <f>'Monthly Data'!BY76</f>
        <v>0</v>
      </c>
      <c r="I76" s="186">
        <f>'Monthly Data'!CC76</f>
        <v>31</v>
      </c>
      <c r="K76" s="186">
        <f>'Large Use OLS Model (LC)'!$B$5</f>
        <v>-11585185.4436178</v>
      </c>
      <c r="L76" s="186">
        <f ca="1">'Large Use OLS Model (LC)'!$B$6*D76</f>
        <v>12346.034817492864</v>
      </c>
      <c r="M76" s="124">
        <f>'Large Use OLS Model (LC)'!$B$7*E76</f>
        <v>14332230.575146006</v>
      </c>
      <c r="N76" s="186">
        <v>0</v>
      </c>
      <c r="O76" s="186">
        <f>'Large Use OLS Model (LC)'!$B$8*G76</f>
        <v>0</v>
      </c>
      <c r="P76" s="186">
        <f>'Large Use OLS Model (LC)'!$B$9*H76</f>
        <v>0</v>
      </c>
      <c r="Q76" s="186">
        <f>'Large Use OLS Model (LC)'!$B$10*I76</f>
        <v>18122355.210333746</v>
      </c>
      <c r="R76" s="186">
        <f t="shared" ca="1" si="5"/>
        <v>20881746.376679443</v>
      </c>
    </row>
    <row r="77" spans="1:18">
      <c r="A77" s="128">
        <f>'Monthly Data'!A77</f>
        <v>42095</v>
      </c>
      <c r="B77" s="186">
        <f t="shared" si="4"/>
        <v>2015</v>
      </c>
      <c r="C77" s="124">
        <f ca="1">'Monthly Data'!AQ77</f>
        <v>19904757.315421704</v>
      </c>
      <c r="D77" s="186">
        <f t="shared" ca="1" si="3"/>
        <v>2.63</v>
      </c>
      <c r="E77" s="124">
        <f>'Monthly Data'!BJ77</f>
        <v>6897.3</v>
      </c>
      <c r="F77" s="186">
        <f>'Monthly Data'!BM77</f>
        <v>76</v>
      </c>
      <c r="G77" s="186">
        <f>'Monthly Data'!BT77</f>
        <v>0</v>
      </c>
      <c r="H77" s="186">
        <f>'Monthly Data'!BY77</f>
        <v>0</v>
      </c>
      <c r="I77" s="186">
        <f>'Monthly Data'!CC77</f>
        <v>30</v>
      </c>
      <c r="K77" s="186">
        <f>'Large Use OLS Model (LC)'!$B$5</f>
        <v>-11585185.4436178</v>
      </c>
      <c r="L77" s="186">
        <f ca="1">'Large Use OLS Model (LC)'!$B$6*D77</f>
        <v>67645.982437512983</v>
      </c>
      <c r="M77" s="124">
        <f>'Large Use OLS Model (LC)'!$B$7*E77</f>
        <v>14343044.05710227</v>
      </c>
      <c r="N77" s="186">
        <v>0</v>
      </c>
      <c r="O77" s="186">
        <f>'Large Use OLS Model (LC)'!$B$8*G77</f>
        <v>0</v>
      </c>
      <c r="P77" s="186">
        <f>'Large Use OLS Model (LC)'!$B$9*H77</f>
        <v>0</v>
      </c>
      <c r="Q77" s="186">
        <f>'Large Use OLS Model (LC)'!$B$10*I77</f>
        <v>17537763.106774591</v>
      </c>
      <c r="R77" s="186">
        <f t="shared" ca="1" si="5"/>
        <v>20363267.702696577</v>
      </c>
    </row>
    <row r="78" spans="1:18">
      <c r="A78" s="128">
        <f>'Monthly Data'!A78</f>
        <v>42125</v>
      </c>
      <c r="B78" s="186">
        <f t="shared" si="4"/>
        <v>2015</v>
      </c>
      <c r="C78" s="124">
        <f ca="1">'Monthly Data'!AQ78</f>
        <v>22782928.092156403</v>
      </c>
      <c r="D78" s="186">
        <f t="shared" ref="D78:D141" ca="1" si="6">D66</f>
        <v>47.37</v>
      </c>
      <c r="E78" s="124">
        <f>'Monthly Data'!BJ78</f>
        <v>6906.5</v>
      </c>
      <c r="F78" s="186">
        <f>'Monthly Data'!BM78</f>
        <v>77</v>
      </c>
      <c r="G78" s="186">
        <f>'Monthly Data'!BT78</f>
        <v>0</v>
      </c>
      <c r="H78" s="186">
        <f>'Monthly Data'!BY78</f>
        <v>0</v>
      </c>
      <c r="I78" s="186">
        <f>'Monthly Data'!CC78</f>
        <v>31</v>
      </c>
      <c r="K78" s="186">
        <f>'Large Use OLS Model (LC)'!$B$5</f>
        <v>-11585185.4436178</v>
      </c>
      <c r="L78" s="186">
        <f ca="1">'Large Use OLS Model (LC)'!$B$6*D78</f>
        <v>1218399.311051327</v>
      </c>
      <c r="M78" s="124">
        <f>'Large Use OLS Model (LC)'!$B$7*E78</f>
        <v>14362175.602101812</v>
      </c>
      <c r="N78" s="186">
        <v>0</v>
      </c>
      <c r="O78" s="186">
        <f>'Large Use OLS Model (LC)'!$B$8*G78</f>
        <v>0</v>
      </c>
      <c r="P78" s="186">
        <f>'Large Use OLS Model (LC)'!$B$9*H78</f>
        <v>0</v>
      </c>
      <c r="Q78" s="186">
        <f>'Large Use OLS Model (LC)'!$B$10*I78</f>
        <v>18122355.210333746</v>
      </c>
      <c r="R78" s="186">
        <f t="shared" ca="1" si="5"/>
        <v>22117744.679869086</v>
      </c>
    </row>
    <row r="79" spans="1:18">
      <c r="A79" s="128">
        <f>'Monthly Data'!A79</f>
        <v>42156</v>
      </c>
      <c r="B79" s="186">
        <f t="shared" si="4"/>
        <v>2015</v>
      </c>
      <c r="C79" s="124">
        <f ca="1">'Monthly Data'!AQ79</f>
        <v>23267604.066775616</v>
      </c>
      <c r="D79" s="186">
        <f t="shared" ca="1" si="6"/>
        <v>117.23999999999997</v>
      </c>
      <c r="E79" s="124">
        <f>'Monthly Data'!BJ79</f>
        <v>6921.3</v>
      </c>
      <c r="F79" s="186">
        <f>'Monthly Data'!BM79</f>
        <v>78</v>
      </c>
      <c r="G79" s="186">
        <f>'Monthly Data'!BT79</f>
        <v>0</v>
      </c>
      <c r="H79" s="186">
        <f>'Monthly Data'!BY79</f>
        <v>0</v>
      </c>
      <c r="I79" s="186">
        <f>'Monthly Data'!CC79</f>
        <v>30</v>
      </c>
      <c r="K79" s="186">
        <f>'Large Use OLS Model (LC)'!$B$5</f>
        <v>-11585185.4436178</v>
      </c>
      <c r="L79" s="186">
        <f ca="1">'Large Use OLS Model (LC)'!$B$6*D79</f>
        <v>3015519.0041726315</v>
      </c>
      <c r="M79" s="124">
        <f>'Large Use OLS Model (LC)'!$B$7*E79</f>
        <v>14392952.435361944</v>
      </c>
      <c r="N79" s="186">
        <v>0</v>
      </c>
      <c r="O79" s="186">
        <f>'Large Use OLS Model (LC)'!$B$8*G79</f>
        <v>0</v>
      </c>
      <c r="P79" s="186">
        <f>'Large Use OLS Model (LC)'!$B$9*H79</f>
        <v>0</v>
      </c>
      <c r="Q79" s="186">
        <f>'Large Use OLS Model (LC)'!$B$10*I79</f>
        <v>17537763.106774591</v>
      </c>
      <c r="R79" s="186">
        <f t="shared" ca="1" si="5"/>
        <v>23361049.102691367</v>
      </c>
    </row>
    <row r="80" spans="1:18">
      <c r="A80" s="128">
        <f>'Monthly Data'!A80</f>
        <v>42186</v>
      </c>
      <c r="B80" s="186">
        <f t="shared" si="4"/>
        <v>2015</v>
      </c>
      <c r="C80" s="124">
        <f ca="1">'Monthly Data'!AQ80</f>
        <v>23082254.412554607</v>
      </c>
      <c r="D80" s="186">
        <f t="shared" ca="1" si="6"/>
        <v>185.60999999999999</v>
      </c>
      <c r="E80" s="124">
        <f>'Monthly Data'!BJ80</f>
        <v>6941.2</v>
      </c>
      <c r="F80" s="186">
        <f>'Monthly Data'!BM80</f>
        <v>79</v>
      </c>
      <c r="G80" s="186">
        <f>'Monthly Data'!BT80</f>
        <v>1</v>
      </c>
      <c r="H80" s="186">
        <f>'Monthly Data'!BY80</f>
        <v>0</v>
      </c>
      <c r="I80" s="186">
        <f>'Monthly Data'!CC80</f>
        <v>31</v>
      </c>
      <c r="K80" s="186">
        <f>'Large Use OLS Model (LC)'!$B$5</f>
        <v>-11585185.4436178</v>
      </c>
      <c r="L80" s="186">
        <f ca="1">'Large Use OLS Model (LC)'!$B$6*D80</f>
        <v>4774057.3384892717</v>
      </c>
      <c r="M80" s="124">
        <f>'Large Use OLS Model (LC)'!$B$7*E80</f>
        <v>14434334.799002258</v>
      </c>
      <c r="N80" s="186">
        <v>0</v>
      </c>
      <c r="O80" s="186">
        <f>'Large Use OLS Model (LC)'!$B$8*G80</f>
        <v>-947874.12245155603</v>
      </c>
      <c r="P80" s="186">
        <f>'Large Use OLS Model (LC)'!$B$9*H80</f>
        <v>0</v>
      </c>
      <c r="Q80" s="186">
        <f>'Large Use OLS Model (LC)'!$B$10*I80</f>
        <v>18122355.210333746</v>
      </c>
      <c r="R80" s="186">
        <f t="shared" ca="1" si="5"/>
        <v>24797687.78175592</v>
      </c>
    </row>
    <row r="81" spans="1:18">
      <c r="A81" s="128">
        <f>'Monthly Data'!A81</f>
        <v>42217</v>
      </c>
      <c r="B81" s="186">
        <f t="shared" si="4"/>
        <v>2015</v>
      </c>
      <c r="C81" s="124">
        <f ca="1">'Monthly Data'!AQ81</f>
        <v>24594093.912713893</v>
      </c>
      <c r="D81" s="186">
        <f t="shared" ca="1" si="6"/>
        <v>159.64000000000001</v>
      </c>
      <c r="E81" s="124">
        <f>'Monthly Data'!BJ81</f>
        <v>6949.2</v>
      </c>
      <c r="F81" s="186">
        <f>'Monthly Data'!BM81</f>
        <v>80</v>
      </c>
      <c r="G81" s="186">
        <f>'Monthly Data'!BT81</f>
        <v>0</v>
      </c>
      <c r="H81" s="186">
        <f>'Monthly Data'!BY81</f>
        <v>0</v>
      </c>
      <c r="I81" s="186">
        <f>'Monthly Data'!CC81</f>
        <v>31</v>
      </c>
      <c r="K81" s="186">
        <f>'Large Use OLS Model (LC)'!$B$5</f>
        <v>-11585185.4436178</v>
      </c>
      <c r="L81" s="186">
        <f ca="1">'Large Use OLS Model (LC)'!$B$6*D81</f>
        <v>4106085.4130511689</v>
      </c>
      <c r="M81" s="124">
        <f>'Large Use OLS Model (LC)'!$B$7*E81</f>
        <v>14450970.925088815</v>
      </c>
      <c r="N81" s="186">
        <v>0</v>
      </c>
      <c r="O81" s="186">
        <f>'Large Use OLS Model (LC)'!$B$8*G81</f>
        <v>0</v>
      </c>
      <c r="P81" s="186">
        <f>'Large Use OLS Model (LC)'!$B$9*H81</f>
        <v>0</v>
      </c>
      <c r="Q81" s="186">
        <f>'Large Use OLS Model (LC)'!$B$10*I81</f>
        <v>18122355.210333746</v>
      </c>
      <c r="R81" s="186">
        <f t="shared" ca="1" si="5"/>
        <v>25094226.104855932</v>
      </c>
    </row>
    <row r="82" spans="1:18">
      <c r="A82" s="128">
        <f>'Monthly Data'!A82</f>
        <v>42248</v>
      </c>
      <c r="B82" s="186">
        <f t="shared" si="4"/>
        <v>2015</v>
      </c>
      <c r="C82" s="124">
        <f ca="1">'Monthly Data'!AQ82</f>
        <v>21887907.167094178</v>
      </c>
      <c r="D82" s="186">
        <f t="shared" ca="1" si="6"/>
        <v>72.989999999999981</v>
      </c>
      <c r="E82" s="124">
        <f>'Monthly Data'!BJ82</f>
        <v>6941.1</v>
      </c>
      <c r="F82" s="186">
        <f>'Monthly Data'!BM82</f>
        <v>81</v>
      </c>
      <c r="G82" s="186">
        <f>'Monthly Data'!BT82</f>
        <v>0</v>
      </c>
      <c r="H82" s="186">
        <f>'Monthly Data'!BY82</f>
        <v>0</v>
      </c>
      <c r="I82" s="186">
        <f>'Monthly Data'!CC82</f>
        <v>30</v>
      </c>
      <c r="K82" s="186">
        <f>'Large Use OLS Model (LC)'!$B$5</f>
        <v>-11585185.4436178</v>
      </c>
      <c r="L82" s="186">
        <f ca="1">'Large Use OLS Model (LC)'!$B$6*D82</f>
        <v>1877368.9194350082</v>
      </c>
      <c r="M82" s="124">
        <f>'Large Use OLS Model (LC)'!$B$7*E82</f>
        <v>14434126.847426176</v>
      </c>
      <c r="N82" s="186">
        <v>0</v>
      </c>
      <c r="O82" s="186">
        <f>'Large Use OLS Model (LC)'!$B$8*G82</f>
        <v>0</v>
      </c>
      <c r="P82" s="186">
        <f>'Large Use OLS Model (LC)'!$B$9*H82</f>
        <v>0</v>
      </c>
      <c r="Q82" s="186">
        <f>'Large Use OLS Model (LC)'!$B$10*I82</f>
        <v>17537763.106774591</v>
      </c>
      <c r="R82" s="186">
        <f t="shared" ca="1" si="5"/>
        <v>22264073.430017974</v>
      </c>
    </row>
    <row r="83" spans="1:18">
      <c r="A83" s="128">
        <f>'Monthly Data'!A83</f>
        <v>42278</v>
      </c>
      <c r="B83" s="186">
        <f t="shared" si="4"/>
        <v>2015</v>
      </c>
      <c r="C83" s="124">
        <f ca="1">'Monthly Data'!AQ83</f>
        <v>20162332.659881637</v>
      </c>
      <c r="D83" s="186">
        <f t="shared" ca="1" si="6"/>
        <v>10.779999999999998</v>
      </c>
      <c r="E83" s="124">
        <f>'Monthly Data'!BJ83</f>
        <v>6934.8</v>
      </c>
      <c r="F83" s="186">
        <f>'Monthly Data'!BM83</f>
        <v>82</v>
      </c>
      <c r="G83" s="186">
        <f>'Monthly Data'!BT83</f>
        <v>0</v>
      </c>
      <c r="H83" s="186">
        <f>'Monthly Data'!BY83</f>
        <v>0</v>
      </c>
      <c r="I83" s="186">
        <f>'Monthly Data'!CC83</f>
        <v>31</v>
      </c>
      <c r="K83" s="186">
        <f>'Large Use OLS Model (LC)'!$B$5</f>
        <v>-11585185.4436178</v>
      </c>
      <c r="L83" s="186">
        <f ca="1">'Large Use OLS Model (LC)'!$B$6*D83</f>
        <v>277271.36527619383</v>
      </c>
      <c r="M83" s="124">
        <f>'Large Use OLS Model (LC)'!$B$7*E83</f>
        <v>14421025.898133012</v>
      </c>
      <c r="N83" s="186">
        <v>0</v>
      </c>
      <c r="O83" s="186">
        <f>'Large Use OLS Model (LC)'!$B$8*G83</f>
        <v>0</v>
      </c>
      <c r="P83" s="186">
        <f>'Large Use OLS Model (LC)'!$B$9*H83</f>
        <v>0</v>
      </c>
      <c r="Q83" s="186">
        <f>'Large Use OLS Model (LC)'!$B$10*I83</f>
        <v>18122355.210333746</v>
      </c>
      <c r="R83" s="186">
        <f t="shared" ca="1" si="5"/>
        <v>21235467.030125149</v>
      </c>
    </row>
    <row r="84" spans="1:18">
      <c r="A84" s="128">
        <f>'Monthly Data'!A84</f>
        <v>42309</v>
      </c>
      <c r="B84" s="186">
        <f t="shared" si="4"/>
        <v>2015</v>
      </c>
      <c r="C84" s="124">
        <f ca="1">'Monthly Data'!AQ84</f>
        <v>19622172.550961778</v>
      </c>
      <c r="D84" s="186">
        <f t="shared" ca="1" si="6"/>
        <v>0.05</v>
      </c>
      <c r="E84" s="124">
        <f>'Monthly Data'!BJ84</f>
        <v>6928.3</v>
      </c>
      <c r="F84" s="186">
        <f>'Monthly Data'!BM84</f>
        <v>83</v>
      </c>
      <c r="G84" s="186">
        <f>'Monthly Data'!BT84</f>
        <v>0</v>
      </c>
      <c r="H84" s="186">
        <f>'Monthly Data'!BY84</f>
        <v>0</v>
      </c>
      <c r="I84" s="186">
        <f>'Monthly Data'!CC84</f>
        <v>30</v>
      </c>
      <c r="K84" s="186">
        <f>'Large Use OLS Model (LC)'!$B$5</f>
        <v>-11585185.4436178</v>
      </c>
      <c r="L84" s="186">
        <f ca="1">'Large Use OLS Model (LC)'!$B$6*D84</f>
        <v>1286.0452934888401</v>
      </c>
      <c r="M84" s="124">
        <f>'Large Use OLS Model (LC)'!$B$7*E84</f>
        <v>14407509.045687683</v>
      </c>
      <c r="N84" s="186">
        <v>0</v>
      </c>
      <c r="O84" s="186">
        <f>'Large Use OLS Model (LC)'!$B$8*G84</f>
        <v>0</v>
      </c>
      <c r="P84" s="186">
        <f>'Large Use OLS Model (LC)'!$B$9*H84</f>
        <v>0</v>
      </c>
      <c r="Q84" s="186">
        <f>'Large Use OLS Model (LC)'!$B$10*I84</f>
        <v>17537763.106774591</v>
      </c>
      <c r="R84" s="186">
        <f t="shared" ca="1" si="5"/>
        <v>20361372.754137963</v>
      </c>
    </row>
    <row r="85" spans="1:18">
      <c r="A85" s="128">
        <f>'Monthly Data'!A85</f>
        <v>42339</v>
      </c>
      <c r="B85" s="186">
        <f t="shared" si="4"/>
        <v>2015</v>
      </c>
      <c r="C85" s="124">
        <f ca="1">'Monthly Data'!AQ85</f>
        <v>19510069.365023497</v>
      </c>
      <c r="D85" s="186">
        <f t="shared" ca="1" si="6"/>
        <v>0</v>
      </c>
      <c r="E85" s="124">
        <f>'Monthly Data'!BJ85</f>
        <v>6942.8</v>
      </c>
      <c r="F85" s="186">
        <f>'Monthly Data'!BM85</f>
        <v>84</v>
      </c>
      <c r="G85" s="186">
        <f>'Monthly Data'!BT85</f>
        <v>0</v>
      </c>
      <c r="H85" s="186">
        <f>'Monthly Data'!BY85</f>
        <v>1</v>
      </c>
      <c r="I85" s="186">
        <f>'Monthly Data'!CC85</f>
        <v>31</v>
      </c>
      <c r="K85" s="186">
        <f>'Large Use OLS Model (LC)'!$B$5</f>
        <v>-11585185.4436178</v>
      </c>
      <c r="L85" s="186">
        <f ca="1">'Large Use OLS Model (LC)'!$B$6*D85</f>
        <v>0</v>
      </c>
      <c r="M85" s="124">
        <f>'Large Use OLS Model (LC)'!$B$7*E85</f>
        <v>14437662.024219569</v>
      </c>
      <c r="N85" s="186">
        <v>0</v>
      </c>
      <c r="O85" s="186">
        <f>'Large Use OLS Model (LC)'!$B$8*G85</f>
        <v>0</v>
      </c>
      <c r="P85" s="186">
        <f>'Large Use OLS Model (LC)'!$B$9*H85</f>
        <v>-1776727.9579078101</v>
      </c>
      <c r="Q85" s="186">
        <f>'Large Use OLS Model (LC)'!$B$10*I85</f>
        <v>18122355.210333746</v>
      </c>
      <c r="R85" s="186">
        <f t="shared" ca="1" si="5"/>
        <v>19198103.833027706</v>
      </c>
    </row>
    <row r="86" spans="1:18">
      <c r="A86" s="128">
        <f>'Monthly Data'!A86</f>
        <v>42370</v>
      </c>
      <c r="B86" s="186">
        <f t="shared" si="4"/>
        <v>2016</v>
      </c>
      <c r="C86" s="124">
        <f ca="1">'Monthly Data'!AQ86</f>
        <v>20030911.941684473</v>
      </c>
      <c r="D86" s="186">
        <f t="shared" ca="1" si="6"/>
        <v>0</v>
      </c>
      <c r="E86" s="124">
        <f>'Monthly Data'!BJ86</f>
        <v>6956.6</v>
      </c>
      <c r="F86" s="186">
        <f>'Monthly Data'!BM86</f>
        <v>85</v>
      </c>
      <c r="G86" s="186">
        <f>'Monthly Data'!BT86</f>
        <v>0</v>
      </c>
      <c r="H86" s="186">
        <f>'Monthly Data'!BY86</f>
        <v>0</v>
      </c>
      <c r="I86" s="186">
        <f>'Monthly Data'!CC86</f>
        <v>31</v>
      </c>
      <c r="K86" s="186">
        <f>'Large Use OLS Model (LC)'!$B$5</f>
        <v>-11585185.4436178</v>
      </c>
      <c r="L86" s="186">
        <f ca="1">'Large Use OLS Model (LC)'!$B$6*D86</f>
        <v>0</v>
      </c>
      <c r="M86" s="124">
        <f>'Large Use OLS Model (LC)'!$B$7*E86</f>
        <v>14466359.341718882</v>
      </c>
      <c r="N86" s="186">
        <v>0</v>
      </c>
      <c r="O86" s="186">
        <f>'Large Use OLS Model (LC)'!$B$8*G86</f>
        <v>0</v>
      </c>
      <c r="P86" s="186">
        <f>'Large Use OLS Model (LC)'!$B$9*H86</f>
        <v>0</v>
      </c>
      <c r="Q86" s="186">
        <f>'Large Use OLS Model (LC)'!$B$10*I86</f>
        <v>18122355.210333746</v>
      </c>
      <c r="R86" s="186">
        <f t="shared" ca="1" si="5"/>
        <v>21003529.108434826</v>
      </c>
    </row>
    <row r="87" spans="1:18">
      <c r="A87" s="128">
        <f>'Monthly Data'!A87</f>
        <v>42401</v>
      </c>
      <c r="B87" s="186">
        <f t="shared" si="4"/>
        <v>2016</v>
      </c>
      <c r="C87" s="124">
        <f ca="1">'Monthly Data'!AQ87</f>
        <v>19426538.084870137</v>
      </c>
      <c r="D87" s="186">
        <f t="shared" ca="1" si="6"/>
        <v>0</v>
      </c>
      <c r="E87" s="124">
        <f>'Monthly Data'!BJ87</f>
        <v>6968.5</v>
      </c>
      <c r="F87" s="186">
        <f>'Monthly Data'!BM87</f>
        <v>86</v>
      </c>
      <c r="G87" s="186">
        <f>'Monthly Data'!BT87</f>
        <v>0</v>
      </c>
      <c r="H87" s="186">
        <f>'Monthly Data'!BY87</f>
        <v>0</v>
      </c>
      <c r="I87" s="186">
        <f>'Monthly Data'!CC87</f>
        <v>29</v>
      </c>
      <c r="K87" s="186">
        <f>'Large Use OLS Model (LC)'!$B$5</f>
        <v>-11585185.4436178</v>
      </c>
      <c r="L87" s="186">
        <f ca="1">'Large Use OLS Model (LC)'!$B$6*D87</f>
        <v>0</v>
      </c>
      <c r="M87" s="124">
        <f>'Large Use OLS Model (LC)'!$B$7*E87</f>
        <v>14491105.579272637</v>
      </c>
      <c r="N87" s="186">
        <v>0</v>
      </c>
      <c r="O87" s="186">
        <f>'Large Use OLS Model (LC)'!$B$8*G87</f>
        <v>0</v>
      </c>
      <c r="P87" s="186">
        <f>'Large Use OLS Model (LC)'!$B$9*H87</f>
        <v>0</v>
      </c>
      <c r="Q87" s="186">
        <f>'Large Use OLS Model (LC)'!$B$10*I87</f>
        <v>16953171.00321544</v>
      </c>
      <c r="R87" s="186">
        <f t="shared" ca="1" si="5"/>
        <v>19859091.138870277</v>
      </c>
    </row>
    <row r="88" spans="1:18">
      <c r="A88" s="128">
        <f>'Monthly Data'!A88</f>
        <v>42430</v>
      </c>
      <c r="B88" s="186">
        <f t="shared" si="4"/>
        <v>2016</v>
      </c>
      <c r="C88" s="124">
        <f ca="1">'Monthly Data'!AQ88</f>
        <v>21950234.988419168</v>
      </c>
      <c r="D88" s="186">
        <f t="shared" ca="1" si="6"/>
        <v>0.48</v>
      </c>
      <c r="E88" s="124">
        <f>'Monthly Data'!BJ88</f>
        <v>6975.7</v>
      </c>
      <c r="F88" s="186">
        <f>'Monthly Data'!BM88</f>
        <v>87</v>
      </c>
      <c r="G88" s="186">
        <f>'Monthly Data'!BT88</f>
        <v>0</v>
      </c>
      <c r="H88" s="186">
        <f>'Monthly Data'!BY88</f>
        <v>0</v>
      </c>
      <c r="I88" s="186">
        <f>'Monthly Data'!CC88</f>
        <v>31</v>
      </c>
      <c r="K88" s="186">
        <f>'Large Use OLS Model (LC)'!$B$5</f>
        <v>-11585185.4436178</v>
      </c>
      <c r="L88" s="186">
        <f ca="1">'Large Use OLS Model (LC)'!$B$6*D88</f>
        <v>12346.034817492864</v>
      </c>
      <c r="M88" s="124">
        <f>'Large Use OLS Model (LC)'!$B$7*E88</f>
        <v>14506078.09275054</v>
      </c>
      <c r="N88" s="186">
        <v>0</v>
      </c>
      <c r="O88" s="186">
        <f>'Large Use OLS Model (LC)'!$B$8*G88</f>
        <v>0</v>
      </c>
      <c r="P88" s="186">
        <f>'Large Use OLS Model (LC)'!$B$9*H88</f>
        <v>0</v>
      </c>
      <c r="Q88" s="186">
        <f>'Large Use OLS Model (LC)'!$B$10*I88</f>
        <v>18122355.210333746</v>
      </c>
      <c r="R88" s="186">
        <f t="shared" ca="1" si="5"/>
        <v>21055593.89428398</v>
      </c>
    </row>
    <row r="89" spans="1:18">
      <c r="A89" s="128">
        <f>'Monthly Data'!A89</f>
        <v>42461</v>
      </c>
      <c r="B89" s="186">
        <f t="shared" si="4"/>
        <v>2016</v>
      </c>
      <c r="C89" s="124">
        <f ca="1">'Monthly Data'!AQ89</f>
        <v>22516546.642958738</v>
      </c>
      <c r="D89" s="186">
        <f t="shared" ca="1" si="6"/>
        <v>2.63</v>
      </c>
      <c r="E89" s="124">
        <f>'Monthly Data'!BJ89</f>
        <v>6979.7</v>
      </c>
      <c r="F89" s="186">
        <f>'Monthly Data'!BM89</f>
        <v>88</v>
      </c>
      <c r="G89" s="186">
        <f>'Monthly Data'!BT89</f>
        <v>0</v>
      </c>
      <c r="H89" s="186">
        <f>'Monthly Data'!BY89</f>
        <v>0</v>
      </c>
      <c r="I89" s="186">
        <f>'Monthly Data'!CC89</f>
        <v>30</v>
      </c>
      <c r="K89" s="186">
        <f>'Large Use OLS Model (LC)'!$B$5</f>
        <v>-11585185.4436178</v>
      </c>
      <c r="L89" s="186">
        <f ca="1">'Large Use OLS Model (LC)'!$B$6*D89</f>
        <v>67645.982437512983</v>
      </c>
      <c r="M89" s="124">
        <f>'Large Use OLS Model (LC)'!$B$7*E89</f>
        <v>14514396.15579382</v>
      </c>
      <c r="N89" s="186">
        <v>0</v>
      </c>
      <c r="O89" s="186">
        <f>'Large Use OLS Model (LC)'!$B$8*G89</f>
        <v>0</v>
      </c>
      <c r="P89" s="186">
        <f>'Large Use OLS Model (LC)'!$B$9*H89</f>
        <v>0</v>
      </c>
      <c r="Q89" s="186">
        <f>'Large Use OLS Model (LC)'!$B$10*I89</f>
        <v>17537763.106774591</v>
      </c>
      <c r="R89" s="186">
        <f t="shared" ca="1" si="5"/>
        <v>20534619.801388122</v>
      </c>
    </row>
    <row r="90" spans="1:18">
      <c r="A90" s="128">
        <f>'Monthly Data'!A90</f>
        <v>42491</v>
      </c>
      <c r="B90" s="186">
        <f t="shared" si="4"/>
        <v>2016</v>
      </c>
      <c r="C90" s="124">
        <f ca="1">'Monthly Data'!AQ90</f>
        <v>23491879.387100104</v>
      </c>
      <c r="D90" s="186">
        <f t="shared" ca="1" si="6"/>
        <v>47.37</v>
      </c>
      <c r="E90" s="124">
        <f>'Monthly Data'!BJ90</f>
        <v>6990.5</v>
      </c>
      <c r="F90" s="186">
        <f>'Monthly Data'!BM90</f>
        <v>89</v>
      </c>
      <c r="G90" s="186">
        <f>'Monthly Data'!BT90</f>
        <v>0</v>
      </c>
      <c r="H90" s="186">
        <f>'Monthly Data'!BY90</f>
        <v>0</v>
      </c>
      <c r="I90" s="186">
        <f>'Monthly Data'!CC90</f>
        <v>31</v>
      </c>
      <c r="K90" s="186">
        <f>'Large Use OLS Model (LC)'!$B$5</f>
        <v>-11585185.4436178</v>
      </c>
      <c r="L90" s="186">
        <f ca="1">'Large Use OLS Model (LC)'!$B$6*D90</f>
        <v>1218399.311051327</v>
      </c>
      <c r="M90" s="124">
        <f>'Large Use OLS Model (LC)'!$B$7*E90</f>
        <v>14536854.926010672</v>
      </c>
      <c r="N90" s="186">
        <v>0</v>
      </c>
      <c r="O90" s="186">
        <f>'Large Use OLS Model (LC)'!$B$8*G90</f>
        <v>0</v>
      </c>
      <c r="P90" s="186">
        <f>'Large Use OLS Model (LC)'!$B$9*H90</f>
        <v>0</v>
      </c>
      <c r="Q90" s="186">
        <f>'Large Use OLS Model (LC)'!$B$10*I90</f>
        <v>18122355.210333746</v>
      </c>
      <c r="R90" s="186">
        <f t="shared" ca="1" si="5"/>
        <v>22292424.003777944</v>
      </c>
    </row>
    <row r="91" spans="1:18">
      <c r="A91" s="128">
        <f>'Monthly Data'!A91</f>
        <v>42522</v>
      </c>
      <c r="B91" s="186">
        <f t="shared" si="4"/>
        <v>2016</v>
      </c>
      <c r="C91" s="124">
        <f ca="1">'Monthly Data'!AQ91</f>
        <v>25154852.535666555</v>
      </c>
      <c r="D91" s="186">
        <f t="shared" ca="1" si="6"/>
        <v>117.23999999999997</v>
      </c>
      <c r="E91" s="124">
        <f>'Monthly Data'!BJ91</f>
        <v>6998.8</v>
      </c>
      <c r="F91" s="186">
        <f>'Monthly Data'!BM91</f>
        <v>90</v>
      </c>
      <c r="G91" s="186">
        <f>'Monthly Data'!BT91</f>
        <v>0</v>
      </c>
      <c r="H91" s="186">
        <f>'Monthly Data'!BY91</f>
        <v>0</v>
      </c>
      <c r="I91" s="186">
        <f>'Monthly Data'!CC91</f>
        <v>30</v>
      </c>
      <c r="K91" s="186">
        <f>'Large Use OLS Model (LC)'!$B$5</f>
        <v>-11585185.4436178</v>
      </c>
      <c r="L91" s="186">
        <f ca="1">'Large Use OLS Model (LC)'!$B$6*D91</f>
        <v>3015519.0041726315</v>
      </c>
      <c r="M91" s="124">
        <f>'Large Use OLS Model (LC)'!$B$7*E91</f>
        <v>14554114.906825477</v>
      </c>
      <c r="N91" s="186">
        <v>0</v>
      </c>
      <c r="O91" s="186">
        <f>'Large Use OLS Model (LC)'!$B$8*G91</f>
        <v>0</v>
      </c>
      <c r="P91" s="186">
        <f>'Large Use OLS Model (LC)'!$B$9*H91</f>
        <v>0</v>
      </c>
      <c r="Q91" s="186">
        <f>'Large Use OLS Model (LC)'!$B$10*I91</f>
        <v>17537763.106774591</v>
      </c>
      <c r="R91" s="186">
        <f t="shared" ca="1" si="5"/>
        <v>23522211.574154899</v>
      </c>
    </row>
    <row r="92" spans="1:18">
      <c r="A92" s="128">
        <f>'Monthly Data'!A92</f>
        <v>42552</v>
      </c>
      <c r="B92" s="186">
        <f t="shared" si="4"/>
        <v>2016</v>
      </c>
      <c r="C92" s="124">
        <f ca="1">'Monthly Data'!AQ92</f>
        <v>26434818.565985125</v>
      </c>
      <c r="D92" s="186">
        <f t="shared" ca="1" si="6"/>
        <v>185.60999999999999</v>
      </c>
      <c r="E92" s="124">
        <f>'Monthly Data'!BJ92</f>
        <v>6995</v>
      </c>
      <c r="F92" s="186">
        <f>'Monthly Data'!BM92</f>
        <v>91</v>
      </c>
      <c r="G92" s="186">
        <f>'Monthly Data'!BT92</f>
        <v>1</v>
      </c>
      <c r="H92" s="186">
        <f>'Monthly Data'!BY92</f>
        <v>0</v>
      </c>
      <c r="I92" s="186">
        <f>'Monthly Data'!CC92</f>
        <v>31</v>
      </c>
      <c r="K92" s="186">
        <f>'Large Use OLS Model (LC)'!$B$5</f>
        <v>-11585185.4436178</v>
      </c>
      <c r="L92" s="186">
        <f ca="1">'Large Use OLS Model (LC)'!$B$6*D92</f>
        <v>4774057.3384892717</v>
      </c>
      <c r="M92" s="124">
        <f>'Large Use OLS Model (LC)'!$B$7*E92</f>
        <v>14546212.746934362</v>
      </c>
      <c r="N92" s="186">
        <v>0</v>
      </c>
      <c r="O92" s="186">
        <f>'Large Use OLS Model (LC)'!$B$8*G92</f>
        <v>-947874.12245155603</v>
      </c>
      <c r="P92" s="186">
        <f>'Large Use OLS Model (LC)'!$B$9*H92</f>
        <v>0</v>
      </c>
      <c r="Q92" s="186">
        <f>'Large Use OLS Model (LC)'!$B$10*I92</f>
        <v>18122355.210333746</v>
      </c>
      <c r="R92" s="186">
        <f t="shared" ca="1" si="5"/>
        <v>24909565.729688022</v>
      </c>
    </row>
    <row r="93" spans="1:18">
      <c r="A93" s="128">
        <f>'Monthly Data'!A93</f>
        <v>42583</v>
      </c>
      <c r="B93" s="186">
        <f t="shared" si="4"/>
        <v>2016</v>
      </c>
      <c r="C93" s="124">
        <f ca="1">'Monthly Data'!AQ93</f>
        <v>28083591.400888056</v>
      </c>
      <c r="D93" s="186">
        <f t="shared" ca="1" si="6"/>
        <v>159.64000000000001</v>
      </c>
      <c r="E93" s="124">
        <f>'Monthly Data'!BJ93</f>
        <v>6991</v>
      </c>
      <c r="F93" s="186">
        <f>'Monthly Data'!BM93</f>
        <v>92</v>
      </c>
      <c r="G93" s="186">
        <f>'Monthly Data'!BT93</f>
        <v>0</v>
      </c>
      <c r="H93" s="186">
        <f>'Monthly Data'!BY93</f>
        <v>0</v>
      </c>
      <c r="I93" s="186">
        <f>'Monthly Data'!CC93</f>
        <v>31</v>
      </c>
      <c r="K93" s="186">
        <f>'Large Use OLS Model (LC)'!$B$5</f>
        <v>-11585185.4436178</v>
      </c>
      <c r="L93" s="186">
        <f ca="1">'Large Use OLS Model (LC)'!$B$6*D93</f>
        <v>4106085.4130511689</v>
      </c>
      <c r="M93" s="124">
        <f>'Large Use OLS Model (LC)'!$B$7*E93</f>
        <v>14537894.683891082</v>
      </c>
      <c r="N93" s="186">
        <v>0</v>
      </c>
      <c r="O93" s="186">
        <f>'Large Use OLS Model (LC)'!$B$8*G93</f>
        <v>0</v>
      </c>
      <c r="P93" s="186">
        <f>'Large Use OLS Model (LC)'!$B$9*H93</f>
        <v>0</v>
      </c>
      <c r="Q93" s="186">
        <f>'Large Use OLS Model (LC)'!$B$10*I93</f>
        <v>18122355.210333746</v>
      </c>
      <c r="R93" s="186">
        <f t="shared" ca="1" si="5"/>
        <v>25181149.863658197</v>
      </c>
    </row>
    <row r="94" spans="1:18">
      <c r="A94" s="128">
        <f>'Monthly Data'!A94</f>
        <v>42614</v>
      </c>
      <c r="B94" s="186">
        <f t="shared" si="4"/>
        <v>2016</v>
      </c>
      <c r="C94" s="124">
        <f ca="1">'Monthly Data'!AQ94</f>
        <v>23664869.487896521</v>
      </c>
      <c r="D94" s="186">
        <f t="shared" ca="1" si="6"/>
        <v>72.989999999999981</v>
      </c>
      <c r="E94" s="124">
        <f>'Monthly Data'!BJ94</f>
        <v>6989.1</v>
      </c>
      <c r="F94" s="186">
        <f>'Monthly Data'!BM94</f>
        <v>93</v>
      </c>
      <c r="G94" s="186">
        <f>'Monthly Data'!BT94</f>
        <v>0</v>
      </c>
      <c r="H94" s="186">
        <f>'Monthly Data'!BY94</f>
        <v>0</v>
      </c>
      <c r="I94" s="186">
        <f>'Monthly Data'!CC94</f>
        <v>30</v>
      </c>
      <c r="K94" s="186">
        <f>'Large Use OLS Model (LC)'!$B$5</f>
        <v>-11585185.4436178</v>
      </c>
      <c r="L94" s="186">
        <f ca="1">'Large Use OLS Model (LC)'!$B$6*D94</f>
        <v>1877368.9194350082</v>
      </c>
      <c r="M94" s="124">
        <f>'Large Use OLS Model (LC)'!$B$7*E94</f>
        <v>14533943.603945525</v>
      </c>
      <c r="N94" s="186">
        <v>0</v>
      </c>
      <c r="O94" s="186">
        <f>'Large Use OLS Model (LC)'!$B$8*G94</f>
        <v>0</v>
      </c>
      <c r="P94" s="186">
        <f>'Large Use OLS Model (LC)'!$B$9*H94</f>
        <v>0</v>
      </c>
      <c r="Q94" s="186">
        <f>'Large Use OLS Model (LC)'!$B$10*I94</f>
        <v>17537763.106774591</v>
      </c>
      <c r="R94" s="186">
        <f t="shared" ca="1" si="5"/>
        <v>22363890.186537325</v>
      </c>
    </row>
    <row r="95" spans="1:18">
      <c r="A95" s="128">
        <f>'Monthly Data'!A95</f>
        <v>42644</v>
      </c>
      <c r="B95" s="186">
        <f t="shared" si="4"/>
        <v>2016</v>
      </c>
      <c r="C95" s="124">
        <f ca="1">'Monthly Data'!AQ95</f>
        <v>21818348.034312647</v>
      </c>
      <c r="D95" s="186">
        <f t="shared" ca="1" si="6"/>
        <v>10.779999999999998</v>
      </c>
      <c r="E95" s="124">
        <f>'Monthly Data'!BJ95</f>
        <v>7005.5</v>
      </c>
      <c r="F95" s="186">
        <f>'Monthly Data'!BM95</f>
        <v>94</v>
      </c>
      <c r="G95" s="186">
        <f>'Monthly Data'!BT95</f>
        <v>0</v>
      </c>
      <c r="H95" s="186">
        <f>'Monthly Data'!BY95</f>
        <v>0</v>
      </c>
      <c r="I95" s="186">
        <f>'Monthly Data'!CC95</f>
        <v>31</v>
      </c>
      <c r="K95" s="186">
        <f>'Large Use OLS Model (LC)'!$B$5</f>
        <v>-11585185.4436178</v>
      </c>
      <c r="L95" s="186">
        <f ca="1">'Large Use OLS Model (LC)'!$B$6*D95</f>
        <v>277271.36527619383</v>
      </c>
      <c r="M95" s="124">
        <f>'Large Use OLS Model (LC)'!$B$7*E95</f>
        <v>14568047.66242297</v>
      </c>
      <c r="N95" s="186">
        <v>0</v>
      </c>
      <c r="O95" s="186">
        <f>'Large Use OLS Model (LC)'!$B$8*G95</f>
        <v>0</v>
      </c>
      <c r="P95" s="186">
        <f>'Large Use OLS Model (LC)'!$B$9*H95</f>
        <v>0</v>
      </c>
      <c r="Q95" s="186">
        <f>'Large Use OLS Model (LC)'!$B$10*I95</f>
        <v>18122355.210333746</v>
      </c>
      <c r="R95" s="186">
        <f t="shared" ca="1" si="5"/>
        <v>21382488.794415109</v>
      </c>
    </row>
    <row r="96" spans="1:18">
      <c r="A96" s="128">
        <f>'Monthly Data'!A96</f>
        <v>42675</v>
      </c>
      <c r="B96" s="186">
        <f t="shared" si="4"/>
        <v>2016</v>
      </c>
      <c r="C96" s="124">
        <f ca="1">'Monthly Data'!AQ96</f>
        <v>20096745.128498808</v>
      </c>
      <c r="D96" s="186">
        <f t="shared" ca="1" si="6"/>
        <v>0.05</v>
      </c>
      <c r="E96" s="124">
        <f>'Monthly Data'!BJ96</f>
        <v>7021.6</v>
      </c>
      <c r="F96" s="186">
        <f>'Monthly Data'!BM96</f>
        <v>95</v>
      </c>
      <c r="G96" s="186">
        <f>'Monthly Data'!BT96</f>
        <v>0</v>
      </c>
      <c r="H96" s="186">
        <f>'Monthly Data'!BY96</f>
        <v>0</v>
      </c>
      <c r="I96" s="186">
        <f>'Monthly Data'!CC96</f>
        <v>30</v>
      </c>
      <c r="K96" s="186">
        <f>'Large Use OLS Model (LC)'!$B$5</f>
        <v>-11585185.4436178</v>
      </c>
      <c r="L96" s="186">
        <f ca="1">'Large Use OLS Model (LC)'!$B$6*D96</f>
        <v>1286.0452934888401</v>
      </c>
      <c r="M96" s="124">
        <f>'Large Use OLS Model (LC)'!$B$7*E96</f>
        <v>14601527.866172168</v>
      </c>
      <c r="N96" s="186">
        <v>0</v>
      </c>
      <c r="O96" s="186">
        <f>'Large Use OLS Model (LC)'!$B$8*G96</f>
        <v>0</v>
      </c>
      <c r="P96" s="186">
        <f>'Large Use OLS Model (LC)'!$B$9*H96</f>
        <v>0</v>
      </c>
      <c r="Q96" s="186">
        <f>'Large Use OLS Model (LC)'!$B$10*I96</f>
        <v>17537763.106774591</v>
      </c>
      <c r="R96" s="186">
        <f t="shared" ca="1" si="5"/>
        <v>20555391.574622449</v>
      </c>
    </row>
    <row r="97" spans="1:18">
      <c r="A97" s="128">
        <f>'Monthly Data'!A97</f>
        <v>42705</v>
      </c>
      <c r="B97" s="186">
        <f t="shared" si="4"/>
        <v>2016</v>
      </c>
      <c r="C97" s="124">
        <f ca="1">'Monthly Data'!AQ97</f>
        <v>18899420.082560532</v>
      </c>
      <c r="D97" s="186">
        <f t="shared" ca="1" si="6"/>
        <v>0</v>
      </c>
      <c r="E97" s="124">
        <f>'Monthly Data'!BJ97</f>
        <v>7035.1</v>
      </c>
      <c r="F97" s="186">
        <f>'Monthly Data'!BM97</f>
        <v>96</v>
      </c>
      <c r="G97" s="186">
        <f>'Monthly Data'!BT97</f>
        <v>0</v>
      </c>
      <c r="H97" s="186">
        <f>'Monthly Data'!BY97</f>
        <v>1</v>
      </c>
      <c r="I97" s="186">
        <f>'Monthly Data'!CC97</f>
        <v>31</v>
      </c>
      <c r="K97" s="186">
        <f>'Large Use OLS Model (LC)'!$B$5</f>
        <v>-11585185.4436178</v>
      </c>
      <c r="L97" s="186">
        <f ca="1">'Large Use OLS Model (LC)'!$B$6*D97</f>
        <v>0</v>
      </c>
      <c r="M97" s="124">
        <f>'Large Use OLS Model (LC)'!$B$7*E97</f>
        <v>14629601.328943236</v>
      </c>
      <c r="N97" s="186">
        <v>0</v>
      </c>
      <c r="O97" s="186">
        <f>'Large Use OLS Model (LC)'!$B$8*G97</f>
        <v>0</v>
      </c>
      <c r="P97" s="186">
        <f>'Large Use OLS Model (LC)'!$B$9*H97</f>
        <v>-1776727.9579078101</v>
      </c>
      <c r="Q97" s="186">
        <f>'Large Use OLS Model (LC)'!$B$10*I97</f>
        <v>18122355.210333746</v>
      </c>
      <c r="R97" s="186">
        <f t="shared" ca="1" si="5"/>
        <v>19390043.137751371</v>
      </c>
    </row>
    <row r="98" spans="1:18">
      <c r="A98" s="128">
        <v>42736</v>
      </c>
      <c r="B98" s="186">
        <f t="shared" si="4"/>
        <v>2017</v>
      </c>
      <c r="C98" s="124">
        <f ca="1">'Monthly Data'!AQ98</f>
        <v>20315496.805656914</v>
      </c>
      <c r="D98" s="186">
        <f t="shared" ca="1" si="6"/>
        <v>0</v>
      </c>
      <c r="E98" s="124">
        <f>'Monthly Data'!BJ98</f>
        <v>7049.2</v>
      </c>
      <c r="F98" s="186">
        <f>'Monthly Data'!BM98</f>
        <v>97</v>
      </c>
      <c r="G98" s="186">
        <f>'Monthly Data'!BT98</f>
        <v>0</v>
      </c>
      <c r="H98" s="186">
        <f>'Monthly Data'!BY98</f>
        <v>0</v>
      </c>
      <c r="I98" s="186">
        <f>'Monthly Data'!CC98</f>
        <v>31</v>
      </c>
      <c r="K98" s="186">
        <f>'Large Use OLS Model (LC)'!$B$5</f>
        <v>-11585185.4436178</v>
      </c>
      <c r="L98" s="186">
        <f ca="1">'Large Use OLS Model (LC)'!$B$6*D98</f>
        <v>0</v>
      </c>
      <c r="M98" s="124">
        <f>'Large Use OLS Model (LC)'!$B$7*E98</f>
        <v>14658922.501170794</v>
      </c>
      <c r="N98" s="186">
        <v>0</v>
      </c>
      <c r="O98" s="186">
        <f>'Large Use OLS Model (LC)'!$B$8*G98</f>
        <v>0</v>
      </c>
      <c r="P98" s="186">
        <f>'Large Use OLS Model (LC)'!$B$9*H98</f>
        <v>0</v>
      </c>
      <c r="Q98" s="186">
        <f>'Large Use OLS Model (LC)'!$B$10*I98</f>
        <v>18122355.210333746</v>
      </c>
      <c r="R98" s="186">
        <f t="shared" ca="1" si="5"/>
        <v>21196092.267886739</v>
      </c>
    </row>
    <row r="99" spans="1:18">
      <c r="A99" s="128">
        <v>42767</v>
      </c>
      <c r="B99" s="186">
        <f t="shared" si="4"/>
        <v>2017</v>
      </c>
      <c r="C99" s="124">
        <f ca="1">'Monthly Data'!AQ99</f>
        <v>18666295.813621074</v>
      </c>
      <c r="D99" s="186">
        <f t="shared" ca="1" si="6"/>
        <v>0</v>
      </c>
      <c r="E99" s="124">
        <f>'Monthly Data'!BJ99</f>
        <v>7062.5</v>
      </c>
      <c r="F99" s="186">
        <f>'Monthly Data'!BM99</f>
        <v>98</v>
      </c>
      <c r="G99" s="186">
        <f>'Monthly Data'!BT99</f>
        <v>0</v>
      </c>
      <c r="H99" s="186">
        <f>'Monthly Data'!BY99</f>
        <v>0</v>
      </c>
      <c r="I99" s="186">
        <f>'Monthly Data'!CC99</f>
        <v>28</v>
      </c>
      <c r="K99" s="186">
        <f>'Large Use OLS Model (LC)'!$B$5</f>
        <v>-11585185.4436178</v>
      </c>
      <c r="L99" s="186">
        <f ca="1">'Large Use OLS Model (LC)'!$B$6*D99</f>
        <v>0</v>
      </c>
      <c r="M99" s="124">
        <f>'Large Use OLS Model (LC)'!$B$7*E99</f>
        <v>14686580.060789697</v>
      </c>
      <c r="N99" s="186">
        <v>0</v>
      </c>
      <c r="O99" s="186">
        <f>'Large Use OLS Model (LC)'!$B$8*G99</f>
        <v>0</v>
      </c>
      <c r="P99" s="186">
        <f>'Large Use OLS Model (LC)'!$B$9*H99</f>
        <v>0</v>
      </c>
      <c r="Q99" s="186">
        <f>'Large Use OLS Model (LC)'!$B$10*I99</f>
        <v>16368578.899656285</v>
      </c>
      <c r="R99" s="186">
        <f t="shared" ca="1" si="5"/>
        <v>19469973.516828179</v>
      </c>
    </row>
    <row r="100" spans="1:18">
      <c r="A100" s="128">
        <v>42795</v>
      </c>
      <c r="B100" s="186">
        <f t="shared" si="4"/>
        <v>2017</v>
      </c>
      <c r="C100" s="124">
        <f ca="1">'Monthly Data'!AQ100</f>
        <v>20501069.907807238</v>
      </c>
      <c r="D100" s="186">
        <f t="shared" ca="1" si="6"/>
        <v>0.48</v>
      </c>
      <c r="E100" s="124">
        <f>'Monthly Data'!BJ100</f>
        <v>7071</v>
      </c>
      <c r="F100" s="186">
        <f>'Monthly Data'!BM100</f>
        <v>99</v>
      </c>
      <c r="G100" s="186">
        <f>'Monthly Data'!BT100</f>
        <v>0</v>
      </c>
      <c r="H100" s="186">
        <f>'Monthly Data'!BY100</f>
        <v>0</v>
      </c>
      <c r="I100" s="186">
        <f>'Monthly Data'!CC100</f>
        <v>31</v>
      </c>
      <c r="K100" s="186">
        <f>'Large Use OLS Model (LC)'!$B$5</f>
        <v>-11585185.4436178</v>
      </c>
      <c r="L100" s="186">
        <f ca="1">'Large Use OLS Model (LC)'!$B$6*D100</f>
        <v>12346.034817492864</v>
      </c>
      <c r="M100" s="124">
        <f>'Large Use OLS Model (LC)'!$B$7*E100</f>
        <v>14704255.944756664</v>
      </c>
      <c r="N100" s="186">
        <v>0</v>
      </c>
      <c r="O100" s="186">
        <f>'Large Use OLS Model (LC)'!$B$8*G100</f>
        <v>0</v>
      </c>
      <c r="P100" s="186">
        <f>'Large Use OLS Model (LC)'!$B$9*H100</f>
        <v>0</v>
      </c>
      <c r="Q100" s="186">
        <f>'Large Use OLS Model (LC)'!$B$10*I100</f>
        <v>18122355.210333746</v>
      </c>
      <c r="R100" s="186">
        <f t="shared" ca="1" si="5"/>
        <v>21253771.746290103</v>
      </c>
    </row>
    <row r="101" spans="1:18">
      <c r="A101" s="128">
        <v>42826</v>
      </c>
      <c r="B101" s="186">
        <f t="shared" si="4"/>
        <v>2017</v>
      </c>
      <c r="C101" s="124">
        <f ca="1">'Monthly Data'!AQ101</f>
        <v>19823217.414303008</v>
      </c>
      <c r="D101" s="186">
        <f t="shared" ca="1" si="6"/>
        <v>2.63</v>
      </c>
      <c r="E101" s="124">
        <f>'Monthly Data'!BJ101</f>
        <v>7073.2</v>
      </c>
      <c r="F101" s="186">
        <f>'Monthly Data'!BM101</f>
        <v>100</v>
      </c>
      <c r="G101" s="186">
        <f>'Monthly Data'!BT101</f>
        <v>0</v>
      </c>
      <c r="H101" s="186">
        <f>'Monthly Data'!BY101</f>
        <v>0</v>
      </c>
      <c r="I101" s="186">
        <f>'Monthly Data'!CC101</f>
        <v>30</v>
      </c>
      <c r="K101" s="186">
        <f>'Large Use OLS Model (LC)'!$B$5</f>
        <v>-11585185.4436178</v>
      </c>
      <c r="L101" s="186">
        <f ca="1">'Large Use OLS Model (LC)'!$B$6*D101</f>
        <v>67645.982437512983</v>
      </c>
      <c r="M101" s="124">
        <f>'Large Use OLS Model (LC)'!$B$7*E101</f>
        <v>14708830.879430469</v>
      </c>
      <c r="N101" s="186">
        <v>0</v>
      </c>
      <c r="O101" s="186">
        <f>'Large Use OLS Model (LC)'!$B$8*G101</f>
        <v>0</v>
      </c>
      <c r="P101" s="186">
        <f>'Large Use OLS Model (LC)'!$B$9*H101</f>
        <v>0</v>
      </c>
      <c r="Q101" s="186">
        <f>'Large Use OLS Model (LC)'!$B$10*I101</f>
        <v>17537763.106774591</v>
      </c>
      <c r="R101" s="186">
        <f t="shared" ca="1" si="5"/>
        <v>20729054.525024772</v>
      </c>
    </row>
    <row r="102" spans="1:18">
      <c r="A102" s="128">
        <v>42856</v>
      </c>
      <c r="B102" s="186">
        <f t="shared" si="4"/>
        <v>2017</v>
      </c>
      <c r="C102" s="124">
        <f ca="1">'Monthly Data'!AQ102</f>
        <v>21332197.715417989</v>
      </c>
      <c r="D102" s="186">
        <f t="shared" ca="1" si="6"/>
        <v>47.37</v>
      </c>
      <c r="E102" s="124">
        <f>'Monthly Data'!BJ102</f>
        <v>7076.2</v>
      </c>
      <c r="F102" s="186">
        <f>'Monthly Data'!BM102</f>
        <v>101</v>
      </c>
      <c r="G102" s="186">
        <f>'Monthly Data'!BT102</f>
        <v>0</v>
      </c>
      <c r="H102" s="186">
        <f>'Monthly Data'!BY102</f>
        <v>0</v>
      </c>
      <c r="I102" s="186">
        <f>'Monthly Data'!CC102</f>
        <v>31</v>
      </c>
      <c r="K102" s="186">
        <f>'Large Use OLS Model (LC)'!$B$5</f>
        <v>-11585185.4436178</v>
      </c>
      <c r="L102" s="186">
        <f ca="1">'Large Use OLS Model (LC)'!$B$6*D102</f>
        <v>1218399.311051327</v>
      </c>
      <c r="M102" s="124">
        <f>'Large Use OLS Model (LC)'!$B$7*E102</f>
        <v>14715069.426712928</v>
      </c>
      <c r="N102" s="186">
        <v>0</v>
      </c>
      <c r="O102" s="186">
        <f>'Large Use OLS Model (LC)'!$B$8*G102</f>
        <v>0</v>
      </c>
      <c r="P102" s="186">
        <f>'Large Use OLS Model (LC)'!$B$9*H102</f>
        <v>0</v>
      </c>
      <c r="Q102" s="186">
        <f>'Large Use OLS Model (LC)'!$B$10*I102</f>
        <v>18122355.210333746</v>
      </c>
      <c r="R102" s="186">
        <f t="shared" ca="1" si="5"/>
        <v>22470638.504480202</v>
      </c>
    </row>
    <row r="103" spans="1:18">
      <c r="A103" s="128">
        <v>42887</v>
      </c>
      <c r="B103" s="186">
        <f t="shared" si="4"/>
        <v>2017</v>
      </c>
      <c r="C103" s="124">
        <f ca="1">'Monthly Data'!AQ103</f>
        <v>23799303.944701213</v>
      </c>
      <c r="D103" s="186">
        <f t="shared" ca="1" si="6"/>
        <v>117.23999999999997</v>
      </c>
      <c r="E103" s="124">
        <f>'Monthly Data'!BJ103</f>
        <v>7082.2</v>
      </c>
      <c r="F103" s="186">
        <f>'Monthly Data'!BM103</f>
        <v>102</v>
      </c>
      <c r="G103" s="186">
        <f>'Monthly Data'!BT103</f>
        <v>0</v>
      </c>
      <c r="H103" s="186">
        <f>'Monthly Data'!BY103</f>
        <v>0</v>
      </c>
      <c r="I103" s="186">
        <f>'Monthly Data'!CC103</f>
        <v>30</v>
      </c>
      <c r="K103" s="186">
        <f>'Large Use OLS Model (LC)'!$B$5</f>
        <v>-11585185.4436178</v>
      </c>
      <c r="L103" s="186">
        <f ca="1">'Large Use OLS Model (LC)'!$B$6*D103</f>
        <v>3015519.0041726315</v>
      </c>
      <c r="M103" s="124">
        <f>'Large Use OLS Model (LC)'!$B$7*E103</f>
        <v>14727546.521277847</v>
      </c>
      <c r="N103" s="186">
        <v>0</v>
      </c>
      <c r="O103" s="186">
        <f>'Large Use OLS Model (LC)'!$B$8*G103</f>
        <v>0</v>
      </c>
      <c r="P103" s="186">
        <f>'Large Use OLS Model (LC)'!$B$9*H103</f>
        <v>0</v>
      </c>
      <c r="Q103" s="186">
        <f>'Large Use OLS Model (LC)'!$B$10*I103</f>
        <v>17537763.106774591</v>
      </c>
      <c r="R103" s="186">
        <f t="shared" ca="1" si="5"/>
        <v>23695643.188607268</v>
      </c>
    </row>
    <row r="104" spans="1:18">
      <c r="A104" s="128">
        <v>42917</v>
      </c>
      <c r="B104" s="186">
        <f t="shared" si="4"/>
        <v>2017</v>
      </c>
      <c r="C104" s="124">
        <f ca="1">'Monthly Data'!AQ104</f>
        <v>25324504.630515054</v>
      </c>
      <c r="D104" s="186">
        <f t="shared" ca="1" si="6"/>
        <v>185.60999999999999</v>
      </c>
      <c r="E104" s="124">
        <f>'Monthly Data'!BJ104</f>
        <v>7098</v>
      </c>
      <c r="F104" s="186">
        <f>'Monthly Data'!BM104</f>
        <v>103</v>
      </c>
      <c r="G104" s="186">
        <f>'Monthly Data'!BT104</f>
        <v>1</v>
      </c>
      <c r="H104" s="186">
        <f>'Monthly Data'!BY104</f>
        <v>0</v>
      </c>
      <c r="I104" s="186">
        <f>'Monthly Data'!CC104</f>
        <v>31</v>
      </c>
      <c r="K104" s="186">
        <f>'Large Use OLS Model (LC)'!$B$5</f>
        <v>-11585185.4436178</v>
      </c>
      <c r="L104" s="186">
        <f ca="1">'Large Use OLS Model (LC)'!$B$6*D104</f>
        <v>4774057.3384892717</v>
      </c>
      <c r="M104" s="124">
        <f>'Large Use OLS Model (LC)'!$B$7*E104</f>
        <v>14760402.870298799</v>
      </c>
      <c r="N104" s="186">
        <v>0</v>
      </c>
      <c r="O104" s="186">
        <f>'Large Use OLS Model (LC)'!$B$8*G104</f>
        <v>-947874.12245155603</v>
      </c>
      <c r="P104" s="186">
        <f>'Large Use OLS Model (LC)'!$B$9*H104</f>
        <v>0</v>
      </c>
      <c r="Q104" s="186">
        <f>'Large Use OLS Model (LC)'!$B$10*I104</f>
        <v>18122355.210333746</v>
      </c>
      <c r="R104" s="186">
        <f t="shared" ca="1" si="5"/>
        <v>25123755.85305246</v>
      </c>
    </row>
    <row r="105" spans="1:18">
      <c r="A105" s="128">
        <v>42948</v>
      </c>
      <c r="B105" s="186">
        <f t="shared" si="4"/>
        <v>2017</v>
      </c>
      <c r="C105" s="124">
        <f ca="1">'Monthly Data'!AQ105</f>
        <v>23736935.932426449</v>
      </c>
      <c r="D105" s="186">
        <f t="shared" ca="1" si="6"/>
        <v>159.64000000000001</v>
      </c>
      <c r="E105" s="124">
        <f>'Monthly Data'!BJ105</f>
        <v>7118.8</v>
      </c>
      <c r="F105" s="186">
        <f>'Monthly Data'!BM105</f>
        <v>104</v>
      </c>
      <c r="G105" s="186">
        <f>'Monthly Data'!BT105</f>
        <v>0</v>
      </c>
      <c r="H105" s="186">
        <f>'Monthly Data'!BY105</f>
        <v>0</v>
      </c>
      <c r="I105" s="186">
        <f>'Monthly Data'!CC105</f>
        <v>31</v>
      </c>
      <c r="K105" s="186">
        <f>'Large Use OLS Model (LC)'!$B$5</f>
        <v>-11585185.4436178</v>
      </c>
      <c r="L105" s="186">
        <f ca="1">'Large Use OLS Model (LC)'!$B$6*D105</f>
        <v>4106085.4130511689</v>
      </c>
      <c r="M105" s="124">
        <f>'Large Use OLS Model (LC)'!$B$7*E105</f>
        <v>14803656.798123851</v>
      </c>
      <c r="N105" s="186">
        <v>0</v>
      </c>
      <c r="O105" s="186">
        <f>'Large Use OLS Model (LC)'!$B$8*G105</f>
        <v>0</v>
      </c>
      <c r="P105" s="186">
        <f>'Large Use OLS Model (LC)'!$B$9*H105</f>
        <v>0</v>
      </c>
      <c r="Q105" s="186">
        <f>'Large Use OLS Model (LC)'!$B$10*I105</f>
        <v>18122355.210333746</v>
      </c>
      <c r="R105" s="186">
        <f t="shared" ca="1" si="5"/>
        <v>25446911.977890968</v>
      </c>
    </row>
    <row r="106" spans="1:18">
      <c r="A106" s="128">
        <v>42979</v>
      </c>
      <c r="B106" s="186">
        <f t="shared" si="4"/>
        <v>2017</v>
      </c>
      <c r="C106" s="124">
        <f ca="1">'Monthly Data'!AQ106</f>
        <v>22804130.018046163</v>
      </c>
      <c r="D106" s="186">
        <f t="shared" ca="1" si="6"/>
        <v>72.989999999999981</v>
      </c>
      <c r="E106" s="124">
        <f>'Monthly Data'!BJ106</f>
        <v>7148.9</v>
      </c>
      <c r="F106" s="186">
        <f>'Monthly Data'!BM106</f>
        <v>105</v>
      </c>
      <c r="G106" s="186">
        <f>'Monthly Data'!BT106</f>
        <v>0</v>
      </c>
      <c r="H106" s="186">
        <f>'Monthly Data'!BY106</f>
        <v>0</v>
      </c>
      <c r="I106" s="186">
        <f>'Monthly Data'!CC106</f>
        <v>30</v>
      </c>
      <c r="K106" s="186">
        <f>'Large Use OLS Model (LC)'!$B$5</f>
        <v>-11585185.4436178</v>
      </c>
      <c r="L106" s="186">
        <f ca="1">'Large Use OLS Model (LC)'!$B$6*D106</f>
        <v>1877368.9194350082</v>
      </c>
      <c r="M106" s="124">
        <f>'Large Use OLS Model (LC)'!$B$7*E106</f>
        <v>14866250.222524526</v>
      </c>
      <c r="N106" s="186">
        <v>0</v>
      </c>
      <c r="O106" s="186">
        <f>'Large Use OLS Model (LC)'!$B$8*G106</f>
        <v>0</v>
      </c>
      <c r="P106" s="186">
        <f>'Large Use OLS Model (LC)'!$B$9*H106</f>
        <v>0</v>
      </c>
      <c r="Q106" s="186">
        <f>'Large Use OLS Model (LC)'!$B$10*I106</f>
        <v>17537763.106774591</v>
      </c>
      <c r="R106" s="186">
        <f t="shared" ca="1" si="5"/>
        <v>22696196.805116326</v>
      </c>
    </row>
    <row r="107" spans="1:18">
      <c r="A107" s="128">
        <v>43009</v>
      </c>
      <c r="B107" s="186">
        <f t="shared" si="4"/>
        <v>2017</v>
      </c>
      <c r="C107" s="124">
        <f ca="1">'Monthly Data'!AQ107</f>
        <v>22410894.722107884</v>
      </c>
      <c r="D107" s="186">
        <f t="shared" ca="1" si="6"/>
        <v>10.779999999999998</v>
      </c>
      <c r="E107" s="124">
        <f>'Monthly Data'!BJ107</f>
        <v>7168.4</v>
      </c>
      <c r="F107" s="186">
        <f>'Monthly Data'!BM107</f>
        <v>106</v>
      </c>
      <c r="G107" s="186">
        <f>'Monthly Data'!BT107</f>
        <v>0</v>
      </c>
      <c r="H107" s="186">
        <f>'Monthly Data'!BY107</f>
        <v>0</v>
      </c>
      <c r="I107" s="186">
        <f>'Monthly Data'!CC107</f>
        <v>31</v>
      </c>
      <c r="K107" s="186">
        <f>'Large Use OLS Model (LC)'!$B$5</f>
        <v>-11585185.4436178</v>
      </c>
      <c r="L107" s="186">
        <f ca="1">'Large Use OLS Model (LC)'!$B$6*D107</f>
        <v>277271.36527619383</v>
      </c>
      <c r="M107" s="124">
        <f>'Large Use OLS Model (LC)'!$B$7*E107</f>
        <v>14906800.779860511</v>
      </c>
      <c r="N107" s="186">
        <v>0</v>
      </c>
      <c r="O107" s="186">
        <f>'Large Use OLS Model (LC)'!$B$8*G107</f>
        <v>0</v>
      </c>
      <c r="P107" s="186">
        <f>'Large Use OLS Model (LC)'!$B$9*H107</f>
        <v>0</v>
      </c>
      <c r="Q107" s="186">
        <f>'Large Use OLS Model (LC)'!$B$10*I107</f>
        <v>18122355.210333746</v>
      </c>
      <c r="R107" s="186">
        <f t="shared" ca="1" si="5"/>
        <v>21721241.91185265</v>
      </c>
    </row>
    <row r="108" spans="1:18">
      <c r="A108" s="128">
        <v>43040</v>
      </c>
      <c r="B108" s="186">
        <f t="shared" si="4"/>
        <v>2017</v>
      </c>
      <c r="C108" s="124">
        <f ca="1">'Monthly Data'!AQ108</f>
        <v>20145414.625656914</v>
      </c>
      <c r="D108" s="186">
        <f t="shared" ca="1" si="6"/>
        <v>0.05</v>
      </c>
      <c r="E108" s="124">
        <f>'Monthly Data'!BJ108</f>
        <v>7192.2</v>
      </c>
      <c r="F108" s="186">
        <f>'Monthly Data'!BM108</f>
        <v>107</v>
      </c>
      <c r="G108" s="186">
        <f>'Monthly Data'!BT108</f>
        <v>0</v>
      </c>
      <c r="H108" s="186">
        <f>'Monthly Data'!BY108</f>
        <v>0</v>
      </c>
      <c r="I108" s="186">
        <f>'Monthly Data'!CC108</f>
        <v>30</v>
      </c>
      <c r="K108" s="186">
        <f>'Large Use OLS Model (LC)'!$B$5</f>
        <v>-11585185.4436178</v>
      </c>
      <c r="L108" s="186">
        <f ca="1">'Large Use OLS Model (LC)'!$B$6*D108</f>
        <v>1286.0452934888401</v>
      </c>
      <c r="M108" s="124">
        <f>'Large Use OLS Model (LC)'!$B$7*E108</f>
        <v>14956293.254968023</v>
      </c>
      <c r="N108" s="186">
        <v>0</v>
      </c>
      <c r="O108" s="186">
        <f>'Large Use OLS Model (LC)'!$B$8*G108</f>
        <v>0</v>
      </c>
      <c r="P108" s="186">
        <f>'Large Use OLS Model (LC)'!$B$9*H108</f>
        <v>0</v>
      </c>
      <c r="Q108" s="186">
        <f>'Large Use OLS Model (LC)'!$B$10*I108</f>
        <v>17537763.106774591</v>
      </c>
      <c r="R108" s="186">
        <f t="shared" ca="1" si="5"/>
        <v>20910156.963418305</v>
      </c>
    </row>
    <row r="109" spans="1:18">
      <c r="A109" s="128">
        <v>43070</v>
      </c>
      <c r="B109" s="186">
        <f t="shared" si="4"/>
        <v>2017</v>
      </c>
      <c r="C109" s="124">
        <f ca="1">'Monthly Data'!AQ109</f>
        <v>19707437.608922221</v>
      </c>
      <c r="D109" s="186">
        <f t="shared" ca="1" si="6"/>
        <v>0</v>
      </c>
      <c r="E109" s="124">
        <f>'Monthly Data'!BJ109</f>
        <v>7207.4</v>
      </c>
      <c r="F109" s="186">
        <f>'Monthly Data'!BM109</f>
        <v>108</v>
      </c>
      <c r="G109" s="186">
        <f>'Monthly Data'!BT109</f>
        <v>0</v>
      </c>
      <c r="H109" s="186">
        <f>'Monthly Data'!BY109</f>
        <v>1</v>
      </c>
      <c r="I109" s="186">
        <f>'Monthly Data'!CC109</f>
        <v>31</v>
      </c>
      <c r="K109" s="186">
        <f>'Large Use OLS Model (LC)'!$B$5</f>
        <v>-11585185.4436178</v>
      </c>
      <c r="L109" s="186">
        <f ca="1">'Large Use OLS Model (LC)'!$B$6*D109</f>
        <v>0</v>
      </c>
      <c r="M109" s="124">
        <f>'Large Use OLS Model (LC)'!$B$7*E109</f>
        <v>14987901.894532483</v>
      </c>
      <c r="N109" s="186">
        <v>0</v>
      </c>
      <c r="O109" s="186">
        <f>'Large Use OLS Model (LC)'!$B$8*G109</f>
        <v>0</v>
      </c>
      <c r="P109" s="186">
        <f>'Large Use OLS Model (LC)'!$B$9*H109</f>
        <v>-1776727.9579078101</v>
      </c>
      <c r="Q109" s="186">
        <f>'Large Use OLS Model (LC)'!$B$10*I109</f>
        <v>18122355.210333746</v>
      </c>
      <c r="R109" s="186">
        <f t="shared" ca="1" si="5"/>
        <v>19748343.70334062</v>
      </c>
    </row>
    <row r="110" spans="1:18">
      <c r="A110" s="128">
        <v>43101</v>
      </c>
      <c r="B110" s="186">
        <f t="shared" si="4"/>
        <v>2018</v>
      </c>
      <c r="C110" s="124">
        <f ca="1">'Monthly Data'!AQ110</f>
        <v>21406178.403620746</v>
      </c>
      <c r="D110" s="186">
        <f t="shared" ca="1" si="6"/>
        <v>0</v>
      </c>
      <c r="E110" s="124">
        <f>'Monthly Data'!BJ110</f>
        <v>7166.6339368397712</v>
      </c>
      <c r="F110" s="186">
        <f>'Monthly Data'!BM110</f>
        <v>109</v>
      </c>
      <c r="G110" s="186">
        <f>'Monthly Data'!BT110</f>
        <v>0</v>
      </c>
      <c r="H110" s="186">
        <f>'Monthly Data'!BY110</f>
        <v>0</v>
      </c>
      <c r="I110" s="186">
        <f>'Monthly Data'!CC110</f>
        <v>31</v>
      </c>
      <c r="K110" s="186">
        <f>'Large Use OLS Model (LC)'!$B$5</f>
        <v>-11585185.4436178</v>
      </c>
      <c r="L110" s="186">
        <f ca="1">'Large Use OLS Model (LC)'!$B$6*D110</f>
        <v>0</v>
      </c>
      <c r="M110" s="124">
        <f>'Large Use OLS Model (LC)'!$B$7*E110</f>
        <v>14903128.223684212</v>
      </c>
      <c r="N110" s="186">
        <v>0</v>
      </c>
      <c r="O110" s="186">
        <f>'Large Use OLS Model (LC)'!$B$8*G110</f>
        <v>0</v>
      </c>
      <c r="P110" s="186">
        <f>'Large Use OLS Model (LC)'!$B$9*H110</f>
        <v>0</v>
      </c>
      <c r="Q110" s="186">
        <f>'Large Use OLS Model (LC)'!$B$10*I110</f>
        <v>18122355.210333746</v>
      </c>
      <c r="R110" s="186">
        <f t="shared" ca="1" si="5"/>
        <v>21440297.990400158</v>
      </c>
    </row>
    <row r="111" spans="1:18">
      <c r="A111" s="128">
        <v>43132</v>
      </c>
      <c r="B111" s="186">
        <f t="shared" si="4"/>
        <v>2018</v>
      </c>
      <c r="C111" s="124">
        <f ca="1">'Monthly Data'!AQ111</f>
        <v>19541869.543381821</v>
      </c>
      <c r="D111" s="186">
        <f t="shared" ca="1" si="6"/>
        <v>0</v>
      </c>
      <c r="E111" s="124">
        <f>'Monthly Data'!BJ111</f>
        <v>7119.8728643912718</v>
      </c>
      <c r="F111" s="186">
        <f>'Monthly Data'!BM111</f>
        <v>110</v>
      </c>
      <c r="G111" s="186">
        <f>'Monthly Data'!BT111</f>
        <v>0</v>
      </c>
      <c r="H111" s="186">
        <f>'Monthly Data'!BY111</f>
        <v>0</v>
      </c>
      <c r="I111" s="186">
        <f>'Monthly Data'!CC111</f>
        <v>28</v>
      </c>
      <c r="K111" s="186">
        <f>'Large Use OLS Model (LC)'!$B$5</f>
        <v>-11585185.4436178</v>
      </c>
      <c r="L111" s="186">
        <f ca="1">'Large Use OLS Model (LC)'!$B$6*D111</f>
        <v>0</v>
      </c>
      <c r="M111" s="124">
        <f>'Large Use OLS Model (LC)'!$B$7*E111</f>
        <v>14805887.836534722</v>
      </c>
      <c r="N111" s="186">
        <v>0</v>
      </c>
      <c r="O111" s="186">
        <f>'Large Use OLS Model (LC)'!$B$8*G111</f>
        <v>0</v>
      </c>
      <c r="P111" s="186">
        <f>'Large Use OLS Model (LC)'!$B$9*H111</f>
        <v>0</v>
      </c>
      <c r="Q111" s="186">
        <f>'Large Use OLS Model (LC)'!$B$10*I111</f>
        <v>16368578.899656285</v>
      </c>
      <c r="R111" s="186">
        <f t="shared" ca="1" si="5"/>
        <v>19589281.292573206</v>
      </c>
    </row>
    <row r="112" spans="1:18">
      <c r="A112" s="128">
        <v>43160</v>
      </c>
      <c r="B112" s="186">
        <f t="shared" si="4"/>
        <v>2018</v>
      </c>
      <c r="C112" s="124">
        <f ca="1">'Monthly Data'!AQ112</f>
        <v>22152171.57537286</v>
      </c>
      <c r="D112" s="186">
        <f t="shared" ca="1" si="6"/>
        <v>0.48</v>
      </c>
      <c r="E112" s="124">
        <f>'Monthly Data'!BJ112</f>
        <v>7076.4090470513211</v>
      </c>
      <c r="F112" s="186">
        <f>'Monthly Data'!BM112</f>
        <v>111</v>
      </c>
      <c r="G112" s="186">
        <f>'Monthly Data'!BT112</f>
        <v>0</v>
      </c>
      <c r="H112" s="186">
        <f>'Monthly Data'!BY112</f>
        <v>0</v>
      </c>
      <c r="I112" s="186">
        <f>'Monthly Data'!CC112</f>
        <v>31</v>
      </c>
      <c r="K112" s="186">
        <f>'Large Use OLS Model (LC)'!$B$5</f>
        <v>-11585185.4436178</v>
      </c>
      <c r="L112" s="186">
        <f ca="1">'Large Use OLS Model (LC)'!$B$6*D112</f>
        <v>12346.034817492864</v>
      </c>
      <c r="M112" s="124">
        <f>'Large Use OLS Model (LC)'!$B$7*E112</f>
        <v>14715504.143350903</v>
      </c>
      <c r="N112" s="186">
        <v>0</v>
      </c>
      <c r="O112" s="186">
        <f>'Large Use OLS Model (LC)'!$B$8*G112</f>
        <v>0</v>
      </c>
      <c r="P112" s="186">
        <f>'Large Use OLS Model (LC)'!$B$9*H112</f>
        <v>0</v>
      </c>
      <c r="Q112" s="186">
        <f>'Large Use OLS Model (LC)'!$B$10*I112</f>
        <v>18122355.210333746</v>
      </c>
      <c r="R112" s="186">
        <f t="shared" ca="1" si="5"/>
        <v>21265019.944884341</v>
      </c>
    </row>
    <row r="113" spans="1:18">
      <c r="A113" s="128">
        <v>43191</v>
      </c>
      <c r="B113" s="186">
        <f t="shared" si="4"/>
        <v>2018</v>
      </c>
      <c r="C113" s="124">
        <f ca="1">'Monthly Data'!AQ113</f>
        <v>20451823.134815373</v>
      </c>
      <c r="D113" s="186">
        <f t="shared" ca="1" si="6"/>
        <v>2.63</v>
      </c>
      <c r="E113" s="124">
        <f>'Monthly Data'!BJ113</f>
        <v>7102.4873374552917</v>
      </c>
      <c r="F113" s="186">
        <f>'Monthly Data'!BM113</f>
        <v>112</v>
      </c>
      <c r="G113" s="186">
        <f>'Monthly Data'!BT113</f>
        <v>0</v>
      </c>
      <c r="H113" s="186">
        <f>'Monthly Data'!BY113</f>
        <v>0</v>
      </c>
      <c r="I113" s="186">
        <f>'Monthly Data'!CC113</f>
        <v>30</v>
      </c>
      <c r="K113" s="186">
        <f>'Large Use OLS Model (LC)'!$B$5</f>
        <v>-11585185.4436178</v>
      </c>
      <c r="L113" s="186">
        <f ca="1">'Large Use OLS Model (LC)'!$B$6*D113</f>
        <v>67645.982437512983</v>
      </c>
      <c r="M113" s="124">
        <f>'Large Use OLS Model (LC)'!$B$7*E113</f>
        <v>14769734.359261194</v>
      </c>
      <c r="N113" s="186">
        <v>0</v>
      </c>
      <c r="O113" s="186">
        <f>'Large Use OLS Model (LC)'!$B$8*G113</f>
        <v>0</v>
      </c>
      <c r="P113" s="186">
        <f>'Large Use OLS Model (LC)'!$B$9*H113</f>
        <v>0</v>
      </c>
      <c r="Q113" s="186">
        <f>'Large Use OLS Model (LC)'!$B$10*I113</f>
        <v>17537763.106774591</v>
      </c>
      <c r="R113" s="186">
        <f t="shared" ca="1" si="5"/>
        <v>20789958.004855499</v>
      </c>
    </row>
    <row r="114" spans="1:18">
      <c r="A114" s="128">
        <v>43221</v>
      </c>
      <c r="B114" s="186">
        <f t="shared" si="4"/>
        <v>2018</v>
      </c>
      <c r="C114" s="124">
        <f ca="1">'Monthly Data'!AQ114</f>
        <v>24335320.01605479</v>
      </c>
      <c r="D114" s="186">
        <f t="shared" ca="1" si="6"/>
        <v>47.37</v>
      </c>
      <c r="E114" s="124">
        <f>'Monthly Data'!BJ114</f>
        <v>7168.7321900906645</v>
      </c>
      <c r="F114" s="186">
        <f>'Monthly Data'!BM114</f>
        <v>113</v>
      </c>
      <c r="G114" s="186">
        <f>'Monthly Data'!BT114</f>
        <v>0</v>
      </c>
      <c r="H114" s="186">
        <f>'Monthly Data'!BY114</f>
        <v>0</v>
      </c>
      <c r="I114" s="186">
        <f>'Monthly Data'!CC114</f>
        <v>31</v>
      </c>
      <c r="K114" s="186">
        <f>'Large Use OLS Model (LC)'!$B$5</f>
        <v>-11585185.4436178</v>
      </c>
      <c r="L114" s="186">
        <f ca="1">'Large Use OLS Model (LC)'!$B$6*D114</f>
        <v>1218399.311051327</v>
      </c>
      <c r="M114" s="124">
        <f>'Large Use OLS Model (LC)'!$B$7*E114</f>
        <v>14907491.574389637</v>
      </c>
      <c r="N114" s="186">
        <v>0</v>
      </c>
      <c r="O114" s="186">
        <f>'Large Use OLS Model (LC)'!$B$8*G114</f>
        <v>0</v>
      </c>
      <c r="P114" s="186">
        <f>'Large Use OLS Model (LC)'!$B$9*H114</f>
        <v>0</v>
      </c>
      <c r="Q114" s="186">
        <f>'Large Use OLS Model (LC)'!$B$10*I114</f>
        <v>18122355.210333746</v>
      </c>
      <c r="R114" s="186">
        <f t="shared" ca="1" si="5"/>
        <v>22663060.652156912</v>
      </c>
    </row>
    <row r="115" spans="1:18">
      <c r="A115" s="128">
        <v>43252</v>
      </c>
      <c r="B115" s="186">
        <f t="shared" si="4"/>
        <v>2018</v>
      </c>
      <c r="C115" s="124">
        <f ca="1">'Monthly Data'!AQ115</f>
        <v>25658165.154656086</v>
      </c>
      <c r="D115" s="186">
        <f t="shared" ca="1" si="6"/>
        <v>117.23999999999997</v>
      </c>
      <c r="E115" s="124">
        <f>'Monthly Data'!BJ115</f>
        <v>7263.1535863809013</v>
      </c>
      <c r="F115" s="186">
        <f>'Monthly Data'!BM115</f>
        <v>114</v>
      </c>
      <c r="G115" s="186">
        <f>'Monthly Data'!BT115</f>
        <v>0</v>
      </c>
      <c r="H115" s="186">
        <f>'Monthly Data'!BY115</f>
        <v>0</v>
      </c>
      <c r="I115" s="186">
        <f>'Monthly Data'!CC115</f>
        <v>30</v>
      </c>
      <c r="K115" s="186">
        <f>'Large Use OLS Model (LC)'!$B$5</f>
        <v>-11585185.4436178</v>
      </c>
      <c r="L115" s="186">
        <f ca="1">'Large Use OLS Model (LC)'!$B$6*D115</f>
        <v>3015519.0041726315</v>
      </c>
      <c r="M115" s="124">
        <f>'Large Use OLS Model (LC)'!$B$7*E115</f>
        <v>15103842.356133794</v>
      </c>
      <c r="N115" s="186">
        <v>0</v>
      </c>
      <c r="O115" s="186">
        <f>'Large Use OLS Model (LC)'!$B$8*G115</f>
        <v>0</v>
      </c>
      <c r="P115" s="186">
        <f>'Large Use OLS Model (LC)'!$B$9*H115</f>
        <v>0</v>
      </c>
      <c r="Q115" s="186">
        <f>'Large Use OLS Model (LC)'!$B$10*I115</f>
        <v>17537763.106774591</v>
      </c>
      <c r="R115" s="186">
        <f t="shared" ca="1" si="5"/>
        <v>24071939.023463219</v>
      </c>
    </row>
    <row r="116" spans="1:18">
      <c r="A116" s="128">
        <v>43282</v>
      </c>
      <c r="B116" s="186">
        <f t="shared" si="4"/>
        <v>2018</v>
      </c>
      <c r="C116" s="124">
        <f ca="1">'Monthly Data'!AQ116</f>
        <v>25560862.437886547</v>
      </c>
      <c r="D116" s="186">
        <f t="shared" ca="1" si="6"/>
        <v>185.60999999999999</v>
      </c>
      <c r="E116" s="124">
        <f>'Monthly Data'!BJ116</f>
        <v>7346.3842986663703</v>
      </c>
      <c r="F116" s="186">
        <f>'Monthly Data'!BM116</f>
        <v>115</v>
      </c>
      <c r="G116" s="186">
        <f>'Monthly Data'!BT116</f>
        <v>1</v>
      </c>
      <c r="H116" s="186">
        <f>'Monthly Data'!BY116</f>
        <v>0</v>
      </c>
      <c r="I116" s="186">
        <f>'Monthly Data'!CC116</f>
        <v>31</v>
      </c>
      <c r="K116" s="186">
        <f>'Large Use OLS Model (LC)'!$B$5</f>
        <v>-11585185.4436178</v>
      </c>
      <c r="L116" s="186">
        <f ca="1">'Large Use OLS Model (LC)'!$B$6*D116</f>
        <v>4774057.3384892717</v>
      </c>
      <c r="M116" s="124">
        <f>'Large Use OLS Model (LC)'!$B$7*E116</f>
        <v>15276921.934115684</v>
      </c>
      <c r="N116" s="186">
        <v>0</v>
      </c>
      <c r="O116" s="186">
        <f>'Large Use OLS Model (LC)'!$B$8*G116</f>
        <v>-947874.12245155603</v>
      </c>
      <c r="P116" s="186">
        <f>'Large Use OLS Model (LC)'!$B$9*H116</f>
        <v>0</v>
      </c>
      <c r="Q116" s="186">
        <f>'Large Use OLS Model (LC)'!$B$10*I116</f>
        <v>18122355.210333746</v>
      </c>
      <c r="R116" s="186">
        <f t="shared" ca="1" si="5"/>
        <v>25640274.916869346</v>
      </c>
    </row>
    <row r="117" spans="1:18">
      <c r="A117" s="128">
        <v>43313</v>
      </c>
      <c r="B117" s="186">
        <f t="shared" si="4"/>
        <v>2018</v>
      </c>
      <c r="C117" s="124">
        <f ca="1">'Monthly Data'!AQ117</f>
        <v>24886166.479797948</v>
      </c>
      <c r="D117" s="186">
        <f t="shared" ca="1" si="6"/>
        <v>159.64000000000001</v>
      </c>
      <c r="E117" s="124">
        <f>'Monthly Data'!BJ117</f>
        <v>7349.8813874178613</v>
      </c>
      <c r="F117" s="186">
        <f>'Monthly Data'!BM117</f>
        <v>116</v>
      </c>
      <c r="G117" s="186">
        <f>'Monthly Data'!BT117</f>
        <v>0</v>
      </c>
      <c r="H117" s="186">
        <f>'Monthly Data'!BY117</f>
        <v>0</v>
      </c>
      <c r="I117" s="186">
        <f>'Monthly Data'!CC117</f>
        <v>31</v>
      </c>
      <c r="K117" s="186">
        <f>'Large Use OLS Model (LC)'!$B$5</f>
        <v>-11585185.4436178</v>
      </c>
      <c r="L117" s="186">
        <f ca="1">'Large Use OLS Model (LC)'!$B$6*D117</f>
        <v>4106085.4130511689</v>
      </c>
      <c r="M117" s="124">
        <f>'Large Use OLS Model (LC)'!$B$7*E117</f>
        <v>15284194.185291395</v>
      </c>
      <c r="N117" s="186">
        <v>0</v>
      </c>
      <c r="O117" s="186">
        <f>'Large Use OLS Model (LC)'!$B$8*G117</f>
        <v>0</v>
      </c>
      <c r="P117" s="186">
        <f>'Large Use OLS Model (LC)'!$B$9*H117</f>
        <v>0</v>
      </c>
      <c r="Q117" s="186">
        <f>'Large Use OLS Model (LC)'!$B$10*I117</f>
        <v>18122355.210333746</v>
      </c>
      <c r="R117" s="186">
        <f t="shared" ca="1" si="5"/>
        <v>25927449.365058511</v>
      </c>
    </row>
    <row r="118" spans="1:18">
      <c r="A118" s="128">
        <v>43344</v>
      </c>
      <c r="B118" s="186">
        <f t="shared" si="4"/>
        <v>2018</v>
      </c>
      <c r="C118" s="124">
        <f ca="1">'Monthly Data'!AQ118</f>
        <v>23757578.362426121</v>
      </c>
      <c r="D118" s="186">
        <f t="shared" ca="1" si="6"/>
        <v>72.989999999999981</v>
      </c>
      <c r="E118" s="124">
        <f>'Monthly Data'!BJ118</f>
        <v>7309.115324257632</v>
      </c>
      <c r="F118" s="186">
        <f>'Monthly Data'!BM118</f>
        <v>117</v>
      </c>
      <c r="G118" s="186">
        <f>'Monthly Data'!BT118</f>
        <v>0</v>
      </c>
      <c r="H118" s="186">
        <f>'Monthly Data'!BY118</f>
        <v>0</v>
      </c>
      <c r="I118" s="186">
        <f>'Monthly Data'!CC118</f>
        <v>30</v>
      </c>
      <c r="K118" s="186">
        <f>'Large Use OLS Model (LC)'!$B$5</f>
        <v>-11585185.4436178</v>
      </c>
      <c r="L118" s="186">
        <f ca="1">'Large Use OLS Model (LC)'!$B$6*D118</f>
        <v>1877368.9194350082</v>
      </c>
      <c r="M118" s="124">
        <f>'Large Use OLS Model (LC)'!$B$7*E118</f>
        <v>15199420.514443124</v>
      </c>
      <c r="N118" s="186">
        <v>0</v>
      </c>
      <c r="O118" s="186">
        <f>'Large Use OLS Model (LC)'!$B$8*G118</f>
        <v>0</v>
      </c>
      <c r="P118" s="186">
        <f>'Large Use OLS Model (LC)'!$B$9*H118</f>
        <v>0</v>
      </c>
      <c r="Q118" s="186">
        <f>'Large Use OLS Model (LC)'!$B$10*I118</f>
        <v>17537763.106774591</v>
      </c>
      <c r="R118" s="186">
        <f t="shared" ca="1" si="5"/>
        <v>23029367.097034924</v>
      </c>
    </row>
    <row r="119" spans="1:18">
      <c r="A119" s="128">
        <v>43374</v>
      </c>
      <c r="B119" s="186">
        <f t="shared" si="4"/>
        <v>2018</v>
      </c>
      <c r="C119" s="124">
        <f ca="1">'Monthly Data'!AQ119</f>
        <v>20871681.533939313</v>
      </c>
      <c r="D119" s="186">
        <f t="shared" ca="1" si="6"/>
        <v>10.779999999999998</v>
      </c>
      <c r="E119" s="124">
        <f>'Monthly Data'!BJ119</f>
        <v>7268.3492610974017</v>
      </c>
      <c r="F119" s="186">
        <f>'Monthly Data'!BM119</f>
        <v>118</v>
      </c>
      <c r="G119" s="186">
        <f>'Monthly Data'!BT119</f>
        <v>0</v>
      </c>
      <c r="H119" s="186">
        <f>'Monthly Data'!BY119</f>
        <v>0</v>
      </c>
      <c r="I119" s="186">
        <f>'Monthly Data'!CC119</f>
        <v>31</v>
      </c>
      <c r="K119" s="186">
        <f>'Large Use OLS Model (LC)'!$B$5</f>
        <v>-11585185.4436178</v>
      </c>
      <c r="L119" s="186">
        <f ca="1">'Large Use OLS Model (LC)'!$B$6*D119</f>
        <v>277271.36527619383</v>
      </c>
      <c r="M119" s="124">
        <f>'Large Use OLS Model (LC)'!$B$7*E119</f>
        <v>15114646.843594849</v>
      </c>
      <c r="N119" s="186">
        <v>0</v>
      </c>
      <c r="O119" s="186">
        <f>'Large Use OLS Model (LC)'!$B$8*G119</f>
        <v>0</v>
      </c>
      <c r="P119" s="186">
        <f>'Large Use OLS Model (LC)'!$B$9*H119</f>
        <v>0</v>
      </c>
      <c r="Q119" s="186">
        <f>'Large Use OLS Model (LC)'!$B$10*I119</f>
        <v>18122355.210333746</v>
      </c>
      <c r="R119" s="186">
        <f t="shared" ca="1" si="5"/>
        <v>21929087.975586988</v>
      </c>
    </row>
    <row r="120" spans="1:18">
      <c r="A120" s="128">
        <v>43405</v>
      </c>
      <c r="B120" s="186">
        <f t="shared" si="4"/>
        <v>2018</v>
      </c>
      <c r="C120" s="124">
        <f ca="1">'Monthly Data'!AQ120</f>
        <v>18668697.394417163</v>
      </c>
      <c r="D120" s="186">
        <f t="shared" ca="1" si="6"/>
        <v>0.05</v>
      </c>
      <c r="E120" s="124">
        <f>'Monthly Data'!BJ120</f>
        <v>7272.9454348850759</v>
      </c>
      <c r="F120" s="186">
        <f>'Monthly Data'!BM120</f>
        <v>119</v>
      </c>
      <c r="G120" s="186">
        <f>'Monthly Data'!BT120</f>
        <v>0</v>
      </c>
      <c r="H120" s="186">
        <f>'Monthly Data'!BY120</f>
        <v>0</v>
      </c>
      <c r="I120" s="186">
        <f>'Monthly Data'!CC120</f>
        <v>30</v>
      </c>
      <c r="K120" s="186">
        <f>'Large Use OLS Model (LC)'!$B$5</f>
        <v>-11585185.4436178</v>
      </c>
      <c r="L120" s="186">
        <f ca="1">'Large Use OLS Model (LC)'!$B$6*D120</f>
        <v>1286.0452934888401</v>
      </c>
      <c r="M120" s="124">
        <f>'Large Use OLS Model (LC)'!$B$7*E120</f>
        <v>15124204.659425786</v>
      </c>
      <c r="N120" s="186">
        <v>0</v>
      </c>
      <c r="O120" s="186">
        <f>'Large Use OLS Model (LC)'!$B$8*G120</f>
        <v>0</v>
      </c>
      <c r="P120" s="186">
        <f>'Large Use OLS Model (LC)'!$B$9*H120</f>
        <v>0</v>
      </c>
      <c r="Q120" s="186">
        <f>'Large Use OLS Model (LC)'!$B$10*I120</f>
        <v>17537763.106774591</v>
      </c>
      <c r="R120" s="186">
        <f t="shared" ca="1" si="5"/>
        <v>21078068.367876068</v>
      </c>
    </row>
    <row r="121" spans="1:18">
      <c r="A121" s="128">
        <v>43435</v>
      </c>
      <c r="B121" s="186">
        <f t="shared" si="4"/>
        <v>2018</v>
      </c>
      <c r="C121" s="124">
        <f ca="1">'Monthly Data'!AQ121</f>
        <v>19588246.58569143</v>
      </c>
      <c r="D121" s="186">
        <f t="shared" ca="1" si="6"/>
        <v>0</v>
      </c>
      <c r="E121" s="124">
        <f>'Monthly Data'!BJ121</f>
        <v>7296.6257215737387</v>
      </c>
      <c r="F121" s="186">
        <f>'Monthly Data'!BM121</f>
        <v>120</v>
      </c>
      <c r="G121" s="186">
        <f>'Monthly Data'!BT121</f>
        <v>0</v>
      </c>
      <c r="H121" s="186">
        <f>'Monthly Data'!BY121</f>
        <v>1</v>
      </c>
      <c r="I121" s="186">
        <f>'Monthly Data'!CC121</f>
        <v>31</v>
      </c>
      <c r="K121" s="186">
        <f>'Large Use OLS Model (LC)'!$B$5</f>
        <v>-11585185.4436178</v>
      </c>
      <c r="L121" s="186">
        <f ca="1">'Large Use OLS Model (LC)'!$B$6*D121</f>
        <v>0</v>
      </c>
      <c r="M121" s="124">
        <f>'Large Use OLS Model (LC)'!$B$7*E121</f>
        <v>15173448.18881559</v>
      </c>
      <c r="N121" s="186">
        <v>0</v>
      </c>
      <c r="O121" s="186">
        <f>'Large Use OLS Model (LC)'!$B$8*G121</f>
        <v>0</v>
      </c>
      <c r="P121" s="186">
        <f>'Large Use OLS Model (LC)'!$B$9*H121</f>
        <v>-1776727.9579078101</v>
      </c>
      <c r="Q121" s="186">
        <f>'Large Use OLS Model (LC)'!$B$10*I121</f>
        <v>18122355.210333746</v>
      </c>
      <c r="R121" s="186">
        <f t="shared" ca="1" si="5"/>
        <v>19933889.997623727</v>
      </c>
    </row>
    <row r="122" spans="1:18">
      <c r="A122" s="128">
        <v>43466</v>
      </c>
      <c r="B122" s="186">
        <f t="shared" si="4"/>
        <v>2019</v>
      </c>
      <c r="D122" s="186">
        <f t="shared" ca="1" si="6"/>
        <v>0</v>
      </c>
      <c r="E122" s="124">
        <f>E110*(1+Employment!$L$4)</f>
        <v>7341.4998048986618</v>
      </c>
      <c r="F122" s="186">
        <f t="shared" ref="F122:F145" si="7">F121+1</f>
        <v>121</v>
      </c>
      <c r="G122" s="186">
        <f t="shared" ref="G122:I137" si="8">G74</f>
        <v>0</v>
      </c>
      <c r="H122" s="186">
        <f t="shared" si="8"/>
        <v>0</v>
      </c>
      <c r="I122" s="186">
        <f t="shared" si="8"/>
        <v>31</v>
      </c>
      <c r="K122" s="186">
        <f>'Large Use OLS Model (LC)'!$B$5</f>
        <v>-11585185.4436178</v>
      </c>
      <c r="L122" s="186">
        <f ca="1">'Large Use OLS Model (LC)'!$B$6*D122</f>
        <v>0</v>
      </c>
      <c r="M122" s="124">
        <f>'Large Use OLS Model (LC)'!$B$7*E122</f>
        <v>15266764.552342108</v>
      </c>
      <c r="N122" s="186">
        <v>0</v>
      </c>
      <c r="O122" s="186">
        <f>'Large Use OLS Model (LC)'!$B$8*G122</f>
        <v>0</v>
      </c>
      <c r="P122" s="186">
        <f>'Large Use OLS Model (LC)'!$B$9*H122</f>
        <v>0</v>
      </c>
      <c r="Q122" s="186">
        <f>'Large Use OLS Model (LC)'!$B$10*I122</f>
        <v>18122355.210333746</v>
      </c>
      <c r="R122" s="186">
        <f t="shared" ca="1" si="5"/>
        <v>21803934.319058053</v>
      </c>
    </row>
    <row r="123" spans="1:18">
      <c r="A123" s="128">
        <v>43497</v>
      </c>
      <c r="B123" s="186">
        <f t="shared" si="4"/>
        <v>2019</v>
      </c>
      <c r="D123" s="186">
        <f t="shared" ca="1" si="6"/>
        <v>0</v>
      </c>
      <c r="E123" s="124">
        <f>E111*(1+Employment!$L$4)</f>
        <v>7293.5977622824184</v>
      </c>
      <c r="F123" s="186">
        <f t="shared" si="7"/>
        <v>122</v>
      </c>
      <c r="G123" s="186">
        <f t="shared" si="8"/>
        <v>0</v>
      </c>
      <c r="H123" s="186">
        <f t="shared" si="8"/>
        <v>0</v>
      </c>
      <c r="I123" s="186">
        <f t="shared" si="8"/>
        <v>28</v>
      </c>
      <c r="K123" s="186">
        <f>'Large Use OLS Model (LC)'!$B$5</f>
        <v>-11585185.4436178</v>
      </c>
      <c r="L123" s="186">
        <f ca="1">'Large Use OLS Model (LC)'!$B$6*D123</f>
        <v>0</v>
      </c>
      <c r="M123" s="124">
        <f>'Large Use OLS Model (LC)'!$B$7*E123</f>
        <v>15167151.49974617</v>
      </c>
      <c r="N123" s="186">
        <v>0</v>
      </c>
      <c r="O123" s="186">
        <f>'Large Use OLS Model (LC)'!$B$8*G123</f>
        <v>0</v>
      </c>
      <c r="P123" s="186">
        <f>'Large Use OLS Model (LC)'!$B$9*H123</f>
        <v>0</v>
      </c>
      <c r="Q123" s="186">
        <f>'Large Use OLS Model (LC)'!$B$10*I123</f>
        <v>16368578.899656285</v>
      </c>
      <c r="R123" s="186">
        <f t="shared" ca="1" si="5"/>
        <v>19950544.955784656</v>
      </c>
    </row>
    <row r="124" spans="1:18">
      <c r="A124" s="128">
        <v>43525</v>
      </c>
      <c r="B124" s="186">
        <f t="shared" si="4"/>
        <v>2019</v>
      </c>
      <c r="D124" s="186">
        <f t="shared" ca="1" si="6"/>
        <v>0.48</v>
      </c>
      <c r="E124" s="124">
        <f>E112*(1+Employment!$L$4)</f>
        <v>7249.0734277993733</v>
      </c>
      <c r="F124" s="186">
        <f t="shared" si="7"/>
        <v>123</v>
      </c>
      <c r="G124" s="186">
        <f t="shared" si="8"/>
        <v>0</v>
      </c>
      <c r="H124" s="186">
        <f t="shared" si="8"/>
        <v>0</v>
      </c>
      <c r="I124" s="186">
        <f t="shared" si="8"/>
        <v>31</v>
      </c>
      <c r="K124" s="186">
        <f>'Large Use OLS Model (LC)'!$B$5</f>
        <v>-11585185.4436178</v>
      </c>
      <c r="L124" s="186">
        <f ca="1">'Large Use OLS Model (LC)'!$B$6*D124</f>
        <v>12346.034817492864</v>
      </c>
      <c r="M124" s="124">
        <f>'Large Use OLS Model (LC)'!$B$7*E124</f>
        <v>15074562.444448665</v>
      </c>
      <c r="N124" s="186">
        <v>0</v>
      </c>
      <c r="O124" s="186">
        <f>'Large Use OLS Model (LC)'!$B$8*G124</f>
        <v>0</v>
      </c>
      <c r="P124" s="186">
        <f>'Large Use OLS Model (LC)'!$B$9*H124</f>
        <v>0</v>
      </c>
      <c r="Q124" s="186">
        <f>'Large Use OLS Model (LC)'!$B$10*I124</f>
        <v>18122355.210333746</v>
      </c>
      <c r="R124" s="186">
        <f t="shared" ca="1" si="5"/>
        <v>21624078.245982103</v>
      </c>
    </row>
    <row r="125" spans="1:18">
      <c r="A125" s="128">
        <v>43556</v>
      </c>
      <c r="B125" s="186">
        <f t="shared" si="4"/>
        <v>2019</v>
      </c>
      <c r="D125" s="186">
        <f t="shared" ca="1" si="6"/>
        <v>2.63</v>
      </c>
      <c r="E125" s="124">
        <f>E113*(1+Employment!$L$4)</f>
        <v>7275.7880284892008</v>
      </c>
      <c r="F125" s="186">
        <f t="shared" si="7"/>
        <v>124</v>
      </c>
      <c r="G125" s="186">
        <f t="shared" si="8"/>
        <v>0</v>
      </c>
      <c r="H125" s="186">
        <f t="shared" si="8"/>
        <v>0</v>
      </c>
      <c r="I125" s="186">
        <f t="shared" si="8"/>
        <v>30</v>
      </c>
      <c r="K125" s="186">
        <f>'Large Use OLS Model (LC)'!$B$5</f>
        <v>-11585185.4436178</v>
      </c>
      <c r="L125" s="186">
        <f ca="1">'Large Use OLS Model (LC)'!$B$6*D125</f>
        <v>67645.982437512983</v>
      </c>
      <c r="M125" s="124">
        <f>'Large Use OLS Model (LC)'!$B$7*E125</f>
        <v>15130115.877627168</v>
      </c>
      <c r="N125" s="186">
        <v>0</v>
      </c>
      <c r="O125" s="186">
        <f>'Large Use OLS Model (LC)'!$B$8*G125</f>
        <v>0</v>
      </c>
      <c r="P125" s="186">
        <f>'Large Use OLS Model (LC)'!$B$9*H125</f>
        <v>0</v>
      </c>
      <c r="Q125" s="186">
        <f>'Large Use OLS Model (LC)'!$B$10*I125</f>
        <v>17537763.106774591</v>
      </c>
      <c r="R125" s="186">
        <f t="shared" ca="1" si="5"/>
        <v>21150339.52322147</v>
      </c>
    </row>
    <row r="126" spans="1:18">
      <c r="A126" s="128">
        <v>43586</v>
      </c>
      <c r="B126" s="186">
        <f t="shared" si="4"/>
        <v>2019</v>
      </c>
      <c r="D126" s="186">
        <f t="shared" ca="1" si="6"/>
        <v>47.37</v>
      </c>
      <c r="E126" s="124">
        <f>E114*(1+Employment!$L$4)</f>
        <v>7343.6492555288769</v>
      </c>
      <c r="F126" s="186">
        <f t="shared" si="7"/>
        <v>125</v>
      </c>
      <c r="G126" s="186">
        <f t="shared" si="8"/>
        <v>0</v>
      </c>
      <c r="H126" s="186">
        <f t="shared" si="8"/>
        <v>0</v>
      </c>
      <c r="I126" s="186">
        <f t="shared" si="8"/>
        <v>31</v>
      </c>
      <c r="K126" s="186">
        <f>'Large Use OLS Model (LC)'!$B$5</f>
        <v>-11585185.4436178</v>
      </c>
      <c r="L126" s="186">
        <f ca="1">'Large Use OLS Model (LC)'!$B$6*D126</f>
        <v>1218399.311051327</v>
      </c>
      <c r="M126" s="124">
        <f>'Large Use OLS Model (LC)'!$B$7*E126</f>
        <v>15271234.368804744</v>
      </c>
      <c r="N126" s="186">
        <v>0</v>
      </c>
      <c r="O126" s="186">
        <f>'Large Use OLS Model (LC)'!$B$8*G126</f>
        <v>0</v>
      </c>
      <c r="P126" s="186">
        <f>'Large Use OLS Model (LC)'!$B$9*H126</f>
        <v>0</v>
      </c>
      <c r="Q126" s="186">
        <f>'Large Use OLS Model (LC)'!$B$10*I126</f>
        <v>18122355.210333746</v>
      </c>
      <c r="R126" s="186">
        <f t="shared" ca="1" si="5"/>
        <v>23026803.446572017</v>
      </c>
    </row>
    <row r="127" spans="1:18">
      <c r="A127" s="128">
        <v>43617</v>
      </c>
      <c r="B127" s="186">
        <f t="shared" si="4"/>
        <v>2019</v>
      </c>
      <c r="D127" s="186">
        <f t="shared" ca="1" si="6"/>
        <v>117.23999999999997</v>
      </c>
      <c r="E127" s="124">
        <f>E115*(1+Employment!$L$4)</f>
        <v>7440.3745338885947</v>
      </c>
      <c r="F127" s="186">
        <f t="shared" si="7"/>
        <v>126</v>
      </c>
      <c r="G127" s="186">
        <f t="shared" si="8"/>
        <v>0</v>
      </c>
      <c r="H127" s="186">
        <f t="shared" si="8"/>
        <v>0</v>
      </c>
      <c r="I127" s="186">
        <f t="shared" si="8"/>
        <v>30</v>
      </c>
      <c r="K127" s="186">
        <f>'Large Use OLS Model (LC)'!$B$5</f>
        <v>-11585185.4436178</v>
      </c>
      <c r="L127" s="186">
        <f ca="1">'Large Use OLS Model (LC)'!$B$6*D127</f>
        <v>3015519.0041726315</v>
      </c>
      <c r="M127" s="124">
        <f>'Large Use OLS Model (LC)'!$B$7*E127</f>
        <v>15472376.109623458</v>
      </c>
      <c r="N127" s="186">
        <v>0</v>
      </c>
      <c r="O127" s="186">
        <f>'Large Use OLS Model (LC)'!$B$8*G127</f>
        <v>0</v>
      </c>
      <c r="P127" s="186">
        <f>'Large Use OLS Model (LC)'!$B$9*H127</f>
        <v>0</v>
      </c>
      <c r="Q127" s="186">
        <f>'Large Use OLS Model (LC)'!$B$10*I127</f>
        <v>17537763.106774591</v>
      </c>
      <c r="R127" s="186">
        <f t="shared" ca="1" si="5"/>
        <v>24440472.776952881</v>
      </c>
    </row>
    <row r="128" spans="1:18">
      <c r="A128" s="128">
        <v>43647</v>
      </c>
      <c r="B128" s="186">
        <f t="shared" si="4"/>
        <v>2019</v>
      </c>
      <c r="D128" s="186">
        <f t="shared" ca="1" si="6"/>
        <v>185.60999999999999</v>
      </c>
      <c r="E128" s="124">
        <f>E116*(1+Employment!$L$4)</f>
        <v>7525.6360755538299</v>
      </c>
      <c r="F128" s="186">
        <f t="shared" si="7"/>
        <v>127</v>
      </c>
      <c r="G128" s="186">
        <f t="shared" si="8"/>
        <v>1</v>
      </c>
      <c r="H128" s="186">
        <f t="shared" si="8"/>
        <v>0</v>
      </c>
      <c r="I128" s="186">
        <f t="shared" si="8"/>
        <v>31</v>
      </c>
      <c r="K128" s="186">
        <f>'Large Use OLS Model (LC)'!$B$5</f>
        <v>-11585185.4436178</v>
      </c>
      <c r="L128" s="186">
        <f ca="1">'Large Use OLS Model (LC)'!$B$6*D128</f>
        <v>4774057.3384892717</v>
      </c>
      <c r="M128" s="124">
        <f>'Large Use OLS Model (LC)'!$B$7*E128</f>
        <v>15649678.829308107</v>
      </c>
      <c r="N128" s="186">
        <v>0</v>
      </c>
      <c r="O128" s="186">
        <f>'Large Use OLS Model (LC)'!$B$8*G128</f>
        <v>-947874.12245155603</v>
      </c>
      <c r="P128" s="186">
        <f>'Large Use OLS Model (LC)'!$B$9*H128</f>
        <v>0</v>
      </c>
      <c r="Q128" s="186">
        <f>'Large Use OLS Model (LC)'!$B$10*I128</f>
        <v>18122355.210333746</v>
      </c>
      <c r="R128" s="186">
        <f t="shared" ca="1" si="5"/>
        <v>26013031.812061768</v>
      </c>
    </row>
    <row r="129" spans="1:18">
      <c r="A129" s="128">
        <v>43678</v>
      </c>
      <c r="B129" s="186">
        <f t="shared" si="4"/>
        <v>2019</v>
      </c>
      <c r="D129" s="186">
        <f t="shared" ca="1" si="6"/>
        <v>159.64000000000001</v>
      </c>
      <c r="E129" s="124">
        <f>E117*(1+Employment!$L$4)</f>
        <v>7529.2184932708569</v>
      </c>
      <c r="F129" s="186">
        <f t="shared" si="7"/>
        <v>128</v>
      </c>
      <c r="G129" s="186">
        <f t="shared" si="8"/>
        <v>0</v>
      </c>
      <c r="H129" s="186">
        <f t="shared" si="8"/>
        <v>0</v>
      </c>
      <c r="I129" s="186">
        <f t="shared" si="8"/>
        <v>31</v>
      </c>
      <c r="K129" s="186">
        <f>'Large Use OLS Model (LC)'!$B$5</f>
        <v>-11585185.4436178</v>
      </c>
      <c r="L129" s="186">
        <f ca="1">'Large Use OLS Model (LC)'!$B$6*D129</f>
        <v>4106085.4130511689</v>
      </c>
      <c r="M129" s="124">
        <f>'Large Use OLS Model (LC)'!$B$7*E129</f>
        <v>15657128.523412505</v>
      </c>
      <c r="N129" s="186">
        <v>0</v>
      </c>
      <c r="O129" s="186">
        <f>'Large Use OLS Model (LC)'!$B$8*G129</f>
        <v>0</v>
      </c>
      <c r="P129" s="186">
        <f>'Large Use OLS Model (LC)'!$B$9*H129</f>
        <v>0</v>
      </c>
      <c r="Q129" s="186">
        <f>'Large Use OLS Model (LC)'!$B$10*I129</f>
        <v>18122355.210333746</v>
      </c>
      <c r="R129" s="186">
        <f t="shared" ca="1" si="5"/>
        <v>26300383.70317962</v>
      </c>
    </row>
    <row r="130" spans="1:18">
      <c r="A130" s="128">
        <v>43709</v>
      </c>
      <c r="B130" s="186">
        <f t="shared" ref="B130:B145" si="9">YEAR(A130)</f>
        <v>2019</v>
      </c>
      <c r="D130" s="186">
        <f t="shared" ca="1" si="6"/>
        <v>72.989999999999981</v>
      </c>
      <c r="E130" s="124">
        <f>E118*(1+Employment!$L$4)</f>
        <v>7487.4577381695181</v>
      </c>
      <c r="F130" s="186">
        <f t="shared" si="7"/>
        <v>129</v>
      </c>
      <c r="G130" s="186">
        <f t="shared" si="8"/>
        <v>0</v>
      </c>
      <c r="H130" s="186">
        <f t="shared" si="8"/>
        <v>0</v>
      </c>
      <c r="I130" s="186">
        <f t="shared" si="8"/>
        <v>30</v>
      </c>
      <c r="K130" s="186">
        <f>'Large Use OLS Model (LC)'!$B$5</f>
        <v>-11585185.4436178</v>
      </c>
      <c r="L130" s="186">
        <f ca="1">'Large Use OLS Model (LC)'!$B$6*D130</f>
        <v>1877368.9194350082</v>
      </c>
      <c r="M130" s="124">
        <f>'Large Use OLS Model (LC)'!$B$7*E130</f>
        <v>15570286.374995535</v>
      </c>
      <c r="N130" s="186">
        <v>0</v>
      </c>
      <c r="O130" s="186">
        <f>'Large Use OLS Model (LC)'!$B$8*G130</f>
        <v>0</v>
      </c>
      <c r="P130" s="186">
        <f>'Large Use OLS Model (LC)'!$B$9*H130</f>
        <v>0</v>
      </c>
      <c r="Q130" s="186">
        <f>'Large Use OLS Model (LC)'!$B$10*I130</f>
        <v>17537763.106774591</v>
      </c>
      <c r="R130" s="186">
        <f t="shared" ref="R130:R145" ca="1" si="10">SUM(K130:Q130)</f>
        <v>23400232.957587332</v>
      </c>
    </row>
    <row r="131" spans="1:18">
      <c r="A131" s="128">
        <v>43739</v>
      </c>
      <c r="B131" s="186">
        <f t="shared" si="9"/>
        <v>2019</v>
      </c>
      <c r="D131" s="186">
        <f t="shared" ca="1" si="6"/>
        <v>10.779999999999998</v>
      </c>
      <c r="E131" s="124">
        <f>E119*(1+Employment!$L$4)</f>
        <v>7445.6969830681783</v>
      </c>
      <c r="F131" s="186">
        <f t="shared" si="7"/>
        <v>130</v>
      </c>
      <c r="G131" s="186">
        <f t="shared" si="8"/>
        <v>0</v>
      </c>
      <c r="H131" s="186">
        <f t="shared" si="8"/>
        <v>0</v>
      </c>
      <c r="I131" s="186">
        <f t="shared" si="8"/>
        <v>31</v>
      </c>
      <c r="K131" s="186">
        <f>'Large Use OLS Model (LC)'!$B$5</f>
        <v>-11585185.4436178</v>
      </c>
      <c r="L131" s="186">
        <f ca="1">'Large Use OLS Model (LC)'!$B$6*D131</f>
        <v>277271.36527619383</v>
      </c>
      <c r="M131" s="124">
        <f>'Large Use OLS Model (LC)'!$B$7*E131</f>
        <v>15483444.226578563</v>
      </c>
      <c r="N131" s="186">
        <v>0</v>
      </c>
      <c r="O131" s="186">
        <f>'Large Use OLS Model (LC)'!$B$8*G131</f>
        <v>0</v>
      </c>
      <c r="P131" s="186">
        <f>'Large Use OLS Model (LC)'!$B$9*H131</f>
        <v>0</v>
      </c>
      <c r="Q131" s="186">
        <f>'Large Use OLS Model (LC)'!$B$10*I131</f>
        <v>18122355.210333746</v>
      </c>
      <c r="R131" s="186">
        <f t="shared" ca="1" si="10"/>
        <v>22297885.358570702</v>
      </c>
    </row>
    <row r="132" spans="1:18">
      <c r="A132" s="128">
        <v>43770</v>
      </c>
      <c r="B132" s="186">
        <f t="shared" si="9"/>
        <v>2019</v>
      </c>
      <c r="D132" s="186">
        <f t="shared" ca="1" si="6"/>
        <v>0.05</v>
      </c>
      <c r="E132" s="124">
        <f>E120*(1+Employment!$L$4)</f>
        <v>7450.4053034962717</v>
      </c>
      <c r="F132" s="186">
        <f t="shared" si="7"/>
        <v>131</v>
      </c>
      <c r="G132" s="186">
        <f t="shared" si="8"/>
        <v>0</v>
      </c>
      <c r="H132" s="186">
        <f t="shared" si="8"/>
        <v>0</v>
      </c>
      <c r="I132" s="186">
        <f t="shared" si="8"/>
        <v>30</v>
      </c>
      <c r="K132" s="186">
        <f>'Large Use OLS Model (LC)'!$B$5</f>
        <v>-11585185.4436178</v>
      </c>
      <c r="L132" s="186">
        <f ca="1">'Large Use OLS Model (LC)'!$B$6*D132</f>
        <v>1286.0452934888401</v>
      </c>
      <c r="M132" s="124">
        <f>'Large Use OLS Model (LC)'!$B$7*E132</f>
        <v>15493235.253115773</v>
      </c>
      <c r="N132" s="186">
        <v>0</v>
      </c>
      <c r="O132" s="186">
        <f>'Large Use OLS Model (LC)'!$B$8*G132</f>
        <v>0</v>
      </c>
      <c r="P132" s="186">
        <f>'Large Use OLS Model (LC)'!$B$9*H132</f>
        <v>0</v>
      </c>
      <c r="Q132" s="186">
        <f>'Large Use OLS Model (LC)'!$B$10*I132</f>
        <v>17537763.106774591</v>
      </c>
      <c r="R132" s="186">
        <f t="shared" ca="1" si="10"/>
        <v>21447098.961566053</v>
      </c>
    </row>
    <row r="133" spans="1:18">
      <c r="A133" s="128">
        <v>43800</v>
      </c>
      <c r="B133" s="186">
        <f t="shared" si="9"/>
        <v>2019</v>
      </c>
      <c r="D133" s="186">
        <f t="shared" ca="1" si="6"/>
        <v>0</v>
      </c>
      <c r="E133" s="124">
        <f>E121*(1+Employment!$L$4)</f>
        <v>7474.6633891801375</v>
      </c>
      <c r="F133" s="186">
        <f t="shared" si="7"/>
        <v>132</v>
      </c>
      <c r="G133" s="186">
        <f t="shared" si="8"/>
        <v>0</v>
      </c>
      <c r="H133" s="186">
        <f t="shared" si="8"/>
        <v>1</v>
      </c>
      <c r="I133" s="186">
        <f t="shared" si="8"/>
        <v>31</v>
      </c>
      <c r="K133" s="186">
        <f>'Large Use OLS Model (LC)'!$B$5</f>
        <v>-11585185.4436178</v>
      </c>
      <c r="L133" s="186">
        <f ca="1">'Large Use OLS Model (LC)'!$B$6*D133</f>
        <v>0</v>
      </c>
      <c r="M133" s="124">
        <f>'Large Use OLS Model (LC)'!$B$7*E133</f>
        <v>15543680.324622691</v>
      </c>
      <c r="N133" s="186">
        <v>0</v>
      </c>
      <c r="O133" s="186">
        <f>'Large Use OLS Model (LC)'!$B$8*G133</f>
        <v>0</v>
      </c>
      <c r="P133" s="186">
        <f>'Large Use OLS Model (LC)'!$B$9*H133</f>
        <v>-1776727.9579078101</v>
      </c>
      <c r="Q133" s="186">
        <f>'Large Use OLS Model (LC)'!$B$10*I133</f>
        <v>18122355.210333746</v>
      </c>
      <c r="R133" s="186">
        <f t="shared" ca="1" si="10"/>
        <v>20304122.133430827</v>
      </c>
    </row>
    <row r="134" spans="1:18">
      <c r="A134" s="128">
        <v>43831</v>
      </c>
      <c r="B134" s="186">
        <f t="shared" si="9"/>
        <v>2020</v>
      </c>
      <c r="D134" s="186">
        <f t="shared" ca="1" si="6"/>
        <v>0</v>
      </c>
      <c r="E134" s="124">
        <f>E122*(1+Employment!$L$5)</f>
        <v>7417.8514028696072</v>
      </c>
      <c r="F134" s="186">
        <f t="shared" si="7"/>
        <v>133</v>
      </c>
      <c r="G134" s="186">
        <f t="shared" si="8"/>
        <v>0</v>
      </c>
      <c r="H134" s="186">
        <f t="shared" si="8"/>
        <v>0</v>
      </c>
      <c r="I134" s="186">
        <f t="shared" si="8"/>
        <v>31</v>
      </c>
      <c r="K134" s="186">
        <f>'Large Use OLS Model (LC)'!$B$5</f>
        <v>-11585185.4436178</v>
      </c>
      <c r="L134" s="186">
        <f ca="1">'Large Use OLS Model (LC)'!$B$6*D134</f>
        <v>0</v>
      </c>
      <c r="M134" s="124">
        <f>'Large Use OLS Model (LC)'!$B$7*E134</f>
        <v>15425538.903686464</v>
      </c>
      <c r="N134" s="186">
        <v>0</v>
      </c>
      <c r="O134" s="186">
        <f>'Large Use OLS Model (LC)'!$B$8*G134</f>
        <v>0</v>
      </c>
      <c r="P134" s="186">
        <f>'Large Use OLS Model (LC)'!$B$9*H134</f>
        <v>0</v>
      </c>
      <c r="Q134" s="186">
        <f>'Large Use OLS Model (LC)'!$B$10*I134</f>
        <v>18122355.210333746</v>
      </c>
      <c r="R134" s="186">
        <f t="shared" ca="1" si="10"/>
        <v>21962708.670402408</v>
      </c>
    </row>
    <row r="135" spans="1:18">
      <c r="A135" s="128">
        <v>43862</v>
      </c>
      <c r="B135" s="186">
        <f t="shared" si="9"/>
        <v>2020</v>
      </c>
      <c r="D135" s="186">
        <f t="shared" ca="1" si="6"/>
        <v>0</v>
      </c>
      <c r="E135" s="124">
        <f>E123*(1+Employment!$L$5)</f>
        <v>7369.4511790101551</v>
      </c>
      <c r="F135" s="186">
        <f t="shared" si="7"/>
        <v>134</v>
      </c>
      <c r="G135" s="186">
        <f t="shared" si="8"/>
        <v>0</v>
      </c>
      <c r="H135" s="186">
        <f t="shared" si="8"/>
        <v>0</v>
      </c>
      <c r="I135" s="186">
        <f t="shared" si="8"/>
        <v>29</v>
      </c>
      <c r="K135" s="186">
        <f>'Large Use OLS Model (LC)'!$B$5</f>
        <v>-11585185.4436178</v>
      </c>
      <c r="L135" s="186">
        <f ca="1">'Large Use OLS Model (LC)'!$B$6*D135</f>
        <v>0</v>
      </c>
      <c r="M135" s="124">
        <f>'Large Use OLS Model (LC)'!$B$7*E135</f>
        <v>15324889.875343528</v>
      </c>
      <c r="N135" s="186">
        <v>0</v>
      </c>
      <c r="O135" s="186">
        <f>'Large Use OLS Model (LC)'!$B$8*G135</f>
        <v>0</v>
      </c>
      <c r="P135" s="186">
        <f>'Large Use OLS Model (LC)'!$B$9*H135</f>
        <v>0</v>
      </c>
      <c r="Q135" s="186">
        <f>'Large Use OLS Model (LC)'!$B$10*I135</f>
        <v>16953171.00321544</v>
      </c>
      <c r="R135" s="186">
        <f t="shared" ca="1" si="10"/>
        <v>20692875.434941165</v>
      </c>
    </row>
    <row r="136" spans="1:18">
      <c r="A136" s="128">
        <v>43891</v>
      </c>
      <c r="B136" s="186">
        <f t="shared" si="9"/>
        <v>2020</v>
      </c>
      <c r="D136" s="186">
        <f t="shared" ca="1" si="6"/>
        <v>0.48</v>
      </c>
      <c r="E136" s="124">
        <f>E124*(1+Employment!$L$5)</f>
        <v>7324.4637914484865</v>
      </c>
      <c r="F136" s="186">
        <f t="shared" si="7"/>
        <v>135</v>
      </c>
      <c r="G136" s="186">
        <f t="shared" si="8"/>
        <v>0</v>
      </c>
      <c r="H136" s="186">
        <f t="shared" si="8"/>
        <v>0</v>
      </c>
      <c r="I136" s="186">
        <f t="shared" si="8"/>
        <v>31</v>
      </c>
      <c r="K136" s="186">
        <f>'Large Use OLS Model (LC)'!$B$5</f>
        <v>-11585185.4436178</v>
      </c>
      <c r="L136" s="186">
        <f ca="1">'Large Use OLS Model (LC)'!$B$6*D136</f>
        <v>12346.034817492864</v>
      </c>
      <c r="M136" s="124">
        <f>'Large Use OLS Model (LC)'!$B$7*E136</f>
        <v>15231337.893870931</v>
      </c>
      <c r="N136" s="186">
        <v>0</v>
      </c>
      <c r="O136" s="186">
        <f>'Large Use OLS Model (LC)'!$B$8*G136</f>
        <v>0</v>
      </c>
      <c r="P136" s="186">
        <f>'Large Use OLS Model (LC)'!$B$9*H136</f>
        <v>0</v>
      </c>
      <c r="Q136" s="186">
        <f>'Large Use OLS Model (LC)'!$B$10*I136</f>
        <v>18122355.210333746</v>
      </c>
      <c r="R136" s="186">
        <f t="shared" ca="1" si="10"/>
        <v>21780853.695404369</v>
      </c>
    </row>
    <row r="137" spans="1:18">
      <c r="A137" s="128">
        <v>43922</v>
      </c>
      <c r="B137" s="186">
        <f t="shared" si="9"/>
        <v>2020</v>
      </c>
      <c r="D137" s="186">
        <f t="shared" ca="1" si="6"/>
        <v>2.63</v>
      </c>
      <c r="E137" s="124">
        <f>E125*(1+Employment!$L$5)</f>
        <v>7351.4562239854886</v>
      </c>
      <c r="F137" s="186">
        <f t="shared" si="7"/>
        <v>136</v>
      </c>
      <c r="G137" s="186">
        <f t="shared" si="8"/>
        <v>0</v>
      </c>
      <c r="H137" s="186">
        <f t="shared" si="8"/>
        <v>0</v>
      </c>
      <c r="I137" s="186">
        <f t="shared" si="8"/>
        <v>30</v>
      </c>
      <c r="K137" s="186">
        <f>'Large Use OLS Model (LC)'!$B$5</f>
        <v>-11585185.4436178</v>
      </c>
      <c r="L137" s="186">
        <f ca="1">'Large Use OLS Model (LC)'!$B$6*D137</f>
        <v>67645.982437512983</v>
      </c>
      <c r="M137" s="124">
        <f>'Large Use OLS Model (LC)'!$B$7*E137</f>
        <v>15287469.082754491</v>
      </c>
      <c r="N137" s="186">
        <v>0</v>
      </c>
      <c r="O137" s="186">
        <f>'Large Use OLS Model (LC)'!$B$8*G137</f>
        <v>0</v>
      </c>
      <c r="P137" s="186">
        <f>'Large Use OLS Model (LC)'!$B$9*H137</f>
        <v>0</v>
      </c>
      <c r="Q137" s="186">
        <f>'Large Use OLS Model (LC)'!$B$10*I137</f>
        <v>17537763.106774591</v>
      </c>
      <c r="R137" s="186">
        <f t="shared" ca="1" si="10"/>
        <v>21307692.728348795</v>
      </c>
    </row>
    <row r="138" spans="1:18">
      <c r="A138" s="128">
        <v>43952</v>
      </c>
      <c r="B138" s="186">
        <f t="shared" si="9"/>
        <v>2020</v>
      </c>
      <c r="D138" s="186">
        <f t="shared" ca="1" si="6"/>
        <v>47.37</v>
      </c>
      <c r="E138" s="124">
        <f>E126*(1+Employment!$L$5)</f>
        <v>7420.0232077863766</v>
      </c>
      <c r="F138" s="186">
        <f t="shared" si="7"/>
        <v>137</v>
      </c>
      <c r="G138" s="186">
        <f t="shared" ref="G138:I145" si="11">G90</f>
        <v>0</v>
      </c>
      <c r="H138" s="186">
        <f t="shared" si="11"/>
        <v>0</v>
      </c>
      <c r="I138" s="186">
        <f t="shared" si="11"/>
        <v>31</v>
      </c>
      <c r="K138" s="186">
        <f>'Large Use OLS Model (LC)'!$B$5</f>
        <v>-11585185.4436178</v>
      </c>
      <c r="L138" s="186">
        <f ca="1">'Large Use OLS Model (LC)'!$B$6*D138</f>
        <v>1218399.311051327</v>
      </c>
      <c r="M138" s="124">
        <f>'Large Use OLS Model (LC)'!$B$7*E138</f>
        <v>15430055.206240311</v>
      </c>
      <c r="N138" s="186">
        <v>0</v>
      </c>
      <c r="O138" s="186">
        <f>'Large Use OLS Model (LC)'!$B$8*G138</f>
        <v>0</v>
      </c>
      <c r="P138" s="186">
        <f>'Large Use OLS Model (LC)'!$B$9*H138</f>
        <v>0</v>
      </c>
      <c r="Q138" s="186">
        <f>'Large Use OLS Model (LC)'!$B$10*I138</f>
        <v>18122355.210333746</v>
      </c>
      <c r="R138" s="186">
        <f t="shared" ca="1" si="10"/>
        <v>23185624.284007587</v>
      </c>
    </row>
    <row r="139" spans="1:18">
      <c r="A139" s="128">
        <v>43983</v>
      </c>
      <c r="B139" s="186">
        <f t="shared" si="9"/>
        <v>2020</v>
      </c>
      <c r="D139" s="186">
        <f t="shared" ca="1" si="6"/>
        <v>117.23999999999997</v>
      </c>
      <c r="E139" s="124">
        <f>E127*(1+Employment!$L$5)</f>
        <v>7517.754429041036</v>
      </c>
      <c r="F139" s="186">
        <f t="shared" si="7"/>
        <v>138</v>
      </c>
      <c r="G139" s="186">
        <f t="shared" si="11"/>
        <v>0</v>
      </c>
      <c r="H139" s="186">
        <f t="shared" si="11"/>
        <v>0</v>
      </c>
      <c r="I139" s="186">
        <f t="shared" si="11"/>
        <v>30</v>
      </c>
      <c r="K139" s="186">
        <f>'Large Use OLS Model (LC)'!$B$5</f>
        <v>-11585185.4436178</v>
      </c>
      <c r="L139" s="186">
        <f ca="1">'Large Use OLS Model (LC)'!$B$6*D139</f>
        <v>3015519.0041726315</v>
      </c>
      <c r="M139" s="124">
        <f>'Large Use OLS Model (LC)'!$B$7*E139</f>
        <v>15633288.821163541</v>
      </c>
      <c r="N139" s="186">
        <v>0</v>
      </c>
      <c r="O139" s="186">
        <f>'Large Use OLS Model (LC)'!$B$8*G139</f>
        <v>0</v>
      </c>
      <c r="P139" s="186">
        <f>'Large Use OLS Model (LC)'!$B$9*H139</f>
        <v>0</v>
      </c>
      <c r="Q139" s="186">
        <f>'Large Use OLS Model (LC)'!$B$10*I139</f>
        <v>17537763.106774591</v>
      </c>
      <c r="R139" s="186">
        <f t="shared" ca="1" si="10"/>
        <v>24601385.488492966</v>
      </c>
    </row>
    <row r="140" spans="1:18">
      <c r="A140" s="128">
        <v>44013</v>
      </c>
      <c r="B140" s="186">
        <f t="shared" si="9"/>
        <v>2020</v>
      </c>
      <c r="D140" s="186">
        <f t="shared" ca="1" si="6"/>
        <v>185.60999999999999</v>
      </c>
      <c r="E140" s="124">
        <f>E128*(1+Employment!$L$5)</f>
        <v>7603.9026907395892</v>
      </c>
      <c r="F140" s="186">
        <f t="shared" si="7"/>
        <v>139</v>
      </c>
      <c r="G140" s="186">
        <f t="shared" si="11"/>
        <v>1</v>
      </c>
      <c r="H140" s="186">
        <f t="shared" si="11"/>
        <v>0</v>
      </c>
      <c r="I140" s="186">
        <f t="shared" si="11"/>
        <v>31</v>
      </c>
      <c r="K140" s="186">
        <f>'Large Use OLS Model (LC)'!$B$5</f>
        <v>-11585185.4436178</v>
      </c>
      <c r="L140" s="186">
        <f ca="1">'Large Use OLS Model (LC)'!$B$6*D140</f>
        <v>4774057.3384892717</v>
      </c>
      <c r="M140" s="124">
        <f>'Large Use OLS Model (LC)'!$B$7*E140</f>
        <v>15812435.489132909</v>
      </c>
      <c r="N140" s="186">
        <v>0</v>
      </c>
      <c r="O140" s="186">
        <f>'Large Use OLS Model (LC)'!$B$8*G140</f>
        <v>-947874.12245155603</v>
      </c>
      <c r="P140" s="186">
        <f>'Large Use OLS Model (LC)'!$B$9*H140</f>
        <v>0</v>
      </c>
      <c r="Q140" s="186">
        <f>'Large Use OLS Model (LC)'!$B$10*I140</f>
        <v>18122355.210333746</v>
      </c>
      <c r="R140" s="186">
        <f t="shared" ca="1" si="10"/>
        <v>26175788.471886571</v>
      </c>
    </row>
    <row r="141" spans="1:18">
      <c r="A141" s="128">
        <v>44044</v>
      </c>
      <c r="B141" s="186">
        <f t="shared" si="9"/>
        <v>2020</v>
      </c>
      <c r="D141" s="186">
        <f t="shared" ca="1" si="6"/>
        <v>159.64000000000001</v>
      </c>
      <c r="E141" s="124">
        <f>E129*(1+Employment!$L$5)</f>
        <v>7607.5223656008739</v>
      </c>
      <c r="F141" s="186">
        <f t="shared" si="7"/>
        <v>140</v>
      </c>
      <c r="G141" s="186">
        <f t="shared" si="11"/>
        <v>0</v>
      </c>
      <c r="H141" s="186">
        <f t="shared" si="11"/>
        <v>0</v>
      </c>
      <c r="I141" s="186">
        <f t="shared" si="11"/>
        <v>31</v>
      </c>
      <c r="K141" s="186">
        <f>'Large Use OLS Model (LC)'!$B$5</f>
        <v>-11585185.4436178</v>
      </c>
      <c r="L141" s="186">
        <f ca="1">'Large Use OLS Model (LC)'!$B$6*D141</f>
        <v>4106085.4130511689</v>
      </c>
      <c r="M141" s="124">
        <f>'Large Use OLS Model (LC)'!$B$7*E141</f>
        <v>15819962.660055995</v>
      </c>
      <c r="N141" s="186">
        <v>0</v>
      </c>
      <c r="O141" s="186">
        <f>'Large Use OLS Model (LC)'!$B$8*G141</f>
        <v>0</v>
      </c>
      <c r="P141" s="186">
        <f>'Large Use OLS Model (LC)'!$B$9*H141</f>
        <v>0</v>
      </c>
      <c r="Q141" s="186">
        <f>'Large Use OLS Model (LC)'!$B$10*I141</f>
        <v>18122355.210333746</v>
      </c>
      <c r="R141" s="186">
        <f t="shared" ca="1" si="10"/>
        <v>26463217.839823112</v>
      </c>
    </row>
    <row r="142" spans="1:18">
      <c r="A142" s="128">
        <v>44075</v>
      </c>
      <c r="B142" s="186">
        <f t="shared" si="9"/>
        <v>2020</v>
      </c>
      <c r="D142" s="186">
        <f t="shared" ref="D142:D145" ca="1" si="12">D130</f>
        <v>72.989999999999981</v>
      </c>
      <c r="E142" s="124">
        <f>E130*(1+Employment!$L$5)</f>
        <v>7565.3272986464808</v>
      </c>
      <c r="F142" s="186">
        <f t="shared" si="7"/>
        <v>141</v>
      </c>
      <c r="G142" s="186">
        <f t="shared" si="11"/>
        <v>0</v>
      </c>
      <c r="H142" s="186">
        <f t="shared" si="11"/>
        <v>0</v>
      </c>
      <c r="I142" s="186">
        <f t="shared" si="11"/>
        <v>30</v>
      </c>
      <c r="K142" s="186">
        <f>'Large Use OLS Model (LC)'!$B$5</f>
        <v>-11585185.4436178</v>
      </c>
      <c r="L142" s="186">
        <f ca="1">'Large Use OLS Model (LC)'!$B$6*D142</f>
        <v>1877368.9194350082</v>
      </c>
      <c r="M142" s="124">
        <f>'Large Use OLS Model (LC)'!$B$7*E142</f>
        <v>15732217.353295488</v>
      </c>
      <c r="N142" s="186">
        <v>0</v>
      </c>
      <c r="O142" s="186">
        <f>'Large Use OLS Model (LC)'!$B$8*G142</f>
        <v>0</v>
      </c>
      <c r="P142" s="186">
        <f>'Large Use OLS Model (LC)'!$B$9*H142</f>
        <v>0</v>
      </c>
      <c r="Q142" s="186">
        <f>'Large Use OLS Model (LC)'!$B$10*I142</f>
        <v>17537763.106774591</v>
      </c>
      <c r="R142" s="186">
        <f t="shared" ca="1" si="10"/>
        <v>23562163.935887285</v>
      </c>
    </row>
    <row r="143" spans="1:18">
      <c r="A143" s="128">
        <v>44105</v>
      </c>
      <c r="B143" s="186">
        <f t="shared" si="9"/>
        <v>2020</v>
      </c>
      <c r="D143" s="186">
        <f t="shared" ca="1" si="12"/>
        <v>10.779999999999998</v>
      </c>
      <c r="E143" s="124">
        <f>E131*(1+Employment!$L$5)</f>
        <v>7523.1322316920869</v>
      </c>
      <c r="F143" s="186">
        <f t="shared" si="7"/>
        <v>142</v>
      </c>
      <c r="G143" s="186">
        <f t="shared" si="11"/>
        <v>0</v>
      </c>
      <c r="H143" s="186">
        <f t="shared" si="11"/>
        <v>0</v>
      </c>
      <c r="I143" s="186">
        <f t="shared" si="11"/>
        <v>31</v>
      </c>
      <c r="K143" s="186">
        <f>'Large Use OLS Model (LC)'!$B$5</f>
        <v>-11585185.4436178</v>
      </c>
      <c r="L143" s="186">
        <f ca="1">'Large Use OLS Model (LC)'!$B$6*D143</f>
        <v>277271.36527619383</v>
      </c>
      <c r="M143" s="124">
        <f>'Large Use OLS Model (LC)'!$B$7*E143</f>
        <v>15644472.04653498</v>
      </c>
      <c r="N143" s="186">
        <v>0</v>
      </c>
      <c r="O143" s="186">
        <f>'Large Use OLS Model (LC)'!$B$8*G143</f>
        <v>0</v>
      </c>
      <c r="P143" s="186">
        <f>'Large Use OLS Model (LC)'!$B$9*H143</f>
        <v>0</v>
      </c>
      <c r="Q143" s="186">
        <f>'Large Use OLS Model (LC)'!$B$10*I143</f>
        <v>18122355.210333746</v>
      </c>
      <c r="R143" s="186">
        <f t="shared" ca="1" si="10"/>
        <v>22458913.178527117</v>
      </c>
    </row>
    <row r="144" spans="1:18">
      <c r="A144" s="128">
        <v>44136</v>
      </c>
      <c r="B144" s="186">
        <f t="shared" si="9"/>
        <v>2020</v>
      </c>
      <c r="D144" s="186">
        <f t="shared" ca="1" si="12"/>
        <v>0.05</v>
      </c>
      <c r="E144" s="124">
        <f>E132*(1+Employment!$L$5)</f>
        <v>7527.8895186526324</v>
      </c>
      <c r="F144" s="186">
        <f t="shared" si="7"/>
        <v>143</v>
      </c>
      <c r="G144" s="186">
        <f t="shared" si="11"/>
        <v>0</v>
      </c>
      <c r="H144" s="186">
        <f t="shared" si="11"/>
        <v>0</v>
      </c>
      <c r="I144" s="186">
        <f t="shared" si="11"/>
        <v>30</v>
      </c>
      <c r="K144" s="186">
        <f>'Large Use OLS Model (LC)'!$B$5</f>
        <v>-11585185.4436178</v>
      </c>
      <c r="L144" s="186">
        <f ca="1">'Large Use OLS Model (LC)'!$B$6*D144</f>
        <v>1286.0452934888401</v>
      </c>
      <c r="M144" s="124">
        <f>'Large Use OLS Model (LC)'!$B$7*E144</f>
        <v>15654364.899748176</v>
      </c>
      <c r="N144" s="186">
        <v>0</v>
      </c>
      <c r="O144" s="186">
        <f>'Large Use OLS Model (LC)'!$B$8*G144</f>
        <v>0</v>
      </c>
      <c r="P144" s="186">
        <f>'Large Use OLS Model (LC)'!$B$9*H144</f>
        <v>0</v>
      </c>
      <c r="Q144" s="186">
        <f>'Large Use OLS Model (LC)'!$B$10*I144</f>
        <v>17537763.106774591</v>
      </c>
      <c r="R144" s="186">
        <f t="shared" ca="1" si="10"/>
        <v>21608228.608198456</v>
      </c>
    </row>
    <row r="145" spans="1:18">
      <c r="A145" s="128">
        <v>44166</v>
      </c>
      <c r="B145" s="186">
        <f t="shared" si="9"/>
        <v>2020</v>
      </c>
      <c r="D145" s="186">
        <f t="shared" ca="1" si="12"/>
        <v>0</v>
      </c>
      <c r="E145" s="124">
        <f>E133*(1+Employment!$L$5)</f>
        <v>7552.3998884276107</v>
      </c>
      <c r="F145" s="186">
        <f t="shared" si="7"/>
        <v>144</v>
      </c>
      <c r="G145" s="186">
        <f t="shared" si="11"/>
        <v>0</v>
      </c>
      <c r="H145" s="186">
        <f t="shared" si="11"/>
        <v>1</v>
      </c>
      <c r="I145" s="186">
        <f t="shared" si="11"/>
        <v>31</v>
      </c>
      <c r="K145" s="186">
        <f>'Large Use OLS Model (LC)'!$B$5</f>
        <v>-11585185.4436178</v>
      </c>
      <c r="L145" s="186">
        <f ca="1">'Large Use OLS Model (LC)'!$B$6*D145</f>
        <v>0</v>
      </c>
      <c r="M145" s="124">
        <f>'Large Use OLS Model (LC)'!$B$7*E145</f>
        <v>15705334.599998765</v>
      </c>
      <c r="N145" s="186">
        <v>0</v>
      </c>
      <c r="O145" s="186">
        <f>'Large Use OLS Model (LC)'!$B$8*G145</f>
        <v>0</v>
      </c>
      <c r="P145" s="186">
        <f>'Large Use OLS Model (LC)'!$B$9*H145</f>
        <v>-1776727.9579078101</v>
      </c>
      <c r="Q145" s="186">
        <f>'Large Use OLS Model (LC)'!$B$10*I145</f>
        <v>18122355.210333746</v>
      </c>
      <c r="R145" s="186">
        <f t="shared" ca="1" si="10"/>
        <v>20465776.408806901</v>
      </c>
    </row>
    <row r="150" spans="1:18">
      <c r="R150" s="186">
        <f ca="1">SUM(R2:R121)</f>
        <v>2574348953.0264869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B1:AQ30"/>
  <sheetViews>
    <sheetView workbookViewId="0">
      <selection activeCell="G43" sqref="G43"/>
    </sheetView>
  </sheetViews>
  <sheetFormatPr defaultColWidth="9.1640625" defaultRowHeight="12.75"/>
  <cols>
    <col min="1" max="1" width="3.33203125" style="9" customWidth="1"/>
    <col min="2" max="2" width="6" style="9" customWidth="1"/>
    <col min="3" max="3" width="11.5" style="9" customWidth="1"/>
    <col min="4" max="4" width="10.1640625" style="9" customWidth="1"/>
    <col min="5" max="5" width="3.33203125" style="9" customWidth="1"/>
    <col min="6" max="6" width="5.83203125" style="9" customWidth="1"/>
    <col min="7" max="7" width="9.6640625" style="9" bestFit="1" customWidth="1"/>
    <col min="8" max="8" width="10.1640625" style="9" customWidth="1"/>
    <col min="9" max="9" width="3.33203125" style="9" customWidth="1"/>
    <col min="10" max="10" width="7.5" style="9" customWidth="1"/>
    <col min="11" max="11" width="9.6640625" style="9" bestFit="1" customWidth="1"/>
    <col min="12" max="12" width="10.1640625" style="9" customWidth="1"/>
    <col min="13" max="13" width="3.33203125" style="9" customWidth="1"/>
    <col min="14" max="14" width="6.33203125" style="9" customWidth="1"/>
    <col min="15" max="15" width="9.6640625" style="9" bestFit="1" customWidth="1"/>
    <col min="16" max="16" width="10.1640625" style="9" customWidth="1"/>
    <col min="17" max="17" width="3.33203125" style="9" customWidth="1"/>
    <col min="18" max="18" width="5.6640625" style="9" customWidth="1"/>
    <col min="19" max="19" width="9.6640625" style="9" bestFit="1" customWidth="1"/>
    <col min="20" max="20" width="10.1640625" style="9" customWidth="1"/>
    <col min="21" max="21" width="3.33203125" style="9" customWidth="1"/>
    <col min="22" max="22" width="6.33203125" style="9" customWidth="1"/>
    <col min="23" max="23" width="9.33203125" style="9" customWidth="1"/>
    <col min="24" max="24" width="10.1640625" style="9" customWidth="1"/>
    <col min="25" max="25" width="3.33203125" style="9" customWidth="1"/>
    <col min="26" max="26" width="5.6640625" style="9" customWidth="1"/>
    <col min="27" max="27" width="11.1640625" style="9" bestFit="1" customWidth="1"/>
    <col min="28" max="28" width="10.1640625" style="9" customWidth="1"/>
    <col min="29" max="29" width="3.33203125" style="9" customWidth="1"/>
    <col min="30" max="30" width="10.1640625" style="9" bestFit="1" customWidth="1"/>
    <col min="31" max="31" width="7.83203125" style="9" customWidth="1"/>
    <col min="32" max="32" width="10.1640625" style="9" customWidth="1"/>
    <col min="33" max="33" width="3.33203125" style="9" customWidth="1"/>
    <col min="34" max="34" width="11.83203125" style="9" bestFit="1" customWidth="1"/>
    <col min="35" max="35" width="11.1640625" style="9" bestFit="1" customWidth="1"/>
    <col min="36" max="36" width="10.1640625" style="9" customWidth="1"/>
    <col min="37" max="38" width="9.1640625" style="9"/>
    <col min="39" max="39" width="13.1640625" style="9" customWidth="1"/>
    <col min="40" max="40" width="10.33203125" style="9" customWidth="1"/>
    <col min="41" max="16384" width="9.1640625" style="9"/>
  </cols>
  <sheetData>
    <row r="1" spans="2:43" ht="13.15" customHeight="1">
      <c r="N1" s="74"/>
    </row>
    <row r="2" spans="2:43" ht="13.15" customHeight="1">
      <c r="B2" s="268" t="s">
        <v>136</v>
      </c>
      <c r="C2" s="268"/>
      <c r="D2" s="274" t="s">
        <v>137</v>
      </c>
      <c r="F2" s="268" t="s">
        <v>138</v>
      </c>
      <c r="G2" s="268"/>
      <c r="H2" s="274" t="s">
        <v>137</v>
      </c>
      <c r="J2" s="268" t="s">
        <v>139</v>
      </c>
      <c r="K2" s="268"/>
      <c r="L2" s="274" t="s">
        <v>137</v>
      </c>
      <c r="N2" s="268" t="s">
        <v>140</v>
      </c>
      <c r="O2" s="268"/>
      <c r="P2" s="274" t="s">
        <v>137</v>
      </c>
      <c r="R2" s="268" t="s">
        <v>141</v>
      </c>
      <c r="S2" s="268"/>
      <c r="T2" s="274" t="s">
        <v>137</v>
      </c>
      <c r="V2" s="268" t="s">
        <v>186</v>
      </c>
      <c r="W2" s="268"/>
      <c r="X2" s="274" t="s">
        <v>137</v>
      </c>
      <c r="Z2" s="268" t="s">
        <v>187</v>
      </c>
      <c r="AA2" s="268"/>
      <c r="AB2" s="274" t="s">
        <v>137</v>
      </c>
      <c r="AD2" s="9" t="s">
        <v>144</v>
      </c>
      <c r="AE2" s="274" t="s">
        <v>145</v>
      </c>
      <c r="AF2" s="274" t="s">
        <v>137</v>
      </c>
      <c r="AH2" s="74" t="s">
        <v>143</v>
      </c>
      <c r="AI2" s="274" t="s">
        <v>147</v>
      </c>
      <c r="AJ2" s="274" t="s">
        <v>137</v>
      </c>
      <c r="AL2" s="74" t="s">
        <v>142</v>
      </c>
      <c r="AM2" s="274" t="s">
        <v>147</v>
      </c>
      <c r="AN2" s="274" t="s">
        <v>137</v>
      </c>
    </row>
    <row r="3" spans="2:43" ht="13.15" customHeight="1">
      <c r="B3" s="7" t="s">
        <v>124</v>
      </c>
      <c r="C3" s="7" t="s">
        <v>146</v>
      </c>
      <c r="D3" s="274"/>
      <c r="F3" s="7" t="s">
        <v>124</v>
      </c>
      <c r="G3" s="7" t="s">
        <v>146</v>
      </c>
      <c r="H3" s="274"/>
      <c r="J3" s="7" t="s">
        <v>124</v>
      </c>
      <c r="K3" s="7" t="s">
        <v>146</v>
      </c>
      <c r="L3" s="274"/>
      <c r="N3" s="7" t="s">
        <v>124</v>
      </c>
      <c r="O3" s="74" t="s">
        <v>146</v>
      </c>
      <c r="P3" s="274"/>
      <c r="R3" s="7" t="s">
        <v>124</v>
      </c>
      <c r="S3" s="7" t="s">
        <v>146</v>
      </c>
      <c r="T3" s="274"/>
      <c r="V3" s="7" t="s">
        <v>124</v>
      </c>
      <c r="W3" s="7" t="s">
        <v>147</v>
      </c>
      <c r="X3" s="274"/>
      <c r="Z3" s="7" t="s">
        <v>124</v>
      </c>
      <c r="AA3" s="7" t="s">
        <v>147</v>
      </c>
      <c r="AB3" s="274"/>
      <c r="AD3" s="7" t="s">
        <v>124</v>
      </c>
      <c r="AE3" s="274"/>
      <c r="AF3" s="274"/>
      <c r="AH3" s="7" t="s">
        <v>124</v>
      </c>
      <c r="AI3" s="274"/>
      <c r="AJ3" s="274"/>
      <c r="AL3" s="7" t="s">
        <v>124</v>
      </c>
      <c r="AM3" s="274"/>
      <c r="AN3" s="274"/>
    </row>
    <row r="4" spans="2:43">
      <c r="B4" s="9">
        <v>2009</v>
      </c>
      <c r="C4" s="35">
        <f>AVERAGE('Customer Data'!$B$29:$B$38)</f>
        <v>76419</v>
      </c>
      <c r="D4" s="58"/>
      <c r="E4" s="75"/>
      <c r="F4" s="187">
        <v>2009</v>
      </c>
      <c r="G4" s="35">
        <f>AVERAGE('Customer Data'!$C$29:$C$38)</f>
        <v>6970.25</v>
      </c>
      <c r="H4" s="95"/>
      <c r="I4" s="75"/>
      <c r="J4" s="187">
        <v>2009</v>
      </c>
      <c r="K4" s="35">
        <f>AVERAGE('Customer Data'!$D$29:$D$38)</f>
        <v>1175.5</v>
      </c>
      <c r="L4" s="95"/>
      <c r="M4" s="75"/>
      <c r="N4" s="187">
        <v>2009</v>
      </c>
      <c r="O4" s="35">
        <f>AVERAGE('Customer Data'!$E$29:$E$38)</f>
        <v>3</v>
      </c>
      <c r="P4" s="95"/>
      <c r="Q4" s="75"/>
      <c r="R4" s="187">
        <v>2009</v>
      </c>
      <c r="S4" s="35">
        <f>AVERAGE('Customer Data'!$F$29:$F$38)</f>
        <v>6</v>
      </c>
      <c r="T4" s="95"/>
      <c r="U4" s="75"/>
      <c r="V4" s="187">
        <v>2009</v>
      </c>
      <c r="W4" s="35">
        <f>AVERAGE('Customer Data'!$G$29:$G$38)</f>
        <v>3</v>
      </c>
      <c r="X4" s="95"/>
      <c r="Y4" s="75"/>
      <c r="Z4" s="187">
        <v>2009</v>
      </c>
      <c r="AA4" s="35">
        <f>AVERAGE('Customer Data'!$H$29:$H$38)</f>
        <v>1</v>
      </c>
      <c r="AB4" s="95"/>
      <c r="AC4" s="75"/>
      <c r="AD4" s="187">
        <v>2009</v>
      </c>
      <c r="AE4" s="35">
        <f>AVERAGE('Customer Data'!$I$26:$I$38)</f>
        <v>23421</v>
      </c>
      <c r="AF4" s="95"/>
      <c r="AG4" s="75"/>
      <c r="AH4" s="187">
        <v>2009</v>
      </c>
      <c r="AI4" s="35">
        <f>AVERAGE('Customer Data'!$J$26:$J$38)</f>
        <v>668.5</v>
      </c>
      <c r="AJ4" s="95"/>
      <c r="AK4" s="75"/>
      <c r="AL4" s="187">
        <v>2009</v>
      </c>
      <c r="AM4" s="35">
        <f>AVERAGE('Customer Data'!$K$26:$K$38)</f>
        <v>762.5</v>
      </c>
      <c r="AN4" s="95"/>
      <c r="AO4" s="75"/>
      <c r="AP4" s="187"/>
    </row>
    <row r="5" spans="2:43">
      <c r="B5" s="9">
        <f t="shared" ref="B5:B15" si="0">B4+1</f>
        <v>2010</v>
      </c>
      <c r="C5" s="35">
        <f>AVERAGE('Customer Data'!$B$41:$B$50)</f>
        <v>76604.75</v>
      </c>
      <c r="D5" s="58">
        <f t="shared" ref="D5:D12" si="1">C5/C4</f>
        <v>1.0024306782344705</v>
      </c>
      <c r="E5" s="75"/>
      <c r="F5" s="9">
        <f t="shared" ref="F5:F15" si="2">F4+1</f>
        <v>2010</v>
      </c>
      <c r="G5" s="35">
        <f>AVERAGE('Customer Data'!$C$41:$C$50)</f>
        <v>6948</v>
      </c>
      <c r="H5" s="58">
        <f t="shared" ref="H5:H11" si="3">G5/G4</f>
        <v>0.99680786198486426</v>
      </c>
      <c r="I5" s="75"/>
      <c r="J5" s="9">
        <f t="shared" ref="J5:J15" si="4">J4+1</f>
        <v>2010</v>
      </c>
      <c r="K5" s="35">
        <f>AVERAGE('Customer Data'!$D$41:$D$50)</f>
        <v>1188.5</v>
      </c>
      <c r="L5" s="58">
        <f t="shared" ref="L5:L11" si="5">K5/K4</f>
        <v>1.011059123777116</v>
      </c>
      <c r="M5" s="75"/>
      <c r="N5" s="9">
        <f t="shared" ref="N5:N15" si="6">N4+1</f>
        <v>2010</v>
      </c>
      <c r="O5" s="35">
        <f>AVERAGE('Customer Data'!$E$41:$E$50)</f>
        <v>3</v>
      </c>
      <c r="P5" s="58">
        <f t="shared" ref="P5:P11" si="7">O5/O4</f>
        <v>1</v>
      </c>
      <c r="Q5" s="75"/>
      <c r="R5" s="9">
        <f t="shared" ref="R5:R15" si="8">R4+1</f>
        <v>2010</v>
      </c>
      <c r="S5" s="35">
        <f>AVERAGE('Customer Data'!$F$41:$F$50)</f>
        <v>6</v>
      </c>
      <c r="T5" s="58">
        <f t="shared" ref="T5:T11" si="9">S5/S4</f>
        <v>1</v>
      </c>
      <c r="V5" s="9">
        <f t="shared" ref="V5:V15" si="10">V4+1</f>
        <v>2010</v>
      </c>
      <c r="W5" s="35">
        <f>AVERAGE('Customer Data'!$G$41:$G$50)</f>
        <v>3</v>
      </c>
      <c r="X5" s="58">
        <f t="shared" ref="X5:X12" si="11">W5/W4</f>
        <v>1</v>
      </c>
      <c r="Z5" s="9">
        <f t="shared" ref="Z5:Z15" si="12">Z4+1</f>
        <v>2010</v>
      </c>
      <c r="AA5" s="35">
        <f>AVERAGE('Customer Data'!$H$41:$H$50)</f>
        <v>1</v>
      </c>
      <c r="AB5" s="58">
        <f t="shared" ref="AB5:AB13" si="13">AA5/AA4</f>
        <v>1</v>
      </c>
      <c r="AD5" s="9">
        <f t="shared" ref="AD5:AD15" si="14">AD4+1</f>
        <v>2010</v>
      </c>
      <c r="AE5" s="35">
        <f>AVERAGE('Customer Data'!$I$41:$I$50)</f>
        <v>23436.25</v>
      </c>
      <c r="AF5" s="58">
        <f t="shared" ref="AF5:AF12" si="15">AE5/AE4</f>
        <v>1.000651125058708</v>
      </c>
      <c r="AH5" s="9">
        <f t="shared" ref="AH5:AH15" si="16">AH4+1</f>
        <v>2010</v>
      </c>
      <c r="AI5" s="35">
        <f>AVERAGE('Customer Data'!$J$41:$J$50)</f>
        <v>666.5</v>
      </c>
      <c r="AJ5" s="58">
        <f t="shared" ref="AJ5:AJ12" si="17">AI5/AI4</f>
        <v>0.9970082273747195</v>
      </c>
      <c r="AL5" s="9">
        <f t="shared" ref="AL5:AL15" si="18">AL4+1</f>
        <v>2010</v>
      </c>
      <c r="AM5" s="35">
        <f>AVERAGE('Customer Data'!$K$41:$K$50)</f>
        <v>769.75</v>
      </c>
      <c r="AN5" s="58">
        <f t="shared" ref="AN5:AN13" si="19">AM5/AM4</f>
        <v>1.0095081967213115</v>
      </c>
    </row>
    <row r="6" spans="2:43">
      <c r="B6" s="9">
        <f t="shared" si="0"/>
        <v>2011</v>
      </c>
      <c r="C6" s="35">
        <f>AVERAGE('Customer Data'!$B$53:$B$62)</f>
        <v>76747</v>
      </c>
      <c r="D6" s="58">
        <f t="shared" si="1"/>
        <v>1.0018569344590251</v>
      </c>
      <c r="E6" s="75"/>
      <c r="F6" s="9">
        <f t="shared" si="2"/>
        <v>2011</v>
      </c>
      <c r="G6" s="35">
        <f>AVERAGE('Customer Data'!$C$53:$C$62)</f>
        <v>6929</v>
      </c>
      <c r="H6" s="58">
        <f t="shared" si="3"/>
        <v>0.99726540011514109</v>
      </c>
      <c r="I6" s="75"/>
      <c r="J6" s="9">
        <f t="shared" si="4"/>
        <v>2011</v>
      </c>
      <c r="K6" s="35">
        <f>AVERAGE('Customer Data'!$D$53:$D$62)</f>
        <v>1195</v>
      </c>
      <c r="L6" s="58">
        <f t="shared" si="5"/>
        <v>1.0054690786705931</v>
      </c>
      <c r="M6" s="75"/>
      <c r="N6" s="9">
        <f t="shared" si="6"/>
        <v>2011</v>
      </c>
      <c r="O6" s="35">
        <f>AVERAGE('Customer Data'!$E$53:$E$62)</f>
        <v>3</v>
      </c>
      <c r="P6" s="58">
        <f t="shared" si="7"/>
        <v>1</v>
      </c>
      <c r="Q6" s="75"/>
      <c r="R6" s="9">
        <f t="shared" si="8"/>
        <v>2011</v>
      </c>
      <c r="S6" s="35">
        <f>AVERAGE('Customer Data'!$F$53:$F$62)</f>
        <v>6</v>
      </c>
      <c r="T6" s="58">
        <f t="shared" si="9"/>
        <v>1</v>
      </c>
      <c r="V6" s="9">
        <f t="shared" si="10"/>
        <v>2011</v>
      </c>
      <c r="W6" s="35">
        <f>AVERAGE('Customer Data'!$G$53:$G$62)</f>
        <v>3</v>
      </c>
      <c r="X6" s="58">
        <f t="shared" si="11"/>
        <v>1</v>
      </c>
      <c r="Z6" s="9">
        <f t="shared" si="12"/>
        <v>2011</v>
      </c>
      <c r="AA6" s="35">
        <f>AVERAGE('Customer Data'!$H$53:$H$62)</f>
        <v>1</v>
      </c>
      <c r="AB6" s="58">
        <f t="shared" si="13"/>
        <v>1</v>
      </c>
      <c r="AD6" s="9">
        <f t="shared" si="14"/>
        <v>2011</v>
      </c>
      <c r="AE6" s="35">
        <f>AVERAGE('Customer Data'!$I$53:$I$62)</f>
        <v>23411</v>
      </c>
      <c r="AF6" s="58">
        <f t="shared" si="15"/>
        <v>0.99892260920582432</v>
      </c>
      <c r="AH6" s="9">
        <f t="shared" si="16"/>
        <v>2011</v>
      </c>
      <c r="AI6" s="35">
        <f>AVERAGE('Customer Data'!$J$53:$J$62)</f>
        <v>662</v>
      </c>
      <c r="AJ6" s="58">
        <f t="shared" si="17"/>
        <v>0.99324831207801956</v>
      </c>
      <c r="AL6" s="9">
        <f t="shared" si="18"/>
        <v>2011</v>
      </c>
      <c r="AM6" s="35">
        <f>AVERAGE('Customer Data'!$K$53:$K$62)</f>
        <v>792.75</v>
      </c>
      <c r="AN6" s="58">
        <f t="shared" si="19"/>
        <v>1.0298798311139981</v>
      </c>
    </row>
    <row r="7" spans="2:43" s="28" customFormat="1">
      <c r="B7" s="9">
        <f t="shared" si="0"/>
        <v>2012</v>
      </c>
      <c r="C7" s="35">
        <f>AVERAGE('Customer Data'!$B$65:$B$74)</f>
        <v>77099</v>
      </c>
      <c r="D7" s="58">
        <f t="shared" si="1"/>
        <v>1.0045864984950552</v>
      </c>
      <c r="F7" s="9">
        <f t="shared" si="2"/>
        <v>2012</v>
      </c>
      <c r="G7" s="35">
        <f>AVERAGE('Customer Data'!$C$65:$C$74)</f>
        <v>6922</v>
      </c>
      <c r="H7" s="58">
        <f t="shared" si="3"/>
        <v>0.99898975321114158</v>
      </c>
      <c r="J7" s="9">
        <f t="shared" si="4"/>
        <v>2012</v>
      </c>
      <c r="K7" s="35">
        <f>AVERAGE('Customer Data'!$D$65:$D$74)</f>
        <v>1179.25</v>
      </c>
      <c r="L7" s="58">
        <f t="shared" si="5"/>
        <v>0.98682008368200835</v>
      </c>
      <c r="N7" s="9">
        <f t="shared" si="6"/>
        <v>2012</v>
      </c>
      <c r="O7" s="35">
        <f>AVERAGE('Customer Data'!$E$65:$E$74)</f>
        <v>3</v>
      </c>
      <c r="P7" s="58">
        <f t="shared" si="7"/>
        <v>1</v>
      </c>
      <c r="R7" s="9">
        <f t="shared" si="8"/>
        <v>2012</v>
      </c>
      <c r="S7" s="35">
        <f>AVERAGE('Customer Data'!$F$53:$F$62)</f>
        <v>6</v>
      </c>
      <c r="T7" s="58">
        <f t="shared" si="9"/>
        <v>1</v>
      </c>
      <c r="V7" s="9">
        <f t="shared" si="10"/>
        <v>2012</v>
      </c>
      <c r="W7" s="35">
        <f>AVERAGE('Customer Data'!$G$65:$G$74)</f>
        <v>2.5</v>
      </c>
      <c r="X7" s="58">
        <f>W7/W6</f>
        <v>0.83333333333333337</v>
      </c>
      <c r="Z7" s="9">
        <f t="shared" si="12"/>
        <v>2012</v>
      </c>
      <c r="AA7" s="35">
        <f>AVERAGE('Customer Data'!$H$65:$H$74)</f>
        <v>1</v>
      </c>
      <c r="AB7" s="58">
        <f t="shared" si="13"/>
        <v>1</v>
      </c>
      <c r="AD7" s="9">
        <f t="shared" si="14"/>
        <v>2012</v>
      </c>
      <c r="AE7" s="35">
        <f>AVERAGE('Customer Data'!$I$65:$I$74)</f>
        <v>23358</v>
      </c>
      <c r="AF7" s="58">
        <f t="shared" si="15"/>
        <v>0.99773610695826753</v>
      </c>
      <c r="AH7" s="9">
        <f t="shared" si="16"/>
        <v>2012</v>
      </c>
      <c r="AI7" s="35">
        <f>AVERAGE('Customer Data'!$J$65:$J$74)</f>
        <v>660.5</v>
      </c>
      <c r="AJ7" s="58">
        <f t="shared" si="17"/>
        <v>0.99773413897280971</v>
      </c>
      <c r="AL7" s="9">
        <f t="shared" si="18"/>
        <v>2012</v>
      </c>
      <c r="AM7" s="35">
        <f>AVERAGE('Customer Data'!$K$65:$K$74)</f>
        <v>794</v>
      </c>
      <c r="AN7" s="58">
        <f t="shared" si="19"/>
        <v>1.00157678965626</v>
      </c>
    </row>
    <row r="8" spans="2:43" s="28" customFormat="1">
      <c r="B8" s="9">
        <f t="shared" si="0"/>
        <v>2013</v>
      </c>
      <c r="C8" s="35">
        <f>AVERAGE('Customer Data'!$B$77:$B$86)</f>
        <v>77452.25</v>
      </c>
      <c r="D8" s="58">
        <f t="shared" si="1"/>
        <v>1.0045817714886056</v>
      </c>
      <c r="F8" s="9">
        <f t="shared" si="2"/>
        <v>2013</v>
      </c>
      <c r="G8" s="35">
        <f>AVERAGE('Customer Data'!$C$77:$C$86)</f>
        <v>6945.5</v>
      </c>
      <c r="H8" s="58">
        <f t="shared" si="3"/>
        <v>1.0033949725512858</v>
      </c>
      <c r="J8" s="9">
        <f t="shared" si="4"/>
        <v>2013</v>
      </c>
      <c r="K8" s="35">
        <f>AVERAGE('Customer Data'!$D$77:$D$86)</f>
        <v>1179.25</v>
      </c>
      <c r="L8" s="58">
        <f t="shared" si="5"/>
        <v>1</v>
      </c>
      <c r="N8" s="9">
        <f t="shared" si="6"/>
        <v>2013</v>
      </c>
      <c r="O8" s="35">
        <f>AVERAGE('Customer Data'!$E$77:$E$86)</f>
        <v>3</v>
      </c>
      <c r="P8" s="58">
        <f t="shared" si="7"/>
        <v>1</v>
      </c>
      <c r="R8" s="9">
        <f t="shared" si="8"/>
        <v>2013</v>
      </c>
      <c r="S8" s="35">
        <f>AVERAGE('Customer Data'!$F$53:$F$62)</f>
        <v>6</v>
      </c>
      <c r="T8" s="58">
        <f t="shared" si="9"/>
        <v>1</v>
      </c>
      <c r="V8" s="9">
        <f t="shared" si="10"/>
        <v>2013</v>
      </c>
      <c r="W8" s="35">
        <f>AVERAGE('Customer Data'!$G$77:$G$86)</f>
        <v>2</v>
      </c>
      <c r="X8" s="58">
        <f t="shared" si="11"/>
        <v>0.8</v>
      </c>
      <c r="Z8" s="9">
        <f t="shared" si="12"/>
        <v>2013</v>
      </c>
      <c r="AA8" s="35">
        <f>AVERAGE('Customer Data'!$H$77:$H$86)</f>
        <v>1</v>
      </c>
      <c r="AB8" s="58">
        <f t="shared" si="13"/>
        <v>1</v>
      </c>
      <c r="AD8" s="9">
        <f t="shared" si="14"/>
        <v>2013</v>
      </c>
      <c r="AE8" s="35">
        <f>AVERAGE('Customer Data'!$I$77:$I$86)</f>
        <v>23385.5</v>
      </c>
      <c r="AF8" s="58">
        <f t="shared" si="15"/>
        <v>1.001177326825927</v>
      </c>
      <c r="AH8" s="9">
        <f t="shared" si="16"/>
        <v>2013</v>
      </c>
      <c r="AI8" s="35">
        <f>AVERAGE('Customer Data'!$J$77:$J$86)</f>
        <v>641.25</v>
      </c>
      <c r="AJ8" s="58">
        <f t="shared" si="17"/>
        <v>0.97085541256623775</v>
      </c>
      <c r="AL8" s="9">
        <f t="shared" si="18"/>
        <v>2013</v>
      </c>
      <c r="AM8" s="35">
        <f>AVERAGE('Customer Data'!$K$77:$K$86)</f>
        <v>789.5</v>
      </c>
      <c r="AN8" s="58">
        <f t="shared" si="19"/>
        <v>0.99433249370277077</v>
      </c>
    </row>
    <row r="9" spans="2:43" s="28" customFormat="1">
      <c r="B9" s="9">
        <f t="shared" si="0"/>
        <v>2014</v>
      </c>
      <c r="C9" s="35">
        <f>AVERAGE('Customer Data'!$B$89:$B$98)</f>
        <v>77949.5</v>
      </c>
      <c r="D9" s="58">
        <f t="shared" si="1"/>
        <v>1.00642008463279</v>
      </c>
      <c r="F9" s="9">
        <f t="shared" si="2"/>
        <v>2014</v>
      </c>
      <c r="G9" s="35">
        <f>AVERAGE('Customer Data'!$C$89:$C$98)</f>
        <v>7014</v>
      </c>
      <c r="H9" s="58">
        <f t="shared" si="3"/>
        <v>1.0098625008998632</v>
      </c>
      <c r="J9" s="9">
        <f t="shared" si="4"/>
        <v>2014</v>
      </c>
      <c r="K9" s="35">
        <f>AVERAGE('Customer Data'!$D$89:$D$98)</f>
        <v>1209.25</v>
      </c>
      <c r="L9" s="58">
        <f t="shared" si="5"/>
        <v>1.0254398982404069</v>
      </c>
      <c r="N9" s="9">
        <f t="shared" si="6"/>
        <v>2014</v>
      </c>
      <c r="O9" s="35">
        <f>AVERAGE('Customer Data'!$E$89:$E$98)</f>
        <v>3</v>
      </c>
      <c r="P9" s="58">
        <f t="shared" si="7"/>
        <v>1</v>
      </c>
      <c r="R9" s="9">
        <f t="shared" si="8"/>
        <v>2014</v>
      </c>
      <c r="S9" s="35">
        <f>AVERAGE('Customer Data'!$F$53:$F$62)</f>
        <v>6</v>
      </c>
      <c r="T9" s="58">
        <f t="shared" si="9"/>
        <v>1</v>
      </c>
      <c r="V9" s="9">
        <f t="shared" si="10"/>
        <v>2014</v>
      </c>
      <c r="W9" s="35">
        <f>AVERAGE('Customer Data'!$G$89:$G$98)</f>
        <v>2</v>
      </c>
      <c r="X9" s="58">
        <f t="shared" si="11"/>
        <v>1</v>
      </c>
      <c r="Z9" s="9">
        <f t="shared" si="12"/>
        <v>2014</v>
      </c>
      <c r="AA9" s="35">
        <f>AVERAGE('Customer Data'!$H$89:$H$98)</f>
        <v>1</v>
      </c>
      <c r="AB9" s="58">
        <f t="shared" si="13"/>
        <v>1</v>
      </c>
      <c r="AD9" s="9">
        <f t="shared" si="14"/>
        <v>2014</v>
      </c>
      <c r="AE9" s="35">
        <f>AVERAGE('Customer Data'!$I$89:$I$98)</f>
        <v>23459.5</v>
      </c>
      <c r="AF9" s="58">
        <f t="shared" si="15"/>
        <v>1.0031643539800303</v>
      </c>
      <c r="AH9" s="9">
        <f t="shared" si="16"/>
        <v>2014</v>
      </c>
      <c r="AI9" s="35">
        <f>AVERAGE('Customer Data'!$J$89:$J$98)</f>
        <v>631.25</v>
      </c>
      <c r="AJ9" s="58">
        <f t="shared" si="17"/>
        <v>0.98440545808966862</v>
      </c>
      <c r="AL9" s="9">
        <f t="shared" si="18"/>
        <v>2014</v>
      </c>
      <c r="AM9" s="35">
        <f>AVERAGE('Customer Data'!$K$89:$K$98)</f>
        <v>783</v>
      </c>
      <c r="AN9" s="58">
        <f t="shared" si="19"/>
        <v>0.99176694110196328</v>
      </c>
    </row>
    <row r="10" spans="2:43" s="28" customFormat="1">
      <c r="B10" s="9">
        <f t="shared" si="0"/>
        <v>2015</v>
      </c>
      <c r="C10" s="35">
        <f>AVERAGE('Customer Data'!$B$101:$B$110)</f>
        <v>78320.5</v>
      </c>
      <c r="D10" s="58">
        <f t="shared" si="1"/>
        <v>1.0047594917222047</v>
      </c>
      <c r="F10" s="9">
        <f t="shared" si="2"/>
        <v>2015</v>
      </c>
      <c r="G10" s="35">
        <f>AVERAGE('Customer Data'!$C$101:$C$110)</f>
        <v>7054.5</v>
      </c>
      <c r="H10" s="58">
        <f t="shared" si="3"/>
        <v>1.0057741659538066</v>
      </c>
      <c r="J10" s="9">
        <f t="shared" si="4"/>
        <v>2015</v>
      </c>
      <c r="K10" s="35">
        <f>AVERAGE('Customer Data'!$D$101:$D$110)</f>
        <v>1228.75</v>
      </c>
      <c r="L10" s="58">
        <f t="shared" si="5"/>
        <v>1.0161256977465372</v>
      </c>
      <c r="N10" s="9">
        <f t="shared" si="6"/>
        <v>2015</v>
      </c>
      <c r="O10" s="35">
        <f>AVERAGE('Customer Data'!$E$101:$E$110)</f>
        <v>3</v>
      </c>
      <c r="P10" s="58">
        <f t="shared" si="7"/>
        <v>1</v>
      </c>
      <c r="R10" s="9">
        <f t="shared" si="8"/>
        <v>2015</v>
      </c>
      <c r="S10" s="35">
        <f>AVERAGE('Customer Data'!$F$53:$F$62)</f>
        <v>6</v>
      </c>
      <c r="T10" s="58">
        <f t="shared" si="9"/>
        <v>1</v>
      </c>
      <c r="V10" s="9">
        <f t="shared" si="10"/>
        <v>2015</v>
      </c>
      <c r="W10" s="35">
        <f>AVERAGE('Customer Data'!$G$101:$G$110)</f>
        <v>2</v>
      </c>
      <c r="X10" s="58">
        <f t="shared" si="11"/>
        <v>1</v>
      </c>
      <c r="Z10" s="9">
        <f t="shared" si="12"/>
        <v>2015</v>
      </c>
      <c r="AA10" s="35">
        <f>AVERAGE('Customer Data'!$H$101:$H$110)</f>
        <v>1</v>
      </c>
      <c r="AB10" s="58">
        <f t="shared" si="13"/>
        <v>1</v>
      </c>
      <c r="AD10" s="9">
        <f t="shared" si="14"/>
        <v>2015</v>
      </c>
      <c r="AE10" s="35">
        <f>AVERAGE('Customer Data'!$I$101:$I$110)</f>
        <v>23495.25</v>
      </c>
      <c r="AF10" s="58">
        <f t="shared" si="15"/>
        <v>1.0015239028964811</v>
      </c>
      <c r="AH10" s="9">
        <f t="shared" si="16"/>
        <v>2015</v>
      </c>
      <c r="AI10" s="35">
        <f>AVERAGE('Customer Data'!$J$101:$J$110)</f>
        <v>615.75</v>
      </c>
      <c r="AJ10" s="58">
        <f t="shared" si="17"/>
        <v>0.97544554455445542</v>
      </c>
      <c r="AL10" s="9">
        <f t="shared" si="18"/>
        <v>2015</v>
      </c>
      <c r="AM10" s="35">
        <f>AVERAGE('Customer Data'!$K$101:$K$110)</f>
        <v>780</v>
      </c>
      <c r="AN10" s="58">
        <f t="shared" si="19"/>
        <v>0.99616858237547889</v>
      </c>
    </row>
    <row r="11" spans="2:43" s="28" customFormat="1">
      <c r="B11" s="9">
        <f t="shared" si="0"/>
        <v>2016</v>
      </c>
      <c r="C11" s="35">
        <f>AVERAGE('Customer Data'!$B$113:$B$122)</f>
        <v>78812</v>
      </c>
      <c r="D11" s="58">
        <f t="shared" si="1"/>
        <v>1.0062754961983134</v>
      </c>
      <c r="F11" s="9">
        <f t="shared" si="2"/>
        <v>2016</v>
      </c>
      <c r="G11" s="35">
        <f>AVERAGE('Customer Data'!$C$113:$C$122)</f>
        <v>7079.5</v>
      </c>
      <c r="H11" s="58">
        <f t="shared" si="3"/>
        <v>1.0035438372669927</v>
      </c>
      <c r="J11" s="9">
        <f t="shared" si="4"/>
        <v>2016</v>
      </c>
      <c r="K11" s="35">
        <f>AVERAGE('Customer Data'!$D$113:$D$122)</f>
        <v>1245</v>
      </c>
      <c r="L11" s="58">
        <f t="shared" si="5"/>
        <v>1.0132248219735505</v>
      </c>
      <c r="N11" s="9">
        <f t="shared" si="6"/>
        <v>2016</v>
      </c>
      <c r="O11" s="35">
        <f>AVERAGE('Customer Data'!$E$113:$E$122)</f>
        <v>3</v>
      </c>
      <c r="P11" s="58">
        <f t="shared" si="7"/>
        <v>1</v>
      </c>
      <c r="R11" s="9">
        <f t="shared" si="8"/>
        <v>2016</v>
      </c>
      <c r="S11" s="35">
        <f>AVERAGE('Customer Data'!$F$53:$F$62)</f>
        <v>6</v>
      </c>
      <c r="T11" s="58">
        <f t="shared" si="9"/>
        <v>1</v>
      </c>
      <c r="V11" s="9">
        <f t="shared" si="10"/>
        <v>2016</v>
      </c>
      <c r="W11" s="35">
        <f>AVERAGE('Customer Data'!$G$113:$G$122)</f>
        <v>2</v>
      </c>
      <c r="X11" s="58">
        <f t="shared" si="11"/>
        <v>1</v>
      </c>
      <c r="Z11" s="9">
        <f t="shared" si="12"/>
        <v>2016</v>
      </c>
      <c r="AA11" s="35">
        <f>AVERAGE('Customer Data'!$H$113:$H$122)</f>
        <v>1</v>
      </c>
      <c r="AB11" s="58">
        <f t="shared" si="13"/>
        <v>1</v>
      </c>
      <c r="AD11" s="9">
        <f t="shared" si="14"/>
        <v>2016</v>
      </c>
      <c r="AE11" s="35">
        <f>AVERAGE('Customer Data'!$I$113:$I$122)</f>
        <v>23517.5</v>
      </c>
      <c r="AF11" s="58">
        <f t="shared" si="15"/>
        <v>1.0009469999255169</v>
      </c>
      <c r="AH11" s="9">
        <f t="shared" si="16"/>
        <v>2016</v>
      </c>
      <c r="AI11" s="35">
        <f>AVERAGE('Customer Data'!$J$113:$J$122)</f>
        <v>602</v>
      </c>
      <c r="AJ11" s="58">
        <f t="shared" si="17"/>
        <v>0.977669508729192</v>
      </c>
      <c r="AL11" s="9">
        <f t="shared" si="18"/>
        <v>2016</v>
      </c>
      <c r="AM11" s="35">
        <f>AVERAGE('Customer Data'!$K$113:$K$122)</f>
        <v>781</v>
      </c>
      <c r="AN11" s="58">
        <f t="shared" si="19"/>
        <v>1.0012820512820513</v>
      </c>
      <c r="AP11" s="118"/>
    </row>
    <row r="12" spans="2:43" s="28" customFormat="1">
      <c r="B12" s="118">
        <f t="shared" si="0"/>
        <v>2017</v>
      </c>
      <c r="C12" s="35">
        <f>AVERAGE('Customer Data'!B123:B134)</f>
        <v>79324.5</v>
      </c>
      <c r="D12" s="95">
        <f t="shared" si="1"/>
        <v>1.0065028168299244</v>
      </c>
      <c r="F12" s="118">
        <f t="shared" si="2"/>
        <v>2017</v>
      </c>
      <c r="G12" s="35">
        <f>AVERAGE('Customer Data'!C123:C134)</f>
        <v>7108.75</v>
      </c>
      <c r="H12" s="95">
        <f t="shared" ref="H12:H13" si="20">G12/G11</f>
        <v>1.0041316477152342</v>
      </c>
      <c r="J12" s="187">
        <f t="shared" si="4"/>
        <v>2017</v>
      </c>
      <c r="K12" s="35">
        <f>AVERAGE('Customer Data'!D123:D134)</f>
        <v>1251.25</v>
      </c>
      <c r="L12" s="95">
        <f t="shared" ref="L12:L13" si="21">K12/K11</f>
        <v>1.0050200803212852</v>
      </c>
      <c r="N12" s="187">
        <f t="shared" si="6"/>
        <v>2017</v>
      </c>
      <c r="O12" s="35">
        <f>AVERAGE('Customer Data'!E123:E134)</f>
        <v>3</v>
      </c>
      <c r="P12" s="95">
        <f t="shared" ref="P12:P13" si="22">O12/O11</f>
        <v>1</v>
      </c>
      <c r="R12" s="187">
        <f t="shared" si="8"/>
        <v>2017</v>
      </c>
      <c r="S12" s="35">
        <f>AVERAGE('Customer Data'!$F$53:$F$62)</f>
        <v>6</v>
      </c>
      <c r="T12" s="95">
        <f t="shared" ref="T12:T13" si="23">S12/S11</f>
        <v>1</v>
      </c>
      <c r="V12" s="187">
        <f t="shared" si="10"/>
        <v>2017</v>
      </c>
      <c r="W12" s="35">
        <f>AVERAGE('Customer Data'!G123:G134)</f>
        <v>2</v>
      </c>
      <c r="X12" s="95">
        <f t="shared" si="11"/>
        <v>1</v>
      </c>
      <c r="Z12" s="118">
        <f t="shared" si="12"/>
        <v>2017</v>
      </c>
      <c r="AA12" s="35">
        <f>AVERAGE('Customer Data'!H123:H134)</f>
        <v>1</v>
      </c>
      <c r="AB12" s="95">
        <f t="shared" si="13"/>
        <v>1</v>
      </c>
      <c r="AD12" s="187">
        <f t="shared" si="14"/>
        <v>2017</v>
      </c>
      <c r="AE12" s="35">
        <f>AVERAGE('Customer Data'!I123:I134)</f>
        <v>24143.5</v>
      </c>
      <c r="AF12" s="58">
        <f t="shared" si="15"/>
        <v>1.0266184756032741</v>
      </c>
      <c r="AH12" s="118">
        <f t="shared" si="16"/>
        <v>2017</v>
      </c>
      <c r="AI12" s="35">
        <f>AVERAGE('Customer Data'!J123:J134)</f>
        <v>554.25</v>
      </c>
      <c r="AJ12" s="95">
        <f t="shared" si="17"/>
        <v>0.92068106312292364</v>
      </c>
      <c r="AL12" s="118">
        <f t="shared" si="18"/>
        <v>2017</v>
      </c>
      <c r="AM12" s="35">
        <f>AVERAGE('Customer Data'!K123:K134)</f>
        <v>769</v>
      </c>
      <c r="AN12" s="95">
        <f t="shared" si="19"/>
        <v>0.98463508322663251</v>
      </c>
      <c r="AP12" s="35"/>
      <c r="AQ12" s="118"/>
    </row>
    <row r="13" spans="2:43" s="197" customFormat="1">
      <c r="B13" s="197">
        <f t="shared" si="0"/>
        <v>2018</v>
      </c>
      <c r="C13" s="198">
        <f>AVERAGE('Customer Data'!B136:B147)</f>
        <v>79466</v>
      </c>
      <c r="D13" s="199">
        <f t="shared" ref="D13" si="24">C13/C12</f>
        <v>1.001783812063108</v>
      </c>
      <c r="F13" s="197">
        <f t="shared" si="2"/>
        <v>2018</v>
      </c>
      <c r="G13" s="198">
        <f>AVERAGE('Customer Data'!C136:C147)</f>
        <v>7104</v>
      </c>
      <c r="H13" s="199">
        <f t="shared" si="20"/>
        <v>0.99933180938983646</v>
      </c>
      <c r="J13" s="197">
        <f t="shared" si="4"/>
        <v>2018</v>
      </c>
      <c r="K13" s="198">
        <f>AVERAGE('Customer Data'!D136:D147)</f>
        <v>1254.25</v>
      </c>
      <c r="L13" s="199">
        <f t="shared" si="21"/>
        <v>1.0023976023976024</v>
      </c>
      <c r="N13" s="197">
        <f t="shared" si="6"/>
        <v>2018</v>
      </c>
      <c r="O13" s="198">
        <f>AVERAGE('Customer Data'!E136:E147)</f>
        <v>3</v>
      </c>
      <c r="P13" s="199">
        <f t="shared" si="22"/>
        <v>1</v>
      </c>
      <c r="R13" s="197">
        <f t="shared" si="8"/>
        <v>2018</v>
      </c>
      <c r="S13" s="35">
        <f>AVERAGE('Customer Data'!$F$53:$F$62)</f>
        <v>6</v>
      </c>
      <c r="T13" s="199">
        <f t="shared" si="23"/>
        <v>1</v>
      </c>
      <c r="V13" s="197">
        <f t="shared" si="10"/>
        <v>2018</v>
      </c>
      <c r="W13" s="198">
        <f>AVERAGE('Customer Data'!G136:G147)</f>
        <v>2</v>
      </c>
      <c r="X13" s="199">
        <f t="shared" ref="X13" si="25">W13/W12</f>
        <v>1</v>
      </c>
      <c r="Z13" s="197">
        <f t="shared" si="12"/>
        <v>2018</v>
      </c>
      <c r="AA13" s="198">
        <f>AVERAGE('Customer Data'!H136:H147)</f>
        <v>1</v>
      </c>
      <c r="AB13" s="199">
        <f t="shared" si="13"/>
        <v>1</v>
      </c>
      <c r="AD13" s="197">
        <f t="shared" si="14"/>
        <v>2018</v>
      </c>
      <c r="AE13" s="198">
        <f>AVERAGE('Customer Data'!I136:I147)</f>
        <v>24283.5</v>
      </c>
      <c r="AF13" s="199">
        <f t="shared" ref="AF13" si="26">AE13/AE12</f>
        <v>1.0057986621658004</v>
      </c>
      <c r="AH13" s="197">
        <f t="shared" si="16"/>
        <v>2018</v>
      </c>
      <c r="AI13" s="198">
        <f>AVERAGE('Customer Data'!J136:J147)</f>
        <v>532.75</v>
      </c>
      <c r="AJ13" s="199">
        <f t="shared" ref="AJ13" si="27">AI13/AI12</f>
        <v>0.96120884077582314</v>
      </c>
      <c r="AL13" s="197">
        <f t="shared" si="18"/>
        <v>2018</v>
      </c>
      <c r="AM13" s="200">
        <f>AVERAGE('Customer Data'!K136:K147)</f>
        <v>726.5</v>
      </c>
      <c r="AN13" s="95">
        <f t="shared" si="19"/>
        <v>0.9447334200260078</v>
      </c>
    </row>
    <row r="14" spans="2:43">
      <c r="B14" s="28">
        <f t="shared" si="0"/>
        <v>2019</v>
      </c>
      <c r="C14" s="32">
        <f>C13*D14</f>
        <v>79811.968022845249</v>
      </c>
      <c r="D14" s="30">
        <f>GEOMEAN(D5:D13)</f>
        <v>1.0043536609725574</v>
      </c>
      <c r="E14" s="28"/>
      <c r="F14" s="28">
        <f t="shared" si="2"/>
        <v>2019</v>
      </c>
      <c r="G14" s="32">
        <f>G13*H14</f>
        <v>7119.0186436319073</v>
      </c>
      <c r="H14" s="96">
        <f>GEOMEAN(H5:H13)</f>
        <v>1.0021141108716085</v>
      </c>
      <c r="I14" s="28"/>
      <c r="J14" s="28">
        <f t="shared" si="4"/>
        <v>2019</v>
      </c>
      <c r="K14" s="32">
        <f>K13*L14</f>
        <v>1263.3193919637922</v>
      </c>
      <c r="L14" s="96">
        <f>GEOMEAN(L5:L13)</f>
        <v>1.0072309284144247</v>
      </c>
      <c r="M14" s="28"/>
      <c r="N14" s="28">
        <f t="shared" si="6"/>
        <v>2019</v>
      </c>
      <c r="O14" s="32">
        <f>O13*P14</f>
        <v>3</v>
      </c>
      <c r="P14" s="96">
        <f>GEOMEAN(P5:P13)</f>
        <v>1</v>
      </c>
      <c r="Q14" s="28"/>
      <c r="R14" s="28">
        <f t="shared" si="8"/>
        <v>2019</v>
      </c>
      <c r="S14" s="32">
        <f>S13*T14</f>
        <v>6</v>
      </c>
      <c r="T14" s="96">
        <f>GEOMEAN(T5:T13)</f>
        <v>1</v>
      </c>
      <c r="U14" s="28"/>
      <c r="V14" s="28">
        <f t="shared" si="10"/>
        <v>2019</v>
      </c>
      <c r="W14" s="123">
        <v>2</v>
      </c>
      <c r="X14" s="175">
        <f>GEOMEAN(X5:X13)</f>
        <v>0.95594807842297513</v>
      </c>
      <c r="Y14" s="28"/>
      <c r="Z14" s="28">
        <f t="shared" si="12"/>
        <v>2019</v>
      </c>
      <c r="AA14" s="32">
        <f>AA13*AB14</f>
        <v>1</v>
      </c>
      <c r="AB14" s="96">
        <f>GEOMEAN(AB5:AB13)</f>
        <v>1</v>
      </c>
      <c r="AC14" s="28"/>
      <c r="AD14" s="28">
        <f t="shared" si="14"/>
        <v>2019</v>
      </c>
      <c r="AE14" s="32">
        <f>AE13*AF14</f>
        <v>24313.550236385821</v>
      </c>
      <c r="AF14" s="175">
        <f>GEOMEAN(AF5:AF11,AF13)</f>
        <v>1.0012374755033591</v>
      </c>
      <c r="AG14" s="28"/>
      <c r="AH14" s="28">
        <f t="shared" si="16"/>
        <v>2019</v>
      </c>
      <c r="AI14" s="32">
        <f>AI13*AJ14</f>
        <v>519.48181887976432</v>
      </c>
      <c r="AJ14" s="96">
        <f>GEOMEAN(AJ5:AJ13)</f>
        <v>0.97509492046882085</v>
      </c>
      <c r="AK14" s="28"/>
      <c r="AL14" s="28">
        <f t="shared" si="18"/>
        <v>2019</v>
      </c>
      <c r="AM14" s="123">
        <f>AM13*AN14</f>
        <v>715.82160911532708</v>
      </c>
      <c r="AN14" s="96">
        <f>GEOMEAN(AN8:AN13)</f>
        <v>0.98530159547877094</v>
      </c>
    </row>
    <row r="15" spans="2:43">
      <c r="B15" s="28">
        <f t="shared" si="0"/>
        <v>2020</v>
      </c>
      <c r="C15" s="32">
        <f>C14*D15</f>
        <v>80159.442273169305</v>
      </c>
      <c r="D15" s="96">
        <f>D14</f>
        <v>1.0043536609725574</v>
      </c>
      <c r="E15" s="28"/>
      <c r="F15" s="28">
        <f t="shared" si="2"/>
        <v>2020</v>
      </c>
      <c r="G15" s="32">
        <f>G14*H15</f>
        <v>7134.0690383415931</v>
      </c>
      <c r="H15" s="96">
        <f>H14</f>
        <v>1.0021141108716085</v>
      </c>
      <c r="I15" s="28"/>
      <c r="J15" s="28">
        <f t="shared" si="4"/>
        <v>2020</v>
      </c>
      <c r="K15" s="32">
        <f>K14*L15</f>
        <v>1272.454364051637</v>
      </c>
      <c r="L15" s="96">
        <f>L14</f>
        <v>1.0072309284144247</v>
      </c>
      <c r="M15" s="28"/>
      <c r="N15" s="28">
        <f t="shared" si="6"/>
        <v>2020</v>
      </c>
      <c r="O15" s="32">
        <f>O14*P15</f>
        <v>3</v>
      </c>
      <c r="P15" s="96">
        <f>P14</f>
        <v>1</v>
      </c>
      <c r="Q15" s="28"/>
      <c r="R15" s="28">
        <f t="shared" si="8"/>
        <v>2020</v>
      </c>
      <c r="S15" s="123">
        <f>S14*T15-1</f>
        <v>5</v>
      </c>
      <c r="T15" s="96">
        <f>T14</f>
        <v>1</v>
      </c>
      <c r="U15" s="28"/>
      <c r="V15" s="28">
        <f t="shared" si="10"/>
        <v>2020</v>
      </c>
      <c r="W15" s="123">
        <v>2</v>
      </c>
      <c r="X15" s="175">
        <f>X14</f>
        <v>0.95594807842297513</v>
      </c>
      <c r="Y15" s="28"/>
      <c r="Z15" s="28">
        <f t="shared" si="12"/>
        <v>2020</v>
      </c>
      <c r="AA15" s="32">
        <f>AA14*AB15</f>
        <v>1</v>
      </c>
      <c r="AB15" s="96">
        <f>AB14</f>
        <v>1</v>
      </c>
      <c r="AC15" s="28"/>
      <c r="AD15" s="28">
        <f t="shared" si="14"/>
        <v>2020</v>
      </c>
      <c r="AE15" s="32">
        <f>AE14*AF15</f>
        <v>24343.637659203039</v>
      </c>
      <c r="AF15" s="96">
        <f>AF14</f>
        <v>1.0012374755033591</v>
      </c>
      <c r="AG15" s="28"/>
      <c r="AH15" s="28">
        <f t="shared" si="16"/>
        <v>2020</v>
      </c>
      <c r="AI15" s="32">
        <f>AI14*AJ15</f>
        <v>506.54408286556219</v>
      </c>
      <c r="AJ15" s="96">
        <f>AJ14</f>
        <v>0.97509492046882085</v>
      </c>
      <c r="AK15" s="28"/>
      <c r="AL15" s="28">
        <f t="shared" si="18"/>
        <v>2020</v>
      </c>
      <c r="AM15" s="123">
        <f>AM14*AN15</f>
        <v>705.30017353951291</v>
      </c>
      <c r="AN15" s="96">
        <f>AN14</f>
        <v>0.98530159547877094</v>
      </c>
    </row>
    <row r="17" spans="7:40" ht="12.75" customHeight="1">
      <c r="AD17" s="275" t="s">
        <v>245</v>
      </c>
      <c r="AE17" s="275"/>
      <c r="AF17" s="275"/>
      <c r="AL17" s="275"/>
      <c r="AM17" s="275"/>
      <c r="AN17" s="275"/>
    </row>
    <row r="18" spans="7:40">
      <c r="G18" s="35"/>
      <c r="AD18" s="275"/>
      <c r="AE18" s="275"/>
      <c r="AF18" s="275"/>
      <c r="AL18" s="275"/>
      <c r="AM18" s="275"/>
      <c r="AN18" s="275"/>
    </row>
    <row r="19" spans="7:40">
      <c r="G19" s="35"/>
      <c r="H19" s="95"/>
      <c r="AD19" s="275"/>
      <c r="AE19" s="275"/>
      <c r="AF19" s="275"/>
      <c r="AL19" s="275"/>
      <c r="AM19" s="275"/>
      <c r="AN19" s="275"/>
    </row>
    <row r="20" spans="7:40">
      <c r="G20" s="35"/>
      <c r="H20" s="95"/>
      <c r="AD20" s="275"/>
      <c r="AE20" s="275"/>
      <c r="AF20" s="275"/>
      <c r="AL20" s="275"/>
      <c r="AM20" s="275"/>
      <c r="AN20" s="275"/>
    </row>
    <row r="21" spans="7:40">
      <c r="G21" s="35"/>
      <c r="H21" s="95"/>
    </row>
    <row r="22" spans="7:40">
      <c r="G22" s="35"/>
      <c r="H22" s="95"/>
    </row>
    <row r="23" spans="7:40">
      <c r="G23" s="35"/>
      <c r="H23" s="95"/>
    </row>
    <row r="24" spans="7:40">
      <c r="G24" s="35"/>
      <c r="H24" s="95"/>
    </row>
    <row r="25" spans="7:40">
      <c r="G25" s="35"/>
      <c r="H25" s="95"/>
    </row>
    <row r="26" spans="7:40">
      <c r="G26" s="35"/>
      <c r="H26" s="95"/>
    </row>
    <row r="27" spans="7:40">
      <c r="G27" s="35"/>
      <c r="H27" s="95"/>
    </row>
    <row r="28" spans="7:40">
      <c r="G28" s="35"/>
      <c r="H28" s="182"/>
      <c r="K28" s="35"/>
    </row>
    <row r="29" spans="7:40">
      <c r="G29" s="35"/>
      <c r="H29" s="182"/>
      <c r="K29" s="35"/>
    </row>
    <row r="30" spans="7:40">
      <c r="G30" s="35"/>
      <c r="H30" s="182"/>
      <c r="K30" s="35"/>
    </row>
  </sheetData>
  <mergeCells count="22">
    <mergeCell ref="AD17:AF20"/>
    <mergeCell ref="AL17:AN20"/>
    <mergeCell ref="L2:L3"/>
    <mergeCell ref="B2:C2"/>
    <mergeCell ref="D2:D3"/>
    <mergeCell ref="F2:G2"/>
    <mergeCell ref="H2:H3"/>
    <mergeCell ref="J2:K2"/>
    <mergeCell ref="AM2:AM3"/>
    <mergeCell ref="AN2:AN3"/>
    <mergeCell ref="AJ2:AJ3"/>
    <mergeCell ref="N2:O2"/>
    <mergeCell ref="P2:P3"/>
    <mergeCell ref="R2:S2"/>
    <mergeCell ref="T2:T3"/>
    <mergeCell ref="V2:W2"/>
    <mergeCell ref="AI2:AI3"/>
    <mergeCell ref="X2:X3"/>
    <mergeCell ref="Z2:AA2"/>
    <mergeCell ref="AB2:AB3"/>
    <mergeCell ref="AE2:AE3"/>
    <mergeCell ref="AF2:AF3"/>
  </mergeCells>
  <pageMargins left="0.7" right="0.7" top="0.75" bottom="0.75" header="0.3" footer="0.3"/>
  <pageSetup paperSize="9"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F49"/>
  <sheetViews>
    <sheetView topLeftCell="I1" workbookViewId="0">
      <selection activeCell="AG16" sqref="AG16"/>
    </sheetView>
  </sheetViews>
  <sheetFormatPr defaultColWidth="9.1640625" defaultRowHeight="12.75"/>
  <cols>
    <col min="1" max="1" width="17" style="42" bestFit="1" customWidth="1"/>
    <col min="2" max="2" width="5.83203125" style="42" bestFit="1" customWidth="1"/>
    <col min="3" max="3" width="13" style="42" customWidth="1"/>
    <col min="4" max="4" width="19.6640625" style="42" customWidth="1"/>
    <col min="5" max="5" width="16.33203125" style="42" bestFit="1" customWidth="1"/>
    <col min="6" max="6" width="1.6640625" style="42" customWidth="1"/>
    <col min="7" max="7" width="15.5" style="42" customWidth="1"/>
    <col min="8" max="8" width="11.83203125" style="42" customWidth="1"/>
    <col min="9" max="9" width="13" style="42" bestFit="1" customWidth="1"/>
    <col min="10" max="10" width="3.83203125" style="42" customWidth="1"/>
    <col min="11" max="11" width="9" style="42" customWidth="1"/>
    <col min="12" max="12" width="16.5" style="42" customWidth="1"/>
    <col min="13" max="13" width="16" style="42" customWidth="1"/>
    <col min="14" max="14" width="16.5" style="42" customWidth="1"/>
    <col min="15" max="15" width="2.6640625" style="42" customWidth="1"/>
    <col min="16" max="16" width="17.6640625" style="42" customWidth="1"/>
    <col min="17" max="17" width="15.83203125" style="42" customWidth="1"/>
    <col min="18" max="18" width="13" style="42" customWidth="1"/>
    <col min="19" max="19" width="3.83203125" style="42" customWidth="1"/>
    <col min="20" max="20" width="5.83203125" style="42" bestFit="1" customWidth="1"/>
    <col min="21" max="21" width="15.6640625" style="42" customWidth="1"/>
    <col min="22" max="22" width="15.83203125" style="42" customWidth="1"/>
    <col min="23" max="23" width="17" style="42" customWidth="1"/>
    <col min="24" max="24" width="1.5" style="42" customWidth="1"/>
    <col min="25" max="25" width="20.33203125" style="42" customWidth="1"/>
    <col min="26" max="26" width="15.6640625" style="42" customWidth="1"/>
    <col min="27" max="27" width="15.83203125" style="42" customWidth="1"/>
    <col min="28" max="28" width="14.33203125" style="42" customWidth="1"/>
    <col min="29" max="29" width="6.5" style="42" customWidth="1"/>
    <col min="30" max="30" width="5.83203125" style="42" bestFit="1" customWidth="1"/>
    <col min="31" max="31" width="17" style="42" customWidth="1"/>
    <col min="32" max="32" width="16" style="42" customWidth="1"/>
    <col min="33" max="33" width="17" style="42" customWidth="1"/>
    <col min="34" max="34" width="1.5" style="42" customWidth="1"/>
    <col min="35" max="35" width="19.33203125" style="42" customWidth="1"/>
    <col min="36" max="36" width="16" style="42" customWidth="1"/>
    <col min="37" max="37" width="13.33203125" style="42" customWidth="1"/>
    <col min="38" max="38" width="3.83203125" style="42" customWidth="1"/>
    <col min="39" max="39" width="5.83203125" style="42" bestFit="1" customWidth="1"/>
    <col min="40" max="42" width="15.6640625" style="42" customWidth="1"/>
    <col min="43" max="43" width="1.5" style="42" customWidth="1"/>
    <col min="44" max="45" width="19.5" style="42" customWidth="1"/>
    <col min="46" max="48" width="16.1640625" style="42" customWidth="1"/>
    <col min="49" max="49" width="3.83203125" style="42" customWidth="1"/>
    <col min="50" max="50" width="5.83203125" style="42" bestFit="1" customWidth="1"/>
    <col min="51" max="53" width="16.6640625" style="42" customWidth="1"/>
    <col min="54" max="54" width="3.83203125" style="42" customWidth="1"/>
    <col min="55" max="56" width="21.6640625" style="42" customWidth="1"/>
    <col min="57" max="57" width="13" style="42" bestFit="1" customWidth="1"/>
    <col min="58" max="58" width="3.83203125" style="42" customWidth="1"/>
    <col min="59" max="59" width="5.83203125" style="42" bestFit="1" customWidth="1"/>
    <col min="60" max="62" width="18.1640625" style="42" customWidth="1"/>
    <col min="63" max="63" width="3.83203125" style="42" customWidth="1"/>
    <col min="64" max="66" width="19.5" style="42" customWidth="1"/>
    <col min="67" max="67" width="3.83203125" style="42" customWidth="1"/>
    <col min="68" max="68" width="5.83203125" style="42" bestFit="1" customWidth="1"/>
    <col min="69" max="69" width="11.83203125" style="42" bestFit="1" customWidth="1"/>
    <col min="70" max="70" width="17.5" style="42" bestFit="1" customWidth="1"/>
    <col min="71" max="71" width="24.1640625" style="42" customWidth="1"/>
    <col min="72" max="72" width="17.5" style="42" bestFit="1" customWidth="1"/>
    <col min="73" max="73" width="3.83203125" style="42" customWidth="1"/>
    <col min="74" max="74" width="5.83203125" style="42" bestFit="1" customWidth="1"/>
    <col min="75" max="75" width="10.6640625" style="42" bestFit="1" customWidth="1"/>
    <col min="76" max="76" width="13.33203125" style="42" bestFit="1" customWidth="1"/>
    <col min="77" max="77" width="24" style="42" customWidth="1"/>
    <col min="78" max="78" width="17.5" style="42" bestFit="1" customWidth="1"/>
    <col min="79" max="79" width="3.6640625" style="42" customWidth="1"/>
    <col min="80" max="80" width="5.83203125" style="42" bestFit="1" customWidth="1"/>
    <col min="81" max="81" width="10.6640625" style="42" bestFit="1" customWidth="1"/>
    <col min="82" max="82" width="13.33203125" style="42" bestFit="1" customWidth="1"/>
    <col min="83" max="83" width="23.6640625" style="42" customWidth="1"/>
    <col min="84" max="84" width="17.5" style="42" bestFit="1" customWidth="1"/>
    <col min="85" max="85" width="4.1640625" style="42" customWidth="1"/>
    <col min="86" max="16384" width="9.1640625" style="42"/>
  </cols>
  <sheetData>
    <row r="1" spans="1:84">
      <c r="A1" s="61" t="s">
        <v>148</v>
      </c>
    </row>
    <row r="2" spans="1:84" ht="12.75" customHeight="1">
      <c r="B2" s="276" t="s">
        <v>192</v>
      </c>
      <c r="C2" s="276"/>
      <c r="D2" s="276"/>
      <c r="E2" s="276"/>
      <c r="F2" s="276"/>
      <c r="G2" s="276"/>
      <c r="H2" s="276"/>
      <c r="I2" s="276"/>
      <c r="K2" s="276" t="s">
        <v>300</v>
      </c>
      <c r="L2" s="276"/>
      <c r="M2" s="276"/>
      <c r="N2" s="276"/>
      <c r="O2" s="276"/>
      <c r="P2" s="276"/>
      <c r="Q2" s="276"/>
      <c r="R2" s="276"/>
      <c r="U2" s="276" t="s">
        <v>301</v>
      </c>
      <c r="V2" s="276"/>
      <c r="W2" s="276"/>
      <c r="X2" s="276"/>
      <c r="Y2" s="276"/>
      <c r="Z2" s="276"/>
      <c r="AA2" s="276"/>
      <c r="AB2" s="276"/>
      <c r="AC2" s="62"/>
      <c r="AE2" s="276" t="s">
        <v>140</v>
      </c>
      <c r="AF2" s="276"/>
      <c r="AG2" s="276"/>
      <c r="AH2" s="276"/>
      <c r="AI2" s="276"/>
      <c r="AJ2" s="276"/>
      <c r="AK2" s="276"/>
      <c r="AN2" s="276" t="s">
        <v>141</v>
      </c>
      <c r="AO2" s="276"/>
      <c r="AP2" s="276"/>
      <c r="AQ2" s="276"/>
      <c r="AR2" s="276"/>
      <c r="AS2" s="276"/>
      <c r="AT2" s="276"/>
      <c r="AU2" s="276"/>
      <c r="AV2" s="276"/>
      <c r="AY2" s="276" t="s">
        <v>186</v>
      </c>
      <c r="AZ2" s="276"/>
      <c r="BA2" s="276"/>
      <c r="BB2" s="276"/>
      <c r="BC2" s="276"/>
      <c r="BD2" s="276"/>
      <c r="BE2" s="276"/>
      <c r="BH2" s="276" t="s">
        <v>187</v>
      </c>
      <c r="BI2" s="276"/>
      <c r="BJ2" s="276"/>
      <c r="BK2" s="276"/>
      <c r="BL2" s="276"/>
      <c r="BM2" s="276"/>
      <c r="BN2" s="276"/>
      <c r="BO2" s="63"/>
      <c r="BP2" s="276" t="s">
        <v>144</v>
      </c>
      <c r="BQ2" s="276"/>
      <c r="BR2" s="276"/>
      <c r="BS2" s="276"/>
      <c r="BT2" s="276"/>
      <c r="BV2" s="276" t="s">
        <v>149</v>
      </c>
      <c r="BW2" s="276"/>
      <c r="BX2" s="276"/>
      <c r="BY2" s="276"/>
      <c r="BZ2" s="276"/>
      <c r="CB2" s="276" t="s">
        <v>142</v>
      </c>
      <c r="CC2" s="276"/>
      <c r="CD2" s="276"/>
      <c r="CE2" s="276"/>
      <c r="CF2" s="276"/>
    </row>
    <row r="3" spans="1:84">
      <c r="B3" s="62" t="s">
        <v>124</v>
      </c>
      <c r="C3" s="62" t="s">
        <v>150</v>
      </c>
      <c r="D3" s="62" t="s">
        <v>151</v>
      </c>
      <c r="E3" s="62" t="s">
        <v>152</v>
      </c>
      <c r="F3" s="62"/>
      <c r="G3" s="64" t="s">
        <v>153</v>
      </c>
      <c r="H3" s="62" t="s">
        <v>151</v>
      </c>
      <c r="I3" s="64" t="s">
        <v>154</v>
      </c>
      <c r="K3" s="62" t="s">
        <v>124</v>
      </c>
      <c r="L3" s="62" t="s">
        <v>150</v>
      </c>
      <c r="M3" s="62" t="s">
        <v>151</v>
      </c>
      <c r="N3" s="62" t="s">
        <v>152</v>
      </c>
      <c r="O3" s="62"/>
      <c r="P3" s="64" t="s">
        <v>153</v>
      </c>
      <c r="Q3" s="62" t="s">
        <v>151</v>
      </c>
      <c r="R3" s="64" t="s">
        <v>154</v>
      </c>
      <c r="T3" s="62" t="s">
        <v>124</v>
      </c>
      <c r="U3" s="62" t="s">
        <v>150</v>
      </c>
      <c r="V3" s="62" t="s">
        <v>151</v>
      </c>
      <c r="W3" s="62" t="s">
        <v>152</v>
      </c>
      <c r="X3" s="62"/>
      <c r="Y3" s="64" t="s">
        <v>153</v>
      </c>
      <c r="Z3" s="64" t="s">
        <v>294</v>
      </c>
      <c r="AA3" s="62" t="s">
        <v>151</v>
      </c>
      <c r="AB3" s="64" t="s">
        <v>154</v>
      </c>
      <c r="AC3" s="62"/>
      <c r="AD3" s="62" t="s">
        <v>124</v>
      </c>
      <c r="AE3" s="62" t="s">
        <v>150</v>
      </c>
      <c r="AF3" s="62" t="s">
        <v>151</v>
      </c>
      <c r="AG3" s="62" t="s">
        <v>152</v>
      </c>
      <c r="AH3" s="62"/>
      <c r="AI3" s="64" t="s">
        <v>153</v>
      </c>
      <c r="AJ3" s="62" t="s">
        <v>151</v>
      </c>
      <c r="AK3" s="64" t="s">
        <v>154</v>
      </c>
      <c r="AM3" s="62" t="s">
        <v>124</v>
      </c>
      <c r="AN3" s="62" t="s">
        <v>150</v>
      </c>
      <c r="AO3" s="62" t="s">
        <v>151</v>
      </c>
      <c r="AP3" s="62" t="s">
        <v>152</v>
      </c>
      <c r="AQ3" s="62"/>
      <c r="AR3" s="64" t="s">
        <v>153</v>
      </c>
      <c r="AS3" s="64" t="s">
        <v>294</v>
      </c>
      <c r="AT3" s="62" t="s">
        <v>151</v>
      </c>
      <c r="AU3" s="64" t="s">
        <v>294</v>
      </c>
      <c r="AV3" s="64" t="s">
        <v>154</v>
      </c>
      <c r="AX3" s="62" t="s">
        <v>124</v>
      </c>
      <c r="AY3" s="62" t="s">
        <v>188</v>
      </c>
      <c r="AZ3" s="62" t="s">
        <v>151</v>
      </c>
      <c r="BA3" s="62" t="s">
        <v>152</v>
      </c>
      <c r="BB3" s="62"/>
      <c r="BC3" s="64" t="s">
        <v>153</v>
      </c>
      <c r="BD3" s="62" t="s">
        <v>151</v>
      </c>
      <c r="BE3" s="64" t="s">
        <v>154</v>
      </c>
      <c r="BG3" s="62" t="s">
        <v>124</v>
      </c>
      <c r="BH3" s="62" t="s">
        <v>188</v>
      </c>
      <c r="BI3" s="62" t="s">
        <v>151</v>
      </c>
      <c r="BJ3" s="62" t="s">
        <v>152</v>
      </c>
      <c r="BK3" s="62"/>
      <c r="BL3" s="64" t="s">
        <v>153</v>
      </c>
      <c r="BM3" s="62" t="s">
        <v>151</v>
      </c>
      <c r="BN3" s="64" t="s">
        <v>154</v>
      </c>
      <c r="BO3" s="64"/>
      <c r="BP3" s="62" t="s">
        <v>124</v>
      </c>
      <c r="BQ3" s="62" t="s">
        <v>150</v>
      </c>
      <c r="BR3" s="62" t="s">
        <v>145</v>
      </c>
      <c r="BS3" s="62" t="s">
        <v>246</v>
      </c>
      <c r="BT3" s="62" t="s">
        <v>156</v>
      </c>
      <c r="BV3" s="62" t="s">
        <v>124</v>
      </c>
      <c r="BW3" s="62" t="s">
        <v>150</v>
      </c>
      <c r="BX3" s="62" t="s">
        <v>147</v>
      </c>
      <c r="BY3" s="62" t="s">
        <v>246</v>
      </c>
      <c r="BZ3" s="62" t="s">
        <v>156</v>
      </c>
      <c r="CB3" s="62" t="s">
        <v>124</v>
      </c>
      <c r="CC3" s="62" t="s">
        <v>150</v>
      </c>
      <c r="CD3" s="62" t="s">
        <v>147</v>
      </c>
      <c r="CE3" s="62" t="s">
        <v>246</v>
      </c>
      <c r="CF3" s="62" t="s">
        <v>156</v>
      </c>
    </row>
    <row r="4" spans="1:84">
      <c r="B4" s="62"/>
      <c r="C4" s="62" t="s">
        <v>157</v>
      </c>
      <c r="D4" s="62" t="s">
        <v>158</v>
      </c>
      <c r="E4" s="62" t="s">
        <v>159</v>
      </c>
      <c r="F4" s="62"/>
      <c r="G4" s="64" t="s">
        <v>160</v>
      </c>
      <c r="H4" s="64" t="s">
        <v>161</v>
      </c>
      <c r="I4" s="64" t="s">
        <v>162</v>
      </c>
      <c r="K4" s="62"/>
      <c r="L4" s="62" t="s">
        <v>157</v>
      </c>
      <c r="M4" s="62" t="s">
        <v>158</v>
      </c>
      <c r="N4" s="62" t="s">
        <v>159</v>
      </c>
      <c r="O4" s="62"/>
      <c r="P4" s="64" t="s">
        <v>160</v>
      </c>
      <c r="Q4" s="64" t="s">
        <v>161</v>
      </c>
      <c r="R4" s="64" t="s">
        <v>162</v>
      </c>
      <c r="T4" s="62"/>
      <c r="U4" s="62" t="s">
        <v>157</v>
      </c>
      <c r="V4" s="62" t="s">
        <v>158</v>
      </c>
      <c r="W4" s="62" t="s">
        <v>159</v>
      </c>
      <c r="X4" s="62"/>
      <c r="Y4" s="64" t="s">
        <v>160</v>
      </c>
      <c r="Z4" s="64"/>
      <c r="AA4" s="64" t="s">
        <v>161</v>
      </c>
      <c r="AB4" s="64" t="s">
        <v>162</v>
      </c>
      <c r="AC4" s="62"/>
      <c r="AD4" s="62"/>
      <c r="AE4" s="62" t="s">
        <v>157</v>
      </c>
      <c r="AF4" s="62" t="s">
        <v>158</v>
      </c>
      <c r="AG4" s="62" t="s">
        <v>159</v>
      </c>
      <c r="AH4" s="62"/>
      <c r="AI4" s="64" t="s">
        <v>160</v>
      </c>
      <c r="AJ4" s="64" t="s">
        <v>161</v>
      </c>
      <c r="AK4" s="64" t="s">
        <v>162</v>
      </c>
      <c r="AM4" s="62"/>
      <c r="AN4" s="62" t="s">
        <v>157</v>
      </c>
      <c r="AO4" s="62" t="s">
        <v>158</v>
      </c>
      <c r="AP4" s="62" t="s">
        <v>159</v>
      </c>
      <c r="AQ4" s="62"/>
      <c r="AR4" s="64" t="s">
        <v>160</v>
      </c>
      <c r="AS4" s="64"/>
      <c r="AT4" s="64" t="s">
        <v>161</v>
      </c>
      <c r="AU4" s="64"/>
      <c r="AV4" s="64" t="s">
        <v>162</v>
      </c>
      <c r="AX4" s="62"/>
      <c r="AY4" s="62" t="s">
        <v>157</v>
      </c>
      <c r="AZ4" s="62" t="s">
        <v>158</v>
      </c>
      <c r="BA4" s="62" t="s">
        <v>159</v>
      </c>
      <c r="BB4" s="62"/>
      <c r="BC4" s="64" t="s">
        <v>160</v>
      </c>
      <c r="BD4" s="64" t="s">
        <v>161</v>
      </c>
      <c r="BE4" s="64" t="s">
        <v>162</v>
      </c>
      <c r="BG4" s="62"/>
      <c r="BH4" s="62" t="s">
        <v>157</v>
      </c>
      <c r="BI4" s="62" t="s">
        <v>158</v>
      </c>
      <c r="BJ4" s="62" t="s">
        <v>159</v>
      </c>
      <c r="BK4" s="62"/>
      <c r="BL4" s="64" t="s">
        <v>160</v>
      </c>
      <c r="BM4" s="64" t="s">
        <v>161</v>
      </c>
      <c r="BN4" s="64" t="s">
        <v>162</v>
      </c>
      <c r="BO4" s="64"/>
      <c r="BP4" s="62"/>
      <c r="BQ4" s="62"/>
      <c r="BR4" s="62"/>
      <c r="BS4" s="62"/>
      <c r="BT4" s="62"/>
      <c r="BV4" s="62"/>
      <c r="BW4" s="62"/>
      <c r="BX4" s="62"/>
      <c r="BY4" s="62"/>
      <c r="BZ4" s="62"/>
      <c r="CB4" s="62"/>
      <c r="CC4" s="62"/>
      <c r="CD4" s="62"/>
      <c r="CE4" s="62"/>
      <c r="CF4" s="62"/>
    </row>
    <row r="5" spans="1:84">
      <c r="B5" s="42">
        <v>2009</v>
      </c>
      <c r="C5" s="65">
        <f>SUMIF('Monthly Data'!$B:$B,B5,'Monthly Data'!C:C)</f>
        <v>604635108.51263404</v>
      </c>
      <c r="D5" s="65">
        <f ca="1">SUMIF('Monthly Data'!$B:$B,B5,'Monthly Data'!E:E)</f>
        <v>12905395.295118952</v>
      </c>
      <c r="E5" s="67">
        <f ca="1">SUMIF('Res Normalized Monthly'!$B$2:$B$144,B5,'Res Normalized Monthly'!C$2:C$144)</f>
        <v>617540503.80775297</v>
      </c>
      <c r="F5" s="65"/>
      <c r="G5" s="65">
        <f ca="1">SUMIF('Res Normalized Monthly'!$B:$B,B5,'Res Normalized Monthly'!$T:$T)</f>
        <v>643612940.05779874</v>
      </c>
      <c r="H5" s="65">
        <f t="shared" ref="H5:H13" ca="1" si="0">D5</f>
        <v>12905395.295118952</v>
      </c>
      <c r="I5" s="65">
        <f t="shared" ref="I5:I13" ca="1" si="1">G5-H5</f>
        <v>630707544.76267982</v>
      </c>
      <c r="K5" s="42">
        <f t="shared" ref="K5:K15" si="2">B5</f>
        <v>2009</v>
      </c>
      <c r="L5" s="65">
        <f>SUMIF('Monthly Data'!$B:$B,K5,'Monthly Data'!G:G)</f>
        <v>220940436.27633598</v>
      </c>
      <c r="M5" s="65">
        <f ca="1">SUMIF('Monthly Data'!$B:$B,K5,'Monthly Data'!I:I)</f>
        <v>3004854.8414025153</v>
      </c>
      <c r="N5" s="65">
        <f ca="1">SUMIF('GS &lt; 50 Normalized Monthly'!$B:$B,K5,'GS &lt; 50 Normalized Monthly'!C:C)</f>
        <v>223945291.11773852</v>
      </c>
      <c r="O5" s="66"/>
      <c r="P5" s="65">
        <f ca="1">SUMIF('GS &lt; 50 Normalized Monthly'!$B:$B,K5,'GS &lt; 50 Normalized Monthly'!V:V)</f>
        <v>232546574.8536483</v>
      </c>
      <c r="Q5" s="65">
        <f t="shared" ref="Q5:Q12" ca="1" si="3">M5</f>
        <v>3004854.8414025153</v>
      </c>
      <c r="R5" s="65">
        <f t="shared" ref="R5:R12" ca="1" si="4">P5-Q5</f>
        <v>229541720.0122458</v>
      </c>
      <c r="T5" s="42">
        <f t="shared" ref="T5:T16" si="5">K5</f>
        <v>2009</v>
      </c>
      <c r="U5" s="65">
        <f>SUMIF('Monthly Data'!$B:$B,T5,'Monthly Data'!K:K)</f>
        <v>906614904.72799397</v>
      </c>
      <c r="V5" s="65">
        <f ca="1">SUMIF('Monthly Data'!$B:$B,T5,'Monthly Data'!N:N)</f>
        <v>3326785.3266341123</v>
      </c>
      <c r="W5" s="65">
        <f ca="1">SUMIF('GS &gt; 50 Normalized Monthly'!$B:$B,T5,'GS &gt; 50 Normalized Monthly'!C:C)</f>
        <v>909941690.05462801</v>
      </c>
      <c r="X5" s="66"/>
      <c r="Y5" s="65">
        <f ca="1">SUMIF('GS &gt; 50 Normalized Monthly'!$B:$B,T5,'GS &gt; 50 Normalized Monthly'!AB:AB)</f>
        <v>932450561.13882434</v>
      </c>
      <c r="Z5" s="65"/>
      <c r="AA5" s="65">
        <f t="shared" ref="AA5:AA12" ca="1" si="6">V5</f>
        <v>3326785.3266341123</v>
      </c>
      <c r="AB5" s="65">
        <f t="shared" ref="AB5:AB12" ca="1" si="7">Y5-AA5</f>
        <v>929123775.81219018</v>
      </c>
      <c r="AC5" s="65"/>
      <c r="AD5" s="42">
        <f t="shared" ref="AD5:AD15" si="8">T5</f>
        <v>2009</v>
      </c>
      <c r="AE5" s="65">
        <f>SUMIF('Monthly Data'!$B:$B,AD5,'Monthly Data'!V:V)</f>
        <v>51306801.944982</v>
      </c>
      <c r="AF5" s="65">
        <f ca="1">SUMIF('Monthly Data'!$B:$B,AD5,'Monthly Data'!Y:Y)</f>
        <v>0</v>
      </c>
      <c r="AG5" s="65">
        <f ca="1">SUMIF('Intermediate Normalized Monthly'!$B:$B,AD5,'Intermediate Normalized Monthly'!C:C)</f>
        <v>51306801.944982</v>
      </c>
      <c r="AH5" s="66"/>
      <c r="AI5" s="65">
        <f>SUMIF('Intermediate Normalized Monthly'!$B:$B,AD5,'Intermediate Normalized Monthly'!R:R)</f>
        <v>50129122.097767241</v>
      </c>
      <c r="AJ5" s="65">
        <f t="shared" ref="AJ5:AJ12" ca="1" si="9">AF5</f>
        <v>0</v>
      </c>
      <c r="AK5" s="65">
        <f t="shared" ref="AK5:AK15" ca="1" si="10">AI5-AJ5</f>
        <v>50129122.097767241</v>
      </c>
      <c r="AM5" s="42">
        <f t="shared" ref="AM5:AM15" si="11">AD5</f>
        <v>2009</v>
      </c>
      <c r="AN5" s="65">
        <f>SUMIF('Monthly Data'!$B:$B,AM5,'Monthly Data'!AA:AA)</f>
        <v>271865804.30218202</v>
      </c>
      <c r="AO5" s="65">
        <f ca="1">SUMIF('Monthly Data'!$B:$B,AM5,'Monthly Data'!AD:AD)</f>
        <v>0</v>
      </c>
      <c r="AP5" s="65">
        <f ca="1">SUMIF('Large Use Normalized Monthly'!$B:$B,AM5,'Large Use Normalized Monthly'!C:C)</f>
        <v>271865804.30218202</v>
      </c>
      <c r="AQ5" s="66"/>
      <c r="AR5" s="65">
        <f ca="1">SUMIF('Large Use Normalized Monthly'!$B:$B,AM5,'Large Use Normalized Monthly'!R:R)</f>
        <v>292439562.23267168</v>
      </c>
      <c r="AS5" s="65"/>
      <c r="AT5" s="65">
        <f t="shared" ref="AT5:AT12" ca="1" si="12">AO5</f>
        <v>0</v>
      </c>
      <c r="AU5" s="65"/>
      <c r="AV5" s="65">
        <f t="shared" ref="AV5:AV15" ca="1" si="13">AR5-AT5</f>
        <v>292439562.23267168</v>
      </c>
      <c r="AX5" s="42">
        <f t="shared" ref="AX5:AX15" si="14">AM5</f>
        <v>2009</v>
      </c>
      <c r="AY5" s="65">
        <f ca="1">SUMIF('Monthly Data'!$B:$B,AX5,'Monthly Data'!AJ:AJ)-AZ5</f>
        <v>253823156.07115111</v>
      </c>
      <c r="AZ5" s="65">
        <f ca="1">SUMIF('Monthly Data'!$B:$B,AX5,'Monthly Data'!AI:AI)</f>
        <v>0</v>
      </c>
      <c r="BA5" s="65">
        <f ca="1">SUMIF('Monthly Data'!$B:$B,AX5,'Monthly Data'!AJ:AJ)</f>
        <v>253823156.07115111</v>
      </c>
      <c r="BB5" s="66"/>
      <c r="BC5" s="65">
        <f ca="1">AVERAGE(BA6:BA14)</f>
        <v>276090122.32992023</v>
      </c>
      <c r="BD5" s="65">
        <f t="shared" ref="BD5:BD12" ca="1" si="15">AZ5</f>
        <v>0</v>
      </c>
      <c r="BE5" s="65">
        <f t="shared" ref="BE5:BE15" ca="1" si="16">BC5-BD5</f>
        <v>276090122.32992023</v>
      </c>
      <c r="BG5" s="42">
        <f t="shared" ref="BG5:BG15" si="17">AX5</f>
        <v>2009</v>
      </c>
      <c r="BH5" s="65">
        <f>SUMIF('Monthly Data'!$B:$B,BG5,'Monthly Data'!AS:AS)</f>
        <v>50208448.727770001</v>
      </c>
      <c r="BI5" s="65">
        <f ca="1">SUMIF('Monthly Data'!$B:$B,BG5,'Monthly Data'!AV:AV)</f>
        <v>0</v>
      </c>
      <c r="BJ5" s="65">
        <f t="shared" ref="BJ5:BJ12" ca="1" si="18">BH5+BI5</f>
        <v>50208448.727770001</v>
      </c>
      <c r="BK5" s="66"/>
      <c r="BL5" s="65">
        <f ca="1">TREND($BJ$5:$BJ$14,$BG$5:$BG$14,BG5)</f>
        <v>49694947.12727356</v>
      </c>
      <c r="BM5" s="65">
        <f t="shared" ref="BM5:BM12" ca="1" si="19">BI5</f>
        <v>0</v>
      </c>
      <c r="BN5" s="65">
        <f t="shared" ref="BN5:BN15" ca="1" si="20">BL5-BM5</f>
        <v>49694947.12727356</v>
      </c>
      <c r="BO5" s="65"/>
      <c r="BP5" s="42">
        <f t="shared" ref="BP5:BP15" si="21">AM5</f>
        <v>2009</v>
      </c>
      <c r="BQ5" s="67">
        <f>SUMIF('Monthly Data'!$B:$B,BP5,'Monthly Data'!AX:AX)</f>
        <v>16930327.966194</v>
      </c>
      <c r="BR5" s="67">
        <f>'Connection count '!AE4</f>
        <v>23421</v>
      </c>
      <c r="BS5" s="67">
        <f t="shared" ref="BS5:BS8" si="22">BQ5/BR5</f>
        <v>722.86956006122716</v>
      </c>
      <c r="BT5" s="68"/>
      <c r="BU5" s="61"/>
      <c r="BV5" s="61">
        <f t="shared" ref="BV5:BV7" si="23">BP5</f>
        <v>2009</v>
      </c>
      <c r="BW5" s="67">
        <f>SUMIF('Monthly Data'!$B:$B,BV5,'Monthly Data'!BC:BC)</f>
        <v>992473.34792500013</v>
      </c>
      <c r="BX5" s="67">
        <f>'Connection count '!AI4</f>
        <v>668.5</v>
      </c>
      <c r="BY5" s="67">
        <f t="shared" ref="BY5:BY11" si="24">BW5/BX5</f>
        <v>1484.6272968212418</v>
      </c>
      <c r="BZ5" s="67">
        <f t="shared" ref="BZ5:BZ9" si="25">BY5*BX5</f>
        <v>992473.34792500013</v>
      </c>
      <c r="CA5" s="68"/>
      <c r="CB5" s="61">
        <f t="shared" ref="CB5:CB12" si="26">BP5</f>
        <v>2009</v>
      </c>
      <c r="CC5" s="67">
        <f>SUMIF('Monthly Data'!$B:$B,CB5,'Monthly Data'!BF:BF)</f>
        <v>4214866.844428001</v>
      </c>
      <c r="CD5" s="67">
        <f>'Connection count '!AM4</f>
        <v>762.5</v>
      </c>
      <c r="CE5" s="67">
        <f t="shared" ref="CE5:CE12" si="27">CC5/CD5</f>
        <v>5527.6942222006574</v>
      </c>
      <c r="CF5" s="67">
        <f t="shared" ref="CF5:CF11" si="28">CE5*CD5</f>
        <v>4214866.844428001</v>
      </c>
    </row>
    <row r="6" spans="1:84">
      <c r="B6" s="42">
        <f t="shared" ref="B6:B16" si="29">B5+1</f>
        <v>2010</v>
      </c>
      <c r="C6" s="65">
        <f>SUMIF('Monthly Data'!$B:$B,B6,'Monthly Data'!C:C)</f>
        <v>647490324.95962501</v>
      </c>
      <c r="D6" s="65">
        <f ca="1">SUMIF('Monthly Data'!$B:$B,B6,'Monthly Data'!E:E)</f>
        <v>9466437.9703478534</v>
      </c>
      <c r="E6" s="67">
        <f ca="1">SUMIF('Res Normalized Monthly'!$B$2:$B$144,B6,'Res Normalized Monthly'!C$2:C$144)</f>
        <v>656956762.92997289</v>
      </c>
      <c r="F6" s="65"/>
      <c r="G6" s="65">
        <f ca="1">SUMIF('Res Normalized Monthly'!$B:$B,B6,'Res Normalized Monthly'!$T:$T)</f>
        <v>641777489.47117472</v>
      </c>
      <c r="H6" s="65">
        <f t="shared" ca="1" si="0"/>
        <v>9466437.9703478534</v>
      </c>
      <c r="I6" s="65">
        <f t="shared" ca="1" si="1"/>
        <v>632311051.50082684</v>
      </c>
      <c r="K6" s="42">
        <f t="shared" si="2"/>
        <v>2010</v>
      </c>
      <c r="L6" s="65">
        <f>SUMIF('Monthly Data'!$B:$B,K6,'Monthly Data'!G:G)</f>
        <v>223232845.52965501</v>
      </c>
      <c r="M6" s="65">
        <f ca="1">SUMIF('Monthly Data'!$B:$B,K6,'Monthly Data'!I:I)</f>
        <v>6912591.4427464642</v>
      </c>
      <c r="N6" s="65">
        <f ca="1">SUMIF('GS &lt; 50 Normalized Monthly'!$B:$B,K6,'GS &lt; 50 Normalized Monthly'!C:C)</f>
        <v>230145436.9724015</v>
      </c>
      <c r="O6" s="66"/>
      <c r="P6" s="65">
        <f ca="1">SUMIF('GS &lt; 50 Normalized Monthly'!$B:$B,K6,'GS &lt; 50 Normalized Monthly'!V:V)</f>
        <v>229865836.33833641</v>
      </c>
      <c r="Q6" s="65">
        <f t="shared" ca="1" si="3"/>
        <v>6912591.4427464642</v>
      </c>
      <c r="R6" s="65">
        <f t="shared" ca="1" si="4"/>
        <v>222953244.89558995</v>
      </c>
      <c r="T6" s="42">
        <f t="shared" si="5"/>
        <v>2010</v>
      </c>
      <c r="U6" s="65">
        <f>SUMIF('Monthly Data'!$B:$B,T6,'Monthly Data'!K:K)</f>
        <v>943095058.82937098</v>
      </c>
      <c r="V6" s="65">
        <f ca="1">SUMIF('Monthly Data'!$B:$B,T6,'Monthly Data'!N:N)</f>
        <v>6845739.41142279</v>
      </c>
      <c r="W6" s="65">
        <f ca="1">SUMIF('GS &gt; 50 Normalized Monthly'!$B:$B,T6,'GS &gt; 50 Normalized Monthly'!C:C)</f>
        <v>949940798.24079382</v>
      </c>
      <c r="X6" s="66"/>
      <c r="Y6" s="65">
        <f ca="1">SUMIF('GS &gt; 50 Normalized Monthly'!$B:$B,T6,'GS &gt; 50 Normalized Monthly'!AB:AB)</f>
        <v>942830931.56845808</v>
      </c>
      <c r="Z6" s="65"/>
      <c r="AA6" s="65">
        <f t="shared" ca="1" si="6"/>
        <v>6845739.41142279</v>
      </c>
      <c r="AB6" s="65">
        <f t="shared" ca="1" si="7"/>
        <v>935985192.15703523</v>
      </c>
      <c r="AC6" s="65"/>
      <c r="AD6" s="42">
        <f t="shared" si="8"/>
        <v>2010</v>
      </c>
      <c r="AE6" s="65">
        <f>SUMIF('Monthly Data'!$B:$B,AD6,'Monthly Data'!V:V)</f>
        <v>49071887.882886</v>
      </c>
      <c r="AF6" s="65">
        <f ca="1">SUMIF('Monthly Data'!$B:$B,AD6,'Monthly Data'!Y:Y)</f>
        <v>0</v>
      </c>
      <c r="AG6" s="65">
        <f ca="1">SUMIF('Intermediate Normalized Monthly'!$B:$B,AD6,'Intermediate Normalized Monthly'!C:C)</f>
        <v>49071887.882886</v>
      </c>
      <c r="AH6" s="66"/>
      <c r="AI6" s="65">
        <f>SUMIF('Intermediate Normalized Monthly'!$B:$B,AD6,'Intermediate Normalized Monthly'!R:R)</f>
        <v>49300183.460214451</v>
      </c>
      <c r="AJ6" s="65">
        <f t="shared" ca="1" si="9"/>
        <v>0</v>
      </c>
      <c r="AK6" s="65">
        <f t="shared" ca="1" si="10"/>
        <v>49300183.460214451</v>
      </c>
      <c r="AM6" s="42">
        <f t="shared" si="11"/>
        <v>2010</v>
      </c>
      <c r="AN6" s="65">
        <f>SUMIF('Monthly Data'!$B:$B,AM6,'Monthly Data'!AA:AA)</f>
        <v>295089951.25607103</v>
      </c>
      <c r="AO6" s="65">
        <f ca="1">SUMIF('Monthly Data'!$B:$B,AM6,'Monthly Data'!AD:AD)</f>
        <v>0</v>
      </c>
      <c r="AP6" s="65">
        <f ca="1">SUMIF('Large Use Normalized Monthly'!$B:$B,AM6,'Large Use Normalized Monthly'!C:C)</f>
        <v>295089951.25607103</v>
      </c>
      <c r="AQ6" s="66"/>
      <c r="AR6" s="65">
        <f ca="1">SUMIF('Large Use Normalized Monthly'!$B:$B,AM6,'Large Use Normalized Monthly'!R:R)</f>
        <v>295810980.59895909</v>
      </c>
      <c r="AS6" s="65"/>
      <c r="AT6" s="65">
        <f t="shared" ca="1" si="12"/>
        <v>0</v>
      </c>
      <c r="AU6" s="65"/>
      <c r="AV6" s="65">
        <f t="shared" ca="1" si="13"/>
        <v>295810980.59895909</v>
      </c>
      <c r="AX6" s="42">
        <f t="shared" si="14"/>
        <v>2010</v>
      </c>
      <c r="AY6" s="65">
        <f ca="1">SUMIF('Monthly Data'!$B:$B,AX6,'Monthly Data'!AJ:AJ)-AZ6</f>
        <v>287197655.7575056</v>
      </c>
      <c r="AZ6" s="65">
        <f ca="1">SUMIF('Monthly Data'!$B:$B,AX6,'Monthly Data'!AI:AI)</f>
        <v>0</v>
      </c>
      <c r="BA6" s="65">
        <f ca="1">SUMIF('Monthly Data'!$B:$B,AX6,'Monthly Data'!AJ:AJ)</f>
        <v>287197655.7575056</v>
      </c>
      <c r="BB6" s="66"/>
      <c r="BC6" s="65">
        <f t="shared" ref="BC6:BC16" ca="1" si="30">BC5</f>
        <v>276090122.32992023</v>
      </c>
      <c r="BD6" s="65">
        <f t="shared" ca="1" si="15"/>
        <v>0</v>
      </c>
      <c r="BE6" s="65">
        <f t="shared" ca="1" si="16"/>
        <v>276090122.32992023</v>
      </c>
      <c r="BG6" s="42">
        <f t="shared" si="17"/>
        <v>2010</v>
      </c>
      <c r="BH6" s="65">
        <f>SUMIF('Monthly Data'!$B:$B,BG6,'Monthly Data'!AS:AS)</f>
        <v>54756020.297367997</v>
      </c>
      <c r="BI6" s="65">
        <f ca="1">SUMIF('Monthly Data'!$B:$B,BG6,'Monthly Data'!AV:AV)</f>
        <v>0</v>
      </c>
      <c r="BJ6" s="65">
        <f t="shared" ca="1" si="18"/>
        <v>54756020.297367997</v>
      </c>
      <c r="BK6" s="66"/>
      <c r="BL6" s="65">
        <f t="shared" ref="BL6:BL16" ca="1" si="31">TREND($BJ$5:$BJ$14,$BG$5:$BG$14,BG6)</f>
        <v>49055862.76325798</v>
      </c>
      <c r="BM6" s="65">
        <f t="shared" ca="1" si="19"/>
        <v>0</v>
      </c>
      <c r="BN6" s="65">
        <f t="shared" ca="1" si="20"/>
        <v>49055862.76325798</v>
      </c>
      <c r="BO6" s="65"/>
      <c r="BP6" s="42">
        <f t="shared" si="21"/>
        <v>2010</v>
      </c>
      <c r="BQ6" s="67">
        <f>SUMIF('Monthly Data'!$B:$B,BP6,'Monthly Data'!AX:AX)</f>
        <v>16997068.557570998</v>
      </c>
      <c r="BR6" s="67">
        <f>'Connection count '!AE5</f>
        <v>23436.25</v>
      </c>
      <c r="BS6" s="67">
        <f t="shared" si="22"/>
        <v>725.24693829307148</v>
      </c>
      <c r="BT6" s="68"/>
      <c r="BU6" s="61"/>
      <c r="BV6" s="61">
        <f t="shared" si="23"/>
        <v>2010</v>
      </c>
      <c r="BW6" s="67">
        <f>SUMIF('Monthly Data'!$B:$B,BV6,'Monthly Data'!BC:BC)</f>
        <v>953516.90303800011</v>
      </c>
      <c r="BX6" s="67">
        <f>'Connection count '!AI5</f>
        <v>666.5</v>
      </c>
      <c r="BY6" s="67">
        <f t="shared" si="24"/>
        <v>1430.6330128102027</v>
      </c>
      <c r="BZ6" s="67">
        <f t="shared" si="25"/>
        <v>953516.90303800011</v>
      </c>
      <c r="CA6" s="68"/>
      <c r="CB6" s="61">
        <f t="shared" si="26"/>
        <v>2010</v>
      </c>
      <c r="CC6" s="67">
        <f>SUMIF('Monthly Data'!$B:$B,CB6,'Monthly Data'!BF:BF)</f>
        <v>3980559.6164759998</v>
      </c>
      <c r="CD6" s="67">
        <f>'Connection count '!AM5</f>
        <v>769.75</v>
      </c>
      <c r="CE6" s="67">
        <f t="shared" si="27"/>
        <v>5171.2369165001619</v>
      </c>
      <c r="CF6" s="67">
        <f t="shared" si="28"/>
        <v>3980559.6164759998</v>
      </c>
    </row>
    <row r="7" spans="1:84">
      <c r="B7" s="42">
        <f t="shared" si="29"/>
        <v>2011</v>
      </c>
      <c r="C7" s="65">
        <f>SUMIF('Monthly Data'!$B:$B,B7,'Monthly Data'!C:C)</f>
        <v>636991610.62298107</v>
      </c>
      <c r="D7" s="65">
        <f ca="1">SUMIF('Monthly Data'!$B:$B,B7,'Monthly Data'!E:E)</f>
        <v>11272332.848857639</v>
      </c>
      <c r="E7" s="67">
        <f ca="1">SUMIF('Res Normalized Monthly'!$B$2:$B$144,B7,'Res Normalized Monthly'!C$2:C$144)</f>
        <v>648263943.47183859</v>
      </c>
      <c r="F7" s="65"/>
      <c r="G7" s="65">
        <f ca="1">SUMIF('Res Normalized Monthly'!$B:$B,B7,'Res Normalized Monthly'!$T:$T)</f>
        <v>639942038.88455057</v>
      </c>
      <c r="H7" s="65">
        <f t="shared" ca="1" si="0"/>
        <v>11272332.848857639</v>
      </c>
      <c r="I7" s="65">
        <f t="shared" ca="1" si="1"/>
        <v>628669706.03569293</v>
      </c>
      <c r="K7" s="42">
        <f t="shared" si="2"/>
        <v>2011</v>
      </c>
      <c r="L7" s="65">
        <f>SUMIF('Monthly Data'!$B:$B,K7,'Monthly Data'!G:G)</f>
        <v>218915071.69101101</v>
      </c>
      <c r="M7" s="65">
        <f ca="1">SUMIF('Monthly Data'!$B:$B,K7,'Monthly Data'!I:I)</f>
        <v>9242550.5800662991</v>
      </c>
      <c r="N7" s="65">
        <f ca="1">SUMIF('GS &lt; 50 Normalized Monthly'!$B:$B,K7,'GS &lt; 50 Normalized Monthly'!C:C)</f>
        <v>228157622.27107728</v>
      </c>
      <c r="O7" s="66"/>
      <c r="P7" s="65">
        <f ca="1">SUMIF('GS &lt; 50 Normalized Monthly'!$B:$B,K7,'GS &lt; 50 Normalized Monthly'!V:V)</f>
        <v>226906705.97905493</v>
      </c>
      <c r="Q7" s="65">
        <f t="shared" ca="1" si="3"/>
        <v>9242550.5800662991</v>
      </c>
      <c r="R7" s="65">
        <f t="shared" ca="1" si="4"/>
        <v>217664155.39898863</v>
      </c>
      <c r="T7" s="42">
        <f t="shared" si="5"/>
        <v>2011</v>
      </c>
      <c r="U7" s="65">
        <f>SUMIF('Monthly Data'!$B:$B,T7,'Monthly Data'!K:K)</f>
        <v>949533128.04511392</v>
      </c>
      <c r="V7" s="65">
        <f ca="1">SUMIF('Monthly Data'!$B:$B,T7,'Monthly Data'!N:N)</f>
        <v>8227293.3484753771</v>
      </c>
      <c r="W7" s="65">
        <f ca="1">SUMIF('GS &gt; 50 Normalized Monthly'!$B:$B,T7,'GS &gt; 50 Normalized Monthly'!C:C)</f>
        <v>954716376.40186357</v>
      </c>
      <c r="X7" s="66"/>
      <c r="Y7" s="65">
        <f ca="1">SUMIF('GS &gt; 50 Normalized Monthly'!$B:$B,T7,'GS &gt; 50 Normalized Monthly'!AB:AB)</f>
        <v>951430038.69061065</v>
      </c>
      <c r="Z7" s="65"/>
      <c r="AA7" s="65">
        <f t="shared" ca="1" si="6"/>
        <v>8227293.3484753771</v>
      </c>
      <c r="AB7" s="65">
        <f t="shared" ca="1" si="7"/>
        <v>943202745.34213531</v>
      </c>
      <c r="AC7" s="65"/>
      <c r="AD7" s="42">
        <f t="shared" si="8"/>
        <v>2011</v>
      </c>
      <c r="AE7" s="65">
        <f>SUMIF('Monthly Data'!$B:$B,AD7,'Monthly Data'!V:V)</f>
        <v>48794571.150462002</v>
      </c>
      <c r="AF7" s="65">
        <f ca="1">SUMIF('Monthly Data'!$B:$B,AD7,'Monthly Data'!Y:Y)</f>
        <v>0</v>
      </c>
      <c r="AG7" s="65">
        <f ca="1">SUMIF('Intermediate Normalized Monthly'!$B:$B,AD7,'Intermediate Normalized Monthly'!C:C)</f>
        <v>48794571.150462002</v>
      </c>
      <c r="AH7" s="66"/>
      <c r="AI7" s="65">
        <f>SUMIF('Intermediate Normalized Monthly'!$B:$B,AD7,'Intermediate Normalized Monthly'!R:R)</f>
        <v>48471244.822661653</v>
      </c>
      <c r="AJ7" s="65">
        <f t="shared" ca="1" si="9"/>
        <v>0</v>
      </c>
      <c r="AK7" s="65">
        <f t="shared" ca="1" si="10"/>
        <v>48471244.822661653</v>
      </c>
      <c r="AM7" s="42">
        <f t="shared" si="11"/>
        <v>2011</v>
      </c>
      <c r="AN7" s="65">
        <f>SUMIF('Monthly Data'!$B:$B,AM7,'Monthly Data'!AA:AA)</f>
        <v>320621511.326684</v>
      </c>
      <c r="AO7" s="65">
        <f ca="1">SUMIF('Monthly Data'!$B:$B,AM7,'Monthly Data'!AD:AD)</f>
        <v>593780.2212453949</v>
      </c>
      <c r="AP7" s="65">
        <f ca="1">SUMIF('Large Use Normalized Monthly'!$B:$B,AM7,'Large Use Normalized Monthly'!C:C)</f>
        <v>321215291.54792941</v>
      </c>
      <c r="AQ7" s="66"/>
      <c r="AR7" s="65">
        <f ca="1">SUMIF('Large Use Normalized Monthly'!$B:$B,AM7,'Large Use Normalized Monthly'!R:R)</f>
        <v>300936016.67702943</v>
      </c>
      <c r="AS7" s="65"/>
      <c r="AT7" s="65">
        <f t="shared" ca="1" si="12"/>
        <v>593780.2212453949</v>
      </c>
      <c r="AU7" s="65"/>
      <c r="AV7" s="65">
        <f t="shared" ca="1" si="13"/>
        <v>300342236.45578402</v>
      </c>
      <c r="AX7" s="42">
        <f t="shared" si="14"/>
        <v>2011</v>
      </c>
      <c r="AY7" s="65">
        <f ca="1">SUMIF('Monthly Data'!$B:$B,AX7,'Monthly Data'!AJ:AJ)-AZ7</f>
        <v>265542337.9138996</v>
      </c>
      <c r="AZ7" s="65">
        <f ca="1">SUMIF('Monthly Data'!$B:$B,AX7,'Monthly Data'!AI:AI)</f>
        <v>0</v>
      </c>
      <c r="BA7" s="65">
        <f ca="1">SUMIF('Monthly Data'!$B:$B,AX7,'Monthly Data'!AJ:AJ)</f>
        <v>265542337.9138996</v>
      </c>
      <c r="BB7" s="66"/>
      <c r="BC7" s="65">
        <f t="shared" ca="1" si="30"/>
        <v>276090122.32992023</v>
      </c>
      <c r="BD7" s="65">
        <f t="shared" ca="1" si="15"/>
        <v>0</v>
      </c>
      <c r="BE7" s="65">
        <f t="shared" ca="1" si="16"/>
        <v>276090122.32992023</v>
      </c>
      <c r="BG7" s="42">
        <f t="shared" si="17"/>
        <v>2011</v>
      </c>
      <c r="BH7" s="65">
        <f>SUMIF('Monthly Data'!$B:$B,BG7,'Monthly Data'!AS:AS)</f>
        <v>41936988.305069</v>
      </c>
      <c r="BI7" s="65">
        <f ca="1">SUMIF('Monthly Data'!$B:$B,BG7,'Monthly Data'!AV:AV)</f>
        <v>0</v>
      </c>
      <c r="BJ7" s="65">
        <f t="shared" ca="1" si="18"/>
        <v>41936988.305069</v>
      </c>
      <c r="BK7" s="66"/>
      <c r="BL7" s="65">
        <f t="shared" ca="1" si="31"/>
        <v>48416778.399242401</v>
      </c>
      <c r="BM7" s="65">
        <f t="shared" ca="1" si="19"/>
        <v>0</v>
      </c>
      <c r="BN7" s="65">
        <f t="shared" ca="1" si="20"/>
        <v>48416778.399242401</v>
      </c>
      <c r="BO7" s="65"/>
      <c r="BP7" s="42">
        <f t="shared" si="21"/>
        <v>2011</v>
      </c>
      <c r="BQ7" s="67">
        <f>SUMIF('Monthly Data'!$B:$B,BP7,'Monthly Data'!AX:AX)</f>
        <v>17061700.853792001</v>
      </c>
      <c r="BR7" s="67">
        <f>'Connection count '!AE6</f>
        <v>23411</v>
      </c>
      <c r="BS7" s="67">
        <f t="shared" si="22"/>
        <v>728.78992156644313</v>
      </c>
      <c r="BT7" s="68"/>
      <c r="BU7" s="61"/>
      <c r="BV7" s="61">
        <f t="shared" si="23"/>
        <v>2011</v>
      </c>
      <c r="BW7" s="67">
        <f>SUMIF('Monthly Data'!$B:$B,BV7,'Monthly Data'!BC:BC)</f>
        <v>908472.8439770001</v>
      </c>
      <c r="BX7" s="67">
        <f>'Connection count '!AI6</f>
        <v>662</v>
      </c>
      <c r="BY7" s="67">
        <f t="shared" si="24"/>
        <v>1372.3154742854986</v>
      </c>
      <c r="BZ7" s="67">
        <f t="shared" si="25"/>
        <v>908472.8439770001</v>
      </c>
      <c r="CA7" s="68"/>
      <c r="CB7" s="61">
        <f t="shared" si="26"/>
        <v>2011</v>
      </c>
      <c r="CC7" s="67">
        <f>SUMIF('Monthly Data'!$B:$B,CB7,'Monthly Data'!BF:BF)</f>
        <v>3657260.1133329999</v>
      </c>
      <c r="CD7" s="67">
        <f>'Connection count '!AM6</f>
        <v>792.75</v>
      </c>
      <c r="CE7" s="67">
        <f t="shared" si="27"/>
        <v>4613.3839335641751</v>
      </c>
      <c r="CF7" s="67">
        <f t="shared" si="28"/>
        <v>3657260.1133329999</v>
      </c>
    </row>
    <row r="8" spans="1:84" s="69" customFormat="1">
      <c r="B8" s="42">
        <f t="shared" si="29"/>
        <v>2012</v>
      </c>
      <c r="C8" s="65">
        <f>SUMIF('Monthly Data'!$B:$B,B8,'Monthly Data'!C:C)</f>
        <v>631309635.844643</v>
      </c>
      <c r="D8" s="65">
        <f ca="1">SUMIF('Monthly Data'!$B:$B,B8,'Monthly Data'!E:E)</f>
        <v>12864635.435795741</v>
      </c>
      <c r="E8" s="67">
        <f ca="1">SUMIF('Res Normalized Monthly'!$B$2:$B$144,B8,'Res Normalized Monthly'!C$2:C$144)</f>
        <v>644174271.28043866</v>
      </c>
      <c r="F8" s="65"/>
      <c r="G8" s="65">
        <f ca="1">SUMIF('Res Normalized Monthly'!$B:$B,B8,'Res Normalized Monthly'!$T:$T)</f>
        <v>639908521.64216852</v>
      </c>
      <c r="H8" s="65">
        <f t="shared" ca="1" si="0"/>
        <v>12864635.435795741</v>
      </c>
      <c r="I8" s="65">
        <f t="shared" ca="1" si="1"/>
        <v>627043886.20637274</v>
      </c>
      <c r="K8" s="42">
        <f t="shared" si="2"/>
        <v>2012</v>
      </c>
      <c r="L8" s="65">
        <f>SUMIF('Monthly Data'!$B:$B,K8,'Monthly Data'!G:G)</f>
        <v>216236228.69367602</v>
      </c>
      <c r="M8" s="65">
        <f ca="1">SUMIF('Monthly Data'!$B:$B,K8,'Monthly Data'!I:I)</f>
        <v>10824912.927849324</v>
      </c>
      <c r="N8" s="65">
        <f ca="1">SUMIF('GS &lt; 50 Normalized Monthly'!$B:$B,K8,'GS &lt; 50 Normalized Monthly'!C:C)</f>
        <v>227061141.62152532</v>
      </c>
      <c r="O8" s="70"/>
      <c r="P8" s="65">
        <f ca="1">SUMIF('GS &lt; 50 Normalized Monthly'!$B:$B,K8,'GS &lt; 50 Normalized Monthly'!V:V)</f>
        <v>226961448.10340294</v>
      </c>
      <c r="Q8" s="65">
        <f t="shared" ca="1" si="3"/>
        <v>10824912.927849324</v>
      </c>
      <c r="R8" s="65">
        <f t="shared" ca="1" si="4"/>
        <v>216136535.17555362</v>
      </c>
      <c r="T8" s="42">
        <f t="shared" si="5"/>
        <v>2012</v>
      </c>
      <c r="U8" s="65">
        <f>SUMIF('Monthly Data'!$B:$B,T8,'Monthly Data'!K:K)</f>
        <v>941638530.06494999</v>
      </c>
      <c r="V8" s="65">
        <f ca="1">SUMIF('Monthly Data'!$B:$B,T8,'Monthly Data'!N:N)</f>
        <v>12792018.920942092</v>
      </c>
      <c r="W8" s="65">
        <f ca="1">SUMIF('GS &gt; 50 Normalized Monthly'!$B:$B,T8,'GS &gt; 50 Normalized Monthly'!C:C)</f>
        <v>947601280.21338153</v>
      </c>
      <c r="X8" s="70"/>
      <c r="Y8" s="65">
        <f ca="1">SUMIF('GS &gt; 50 Normalized Monthly'!$B:$B,T8,'GS &gt; 50 Normalized Monthly'!AB:AB)</f>
        <v>958330448.95349467</v>
      </c>
      <c r="Z8" s="65"/>
      <c r="AA8" s="65">
        <f t="shared" ca="1" si="6"/>
        <v>12792018.920942092</v>
      </c>
      <c r="AB8" s="65">
        <f t="shared" ca="1" si="7"/>
        <v>945538430.0325526</v>
      </c>
      <c r="AC8" s="65"/>
      <c r="AD8" s="42">
        <f t="shared" si="8"/>
        <v>2012</v>
      </c>
      <c r="AE8" s="65">
        <f>SUMIF('Monthly Data'!$B:$B,AD8,'Monthly Data'!V:V)</f>
        <v>45768539.737902999</v>
      </c>
      <c r="AF8" s="65">
        <f ca="1">SUMIF('Monthly Data'!$B:$B,AD8,'Monthly Data'!Y:Y)</f>
        <v>28064.582636199</v>
      </c>
      <c r="AG8" s="65">
        <f ca="1">SUMIF('Intermediate Normalized Monthly'!$B:$B,AD8,'Intermediate Normalized Monthly'!C:C)</f>
        <v>45796604.320539199</v>
      </c>
      <c r="AH8" s="70"/>
      <c r="AI8" s="65">
        <f>SUMIF('Intermediate Normalized Monthly'!$B:$B,AD8,'Intermediate Normalized Monthly'!R:R)</f>
        <v>47790598.706022672</v>
      </c>
      <c r="AJ8" s="65">
        <f t="shared" ca="1" si="9"/>
        <v>28064.582636199</v>
      </c>
      <c r="AK8" s="65">
        <f t="shared" ca="1" si="10"/>
        <v>47762534.123386472</v>
      </c>
      <c r="AM8" s="42">
        <f t="shared" si="11"/>
        <v>2012</v>
      </c>
      <c r="AN8" s="65">
        <f>SUMIF('Monthly Data'!$B:$B,AM8,'Monthly Data'!AA:AA)</f>
        <v>304746367.45815498</v>
      </c>
      <c r="AO8" s="65">
        <f ca="1">SUMIF('Monthly Data'!$B:$B,AM8,'Monthly Data'!AD:AD)</f>
        <v>2605829.9883885211</v>
      </c>
      <c r="AP8" s="65">
        <f ca="1">SUMIF('Large Use Normalized Monthly'!$B:$B,AM8,'Large Use Normalized Monthly'!C:C)</f>
        <v>307352197.44654351</v>
      </c>
      <c r="AQ8" s="70"/>
      <c r="AR8" s="65">
        <f ca="1">SUMIF('Large Use Normalized Monthly'!$B:$B,AM8,'Large Use Normalized Monthly'!R:R)</f>
        <v>303518824.30184162</v>
      </c>
      <c r="AS8" s="65"/>
      <c r="AT8" s="65">
        <f t="shared" ca="1" si="12"/>
        <v>2605829.9883885211</v>
      </c>
      <c r="AU8" s="65"/>
      <c r="AV8" s="65">
        <f t="shared" ca="1" si="13"/>
        <v>300912994.31345308</v>
      </c>
      <c r="AX8" s="42">
        <f t="shared" si="14"/>
        <v>2012</v>
      </c>
      <c r="AY8" s="65">
        <f ca="1">SUMIF('Monthly Data'!$B:$B,AX8,'Monthly Data'!AJ:AJ)-AZ8</f>
        <v>280858035.097938</v>
      </c>
      <c r="AZ8" s="65">
        <f ca="1">SUMIF('Monthly Data'!$B:$B,AX8,'Monthly Data'!AI:AI)</f>
        <v>3232821.7271581362</v>
      </c>
      <c r="BA8" s="65">
        <f ca="1">SUMIF('Monthly Data'!$B:$B,AX8,'Monthly Data'!AJ:AJ)</f>
        <v>284090856.82509613</v>
      </c>
      <c r="BB8" s="70"/>
      <c r="BC8" s="65">
        <f t="shared" ca="1" si="30"/>
        <v>276090122.32992023</v>
      </c>
      <c r="BD8" s="65">
        <f t="shared" ca="1" si="15"/>
        <v>3232821.7271581362</v>
      </c>
      <c r="BE8" s="65">
        <f t="shared" ca="1" si="16"/>
        <v>272857300.6027621</v>
      </c>
      <c r="BG8" s="42">
        <f t="shared" si="17"/>
        <v>2012</v>
      </c>
      <c r="BH8" s="65">
        <f>SUMIF('Monthly Data'!$B:$B,BG8,'Monthly Data'!AS:AS)</f>
        <v>45336838.931562997</v>
      </c>
      <c r="BI8" s="65">
        <f ca="1">SUMIF('Monthly Data'!$B:$B,BG8,'Monthly Data'!AV:AV)</f>
        <v>27493.911545233146</v>
      </c>
      <c r="BJ8" s="65">
        <f t="shared" ca="1" si="18"/>
        <v>45364332.843108229</v>
      </c>
      <c r="BK8" s="70"/>
      <c r="BL8" s="65">
        <f t="shared" ca="1" si="31"/>
        <v>47777694.035226583</v>
      </c>
      <c r="BM8" s="65">
        <f t="shared" ca="1" si="19"/>
        <v>27493.911545233146</v>
      </c>
      <c r="BN8" s="65">
        <f t="shared" ca="1" si="20"/>
        <v>47750200.123681352</v>
      </c>
      <c r="BO8" s="65"/>
      <c r="BP8" s="42">
        <f t="shared" si="21"/>
        <v>2012</v>
      </c>
      <c r="BQ8" s="67">
        <f>SUMIF('Monthly Data'!$B:$B,BP8,'Monthly Data'!AX:AX)</f>
        <v>17377866.278999001</v>
      </c>
      <c r="BR8" s="67">
        <f>'Connection count '!AE7</f>
        <v>23358</v>
      </c>
      <c r="BS8" s="67">
        <f t="shared" si="22"/>
        <v>743.97920536856759</v>
      </c>
      <c r="BT8" s="71"/>
      <c r="BU8" s="61"/>
      <c r="BV8" s="61">
        <f t="shared" ref="BV8:BV15" si="32">BP8</f>
        <v>2012</v>
      </c>
      <c r="BW8" s="67">
        <f>SUMIF('Monthly Data'!$B:$B,BV8,'Monthly Data'!BC:BC)</f>
        <v>908923.37890999997</v>
      </c>
      <c r="BX8" s="67">
        <f>'Connection count '!AI7</f>
        <v>660.5</v>
      </c>
      <c r="BY8" s="67">
        <f t="shared" si="24"/>
        <v>1376.1141240121119</v>
      </c>
      <c r="BZ8" s="67">
        <f t="shared" si="25"/>
        <v>908923.37890999997</v>
      </c>
      <c r="CA8" s="71"/>
      <c r="CB8" s="61">
        <f t="shared" si="26"/>
        <v>2012</v>
      </c>
      <c r="CC8" s="67">
        <f>SUMIF('Monthly Data'!$B:$B,CB8,'Monthly Data'!BF:BF)</f>
        <v>3485917.9890729999</v>
      </c>
      <c r="CD8" s="67">
        <f>'Connection count '!AM7</f>
        <v>794</v>
      </c>
      <c r="CE8" s="67">
        <f t="shared" si="27"/>
        <v>4390.3249232657427</v>
      </c>
      <c r="CF8" s="67">
        <f t="shared" si="28"/>
        <v>3485917.9890729995</v>
      </c>
    </row>
    <row r="9" spans="1:84" s="69" customFormat="1">
      <c r="B9" s="42">
        <f t="shared" si="29"/>
        <v>2013</v>
      </c>
      <c r="C9" s="65">
        <f>SUMIF('Monthly Data'!$B:$B,B9,'Monthly Data'!C:C)</f>
        <v>617011740.79367626</v>
      </c>
      <c r="D9" s="65">
        <f ca="1">SUMIF('Monthly Data'!$B:$B,B9,'Monthly Data'!E:E)</f>
        <v>15101481.340567015</v>
      </c>
      <c r="E9" s="67">
        <f ca="1">SUMIF('Res Normalized Monthly'!$B$2:$B$144,B9,'Res Normalized Monthly'!C$2:C$144)</f>
        <v>632113222.13424337</v>
      </c>
      <c r="F9" s="65"/>
      <c r="G9" s="65">
        <f ca="1">SUMIF('Res Normalized Monthly'!$B:$B,B9,'Res Normalized Monthly'!$T:$T)</f>
        <v>636271137.71130228</v>
      </c>
      <c r="H9" s="65">
        <f t="shared" ca="1" si="0"/>
        <v>15101481.340567015</v>
      </c>
      <c r="I9" s="65">
        <f t="shared" ca="1" si="1"/>
        <v>621169656.37073529</v>
      </c>
      <c r="K9" s="42">
        <f t="shared" si="2"/>
        <v>2013</v>
      </c>
      <c r="L9" s="65">
        <f>SUMIF('Monthly Data'!$B:$B,K9,'Monthly Data'!G:G)</f>
        <v>217023476.48367095</v>
      </c>
      <c r="M9" s="65">
        <f ca="1">SUMIF('Monthly Data'!$B:$B,K9,'Monthly Data'!I:I)</f>
        <v>11711624.383561887</v>
      </c>
      <c r="N9" s="65">
        <f ca="1">SUMIF('GS &lt; 50 Normalized Monthly'!$B:$B,K9,'GS &lt; 50 Normalized Monthly'!C:C)</f>
        <v>228735100.86723283</v>
      </c>
      <c r="O9" s="70"/>
      <c r="P9" s="65">
        <f ca="1">SUMIF('GS &lt; 50 Normalized Monthly'!$B:$B,K9,'GS &lt; 50 Normalized Monthly'!V:V)</f>
        <v>224374181.36288679</v>
      </c>
      <c r="Q9" s="65">
        <f t="shared" ca="1" si="3"/>
        <v>11711624.383561887</v>
      </c>
      <c r="R9" s="65">
        <f t="shared" ca="1" si="4"/>
        <v>212662556.97932491</v>
      </c>
      <c r="T9" s="42">
        <f t="shared" si="5"/>
        <v>2013</v>
      </c>
      <c r="U9" s="65">
        <f>SUMIF('Monthly Data'!$B:$B,T9,'Monthly Data'!K:K)</f>
        <v>948224332.78106129</v>
      </c>
      <c r="V9" s="65">
        <f ca="1">SUMIF('Monthly Data'!$B:$B,T9,'Monthly Data'!N:N)</f>
        <v>20212082.105938684</v>
      </c>
      <c r="W9" s="65">
        <f ca="1">SUMIF('GS &gt; 50 Normalized Monthly'!$B:$B,T9,'GS &gt; 50 Normalized Monthly'!C:C)</f>
        <v>960846806.29165292</v>
      </c>
      <c r="X9" s="70"/>
      <c r="Y9" s="65">
        <f ca="1">SUMIF('GS &gt; 50 Normalized Monthly'!$B:$B,T9,'GS &gt; 50 Normalized Monthly'!AB:AB)</f>
        <v>962313880.52914119</v>
      </c>
      <c r="Z9" s="65"/>
      <c r="AA9" s="65">
        <f t="shared" ca="1" si="6"/>
        <v>20212082.105938684</v>
      </c>
      <c r="AB9" s="65">
        <f t="shared" ca="1" si="7"/>
        <v>942101798.42320251</v>
      </c>
      <c r="AC9" s="65"/>
      <c r="AD9" s="42">
        <f t="shared" si="8"/>
        <v>2013</v>
      </c>
      <c r="AE9" s="65">
        <f>SUMIF('Monthly Data'!$B:$B,AD9,'Monthly Data'!V:V)</f>
        <v>45666584.426196001</v>
      </c>
      <c r="AF9" s="65">
        <f ca="1">SUMIF('Monthly Data'!$B:$B,AD9,'Monthly Data'!Y:Y)</f>
        <v>63564.250358752011</v>
      </c>
      <c r="AG9" s="65">
        <f ca="1">SUMIF('Intermediate Normalized Monthly'!$B:$B,AD9,'Intermediate Normalized Monthly'!C:C)</f>
        <v>45730148.676554747</v>
      </c>
      <c r="AH9" s="70"/>
      <c r="AI9" s="65">
        <f>SUMIF('Intermediate Normalized Monthly'!$B:$B,AD9,'Intermediate Normalized Monthly'!R:R)</f>
        <v>46813367.547556072</v>
      </c>
      <c r="AJ9" s="65">
        <f t="shared" ca="1" si="9"/>
        <v>63564.250358752011</v>
      </c>
      <c r="AK9" s="65">
        <f t="shared" ca="1" si="10"/>
        <v>46749803.29719732</v>
      </c>
      <c r="AM9" s="42">
        <f t="shared" si="11"/>
        <v>2013</v>
      </c>
      <c r="AN9" s="65">
        <f>SUMIF('Monthly Data'!$B:$B,AM9,'Monthly Data'!AA:AA)</f>
        <v>295185913.80554301</v>
      </c>
      <c r="AO9" s="65">
        <f ca="1">SUMIF('Monthly Data'!$B:$B,AM9,'Monthly Data'!AD:AD)</f>
        <v>6090078.338263412</v>
      </c>
      <c r="AP9" s="65">
        <f ca="1">SUMIF('Large Use Normalized Monthly'!$B:$B,AM9,'Large Use Normalized Monthly'!C:C)</f>
        <v>301275992.14380634</v>
      </c>
      <c r="AQ9" s="70"/>
      <c r="AR9" s="65">
        <f ca="1">SUMIF('Large Use Normalized Monthly'!$B:$B,AM9,'Large Use Normalized Monthly'!R:R)</f>
        <v>307675080.71356863</v>
      </c>
      <c r="AS9" s="65"/>
      <c r="AT9" s="65">
        <f t="shared" ca="1" si="12"/>
        <v>6090078.338263412</v>
      </c>
      <c r="AU9" s="65"/>
      <c r="AV9" s="65">
        <f t="shared" ca="1" si="13"/>
        <v>301585002.37530524</v>
      </c>
      <c r="AX9" s="42">
        <f t="shared" si="14"/>
        <v>2013</v>
      </c>
      <c r="AY9" s="65">
        <f ca="1">SUMIF('Monthly Data'!$B:$B,AX9,'Monthly Data'!AJ:AJ)-AZ9</f>
        <v>265541554.24181503</v>
      </c>
      <c r="AZ9" s="65">
        <f ca="1">SUMIF('Monthly Data'!$B:$B,AX9,'Monthly Data'!AI:AI)</f>
        <v>9075528.6572482064</v>
      </c>
      <c r="BA9" s="65">
        <f ca="1">SUMIF('Monthly Data'!$B:$B,AX9,'Monthly Data'!AJ:AJ)</f>
        <v>274617082.89906323</v>
      </c>
      <c r="BB9" s="70"/>
      <c r="BC9" s="65">
        <f t="shared" ca="1" si="30"/>
        <v>276090122.32992023</v>
      </c>
      <c r="BD9" s="65">
        <f t="shared" ca="1" si="15"/>
        <v>9075528.6572482064</v>
      </c>
      <c r="BE9" s="65">
        <f t="shared" ca="1" si="16"/>
        <v>267014593.67267203</v>
      </c>
      <c r="BG9" s="42">
        <f t="shared" si="17"/>
        <v>2013</v>
      </c>
      <c r="BH9" s="65">
        <f>SUMIF('Monthly Data'!$B:$B,BG9,'Monthly Data'!AS:AS)</f>
        <v>48126674.812411003</v>
      </c>
      <c r="BI9" s="65">
        <f ca="1">SUMIF('Monthly Data'!$B:$B,BG9,'Monthly Data'!AV:AV)</f>
        <v>54694.946895987603</v>
      </c>
      <c r="BJ9" s="65">
        <f t="shared" ca="1" si="18"/>
        <v>48181369.75930699</v>
      </c>
      <c r="BK9" s="70"/>
      <c r="BL9" s="65">
        <f t="shared" ca="1" si="31"/>
        <v>47138609.671211004</v>
      </c>
      <c r="BM9" s="65">
        <f t="shared" ca="1" si="19"/>
        <v>54694.946895987603</v>
      </c>
      <c r="BN9" s="65">
        <f t="shared" ca="1" si="20"/>
        <v>47083914.724315017</v>
      </c>
      <c r="BO9" s="65"/>
      <c r="BP9" s="42">
        <f t="shared" si="21"/>
        <v>2013</v>
      </c>
      <c r="BQ9" s="67">
        <f>SUMIF('Monthly Data'!$B:$B,BP9,'Monthly Data'!AX:AX)</f>
        <v>17283102.442827001</v>
      </c>
      <c r="BR9" s="67">
        <f>'Connection count '!AE8</f>
        <v>23385.5</v>
      </c>
      <c r="BS9" s="67">
        <f t="shared" ref="BS9:BS14" si="33">BQ9/BR9</f>
        <v>739.05208111124421</v>
      </c>
      <c r="BT9" s="72"/>
      <c r="BU9" s="61"/>
      <c r="BV9" s="61">
        <f t="shared" si="32"/>
        <v>2013</v>
      </c>
      <c r="BW9" s="67">
        <f>SUMIF('Monthly Data'!$B:$B,BV9,'Monthly Data'!BC:BC)</f>
        <v>887747.77032600006</v>
      </c>
      <c r="BX9" s="67">
        <f>'Connection count '!AI8</f>
        <v>641.25</v>
      </c>
      <c r="BY9" s="67">
        <f t="shared" si="24"/>
        <v>1384.4019810152047</v>
      </c>
      <c r="BZ9" s="67">
        <f t="shared" si="25"/>
        <v>887747.77032600006</v>
      </c>
      <c r="CA9" s="61"/>
      <c r="CB9" s="61">
        <f t="shared" si="26"/>
        <v>2013</v>
      </c>
      <c r="CC9" s="67">
        <f>SUMIF('Monthly Data'!$B:$B,CB9,'Monthly Data'!BF:BF)</f>
        <v>3254726.4492000006</v>
      </c>
      <c r="CD9" s="67">
        <f>'Connection count '!AM8</f>
        <v>789.5</v>
      </c>
      <c r="CE9" s="67">
        <f t="shared" si="27"/>
        <v>4122.5160851171631</v>
      </c>
      <c r="CF9" s="67">
        <f t="shared" si="28"/>
        <v>3254726.4492000001</v>
      </c>
    </row>
    <row r="10" spans="1:84" s="69" customFormat="1">
      <c r="B10" s="42">
        <f t="shared" si="29"/>
        <v>2014</v>
      </c>
      <c r="C10" s="65">
        <f>SUMIF('Monthly Data'!$B:$B,B10,'Monthly Data'!C:C)</f>
        <v>598157531.45016491</v>
      </c>
      <c r="D10" s="65">
        <f ca="1">SUMIF('Monthly Data'!$B:$B,B10,'Monthly Data'!E:E)</f>
        <v>17402895.305016827</v>
      </c>
      <c r="E10" s="67">
        <f ca="1">SUMIF('Res Normalized Monthly'!$B$2:$B$144,B10,'Res Normalized Monthly'!C$2:C$144)</f>
        <v>615560426.75518167</v>
      </c>
      <c r="F10" s="65"/>
      <c r="G10" s="65">
        <f ca="1">SUMIF('Res Normalized Monthly'!$B:$B,B10,'Res Normalized Monthly'!$T:$T)</f>
        <v>634435687.12467825</v>
      </c>
      <c r="H10" s="65">
        <f t="shared" ca="1" si="0"/>
        <v>17402895.305016827</v>
      </c>
      <c r="I10" s="65">
        <f t="shared" ca="1" si="1"/>
        <v>617032791.81966138</v>
      </c>
      <c r="K10" s="42">
        <f t="shared" si="2"/>
        <v>2014</v>
      </c>
      <c r="L10" s="65">
        <f>SUMIF('Monthly Data'!$B:$B,K10,'Monthly Data'!G:G)</f>
        <v>212401261.73789737</v>
      </c>
      <c r="M10" s="65">
        <f ca="1">SUMIF('Monthly Data'!$B:$B,K10,'Monthly Data'!I:I)</f>
        <v>12126168.622544304</v>
      </c>
      <c r="N10" s="65">
        <f ca="1">SUMIF('GS &lt; 50 Normalized Monthly'!$B:$B,K10,'GS &lt; 50 Normalized Monthly'!C:C)</f>
        <v>224527430.36044165</v>
      </c>
      <c r="O10" s="70"/>
      <c r="P10" s="65">
        <f ca="1">SUMIF('GS &lt; 50 Normalized Monthly'!$B:$B,K10,'GS &lt; 50 Normalized Monthly'!V:V)</f>
        <v>221697536.84528029</v>
      </c>
      <c r="Q10" s="65">
        <f t="shared" ca="1" si="3"/>
        <v>12126168.622544304</v>
      </c>
      <c r="R10" s="65">
        <f t="shared" ca="1" si="4"/>
        <v>209571368.222736</v>
      </c>
      <c r="T10" s="42">
        <f t="shared" si="5"/>
        <v>2014</v>
      </c>
      <c r="U10" s="65">
        <f>SUMIF('Monthly Data'!$B:$B,T10,'Monthly Data'!K:K)</f>
        <v>970184488.09365582</v>
      </c>
      <c r="V10" s="65">
        <f ca="1">SUMIF('Monthly Data'!$B:$B,T10,'Monthly Data'!N:N)</f>
        <v>29688916.712998506</v>
      </c>
      <c r="W10" s="65">
        <f ca="1">SUMIF('GS &gt; 50 Normalized Monthly'!$B:$B,T10,'GS &gt; 50 Normalized Monthly'!C:C)</f>
        <v>996483234.68108225</v>
      </c>
      <c r="X10" s="70"/>
      <c r="Y10" s="65">
        <f ca="1">SUMIF('GS &gt; 50 Normalized Monthly'!$B:$B,T10,'GS &gt; 50 Normalized Monthly'!AB:AB)</f>
        <v>972035739.19636047</v>
      </c>
      <c r="Z10" s="65"/>
      <c r="AA10" s="65">
        <f t="shared" ca="1" si="6"/>
        <v>29688916.712998506</v>
      </c>
      <c r="AB10" s="65">
        <f t="shared" ca="1" si="7"/>
        <v>942346822.48336196</v>
      </c>
      <c r="AC10" s="65"/>
      <c r="AD10" s="42">
        <f t="shared" si="8"/>
        <v>2014</v>
      </c>
      <c r="AE10" s="65">
        <f>SUMIF('Monthly Data'!$B:$B,AD10,'Monthly Data'!V:V)</f>
        <v>47519841.509630993</v>
      </c>
      <c r="AF10" s="65">
        <f ca="1">SUMIF('Monthly Data'!$B:$B,AD10,'Monthly Data'!Y:Y)</f>
        <v>77119.321237298413</v>
      </c>
      <c r="AG10" s="65">
        <f ca="1">SUMIF('Intermediate Normalized Monthly'!$B:$B,AD10,'Intermediate Normalized Monthly'!C:C)</f>
        <v>47596960.830868289</v>
      </c>
      <c r="AH10" s="70"/>
      <c r="AI10" s="65">
        <f>SUMIF('Intermediate Normalized Monthly'!$B:$B,AD10,'Intermediate Normalized Monthly'!R:R)</f>
        <v>45984428.910003282</v>
      </c>
      <c r="AJ10" s="65">
        <f t="shared" ca="1" si="9"/>
        <v>77119.321237298413</v>
      </c>
      <c r="AK10" s="65">
        <f t="shared" ca="1" si="10"/>
        <v>45907309.588765986</v>
      </c>
      <c r="AM10" s="42">
        <f t="shared" si="11"/>
        <v>2014</v>
      </c>
      <c r="AN10" s="65">
        <f>SUMIF('Monthly Data'!$B:$B,AM10,'Monthly Data'!AA:AA)</f>
        <v>304014292.368729</v>
      </c>
      <c r="AO10" s="65">
        <f ca="1">SUMIF('Monthly Data'!$B:$B,AM10,'Monthly Data'!AD:AD)</f>
        <v>8881058.9303986393</v>
      </c>
      <c r="AP10" s="65">
        <f ca="1">SUMIF('Large Use Normalized Monthly'!$B:$B,AM10,'Large Use Normalized Monthly'!C:C)</f>
        <v>312895351.29912758</v>
      </c>
      <c r="AQ10" s="70"/>
      <c r="AR10" s="65">
        <f ca="1">SUMIF('Large Use Normalized Monthly'!$B:$B,AM10,'Large Use Normalized Monthly'!R:R)</f>
        <v>310118758.82748491</v>
      </c>
      <c r="AS10" s="65"/>
      <c r="AT10" s="65">
        <f t="shared" ca="1" si="12"/>
        <v>8881058.9303986393</v>
      </c>
      <c r="AU10" s="65"/>
      <c r="AV10" s="65">
        <f t="shared" ca="1" si="13"/>
        <v>301237699.89708626</v>
      </c>
      <c r="AX10" s="42">
        <f t="shared" si="14"/>
        <v>2014</v>
      </c>
      <c r="AY10" s="65">
        <f ca="1">SUMIF('Monthly Data'!$B:$B,AX10,'Monthly Data'!AJ:AJ)-AZ10</f>
        <v>266219489.74002093</v>
      </c>
      <c r="AZ10" s="65">
        <f ca="1">SUMIF('Monthly Data'!$B:$B,AX10,'Monthly Data'!AI:AI)</f>
        <v>13403463.64678734</v>
      </c>
      <c r="BA10" s="65">
        <f ca="1">SUMIF('Monthly Data'!$B:$B,AX10,'Monthly Data'!AJ:AJ)</f>
        <v>279622953.38680828</v>
      </c>
      <c r="BB10" s="70"/>
      <c r="BC10" s="65">
        <f t="shared" ca="1" si="30"/>
        <v>276090122.32992023</v>
      </c>
      <c r="BD10" s="65">
        <f t="shared" ca="1" si="15"/>
        <v>13403463.64678734</v>
      </c>
      <c r="BE10" s="65">
        <f t="shared" ca="1" si="16"/>
        <v>262686658.68313289</v>
      </c>
      <c r="BG10" s="42">
        <f t="shared" si="17"/>
        <v>2014</v>
      </c>
      <c r="BH10" s="65">
        <f>SUMIF('Monthly Data'!$B:$B,BG10,'Monthly Data'!AS:AS)</f>
        <v>47308908.679020993</v>
      </c>
      <c r="BI10" s="65">
        <f ca="1">SUMIF('Monthly Data'!$B:$B,BG10,'Monthly Data'!AV:AV)</f>
        <v>54654.663674103103</v>
      </c>
      <c r="BJ10" s="65">
        <f t="shared" ca="1" si="18"/>
        <v>47363563.342695095</v>
      </c>
      <c r="BK10" s="70"/>
      <c r="BL10" s="65">
        <f t="shared" ca="1" si="31"/>
        <v>46499525.307195425</v>
      </c>
      <c r="BM10" s="65">
        <f t="shared" ca="1" si="19"/>
        <v>54654.663674103103</v>
      </c>
      <c r="BN10" s="65">
        <f t="shared" ca="1" si="20"/>
        <v>46444870.643521324</v>
      </c>
      <c r="BO10" s="65"/>
      <c r="BP10" s="42">
        <f t="shared" si="21"/>
        <v>2014</v>
      </c>
      <c r="BQ10" s="67">
        <f>SUMIF('Monthly Data'!$B:$B,BP10,'Monthly Data'!AX:AX)</f>
        <v>17360921.051590003</v>
      </c>
      <c r="BR10" s="67">
        <f>'Connection count '!AE9</f>
        <v>23459.5</v>
      </c>
      <c r="BS10" s="67">
        <f t="shared" si="33"/>
        <v>740.03798254822152</v>
      </c>
      <c r="BT10" s="72"/>
      <c r="BU10" s="61"/>
      <c r="BV10" s="61">
        <f t="shared" si="32"/>
        <v>2014</v>
      </c>
      <c r="BW10" s="67">
        <f>SUMIF('Monthly Data'!$B:$B,BV10,'Monthly Data'!BC:BC)</f>
        <v>924204.18281011167</v>
      </c>
      <c r="BX10" s="67">
        <f>'Connection count '!AI9</f>
        <v>631.25</v>
      </c>
      <c r="BY10" s="67">
        <f t="shared" si="24"/>
        <v>1464.0858341546323</v>
      </c>
      <c r="BZ10" s="67">
        <f>BY10*BX10</f>
        <v>924204.18281011167</v>
      </c>
      <c r="CA10" s="61"/>
      <c r="CB10" s="61">
        <f t="shared" si="26"/>
        <v>2014</v>
      </c>
      <c r="CC10" s="67">
        <f>SUMIF('Monthly Data'!$B:$B,CB10,'Monthly Data'!BF:BF)</f>
        <v>2436824.926873663</v>
      </c>
      <c r="CD10" s="67">
        <f>'Connection count '!AM9</f>
        <v>783</v>
      </c>
      <c r="CE10" s="67">
        <f t="shared" si="27"/>
        <v>3112.1646575653422</v>
      </c>
      <c r="CF10" s="67">
        <f t="shared" si="28"/>
        <v>2436824.926873663</v>
      </c>
    </row>
    <row r="11" spans="1:84" s="69" customFormat="1">
      <c r="B11" s="42">
        <f t="shared" si="29"/>
        <v>2015</v>
      </c>
      <c r="C11" s="65">
        <f>SUMIF('Monthly Data'!$B:$B,B11,'Monthly Data'!C:C)</f>
        <v>593984431.47600019</v>
      </c>
      <c r="D11" s="65">
        <f ca="1">SUMIF('Monthly Data'!$B:$B,B11,'Monthly Data'!E:E)</f>
        <v>17670503.566507727</v>
      </c>
      <c r="E11" s="67">
        <f ca="1">SUMIF('Res Normalized Monthly'!$B$2:$B$144,B11,'Res Normalized Monthly'!C$2:C$144)</f>
        <v>611654935.04250789</v>
      </c>
      <c r="F11" s="65"/>
      <c r="G11" s="65">
        <f ca="1">SUMIF('Res Normalized Monthly'!$B:$B,B11,'Res Normalized Monthly'!$T:$T)</f>
        <v>632600236.53805399</v>
      </c>
      <c r="H11" s="65">
        <f t="shared" ca="1" si="0"/>
        <v>17670503.566507727</v>
      </c>
      <c r="I11" s="65">
        <f t="shared" ca="1" si="1"/>
        <v>614929732.97154629</v>
      </c>
      <c r="K11" s="42">
        <f t="shared" si="2"/>
        <v>2015</v>
      </c>
      <c r="L11" s="65">
        <f>SUMIF('Monthly Data'!$B:$B,K11,'Monthly Data'!G:G)</f>
        <v>207733154.94022256</v>
      </c>
      <c r="M11" s="65">
        <f ca="1">SUMIF('Monthly Data'!$B:$B,K11,'Monthly Data'!I:I)</f>
        <v>14136513.140595429</v>
      </c>
      <c r="N11" s="65">
        <f ca="1">SUMIF('GS &lt; 50 Normalized Monthly'!$B:$B,K11,'GS &lt; 50 Normalized Monthly'!C:C)</f>
        <v>221869668.08081797</v>
      </c>
      <c r="O11" s="70"/>
      <c r="P11" s="65">
        <f ca="1">SUMIF('GS &lt; 50 Normalized Monthly'!$B:$B,K11,'GS &lt; 50 Normalized Monthly'!V:V)</f>
        <v>220588893.44885549</v>
      </c>
      <c r="Q11" s="65">
        <f t="shared" ca="1" si="3"/>
        <v>14136513.140595429</v>
      </c>
      <c r="R11" s="65">
        <f t="shared" ca="1" si="4"/>
        <v>206452380.30826005</v>
      </c>
      <c r="T11" s="42">
        <f t="shared" si="5"/>
        <v>2015</v>
      </c>
      <c r="U11" s="65">
        <f>SUMIF('Monthly Data'!$B:$B,T11,'Monthly Data'!K:K)</f>
        <v>941653981.70491183</v>
      </c>
      <c r="V11" s="65">
        <f ca="1">SUMIF('Monthly Data'!$B:$B,T11,'Monthly Data'!N:N)</f>
        <v>39378471.949839026</v>
      </c>
      <c r="W11" s="65">
        <f ca="1">SUMIF('GS &gt; 50 Normalized Monthly'!$B:$B,T11,'GS &gt; 50 Normalized Monthly'!C:C)</f>
        <v>981032453.65475094</v>
      </c>
      <c r="X11" s="70"/>
      <c r="Y11" s="65">
        <f ca="1">SUMIF('GS &gt; 50 Normalized Monthly'!$B:$B,T11,'GS &gt; 50 Normalized Monthly'!AB:AB)</f>
        <v>981880339.96109164</v>
      </c>
      <c r="Z11" s="65"/>
      <c r="AA11" s="65">
        <f t="shared" ca="1" si="6"/>
        <v>39378471.949839026</v>
      </c>
      <c r="AB11" s="65">
        <f t="shared" ca="1" si="7"/>
        <v>942501868.01125264</v>
      </c>
      <c r="AC11" s="65"/>
      <c r="AD11" s="42">
        <f t="shared" si="8"/>
        <v>2015</v>
      </c>
      <c r="AE11" s="65">
        <f>SUMIF('Monthly Data'!$B:$B,AD11,'Monthly Data'!V:V)</f>
        <v>44363940.879999988</v>
      </c>
      <c r="AF11" s="65">
        <f ca="1">SUMIF('Monthly Data'!$B:$B,AD11,'Monthly Data'!Y:Y)</f>
        <v>250315.11919415192</v>
      </c>
      <c r="AG11" s="65">
        <f ca="1">SUMIF('Intermediate Normalized Monthly'!$B:$B,AD11,'Intermediate Normalized Monthly'!C:C)</f>
        <v>44614255.999194153</v>
      </c>
      <c r="AH11" s="70"/>
      <c r="AI11" s="65">
        <f>SUMIF('Intermediate Normalized Monthly'!$B:$B,AD11,'Intermediate Normalized Monthly'!R:R)</f>
        <v>45155490.272450492</v>
      </c>
      <c r="AJ11" s="65">
        <f t="shared" ca="1" si="9"/>
        <v>250315.11919415192</v>
      </c>
      <c r="AK11" s="65">
        <f t="shared" ca="1" si="10"/>
        <v>44905175.153256342</v>
      </c>
      <c r="AM11" s="42">
        <f t="shared" si="11"/>
        <v>2015</v>
      </c>
      <c r="AN11" s="65">
        <f>SUMIF('Monthly Data'!$B:$B,AM11,'Monthly Data'!AA:AA)</f>
        <v>301194469.31</v>
      </c>
      <c r="AO11" s="65">
        <f ca="1">SUMIF('Monthly Data'!$B:$B,AM11,'Monthly Data'!AD:AD)</f>
        <v>10107708.279756702</v>
      </c>
      <c r="AP11" s="65">
        <f ca="1">SUMIF('Large Use Normalized Monthly'!$B:$B,AM11,'Large Use Normalized Monthly'!C:C)</f>
        <v>311302177.58975667</v>
      </c>
      <c r="AQ11" s="70"/>
      <c r="AR11" s="65">
        <f ca="1">SUMIF('Large Use Normalized Monthly'!$B:$B,AM11,'Large Use Normalized Monthly'!R:R)</f>
        <v>311951603.15601385</v>
      </c>
      <c r="AS11" s="65"/>
      <c r="AT11" s="65">
        <f t="shared" ca="1" si="12"/>
        <v>10107708.279756702</v>
      </c>
      <c r="AU11" s="65"/>
      <c r="AV11" s="65">
        <f t="shared" ca="1" si="13"/>
        <v>301843894.87625712</v>
      </c>
      <c r="AX11" s="42">
        <f t="shared" si="14"/>
        <v>2015</v>
      </c>
      <c r="AY11" s="65">
        <f ca="1">SUMIF('Monthly Data'!$B:$B,AX11,'Monthly Data'!AJ:AJ)-AZ11</f>
        <v>241052438.81000003</v>
      </c>
      <c r="AZ11" s="65">
        <f ca="1">SUMIF('Monthly Data'!$B:$B,AX11,'Monthly Data'!AI:AI)</f>
        <v>15576070.648468904</v>
      </c>
      <c r="BA11" s="65">
        <f ca="1">SUMIF('Monthly Data'!$B:$B,AX11,'Monthly Data'!AJ:AJ)</f>
        <v>256628509.45846894</v>
      </c>
      <c r="BB11" s="70"/>
      <c r="BC11" s="65">
        <f t="shared" ca="1" si="30"/>
        <v>276090122.32992023</v>
      </c>
      <c r="BD11" s="65">
        <f t="shared" ca="1" si="15"/>
        <v>15576070.648468904</v>
      </c>
      <c r="BE11" s="65">
        <f t="shared" ca="1" si="16"/>
        <v>260514051.68145132</v>
      </c>
      <c r="BG11" s="42">
        <f t="shared" si="17"/>
        <v>2015</v>
      </c>
      <c r="BH11" s="65">
        <f>SUMIF('Monthly Data'!$B:$B,BG11,'Monthly Data'!AS:AS)</f>
        <v>47202925.820000008</v>
      </c>
      <c r="BI11" s="65">
        <f ca="1">SUMIF('Monthly Data'!$B:$B,BG11,'Monthly Data'!AV:AV)</f>
        <v>54613.552726204805</v>
      </c>
      <c r="BJ11" s="65">
        <f t="shared" ca="1" si="18"/>
        <v>47257539.372726209</v>
      </c>
      <c r="BK11" s="70"/>
      <c r="BL11" s="65">
        <f t="shared" ca="1" si="31"/>
        <v>45860440.943179846</v>
      </c>
      <c r="BM11" s="65">
        <f t="shared" ca="1" si="19"/>
        <v>54613.552726204805</v>
      </c>
      <c r="BN11" s="65">
        <f t="shared" ca="1" si="20"/>
        <v>45805827.390453644</v>
      </c>
      <c r="BO11" s="65"/>
      <c r="BP11" s="42">
        <f t="shared" si="21"/>
        <v>2015</v>
      </c>
      <c r="BQ11" s="67">
        <f>SUMIF('Monthly Data'!$B:$B,BP11,'Monthly Data'!AX:AX)</f>
        <v>17162407.530000001</v>
      </c>
      <c r="BR11" s="67">
        <f>'Connection count '!AE10</f>
        <v>23495.25</v>
      </c>
      <c r="BS11" s="67">
        <f t="shared" si="33"/>
        <v>730.46286079101105</v>
      </c>
      <c r="BT11" s="72"/>
      <c r="BU11" s="61"/>
      <c r="BV11" s="61">
        <f t="shared" si="32"/>
        <v>2015</v>
      </c>
      <c r="BW11" s="67">
        <f>SUMIF('Monthly Data'!$B:$B,BV11,'Monthly Data'!BC:BC)</f>
        <v>873074.41874517407</v>
      </c>
      <c r="BX11" s="67">
        <f>'Connection count '!AI10</f>
        <v>615.75</v>
      </c>
      <c r="BY11" s="67">
        <f t="shared" si="24"/>
        <v>1417.9040499312612</v>
      </c>
      <c r="BZ11" s="67">
        <f>BY11*BX11</f>
        <v>873074.41874517407</v>
      </c>
      <c r="CA11" s="61"/>
      <c r="CB11" s="61">
        <f t="shared" si="26"/>
        <v>2015</v>
      </c>
      <c r="CC11" s="67">
        <f>SUMIF('Monthly Data'!$B:$B,CB11,'Monthly Data'!BF:BF)</f>
        <v>2410786.215730337</v>
      </c>
      <c r="CD11" s="67">
        <f>'Connection count '!AM10</f>
        <v>780</v>
      </c>
      <c r="CE11" s="67">
        <f t="shared" si="27"/>
        <v>3090.7515586286372</v>
      </c>
      <c r="CF11" s="67">
        <f t="shared" si="28"/>
        <v>2410786.215730337</v>
      </c>
    </row>
    <row r="12" spans="1:84" s="61" customFormat="1">
      <c r="B12" s="61">
        <f t="shared" si="29"/>
        <v>2016</v>
      </c>
      <c r="C12" s="65">
        <f>SUMIF('Monthly Data'!$B:$B,B12,'Monthly Data'!C:C)</f>
        <v>619568737.68663192</v>
      </c>
      <c r="D12" s="65">
        <f ca="1">SUMIF('Monthly Data'!$B:$B,B12,'Monthly Data'!E:E)</f>
        <v>21365014.03633726</v>
      </c>
      <c r="E12" s="67">
        <f ca="1">SUMIF('Res Normalized Monthly'!$B$2:$B$144,B12,'Res Normalized Monthly'!C$2:C$144)</f>
        <v>640933751.72296906</v>
      </c>
      <c r="F12" s="67"/>
      <c r="G12" s="67">
        <f ca="1">SUMIF('Res Normalized Monthly'!$B:$B,B12,'Res Normalized Monthly'!$T:$T)</f>
        <v>632566719.29567218</v>
      </c>
      <c r="H12" s="67">
        <f t="shared" ca="1" si="0"/>
        <v>21365014.03633726</v>
      </c>
      <c r="I12" s="67">
        <f t="shared" ca="1" si="1"/>
        <v>611201705.25933492</v>
      </c>
      <c r="K12" s="61">
        <f t="shared" si="2"/>
        <v>2016</v>
      </c>
      <c r="L12" s="65">
        <f>SUMIF('Monthly Data'!$B:$B,K12,'Monthly Data'!G:G)</f>
        <v>208239182.30018815</v>
      </c>
      <c r="M12" s="65">
        <f ca="1">SUMIF('Monthly Data'!$B:$B,K12,'Monthly Data'!I:I)</f>
        <v>15644268.751131931</v>
      </c>
      <c r="N12" s="67">
        <f ca="1">SUMIF('GS &lt; 50 Normalized Monthly'!$B:$B,K12,'GS &lt; 50 Normalized Monthly'!C:C)</f>
        <v>223883451.05132008</v>
      </c>
      <c r="O12" s="71"/>
      <c r="P12" s="65">
        <f ca="1">SUMIF('GS &lt; 50 Normalized Monthly'!$B:$B,K12,'GS &lt; 50 Normalized Monthly'!V:V)</f>
        <v>220529003.63745129</v>
      </c>
      <c r="Q12" s="67">
        <f t="shared" ca="1" si="3"/>
        <v>15644268.751131931</v>
      </c>
      <c r="R12" s="67">
        <f t="shared" ca="1" si="4"/>
        <v>204884734.88631937</v>
      </c>
      <c r="T12" s="61">
        <f t="shared" si="5"/>
        <v>2016</v>
      </c>
      <c r="U12" s="65">
        <f>SUMIF('Monthly Data'!$B:$B,T12,'Monthly Data'!K:K)</f>
        <v>954879860.93795967</v>
      </c>
      <c r="V12" s="65">
        <f ca="1">SUMIF('Monthly Data'!$B:$B,T12,'Monthly Data'!N:N)</f>
        <v>48212014.983652808</v>
      </c>
      <c r="W12" s="65">
        <f ca="1">SUMIF('GS &gt; 50 Normalized Monthly'!$B:$B,T12,'GS &gt; 50 Normalized Monthly'!C:C)</f>
        <v>1003091875.9216123</v>
      </c>
      <c r="X12" s="71"/>
      <c r="Y12" s="65">
        <f ca="1">SUMIF('GS &gt; 50 Normalized Monthly'!$B:$B,T12,'GS &gt; 50 Normalized Monthly'!AB:AB)</f>
        <v>993182340.80688965</v>
      </c>
      <c r="Z12" s="65"/>
      <c r="AA12" s="67">
        <f t="shared" ca="1" si="6"/>
        <v>48212014.983652808</v>
      </c>
      <c r="AB12" s="67">
        <f t="shared" ca="1" si="7"/>
        <v>944970325.82323682</v>
      </c>
      <c r="AC12" s="67"/>
      <c r="AD12" s="61">
        <f t="shared" si="8"/>
        <v>2016</v>
      </c>
      <c r="AE12" s="65">
        <f>SUMIF('Monthly Data'!$B:$B,AD12,'Monthly Data'!V:V)</f>
        <v>44045563.989999995</v>
      </c>
      <c r="AF12" s="65">
        <f ca="1">SUMIF('Monthly Data'!$B:$B,AD12,'Monthly Data'!Y:Y)</f>
        <v>423799.59896512708</v>
      </c>
      <c r="AG12" s="65">
        <f ca="1">SUMIF('Intermediate Normalized Monthly'!$B:$B,AD12,'Intermediate Normalized Monthly'!C:C)</f>
        <v>44469363.588965133</v>
      </c>
      <c r="AH12" s="71"/>
      <c r="AI12" s="65">
        <f>SUMIF('Intermediate Normalized Monthly'!$B:$B,AD12,'Intermediate Normalized Monthly'!R:R)</f>
        <v>44474844.155811496</v>
      </c>
      <c r="AJ12" s="67">
        <f t="shared" ca="1" si="9"/>
        <v>423799.59896512708</v>
      </c>
      <c r="AK12" s="67">
        <f t="shared" ca="1" si="10"/>
        <v>44051044.556846365</v>
      </c>
      <c r="AM12" s="61">
        <f t="shared" si="11"/>
        <v>2016</v>
      </c>
      <c r="AN12" s="65">
        <f>SUMIF('Monthly Data'!$B:$B,AM12,'Monthly Data'!AA:AA)</f>
        <v>318162193.04000002</v>
      </c>
      <c r="AO12" s="65">
        <f ca="1">SUMIF('Monthly Data'!$B:$B,AM12,'Monthly Data'!AD:AD)</f>
        <v>10551815.166880911</v>
      </c>
      <c r="AP12" s="65">
        <f ca="1">SUMIF('Large Use Normalized Monthly'!$B:$B,AM12,'Large Use Normalized Monthly'!C:C)</f>
        <v>328714008.20688087</v>
      </c>
      <c r="AQ12" s="71"/>
      <c r="AR12" s="65">
        <f ca="1">SUMIF('Large Use Normalized Monthly'!$B:$B,AM12,'Large Use Normalized Monthly'!R:R)</f>
        <v>315664504.72964764</v>
      </c>
      <c r="AS12" s="65"/>
      <c r="AT12" s="67">
        <f t="shared" ca="1" si="12"/>
        <v>10551815.166880911</v>
      </c>
      <c r="AU12" s="67"/>
      <c r="AV12" s="67">
        <f t="shared" ca="1" si="13"/>
        <v>305112689.56276673</v>
      </c>
      <c r="AX12" s="61">
        <f t="shared" si="14"/>
        <v>2016</v>
      </c>
      <c r="AY12" s="65">
        <f ca="1">SUMIF('Monthly Data'!$B:$B,AX12,'Monthly Data'!AJ:AJ)-AZ12</f>
        <v>264027087.00000006</v>
      </c>
      <c r="AZ12" s="65">
        <f ca="1">SUMIF('Monthly Data'!$B:$B,AX12,'Monthly Data'!AI:AI)</f>
        <v>17374995.264849436</v>
      </c>
      <c r="BA12" s="65">
        <f ca="1">SUMIF('Monthly Data'!$B:$B,AX12,'Monthly Data'!AJ:AJ)</f>
        <v>281402082.26484948</v>
      </c>
      <c r="BB12" s="71"/>
      <c r="BC12" s="65">
        <f t="shared" ca="1" si="30"/>
        <v>276090122.32992023</v>
      </c>
      <c r="BD12" s="67">
        <f t="shared" ca="1" si="15"/>
        <v>17374995.264849436</v>
      </c>
      <c r="BE12" s="67">
        <f t="shared" ca="1" si="16"/>
        <v>258715127.06507081</v>
      </c>
      <c r="BG12" s="61">
        <f t="shared" si="17"/>
        <v>2016</v>
      </c>
      <c r="BH12" s="65">
        <f>SUMIF('Monthly Data'!$B:$B,BG12,'Monthly Data'!AS:AS)</f>
        <v>44370766.850000001</v>
      </c>
      <c r="BI12" s="65">
        <f ca="1">SUMIF('Monthly Data'!$B:$B,BG12,'Monthly Data'!AV:AV)</f>
        <v>54613.552726204805</v>
      </c>
      <c r="BJ12" s="65">
        <f t="shared" ca="1" si="18"/>
        <v>44425380.402726203</v>
      </c>
      <c r="BK12" s="71"/>
      <c r="BL12" s="65">
        <f t="shared" ca="1" si="31"/>
        <v>45221356.579164028</v>
      </c>
      <c r="BM12" s="67">
        <f t="shared" ca="1" si="19"/>
        <v>54613.552726204805</v>
      </c>
      <c r="BN12" s="67">
        <f t="shared" ca="1" si="20"/>
        <v>45166743.026437826</v>
      </c>
      <c r="BO12" s="67"/>
      <c r="BP12" s="61">
        <f t="shared" si="21"/>
        <v>2016</v>
      </c>
      <c r="BQ12" s="67">
        <f>SUMIF('Monthly Data'!$B:$B,BP12,'Monthly Data'!AX:AX)</f>
        <v>14655212.350000001</v>
      </c>
      <c r="BR12" s="67">
        <f>'Connection count '!AE11</f>
        <v>23517.5</v>
      </c>
      <c r="BS12" s="67">
        <f t="shared" si="33"/>
        <v>623.16200063782298</v>
      </c>
      <c r="BT12" s="67">
        <f>BS12*BR12</f>
        <v>14655212.350000001</v>
      </c>
      <c r="BV12" s="61">
        <f t="shared" si="32"/>
        <v>2016</v>
      </c>
      <c r="BW12" s="67">
        <f>SUMIF('Monthly Data'!$B:$B,BV12,'Monthly Data'!BC:BC)</f>
        <v>851684.9625372421</v>
      </c>
      <c r="BX12" s="67">
        <f>'Connection count '!AI11</f>
        <v>602</v>
      </c>
      <c r="BY12" s="67">
        <f t="shared" ref="BY12" si="34">BW12/BX12</f>
        <v>1414.7590739821296</v>
      </c>
      <c r="BZ12" s="67">
        <f>BY12*BX12</f>
        <v>851684.96253724198</v>
      </c>
      <c r="CB12" s="61">
        <f t="shared" si="26"/>
        <v>2016</v>
      </c>
      <c r="CC12" s="67">
        <f>SUMIF('Monthly Data'!$B:$B,CB12,'Monthly Data'!BF:BF)</f>
        <v>2415557</v>
      </c>
      <c r="CD12" s="67">
        <f>'Connection count '!AM11</f>
        <v>781</v>
      </c>
      <c r="CE12" s="67">
        <f t="shared" si="27"/>
        <v>3092.9026888604353</v>
      </c>
      <c r="CF12" s="67">
        <f>CE12*CD12</f>
        <v>2415557</v>
      </c>
    </row>
    <row r="13" spans="1:84" s="69" customFormat="1">
      <c r="B13" s="61">
        <f t="shared" si="29"/>
        <v>2017</v>
      </c>
      <c r="C13" s="65">
        <f>SUMIF('Monthly Data'!$B:$B,B13,'Monthly Data'!C:C)</f>
        <v>583858255.14999998</v>
      </c>
      <c r="D13" s="65">
        <f ca="1">SUMIF('Monthly Data'!$B:$B,B13,'Monthly Data'!E:E)</f>
        <v>31313557.040520698</v>
      </c>
      <c r="E13" s="67">
        <f ca="1">SUMIF('Res Normalized Monthly'!$B$2:$B$144,B13,'Res Normalized Monthly'!C$2:C$144)</f>
        <v>615171812.19052064</v>
      </c>
      <c r="F13" s="73"/>
      <c r="G13" s="67">
        <f ca="1">SUMIF('Res Normalized Monthly'!$B:$B,B13,'Res Normalized Monthly'!$T:$T)</f>
        <v>628929335.36480594</v>
      </c>
      <c r="H13" s="67">
        <f t="shared" ca="1" si="0"/>
        <v>31313557.040520698</v>
      </c>
      <c r="I13" s="67">
        <f t="shared" ca="1" si="1"/>
        <v>597615778.32428527</v>
      </c>
      <c r="K13" s="61">
        <f t="shared" ref="K13" si="35">B13</f>
        <v>2017</v>
      </c>
      <c r="L13" s="65">
        <f>SUMIF('Monthly Data'!$B:$B,K13,'Monthly Data'!G:G)</f>
        <v>199190042.63999999</v>
      </c>
      <c r="M13" s="65">
        <f ca="1">SUMIF('Monthly Data'!$B:$B,K13,'Monthly Data'!I:I)</f>
        <v>12587931.439161209</v>
      </c>
      <c r="N13" s="67">
        <f ca="1">SUMIF('GS &lt; 50 Normalized Monthly'!$B:$B,K13,'GS &lt; 50 Normalized Monthly'!C:C)</f>
        <v>211777974.07916123</v>
      </c>
      <c r="O13" s="99"/>
      <c r="P13" s="65">
        <f ca="1">SUMIF('GS &lt; 50 Normalized Monthly'!$B:$B,K13,'GS &lt; 50 Normalized Monthly'!V:V)</f>
        <v>216222257.86065239</v>
      </c>
      <c r="Q13" s="67">
        <f t="shared" ref="Q13" ca="1" si="36">M13</f>
        <v>12587931.439161209</v>
      </c>
      <c r="R13" s="67">
        <f t="shared" ref="R13" ca="1" si="37">P13-Q13</f>
        <v>203634326.42149118</v>
      </c>
      <c r="T13" s="61">
        <f t="shared" si="5"/>
        <v>2017</v>
      </c>
      <c r="U13" s="65">
        <f>SUMIF('Monthly Data'!$B:$B,T13,'Monthly Data'!K:K)</f>
        <v>935689535.96999991</v>
      </c>
      <c r="V13" s="65">
        <f ca="1">SUMIF('Monthly Data'!$B:$B,T13,'Monthly Data'!N:N)</f>
        <v>57125993.157611944</v>
      </c>
      <c r="W13" s="65">
        <f ca="1">SUMIF('GS &gt; 50 Normalized Monthly'!$B:$B,T13,'GS &gt; 50 Normalized Monthly'!C:C)</f>
        <v>992815529.12761188</v>
      </c>
      <c r="X13" s="99"/>
      <c r="Y13" s="65">
        <f ca="1">SUMIF('GS &gt; 50 Normalized Monthly'!$B:$B,T13,'GS &gt; 50 Normalized Monthly'!AB:AB)</f>
        <v>1003824260.8580723</v>
      </c>
      <c r="Z13" s="65"/>
      <c r="AA13" s="67">
        <f t="shared" ref="AA13" ca="1" si="38">V13</f>
        <v>57125993.157611944</v>
      </c>
      <c r="AB13" s="67">
        <f ca="1">Y13-AA13</f>
        <v>946698267.70046031</v>
      </c>
      <c r="AC13" s="67"/>
      <c r="AD13" s="61">
        <f t="shared" ref="AD13" si="39">T13</f>
        <v>2017</v>
      </c>
      <c r="AE13" s="65">
        <f>SUMIF('Monthly Data'!$B:$B,AD13,'Monthly Data'!V:V)</f>
        <v>44136954.399999991</v>
      </c>
      <c r="AF13" s="65">
        <f ca="1">SUMIF('Monthly Data'!$B:$B,AD13,'Monthly Data'!Y:Y)</f>
        <v>610958.78356721601</v>
      </c>
      <c r="AG13" s="65">
        <f ca="1">SUMIF('Intermediate Normalized Monthly'!$B:$B,AD13,'Intermediate Normalized Monthly'!C:C)</f>
        <v>44747913.183567218</v>
      </c>
      <c r="AH13" s="99"/>
      <c r="AI13" s="65">
        <f>SUMIF('Intermediate Normalized Monthly'!$B:$B,AD13,'Intermediate Normalized Monthly'!R:R)</f>
        <v>43497612.997344896</v>
      </c>
      <c r="AJ13" s="67">
        <f t="shared" ref="AJ13" ca="1" si="40">AF13</f>
        <v>610958.78356721601</v>
      </c>
      <c r="AK13" s="67">
        <f t="shared" ref="AK13" ca="1" si="41">AI13-AJ13</f>
        <v>42886654.213777684</v>
      </c>
      <c r="AL13" s="61"/>
      <c r="AM13" s="61">
        <f t="shared" ref="AM13" si="42">AD13</f>
        <v>2017</v>
      </c>
      <c r="AN13" s="65">
        <f>SUMIF('Monthly Data'!$B:$B,AM13,'Monthly Data'!AA:AA)</f>
        <v>299472217.15999997</v>
      </c>
      <c r="AO13" s="65">
        <f ca="1">SUMIF('Monthly Data'!$B:$B,AM13,'Monthly Data'!AD:AD)</f>
        <v>10577319.450433783</v>
      </c>
      <c r="AP13" s="65">
        <f ca="1">SUMIF('Large Use Normalized Monthly'!$B:$B,AM13,'Large Use Normalized Monthly'!C:C)</f>
        <v>310049536.61043382</v>
      </c>
      <c r="AQ13" s="99"/>
      <c r="AR13" s="65">
        <f ca="1">SUMIF('Large Use Normalized Monthly'!$B:$B,AM13,'Large Use Normalized Monthly'!R:R)</f>
        <v>319916793.4040969</v>
      </c>
      <c r="AS13" s="65"/>
      <c r="AT13" s="67">
        <f t="shared" ref="AT13" ca="1" si="43">AO13</f>
        <v>10577319.450433783</v>
      </c>
      <c r="AU13" s="67"/>
      <c r="AV13" s="67">
        <f t="shared" ref="AV13" ca="1" si="44">AR13-AT13</f>
        <v>309339473.95366311</v>
      </c>
      <c r="AW13" s="61"/>
      <c r="AX13" s="61">
        <f t="shared" ref="AX13" si="45">AM13</f>
        <v>2017</v>
      </c>
      <c r="AY13" s="65">
        <f ca="1">SUMIF('Monthly Data'!$B:$B,AX13,'Monthly Data'!AJ:AJ)-AZ13</f>
        <v>252589949.61000001</v>
      </c>
      <c r="AZ13" s="65">
        <f ca="1">SUMIF('Monthly Data'!$B:$B,AX13,'Monthly Data'!AI:AI)</f>
        <v>21850499.431430344</v>
      </c>
      <c r="BA13" s="65">
        <f ca="1">SUMIF('Monthly Data'!$B:$B,AX13,'Monthly Data'!AJ:AJ)</f>
        <v>274440449.04143035</v>
      </c>
      <c r="BB13" s="99"/>
      <c r="BC13" s="65">
        <f t="shared" ca="1" si="30"/>
        <v>276090122.32992023</v>
      </c>
      <c r="BD13" s="67">
        <f t="shared" ref="BD13" ca="1" si="46">AZ13</f>
        <v>21850499.431430344</v>
      </c>
      <c r="BE13" s="67">
        <f t="shared" ref="BE13" ca="1" si="47">BC13-BD13</f>
        <v>254239622.89848989</v>
      </c>
      <c r="BF13" s="61"/>
      <c r="BG13" s="61">
        <f t="shared" ref="BG13" si="48">AX13</f>
        <v>2017</v>
      </c>
      <c r="BH13" s="65">
        <f>SUMIF('Monthly Data'!$B:$B,BG13,'Monthly Data'!AS:AS)</f>
        <v>42875821.289999999</v>
      </c>
      <c r="BI13" s="65">
        <f ca="1">SUMIF('Monthly Data'!$B:$B,BG13,'Monthly Data'!AV:AV)</f>
        <v>53078.541479495623</v>
      </c>
      <c r="BJ13" s="65">
        <f t="shared" ref="BJ13" ca="1" si="49">BH13+BI13</f>
        <v>42928899.831479497</v>
      </c>
      <c r="BK13" s="99"/>
      <c r="BL13" s="65">
        <f t="shared" ca="1" si="31"/>
        <v>44582272.215148449</v>
      </c>
      <c r="BM13" s="67">
        <f t="shared" ref="BM13" ca="1" si="50">BI13</f>
        <v>53078.541479495623</v>
      </c>
      <c r="BN13" s="67">
        <f t="shared" ref="BN13" ca="1" si="51">BL13-BM13</f>
        <v>44529193.673668951</v>
      </c>
      <c r="BO13" s="67"/>
      <c r="BP13" s="61">
        <f t="shared" ref="BP13" si="52">AM13</f>
        <v>2017</v>
      </c>
      <c r="BQ13" s="67">
        <f>SUMIF('Monthly Data'!$B:$B,BP13,'Monthly Data'!AX:AX)</f>
        <v>6962744.2999999998</v>
      </c>
      <c r="BR13" s="67">
        <f>'Connection count '!AE12</f>
        <v>24143.5</v>
      </c>
      <c r="BS13" s="67">
        <f t="shared" si="33"/>
        <v>288.39001387537019</v>
      </c>
      <c r="BT13" s="67">
        <f>BS13*BR13</f>
        <v>6962744.2999999998</v>
      </c>
      <c r="BU13" s="61"/>
      <c r="BV13" s="61">
        <f t="shared" ref="BV13" si="53">BP13</f>
        <v>2017</v>
      </c>
      <c r="BW13" s="67">
        <f>SUMIF('Monthly Data'!$B:$B,BV13,'Monthly Data'!BC:BC)</f>
        <v>795950.62000000011</v>
      </c>
      <c r="BX13" s="67">
        <f>'Connection count '!AI12</f>
        <v>554.25</v>
      </c>
      <c r="BY13" s="67">
        <f t="shared" ref="BY13" si="54">BW13/BX13</f>
        <v>1436.0859179070819</v>
      </c>
      <c r="BZ13" s="67">
        <f>BY13*BX13</f>
        <v>795950.62000000011</v>
      </c>
      <c r="CA13" s="61"/>
      <c r="CB13" s="61">
        <f t="shared" ref="CB13" si="55">BP13</f>
        <v>2017</v>
      </c>
      <c r="CC13" s="67">
        <f>SUMIF('Monthly Data'!$B:$B,CB13,'Monthly Data'!BF:BF)</f>
        <v>2368616.3200000003</v>
      </c>
      <c r="CD13" s="67">
        <f>'Connection count '!AM12</f>
        <v>769</v>
      </c>
      <c r="CE13" s="67">
        <f t="shared" ref="CE13" si="56">CC13/CD13</f>
        <v>3080.1252535760732</v>
      </c>
      <c r="CF13" s="67">
        <f>CE13*CD13</f>
        <v>2368616.3200000003</v>
      </c>
    </row>
    <row r="14" spans="1:84" s="69" customFormat="1">
      <c r="B14" s="61">
        <f t="shared" si="29"/>
        <v>2018</v>
      </c>
      <c r="C14" s="65">
        <f>SUMIF('Monthly Data'!$B:$B,B14,'Monthly Data'!C:C)</f>
        <v>636798570.50953054</v>
      </c>
      <c r="D14" s="65">
        <f ca="1">SUMIF('Monthly Data'!$B:$B,B14,'Monthly Data'!E:E)</f>
        <v>35017205.759209864</v>
      </c>
      <c r="E14" s="67">
        <f ca="1">SUMIF('Res Normalized Monthly'!$B$2:$B$144,B14,'Res Normalized Monthly'!C$2:C$144)</f>
        <v>671815776.26874053</v>
      </c>
      <c r="F14" s="73"/>
      <c r="G14" s="67">
        <f ca="1">SUMIF('Res Normalized Monthly'!$B:$B,B14,'Res Normalized Monthly'!$T:$T)</f>
        <v>627093884.77818179</v>
      </c>
      <c r="H14" s="67">
        <f>CDM!D88</f>
        <v>35017205.759209864</v>
      </c>
      <c r="I14" s="67">
        <f t="shared" ref="I14" ca="1" si="57">G14-H14</f>
        <v>592076679.01897192</v>
      </c>
      <c r="K14" s="61">
        <f t="shared" ref="K14" si="58">B14</f>
        <v>2018</v>
      </c>
      <c r="L14" s="65">
        <f>SUMIF('Monthly Data'!$B:$B,K14,'Monthly Data'!G:G)</f>
        <v>203075206.32419604</v>
      </c>
      <c r="M14" s="65">
        <f ca="1">SUMIF('Monthly Data'!$B:$B,K14,'Monthly Data'!I:I)</f>
        <v>10202533.079656351</v>
      </c>
      <c r="N14" s="67">
        <f ca="1">SUMIF('GS &lt; 50 Normalized Monthly'!$B:$B,K14,'GS &lt; 50 Normalized Monthly'!C:C)</f>
        <v>213277739.4038524</v>
      </c>
      <c r="O14" s="99"/>
      <c r="P14" s="65">
        <f ca="1">SUMIF('GS &lt; 50 Normalized Monthly'!$B:$B,K14,'GS &lt; 50 Normalized Monthly'!V:V)</f>
        <v>214221182.76720896</v>
      </c>
      <c r="Q14" s="67">
        <f>CDM!D89</f>
        <v>10202533.079656351</v>
      </c>
      <c r="R14" s="67">
        <f t="shared" ref="R14" ca="1" si="59">P14-Q14</f>
        <v>204018649.6875526</v>
      </c>
      <c r="T14" s="61">
        <f t="shared" si="5"/>
        <v>2018</v>
      </c>
      <c r="U14" s="65">
        <f>SUMIF('Monthly Data'!$B:$B,T14,'Monthly Data'!K:K)</f>
        <v>936712309.46510732</v>
      </c>
      <c r="V14" s="65">
        <f ca="1">SUMIF('Monthly Data'!$B:$B,T14,'Monthly Data'!N:N)</f>
        <v>74791634.140374079</v>
      </c>
      <c r="W14" s="65">
        <f ca="1">SUMIF('GS &gt; 50 Normalized Monthly'!$B:$B,T14,'GS &gt; 50 Normalized Monthly'!C:C)</f>
        <v>1011503943.6054814</v>
      </c>
      <c r="X14" s="99"/>
      <c r="Y14" s="65">
        <f ca="1">SUMIF('GS &gt; 50 Normalized Monthly'!$B:$B,T14,'GS &gt; 50 Normalized Monthly'!AB:AB)</f>
        <v>1012660711.9506636</v>
      </c>
      <c r="Z14" s="65"/>
      <c r="AA14" s="67">
        <f>CDM!D90</f>
        <v>74791634.140374079</v>
      </c>
      <c r="AB14" s="67">
        <f ca="1">Y14-AA14</f>
        <v>937869077.8102895</v>
      </c>
      <c r="AC14" s="67"/>
      <c r="AD14" s="61">
        <f t="shared" ref="AD14" si="60">T14</f>
        <v>2018</v>
      </c>
      <c r="AE14" s="65">
        <f>SUMIF('Monthly Data'!$B:$B,AD14,'Monthly Data'!V:V)</f>
        <v>41120567.090000004</v>
      </c>
      <c r="AF14" s="65">
        <f ca="1">SUMIF('Monthly Data'!$B:$B,AD14,'Monthly Data'!Y:Y)</f>
        <v>1036492.6616043953</v>
      </c>
      <c r="AG14" s="65">
        <f ca="1">SUMIF('Intermediate Normalized Monthly'!$B:$B,AD14,'Intermediate Normalized Monthly'!C:C)</f>
        <v>42157059.751604393</v>
      </c>
      <c r="AH14" s="99"/>
      <c r="AI14" s="65">
        <f>SUMIF('Intermediate Normalized Monthly'!$B:$B,AD14,'Intermediate Normalized Monthly'!R:R)</f>
        <v>42668674.359792106</v>
      </c>
      <c r="AJ14" s="67">
        <f>CDM!D91</f>
        <v>1036492.6616043955</v>
      </c>
      <c r="AK14" s="67">
        <f t="shared" ref="AK14" si="61">AI14-AJ14</f>
        <v>41632181.698187709</v>
      </c>
      <c r="AL14" s="61"/>
      <c r="AM14" s="61">
        <f t="shared" ref="AM14" si="62">AD14</f>
        <v>2018</v>
      </c>
      <c r="AN14" s="65">
        <f>SUMIF('Monthly Data'!$B:$B,AM14,'Monthly Data'!AA:AA)</f>
        <v>311285837.94999999</v>
      </c>
      <c r="AO14" s="65">
        <f ca="1">SUMIF('Monthly Data'!$B:$B,AM14,'Monthly Data'!AD:AD)</f>
        <v>11678969.914371299</v>
      </c>
      <c r="AP14" s="65">
        <f ca="1">SUMIF('Large Use Normalized Monthly'!$B:$B,AM14,'Large Use Normalized Monthly'!C:C)</f>
        <v>322964807.86437124</v>
      </c>
      <c r="AQ14" s="99"/>
      <c r="AR14" s="65">
        <f ca="1">SUMIF('Large Use Normalized Monthly'!$B:$B,AM14,'Large Use Normalized Monthly'!R:R)</f>
        <v>324692993.62578869</v>
      </c>
      <c r="AS14" s="65"/>
      <c r="AT14" s="67">
        <f>CDM!D92</f>
        <v>10176303.129999481</v>
      </c>
      <c r="AU14" s="67"/>
      <c r="AV14" s="67">
        <f t="shared" ref="AV14" ca="1" si="63">AR14-AT14</f>
        <v>314516690.49578923</v>
      </c>
      <c r="AW14" s="61"/>
      <c r="AX14" s="61">
        <f t="shared" ref="AX14" si="64">AM14</f>
        <v>2018</v>
      </c>
      <c r="AY14" s="65">
        <f ca="1">SUMIF('Monthly Data'!$B:$B,AX14,'Monthly Data'!AJ:AJ)-AZ14</f>
        <v>254635666.92999998</v>
      </c>
      <c r="AZ14" s="65">
        <f ca="1">SUMIF('Monthly Data'!$B:$B,AX14,'Monthly Data'!AI:AI)</f>
        <v>26633506.492160704</v>
      </c>
      <c r="BA14" s="65">
        <f ca="1">SUMIF('Monthly Data'!$B:$B,AX14,'Monthly Data'!AJ:AJ)</f>
        <v>281269173.42216069</v>
      </c>
      <c r="BB14" s="99"/>
      <c r="BC14" s="65">
        <f t="shared" ca="1" si="30"/>
        <v>276090122.32992023</v>
      </c>
      <c r="BD14" s="67">
        <f>CDM!D93</f>
        <v>26633506.4921607</v>
      </c>
      <c r="BE14" s="67">
        <f t="shared" ref="BE14" ca="1" si="65">BC14-BD14</f>
        <v>249456615.83775952</v>
      </c>
      <c r="BF14" s="61"/>
      <c r="BG14" s="61">
        <f t="shared" ref="BG14" si="66">AX14</f>
        <v>2018</v>
      </c>
      <c r="BH14" s="65">
        <f>SUMIF('Monthly Data'!$B:$B,BG14,'Monthly Data'!AS:AS)</f>
        <v>45402739.360000007</v>
      </c>
      <c r="BI14" s="65">
        <f ca="1">SUMIF('Monthly Data'!$B:$B,BG14,'Monthly Data'!AV:AV)</f>
        <v>365392.64978202648</v>
      </c>
      <c r="BJ14" s="65">
        <f t="shared" ref="BJ14" ca="1" si="67">BH14+BI14</f>
        <v>45768132.009782031</v>
      </c>
      <c r="BK14" s="99"/>
      <c r="BL14" s="65">
        <f t="shared" ca="1" si="31"/>
        <v>43943187.85113287</v>
      </c>
      <c r="BM14" s="67">
        <f>CDM!D94</f>
        <v>365392.64978202642</v>
      </c>
      <c r="BN14" s="67">
        <f t="shared" ref="BN14" ca="1" si="68">BL14-BM14</f>
        <v>43577795.201350845</v>
      </c>
      <c r="BO14" s="67"/>
      <c r="BP14" s="61">
        <f t="shared" ref="BP14" si="69">AM14</f>
        <v>2018</v>
      </c>
      <c r="BQ14" s="67">
        <f>SUMIF('Monthly Data'!$B:$B,BP14,'Monthly Data'!AX:AX)</f>
        <v>6467781.0800000001</v>
      </c>
      <c r="BR14" s="67">
        <f>'Connection count '!AE13</f>
        <v>24283.5</v>
      </c>
      <c r="BS14" s="67">
        <f t="shared" si="33"/>
        <v>266.34468177980932</v>
      </c>
      <c r="BT14" s="67">
        <f>BS14*BR14</f>
        <v>6467781.0800000001</v>
      </c>
      <c r="BU14" s="61"/>
      <c r="BV14" s="61">
        <f t="shared" ref="BV14" si="70">BP14</f>
        <v>2018</v>
      </c>
      <c r="BW14" s="67">
        <f>SUMIF('Monthly Data'!$B:$B,BV14,'Monthly Data'!BC:BC)</f>
        <v>768231.72021026898</v>
      </c>
      <c r="BX14" s="67">
        <f>'Connection count '!AI13</f>
        <v>532.75</v>
      </c>
      <c r="BY14" s="67">
        <f t="shared" ref="BY14" si="71">BW14/BX14</f>
        <v>1442.0116756645125</v>
      </c>
      <c r="BZ14" s="67">
        <f>BY14*BX14</f>
        <v>768231.72021026898</v>
      </c>
      <c r="CA14" s="61"/>
      <c r="CB14" s="61">
        <f t="shared" ref="CB14" si="72">BP14</f>
        <v>2018</v>
      </c>
      <c r="CC14" s="67">
        <f>SUMIF('Monthly Data'!$B:$B,CB14,'Monthly Data'!BF:BF)</f>
        <v>2266364.23</v>
      </c>
      <c r="CD14" s="67">
        <f>'Connection count '!AM13</f>
        <v>726.5</v>
      </c>
      <c r="CE14" s="67">
        <f t="shared" ref="CE14" si="73">CC14/CD14</f>
        <v>3119.5653544390916</v>
      </c>
      <c r="CF14" s="67">
        <f>CE14*CD14</f>
        <v>2266364.23</v>
      </c>
    </row>
    <row r="15" spans="1:84">
      <c r="B15" s="69">
        <f t="shared" si="29"/>
        <v>2019</v>
      </c>
      <c r="G15" s="73">
        <f ca="1">SUMIF('Res Normalized Monthly'!$B:$B,B15,'Res Normalized Monthly'!$T:$T)</f>
        <v>625258434.19155765</v>
      </c>
      <c r="H15" s="73">
        <f>CDM!F88</f>
        <v>34942853.374586046</v>
      </c>
      <c r="I15" s="73">
        <f ca="1">G15-H15</f>
        <v>590315580.81697154</v>
      </c>
      <c r="K15" s="69">
        <f t="shared" si="2"/>
        <v>2019</v>
      </c>
      <c r="P15" s="73">
        <f ca="1">SUMIF('GS &lt; 50 Normalized Monthly'!$B:$B,K15,'GS &lt; 50 Normalized Monthly'!V:V)</f>
        <v>213234348.72490191</v>
      </c>
      <c r="Q15" s="73">
        <f>CDM!F89</f>
        <v>9691813.50465817</v>
      </c>
      <c r="R15" s="73">
        <f t="shared" ref="R15" ca="1" si="74">P15-Q15</f>
        <v>203542535.22024375</v>
      </c>
      <c r="T15" s="69">
        <f t="shared" si="5"/>
        <v>2019</v>
      </c>
      <c r="Y15" s="73">
        <f ca="1">SUMIF('GS &gt; 50 Normalized Monthly'!$B:$B,T15,'GS &gt; 50 Normalized Monthly'!AB:AB)</f>
        <v>1018786121.6847444</v>
      </c>
      <c r="Z15" s="73"/>
      <c r="AA15" s="73">
        <f>CDM!F90</f>
        <v>72356933.935635597</v>
      </c>
      <c r="AB15" s="73">
        <f ca="1">Y15-AA15</f>
        <v>946429187.74910879</v>
      </c>
      <c r="AD15" s="69">
        <f t="shared" si="8"/>
        <v>2019</v>
      </c>
      <c r="AI15" s="73">
        <f>SUMIF('Intermediate Normalized Monthly'!$B:$B,AD15,'Intermediate Normalized Monthly'!R:R)</f>
        <v>41839735.722239308</v>
      </c>
      <c r="AJ15" s="73">
        <f>CDM!F91</f>
        <v>1035458.2902837888</v>
      </c>
      <c r="AK15" s="73">
        <f t="shared" si="10"/>
        <v>40804277.431955516</v>
      </c>
      <c r="AM15" s="69">
        <f t="shared" si="11"/>
        <v>2019</v>
      </c>
      <c r="AR15" s="73">
        <f ca="1">SUMIF('Large Use Normalized Monthly'!$B:$B,AM15,'Large Use Normalized Monthly'!R:R)</f>
        <v>331951902.2696026</v>
      </c>
      <c r="AS15" s="73"/>
      <c r="AT15" s="73">
        <f>CDM!F92</f>
        <v>10140059.517493866</v>
      </c>
      <c r="AU15" s="73"/>
      <c r="AV15" s="73">
        <f t="shared" ca="1" si="13"/>
        <v>321811842.75210875</v>
      </c>
      <c r="AX15" s="69">
        <f t="shared" si="14"/>
        <v>2019</v>
      </c>
      <c r="BC15" s="73">
        <f t="shared" ca="1" si="30"/>
        <v>276090122.32992023</v>
      </c>
      <c r="BD15" s="73">
        <f>CDM!F93</f>
        <v>26352850.633092947</v>
      </c>
      <c r="BE15" s="73">
        <f t="shared" ca="1" si="16"/>
        <v>249737271.69682729</v>
      </c>
      <c r="BG15" s="69">
        <f t="shared" si="17"/>
        <v>2019</v>
      </c>
      <c r="BL15" s="73">
        <f t="shared" ca="1" si="31"/>
        <v>43304103.487117052</v>
      </c>
      <c r="BM15" s="73">
        <f>CDM!F94</f>
        <v>365392.65356000001</v>
      </c>
      <c r="BN15" s="73">
        <f t="shared" ca="1" si="20"/>
        <v>42938710.833557054</v>
      </c>
      <c r="BO15" s="73"/>
      <c r="BP15" s="69">
        <f t="shared" si="21"/>
        <v>2019</v>
      </c>
      <c r="BR15" s="73">
        <f>'Connection count '!AE14</f>
        <v>24313.550236385821</v>
      </c>
      <c r="BS15" s="73">
        <f>BS14</f>
        <v>266.34468177980932</v>
      </c>
      <c r="BT15" s="73">
        <f>BS15*BR15</f>
        <v>6475784.8006475894</v>
      </c>
      <c r="BV15" s="69">
        <f t="shared" si="32"/>
        <v>2019</v>
      </c>
      <c r="BX15" s="73">
        <f>'Connection count '!AI14</f>
        <v>519.48181887976432</v>
      </c>
      <c r="BY15" s="73">
        <f t="shared" ref="BY15:BY16" si="75">BY14</f>
        <v>1442.0116756645125</v>
      </c>
      <c r="BZ15" s="73">
        <f t="shared" ref="BZ15" si="76">BY15*BX15</f>
        <v>749098.84812005772</v>
      </c>
      <c r="CB15" s="69">
        <f t="shared" ref="CB15" si="77">BV15</f>
        <v>2019</v>
      </c>
      <c r="CD15" s="73">
        <f>'Connection count '!AM14</f>
        <v>715.82160911532708</v>
      </c>
      <c r="CE15" s="73">
        <f t="shared" ref="CE15:CE16" si="78">CE14</f>
        <v>3119.5653544390916</v>
      </c>
      <c r="CF15" s="73">
        <f>CE15*CD15</f>
        <v>2233052.2917550164</v>
      </c>
    </row>
    <row r="16" spans="1:84">
      <c r="B16" s="69">
        <f t="shared" si="29"/>
        <v>2020</v>
      </c>
      <c r="G16" s="73">
        <f ca="1">SUMIF('Res Normalized Monthly'!$B:$B,B16,'Res Normalized Monthly'!$T:$T)</f>
        <v>625224916.94917572</v>
      </c>
      <c r="H16" s="73">
        <f>CDM!H88</f>
        <v>33776666.172614783</v>
      </c>
      <c r="I16" s="73">
        <f ca="1">G16-H16</f>
        <v>591448250.7765609</v>
      </c>
      <c r="K16" s="69">
        <f t="shared" ref="K16" si="79">B16</f>
        <v>2020</v>
      </c>
      <c r="P16" s="73">
        <f ca="1">SUMIF('GS &lt; 50 Normalized Monthly'!$B:$B,K16,'GS &lt; 50 Normalized Monthly'!V:V)</f>
        <v>211600211.92695868</v>
      </c>
      <c r="Q16" s="73">
        <f>CDM!H89</f>
        <v>9317123.8276903946</v>
      </c>
      <c r="R16" s="73">
        <f t="shared" ref="R16" ca="1" si="80">P16-Q16</f>
        <v>202283088.09926829</v>
      </c>
      <c r="T16" s="69">
        <f t="shared" si="5"/>
        <v>2020</v>
      </c>
      <c r="Y16" s="73">
        <f ca="1">SUMIF('GS &gt; 50 Normalized Monthly (LC)'!$B:$B,T16,'GS &gt; 50 Normalized Monthly (LC)'!AB:AB)</f>
        <v>1024520182.9783311</v>
      </c>
      <c r="Z16" s="73">
        <f ca="1">SUM('GS &gt; 50 Normalized Monthly (LC)'!AB134:AB145)-SUM('GS &gt; 50 Normalized Monthly'!AB134:AB145)</f>
        <v>-3241797.8582704067</v>
      </c>
      <c r="AA16" s="73">
        <f>CDM!H90</f>
        <v>67992626.617345318</v>
      </c>
      <c r="AB16" s="73">
        <f ca="1">Y16-AA16</f>
        <v>956527556.36098576</v>
      </c>
      <c r="AD16" s="69">
        <f t="shared" ref="AD16" si="81">T16</f>
        <v>2020</v>
      </c>
      <c r="AI16" s="73">
        <f>SUMIF('Intermediate Normalized Monthly'!$B:$B,AD16,'Intermediate Normalized Monthly'!R:R)</f>
        <v>41159089.605600327</v>
      </c>
      <c r="AJ16" s="73">
        <f>CDM!H91</f>
        <v>1032122.3204479897</v>
      </c>
      <c r="AK16" s="73">
        <f t="shared" ref="AK16" si="82">AI16-AJ16</f>
        <v>40126967.285152338</v>
      </c>
      <c r="AM16" s="69">
        <f t="shared" ref="AM16" si="83">AD16</f>
        <v>2020</v>
      </c>
      <c r="AR16" s="73">
        <f ca="1">SUMIF('Large Use Norm Monthly (LC)'!$B:$B,AM16,'Large Use Norm Monthly (LC)'!R:R)</f>
        <v>274265228.74472678</v>
      </c>
      <c r="AS16" s="73">
        <f ca="1">SUM('Large Use Norm Monthly (LC)'!R134:R145)-SUM('Large Use Normalized Monthly'!R134:R145)</f>
        <v>-61545727.39578414</v>
      </c>
      <c r="AT16" s="73">
        <f>CDM!H92+AU16</f>
        <v>8470851.7024710402</v>
      </c>
      <c r="AU16" s="73">
        <f>-CDM!O71</f>
        <v>-1469214.729761156</v>
      </c>
      <c r="AV16" s="73">
        <f ca="1">AR16-AT16</f>
        <v>265794377.04225573</v>
      </c>
      <c r="AX16" s="69">
        <f t="shared" ref="AX16" si="84">AM16</f>
        <v>2020</v>
      </c>
      <c r="BC16" s="73">
        <f t="shared" ca="1" si="30"/>
        <v>276090122.32992023</v>
      </c>
      <c r="BD16" s="73">
        <f>CDM!H93</f>
        <v>26000175.291892424</v>
      </c>
      <c r="BE16" s="73">
        <f t="shared" ref="BE16" ca="1" si="85">BC16-BD16</f>
        <v>250089947.03802782</v>
      </c>
      <c r="BG16" s="69">
        <f t="shared" ref="BG16" si="86">AX16</f>
        <v>2020</v>
      </c>
      <c r="BL16" s="73">
        <f t="shared" ca="1" si="31"/>
        <v>42665019.123101473</v>
      </c>
      <c r="BM16" s="73">
        <f>CDM!H94</f>
        <v>360261.26236817212</v>
      </c>
      <c r="BN16" s="73">
        <f t="shared" ref="BN16" ca="1" si="87">BL16-BM16</f>
        <v>42304757.8607333</v>
      </c>
      <c r="BO16" s="73"/>
      <c r="BP16" s="69">
        <f t="shared" ref="BP16" si="88">AM16</f>
        <v>2020</v>
      </c>
      <c r="BR16" s="73">
        <f>'Connection count '!AE15</f>
        <v>24343.637659203039</v>
      </c>
      <c r="BS16" s="73">
        <f>BS15</f>
        <v>266.34468177980932</v>
      </c>
      <c r="BT16" s="73">
        <f>BS16*BR16</f>
        <v>6483798.4257034156</v>
      </c>
      <c r="BV16" s="69">
        <f t="shared" ref="BV16" si="89">BP16</f>
        <v>2020</v>
      </c>
      <c r="BX16" s="73">
        <f>'Connection count '!AI15</f>
        <v>506.54408286556219</v>
      </c>
      <c r="BY16" s="73">
        <f t="shared" si="75"/>
        <v>1442.0116756645125</v>
      </c>
      <c r="BZ16" s="73">
        <f t="shared" ref="BZ16" si="90">BY16*BX16</f>
        <v>730442.48173091304</v>
      </c>
      <c r="CB16" s="69">
        <f t="shared" ref="CB16" si="91">BV16</f>
        <v>2020</v>
      </c>
      <c r="CD16" s="73">
        <f>'Connection count '!AM15</f>
        <v>705.30017353951291</v>
      </c>
      <c r="CE16" s="73">
        <f t="shared" si="78"/>
        <v>3119.5653544390916</v>
      </c>
      <c r="CF16" s="73">
        <f>CE16*CD16</f>
        <v>2200229.9858537433</v>
      </c>
    </row>
    <row r="20" spans="69:69">
      <c r="BQ20" s="67"/>
    </row>
    <row r="37" spans="9:48">
      <c r="I37" s="65"/>
      <c r="AT37" s="65"/>
    </row>
    <row r="38" spans="9:48">
      <c r="I38" s="65"/>
      <c r="AN38" s="65"/>
      <c r="AO38" s="65"/>
      <c r="AP38" s="65"/>
      <c r="AQ38" s="65"/>
      <c r="AR38" s="65"/>
      <c r="AS38" s="65"/>
      <c r="AT38" s="65"/>
      <c r="AU38" s="65"/>
      <c r="AV38" s="65"/>
    </row>
    <row r="39" spans="9:48">
      <c r="I39" s="65"/>
      <c r="U39" s="65"/>
      <c r="V39" s="65"/>
      <c r="W39" s="65"/>
      <c r="X39" s="65"/>
      <c r="Y39" s="65"/>
      <c r="Z39" s="65"/>
      <c r="AA39" s="65"/>
      <c r="AB39" s="65"/>
      <c r="AN39" s="65"/>
      <c r="AO39" s="65"/>
      <c r="AP39" s="65"/>
      <c r="AQ39" s="65"/>
      <c r="AR39" s="65"/>
      <c r="AS39" s="65"/>
      <c r="AT39" s="65"/>
      <c r="AU39" s="65"/>
      <c r="AV39" s="65"/>
    </row>
    <row r="40" spans="9:48">
      <c r="I40" s="65"/>
      <c r="U40" s="65"/>
      <c r="V40" s="65"/>
      <c r="W40" s="65"/>
      <c r="X40" s="65"/>
      <c r="Y40" s="65"/>
      <c r="Z40" s="65"/>
      <c r="AA40" s="65"/>
      <c r="AB40" s="65"/>
      <c r="AN40" s="65"/>
      <c r="AO40" s="65"/>
      <c r="AP40" s="65"/>
      <c r="AQ40" s="65"/>
      <c r="AR40" s="65"/>
      <c r="AS40" s="65"/>
      <c r="AT40" s="65"/>
      <c r="AU40" s="65"/>
      <c r="AV40" s="65"/>
    </row>
    <row r="41" spans="9:48">
      <c r="I41" s="65"/>
      <c r="U41" s="65"/>
      <c r="V41" s="65"/>
      <c r="W41" s="65"/>
      <c r="X41" s="65"/>
      <c r="Y41" s="65"/>
      <c r="Z41" s="65"/>
      <c r="AA41" s="65"/>
      <c r="AB41" s="65"/>
      <c r="AN41" s="65"/>
      <c r="AO41" s="65"/>
      <c r="AP41" s="65"/>
      <c r="AQ41" s="65"/>
      <c r="AR41" s="65"/>
      <c r="AS41" s="65"/>
      <c r="AT41" s="65"/>
      <c r="AU41" s="65"/>
      <c r="AV41" s="65"/>
    </row>
    <row r="42" spans="9:48">
      <c r="I42" s="65"/>
      <c r="U42" s="65"/>
      <c r="V42" s="65"/>
      <c r="W42" s="65"/>
      <c r="X42" s="65"/>
      <c r="Y42" s="65"/>
      <c r="Z42" s="65"/>
      <c r="AA42" s="65"/>
      <c r="AB42" s="65"/>
      <c r="AN42" s="65"/>
      <c r="AO42" s="65"/>
      <c r="AP42" s="65"/>
      <c r="AQ42" s="65"/>
      <c r="AR42" s="65"/>
      <c r="AS42" s="65"/>
      <c r="AT42" s="65"/>
      <c r="AU42" s="65"/>
      <c r="AV42" s="65"/>
    </row>
    <row r="43" spans="9:48">
      <c r="I43" s="65"/>
      <c r="U43" s="65"/>
      <c r="V43" s="65"/>
      <c r="W43" s="65"/>
      <c r="X43" s="65"/>
      <c r="Y43" s="65"/>
      <c r="Z43" s="65"/>
      <c r="AA43" s="65"/>
      <c r="AB43" s="65"/>
      <c r="AN43" s="65"/>
      <c r="AO43" s="65"/>
      <c r="AP43" s="65"/>
      <c r="AQ43" s="65"/>
      <c r="AR43" s="65"/>
      <c r="AS43" s="65"/>
      <c r="AT43" s="65"/>
      <c r="AU43" s="65"/>
      <c r="AV43" s="65"/>
    </row>
    <row r="44" spans="9:48">
      <c r="I44" s="65"/>
      <c r="U44" s="65"/>
      <c r="V44" s="65"/>
      <c r="W44" s="65"/>
      <c r="X44" s="65"/>
      <c r="Y44" s="65"/>
      <c r="Z44" s="65"/>
      <c r="AA44" s="65"/>
      <c r="AB44" s="65"/>
      <c r="AN44" s="65"/>
      <c r="AO44" s="65"/>
      <c r="AP44" s="65"/>
      <c r="AQ44" s="65"/>
      <c r="AR44" s="65"/>
      <c r="AS44" s="65"/>
      <c r="AT44" s="65"/>
      <c r="AU44" s="65"/>
      <c r="AV44" s="65"/>
    </row>
    <row r="45" spans="9:48">
      <c r="I45" s="65"/>
      <c r="U45" s="65"/>
      <c r="V45" s="65"/>
      <c r="W45" s="65"/>
      <c r="X45" s="65"/>
      <c r="Y45" s="65"/>
      <c r="Z45" s="65"/>
      <c r="AA45" s="65"/>
      <c r="AB45" s="65"/>
      <c r="AN45" s="65"/>
      <c r="AO45" s="65"/>
      <c r="AP45" s="65"/>
      <c r="AQ45" s="65"/>
      <c r="AR45" s="65"/>
      <c r="AS45" s="65"/>
      <c r="AT45" s="65"/>
      <c r="AU45" s="65"/>
      <c r="AV45" s="65"/>
    </row>
    <row r="46" spans="9:48">
      <c r="U46" s="65"/>
      <c r="V46" s="65"/>
      <c r="W46" s="65"/>
      <c r="X46" s="65"/>
      <c r="Y46" s="65"/>
      <c r="Z46" s="65"/>
      <c r="AA46" s="65"/>
      <c r="AB46" s="65"/>
      <c r="AN46" s="65"/>
      <c r="AO46" s="65"/>
      <c r="AP46" s="65"/>
      <c r="AQ46" s="65"/>
      <c r="AR46" s="65"/>
      <c r="AS46" s="65"/>
      <c r="AT46" s="65"/>
      <c r="AU46" s="65"/>
      <c r="AV46" s="65"/>
    </row>
    <row r="47" spans="9:48">
      <c r="K47" s="145"/>
      <c r="U47" s="65"/>
      <c r="V47" s="65"/>
      <c r="W47" s="65"/>
      <c r="X47" s="65"/>
      <c r="Y47" s="65"/>
      <c r="Z47" s="65"/>
      <c r="AA47" s="65"/>
      <c r="AB47" s="65"/>
      <c r="AN47" s="65"/>
      <c r="AO47" s="65"/>
      <c r="AP47" s="65"/>
      <c r="AQ47" s="65"/>
      <c r="AR47" s="65"/>
      <c r="AS47" s="65"/>
      <c r="AT47" s="65"/>
      <c r="AU47" s="65"/>
      <c r="AV47" s="65"/>
    </row>
    <row r="48" spans="9:48">
      <c r="U48" s="65"/>
      <c r="V48" s="65"/>
      <c r="W48" s="65"/>
      <c r="X48" s="65"/>
      <c r="Y48" s="65"/>
      <c r="Z48" s="65"/>
      <c r="AA48" s="65"/>
      <c r="AB48" s="65"/>
      <c r="AN48" s="65"/>
      <c r="AO48" s="65"/>
      <c r="AP48" s="65"/>
      <c r="AQ48" s="65"/>
      <c r="AR48" s="65"/>
      <c r="AS48" s="65"/>
      <c r="AT48" s="65"/>
      <c r="AU48" s="65"/>
      <c r="AV48" s="65"/>
    </row>
    <row r="49" spans="21:48">
      <c r="U49" s="65"/>
      <c r="V49" s="65"/>
      <c r="W49" s="65"/>
      <c r="X49" s="65"/>
      <c r="Y49" s="65"/>
      <c r="Z49" s="65"/>
      <c r="AA49" s="65"/>
      <c r="AB49" s="65"/>
      <c r="AN49" s="65"/>
      <c r="AO49" s="65"/>
      <c r="AP49" s="65"/>
      <c r="AQ49" s="65"/>
      <c r="AR49" s="65"/>
      <c r="AS49" s="65"/>
      <c r="AT49" s="65"/>
      <c r="AU49" s="65"/>
      <c r="AV49" s="65"/>
    </row>
  </sheetData>
  <mergeCells count="10">
    <mergeCell ref="B2:I2"/>
    <mergeCell ref="K2:R2"/>
    <mergeCell ref="U2:AB2"/>
    <mergeCell ref="AE2:AK2"/>
    <mergeCell ref="AN2:AV2"/>
    <mergeCell ref="BP2:BT2"/>
    <mergeCell ref="BV2:BZ2"/>
    <mergeCell ref="CB2:CF2"/>
    <mergeCell ref="BH2:BN2"/>
    <mergeCell ref="AY2:BE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161BE-BC8E-439D-9C0F-C257041651AE}">
  <dimension ref="A1:AK111"/>
  <sheetViews>
    <sheetView workbookViewId="0">
      <selection activeCell="D94" sqref="D94"/>
    </sheetView>
  </sheetViews>
  <sheetFormatPr defaultRowHeight="12.75"/>
  <cols>
    <col min="1" max="1" width="9.33203125" style="127"/>
    <col min="2" max="2" width="35.1640625" bestFit="1" customWidth="1"/>
    <col min="3" max="3" width="13.1640625" bestFit="1" customWidth="1"/>
    <col min="4" max="4" width="15.1640625" bestFit="1" customWidth="1"/>
    <col min="5" max="5" width="14.33203125" bestFit="1" customWidth="1"/>
    <col min="6" max="6" width="14.6640625" bestFit="1" customWidth="1"/>
    <col min="7" max="7" width="13.1640625" bestFit="1" customWidth="1"/>
    <col min="8" max="8" width="14.6640625" bestFit="1" customWidth="1"/>
    <col min="9" max="9" width="14.33203125" bestFit="1" customWidth="1"/>
    <col min="10" max="10" width="14.6640625" bestFit="1" customWidth="1"/>
    <col min="11" max="11" width="14.33203125" bestFit="1" customWidth="1"/>
    <col min="12" max="12" width="16.33203125" bestFit="1" customWidth="1"/>
    <col min="13" max="13" width="14.33203125" bestFit="1" customWidth="1"/>
    <col min="14" max="14" width="16.33203125" bestFit="1" customWidth="1"/>
    <col min="15" max="15" width="14.33203125" bestFit="1" customWidth="1"/>
    <col min="16" max="16" width="16.33203125" bestFit="1" customWidth="1"/>
    <col min="17" max="17" width="14.33203125" bestFit="1" customWidth="1"/>
    <col min="18" max="18" width="16.1640625" bestFit="1" customWidth="1"/>
    <col min="19" max="19" width="10.33203125" bestFit="1" customWidth="1"/>
    <col min="20" max="20" width="16.1640625" bestFit="1" customWidth="1"/>
    <col min="21" max="21" width="10.33203125" bestFit="1" customWidth="1"/>
    <col min="22" max="22" width="17.33203125" bestFit="1" customWidth="1"/>
    <col min="23" max="23" width="12.5" bestFit="1" customWidth="1"/>
    <col min="24" max="24" width="17.33203125" bestFit="1" customWidth="1"/>
    <col min="25" max="25" width="11.33203125" customWidth="1"/>
    <col min="26" max="26" width="17.33203125" bestFit="1" customWidth="1"/>
    <col min="27" max="27" width="12.5" bestFit="1" customWidth="1"/>
    <col min="28" max="28" width="17.33203125" bestFit="1" customWidth="1"/>
    <col min="29" max="29" width="12.5" bestFit="1" customWidth="1"/>
    <col min="30" max="30" width="17.33203125" bestFit="1" customWidth="1"/>
    <col min="31" max="31" width="12.5" bestFit="1" customWidth="1"/>
    <col min="32" max="32" width="17.33203125" bestFit="1" customWidth="1"/>
    <col min="34" max="34" width="12.5" bestFit="1" customWidth="1"/>
    <col min="35" max="35" width="12.6640625" customWidth="1"/>
    <col min="36" max="36" width="12.5" bestFit="1" customWidth="1"/>
  </cols>
  <sheetData>
    <row r="1" spans="1:17">
      <c r="B1" s="161"/>
      <c r="C1">
        <v>2006</v>
      </c>
      <c r="D1">
        <v>2007</v>
      </c>
      <c r="E1">
        <v>2008</v>
      </c>
      <c r="F1">
        <v>2009</v>
      </c>
      <c r="G1">
        <v>2010</v>
      </c>
      <c r="H1">
        <v>2011</v>
      </c>
      <c r="I1">
        <v>2012</v>
      </c>
      <c r="J1">
        <v>2013</v>
      </c>
      <c r="K1">
        <v>2014</v>
      </c>
      <c r="L1">
        <v>2015</v>
      </c>
      <c r="M1">
        <v>2016</v>
      </c>
      <c r="N1">
        <v>2017</v>
      </c>
      <c r="O1">
        <v>2018</v>
      </c>
      <c r="P1">
        <v>2019</v>
      </c>
      <c r="Q1">
        <v>2020</v>
      </c>
    </row>
    <row r="2" spans="1:17">
      <c r="B2" t="s">
        <v>136</v>
      </c>
      <c r="C2" s="155">
        <f ca="1">OFFSET($C50,0,(COLUMN()-3)*2)</f>
        <v>148.6585</v>
      </c>
      <c r="D2" s="155">
        <f t="shared" ref="D2:Q2" ca="1" si="0">OFFSET($C50,0,(COLUMN()-3)*2)</f>
        <v>1318.3140438042951</v>
      </c>
      <c r="E2" s="155">
        <f t="shared" ca="1" si="0"/>
        <v>1415.5466992392965</v>
      </c>
      <c r="F2" s="155">
        <f t="shared" ca="1" si="0"/>
        <v>1570.1334631210277</v>
      </c>
      <c r="G2" s="155">
        <f t="shared" ca="1" si="0"/>
        <v>2084.8038698987175</v>
      </c>
      <c r="H2" s="155">
        <f t="shared" ca="1" si="0"/>
        <v>2715.8233160021637</v>
      </c>
      <c r="I2" s="155">
        <f t="shared" ca="1" si="0"/>
        <v>3224.8969313440903</v>
      </c>
      <c r="J2" s="155">
        <f t="shared" ca="1" si="0"/>
        <v>4194.4367850774261</v>
      </c>
      <c r="K2" s="155">
        <f t="shared" ca="1" si="0"/>
        <v>4133.6256405776021</v>
      </c>
      <c r="L2" s="155">
        <f t="shared" ca="1" si="0"/>
        <v>4589.7852923038117</v>
      </c>
      <c r="M2" s="155">
        <f t="shared" ca="1" si="0"/>
        <v>5055.0420618432372</v>
      </c>
      <c r="N2" s="155">
        <f t="shared" ca="1" si="0"/>
        <v>5753.844341245881</v>
      </c>
      <c r="O2" s="155">
        <f t="shared" ca="1" si="0"/>
        <v>6022.0027972807657</v>
      </c>
      <c r="P2" s="155">
        <f t="shared" ca="1" si="0"/>
        <v>6067.7639622871102</v>
      </c>
      <c r="Q2" s="155">
        <f t="shared" ca="1" si="0"/>
        <v>5907.4349513076158</v>
      </c>
    </row>
    <row r="3" spans="1:17">
      <c r="B3" t="s">
        <v>211</v>
      </c>
      <c r="C3" s="155">
        <f t="shared" ref="C3:Q9" ca="1" si="1">OFFSET($C51,0,(COLUMN()-3)*2)</f>
        <v>0</v>
      </c>
      <c r="D3" s="155">
        <f t="shared" ca="1" si="1"/>
        <v>0</v>
      </c>
      <c r="E3" s="155">
        <f t="shared" ca="1" si="1"/>
        <v>26.385373806717272</v>
      </c>
      <c r="F3" s="155">
        <f t="shared" ca="1" si="1"/>
        <v>754.22736294157812</v>
      </c>
      <c r="G3" s="155">
        <f t="shared" ca="1" si="1"/>
        <v>1842.9709886776493</v>
      </c>
      <c r="H3" s="155">
        <f t="shared" ca="1" si="1"/>
        <v>2605.9621753364672</v>
      </c>
      <c r="I3" s="155">
        <f t="shared" ca="1" si="1"/>
        <v>3062.0616925376912</v>
      </c>
      <c r="J3" s="155">
        <f t="shared" ca="1" si="1"/>
        <v>3231.0622238950864</v>
      </c>
      <c r="K3" s="155">
        <f t="shared" ca="1" si="1"/>
        <v>3218.800521014321</v>
      </c>
      <c r="L3" s="155">
        <f t="shared" ca="1" si="1"/>
        <v>3570.1028443658406</v>
      </c>
      <c r="M3" s="155">
        <f t="shared" ca="1" si="1"/>
        <v>3801.0473847674684</v>
      </c>
      <c r="N3" s="155">
        <f t="shared" ca="1" si="1"/>
        <v>3564.2294504455945</v>
      </c>
      <c r="O3" s="155">
        <f t="shared" ca="1" si="1"/>
        <v>1997.4707502968452</v>
      </c>
      <c r="P3" s="155">
        <f t="shared" ca="1" si="1"/>
        <v>2130.1436187007344</v>
      </c>
      <c r="Q3" s="155">
        <f t="shared" ca="1" si="1"/>
        <v>2084.6153542637699</v>
      </c>
    </row>
    <row r="4" spans="1:17">
      <c r="B4" t="s">
        <v>212</v>
      </c>
      <c r="C4" s="155">
        <f t="shared" ca="1" si="1"/>
        <v>0</v>
      </c>
      <c r="D4" s="155">
        <f t="shared" ca="1" si="1"/>
        <v>0</v>
      </c>
      <c r="E4" s="155">
        <f t="shared" ca="1" si="1"/>
        <v>72.74123114860798</v>
      </c>
      <c r="F4" s="155">
        <f t="shared" ca="1" si="1"/>
        <v>372.82114341891122</v>
      </c>
      <c r="G4" s="155">
        <f t="shared" ca="1" si="1"/>
        <v>793.20899013702945</v>
      </c>
      <c r="H4" s="155">
        <f t="shared" ca="1" si="1"/>
        <v>1299.8536584720346</v>
      </c>
      <c r="I4" s="155">
        <f t="shared" ca="1" si="1"/>
        <v>2068.7581127924004</v>
      </c>
      <c r="J4" s="155">
        <f t="shared" ca="1" si="1"/>
        <v>3279.007107134646</v>
      </c>
      <c r="K4" s="155">
        <f t="shared" ca="1" si="1"/>
        <v>4772.5600770561396</v>
      </c>
      <c r="L4" s="155">
        <f t="shared" ca="1" si="1"/>
        <v>6306.2112773710787</v>
      </c>
      <c r="M4" s="155">
        <f t="shared" ca="1" si="1"/>
        <v>7933.4697216471541</v>
      </c>
      <c r="N4" s="155">
        <f t="shared" ca="1" si="1"/>
        <v>9994.4137048400698</v>
      </c>
      <c r="O4" s="155">
        <f t="shared" ca="1" si="1"/>
        <v>12311.387914605</v>
      </c>
      <c r="P4" s="155">
        <f t="shared" ca="1" si="1"/>
        <v>14136.838878003267</v>
      </c>
      <c r="Q4" s="155">
        <f t="shared" ca="1" si="1"/>
        <v>13741.430897640714</v>
      </c>
    </row>
    <row r="5" spans="1:17">
      <c r="A5" s="161" t="s">
        <v>183</v>
      </c>
      <c r="B5" t="s">
        <v>213</v>
      </c>
      <c r="C5" s="155">
        <f t="shared" ca="1" si="1"/>
        <v>0</v>
      </c>
      <c r="D5" s="155">
        <f t="shared" ca="1" si="1"/>
        <v>0</v>
      </c>
      <c r="E5" s="155">
        <f t="shared" ca="1" si="1"/>
        <v>0</v>
      </c>
      <c r="F5" s="155">
        <f t="shared" ca="1" si="1"/>
        <v>0</v>
      </c>
      <c r="G5" s="155">
        <f t="shared" ca="1" si="1"/>
        <v>0</v>
      </c>
      <c r="H5" s="155">
        <f t="shared" ca="1" si="1"/>
        <v>0</v>
      </c>
      <c r="I5" s="155">
        <f t="shared" ca="1" si="1"/>
        <v>2.0429248265184863</v>
      </c>
      <c r="J5" s="155">
        <f t="shared" ca="1" si="1"/>
        <v>4.1908980264579876</v>
      </c>
      <c r="K5" s="155">
        <f t="shared" ca="1" si="1"/>
        <v>8.1140684183324865</v>
      </c>
      <c r="L5" s="155">
        <f t="shared" ca="1" si="1"/>
        <v>18.909748321705337</v>
      </c>
      <c r="M5" s="155">
        <f t="shared" ca="1" si="1"/>
        <v>27.577610184068277</v>
      </c>
      <c r="N5" s="155">
        <f t="shared" ca="1" si="1"/>
        <v>58.895224167797593</v>
      </c>
      <c r="O5" s="155">
        <f t="shared" ca="1" si="1"/>
        <v>145.91734551595516</v>
      </c>
      <c r="P5" s="155">
        <f t="shared" ca="1" si="1"/>
        <v>177.48168888984702</v>
      </c>
      <c r="Q5" s="155">
        <f t="shared" ca="1" si="1"/>
        <v>178.59957836767623</v>
      </c>
    </row>
    <row r="6" spans="1:17">
      <c r="B6" t="s">
        <v>214</v>
      </c>
      <c r="C6" s="155">
        <f t="shared" ca="1" si="1"/>
        <v>0</v>
      </c>
      <c r="D6" s="155">
        <f t="shared" ca="1" si="1"/>
        <v>0</v>
      </c>
      <c r="E6" s="155">
        <f t="shared" ca="1" si="1"/>
        <v>0</v>
      </c>
      <c r="F6" s="155">
        <f t="shared" ca="1" si="1"/>
        <v>0</v>
      </c>
      <c r="G6" s="155">
        <f t="shared" ca="1" si="1"/>
        <v>0</v>
      </c>
      <c r="H6" s="155">
        <f t="shared" ca="1" si="1"/>
        <v>173.59560205470999</v>
      </c>
      <c r="I6" s="155">
        <f t="shared" ca="1" si="1"/>
        <v>492.69285008701439</v>
      </c>
      <c r="J6" s="155">
        <f t="shared" ca="1" si="1"/>
        <v>873.98535002069445</v>
      </c>
      <c r="K6" s="155">
        <f t="shared" ca="1" si="1"/>
        <v>1217.1004897467144</v>
      </c>
      <c r="L6" s="155">
        <f t="shared" ca="1" si="1"/>
        <v>1388.6278657643984</v>
      </c>
      <c r="M6" s="155">
        <f t="shared" ca="1" si="1"/>
        <v>1447.2316865622397</v>
      </c>
      <c r="N6" s="155">
        <f t="shared" ca="1" si="1"/>
        <v>1448.1282019906978</v>
      </c>
      <c r="O6" s="155">
        <f t="shared" ca="1" si="1"/>
        <v>1643.2863781142294</v>
      </c>
      <c r="P6" s="155">
        <f t="shared" ca="1" si="1"/>
        <v>1886.7884562047777</v>
      </c>
      <c r="Q6" s="155">
        <f t="shared" ca="1" si="1"/>
        <v>5033.900929313796</v>
      </c>
    </row>
    <row r="7" spans="1:17">
      <c r="B7" t="s">
        <v>186</v>
      </c>
      <c r="C7" s="155">
        <f t="shared" ca="1" si="1"/>
        <v>0</v>
      </c>
      <c r="D7" s="155">
        <f t="shared" ca="1" si="1"/>
        <v>0</v>
      </c>
      <c r="E7" s="155">
        <f t="shared" ca="1" si="1"/>
        <v>0</v>
      </c>
      <c r="F7" s="155">
        <f t="shared" ca="1" si="1"/>
        <v>0</v>
      </c>
      <c r="G7" s="155">
        <f t="shared" ca="1" si="1"/>
        <v>0</v>
      </c>
      <c r="H7" s="155">
        <f t="shared" ca="1" si="1"/>
        <v>0</v>
      </c>
      <c r="I7" s="155">
        <f t="shared" ca="1" si="1"/>
        <v>576.51772168463197</v>
      </c>
      <c r="J7" s="155">
        <f t="shared" ca="1" si="1"/>
        <v>1550.4327179472589</v>
      </c>
      <c r="K7" s="155">
        <f t="shared" ca="1" si="1"/>
        <v>2036.5661874239258</v>
      </c>
      <c r="L7" s="155">
        <f t="shared" ca="1" si="1"/>
        <v>2243.3714428672247</v>
      </c>
      <c r="M7" s="155">
        <f t="shared" ca="1" si="1"/>
        <v>2615.8391644175454</v>
      </c>
      <c r="N7" s="155">
        <f t="shared" ca="1" si="1"/>
        <v>3492.0931794831795</v>
      </c>
      <c r="O7" s="155">
        <f t="shared" ca="1" si="1"/>
        <v>4135.1206076818025</v>
      </c>
      <c r="P7" s="155">
        <f t="shared" ca="1" si="1"/>
        <v>4372.8500969073211</v>
      </c>
      <c r="Q7" s="155">
        <f t="shared" ca="1" si="1"/>
        <v>4437.4954428055316</v>
      </c>
    </row>
    <row r="8" spans="1:17">
      <c r="B8" t="s">
        <v>215</v>
      </c>
      <c r="C8" s="155">
        <f t="shared" ca="1" si="1"/>
        <v>0</v>
      </c>
      <c r="D8" s="155">
        <f t="shared" ca="1" si="1"/>
        <v>0</v>
      </c>
      <c r="E8" s="155">
        <f t="shared" ca="1" si="1"/>
        <v>0</v>
      </c>
      <c r="F8" s="155">
        <f t="shared" ca="1" si="1"/>
        <v>0</v>
      </c>
      <c r="G8" s="155">
        <f t="shared" ca="1" si="1"/>
        <v>0</v>
      </c>
      <c r="H8" s="155">
        <f t="shared" ca="1" si="1"/>
        <v>0</v>
      </c>
      <c r="I8" s="155">
        <f t="shared" ca="1" si="1"/>
        <v>1.7024373554320718</v>
      </c>
      <c r="J8" s="155">
        <f t="shared" ca="1" si="1"/>
        <v>3.3800876758661147</v>
      </c>
      <c r="K8" s="155">
        <f t="shared" ca="1" si="1"/>
        <v>3.3753331422459061</v>
      </c>
      <c r="L8" s="155">
        <f t="shared" ca="1" si="1"/>
        <v>3.3704835240684932</v>
      </c>
      <c r="M8" s="155">
        <f t="shared" ca="1" si="1"/>
        <v>3.3704835240684932</v>
      </c>
      <c r="N8" s="155">
        <f t="shared" ca="1" si="1"/>
        <v>3.1880924136756494</v>
      </c>
      <c r="O8" s="155">
        <f t="shared" ca="1" si="1"/>
        <v>57.337106404188901</v>
      </c>
      <c r="P8" s="155">
        <f t="shared" ca="1" si="1"/>
        <v>111.84742745792269</v>
      </c>
      <c r="Q8" s="155">
        <f t="shared" ca="1" si="1"/>
        <v>111.19348607601481</v>
      </c>
    </row>
    <row r="9" spans="1:17">
      <c r="B9" t="s">
        <v>216</v>
      </c>
      <c r="C9" s="155">
        <f t="shared" ca="1" si="1"/>
        <v>0</v>
      </c>
      <c r="D9" s="155">
        <f t="shared" ca="1" si="1"/>
        <v>0</v>
      </c>
      <c r="E9" s="155">
        <f t="shared" ca="1" si="1"/>
        <v>0</v>
      </c>
      <c r="F9" s="155">
        <f t="shared" ca="1" si="1"/>
        <v>0</v>
      </c>
      <c r="G9" s="155">
        <f t="shared" ca="1" si="1"/>
        <v>0</v>
      </c>
      <c r="H9" s="155">
        <f t="shared" ca="1" si="1"/>
        <v>0</v>
      </c>
      <c r="I9" s="155">
        <f t="shared" ca="1" si="1"/>
        <v>0</v>
      </c>
      <c r="J9" s="155">
        <f t="shared" ca="1" si="1"/>
        <v>0</v>
      </c>
      <c r="K9" s="155">
        <f t="shared" ca="1" si="1"/>
        <v>0</v>
      </c>
      <c r="L9" s="155">
        <f t="shared" ca="1" si="1"/>
        <v>0</v>
      </c>
      <c r="M9" s="155">
        <f t="shared" ca="1" si="1"/>
        <v>0</v>
      </c>
      <c r="N9" s="155">
        <f t="shared" ca="1" si="1"/>
        <v>0</v>
      </c>
      <c r="O9" s="155">
        <f t="shared" ca="1" si="1"/>
        <v>0</v>
      </c>
      <c r="P9" s="155">
        <f t="shared" ca="1" si="1"/>
        <v>0</v>
      </c>
      <c r="Q9" s="155">
        <f t="shared" ca="1" si="1"/>
        <v>0</v>
      </c>
    </row>
    <row r="10" spans="1:17"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</row>
    <row r="11" spans="1:17">
      <c r="B11" t="s">
        <v>136</v>
      </c>
      <c r="C11" s="155">
        <f ca="1">OFFSET($D50,0,(COLUMN()-3)*2)</f>
        <v>3069725.5</v>
      </c>
      <c r="D11" s="155">
        <f t="shared" ref="D11:Q11" ca="1" si="2">OFFSET($D50,0,(COLUMN()-3)*2)</f>
        <v>9159778.8874216564</v>
      </c>
      <c r="E11" s="155">
        <f t="shared" ca="1" si="2"/>
        <v>11178233.764235808</v>
      </c>
      <c r="F11" s="155">
        <f t="shared" ca="1" si="2"/>
        <v>12905395.295118954</v>
      </c>
      <c r="G11" s="155">
        <f t="shared" ca="1" si="2"/>
        <v>9466437.9703478534</v>
      </c>
      <c r="H11" s="155">
        <f t="shared" ca="1" si="2"/>
        <v>11272332.848857637</v>
      </c>
      <c r="I11" s="155">
        <f t="shared" ca="1" si="2"/>
        <v>12864635.435795739</v>
      </c>
      <c r="J11" s="155">
        <f t="shared" ca="1" si="2"/>
        <v>15101481.340567019</v>
      </c>
      <c r="K11" s="155">
        <f t="shared" ca="1" si="2"/>
        <v>17402895.305016823</v>
      </c>
      <c r="L11" s="155">
        <f t="shared" ca="1" si="2"/>
        <v>17670503.566507727</v>
      </c>
      <c r="M11" s="155">
        <f t="shared" ca="1" si="2"/>
        <v>21365014.036337268</v>
      </c>
      <c r="N11" s="155">
        <f t="shared" ca="1" si="2"/>
        <v>31313557.040520698</v>
      </c>
      <c r="O11" s="155">
        <f t="shared" ca="1" si="2"/>
        <v>35017205.759209864</v>
      </c>
      <c r="P11" s="155">
        <f t="shared" ca="1" si="2"/>
        <v>35742059.91744259</v>
      </c>
      <c r="Q11" s="155">
        <f t="shared" ca="1" si="2"/>
        <v>34575766.619856246</v>
      </c>
    </row>
    <row r="12" spans="1:17">
      <c r="B12" t="s">
        <v>211</v>
      </c>
      <c r="C12" s="155">
        <f t="shared" ref="C12:Q12" ca="1" si="3">OFFSET($D51,0,(COLUMN()-3)*2)</f>
        <v>0</v>
      </c>
      <c r="D12" s="155">
        <f t="shared" ca="1" si="3"/>
        <v>0</v>
      </c>
      <c r="E12" s="155">
        <f t="shared" ca="1" si="3"/>
        <v>166366.87858978781</v>
      </c>
      <c r="F12" s="155">
        <f t="shared" ca="1" si="3"/>
        <v>3004854.8414025158</v>
      </c>
      <c r="G12" s="155">
        <f t="shared" ca="1" si="3"/>
        <v>6912591.4427464642</v>
      </c>
      <c r="H12" s="155">
        <f t="shared" ca="1" si="3"/>
        <v>9242550.5800662991</v>
      </c>
      <c r="I12" s="155">
        <f t="shared" ca="1" si="3"/>
        <v>10824912.927849328</v>
      </c>
      <c r="J12" s="155">
        <f t="shared" ca="1" si="3"/>
        <v>11711624.383561883</v>
      </c>
      <c r="K12" s="155">
        <f t="shared" ca="1" si="3"/>
        <v>12126168.622544302</v>
      </c>
      <c r="L12" s="155">
        <f t="shared" ca="1" si="3"/>
        <v>14136513.140595429</v>
      </c>
      <c r="M12" s="155">
        <f t="shared" ca="1" si="3"/>
        <v>15644268.751131929</v>
      </c>
      <c r="N12" s="155">
        <f t="shared" ca="1" si="3"/>
        <v>12587931.439161209</v>
      </c>
      <c r="O12" s="155">
        <f t="shared" ca="1" si="3"/>
        <v>10202533.079656351</v>
      </c>
      <c r="P12" s="155">
        <f t="shared" ca="1" si="3"/>
        <v>11093512.73623365</v>
      </c>
      <c r="Q12" s="155">
        <f t="shared" ca="1" si="3"/>
        <v>11398010.377164347</v>
      </c>
    </row>
    <row r="13" spans="1:17">
      <c r="A13" s="161" t="s">
        <v>174</v>
      </c>
      <c r="B13" t="s">
        <v>212</v>
      </c>
      <c r="C13" s="155">
        <f t="shared" ref="C13:Q13" ca="1" si="4">OFFSET($D52,0,(COLUMN()-3)*2)</f>
        <v>0</v>
      </c>
      <c r="D13" s="155">
        <f t="shared" ca="1" si="4"/>
        <v>0</v>
      </c>
      <c r="E13" s="155">
        <f t="shared" ca="1" si="4"/>
        <v>379503.71771495789</v>
      </c>
      <c r="F13" s="155">
        <f t="shared" ca="1" si="4"/>
        <v>3326785.3266341118</v>
      </c>
      <c r="G13" s="155">
        <f t="shared" ca="1" si="4"/>
        <v>6845739.411422791</v>
      </c>
      <c r="H13" s="155">
        <f t="shared" ca="1" si="4"/>
        <v>8227293.3484753752</v>
      </c>
      <c r="I13" s="155">
        <f t="shared" ca="1" si="4"/>
        <v>12792018.92094209</v>
      </c>
      <c r="J13" s="155">
        <f t="shared" ca="1" si="4"/>
        <v>20212082.10593868</v>
      </c>
      <c r="K13" s="155">
        <f t="shared" ca="1" si="4"/>
        <v>29688916.712998502</v>
      </c>
      <c r="L13" s="155">
        <f t="shared" ca="1" si="4"/>
        <v>39378471.949839026</v>
      </c>
      <c r="M13" s="155">
        <f t="shared" ca="1" si="4"/>
        <v>48212014.983652823</v>
      </c>
      <c r="N13" s="155">
        <f t="shared" ca="1" si="4"/>
        <v>57125993.157611959</v>
      </c>
      <c r="O13" s="155">
        <f t="shared" ca="1" si="4"/>
        <v>74791634.140374079</v>
      </c>
      <c r="P13" s="155">
        <f t="shared" ca="1" si="4"/>
        <v>90327747.772104532</v>
      </c>
      <c r="Q13" s="155">
        <f t="shared" ca="1" si="4"/>
        <v>93944716.95951651</v>
      </c>
    </row>
    <row r="14" spans="1:17">
      <c r="B14" t="s">
        <v>213</v>
      </c>
      <c r="C14" s="155">
        <f t="shared" ref="C14:Q14" ca="1" si="5">OFFSET($D53,0,(COLUMN()-3)*2)</f>
        <v>0</v>
      </c>
      <c r="D14" s="155">
        <f t="shared" ca="1" si="5"/>
        <v>0</v>
      </c>
      <c r="E14" s="155">
        <f t="shared" ca="1" si="5"/>
        <v>0</v>
      </c>
      <c r="F14" s="155">
        <f t="shared" ca="1" si="5"/>
        <v>0</v>
      </c>
      <c r="G14" s="155">
        <f t="shared" ca="1" si="5"/>
        <v>0</v>
      </c>
      <c r="H14" s="155">
        <f t="shared" ca="1" si="5"/>
        <v>0</v>
      </c>
      <c r="I14" s="155">
        <f t="shared" ca="1" si="5"/>
        <v>28064.582636198997</v>
      </c>
      <c r="J14" s="155">
        <f t="shared" ca="1" si="5"/>
        <v>63564.250358752004</v>
      </c>
      <c r="K14" s="155">
        <f t="shared" ca="1" si="5"/>
        <v>77119.321237298413</v>
      </c>
      <c r="L14" s="155">
        <f t="shared" ca="1" si="5"/>
        <v>250315.11919415195</v>
      </c>
      <c r="M14" s="155">
        <f t="shared" ca="1" si="5"/>
        <v>423799.59896512702</v>
      </c>
      <c r="N14" s="155">
        <f t="shared" ca="1" si="5"/>
        <v>610958.78356721601</v>
      </c>
      <c r="O14" s="155">
        <f t="shared" ca="1" si="5"/>
        <v>1036492.6616043955</v>
      </c>
      <c r="P14" s="155">
        <f t="shared" ca="1" si="5"/>
        <v>1224886.9053596728</v>
      </c>
      <c r="Q14" s="155">
        <f t="shared" ca="1" si="5"/>
        <v>1285926.2185757735</v>
      </c>
    </row>
    <row r="15" spans="1:17">
      <c r="B15" t="s">
        <v>214</v>
      </c>
      <c r="C15" s="155">
        <f t="shared" ref="C15:Q15" ca="1" si="6">OFFSET($D54,0,(COLUMN()-3)*2)</f>
        <v>0</v>
      </c>
      <c r="D15" s="155">
        <f t="shared" ca="1" si="6"/>
        <v>0</v>
      </c>
      <c r="E15" s="155">
        <f t="shared" ca="1" si="6"/>
        <v>0</v>
      </c>
      <c r="F15" s="155">
        <f t="shared" ca="1" si="6"/>
        <v>0</v>
      </c>
      <c r="G15" s="155">
        <f t="shared" ca="1" si="6"/>
        <v>0</v>
      </c>
      <c r="H15" s="155">
        <f t="shared" ca="1" si="6"/>
        <v>593780.2212453949</v>
      </c>
      <c r="I15" s="155">
        <f t="shared" ca="1" si="6"/>
        <v>2605829.9883885207</v>
      </c>
      <c r="J15" s="155">
        <f t="shared" ca="1" si="6"/>
        <v>6090078.3382634111</v>
      </c>
      <c r="K15" s="155">
        <f t="shared" ca="1" si="6"/>
        <v>8881058.9303986374</v>
      </c>
      <c r="L15" s="155">
        <f t="shared" ca="1" si="6"/>
        <v>10107708.279756702</v>
      </c>
      <c r="M15" s="155">
        <f t="shared" ca="1" si="6"/>
        <v>10551815.166880909</v>
      </c>
      <c r="N15" s="155">
        <f t="shared" ca="1" si="6"/>
        <v>10577319.450433785</v>
      </c>
      <c r="O15" s="155">
        <f t="shared" ca="1" si="6"/>
        <v>11678969.914371297</v>
      </c>
      <c r="P15" s="155">
        <f t="shared" ca="1" si="6"/>
        <v>14015417.583767207</v>
      </c>
      <c r="Q15" s="155">
        <f t="shared" ca="1" si="6"/>
        <v>42400361.826889686</v>
      </c>
    </row>
    <row r="16" spans="1:17">
      <c r="B16" t="s">
        <v>186</v>
      </c>
      <c r="C16" s="155">
        <f t="shared" ref="C16:Q16" ca="1" si="7">OFFSET($D55,0,(COLUMN()-3)*2)</f>
        <v>0</v>
      </c>
      <c r="D16" s="155">
        <f t="shared" ca="1" si="7"/>
        <v>0</v>
      </c>
      <c r="E16" s="155">
        <f t="shared" ca="1" si="7"/>
        <v>0</v>
      </c>
      <c r="F16" s="155">
        <f t="shared" ca="1" si="7"/>
        <v>0</v>
      </c>
      <c r="G16" s="155">
        <f t="shared" ca="1" si="7"/>
        <v>0</v>
      </c>
      <c r="H16" s="155">
        <f t="shared" ca="1" si="7"/>
        <v>0</v>
      </c>
      <c r="I16" s="155">
        <f t="shared" ca="1" si="7"/>
        <v>3232821.7271581371</v>
      </c>
      <c r="J16" s="155">
        <f t="shared" ca="1" si="7"/>
        <v>9075528.6572482064</v>
      </c>
      <c r="K16" s="155">
        <f t="shared" ca="1" si="7"/>
        <v>13403463.646787338</v>
      </c>
      <c r="L16" s="155">
        <f t="shared" ca="1" si="7"/>
        <v>15576070.648468908</v>
      </c>
      <c r="M16" s="155">
        <f t="shared" ca="1" si="7"/>
        <v>17374995.264849439</v>
      </c>
      <c r="N16" s="155">
        <f t="shared" ca="1" si="7"/>
        <v>21850499.431430347</v>
      </c>
      <c r="O16" s="155">
        <f t="shared" ca="1" si="7"/>
        <v>26633506.4921607</v>
      </c>
      <c r="P16" s="155">
        <f t="shared" ca="1" si="7"/>
        <v>29232212.760712259</v>
      </c>
      <c r="Q16" s="155">
        <f t="shared" ca="1" si="7"/>
        <v>30781752.576036215</v>
      </c>
    </row>
    <row r="17" spans="1:32" s="127" customFormat="1">
      <c r="B17" s="127" t="s">
        <v>215</v>
      </c>
      <c r="C17" s="155">
        <f t="shared" ref="C17:Q17" ca="1" si="8">OFFSET($D56,0,(COLUMN()-3)*2)</f>
        <v>0</v>
      </c>
      <c r="D17" s="155">
        <f t="shared" ca="1" si="8"/>
        <v>0</v>
      </c>
      <c r="E17" s="155">
        <f t="shared" ca="1" si="8"/>
        <v>0</v>
      </c>
      <c r="F17" s="155">
        <f t="shared" ca="1" si="8"/>
        <v>0</v>
      </c>
      <c r="G17" s="155">
        <f t="shared" ca="1" si="8"/>
        <v>0</v>
      </c>
      <c r="H17" s="155">
        <f t="shared" ca="1" si="8"/>
        <v>0</v>
      </c>
      <c r="I17" s="155">
        <f t="shared" ca="1" si="8"/>
        <v>27493.911545233139</v>
      </c>
      <c r="J17" s="155">
        <f t="shared" ca="1" si="8"/>
        <v>54694.94689598761</v>
      </c>
      <c r="K17" s="155">
        <f t="shared" ca="1" si="8"/>
        <v>54654.663674103103</v>
      </c>
      <c r="L17" s="155">
        <f t="shared" ca="1" si="8"/>
        <v>54613.552726204791</v>
      </c>
      <c r="M17" s="155">
        <f t="shared" ca="1" si="8"/>
        <v>54613.552726204791</v>
      </c>
      <c r="N17" s="155">
        <f t="shared" ca="1" si="8"/>
        <v>53078.541479495638</v>
      </c>
      <c r="O17" s="155">
        <f t="shared" ca="1" si="8"/>
        <v>365392.64978202642</v>
      </c>
      <c r="P17" s="155">
        <f t="shared" ca="1" si="8"/>
        <v>688172.15038216289</v>
      </c>
      <c r="Q17" s="155">
        <f t="shared" ca="1" si="8"/>
        <v>690444.61140051461</v>
      </c>
    </row>
    <row r="18" spans="1:32">
      <c r="B18" t="s">
        <v>216</v>
      </c>
      <c r="C18" s="155">
        <f t="shared" ref="C18:Q18" ca="1" si="9">OFFSET($D57,0,(COLUMN()-3)*2)</f>
        <v>0</v>
      </c>
      <c r="D18" s="155">
        <f t="shared" ca="1" si="9"/>
        <v>0</v>
      </c>
      <c r="E18" s="155">
        <f t="shared" ca="1" si="9"/>
        <v>0</v>
      </c>
      <c r="F18" s="155">
        <f t="shared" ca="1" si="9"/>
        <v>0</v>
      </c>
      <c r="G18" s="155">
        <f t="shared" ca="1" si="9"/>
        <v>0</v>
      </c>
      <c r="H18" s="155">
        <f t="shared" ca="1" si="9"/>
        <v>0</v>
      </c>
      <c r="I18" s="155">
        <f t="shared" ca="1" si="9"/>
        <v>0</v>
      </c>
      <c r="J18" s="155">
        <f t="shared" ca="1" si="9"/>
        <v>0</v>
      </c>
      <c r="K18" s="155">
        <f t="shared" ca="1" si="9"/>
        <v>0</v>
      </c>
      <c r="L18" s="155">
        <f t="shared" ca="1" si="9"/>
        <v>0</v>
      </c>
      <c r="M18" s="155">
        <f t="shared" ca="1" si="9"/>
        <v>7041677.258070264</v>
      </c>
      <c r="N18" s="155">
        <f t="shared" ca="1" si="9"/>
        <v>15409196.447998019</v>
      </c>
      <c r="O18" s="155">
        <f t="shared" ca="1" si="9"/>
        <v>14159787.849458033</v>
      </c>
      <c r="P18" s="155">
        <f t="shared" ca="1" si="9"/>
        <v>14159787.849458033</v>
      </c>
      <c r="Q18" s="155">
        <f t="shared" ca="1" si="9"/>
        <v>14159787.849458033</v>
      </c>
    </row>
    <row r="20" spans="1:32">
      <c r="A20" s="161" t="s">
        <v>217</v>
      </c>
    </row>
    <row r="21" spans="1:32">
      <c r="A21" s="161" t="s">
        <v>218</v>
      </c>
    </row>
    <row r="23" spans="1:32" ht="78" customHeight="1">
      <c r="C23" s="267" t="s">
        <v>219</v>
      </c>
      <c r="D23" s="267"/>
      <c r="E23" s="267" t="s">
        <v>220</v>
      </c>
      <c r="F23" s="267"/>
      <c r="G23" s="267" t="s">
        <v>221</v>
      </c>
      <c r="H23" s="267"/>
      <c r="I23" s="267" t="s">
        <v>222</v>
      </c>
      <c r="J23" s="267"/>
      <c r="K23" s="267" t="s">
        <v>223</v>
      </c>
      <c r="L23" s="267"/>
      <c r="M23" s="267" t="s">
        <v>224</v>
      </c>
      <c r="N23" s="267"/>
      <c r="O23" s="267" t="s">
        <v>225</v>
      </c>
      <c r="P23" s="267"/>
      <c r="Q23" s="267" t="s">
        <v>226</v>
      </c>
      <c r="R23" s="267"/>
      <c r="S23" s="267" t="s">
        <v>227</v>
      </c>
      <c r="T23" s="267"/>
      <c r="U23" s="267" t="s">
        <v>228</v>
      </c>
      <c r="V23" s="267"/>
      <c r="W23" s="267" t="s">
        <v>229</v>
      </c>
      <c r="X23" s="267"/>
      <c r="Y23" s="267" t="s">
        <v>230</v>
      </c>
      <c r="Z23" s="267"/>
      <c r="AA23" s="267" t="s">
        <v>231</v>
      </c>
      <c r="AB23" s="267"/>
      <c r="AC23" s="267" t="s">
        <v>232</v>
      </c>
      <c r="AD23" s="267"/>
      <c r="AE23" s="267" t="s">
        <v>233</v>
      </c>
      <c r="AF23" s="267"/>
    </row>
    <row r="24" spans="1:32" ht="15">
      <c r="C24" s="163" t="s">
        <v>183</v>
      </c>
      <c r="D24" s="163" t="s">
        <v>174</v>
      </c>
      <c r="E24" s="163" t="s">
        <v>183</v>
      </c>
      <c r="F24" s="163" t="s">
        <v>174</v>
      </c>
      <c r="G24" s="163" t="s">
        <v>183</v>
      </c>
      <c r="H24" s="163" t="s">
        <v>174</v>
      </c>
      <c r="I24" s="163" t="s">
        <v>183</v>
      </c>
      <c r="J24" s="163" t="s">
        <v>174</v>
      </c>
      <c r="K24" s="163" t="s">
        <v>183</v>
      </c>
      <c r="L24" s="163" t="s">
        <v>174</v>
      </c>
      <c r="M24" s="163" t="s">
        <v>183</v>
      </c>
      <c r="N24" s="163" t="s">
        <v>174</v>
      </c>
      <c r="O24" s="163" t="s">
        <v>183</v>
      </c>
      <c r="P24" s="163" t="s">
        <v>174</v>
      </c>
      <c r="Q24" s="163" t="s">
        <v>183</v>
      </c>
      <c r="R24" s="163" t="s">
        <v>174</v>
      </c>
      <c r="S24" s="163" t="s">
        <v>183</v>
      </c>
      <c r="T24" s="163" t="s">
        <v>174</v>
      </c>
      <c r="U24" s="163" t="s">
        <v>183</v>
      </c>
      <c r="V24" s="163" t="s">
        <v>174</v>
      </c>
      <c r="W24" s="163" t="s">
        <v>183</v>
      </c>
      <c r="X24" s="163" t="s">
        <v>174</v>
      </c>
      <c r="Y24" s="163" t="s">
        <v>183</v>
      </c>
      <c r="Z24" s="163" t="s">
        <v>174</v>
      </c>
      <c r="AA24" s="163" t="s">
        <v>183</v>
      </c>
      <c r="AB24" s="163" t="s">
        <v>174</v>
      </c>
      <c r="AC24" s="163" t="s">
        <v>183</v>
      </c>
      <c r="AD24" s="163" t="s">
        <v>174</v>
      </c>
      <c r="AE24" s="163" t="s">
        <v>183</v>
      </c>
      <c r="AF24" s="163" t="s">
        <v>174</v>
      </c>
    </row>
    <row r="25" spans="1:32" ht="15"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</row>
    <row r="26" spans="1:32" ht="15">
      <c r="B26" t="s">
        <v>136</v>
      </c>
      <c r="C26" s="215">
        <v>0</v>
      </c>
      <c r="D26" s="215">
        <v>0</v>
      </c>
      <c r="E26" s="215">
        <v>297.31700000000001</v>
      </c>
      <c r="F26" s="215">
        <v>6139451</v>
      </c>
      <c r="G26" s="215">
        <v>1174.4023965813949</v>
      </c>
      <c r="H26" s="215">
        <v>9705202.2618400175</v>
      </c>
      <c r="I26" s="215">
        <v>1345.0724508614355</v>
      </c>
      <c r="J26" s="215">
        <v>12025952.384796657</v>
      </c>
      <c r="K26" s="215">
        <v>1793.8751642379843</v>
      </c>
      <c r="L26" s="215">
        <v>8679714.6295184456</v>
      </c>
      <c r="M26" s="215">
        <v>2371.6083069984825</v>
      </c>
      <c r="N26" s="215">
        <v>10215712.970185863</v>
      </c>
      <c r="O26" s="215">
        <v>3004.615324577564</v>
      </c>
      <c r="P26" s="215">
        <v>11866226.63104986</v>
      </c>
      <c r="Q26" s="215">
        <v>3420.1146897032195</v>
      </c>
      <c r="R26" s="215">
        <v>13741155.1846369</v>
      </c>
      <c r="S26" s="215">
        <v>3817.6256405776016</v>
      </c>
      <c r="T26" s="215">
        <v>15459309.805016823</v>
      </c>
      <c r="U26" s="215">
        <v>4267.7581695378121</v>
      </c>
      <c r="V26" s="215">
        <v>15915359.923812728</v>
      </c>
      <c r="W26" s="215">
        <v>4784.9280197701091</v>
      </c>
      <c r="X26" s="215">
        <v>17701329.019693255</v>
      </c>
      <c r="Y26" s="215">
        <v>5208.8119527176996</v>
      </c>
      <c r="Z26" s="215">
        <v>23910666.008403145</v>
      </c>
      <c r="AA26" s="208">
        <v>5954.9603456792302</v>
      </c>
      <c r="AB26" s="208">
        <v>34210886.479369827</v>
      </c>
      <c r="AC26" s="209">
        <v>6067.7639622871102</v>
      </c>
      <c r="AD26" s="209">
        <v>35742059.91744259</v>
      </c>
      <c r="AE26" s="209">
        <v>5907.4349513076158</v>
      </c>
      <c r="AF26" s="209">
        <v>34575766.619856246</v>
      </c>
    </row>
    <row r="27" spans="1:32" ht="15">
      <c r="B27" t="s">
        <v>211</v>
      </c>
      <c r="C27" s="215">
        <v>0</v>
      </c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52.770747613434544</v>
      </c>
      <c r="J27" s="215">
        <v>332733.75717957562</v>
      </c>
      <c r="K27" s="215">
        <v>1449.5664382697216</v>
      </c>
      <c r="L27" s="215">
        <v>5632068.4762254562</v>
      </c>
      <c r="M27" s="215">
        <v>2236.3755390855767</v>
      </c>
      <c r="N27" s="215">
        <v>8193114.4092674721</v>
      </c>
      <c r="O27" s="215">
        <v>2971.4154517883471</v>
      </c>
      <c r="P27" s="215">
        <v>10280296.844059454</v>
      </c>
      <c r="Q27" s="215">
        <v>3152.1130444470828</v>
      </c>
      <c r="R27" s="215">
        <v>11364240.201815359</v>
      </c>
      <c r="S27" s="215">
        <v>3001.8212710143212</v>
      </c>
      <c r="T27" s="215">
        <v>11220358.691344302</v>
      </c>
      <c r="U27" s="215">
        <v>3411.6216634252896</v>
      </c>
      <c r="V27" s="215">
        <v>12931597.493558997</v>
      </c>
      <c r="W27" s="215">
        <v>3686.5590644368908</v>
      </c>
      <c r="X27" s="215">
        <v>15179697.120116889</v>
      </c>
      <c r="Y27" s="215">
        <v>3354.0955862323685</v>
      </c>
      <c r="Z27" s="215">
        <v>11808315.992857967</v>
      </c>
      <c r="AA27" s="208">
        <v>1904.7847649400433</v>
      </c>
      <c r="AB27" s="208">
        <v>9497312.6504267156</v>
      </c>
      <c r="AC27" s="209">
        <v>2076.1777869558014</v>
      </c>
      <c r="AD27" s="209">
        <v>10377418.650740873</v>
      </c>
      <c r="AE27" s="209">
        <v>2084.6153542637699</v>
      </c>
      <c r="AF27" s="209">
        <v>11398010.377164347</v>
      </c>
    </row>
    <row r="28" spans="1:32" ht="15">
      <c r="B28" t="s">
        <v>212</v>
      </c>
      <c r="C28" s="215">
        <v>0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145.48262667249972</v>
      </c>
      <c r="J28" s="215">
        <v>759002.25199258025</v>
      </c>
      <c r="K28" s="215">
        <v>600.15966016532275</v>
      </c>
      <c r="L28" s="215">
        <v>4205545.3141935375</v>
      </c>
      <c r="M28" s="215">
        <v>986.25832010873614</v>
      </c>
      <c r="N28" s="215">
        <v>6383687.75437936</v>
      </c>
      <c r="O28" s="215">
        <v>1613.4489968353328</v>
      </c>
      <c r="P28" s="215">
        <v>10056772.023571391</v>
      </c>
      <c r="Q28" s="215">
        <v>2517.7382724799713</v>
      </c>
      <c r="R28" s="215">
        <v>15444444.152713388</v>
      </c>
      <c r="S28" s="215">
        <v>4033.0753270561399</v>
      </c>
      <c r="T28" s="215">
        <v>24888437.442298502</v>
      </c>
      <c r="U28" s="215">
        <v>5492.9130822202005</v>
      </c>
      <c r="V28" s="215">
        <v>33817033.253063083</v>
      </c>
      <c r="W28" s="215">
        <v>6917.1981364658041</v>
      </c>
      <c r="X28" s="215">
        <v>43854299.665094644</v>
      </c>
      <c r="Y28" s="215">
        <v>8699.2491113406741</v>
      </c>
      <c r="Z28" s="215">
        <v>51543576.129263192</v>
      </c>
      <c r="AA28" s="208">
        <v>11145.726434700075</v>
      </c>
      <c r="AB28" s="208">
        <v>64807052.148570731</v>
      </c>
      <c r="AC28" s="209">
        <v>13397.771540460666</v>
      </c>
      <c r="AD28" s="209">
        <v>82337058.876516744</v>
      </c>
      <c r="AE28" s="209">
        <v>13741.430897640714</v>
      </c>
      <c r="AF28" s="209">
        <v>93944716.95951651</v>
      </c>
    </row>
    <row r="29" spans="1:32" ht="15">
      <c r="B29" t="s">
        <v>213</v>
      </c>
      <c r="C29" s="215">
        <v>0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4.0561052110393376</v>
      </c>
      <c r="R29" s="215">
        <v>40670.601538042065</v>
      </c>
      <c r="S29" s="215">
        <v>4.3188184183324871</v>
      </c>
      <c r="T29" s="215">
        <v>72600.144037298407</v>
      </c>
      <c r="U29" s="215">
        <v>11.879285333505692</v>
      </c>
      <c r="V29" s="215">
        <v>81546.640394723974</v>
      </c>
      <c r="W29" s="215">
        <v>25.937482309542386</v>
      </c>
      <c r="X29" s="215">
        <v>418911.24265962874</v>
      </c>
      <c r="Y29" s="215">
        <v>28.827418271573819</v>
      </c>
      <c r="Z29" s="215">
        <v>426788.24884290586</v>
      </c>
      <c r="AA29" s="208">
        <v>116.11166251595517</v>
      </c>
      <c r="AB29" s="208">
        <v>911386.19665889547</v>
      </c>
      <c r="AC29" s="209">
        <v>175.43028796467189</v>
      </c>
      <c r="AD29" s="209">
        <v>1160228.8625030508</v>
      </c>
      <c r="AE29" s="209">
        <v>178.59957836767623</v>
      </c>
      <c r="AF29" s="209">
        <v>1285926.2185757735</v>
      </c>
    </row>
    <row r="30" spans="1:32" ht="15">
      <c r="B30" t="s">
        <v>214</v>
      </c>
      <c r="C30" s="215">
        <v>0</v>
      </c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347.19120410941997</v>
      </c>
      <c r="P30" s="215">
        <v>1187560.4424907898</v>
      </c>
      <c r="Q30" s="215">
        <v>636.07603080677723</v>
      </c>
      <c r="R30" s="215">
        <v>3993831.9486156926</v>
      </c>
      <c r="S30" s="215">
        <v>1109.4285897467144</v>
      </c>
      <c r="T30" s="215">
        <v>8160703.8998986371</v>
      </c>
      <c r="U30" s="215">
        <v>1320.4158056269514</v>
      </c>
      <c r="V30" s="215">
        <v>9575483.2752229441</v>
      </c>
      <c r="W30" s="215">
        <v>1443.4690402618567</v>
      </c>
      <c r="X30" s="215">
        <v>10529817.563506167</v>
      </c>
      <c r="Y30" s="215">
        <v>1402.1660586199396</v>
      </c>
      <c r="Z30" s="215">
        <v>10375097.147818029</v>
      </c>
      <c r="AA30" s="208">
        <v>1501.0228986142295</v>
      </c>
      <c r="AB30" s="208">
        <v>10917173.325611297</v>
      </c>
      <c r="AC30" s="209">
        <v>1778.7683743806795</v>
      </c>
      <c r="AD30" s="209">
        <v>12400314.075878102</v>
      </c>
      <c r="AE30" s="209">
        <v>1951.3999293137958</v>
      </c>
      <c r="AF30" s="209">
        <v>15399573.006889686</v>
      </c>
    </row>
    <row r="31" spans="1:32" ht="15">
      <c r="B31" t="s">
        <v>186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1145.6092476838544</v>
      </c>
      <c r="R31" s="215">
        <v>6421775.7914162604</v>
      </c>
      <c r="S31" s="215">
        <v>1950.5326874239258</v>
      </c>
      <c r="T31" s="215">
        <v>11715574.448787339</v>
      </c>
      <c r="U31" s="215">
        <v>2105.5743682985117</v>
      </c>
      <c r="V31" s="215">
        <v>14946260.9687717</v>
      </c>
      <c r="W31" s="215">
        <v>2317.5993734326235</v>
      </c>
      <c r="X31" s="215">
        <v>15469781.098011175</v>
      </c>
      <c r="Y31" s="215">
        <v>2830.2693324382694</v>
      </c>
      <c r="Z31" s="215">
        <v>18973966.756893385</v>
      </c>
      <c r="AA31" s="208">
        <v>4053.0631041818024</v>
      </c>
      <c r="AB31" s="208">
        <v>25656756.120305199</v>
      </c>
      <c r="AC31" s="209">
        <v>4182.1335339978623</v>
      </c>
      <c r="AD31" s="209">
        <v>27329582.019578688</v>
      </c>
      <c r="AE31" s="209">
        <v>4437.4954428055316</v>
      </c>
      <c r="AF31" s="209">
        <v>30781752.576036215</v>
      </c>
    </row>
    <row r="32" spans="1:32" ht="15">
      <c r="B32" t="s">
        <v>215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3.3800876758661147</v>
      </c>
      <c r="R32" s="215">
        <v>54694.94689598761</v>
      </c>
      <c r="S32" s="215">
        <v>3.3753331422459061</v>
      </c>
      <c r="T32" s="215">
        <v>54654.663674103103</v>
      </c>
      <c r="U32" s="215">
        <v>3.3704835240684932</v>
      </c>
      <c r="V32" s="215">
        <v>54613.552726204791</v>
      </c>
      <c r="W32" s="215">
        <v>3.3704835240684932</v>
      </c>
      <c r="X32" s="215">
        <v>54613.552726204791</v>
      </c>
      <c r="Y32" s="215">
        <v>3.1880924136756494</v>
      </c>
      <c r="Z32" s="215">
        <v>53078.541479495638</v>
      </c>
      <c r="AA32" s="208">
        <v>3.1238554041889035</v>
      </c>
      <c r="AB32" s="208">
        <v>51568.886222026442</v>
      </c>
      <c r="AC32" s="209">
        <v>111.5503574041889</v>
      </c>
      <c r="AD32" s="209">
        <v>679216.41334202641</v>
      </c>
      <c r="AE32" s="209">
        <v>111.19348607601481</v>
      </c>
      <c r="AF32" s="209">
        <v>690444.61140051461</v>
      </c>
    </row>
    <row r="33" spans="1:37" ht="15">
      <c r="B33" t="s">
        <v>216</v>
      </c>
      <c r="C33" s="215">
        <v>0</v>
      </c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  <c r="S33" s="215">
        <v>0</v>
      </c>
      <c r="T33" s="215">
        <v>0</v>
      </c>
      <c r="U33" s="215">
        <v>0</v>
      </c>
      <c r="V33" s="215">
        <v>0</v>
      </c>
      <c r="W33" s="215">
        <v>0</v>
      </c>
      <c r="X33" s="215">
        <v>0</v>
      </c>
      <c r="Y33" s="215">
        <v>0</v>
      </c>
      <c r="Z33" s="215">
        <v>14083354.51189268</v>
      </c>
      <c r="AA33" s="208">
        <v>0</v>
      </c>
      <c r="AB33" s="208">
        <v>14159787.849458033</v>
      </c>
      <c r="AC33" s="209">
        <v>0</v>
      </c>
      <c r="AD33" s="209">
        <v>14159787.849458033</v>
      </c>
      <c r="AE33" s="209">
        <v>0</v>
      </c>
      <c r="AF33" s="209">
        <v>14159787.849458033</v>
      </c>
    </row>
    <row r="34" spans="1:37" ht="15"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0"/>
      <c r="AB34" s="210"/>
      <c r="AC34" s="210"/>
      <c r="AD34" s="210"/>
      <c r="AE34" s="210"/>
      <c r="AF34" s="210"/>
    </row>
    <row r="35" spans="1:37" ht="15">
      <c r="A35" s="127" t="s">
        <v>234</v>
      </c>
      <c r="C35" s="217">
        <v>0</v>
      </c>
      <c r="D35" s="217">
        <v>0</v>
      </c>
      <c r="E35" s="217">
        <v>297.31700000000001</v>
      </c>
      <c r="F35" s="217">
        <v>6139451</v>
      </c>
      <c r="G35" s="217">
        <v>1174.4023965813949</v>
      </c>
      <c r="H35" s="217">
        <v>9705202.2618400175</v>
      </c>
      <c r="I35" s="217">
        <v>1543.3258251473699</v>
      </c>
      <c r="J35" s="217">
        <v>13117688.393968811</v>
      </c>
      <c r="K35" s="217">
        <v>3843.6012626730289</v>
      </c>
      <c r="L35" s="217">
        <v>18517328.419937439</v>
      </c>
      <c r="M35" s="217">
        <v>5594.2421661927956</v>
      </c>
      <c r="N35" s="217">
        <v>24792515.133832693</v>
      </c>
      <c r="O35" s="217">
        <v>7936.6709773106641</v>
      </c>
      <c r="P35" s="217">
        <v>33390855.941171497</v>
      </c>
      <c r="Q35" s="217">
        <v>10879.08747800781</v>
      </c>
      <c r="R35" s="217">
        <v>51060812.827631623</v>
      </c>
      <c r="S35" s="217">
        <v>13920.177667379283</v>
      </c>
      <c r="T35" s="217">
        <v>71571639.095056996</v>
      </c>
      <c r="U35" s="217">
        <v>16613.532857966336</v>
      </c>
      <c r="V35" s="217">
        <v>87321895.107550383</v>
      </c>
      <c r="W35" s="217">
        <v>19179.061600200894</v>
      </c>
      <c r="X35" s="217">
        <v>103208449.26180798</v>
      </c>
      <c r="Y35" s="217">
        <v>21526.607552034202</v>
      </c>
      <c r="Z35" s="217">
        <v>131174843.3374508</v>
      </c>
      <c r="AA35" s="211">
        <v>24678.793066035523</v>
      </c>
      <c r="AB35" s="211">
        <v>160211923.65662274</v>
      </c>
      <c r="AC35" s="212">
        <v>27789.595843450981</v>
      </c>
      <c r="AD35" s="212">
        <v>184185666.66546014</v>
      </c>
      <c r="AE35" s="212">
        <v>28412.169639775118</v>
      </c>
      <c r="AF35" s="212">
        <v>202235978.21889731</v>
      </c>
    </row>
    <row r="36" spans="1:37" ht="15"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3"/>
      <c r="AB36" s="213"/>
      <c r="AC36" s="213"/>
      <c r="AD36" s="213"/>
      <c r="AE36" s="213"/>
      <c r="AF36" s="213"/>
    </row>
    <row r="37" spans="1:37" ht="15">
      <c r="B37" t="s">
        <v>136</v>
      </c>
      <c r="C37" s="215">
        <v>297.31700000000001</v>
      </c>
      <c r="D37" s="215">
        <v>6139451</v>
      </c>
      <c r="E37" s="215">
        <v>2041.9940876085905</v>
      </c>
      <c r="F37" s="215">
        <v>6040655.7748433119</v>
      </c>
      <c r="G37" s="215">
        <v>482.2886053158033</v>
      </c>
      <c r="H37" s="215">
        <v>2946063.0047915806</v>
      </c>
      <c r="I37" s="215">
        <v>450.12202451918449</v>
      </c>
      <c r="J37" s="215">
        <v>1758885.820644595</v>
      </c>
      <c r="K37" s="215">
        <v>581.8574113214662</v>
      </c>
      <c r="L37" s="215">
        <v>1573446.6816588163</v>
      </c>
      <c r="M37" s="215">
        <v>688.43001800736272</v>
      </c>
      <c r="N37" s="215">
        <v>2113239.7573435488</v>
      </c>
      <c r="O37" s="215">
        <v>440.56321353305282</v>
      </c>
      <c r="P37" s="215">
        <v>1996817.6094917597</v>
      </c>
      <c r="Q37" s="215">
        <v>1548.6441907484132</v>
      </c>
      <c r="R37" s="215">
        <v>2720652.3118602359</v>
      </c>
      <c r="S37" s="215">
        <v>632</v>
      </c>
      <c r="T37" s="215">
        <v>3887171</v>
      </c>
      <c r="U37" s="215">
        <v>644.05424553199998</v>
      </c>
      <c r="V37" s="215">
        <v>3510287.2853899999</v>
      </c>
      <c r="W37" s="215">
        <v>540.22808414625581</v>
      </c>
      <c r="X37" s="215">
        <v>7327370.0332880234</v>
      </c>
      <c r="Y37" s="215">
        <v>1090.0647770563623</v>
      </c>
      <c r="Z37" s="215">
        <v>14805782.064235104</v>
      </c>
      <c r="AA37" s="208">
        <v>134.08490320307163</v>
      </c>
      <c r="AB37" s="208">
        <v>1612638.5596800747</v>
      </c>
      <c r="AC37" s="209">
        <v>0</v>
      </c>
      <c r="AD37" s="209">
        <v>0</v>
      </c>
      <c r="AE37" s="209">
        <v>0</v>
      </c>
      <c r="AF37" s="209">
        <v>0</v>
      </c>
      <c r="AH37" s="155">
        <f>SUMIFS(C37:AF37,$C$24:$AF$24,"kW")</f>
        <v>9571.6485609915617</v>
      </c>
      <c r="AI37" s="155">
        <f>SUMIFS(C37:AF37,$C$24:$AF$24,"kWh")</f>
        <v>56432460.903227054</v>
      </c>
      <c r="AJ37" s="155">
        <f>AH37*8760</f>
        <v>83847641.394286081</v>
      </c>
      <c r="AK37">
        <f>AI37/AJ37</f>
        <v>0.67303575824939932</v>
      </c>
    </row>
    <row r="38" spans="1:37" ht="15">
      <c r="B38" t="s">
        <v>211</v>
      </c>
      <c r="C38" s="215">
        <v>0</v>
      </c>
      <c r="D38" s="215">
        <v>0</v>
      </c>
      <c r="E38" s="215">
        <v>0</v>
      </c>
      <c r="F38" s="215">
        <v>0</v>
      </c>
      <c r="G38" s="215">
        <v>52.770747613434544</v>
      </c>
      <c r="H38" s="215">
        <v>332733.75717957562</v>
      </c>
      <c r="I38" s="215">
        <v>1402.9132306562872</v>
      </c>
      <c r="J38" s="215">
        <v>5344242.1684458805</v>
      </c>
      <c r="K38" s="215">
        <v>786.80910081585534</v>
      </c>
      <c r="L38" s="215">
        <v>2561045.9330420163</v>
      </c>
      <c r="M38" s="215">
        <v>739.17327250178141</v>
      </c>
      <c r="N38" s="215">
        <v>2098872.3415976539</v>
      </c>
      <c r="O38" s="215">
        <v>181.29248149868852</v>
      </c>
      <c r="P38" s="215">
        <v>1089232.1675797475</v>
      </c>
      <c r="Q38" s="215">
        <v>157.89835889600738</v>
      </c>
      <c r="R38" s="215">
        <v>694768.36349304707</v>
      </c>
      <c r="S38" s="215">
        <v>433.95850000000002</v>
      </c>
      <c r="T38" s="215">
        <v>1811619.8624</v>
      </c>
      <c r="U38" s="215">
        <v>316.96236188110151</v>
      </c>
      <c r="V38" s="215">
        <v>2409831.2940728609</v>
      </c>
      <c r="W38" s="215">
        <v>228.97664066115533</v>
      </c>
      <c r="X38" s="215">
        <v>929143.2620300788</v>
      </c>
      <c r="Y38" s="215">
        <v>420.26772842645181</v>
      </c>
      <c r="Z38" s="215">
        <v>1559230.8926064873</v>
      </c>
      <c r="AA38" s="208">
        <v>185.3719707136039</v>
      </c>
      <c r="AB38" s="208">
        <v>1410440.858459271</v>
      </c>
      <c r="AC38" s="209">
        <v>107.93166348986618</v>
      </c>
      <c r="AD38" s="209">
        <v>1432188.1709855522</v>
      </c>
      <c r="AE38" s="209">
        <v>0</v>
      </c>
      <c r="AF38" s="209">
        <v>0</v>
      </c>
      <c r="AH38" s="155">
        <f t="shared" ref="AH38:AH46" si="10">SUMIFS(C38:AF38,$C$24:$AF$24,"kW")</f>
        <v>5014.3260571542332</v>
      </c>
      <c r="AI38" s="155">
        <f t="shared" ref="AI38:AI46" si="11">SUMIFS(C38:AF38,$C$24:$AF$24,"kWh")</f>
        <v>21673349.071892172</v>
      </c>
      <c r="AJ38" s="155">
        <f t="shared" ref="AJ38:AJ46" si="12">AH38*8760</f>
        <v>43925496.260671087</v>
      </c>
      <c r="AK38" s="186">
        <f t="shared" ref="AK38:AK46" si="13">AI38/AJ38</f>
        <v>0.49341159274044477</v>
      </c>
    </row>
    <row r="39" spans="1:37" ht="15">
      <c r="B39" t="s">
        <v>212</v>
      </c>
      <c r="C39" s="215">
        <v>0</v>
      </c>
      <c r="D39" s="215">
        <v>0</v>
      </c>
      <c r="E39" s="215">
        <v>0</v>
      </c>
      <c r="F39" s="215">
        <v>0</v>
      </c>
      <c r="G39" s="215">
        <v>145.48246229721596</v>
      </c>
      <c r="H39" s="215">
        <v>759007.43542991579</v>
      </c>
      <c r="I39" s="215">
        <v>454.677033492823</v>
      </c>
      <c r="J39" s="215">
        <v>5135566.1492830636</v>
      </c>
      <c r="K39" s="215">
        <v>386.0986599434134</v>
      </c>
      <c r="L39" s="215">
        <v>5280388.194458507</v>
      </c>
      <c r="M39" s="215">
        <v>627.19067672659662</v>
      </c>
      <c r="N39" s="215">
        <v>3687211.1881920309</v>
      </c>
      <c r="O39" s="215">
        <v>910.61823191413521</v>
      </c>
      <c r="P39" s="215">
        <v>5470493.7947413977</v>
      </c>
      <c r="Q39" s="215">
        <v>1522.5376693093492</v>
      </c>
      <c r="R39" s="215">
        <v>9535275.9064505883</v>
      </c>
      <c r="S39" s="215">
        <v>1478.9695000000002</v>
      </c>
      <c r="T39" s="215">
        <v>9600958.5414000005</v>
      </c>
      <c r="U39" s="215">
        <v>1626.5963903017569</v>
      </c>
      <c r="V39" s="215">
        <v>11122877.393551879</v>
      </c>
      <c r="W39" s="215">
        <v>2032.5431703626994</v>
      </c>
      <c r="X39" s="215">
        <v>8715430.6371163595</v>
      </c>
      <c r="Y39" s="215">
        <v>2590.329186998792</v>
      </c>
      <c r="Z39" s="215">
        <v>11164834.056697534</v>
      </c>
      <c r="AA39" s="208">
        <v>2331.322959809851</v>
      </c>
      <c r="AB39" s="208">
        <v>19969163.983606704</v>
      </c>
      <c r="AC39" s="209">
        <v>1478.1346750852013</v>
      </c>
      <c r="AD39" s="209">
        <v>15981377.791175578</v>
      </c>
      <c r="AE39" s="209">
        <v>0</v>
      </c>
      <c r="AF39" s="209">
        <v>0</v>
      </c>
      <c r="AH39" s="155">
        <f t="shared" si="10"/>
        <v>15584.500616241834</v>
      </c>
      <c r="AI39" s="155">
        <f t="shared" si="11"/>
        <v>106422585.07210356</v>
      </c>
      <c r="AJ39" s="155">
        <f t="shared" si="12"/>
        <v>136520225.39827847</v>
      </c>
      <c r="AK39" s="186">
        <f t="shared" si="13"/>
        <v>0.77953713277011305</v>
      </c>
    </row>
    <row r="40" spans="1:37" ht="15">
      <c r="B40" t="s">
        <v>213</v>
      </c>
      <c r="C40" s="215">
        <v>0</v>
      </c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4.0858496530369726</v>
      </c>
      <c r="P40" s="215">
        <v>56129.165272397993</v>
      </c>
      <c r="Q40" s="215">
        <v>0.26958563083729997</v>
      </c>
      <c r="R40" s="215">
        <v>45787.297641419878</v>
      </c>
      <c r="S40" s="215">
        <v>7.5905000000000005</v>
      </c>
      <c r="T40" s="215">
        <v>9038.3544000000002</v>
      </c>
      <c r="U40" s="215">
        <v>14.060925976399293</v>
      </c>
      <c r="V40" s="215">
        <v>337536.95759885595</v>
      </c>
      <c r="W40" s="215">
        <v>3.2802557490517845</v>
      </c>
      <c r="X40" s="215">
        <v>9776.7126109965466</v>
      </c>
      <c r="Y40" s="215">
        <v>60.135611792447541</v>
      </c>
      <c r="Z40" s="215">
        <v>368341.06944862031</v>
      </c>
      <c r="AA40" s="208">
        <v>59.611366000000004</v>
      </c>
      <c r="AB40" s="208">
        <v>250212.92989099998</v>
      </c>
      <c r="AC40" s="209">
        <v>4.1028018503502395</v>
      </c>
      <c r="AD40" s="209">
        <v>129316.08571324406</v>
      </c>
      <c r="AE40" s="209">
        <v>0</v>
      </c>
      <c r="AF40" s="209">
        <v>0</v>
      </c>
      <c r="AH40" s="155">
        <f t="shared" si="10"/>
        <v>153.13689665212311</v>
      </c>
      <c r="AI40" s="155">
        <f t="shared" si="11"/>
        <v>1206138.5725765347</v>
      </c>
      <c r="AJ40" s="155">
        <f t="shared" si="12"/>
        <v>1341479.2146725985</v>
      </c>
      <c r="AK40" s="186">
        <f t="shared" si="13"/>
        <v>0.89911089145790823</v>
      </c>
    </row>
    <row r="41" spans="1:37" ht="15">
      <c r="B41" t="s">
        <v>214</v>
      </c>
      <c r="C41" s="215">
        <v>0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347.19120410941997</v>
      </c>
      <c r="N41" s="215">
        <v>1187560.4424907898</v>
      </c>
      <c r="O41" s="215">
        <v>291.00329195518884</v>
      </c>
      <c r="P41" s="215">
        <v>2836539.0917954622</v>
      </c>
      <c r="Q41" s="215">
        <v>475.81863842783446</v>
      </c>
      <c r="R41" s="215">
        <v>4192492.7792954375</v>
      </c>
      <c r="S41" s="215">
        <v>215.34380000000002</v>
      </c>
      <c r="T41" s="215">
        <v>1440710.061</v>
      </c>
      <c r="U41" s="215">
        <v>136.42412027489416</v>
      </c>
      <c r="V41" s="215">
        <v>1064450.0090675179</v>
      </c>
      <c r="W41" s="215">
        <v>7.5252926007658578</v>
      </c>
      <c r="X41" s="215">
        <v>43995.206749484467</v>
      </c>
      <c r="Y41" s="215">
        <v>91.924286741516596</v>
      </c>
      <c r="Z41" s="215">
        <v>404444.60523151129</v>
      </c>
      <c r="AA41" s="208">
        <v>284.52695899999998</v>
      </c>
      <c r="AB41" s="208">
        <v>1523593.1775200001</v>
      </c>
      <c r="AC41" s="209">
        <v>216.04016364819662</v>
      </c>
      <c r="AD41" s="209">
        <v>3230207.0157782109</v>
      </c>
      <c r="AE41" s="209">
        <v>6165.0020000000004</v>
      </c>
      <c r="AF41" s="209">
        <v>54001577.640000001</v>
      </c>
      <c r="AH41" s="155">
        <f t="shared" si="10"/>
        <v>8230.7997567578168</v>
      </c>
      <c r="AI41" s="155">
        <f t="shared" si="11"/>
        <v>69925570.028928414</v>
      </c>
      <c r="AJ41" s="155">
        <f t="shared" si="12"/>
        <v>72101805.869198471</v>
      </c>
      <c r="AK41" s="186">
        <f t="shared" si="13"/>
        <v>0.96981717983294324</v>
      </c>
    </row>
    <row r="42" spans="1:37" ht="15">
      <c r="B42" t="s">
        <v>186</v>
      </c>
      <c r="C42" s="215">
        <v>0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1153.0354433692639</v>
      </c>
      <c r="P42" s="215">
        <v>6465643.4543162743</v>
      </c>
      <c r="Q42" s="215">
        <v>809.64694052680909</v>
      </c>
      <c r="R42" s="215">
        <v>5307505.7316638911</v>
      </c>
      <c r="S42" s="215">
        <v>172.06700000000001</v>
      </c>
      <c r="T42" s="215">
        <v>3375778.3959999997</v>
      </c>
      <c r="U42" s="215">
        <v>275.59414913742609</v>
      </c>
      <c r="V42" s="215">
        <v>1259619.3593944155</v>
      </c>
      <c r="W42" s="215">
        <v>596.47958196984337</v>
      </c>
      <c r="X42" s="215">
        <v>3810428.33367653</v>
      </c>
      <c r="Y42" s="215">
        <v>1323.6476940898203</v>
      </c>
      <c r="Z42" s="215">
        <v>5753065.3490739204</v>
      </c>
      <c r="AA42" s="208">
        <v>164.11500700000002</v>
      </c>
      <c r="AB42" s="208">
        <v>1953500.7437110001</v>
      </c>
      <c r="AC42" s="209">
        <v>381.43312581891792</v>
      </c>
      <c r="AD42" s="209">
        <v>3805261.4822671395</v>
      </c>
      <c r="AE42" s="209">
        <v>0</v>
      </c>
      <c r="AF42" s="209">
        <v>0</v>
      </c>
      <c r="AH42" s="155">
        <f t="shared" si="10"/>
        <v>4876.0189419120807</v>
      </c>
      <c r="AI42" s="155">
        <f t="shared" si="11"/>
        <v>31730802.85010317</v>
      </c>
      <c r="AJ42" s="155">
        <f t="shared" si="12"/>
        <v>42713925.931149825</v>
      </c>
      <c r="AK42" s="186">
        <f t="shared" si="13"/>
        <v>0.74286786237466795</v>
      </c>
    </row>
    <row r="43" spans="1:37" ht="15">
      <c r="B43" t="s">
        <v>215</v>
      </c>
      <c r="C43" s="215">
        <v>0</v>
      </c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3.4048747108641435</v>
      </c>
      <c r="P43" s="215">
        <v>54987.823090466278</v>
      </c>
      <c r="Q43" s="215">
        <v>0</v>
      </c>
      <c r="R43" s="215">
        <v>0</v>
      </c>
      <c r="S43" s="215">
        <v>0</v>
      </c>
      <c r="T43" s="215">
        <v>0</v>
      </c>
      <c r="U43" s="215">
        <v>0</v>
      </c>
      <c r="V43" s="215">
        <v>0</v>
      </c>
      <c r="W43" s="215">
        <v>0</v>
      </c>
      <c r="X43" s="215">
        <v>0</v>
      </c>
      <c r="Y43" s="215">
        <v>0</v>
      </c>
      <c r="Z43" s="215">
        <v>0</v>
      </c>
      <c r="AA43" s="208">
        <v>108.426502</v>
      </c>
      <c r="AB43" s="208">
        <v>627647.52711999998</v>
      </c>
      <c r="AC43" s="209">
        <v>0.59414010746757384</v>
      </c>
      <c r="AD43" s="209">
        <v>17911.474080273008</v>
      </c>
      <c r="AE43" s="209">
        <v>0</v>
      </c>
      <c r="AF43" s="209">
        <v>0</v>
      </c>
      <c r="AH43" s="155">
        <f t="shared" si="10"/>
        <v>112.42551681833172</v>
      </c>
      <c r="AI43" s="155">
        <f t="shared" si="11"/>
        <v>700546.82429073937</v>
      </c>
      <c r="AJ43" s="155">
        <f t="shared" si="12"/>
        <v>984847.52732858586</v>
      </c>
      <c r="AK43" s="186">
        <f t="shared" si="13"/>
        <v>0.71132515932794538</v>
      </c>
    </row>
    <row r="44" spans="1:37" ht="15">
      <c r="B44" t="s">
        <v>216</v>
      </c>
      <c r="C44" s="215">
        <v>0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0</v>
      </c>
      <c r="P44" s="215">
        <v>0</v>
      </c>
      <c r="Q44" s="215">
        <v>0</v>
      </c>
      <c r="R44" s="215">
        <v>0</v>
      </c>
      <c r="S44" s="215">
        <v>0</v>
      </c>
      <c r="T44" s="215">
        <v>0</v>
      </c>
      <c r="U44" s="215">
        <v>0</v>
      </c>
      <c r="V44" s="215">
        <v>0</v>
      </c>
      <c r="W44" s="215">
        <v>0</v>
      </c>
      <c r="X44" s="215">
        <v>14083354.516140528</v>
      </c>
      <c r="Y44" s="215">
        <v>0</v>
      </c>
      <c r="Z44" s="215">
        <v>2651683.8722106791</v>
      </c>
      <c r="AA44" s="208">
        <v>0</v>
      </c>
      <c r="AB44" s="208">
        <v>0</v>
      </c>
      <c r="AC44" s="209">
        <v>0</v>
      </c>
      <c r="AD44" s="209">
        <v>0</v>
      </c>
      <c r="AE44" s="209">
        <v>0</v>
      </c>
      <c r="AF44" s="209">
        <v>0</v>
      </c>
      <c r="AH44" s="155">
        <f t="shared" si="10"/>
        <v>0</v>
      </c>
      <c r="AI44" s="155">
        <f t="shared" si="11"/>
        <v>16735038.388351208</v>
      </c>
      <c r="AJ44" s="155">
        <f t="shared" si="12"/>
        <v>0</v>
      </c>
      <c r="AK44" s="186" t="e">
        <f t="shared" si="13"/>
        <v>#DIV/0!</v>
      </c>
    </row>
    <row r="45" spans="1:37">
      <c r="C45" s="219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1"/>
      <c r="Y45" s="221"/>
      <c r="Z45" s="222"/>
      <c r="AA45" s="222"/>
      <c r="AB45" s="222"/>
      <c r="AC45" s="222"/>
      <c r="AD45" s="222"/>
      <c r="AE45" s="222"/>
      <c r="AF45" s="222"/>
      <c r="AH45" s="155"/>
      <c r="AI45" s="155"/>
      <c r="AJ45" s="155"/>
      <c r="AK45" s="186"/>
    </row>
    <row r="46" spans="1:37" ht="15">
      <c r="B46" t="s">
        <v>235</v>
      </c>
      <c r="C46" s="223">
        <v>297.31700000000001</v>
      </c>
      <c r="D46" s="223">
        <v>6139451</v>
      </c>
      <c r="E46" s="223">
        <v>2041.9940876085905</v>
      </c>
      <c r="F46" s="223">
        <v>6040655.7748433119</v>
      </c>
      <c r="G46" s="223">
        <v>680.54181522645388</v>
      </c>
      <c r="H46" s="223">
        <v>4037804.1974010719</v>
      </c>
      <c r="I46" s="223">
        <v>2307.7122886682946</v>
      </c>
      <c r="J46" s="223">
        <v>12238694.138373539</v>
      </c>
      <c r="K46" s="223">
        <v>1754.7651720807351</v>
      </c>
      <c r="L46" s="223">
        <v>9414880.8091593385</v>
      </c>
      <c r="M46" s="223">
        <v>2401.9851713451608</v>
      </c>
      <c r="N46" s="223">
        <v>9086883.7296240237</v>
      </c>
      <c r="O46" s="223">
        <v>2984.0033866342305</v>
      </c>
      <c r="P46" s="223">
        <v>17969843.106287505</v>
      </c>
      <c r="Q46" s="223">
        <v>4514.8153835392504</v>
      </c>
      <c r="R46" s="223">
        <v>22496482.390404619</v>
      </c>
      <c r="S46" s="223">
        <v>2939.9292999999998</v>
      </c>
      <c r="T46" s="223">
        <v>20125276.2152</v>
      </c>
      <c r="U46" s="223">
        <v>3013.6921931035777</v>
      </c>
      <c r="V46" s="223">
        <v>19704602.299075529</v>
      </c>
      <c r="W46" s="223">
        <v>3409.0330254897717</v>
      </c>
      <c r="X46" s="223">
        <v>34919498.701612003</v>
      </c>
      <c r="Y46" s="223">
        <v>5576.3692851053911</v>
      </c>
      <c r="Z46" s="223">
        <v>36707381.909503862</v>
      </c>
      <c r="AA46" s="224">
        <f t="shared" ref="AA46:AF46" si="14">SUM(AA37:AA44)</f>
        <v>3267.4596677265263</v>
      </c>
      <c r="AB46" s="224">
        <f t="shared" si="14"/>
        <v>27347197.77998805</v>
      </c>
      <c r="AC46" s="224">
        <f t="shared" si="14"/>
        <v>2188.2365699999996</v>
      </c>
      <c r="AD46" s="224">
        <f t="shared" si="14"/>
        <v>24596262.019999996</v>
      </c>
      <c r="AE46" s="224">
        <f t="shared" si="14"/>
        <v>6165.0020000000004</v>
      </c>
      <c r="AF46" s="224">
        <f t="shared" si="14"/>
        <v>54001577.640000001</v>
      </c>
      <c r="AH46" s="155">
        <f t="shared" si="10"/>
        <v>43542.856346527988</v>
      </c>
      <c r="AI46" s="155">
        <f t="shared" si="11"/>
        <v>304826491.71147281</v>
      </c>
      <c r="AJ46" s="155">
        <f t="shared" si="12"/>
        <v>381435421.59558517</v>
      </c>
      <c r="AK46" s="186">
        <f t="shared" si="13"/>
        <v>0.79915622528277785</v>
      </c>
    </row>
    <row r="47" spans="1:37">
      <c r="C47" s="225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J47" s="246"/>
    </row>
    <row r="48" spans="1:37" ht="15.75" thickBot="1">
      <c r="A48" s="127" t="s">
        <v>236</v>
      </c>
      <c r="C48" s="227">
        <v>297.31700000000001</v>
      </c>
      <c r="D48" s="227">
        <v>6139451</v>
      </c>
      <c r="E48" s="227">
        <v>2339.3110876085902</v>
      </c>
      <c r="F48" s="227">
        <v>12180106.774843313</v>
      </c>
      <c r="G48" s="227">
        <v>1854.9442118078487</v>
      </c>
      <c r="H48" s="227">
        <v>13743006.459241088</v>
      </c>
      <c r="I48" s="227">
        <v>3851.0381138156645</v>
      </c>
      <c r="J48" s="227">
        <v>25356382.532342352</v>
      </c>
      <c r="K48" s="227">
        <v>5598.3664347537642</v>
      </c>
      <c r="L48" s="227">
        <v>27932209.229096778</v>
      </c>
      <c r="M48" s="227">
        <v>7996.2273375379564</v>
      </c>
      <c r="N48" s="227">
        <v>33879398.863456719</v>
      </c>
      <c r="O48" s="227">
        <v>10920.674363944894</v>
      </c>
      <c r="P48" s="227">
        <v>51360699.047459006</v>
      </c>
      <c r="Q48" s="227">
        <v>15393.90286154706</v>
      </c>
      <c r="R48" s="227">
        <v>73557295.218036234</v>
      </c>
      <c r="S48" s="227">
        <v>16860.106967379281</v>
      </c>
      <c r="T48" s="227">
        <v>91696915.310256988</v>
      </c>
      <c r="U48" s="227">
        <v>19627.225051069916</v>
      </c>
      <c r="V48" s="227">
        <v>107026497.40662591</v>
      </c>
      <c r="W48" s="227">
        <v>22588.094625690665</v>
      </c>
      <c r="X48" s="228">
        <v>138127947.96341997</v>
      </c>
      <c r="Y48" s="227">
        <v>27102.976837139591</v>
      </c>
      <c r="Z48" s="227">
        <v>167882225.24695468</v>
      </c>
      <c r="AA48" s="227">
        <v>31295.599999999999</v>
      </c>
      <c r="AB48" s="227">
        <v>211558638.38</v>
      </c>
      <c r="AC48" s="227">
        <v>49425.21</v>
      </c>
      <c r="AD48" s="227">
        <v>283218062.74000001</v>
      </c>
      <c r="AE48" s="227">
        <v>58078.69</v>
      </c>
      <c r="AF48" s="227">
        <v>350495753.04000002</v>
      </c>
    </row>
    <row r="49" spans="2:34" ht="13.5" thickTop="1"/>
    <row r="50" spans="2:34" ht="15">
      <c r="B50" s="162" t="str">
        <f>B37</f>
        <v>Residential</v>
      </c>
      <c r="C50" s="155">
        <f>VLOOKUP($B50,$B$26:$AF$33,COLUMN()-1,FALSE)+VLOOKUP($B50,$B$37:$AF$44,COLUMN()-1,FALSE)/2</f>
        <v>148.6585</v>
      </c>
      <c r="D50" s="155">
        <f t="shared" ref="D50:AF57" si="15">VLOOKUP($B50,$B$26:$AF$33,COLUMN()-1,FALSE)+VLOOKUP($B50,$B$37:$AF$44,COLUMN()-1,FALSE)/2</f>
        <v>3069725.5</v>
      </c>
      <c r="E50" s="155">
        <f t="shared" si="15"/>
        <v>1318.3140438042951</v>
      </c>
      <c r="F50" s="155">
        <f t="shared" si="15"/>
        <v>9159778.8874216564</v>
      </c>
      <c r="G50" s="155">
        <f t="shared" si="15"/>
        <v>1415.5466992392965</v>
      </c>
      <c r="H50" s="155">
        <f t="shared" si="15"/>
        <v>11178233.764235808</v>
      </c>
      <c r="I50" s="155">
        <f t="shared" si="15"/>
        <v>1570.1334631210277</v>
      </c>
      <c r="J50" s="155">
        <f t="shared" si="15"/>
        <v>12905395.295118954</v>
      </c>
      <c r="K50" s="155">
        <f t="shared" si="15"/>
        <v>2084.8038698987175</v>
      </c>
      <c r="L50" s="155">
        <f t="shared" si="15"/>
        <v>9466437.9703478534</v>
      </c>
      <c r="M50" s="155">
        <f t="shared" si="15"/>
        <v>2715.8233160021637</v>
      </c>
      <c r="N50" s="155">
        <f t="shared" si="15"/>
        <v>11272332.848857637</v>
      </c>
      <c r="O50" s="155">
        <f t="shared" si="15"/>
        <v>3224.8969313440903</v>
      </c>
      <c r="P50" s="155">
        <f t="shared" si="15"/>
        <v>12864635.435795739</v>
      </c>
      <c r="Q50" s="155">
        <f t="shared" si="15"/>
        <v>4194.4367850774261</v>
      </c>
      <c r="R50" s="155">
        <f t="shared" si="15"/>
        <v>15101481.340567019</v>
      </c>
      <c r="S50" s="155">
        <f t="shared" si="15"/>
        <v>4133.6256405776021</v>
      </c>
      <c r="T50" s="155">
        <f t="shared" si="15"/>
        <v>17402895.305016823</v>
      </c>
      <c r="U50" s="155">
        <f t="shared" si="15"/>
        <v>4589.7852923038117</v>
      </c>
      <c r="V50" s="155">
        <f t="shared" si="15"/>
        <v>17670503.566507727</v>
      </c>
      <c r="W50" s="155">
        <f t="shared" si="15"/>
        <v>5055.0420618432372</v>
      </c>
      <c r="X50" s="155">
        <f t="shared" si="15"/>
        <v>21365014.036337268</v>
      </c>
      <c r="Y50" s="155">
        <f t="shared" si="15"/>
        <v>5753.844341245881</v>
      </c>
      <c r="Z50" s="155">
        <f t="shared" si="15"/>
        <v>31313557.040520698</v>
      </c>
      <c r="AA50" s="155">
        <f t="shared" si="15"/>
        <v>6022.0027972807657</v>
      </c>
      <c r="AB50" s="155">
        <f t="shared" si="15"/>
        <v>35017205.759209864</v>
      </c>
      <c r="AC50" s="155">
        <f t="shared" si="15"/>
        <v>6067.7639622871102</v>
      </c>
      <c r="AD50" s="155">
        <f t="shared" si="15"/>
        <v>35742059.91744259</v>
      </c>
      <c r="AE50" s="155">
        <f t="shared" si="15"/>
        <v>5907.4349513076158</v>
      </c>
      <c r="AF50" s="155">
        <f t="shared" si="15"/>
        <v>34575766.619856246</v>
      </c>
      <c r="AH50" s="230"/>
    </row>
    <row r="51" spans="2:34" ht="15">
      <c r="B51" s="162" t="str">
        <f t="shared" ref="B51:B57" si="16">B38</f>
        <v>General Service &lt;50 kW</v>
      </c>
      <c r="C51" s="155">
        <f t="shared" ref="C51:R57" si="17">VLOOKUP($B51,$B$26:$AF$33,COLUMN()-1,FALSE)+VLOOKUP($B51,$B$37:$AF$44,COLUMN()-1,FALSE)/2</f>
        <v>0</v>
      </c>
      <c r="D51" s="155">
        <f t="shared" si="17"/>
        <v>0</v>
      </c>
      <c r="E51" s="155">
        <f t="shared" si="17"/>
        <v>0</v>
      </c>
      <c r="F51" s="155">
        <f t="shared" si="17"/>
        <v>0</v>
      </c>
      <c r="G51" s="155">
        <f t="shared" si="17"/>
        <v>26.385373806717272</v>
      </c>
      <c r="H51" s="155">
        <f t="shared" si="17"/>
        <v>166366.87858978781</v>
      </c>
      <c r="I51" s="155">
        <f t="shared" si="17"/>
        <v>754.22736294157812</v>
      </c>
      <c r="J51" s="155">
        <f t="shared" si="17"/>
        <v>3004854.8414025158</v>
      </c>
      <c r="K51" s="155">
        <f t="shared" si="17"/>
        <v>1842.9709886776493</v>
      </c>
      <c r="L51" s="155">
        <f t="shared" si="17"/>
        <v>6912591.4427464642</v>
      </c>
      <c r="M51" s="155">
        <f t="shared" si="17"/>
        <v>2605.9621753364672</v>
      </c>
      <c r="N51" s="155">
        <f t="shared" si="17"/>
        <v>9242550.5800662991</v>
      </c>
      <c r="O51" s="155">
        <f t="shared" si="17"/>
        <v>3062.0616925376912</v>
      </c>
      <c r="P51" s="155">
        <f t="shared" si="17"/>
        <v>10824912.927849328</v>
      </c>
      <c r="Q51" s="155">
        <f t="shared" si="17"/>
        <v>3231.0622238950864</v>
      </c>
      <c r="R51" s="155">
        <f t="shared" si="17"/>
        <v>11711624.383561883</v>
      </c>
      <c r="S51" s="155">
        <f t="shared" si="15"/>
        <v>3218.800521014321</v>
      </c>
      <c r="T51" s="155">
        <f t="shared" si="15"/>
        <v>12126168.622544302</v>
      </c>
      <c r="U51" s="155">
        <f t="shared" si="15"/>
        <v>3570.1028443658406</v>
      </c>
      <c r="V51" s="155">
        <f t="shared" si="15"/>
        <v>14136513.140595429</v>
      </c>
      <c r="W51" s="155">
        <f t="shared" si="15"/>
        <v>3801.0473847674684</v>
      </c>
      <c r="X51" s="155">
        <f t="shared" si="15"/>
        <v>15644268.751131929</v>
      </c>
      <c r="Y51" s="155">
        <f t="shared" si="15"/>
        <v>3564.2294504455945</v>
      </c>
      <c r="Z51" s="155">
        <f t="shared" si="15"/>
        <v>12587931.439161209</v>
      </c>
      <c r="AA51" s="155">
        <f t="shared" si="15"/>
        <v>1997.4707502968452</v>
      </c>
      <c r="AB51" s="155">
        <f t="shared" si="15"/>
        <v>10202533.079656351</v>
      </c>
      <c r="AC51" s="155">
        <f t="shared" si="15"/>
        <v>2130.1436187007344</v>
      </c>
      <c r="AD51" s="155">
        <f t="shared" si="15"/>
        <v>11093512.73623365</v>
      </c>
      <c r="AE51" s="155">
        <f t="shared" si="15"/>
        <v>2084.6153542637699</v>
      </c>
      <c r="AF51" s="155">
        <f t="shared" si="15"/>
        <v>11398010.377164347</v>
      </c>
      <c r="AH51" s="230"/>
    </row>
    <row r="52" spans="2:34" ht="15">
      <c r="B52" s="162" t="str">
        <f t="shared" si="16"/>
        <v>General Service 50 - 4,999 kW</v>
      </c>
      <c r="C52" s="155">
        <f t="shared" si="17"/>
        <v>0</v>
      </c>
      <c r="D52" s="155">
        <f t="shared" si="15"/>
        <v>0</v>
      </c>
      <c r="E52" s="155">
        <f t="shared" si="15"/>
        <v>0</v>
      </c>
      <c r="F52" s="155">
        <f t="shared" si="15"/>
        <v>0</v>
      </c>
      <c r="G52" s="155">
        <f t="shared" si="15"/>
        <v>72.74123114860798</v>
      </c>
      <c r="H52" s="155">
        <f t="shared" si="15"/>
        <v>379503.71771495789</v>
      </c>
      <c r="I52" s="155">
        <f t="shared" si="15"/>
        <v>372.82114341891122</v>
      </c>
      <c r="J52" s="155">
        <f t="shared" si="15"/>
        <v>3326785.3266341118</v>
      </c>
      <c r="K52" s="155">
        <f t="shared" si="15"/>
        <v>793.20899013702945</v>
      </c>
      <c r="L52" s="155">
        <f t="shared" si="15"/>
        <v>6845739.411422791</v>
      </c>
      <c r="M52" s="155">
        <f t="shared" si="15"/>
        <v>1299.8536584720346</v>
      </c>
      <c r="N52" s="155">
        <f t="shared" si="15"/>
        <v>8227293.3484753752</v>
      </c>
      <c r="O52" s="155">
        <f t="shared" si="15"/>
        <v>2068.7581127924004</v>
      </c>
      <c r="P52" s="155">
        <f t="shared" si="15"/>
        <v>12792018.92094209</v>
      </c>
      <c r="Q52" s="155">
        <f t="shared" si="15"/>
        <v>3279.007107134646</v>
      </c>
      <c r="R52" s="155">
        <f t="shared" si="15"/>
        <v>20212082.10593868</v>
      </c>
      <c r="S52" s="155">
        <f t="shared" si="15"/>
        <v>4772.5600770561396</v>
      </c>
      <c r="T52" s="155">
        <f t="shared" si="15"/>
        <v>29688916.712998502</v>
      </c>
      <c r="U52" s="155">
        <f t="shared" si="15"/>
        <v>6306.2112773710787</v>
      </c>
      <c r="V52" s="155">
        <f t="shared" si="15"/>
        <v>39378471.949839026</v>
      </c>
      <c r="W52" s="155">
        <f t="shared" si="15"/>
        <v>7933.4697216471541</v>
      </c>
      <c r="X52" s="155">
        <f t="shared" si="15"/>
        <v>48212014.983652823</v>
      </c>
      <c r="Y52" s="155">
        <f t="shared" si="15"/>
        <v>9994.4137048400698</v>
      </c>
      <c r="Z52" s="155">
        <f t="shared" si="15"/>
        <v>57125993.157611959</v>
      </c>
      <c r="AA52" s="155">
        <f t="shared" si="15"/>
        <v>12311.387914605</v>
      </c>
      <c r="AB52" s="155">
        <f t="shared" si="15"/>
        <v>74791634.140374079</v>
      </c>
      <c r="AC52" s="155">
        <f t="shared" si="15"/>
        <v>14136.838878003267</v>
      </c>
      <c r="AD52" s="155">
        <f t="shared" si="15"/>
        <v>90327747.772104532</v>
      </c>
      <c r="AE52" s="155">
        <f t="shared" si="15"/>
        <v>13741.430897640714</v>
      </c>
      <c r="AF52" s="155">
        <f t="shared" si="15"/>
        <v>93944716.95951651</v>
      </c>
      <c r="AH52" s="230"/>
    </row>
    <row r="53" spans="2:34" ht="15">
      <c r="B53" s="162" t="str">
        <f t="shared" si="16"/>
        <v>General Service 3,000 - 4,999 kW</v>
      </c>
      <c r="C53" s="155">
        <f t="shared" si="17"/>
        <v>0</v>
      </c>
      <c r="D53" s="155">
        <f t="shared" si="15"/>
        <v>0</v>
      </c>
      <c r="E53" s="155">
        <f t="shared" si="15"/>
        <v>0</v>
      </c>
      <c r="F53" s="155">
        <f t="shared" si="15"/>
        <v>0</v>
      </c>
      <c r="G53" s="155">
        <f t="shared" si="15"/>
        <v>0</v>
      </c>
      <c r="H53" s="155">
        <f t="shared" si="15"/>
        <v>0</v>
      </c>
      <c r="I53" s="155">
        <f t="shared" si="15"/>
        <v>0</v>
      </c>
      <c r="J53" s="155">
        <f t="shared" si="15"/>
        <v>0</v>
      </c>
      <c r="K53" s="155">
        <f t="shared" si="15"/>
        <v>0</v>
      </c>
      <c r="L53" s="155">
        <f t="shared" si="15"/>
        <v>0</v>
      </c>
      <c r="M53" s="155">
        <f t="shared" si="15"/>
        <v>0</v>
      </c>
      <c r="N53" s="155">
        <f t="shared" si="15"/>
        <v>0</v>
      </c>
      <c r="O53" s="155">
        <f t="shared" si="15"/>
        <v>2.0429248265184863</v>
      </c>
      <c r="P53" s="155">
        <f t="shared" si="15"/>
        <v>28064.582636198997</v>
      </c>
      <c r="Q53" s="155">
        <f t="shared" si="15"/>
        <v>4.1908980264579876</v>
      </c>
      <c r="R53" s="155">
        <f t="shared" si="15"/>
        <v>63564.250358752004</v>
      </c>
      <c r="S53" s="155">
        <f t="shared" si="15"/>
        <v>8.1140684183324865</v>
      </c>
      <c r="T53" s="155">
        <f t="shared" si="15"/>
        <v>77119.321237298413</v>
      </c>
      <c r="U53" s="155">
        <f t="shared" si="15"/>
        <v>18.909748321705337</v>
      </c>
      <c r="V53" s="155">
        <f t="shared" si="15"/>
        <v>250315.11919415195</v>
      </c>
      <c r="W53" s="155">
        <f t="shared" si="15"/>
        <v>27.577610184068277</v>
      </c>
      <c r="X53" s="155">
        <f t="shared" si="15"/>
        <v>423799.59896512702</v>
      </c>
      <c r="Y53" s="155">
        <f t="shared" si="15"/>
        <v>58.895224167797593</v>
      </c>
      <c r="Z53" s="155">
        <f t="shared" si="15"/>
        <v>610958.78356721601</v>
      </c>
      <c r="AA53" s="155">
        <f t="shared" si="15"/>
        <v>145.91734551595516</v>
      </c>
      <c r="AB53" s="155">
        <f t="shared" si="15"/>
        <v>1036492.6616043955</v>
      </c>
      <c r="AC53" s="155">
        <f t="shared" si="15"/>
        <v>177.48168888984702</v>
      </c>
      <c r="AD53" s="155">
        <f t="shared" si="15"/>
        <v>1224886.9053596728</v>
      </c>
      <c r="AE53" s="155">
        <f t="shared" si="15"/>
        <v>178.59957836767623</v>
      </c>
      <c r="AF53" s="155">
        <f t="shared" si="15"/>
        <v>1285926.2185757735</v>
      </c>
      <c r="AH53" s="230"/>
    </row>
    <row r="54" spans="2:34" ht="15">
      <c r="B54" s="162" t="str">
        <f t="shared" si="16"/>
        <v>Large use - Regular</v>
      </c>
      <c r="C54" s="155">
        <f t="shared" si="17"/>
        <v>0</v>
      </c>
      <c r="D54" s="155">
        <f t="shared" si="15"/>
        <v>0</v>
      </c>
      <c r="E54" s="155">
        <f t="shared" si="15"/>
        <v>0</v>
      </c>
      <c r="F54" s="155">
        <f t="shared" si="15"/>
        <v>0</v>
      </c>
      <c r="G54" s="155">
        <f t="shared" si="15"/>
        <v>0</v>
      </c>
      <c r="H54" s="155">
        <f t="shared" si="15"/>
        <v>0</v>
      </c>
      <c r="I54" s="155">
        <f t="shared" si="15"/>
        <v>0</v>
      </c>
      <c r="J54" s="155">
        <f t="shared" si="15"/>
        <v>0</v>
      </c>
      <c r="K54" s="155">
        <f t="shared" si="15"/>
        <v>0</v>
      </c>
      <c r="L54" s="155">
        <f t="shared" si="15"/>
        <v>0</v>
      </c>
      <c r="M54" s="155">
        <f t="shared" si="15"/>
        <v>173.59560205470999</v>
      </c>
      <c r="N54" s="155">
        <f t="shared" si="15"/>
        <v>593780.2212453949</v>
      </c>
      <c r="O54" s="155">
        <f t="shared" si="15"/>
        <v>492.69285008701439</v>
      </c>
      <c r="P54" s="155">
        <f t="shared" si="15"/>
        <v>2605829.9883885207</v>
      </c>
      <c r="Q54" s="155">
        <f t="shared" si="15"/>
        <v>873.98535002069445</v>
      </c>
      <c r="R54" s="155">
        <f t="shared" si="15"/>
        <v>6090078.3382634111</v>
      </c>
      <c r="S54" s="155">
        <f t="shared" si="15"/>
        <v>1217.1004897467144</v>
      </c>
      <c r="T54" s="155">
        <f t="shared" si="15"/>
        <v>8881058.9303986374</v>
      </c>
      <c r="U54" s="155">
        <f t="shared" si="15"/>
        <v>1388.6278657643984</v>
      </c>
      <c r="V54" s="155">
        <f t="shared" si="15"/>
        <v>10107708.279756702</v>
      </c>
      <c r="W54" s="155">
        <f t="shared" si="15"/>
        <v>1447.2316865622397</v>
      </c>
      <c r="X54" s="155">
        <f t="shared" si="15"/>
        <v>10551815.166880909</v>
      </c>
      <c r="Y54" s="155">
        <f t="shared" si="15"/>
        <v>1448.1282019906978</v>
      </c>
      <c r="Z54" s="155">
        <f t="shared" si="15"/>
        <v>10577319.450433785</v>
      </c>
      <c r="AA54" s="155">
        <f t="shared" si="15"/>
        <v>1643.2863781142294</v>
      </c>
      <c r="AB54" s="155">
        <f t="shared" si="15"/>
        <v>11678969.914371297</v>
      </c>
      <c r="AC54" s="155">
        <f t="shared" si="15"/>
        <v>1886.7884562047777</v>
      </c>
      <c r="AD54" s="155">
        <f t="shared" si="15"/>
        <v>14015417.583767207</v>
      </c>
      <c r="AE54" s="155">
        <f t="shared" si="15"/>
        <v>5033.900929313796</v>
      </c>
      <c r="AF54" s="155">
        <f t="shared" si="15"/>
        <v>42400361.826889686</v>
      </c>
      <c r="AH54" s="230"/>
    </row>
    <row r="55" spans="2:34" ht="15">
      <c r="B55" s="162" t="str">
        <f t="shared" si="16"/>
        <v>Large Use - 3TS</v>
      </c>
      <c r="C55" s="155">
        <f t="shared" si="17"/>
        <v>0</v>
      </c>
      <c r="D55" s="155">
        <f t="shared" si="15"/>
        <v>0</v>
      </c>
      <c r="E55" s="155">
        <f t="shared" si="15"/>
        <v>0</v>
      </c>
      <c r="F55" s="155">
        <f t="shared" si="15"/>
        <v>0</v>
      </c>
      <c r="G55" s="155">
        <f t="shared" si="15"/>
        <v>0</v>
      </c>
      <c r="H55" s="155">
        <f t="shared" si="15"/>
        <v>0</v>
      </c>
      <c r="I55" s="155">
        <f t="shared" si="15"/>
        <v>0</v>
      </c>
      <c r="J55" s="155">
        <f t="shared" si="15"/>
        <v>0</v>
      </c>
      <c r="K55" s="155">
        <f t="shared" si="15"/>
        <v>0</v>
      </c>
      <c r="L55" s="155">
        <f t="shared" si="15"/>
        <v>0</v>
      </c>
      <c r="M55" s="155">
        <f t="shared" si="15"/>
        <v>0</v>
      </c>
      <c r="N55" s="155">
        <f t="shared" si="15"/>
        <v>0</v>
      </c>
      <c r="O55" s="155">
        <f t="shared" si="15"/>
        <v>576.51772168463197</v>
      </c>
      <c r="P55" s="155">
        <f t="shared" si="15"/>
        <v>3232821.7271581371</v>
      </c>
      <c r="Q55" s="155">
        <f t="shared" si="15"/>
        <v>1550.4327179472589</v>
      </c>
      <c r="R55" s="155">
        <f t="shared" si="15"/>
        <v>9075528.6572482064</v>
      </c>
      <c r="S55" s="155">
        <f t="shared" si="15"/>
        <v>2036.5661874239258</v>
      </c>
      <c r="T55" s="155">
        <f t="shared" si="15"/>
        <v>13403463.646787338</v>
      </c>
      <c r="U55" s="155">
        <f t="shared" si="15"/>
        <v>2243.3714428672247</v>
      </c>
      <c r="V55" s="155">
        <f t="shared" si="15"/>
        <v>15576070.648468908</v>
      </c>
      <c r="W55" s="155">
        <f t="shared" si="15"/>
        <v>2615.8391644175454</v>
      </c>
      <c r="X55" s="155">
        <f t="shared" si="15"/>
        <v>17374995.264849439</v>
      </c>
      <c r="Y55" s="155">
        <f t="shared" si="15"/>
        <v>3492.0931794831795</v>
      </c>
      <c r="Z55" s="155">
        <f t="shared" si="15"/>
        <v>21850499.431430347</v>
      </c>
      <c r="AA55" s="155">
        <f t="shared" si="15"/>
        <v>4135.1206076818025</v>
      </c>
      <c r="AB55" s="155">
        <f t="shared" si="15"/>
        <v>26633506.4921607</v>
      </c>
      <c r="AC55" s="155">
        <f t="shared" si="15"/>
        <v>4372.8500969073211</v>
      </c>
      <c r="AD55" s="155">
        <f t="shared" si="15"/>
        <v>29232212.760712259</v>
      </c>
      <c r="AE55" s="155">
        <f t="shared" si="15"/>
        <v>4437.4954428055316</v>
      </c>
      <c r="AF55" s="155">
        <f t="shared" si="15"/>
        <v>30781752.576036215</v>
      </c>
      <c r="AH55" s="230"/>
    </row>
    <row r="56" spans="2:34" ht="15">
      <c r="B56" s="162" t="str">
        <f t="shared" si="16"/>
        <v>Large Use - Ford Annex</v>
      </c>
      <c r="C56" s="155">
        <f t="shared" si="17"/>
        <v>0</v>
      </c>
      <c r="D56" s="155">
        <f t="shared" si="15"/>
        <v>0</v>
      </c>
      <c r="E56" s="155">
        <f t="shared" si="15"/>
        <v>0</v>
      </c>
      <c r="F56" s="155">
        <f t="shared" si="15"/>
        <v>0</v>
      </c>
      <c r="G56" s="155">
        <f t="shared" si="15"/>
        <v>0</v>
      </c>
      <c r="H56" s="155">
        <f t="shared" si="15"/>
        <v>0</v>
      </c>
      <c r="I56" s="155">
        <f t="shared" si="15"/>
        <v>0</v>
      </c>
      <c r="J56" s="155">
        <f t="shared" si="15"/>
        <v>0</v>
      </c>
      <c r="K56" s="155">
        <f t="shared" si="15"/>
        <v>0</v>
      </c>
      <c r="L56" s="155">
        <f t="shared" si="15"/>
        <v>0</v>
      </c>
      <c r="M56" s="155">
        <f t="shared" si="15"/>
        <v>0</v>
      </c>
      <c r="N56" s="155">
        <f t="shared" si="15"/>
        <v>0</v>
      </c>
      <c r="O56" s="155">
        <f t="shared" si="15"/>
        <v>1.7024373554320718</v>
      </c>
      <c r="P56" s="155">
        <f t="shared" si="15"/>
        <v>27493.911545233139</v>
      </c>
      <c r="Q56" s="155">
        <f t="shared" si="15"/>
        <v>3.3800876758661147</v>
      </c>
      <c r="R56" s="155">
        <f t="shared" si="15"/>
        <v>54694.94689598761</v>
      </c>
      <c r="S56" s="155">
        <f t="shared" si="15"/>
        <v>3.3753331422459061</v>
      </c>
      <c r="T56" s="155">
        <f t="shared" si="15"/>
        <v>54654.663674103103</v>
      </c>
      <c r="U56" s="155">
        <f t="shared" si="15"/>
        <v>3.3704835240684932</v>
      </c>
      <c r="V56" s="155">
        <f t="shared" si="15"/>
        <v>54613.552726204791</v>
      </c>
      <c r="W56" s="155">
        <f t="shared" si="15"/>
        <v>3.3704835240684932</v>
      </c>
      <c r="X56" s="155">
        <f t="shared" si="15"/>
        <v>54613.552726204791</v>
      </c>
      <c r="Y56" s="155">
        <f t="shared" si="15"/>
        <v>3.1880924136756494</v>
      </c>
      <c r="Z56" s="155">
        <f t="shared" si="15"/>
        <v>53078.541479495638</v>
      </c>
      <c r="AA56" s="155">
        <f t="shared" si="15"/>
        <v>57.337106404188901</v>
      </c>
      <c r="AB56" s="155">
        <f t="shared" si="15"/>
        <v>365392.64978202642</v>
      </c>
      <c r="AC56" s="155">
        <f t="shared" si="15"/>
        <v>111.84742745792269</v>
      </c>
      <c r="AD56" s="155">
        <f t="shared" si="15"/>
        <v>688172.15038216289</v>
      </c>
      <c r="AE56" s="155">
        <f t="shared" si="15"/>
        <v>111.19348607601481</v>
      </c>
      <c r="AF56" s="155">
        <f t="shared" si="15"/>
        <v>690444.61140051461</v>
      </c>
      <c r="AH56" s="230"/>
    </row>
    <row r="57" spans="2:34" ht="15">
      <c r="B57" s="162" t="str">
        <f t="shared" si="16"/>
        <v>Other</v>
      </c>
      <c r="C57" s="155">
        <f t="shared" si="17"/>
        <v>0</v>
      </c>
      <c r="D57" s="155">
        <f t="shared" si="15"/>
        <v>0</v>
      </c>
      <c r="E57" s="155">
        <f t="shared" si="15"/>
        <v>0</v>
      </c>
      <c r="F57" s="155">
        <f t="shared" si="15"/>
        <v>0</v>
      </c>
      <c r="G57" s="155">
        <f t="shared" si="15"/>
        <v>0</v>
      </c>
      <c r="H57" s="155">
        <f t="shared" si="15"/>
        <v>0</v>
      </c>
      <c r="I57" s="155">
        <f t="shared" si="15"/>
        <v>0</v>
      </c>
      <c r="J57" s="155">
        <f t="shared" si="15"/>
        <v>0</v>
      </c>
      <c r="K57" s="155">
        <f t="shared" si="15"/>
        <v>0</v>
      </c>
      <c r="L57" s="155">
        <f t="shared" si="15"/>
        <v>0</v>
      </c>
      <c r="M57" s="155">
        <f t="shared" si="15"/>
        <v>0</v>
      </c>
      <c r="N57" s="155">
        <f t="shared" si="15"/>
        <v>0</v>
      </c>
      <c r="O57" s="155">
        <f t="shared" si="15"/>
        <v>0</v>
      </c>
      <c r="P57" s="155">
        <f t="shared" si="15"/>
        <v>0</v>
      </c>
      <c r="Q57" s="155">
        <f t="shared" si="15"/>
        <v>0</v>
      </c>
      <c r="R57" s="155">
        <f t="shared" si="15"/>
        <v>0</v>
      </c>
      <c r="S57" s="155">
        <f t="shared" si="15"/>
        <v>0</v>
      </c>
      <c r="T57" s="155">
        <f t="shared" si="15"/>
        <v>0</v>
      </c>
      <c r="U57" s="155">
        <f t="shared" si="15"/>
        <v>0</v>
      </c>
      <c r="V57" s="155">
        <f t="shared" si="15"/>
        <v>0</v>
      </c>
      <c r="W57" s="155">
        <f t="shared" si="15"/>
        <v>0</v>
      </c>
      <c r="X57" s="155">
        <f t="shared" si="15"/>
        <v>7041677.258070264</v>
      </c>
      <c r="Y57" s="155">
        <f t="shared" si="15"/>
        <v>0</v>
      </c>
      <c r="Z57" s="155">
        <f t="shared" si="15"/>
        <v>15409196.447998019</v>
      </c>
      <c r="AA57" s="155">
        <f t="shared" si="15"/>
        <v>0</v>
      </c>
      <c r="AB57" s="155">
        <f t="shared" si="15"/>
        <v>14159787.849458033</v>
      </c>
      <c r="AC57" s="155">
        <f t="shared" si="15"/>
        <v>0</v>
      </c>
      <c r="AD57" s="155">
        <f t="shared" si="15"/>
        <v>14159787.849458033</v>
      </c>
      <c r="AE57" s="155">
        <f t="shared" si="15"/>
        <v>0</v>
      </c>
      <c r="AF57" s="155">
        <f t="shared" si="15"/>
        <v>14159787.849458033</v>
      </c>
      <c r="AH57" s="230"/>
    </row>
    <row r="62" spans="2:34" ht="60.75" customHeight="1">
      <c r="B62" s="186"/>
      <c r="C62" s="267" t="s">
        <v>276</v>
      </c>
      <c r="D62" s="267"/>
      <c r="E62" s="267" t="s">
        <v>277</v>
      </c>
      <c r="F62" s="267"/>
      <c r="G62" s="267" t="s">
        <v>278</v>
      </c>
      <c r="H62" s="267"/>
      <c r="I62" s="186"/>
      <c r="J62" s="186"/>
      <c r="K62" s="186"/>
      <c r="L62" s="186"/>
      <c r="M62" s="186"/>
      <c r="N62" s="186"/>
      <c r="O62" s="161" t="s">
        <v>294</v>
      </c>
      <c r="P62" s="161" t="s">
        <v>295</v>
      </c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</row>
    <row r="63" spans="2:34" ht="15">
      <c r="B63" s="186"/>
      <c r="C63" s="163" t="s">
        <v>183</v>
      </c>
      <c r="D63" s="163" t="s">
        <v>174</v>
      </c>
      <c r="E63" s="163" t="s">
        <v>183</v>
      </c>
      <c r="F63" s="163" t="s">
        <v>174</v>
      </c>
      <c r="G63" s="163" t="s">
        <v>183</v>
      </c>
      <c r="H63" s="163" t="s">
        <v>174</v>
      </c>
      <c r="I63" s="186"/>
      <c r="J63" s="186"/>
      <c r="K63" s="186"/>
      <c r="L63" s="186"/>
      <c r="M63" s="186"/>
      <c r="O63" s="161" t="s">
        <v>174</v>
      </c>
      <c r="P63" s="161" t="s">
        <v>183</v>
      </c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</row>
    <row r="64" spans="2:34" ht="15">
      <c r="B64" s="186"/>
      <c r="C64" s="164"/>
      <c r="D64" s="164"/>
      <c r="E64" s="164"/>
      <c r="F64" s="164"/>
      <c r="G64" s="164"/>
      <c r="H64" s="164"/>
      <c r="N64" s="186">
        <v>2013</v>
      </c>
      <c r="O64" s="169">
        <v>564284.55300000007</v>
      </c>
      <c r="P64" s="169">
        <v>94.574164500000009</v>
      </c>
    </row>
    <row r="65" spans="1:16" ht="15">
      <c r="B65" s="186" t="s">
        <v>136</v>
      </c>
      <c r="C65" s="215">
        <f>AA26</f>
        <v>5954.9603456792302</v>
      </c>
      <c r="D65" s="215">
        <f>AB26</f>
        <v>34210886.479369827</v>
      </c>
      <c r="E65" s="209">
        <v>5935.3746385026789</v>
      </c>
      <c r="F65" s="209">
        <v>34143646.829999998</v>
      </c>
      <c r="G65" s="209">
        <v>5775.1667069383193</v>
      </c>
      <c r="H65" s="209">
        <v>32977565.730000004</v>
      </c>
      <c r="J65" s="179"/>
      <c r="N65">
        <v>2014</v>
      </c>
      <c r="O65" s="169">
        <v>1392118.2739600004</v>
      </c>
      <c r="P65" s="169">
        <v>180.97028100000003</v>
      </c>
    </row>
    <row r="66" spans="1:16" ht="15">
      <c r="B66" s="186" t="s">
        <v>211</v>
      </c>
      <c r="C66" s="215">
        <f t="shared" ref="C66:D66" si="18">AA27</f>
        <v>1904.7847649400433</v>
      </c>
      <c r="D66" s="215">
        <f t="shared" si="18"/>
        <v>9497312.6504267156</v>
      </c>
      <c r="E66" s="209">
        <v>1897.4998013607476</v>
      </c>
      <c r="F66" s="209">
        <v>9006208.3499999996</v>
      </c>
      <c r="G66" s="209">
        <v>1811.0484795304048</v>
      </c>
      <c r="H66" s="209">
        <v>8668425.4399999995</v>
      </c>
      <c r="N66">
        <v>2015</v>
      </c>
      <c r="O66" s="169">
        <v>1748524.3004304001</v>
      </c>
      <c r="P66" s="169">
        <v>214.96478248800003</v>
      </c>
    </row>
    <row r="67" spans="1:16" ht="15">
      <c r="B67" s="186" t="s">
        <v>212</v>
      </c>
      <c r="C67" s="215">
        <f t="shared" ref="C67:D67" si="19">AA28</f>
        <v>11145.726434700075</v>
      </c>
      <c r="D67" s="215">
        <f t="shared" si="19"/>
        <v>64807052.148570731</v>
      </c>
      <c r="E67" s="209">
        <v>11067.181848278778</v>
      </c>
      <c r="F67" s="209">
        <v>62376809</v>
      </c>
      <c r="G67" s="209">
        <v>9935.5758695306104</v>
      </c>
      <c r="H67" s="209">
        <v>58021914.07</v>
      </c>
      <c r="N67">
        <v>2016</v>
      </c>
      <c r="O67" s="169">
        <v>1709849.3675532001</v>
      </c>
      <c r="P67" s="169">
        <v>206.678561688</v>
      </c>
    </row>
    <row r="68" spans="1:16" ht="15">
      <c r="A68" s="161" t="s">
        <v>279</v>
      </c>
      <c r="B68" s="186" t="s">
        <v>213</v>
      </c>
      <c r="C68" s="215">
        <f t="shared" ref="C68:D68" si="20">AA29</f>
        <v>116.11166251595517</v>
      </c>
      <c r="D68" s="215">
        <f t="shared" si="20"/>
        <v>911386.19665889547</v>
      </c>
      <c r="E68" s="209">
        <v>115.94649224031352</v>
      </c>
      <c r="F68" s="209">
        <v>910687.73</v>
      </c>
      <c r="G68" s="209">
        <v>115.1801949300129</v>
      </c>
      <c r="H68" s="209">
        <v>907634.52</v>
      </c>
      <c r="N68">
        <v>2017</v>
      </c>
      <c r="O68" s="169">
        <v>1515726.1024114164</v>
      </c>
      <c r="P68" s="169">
        <v>150.59021441976003</v>
      </c>
    </row>
    <row r="69" spans="1:16" ht="15">
      <c r="B69" s="186" t="s">
        <v>214</v>
      </c>
      <c r="C69" s="215">
        <f>AA30-P69</f>
        <v>1352.9337627744694</v>
      </c>
      <c r="D69" s="215">
        <f>AB30-O69</f>
        <v>9414506.5412394814</v>
      </c>
      <c r="E69" s="209">
        <f>1494.46110699745-P70</f>
        <v>1346.65552875769</v>
      </c>
      <c r="F69" s="209">
        <f>10878842.4-O70</f>
        <v>9379323.6802971642</v>
      </c>
      <c r="G69" s="209">
        <f>1451.2845763416-P71</f>
        <v>1305.4809147578401</v>
      </c>
      <c r="H69" s="209">
        <f>10649196.33-O71</f>
        <v>9179981.6002388448</v>
      </c>
      <c r="N69">
        <v>2018</v>
      </c>
      <c r="O69" s="169">
        <v>1502666.7843718163</v>
      </c>
      <c r="P69" s="169">
        <v>148.08913583975999</v>
      </c>
    </row>
    <row r="70" spans="1:16" ht="15">
      <c r="B70" s="186" t="s">
        <v>186</v>
      </c>
      <c r="C70" s="215">
        <f t="shared" ref="C70:D70" si="21">AA31</f>
        <v>4053.0631041818024</v>
      </c>
      <c r="D70" s="215">
        <f t="shared" si="21"/>
        <v>25656756.120305199</v>
      </c>
      <c r="E70" s="209">
        <v>4018.0185269978624</v>
      </c>
      <c r="F70" s="209">
        <v>25376119.25</v>
      </c>
      <c r="G70" s="209">
        <v>3892.0749318594717</v>
      </c>
      <c r="H70" s="209">
        <v>25023859.5</v>
      </c>
      <c r="N70">
        <v>2019</v>
      </c>
      <c r="O70" s="169">
        <v>1499518.7197028366</v>
      </c>
      <c r="P70" s="169">
        <v>147.80557823976002</v>
      </c>
    </row>
    <row r="71" spans="1:16" ht="15">
      <c r="B71" s="186" t="s">
        <v>215</v>
      </c>
      <c r="C71" s="215">
        <f t="shared" ref="C71:D71" si="22">AA32</f>
        <v>3.1238554041889035</v>
      </c>
      <c r="D71" s="215">
        <f t="shared" si="22"/>
        <v>51568.886222026442</v>
      </c>
      <c r="E71" s="209">
        <v>3.1238554041889035</v>
      </c>
      <c r="F71" s="209">
        <v>51568.89</v>
      </c>
      <c r="G71" s="209">
        <v>2.709024312271711</v>
      </c>
      <c r="H71" s="209">
        <v>47989.39</v>
      </c>
      <c r="M71" s="155"/>
      <c r="N71">
        <v>2020</v>
      </c>
      <c r="O71" s="169">
        <v>1469214.729761156</v>
      </c>
      <c r="P71" s="169">
        <v>145.80366158376</v>
      </c>
    </row>
    <row r="72" spans="1:16" ht="15">
      <c r="B72" s="186" t="s">
        <v>216</v>
      </c>
      <c r="C72" s="215">
        <f t="shared" ref="C72:D72" si="23">AA33</f>
        <v>0</v>
      </c>
      <c r="D72" s="215">
        <f t="shared" si="23"/>
        <v>14159787.849458033</v>
      </c>
      <c r="E72" s="209">
        <v>0</v>
      </c>
      <c r="F72" s="209">
        <v>14159787.85</v>
      </c>
      <c r="G72" s="209">
        <v>0</v>
      </c>
      <c r="H72" s="209">
        <v>14159787.85</v>
      </c>
      <c r="M72" s="155"/>
      <c r="N72" s="155"/>
    </row>
    <row r="73" spans="1:16" ht="15">
      <c r="B73" s="186"/>
      <c r="C73" s="216"/>
      <c r="D73" s="216"/>
      <c r="E73" s="210"/>
      <c r="F73" s="210"/>
      <c r="G73" s="210"/>
      <c r="H73" s="210"/>
      <c r="M73" s="155"/>
      <c r="N73" s="155"/>
    </row>
    <row r="74" spans="1:16" ht="15">
      <c r="B74" s="161" t="s">
        <v>281</v>
      </c>
      <c r="C74" s="217">
        <f>SUM(C65:C72)</f>
        <v>24530.703930195763</v>
      </c>
      <c r="D74" s="217">
        <f>SUM(D65:D72)</f>
        <v>158709256.87225094</v>
      </c>
      <c r="E74" s="224">
        <f t="shared" ref="E74:H74" si="24">SUM(E65:E72)</f>
        <v>24383.800691542256</v>
      </c>
      <c r="F74" s="224">
        <f t="shared" si="24"/>
        <v>155404151.58029714</v>
      </c>
      <c r="G74" s="224">
        <f t="shared" si="24"/>
        <v>22837.236121858932</v>
      </c>
      <c r="H74" s="224">
        <f t="shared" si="24"/>
        <v>148987158.10023883</v>
      </c>
      <c r="M74" s="155"/>
      <c r="N74" s="155"/>
    </row>
    <row r="75" spans="1:16" ht="15">
      <c r="B75" s="186"/>
      <c r="C75" s="218"/>
      <c r="D75" s="218"/>
      <c r="E75" s="213"/>
      <c r="F75" s="213"/>
      <c r="G75" s="213"/>
      <c r="H75" s="213"/>
      <c r="M75" s="155"/>
      <c r="N75" s="155"/>
    </row>
    <row r="76" spans="1:16" ht="15">
      <c r="B76" s="186" t="s">
        <v>136</v>
      </c>
      <c r="C76" s="215">
        <f t="shared" ref="C76:D76" si="25">AA37</f>
        <v>134.08490320307163</v>
      </c>
      <c r="D76" s="215">
        <f t="shared" si="25"/>
        <v>1612638.5596800747</v>
      </c>
      <c r="E76" s="209">
        <v>132.38932378443101</v>
      </c>
      <c r="F76" s="209">
        <v>1598413.089172099</v>
      </c>
      <c r="G76" s="209">
        <v>132.26824436929647</v>
      </c>
      <c r="H76" s="209">
        <v>1598200.8852295566</v>
      </c>
      <c r="M76" s="155"/>
      <c r="N76" s="155"/>
    </row>
    <row r="77" spans="1:16" ht="15">
      <c r="B77" s="186" t="s">
        <v>211</v>
      </c>
      <c r="C77" s="215">
        <f t="shared" ref="C77:D77" si="26">AA38</f>
        <v>185.3719707136039</v>
      </c>
      <c r="D77" s="215">
        <f t="shared" si="26"/>
        <v>1410440.858459271</v>
      </c>
      <c r="E77" s="209">
        <v>178.67798559505377</v>
      </c>
      <c r="F77" s="209">
        <v>1371210.3093163422</v>
      </c>
      <c r="G77" s="209">
        <v>165.63521124349876</v>
      </c>
      <c r="H77" s="209">
        <v>1297396.7753807909</v>
      </c>
      <c r="M77" s="155"/>
      <c r="N77" s="155"/>
    </row>
    <row r="78" spans="1:16" ht="15">
      <c r="B78" s="186" t="s">
        <v>212</v>
      </c>
      <c r="C78" s="215">
        <f t="shared" ref="C78:D78" si="27">AA39</f>
        <v>2331.322959809851</v>
      </c>
      <c r="D78" s="215">
        <f t="shared" si="27"/>
        <v>19969163.983606704</v>
      </c>
      <c r="E78" s="209">
        <v>2330.589692181888</v>
      </c>
      <c r="F78" s="209">
        <v>19960249.871271189</v>
      </c>
      <c r="G78" s="209">
        <v>2327.7203530249026</v>
      </c>
      <c r="H78" s="209">
        <v>19941425.094690636</v>
      </c>
      <c r="M78" s="186"/>
      <c r="N78" s="186"/>
    </row>
    <row r="79" spans="1:16" ht="15">
      <c r="A79" s="127">
        <v>2018</v>
      </c>
      <c r="B79" s="186" t="s">
        <v>213</v>
      </c>
      <c r="C79" s="215">
        <f t="shared" ref="C79:D79" si="28">AA40</f>
        <v>59.611366000000004</v>
      </c>
      <c r="D79" s="215">
        <f t="shared" si="28"/>
        <v>250212.92989099998</v>
      </c>
      <c r="E79" s="209">
        <v>59.483795724358359</v>
      </c>
      <c r="F79" s="209">
        <v>249541.1205675776</v>
      </c>
      <c r="G79" s="209">
        <v>59.316581587313095</v>
      </c>
      <c r="H79" s="209">
        <v>248975.60089597933</v>
      </c>
    </row>
    <row r="80" spans="1:16" s="186" customFormat="1" ht="15">
      <c r="B80" s="186" t="s">
        <v>214</v>
      </c>
      <c r="C80" s="215">
        <f t="shared" ref="C80:D80" si="29">AA41</f>
        <v>284.52695899999998</v>
      </c>
      <c r="D80" s="215">
        <f t="shared" si="29"/>
        <v>1523593.1775200001</v>
      </c>
      <c r="E80" s="209">
        <v>284.30726738322505</v>
      </c>
      <c r="F80" s="209">
        <v>1521471.6743934031</v>
      </c>
      <c r="G80" s="209">
        <v>284.07518932400103</v>
      </c>
      <c r="H80" s="209">
        <v>1520169.6639867001</v>
      </c>
    </row>
    <row r="81" spans="2:8" s="186" customFormat="1" ht="15">
      <c r="B81" s="186" t="s">
        <v>186</v>
      </c>
      <c r="C81" s="215">
        <f t="shared" ref="C81:D81" si="30">AA42</f>
        <v>164.11500700000002</v>
      </c>
      <c r="D81" s="215">
        <f t="shared" si="30"/>
        <v>1953500.7437110001</v>
      </c>
      <c r="E81" s="209">
        <v>164.11500700000002</v>
      </c>
      <c r="F81" s="209">
        <v>1953462.7661858941</v>
      </c>
      <c r="G81" s="209">
        <v>163.98738512714178</v>
      </c>
      <c r="H81" s="209">
        <v>1952631.5837848473</v>
      </c>
    </row>
    <row r="82" spans="2:8" s="186" customFormat="1" ht="15">
      <c r="B82" s="186" t="s">
        <v>215</v>
      </c>
      <c r="C82" s="215">
        <f t="shared" ref="C82:D82" si="31">AA43</f>
        <v>108.426502</v>
      </c>
      <c r="D82" s="215">
        <f t="shared" si="31"/>
        <v>627647.52711999998</v>
      </c>
      <c r="E82" s="209">
        <v>108.426502</v>
      </c>
      <c r="F82" s="209">
        <v>627647.52711999998</v>
      </c>
      <c r="G82" s="209">
        <v>107.89032165627552</v>
      </c>
      <c r="H82" s="209">
        <v>624543.7447363442</v>
      </c>
    </row>
    <row r="83" spans="2:8" s="186" customFormat="1" ht="15">
      <c r="B83" s="186" t="s">
        <v>216</v>
      </c>
      <c r="C83" s="215">
        <f t="shared" ref="C83:D83" si="32">AA44</f>
        <v>0</v>
      </c>
      <c r="D83" s="215">
        <f t="shared" si="32"/>
        <v>0</v>
      </c>
      <c r="E83" s="209">
        <v>0</v>
      </c>
      <c r="F83" s="209">
        <v>0</v>
      </c>
      <c r="G83" s="209">
        <v>0</v>
      </c>
      <c r="H83" s="209">
        <v>0</v>
      </c>
    </row>
    <row r="84" spans="2:8" s="186" customFormat="1">
      <c r="C84" s="220"/>
      <c r="D84" s="220"/>
      <c r="E84" s="222"/>
      <c r="F84" s="222"/>
      <c r="G84" s="222"/>
      <c r="H84" s="222"/>
    </row>
    <row r="85" spans="2:8" s="186" customFormat="1" ht="15">
      <c r="B85" s="161" t="s">
        <v>280</v>
      </c>
      <c r="C85" s="223">
        <f t="shared" ref="C85:H85" si="33">SUM(C76:C83)</f>
        <v>3267.4596677265263</v>
      </c>
      <c r="D85" s="223">
        <f t="shared" si="33"/>
        <v>27347197.77998805</v>
      </c>
      <c r="E85" s="224">
        <f t="shared" si="33"/>
        <v>3257.9895736689559</v>
      </c>
      <c r="F85" s="224">
        <f t="shared" si="33"/>
        <v>27281996.358026512</v>
      </c>
      <c r="G85" s="224">
        <f t="shared" si="33"/>
        <v>3240.8932863324289</v>
      </c>
      <c r="H85" s="224">
        <f t="shared" si="33"/>
        <v>27183343.348704856</v>
      </c>
    </row>
    <row r="86" spans="2:8" s="186" customFormat="1">
      <c r="C86" s="226"/>
      <c r="D86" s="226"/>
      <c r="E86" s="226"/>
      <c r="F86" s="226"/>
      <c r="G86" s="226"/>
      <c r="H86" s="226"/>
    </row>
    <row r="87" spans="2:8" s="186" customFormat="1"/>
    <row r="88" spans="2:8" s="186" customFormat="1" ht="15">
      <c r="B88" s="162" t="str">
        <f t="shared" ref="B88:B95" si="34">B76</f>
        <v>Residential</v>
      </c>
      <c r="C88" s="155">
        <f>VLOOKUP($B88,$B$65:$H$72,COLUMN()-1,FALSE)+VLOOKUP($B88,$B$76:$H$85,COLUMN()-1,FALSE)/2</f>
        <v>6022.0027972807657</v>
      </c>
      <c r="D88" s="155">
        <f>VLOOKUP($B88,$B$65:$H$72,COLUMN()-1,FALSE)+VLOOKUP($B88,$B$76:$H$85,COLUMN()-1,FALSE)/2</f>
        <v>35017205.759209864</v>
      </c>
      <c r="E88" s="155">
        <f t="shared" ref="E88:H88" si="35">VLOOKUP($B88,$B$65:$H$72,COLUMN()-1,FALSE)+VLOOKUP($B88,$B$76:$H$85,COLUMN()-1,FALSE)/2</f>
        <v>6001.5693003948945</v>
      </c>
      <c r="F88" s="155">
        <f t="shared" si="35"/>
        <v>34942853.374586046</v>
      </c>
      <c r="G88" s="155">
        <f t="shared" si="35"/>
        <v>5841.3008291229671</v>
      </c>
      <c r="H88" s="155">
        <f t="shared" si="35"/>
        <v>33776666.172614783</v>
      </c>
    </row>
    <row r="89" spans="2:8" s="186" customFormat="1" ht="15">
      <c r="B89" s="162" t="str">
        <f t="shared" si="34"/>
        <v>General Service &lt;50 kW</v>
      </c>
      <c r="C89" s="155">
        <f t="shared" ref="C89:H95" si="36">VLOOKUP($B89,$B$65:$H$72,COLUMN()-1,FALSE)+VLOOKUP($B89,$B$76:$H$85,COLUMN()-1,FALSE)/2</f>
        <v>1997.4707502968452</v>
      </c>
      <c r="D89" s="155">
        <f t="shared" si="36"/>
        <v>10202533.079656351</v>
      </c>
      <c r="E89" s="155">
        <f t="shared" si="36"/>
        <v>1986.8387941582746</v>
      </c>
      <c r="F89" s="155">
        <f t="shared" si="36"/>
        <v>9691813.50465817</v>
      </c>
      <c r="G89" s="155">
        <f t="shared" si="36"/>
        <v>1893.8660851521543</v>
      </c>
      <c r="H89" s="155">
        <f t="shared" si="36"/>
        <v>9317123.8276903946</v>
      </c>
    </row>
    <row r="90" spans="2:8" s="186" customFormat="1" ht="15">
      <c r="B90" s="162" t="str">
        <f t="shared" si="34"/>
        <v>General Service 50 - 4,999 kW</v>
      </c>
      <c r="C90" s="155">
        <f t="shared" si="36"/>
        <v>12311.387914605</v>
      </c>
      <c r="D90" s="155">
        <f t="shared" si="36"/>
        <v>74791634.140374079</v>
      </c>
      <c r="E90" s="155">
        <f t="shared" si="36"/>
        <v>12232.476694369723</v>
      </c>
      <c r="F90" s="155">
        <f t="shared" si="36"/>
        <v>72356933.935635597</v>
      </c>
      <c r="G90" s="155">
        <f t="shared" si="36"/>
        <v>11099.436046043062</v>
      </c>
      <c r="H90" s="155">
        <f t="shared" si="36"/>
        <v>67992626.617345318</v>
      </c>
    </row>
    <row r="91" spans="2:8" s="186" customFormat="1" ht="15">
      <c r="B91" s="162" t="str">
        <f t="shared" si="34"/>
        <v>General Service 3,000 - 4,999 kW</v>
      </c>
      <c r="C91" s="155">
        <f t="shared" si="36"/>
        <v>145.91734551595516</v>
      </c>
      <c r="D91" s="155">
        <f t="shared" si="36"/>
        <v>1036492.6616043955</v>
      </c>
      <c r="E91" s="155">
        <f t="shared" si="36"/>
        <v>145.68839010249269</v>
      </c>
      <c r="F91" s="155">
        <f t="shared" si="36"/>
        <v>1035458.2902837888</v>
      </c>
      <c r="G91" s="155">
        <f t="shared" si="36"/>
        <v>144.83848572366946</v>
      </c>
      <c r="H91" s="155">
        <f t="shared" si="36"/>
        <v>1032122.3204479897</v>
      </c>
    </row>
    <row r="92" spans="2:8" s="186" customFormat="1" ht="15">
      <c r="B92" s="162" t="str">
        <f t="shared" si="34"/>
        <v>Large use - Regular</v>
      </c>
      <c r="C92" s="155">
        <f t="shared" si="36"/>
        <v>1495.1972422744693</v>
      </c>
      <c r="D92" s="155">
        <f>VLOOKUP($B92,$B$65:$H$72,COLUMN()-1,FALSE)+VLOOKUP($B92,$B$76:$H$85,COLUMN()-1,FALSE)/2</f>
        <v>10176303.129999481</v>
      </c>
      <c r="E92" s="155">
        <f t="shared" si="36"/>
        <v>1488.8091624493027</v>
      </c>
      <c r="F92" s="155">
        <f t="shared" si="36"/>
        <v>10140059.517493866</v>
      </c>
      <c r="G92" s="155">
        <f t="shared" si="36"/>
        <v>1447.5185094198405</v>
      </c>
      <c r="H92" s="155">
        <f t="shared" si="36"/>
        <v>9940066.4322321955</v>
      </c>
    </row>
    <row r="93" spans="2:8" s="186" customFormat="1" ht="15">
      <c r="B93" s="162" t="str">
        <f t="shared" si="34"/>
        <v>Large Use - 3TS</v>
      </c>
      <c r="C93" s="155">
        <f t="shared" si="36"/>
        <v>4135.1206076818025</v>
      </c>
      <c r="D93" s="155">
        <f t="shared" si="36"/>
        <v>26633506.4921607</v>
      </c>
      <c r="E93" s="155">
        <f t="shared" si="36"/>
        <v>4100.0760304978621</v>
      </c>
      <c r="F93" s="155">
        <f t="shared" si="36"/>
        <v>26352850.633092947</v>
      </c>
      <c r="G93" s="155">
        <f t="shared" si="36"/>
        <v>3974.0686244230424</v>
      </c>
      <c r="H93" s="155">
        <f t="shared" si="36"/>
        <v>26000175.291892424</v>
      </c>
    </row>
    <row r="94" spans="2:8" s="186" customFormat="1" ht="15">
      <c r="B94" s="162" t="str">
        <f t="shared" si="34"/>
        <v>Large Use - Ford Annex</v>
      </c>
      <c r="C94" s="155">
        <f t="shared" si="36"/>
        <v>57.337106404188901</v>
      </c>
      <c r="D94" s="155">
        <f t="shared" si="36"/>
        <v>365392.64978202642</v>
      </c>
      <c r="E94" s="155">
        <f t="shared" si="36"/>
        <v>57.337106404188901</v>
      </c>
      <c r="F94" s="155">
        <f t="shared" si="36"/>
        <v>365392.65356000001</v>
      </c>
      <c r="G94" s="155">
        <f t="shared" si="36"/>
        <v>56.654185140409467</v>
      </c>
      <c r="H94" s="155">
        <f t="shared" si="36"/>
        <v>360261.26236817212</v>
      </c>
    </row>
    <row r="95" spans="2:8" s="186" customFormat="1" ht="15">
      <c r="B95" s="162" t="str">
        <f t="shared" si="34"/>
        <v>Other</v>
      </c>
      <c r="C95" s="155">
        <f t="shared" si="36"/>
        <v>0</v>
      </c>
      <c r="D95" s="155">
        <f t="shared" si="36"/>
        <v>14159787.849458033</v>
      </c>
      <c r="E95" s="155">
        <f t="shared" si="36"/>
        <v>0</v>
      </c>
      <c r="F95" s="155">
        <f t="shared" si="36"/>
        <v>14159787.85</v>
      </c>
      <c r="G95" s="155">
        <f t="shared" si="36"/>
        <v>0</v>
      </c>
      <c r="H95" s="155">
        <f t="shared" si="36"/>
        <v>14159787.85</v>
      </c>
    </row>
    <row r="96" spans="2:8" s="186" customFormat="1"/>
    <row r="97" spans="2:8" s="186" customFormat="1"/>
    <row r="98" spans="2:8" ht="33.75" customHeight="1">
      <c r="B98" s="186"/>
      <c r="C98" s="265" t="s">
        <v>273</v>
      </c>
      <c r="D98" s="266"/>
      <c r="E98" s="265" t="s">
        <v>274</v>
      </c>
      <c r="F98" s="266"/>
      <c r="G98" s="265" t="s">
        <v>275</v>
      </c>
      <c r="H98" s="266"/>
    </row>
    <row r="99" spans="2:8" ht="15">
      <c r="B99" s="186"/>
      <c r="C99" s="163" t="s">
        <v>183</v>
      </c>
      <c r="D99" s="163" t="s">
        <v>174</v>
      </c>
      <c r="E99" s="163" t="s">
        <v>183</v>
      </c>
      <c r="F99" s="163" t="s">
        <v>174</v>
      </c>
      <c r="G99" s="163" t="s">
        <v>183</v>
      </c>
      <c r="H99" s="163" t="s">
        <v>174</v>
      </c>
    </row>
    <row r="100" spans="2:8" ht="15">
      <c r="B100" s="186"/>
      <c r="C100" s="164"/>
      <c r="D100" s="164"/>
      <c r="E100" s="164"/>
      <c r="F100" s="164"/>
      <c r="G100" s="164"/>
      <c r="H100" s="164"/>
    </row>
    <row r="101" spans="2:8" ht="15">
      <c r="B101" s="186" t="s">
        <v>136</v>
      </c>
      <c r="C101" s="208">
        <v>132.26824436929647</v>
      </c>
      <c r="D101" s="208">
        <v>1598200.8852295566</v>
      </c>
      <c r="E101" s="209">
        <v>0</v>
      </c>
      <c r="F101" s="209">
        <v>0</v>
      </c>
      <c r="G101" s="209">
        <v>0</v>
      </c>
      <c r="H101" s="209">
        <v>0</v>
      </c>
    </row>
    <row r="102" spans="2:8" ht="15">
      <c r="B102" s="186" t="s">
        <v>211</v>
      </c>
      <c r="C102" s="208">
        <v>165.63521124349876</v>
      </c>
      <c r="D102" s="208">
        <v>1297396.7753807909</v>
      </c>
      <c r="E102" s="209">
        <v>107.93166348986618</v>
      </c>
      <c r="F102" s="209">
        <v>1432188.1709855522</v>
      </c>
      <c r="G102" s="209">
        <v>0</v>
      </c>
      <c r="H102" s="209">
        <v>0</v>
      </c>
    </row>
    <row r="103" spans="2:8" ht="15">
      <c r="B103" s="186" t="s">
        <v>212</v>
      </c>
      <c r="C103" s="208">
        <v>2327.7203530249026</v>
      </c>
      <c r="D103" s="208">
        <v>19941425.094690636</v>
      </c>
      <c r="E103" s="209">
        <v>1478.1346750852013</v>
      </c>
      <c r="F103" s="209">
        <v>15981377.791175578</v>
      </c>
      <c r="G103" s="209">
        <v>0</v>
      </c>
      <c r="H103" s="209">
        <v>0</v>
      </c>
    </row>
    <row r="104" spans="2:8" ht="15">
      <c r="B104" s="186" t="s">
        <v>213</v>
      </c>
      <c r="C104" s="208">
        <v>59.316581587313095</v>
      </c>
      <c r="D104" s="208">
        <v>248975.60089597933</v>
      </c>
      <c r="E104" s="209">
        <v>4.1028018503502395</v>
      </c>
      <c r="F104" s="209">
        <v>129316.08571324406</v>
      </c>
      <c r="G104" s="209">
        <v>0</v>
      </c>
      <c r="H104" s="209">
        <v>0</v>
      </c>
    </row>
    <row r="105" spans="2:8" ht="15">
      <c r="B105" s="186" t="s">
        <v>214</v>
      </c>
      <c r="C105" s="208">
        <v>284.07518932400103</v>
      </c>
      <c r="D105" s="208">
        <v>1520169.6639867001</v>
      </c>
      <c r="E105" s="209">
        <v>216.04016364819662</v>
      </c>
      <c r="F105" s="209">
        <v>3230207.0157782109</v>
      </c>
      <c r="G105" s="209">
        <v>6165.0020000000004</v>
      </c>
      <c r="H105" s="209">
        <v>54001577.640000001</v>
      </c>
    </row>
    <row r="106" spans="2:8" ht="15">
      <c r="B106" s="186" t="s">
        <v>186</v>
      </c>
      <c r="C106" s="208">
        <v>163.98738512714178</v>
      </c>
      <c r="D106" s="208">
        <v>1952631.5837848473</v>
      </c>
      <c r="E106" s="209">
        <v>381.43312581891792</v>
      </c>
      <c r="F106" s="209">
        <v>3805261.4822671395</v>
      </c>
      <c r="G106" s="209">
        <v>0</v>
      </c>
      <c r="H106" s="209">
        <v>0</v>
      </c>
    </row>
    <row r="107" spans="2:8" ht="15">
      <c r="B107" s="186" t="s">
        <v>215</v>
      </c>
      <c r="C107" s="208">
        <v>107.89032165627552</v>
      </c>
      <c r="D107" s="208">
        <v>624543.7447363442</v>
      </c>
      <c r="E107" s="209">
        <v>0.59414010746757384</v>
      </c>
      <c r="F107" s="209">
        <v>17911.474080273008</v>
      </c>
      <c r="G107" s="209">
        <v>0</v>
      </c>
      <c r="H107" s="209">
        <v>0</v>
      </c>
    </row>
    <row r="108" spans="2:8" ht="15">
      <c r="B108" s="186" t="s">
        <v>216</v>
      </c>
      <c r="C108" s="208"/>
      <c r="D108" s="208"/>
      <c r="E108" s="209"/>
      <c r="F108" s="209"/>
      <c r="G108" s="209"/>
      <c r="H108" s="209"/>
    </row>
    <row r="109" spans="2:8" ht="15">
      <c r="B109" s="186"/>
      <c r="C109" s="210"/>
      <c r="D109" s="210"/>
      <c r="E109" s="210"/>
      <c r="F109" s="210"/>
      <c r="G109" s="210"/>
      <c r="H109" s="210"/>
    </row>
    <row r="110" spans="2:8" ht="15">
      <c r="B110" s="186"/>
      <c r="C110" s="211">
        <f>SUM(C101:C108)</f>
        <v>3240.8932863324289</v>
      </c>
      <c r="D110" s="211">
        <f t="shared" ref="D110:H110" si="37">SUM(D101:D108)</f>
        <v>27183343.348704856</v>
      </c>
      <c r="E110" s="214">
        <f t="shared" si="37"/>
        <v>2188.2365699999996</v>
      </c>
      <c r="F110" s="214">
        <f t="shared" si="37"/>
        <v>24596262.019999996</v>
      </c>
      <c r="G110" s="214">
        <f t="shared" si="37"/>
        <v>6165.0020000000004</v>
      </c>
      <c r="H110" s="214">
        <f t="shared" si="37"/>
        <v>54001577.640000001</v>
      </c>
    </row>
    <row r="111" spans="2:8" ht="15">
      <c r="B111" s="186"/>
      <c r="C111" s="213"/>
      <c r="D111" s="213"/>
      <c r="E111" s="213"/>
      <c r="F111" s="213"/>
      <c r="G111" s="213"/>
      <c r="H111" s="213"/>
    </row>
  </sheetData>
  <mergeCells count="21">
    <mergeCell ref="C23:D23"/>
    <mergeCell ref="AC23:AD23"/>
    <mergeCell ref="AE23:AF23"/>
    <mergeCell ref="Q23:R23"/>
    <mergeCell ref="S23:T23"/>
    <mergeCell ref="U23:V23"/>
    <mergeCell ref="W23:X23"/>
    <mergeCell ref="Y23:Z23"/>
    <mergeCell ref="AA23:AB23"/>
    <mergeCell ref="E23:F23"/>
    <mergeCell ref="G23:H23"/>
    <mergeCell ref="I23:J23"/>
    <mergeCell ref="K23:L23"/>
    <mergeCell ref="M23:N23"/>
    <mergeCell ref="O23:P23"/>
    <mergeCell ref="C98:D98"/>
    <mergeCell ref="E98:F98"/>
    <mergeCell ref="G98:H98"/>
    <mergeCell ref="C62:D62"/>
    <mergeCell ref="E62:F62"/>
    <mergeCell ref="G62:H6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2:AQ48"/>
  <sheetViews>
    <sheetView zoomScaleNormal="100" workbookViewId="0">
      <selection activeCell="C38" sqref="C38"/>
    </sheetView>
  </sheetViews>
  <sheetFormatPr defaultColWidth="9.1640625" defaultRowHeight="12.75"/>
  <cols>
    <col min="1" max="1" width="13.33203125" style="4" customWidth="1"/>
    <col min="2" max="2" width="6.83203125" style="4" customWidth="1"/>
    <col min="3" max="3" width="22" style="4" bestFit="1" customWidth="1"/>
    <col min="4" max="4" width="15.83203125" style="4" customWidth="1"/>
    <col min="5" max="5" width="10.6640625" style="4" customWidth="1"/>
    <col min="6" max="6" width="12.5" style="119" customWidth="1"/>
    <col min="7" max="7" width="12" style="4" hidden="1" customWidth="1"/>
    <col min="8" max="8" width="14.5" style="119" customWidth="1"/>
    <col min="9" max="9" width="12.33203125" style="4" bestFit="1" customWidth="1"/>
    <col min="10" max="10" width="18.83203125" style="4" bestFit="1" customWidth="1"/>
    <col min="11" max="11" width="14.6640625" style="4" bestFit="1" customWidth="1"/>
    <col min="12" max="12" width="12" style="4" bestFit="1" customWidth="1"/>
    <col min="13" max="13" width="12" style="119" customWidth="1"/>
    <col min="14" max="14" width="13.83203125" style="4" customWidth="1"/>
    <col min="15" max="15" width="12.33203125" style="4" bestFit="1" customWidth="1"/>
    <col min="16" max="16" width="17" style="4" customWidth="1"/>
    <col min="17" max="17" width="14.6640625" style="4" bestFit="1" customWidth="1"/>
    <col min="18" max="18" width="12" style="4" bestFit="1" customWidth="1"/>
    <col min="19" max="19" width="12" style="119" customWidth="1"/>
    <col min="20" max="20" width="13.6640625" style="4" customWidth="1"/>
    <col min="21" max="21" width="12.33203125" style="4" bestFit="1" customWidth="1"/>
    <col min="22" max="22" width="17" style="4" customWidth="1"/>
    <col min="23" max="23" width="14.6640625" style="4" bestFit="1" customWidth="1"/>
    <col min="24" max="24" width="12" style="4" bestFit="1" customWidth="1"/>
    <col min="25" max="25" width="12" style="119" customWidth="1"/>
    <col min="26" max="26" width="24" style="4" customWidth="1"/>
    <col min="27" max="27" width="12.33203125" style="4" bestFit="1" customWidth="1"/>
    <col min="28" max="28" width="15.5" style="4" customWidth="1"/>
    <col min="29" max="29" width="11" style="4" customWidth="1"/>
    <col min="30" max="30" width="10.83203125" style="4" customWidth="1"/>
    <col min="31" max="31" width="10.83203125" style="119" customWidth="1"/>
    <col min="32" max="32" width="9.1640625" style="4"/>
    <col min="33" max="33" width="10.33203125" style="4" customWidth="1"/>
    <col min="34" max="34" width="15.1640625" style="4" bestFit="1" customWidth="1"/>
    <col min="35" max="35" width="14.6640625" style="4" bestFit="1" customWidth="1"/>
    <col min="36" max="36" width="12" style="4" bestFit="1" customWidth="1"/>
    <col min="37" max="37" width="12" style="119" customWidth="1"/>
    <col min="38" max="38" width="9.1640625" style="4"/>
    <col min="39" max="39" width="5.83203125" style="4" bestFit="1" customWidth="1"/>
    <col min="40" max="41" width="14.5" style="4" bestFit="1" customWidth="1"/>
    <col min="42" max="42" width="12" style="4" bestFit="1" customWidth="1"/>
    <col min="43" max="43" width="12" style="119" customWidth="1"/>
    <col min="44" max="16384" width="9.1640625" style="4"/>
  </cols>
  <sheetData>
    <row r="2" spans="1:43" s="36" customFormat="1" ht="12.75" customHeight="1">
      <c r="B2" s="277" t="s">
        <v>163</v>
      </c>
      <c r="C2" s="277"/>
      <c r="D2" s="277"/>
      <c r="E2" s="277"/>
      <c r="F2" s="277"/>
      <c r="I2" s="277" t="s">
        <v>140</v>
      </c>
      <c r="J2" s="277"/>
      <c r="K2" s="277"/>
      <c r="L2" s="277"/>
      <c r="M2" s="277"/>
      <c r="O2" s="277" t="s">
        <v>141</v>
      </c>
      <c r="P2" s="277"/>
      <c r="Q2" s="277"/>
      <c r="R2" s="277"/>
      <c r="S2" s="277"/>
      <c r="U2" s="277" t="s">
        <v>189</v>
      </c>
      <c r="V2" s="277"/>
      <c r="W2" s="277"/>
      <c r="X2" s="277"/>
      <c r="Y2" s="277"/>
      <c r="AA2" s="277" t="s">
        <v>190</v>
      </c>
      <c r="AB2" s="277"/>
      <c r="AC2" s="277"/>
      <c r="AD2" s="277"/>
      <c r="AE2" s="277"/>
      <c r="AG2" s="277" t="s">
        <v>144</v>
      </c>
      <c r="AH2" s="277"/>
      <c r="AI2" s="277"/>
      <c r="AJ2" s="277"/>
      <c r="AK2" s="277"/>
      <c r="AM2" s="277" t="s">
        <v>149</v>
      </c>
      <c r="AN2" s="277"/>
      <c r="AO2" s="277"/>
      <c r="AP2" s="277"/>
      <c r="AQ2" s="277"/>
    </row>
    <row r="3" spans="1:43" ht="38.25">
      <c r="B3" s="4" t="s">
        <v>124</v>
      </c>
      <c r="C3" s="11" t="s">
        <v>174</v>
      </c>
      <c r="D3" s="171" t="s">
        <v>183</v>
      </c>
      <c r="E3" s="152" t="s">
        <v>164</v>
      </c>
      <c r="F3" s="151" t="s">
        <v>241</v>
      </c>
      <c r="I3" s="4" t="s">
        <v>124</v>
      </c>
      <c r="J3" s="11" t="s">
        <v>174</v>
      </c>
      <c r="K3" s="171" t="s">
        <v>183</v>
      </c>
      <c r="L3" s="152" t="s">
        <v>164</v>
      </c>
      <c r="M3" s="151" t="s">
        <v>241</v>
      </c>
      <c r="O3" s="4" t="s">
        <v>124</v>
      </c>
      <c r="P3" s="11" t="s">
        <v>174</v>
      </c>
      <c r="Q3" s="171" t="s">
        <v>183</v>
      </c>
      <c r="R3" s="152" t="s">
        <v>164</v>
      </c>
      <c r="S3" s="151" t="s">
        <v>241</v>
      </c>
      <c r="U3" s="4" t="s">
        <v>124</v>
      </c>
      <c r="V3" s="11" t="s">
        <v>174</v>
      </c>
      <c r="W3" s="171" t="s">
        <v>183</v>
      </c>
      <c r="X3" s="152" t="s">
        <v>164</v>
      </c>
      <c r="Y3" s="151" t="s">
        <v>241</v>
      </c>
      <c r="AA3" s="4" t="s">
        <v>124</v>
      </c>
      <c r="AB3" s="11" t="s">
        <v>174</v>
      </c>
      <c r="AC3" s="171" t="s">
        <v>183</v>
      </c>
      <c r="AD3" s="152" t="s">
        <v>164</v>
      </c>
      <c r="AE3" s="151" t="s">
        <v>241</v>
      </c>
      <c r="AG3" s="4" t="s">
        <v>124</v>
      </c>
      <c r="AH3" s="11" t="s">
        <v>174</v>
      </c>
      <c r="AI3" s="171" t="s">
        <v>183</v>
      </c>
      <c r="AJ3" s="152" t="s">
        <v>164</v>
      </c>
      <c r="AK3" s="151" t="s">
        <v>241</v>
      </c>
      <c r="AM3" s="4" t="s">
        <v>124</v>
      </c>
      <c r="AN3" s="11" t="s">
        <v>174</v>
      </c>
      <c r="AO3" s="171" t="s">
        <v>183</v>
      </c>
      <c r="AP3" s="152" t="s">
        <v>164</v>
      </c>
      <c r="AQ3" s="151" t="s">
        <v>241</v>
      </c>
    </row>
    <row r="4" spans="1:43" s="37" customFormat="1">
      <c r="A4" s="153"/>
      <c r="B4" s="153"/>
      <c r="C4" s="153" t="s">
        <v>157</v>
      </c>
      <c r="D4" s="153" t="s">
        <v>158</v>
      </c>
      <c r="E4" s="153" t="s">
        <v>165</v>
      </c>
      <c r="F4" s="153"/>
      <c r="G4" s="153" t="s">
        <v>307</v>
      </c>
      <c r="H4" s="233"/>
      <c r="I4" s="153"/>
      <c r="J4" s="153" t="s">
        <v>157</v>
      </c>
      <c r="K4" s="153" t="s">
        <v>158</v>
      </c>
      <c r="L4" s="153" t="s">
        <v>165</v>
      </c>
      <c r="M4" s="153"/>
      <c r="N4" s="153"/>
      <c r="O4" s="153"/>
      <c r="P4" s="153" t="s">
        <v>157</v>
      </c>
      <c r="Q4" s="153" t="s">
        <v>158</v>
      </c>
      <c r="R4" s="153" t="s">
        <v>165</v>
      </c>
      <c r="S4" s="153"/>
      <c r="T4" s="153"/>
      <c r="U4" s="153"/>
      <c r="V4" s="153" t="s">
        <v>157</v>
      </c>
      <c r="W4" s="153" t="s">
        <v>158</v>
      </c>
      <c r="X4" s="153" t="s">
        <v>165</v>
      </c>
      <c r="Y4" s="153"/>
      <c r="Z4" s="153"/>
      <c r="AA4" s="153"/>
      <c r="AB4" s="153" t="s">
        <v>157</v>
      </c>
      <c r="AC4" s="153" t="s">
        <v>158</v>
      </c>
      <c r="AD4" s="153" t="s">
        <v>165</v>
      </c>
      <c r="AE4" s="153"/>
      <c r="AF4" s="57"/>
      <c r="AH4" s="37" t="s">
        <v>157</v>
      </c>
      <c r="AI4" s="37" t="s">
        <v>158</v>
      </c>
      <c r="AJ4" s="37" t="s">
        <v>165</v>
      </c>
      <c r="AK4" s="149"/>
      <c r="AN4" s="37" t="s">
        <v>157</v>
      </c>
      <c r="AO4" s="37" t="s">
        <v>158</v>
      </c>
      <c r="AP4" s="37" t="s">
        <v>165</v>
      </c>
      <c r="AQ4" s="149"/>
    </row>
    <row r="5" spans="1:43">
      <c r="B5" s="119">
        <v>2009</v>
      </c>
      <c r="C5" s="170">
        <f>'Normalized Annual Summary'!U5</f>
        <v>906614904.72799397</v>
      </c>
      <c r="D5" s="170">
        <f>SUMIFS('Monthly Data'!P:P,'Monthly Data'!B:B,B5)</f>
        <v>2411400.2173879999</v>
      </c>
      <c r="E5" s="59">
        <f t="shared" ref="E5:E13" si="0">D5/C5</f>
        <v>2.6597844407946032E-3</v>
      </c>
      <c r="G5" s="156">
        <f>SUMIFS('Monthly Data'!L:L,'Monthly Data'!B:B,B5)</f>
        <v>2411400.2173879999</v>
      </c>
      <c r="H5" s="156"/>
      <c r="I5" s="119">
        <f>B5</f>
        <v>2009</v>
      </c>
      <c r="J5" s="170">
        <f>'Normalized Annual Summary'!AE5</f>
        <v>51306801.944982</v>
      </c>
      <c r="K5" s="170">
        <f>SUMIF('Monthly Data'!$B:$B,I5,'Monthly Data'!W:W)</f>
        <v>130057.313337</v>
      </c>
      <c r="L5" s="59">
        <f t="shared" ref="L5:L13" si="1">K5/J5</f>
        <v>2.5348941740018175E-3</v>
      </c>
      <c r="O5" s="119">
        <f>I5</f>
        <v>2009</v>
      </c>
      <c r="P5" s="170">
        <f>'Normalized Annual Summary'!AN5</f>
        <v>271865804.30218202</v>
      </c>
      <c r="Q5" s="170">
        <f>SUMIF('Monthly Data'!$B:$B,O5,'Monthly Data'!AB:AB)</f>
        <v>550085.43050499994</v>
      </c>
      <c r="R5" s="59">
        <f t="shared" ref="R5:R13" si="2">Q5/P5</f>
        <v>2.023371169893708E-3</v>
      </c>
      <c r="U5" s="119">
        <f>O5</f>
        <v>2009</v>
      </c>
      <c r="V5" s="170">
        <f ca="1">'Normalized Annual Summary'!AY5</f>
        <v>253823156.07115111</v>
      </c>
      <c r="W5" s="170">
        <f>SUMIF('Monthly Data'!$B:$B,U5,'Monthly Data'!AG:AG)</f>
        <v>739222.92477000004</v>
      </c>
      <c r="X5" s="59">
        <f t="shared" ref="X5:X13" ca="1" si="3">W5/V5</f>
        <v>2.9123541611104338E-3</v>
      </c>
      <c r="AA5" s="119">
        <f>U5</f>
        <v>2009</v>
      </c>
      <c r="AB5" s="170">
        <f>'Normalized Annual Summary'!BH5</f>
        <v>50208448.727770001</v>
      </c>
      <c r="AC5" s="170">
        <f>SUMIF('Monthly Data'!$B:$B,AA5,'Monthly Data'!AT:AT)</f>
        <v>95070.414779999992</v>
      </c>
      <c r="AD5" s="59">
        <f t="shared" ref="AD5:AD13" si="4">AC5/AB5</f>
        <v>1.8935142827349912E-3</v>
      </c>
      <c r="AG5" s="4">
        <v>2009</v>
      </c>
      <c r="AH5" s="33">
        <f>'Normalized Annual Summary'!BQ5</f>
        <v>16930327.966194</v>
      </c>
      <c r="AI5" s="33">
        <f>SUMIF('Monthly Data'!$B:$B,AG5,'Monthly Data'!AY:AY)</f>
        <v>48739.06</v>
      </c>
      <c r="AJ5" s="59">
        <f t="shared" ref="AJ5:AJ13" si="5">AI5/AH5</f>
        <v>2.8788018812937809E-3</v>
      </c>
      <c r="AK5" s="59"/>
      <c r="AM5" s="4">
        <f>AG5</f>
        <v>2009</v>
      </c>
      <c r="AN5" s="33">
        <f>'Normalized Annual Summary'!BW5</f>
        <v>992473.34792500013</v>
      </c>
      <c r="AO5" s="33">
        <f>SUMIF('Monthly Data'!$B:$B,AM5,'Monthly Data'!BD:BD)</f>
        <v>2749.4738910000001</v>
      </c>
      <c r="AP5" s="59">
        <f t="shared" ref="AP5:AP13" si="6">AO5/AN5</f>
        <v>2.7703251646489292E-3</v>
      </c>
      <c r="AQ5" s="59"/>
    </row>
    <row r="6" spans="1:43">
      <c r="B6" s="119">
        <v>2010</v>
      </c>
      <c r="C6" s="170">
        <f>'Normalized Annual Summary'!U6</f>
        <v>943095058.82937098</v>
      </c>
      <c r="D6" s="170">
        <f>SUMIFS('Monthly Data'!P:P,'Monthly Data'!B:B,B6)</f>
        <v>2412320.5319020003</v>
      </c>
      <c r="E6" s="59">
        <f t="shared" si="0"/>
        <v>2.5578763342226866E-3</v>
      </c>
      <c r="F6" s="59"/>
      <c r="G6" s="156">
        <f>SUMIFS('Monthly Data'!L:L,'Monthly Data'!B:B,B6)</f>
        <v>2412320.5319020003</v>
      </c>
      <c r="H6" s="156"/>
      <c r="I6" s="119">
        <f t="shared" ref="I6:I14" si="7">B6</f>
        <v>2010</v>
      </c>
      <c r="J6" s="170">
        <f>'Normalized Annual Summary'!AE6</f>
        <v>49071887.882886</v>
      </c>
      <c r="K6" s="170">
        <f>SUMIF('Monthly Data'!$B:$B,I6,'Monthly Data'!W:W)</f>
        <v>130265.67708899999</v>
      </c>
      <c r="L6" s="59">
        <f t="shared" si="1"/>
        <v>2.6545886598023185E-3</v>
      </c>
      <c r="M6" s="59"/>
      <c r="O6" s="119">
        <f t="shared" ref="O6:O14" si="8">I6</f>
        <v>2010</v>
      </c>
      <c r="P6" s="170">
        <f>'Normalized Annual Summary'!AN6</f>
        <v>295089951.25607103</v>
      </c>
      <c r="Q6" s="170">
        <f>SUMIF('Monthly Data'!$B:$B,O6,'Monthly Data'!AB:AB)</f>
        <v>579239.62557300006</v>
      </c>
      <c r="R6" s="59">
        <f t="shared" si="2"/>
        <v>1.9629256201623472E-3</v>
      </c>
      <c r="S6" s="59"/>
      <c r="T6" s="119"/>
      <c r="U6" s="119">
        <f t="shared" ref="U6:U14" si="9">O6</f>
        <v>2010</v>
      </c>
      <c r="V6" s="170">
        <f ca="1">'Normalized Annual Summary'!AY6</f>
        <v>287197655.7575056</v>
      </c>
      <c r="W6" s="170">
        <f>SUMIF('Monthly Data'!$B:$B,U6,'Monthly Data'!AG:AG)</f>
        <v>698063.14066499996</v>
      </c>
      <c r="X6" s="59">
        <f t="shared" ca="1" si="3"/>
        <v>2.4306018056582165E-3</v>
      </c>
      <c r="Y6" s="59"/>
      <c r="AA6" s="119">
        <f t="shared" ref="AA6:AA14" si="10">U6</f>
        <v>2010</v>
      </c>
      <c r="AB6" s="170">
        <f>'Normalized Annual Summary'!BH6</f>
        <v>54756020.297367997</v>
      </c>
      <c r="AC6" s="170">
        <f>SUMIF('Monthly Data'!$B:$B,AA6,'Monthly Data'!AT:AT)</f>
        <v>99529.309439999997</v>
      </c>
      <c r="AD6" s="59">
        <f t="shared" si="4"/>
        <v>1.817687057961445E-3</v>
      </c>
      <c r="AE6" s="59"/>
      <c r="AG6" s="4">
        <f t="shared" ref="AG6:AG14" si="11">AG5+1</f>
        <v>2010</v>
      </c>
      <c r="AH6" s="33">
        <f>'Normalized Annual Summary'!BQ6</f>
        <v>16997068.557570998</v>
      </c>
      <c r="AI6" s="33">
        <f>SUMIF('Monthly Data'!$B:$B,AG6,'Monthly Data'!AY:AY)</f>
        <v>48810.080000000009</v>
      </c>
      <c r="AJ6" s="59">
        <f t="shared" si="5"/>
        <v>2.8716763619958782E-3</v>
      </c>
      <c r="AK6" s="59"/>
      <c r="AM6" s="4">
        <f>AG6</f>
        <v>2010</v>
      </c>
      <c r="AN6" s="33">
        <f>'Normalized Annual Summary'!BW6</f>
        <v>953516.90303800011</v>
      </c>
      <c r="AO6" s="33">
        <f>SUMIF('Monthly Data'!$B:$B,AM6,'Monthly Data'!BD:BD)</f>
        <v>2624.2302400000003</v>
      </c>
      <c r="AP6" s="59">
        <f t="shared" si="6"/>
        <v>2.7521591191922668E-3</v>
      </c>
      <c r="AQ6" s="59"/>
    </row>
    <row r="7" spans="1:43">
      <c r="A7" s="4" t="s">
        <v>150</v>
      </c>
      <c r="B7" s="119">
        <v>2011</v>
      </c>
      <c r="C7" s="170">
        <f>'Normalized Annual Summary'!U7</f>
        <v>949533128.04511392</v>
      </c>
      <c r="D7" s="170">
        <f>SUMIFS('Monthly Data'!P:P,'Monthly Data'!B:B,B7)</f>
        <v>2424894.8519919999</v>
      </c>
      <c r="E7" s="59">
        <f t="shared" si="0"/>
        <v>2.553775935110701E-3</v>
      </c>
      <c r="F7" s="59">
        <f t="shared" ref="F7:F13" si="12">AVERAGE(E5:E7)</f>
        <v>2.5904789033759971E-3</v>
      </c>
      <c r="G7" s="156">
        <f>SUMIFS('Monthly Data'!L:L,'Monthly Data'!B:B,B7)</f>
        <v>2435756.5519919996</v>
      </c>
      <c r="H7" s="156"/>
      <c r="I7" s="119">
        <f t="shared" si="7"/>
        <v>2011</v>
      </c>
      <c r="J7" s="170">
        <f>'Normalized Annual Summary'!AE7</f>
        <v>48794571.150462002</v>
      </c>
      <c r="K7" s="170">
        <f>SUMIF('Monthly Data'!$B:$B,I7,'Monthly Data'!W:W)</f>
        <v>130751.70967799998</v>
      </c>
      <c r="L7" s="59">
        <f t="shared" si="1"/>
        <v>2.679636414362912E-3</v>
      </c>
      <c r="M7" s="59">
        <f t="shared" ref="M7:M13" si="13">AVERAGE(L5:L7)</f>
        <v>2.6230397493890154E-3</v>
      </c>
      <c r="O7" s="119">
        <f t="shared" si="8"/>
        <v>2011</v>
      </c>
      <c r="P7" s="170">
        <f>'Normalized Annual Summary'!AN7</f>
        <v>320621511.326684</v>
      </c>
      <c r="Q7" s="170">
        <f>SUMIF('Monthly Data'!$B:$B,O7,'Monthly Data'!AB:AB)</f>
        <v>598591.04917000001</v>
      </c>
      <c r="R7" s="59">
        <f t="shared" si="2"/>
        <v>1.8669709549216443E-3</v>
      </c>
      <c r="S7" s="59">
        <f t="shared" ref="S7:S13" si="14">AVERAGE(R5:R7)</f>
        <v>1.9510892483259E-3</v>
      </c>
      <c r="T7" s="119"/>
      <c r="U7" s="119">
        <f t="shared" si="9"/>
        <v>2011</v>
      </c>
      <c r="V7" s="170">
        <f ca="1">'Normalized Annual Summary'!AY7</f>
        <v>265542337.9138996</v>
      </c>
      <c r="W7" s="170">
        <f>SUMIF('Monthly Data'!$B:$B,U7,'Monthly Data'!AG:AG)</f>
        <v>574891.871697</v>
      </c>
      <c r="X7" s="59">
        <f t="shared" ca="1" si="3"/>
        <v>2.1649725471777877E-3</v>
      </c>
      <c r="Y7" s="59">
        <f t="shared" ref="Y7:Y13" ca="1" si="15">AVERAGE(X5:X7)</f>
        <v>2.5026428379821461E-3</v>
      </c>
      <c r="AA7" s="119">
        <f t="shared" si="10"/>
        <v>2011</v>
      </c>
      <c r="AB7" s="170">
        <f>'Normalized Annual Summary'!BH7</f>
        <v>41936988.305069</v>
      </c>
      <c r="AC7" s="170">
        <f>SUMIF('Monthly Data'!$B:$B,AA7,'Monthly Data'!AT:AT)</f>
        <v>77154.613469999997</v>
      </c>
      <c r="AD7" s="59">
        <f t="shared" si="4"/>
        <v>1.8397747808865468E-3</v>
      </c>
      <c r="AE7" s="59">
        <f t="shared" ref="AE7:AE13" si="16">AVERAGE(AD5:AD7)</f>
        <v>1.8503253738609943E-3</v>
      </c>
      <c r="AG7" s="4">
        <f t="shared" si="11"/>
        <v>2011</v>
      </c>
      <c r="AH7" s="33">
        <f>'Normalized Annual Summary'!BQ7</f>
        <v>17061700.853792001</v>
      </c>
      <c r="AI7" s="33">
        <f>SUMIF('Monthly Data'!$B:$B,AG7,'Monthly Data'!AY:AY)</f>
        <v>49249.500000000007</v>
      </c>
      <c r="AJ7" s="59">
        <f t="shared" si="5"/>
        <v>2.8865527781806229E-3</v>
      </c>
      <c r="AK7" s="59">
        <f t="shared" ref="AK7:AK13" si="17">AVERAGE(AJ5:AJ7)</f>
        <v>2.879010340490094E-3</v>
      </c>
      <c r="AM7" s="4">
        <f>AG7</f>
        <v>2011</v>
      </c>
      <c r="AN7" s="33">
        <f>'Normalized Annual Summary'!BW7</f>
        <v>908472.8439770001</v>
      </c>
      <c r="AO7" s="33">
        <f>SUMIF('Monthly Data'!$B:$B,AM7,'Monthly Data'!BD:BD)</f>
        <v>2565.8748849999997</v>
      </c>
      <c r="AP7" s="59">
        <f t="shared" si="6"/>
        <v>2.8243825910826679E-3</v>
      </c>
      <c r="AQ7" s="59">
        <f t="shared" ref="AQ7:AQ13" si="18">AVERAGE(AP5:AP7)</f>
        <v>2.7822889583079546E-3</v>
      </c>
    </row>
    <row r="8" spans="1:43">
      <c r="B8" s="119">
        <v>2012</v>
      </c>
      <c r="C8" s="170">
        <f>'Normalized Annual Summary'!U8</f>
        <v>941638530.06494999</v>
      </c>
      <c r="D8" s="170">
        <f>SUMIFS('Monthly Data'!P:P,'Monthly Data'!B:B,B8)</f>
        <v>2403905.2838570001</v>
      </c>
      <c r="E8" s="59">
        <f t="shared" si="0"/>
        <v>2.5528960499218204E-3</v>
      </c>
      <c r="F8" s="59">
        <f t="shared" si="12"/>
        <v>2.554849439751736E-3</v>
      </c>
      <c r="G8" s="156">
        <f>SUMIFS('Monthly Data'!L:L,'Monthly Data'!B:B,B8)</f>
        <v>2427537.8838569997</v>
      </c>
      <c r="H8" s="156"/>
      <c r="I8" s="119">
        <f t="shared" si="7"/>
        <v>2012</v>
      </c>
      <c r="J8" s="170">
        <f>'Normalized Annual Summary'!AE8</f>
        <v>45768539.737902999</v>
      </c>
      <c r="K8" s="170">
        <f>SUMIF('Monthly Data'!$B:$B,I8,'Monthly Data'!W:W)</f>
        <v>127750.54842900002</v>
      </c>
      <c r="L8" s="59">
        <f t="shared" si="1"/>
        <v>2.7912305955263852E-3</v>
      </c>
      <c r="M8" s="59">
        <f t="shared" si="13"/>
        <v>2.7084852232305387E-3</v>
      </c>
      <c r="O8" s="119">
        <f t="shared" si="8"/>
        <v>2012</v>
      </c>
      <c r="P8" s="170">
        <f>'Normalized Annual Summary'!AN8</f>
        <v>304746367.45815498</v>
      </c>
      <c r="Q8" s="170">
        <f>SUMIF('Monthly Data'!$B:$B,O8,'Monthly Data'!AB:AB)</f>
        <v>566690.59476599994</v>
      </c>
      <c r="R8" s="59">
        <f t="shared" si="2"/>
        <v>1.8595483171552907E-3</v>
      </c>
      <c r="S8" s="59">
        <f t="shared" si="14"/>
        <v>1.8964816307464275E-3</v>
      </c>
      <c r="T8" s="119"/>
      <c r="U8" s="119">
        <f t="shared" si="9"/>
        <v>2012</v>
      </c>
      <c r="V8" s="170">
        <f ca="1">'Normalized Annual Summary'!AY8</f>
        <v>280858035.097938</v>
      </c>
      <c r="W8" s="170">
        <f>SUMIF('Monthly Data'!$B:$B,U8,'Monthly Data'!AG:AG)</f>
        <v>559020.80044799997</v>
      </c>
      <c r="X8" s="59">
        <f t="shared" ca="1" si="3"/>
        <v>1.990403444405868E-3</v>
      </c>
      <c r="Y8" s="59">
        <f t="shared" ca="1" si="15"/>
        <v>2.1953259324139574E-3</v>
      </c>
      <c r="Z8" s="59"/>
      <c r="AA8" s="119">
        <f t="shared" si="10"/>
        <v>2012</v>
      </c>
      <c r="AB8" s="170">
        <f>'Normalized Annual Summary'!BH8</f>
        <v>45336838.931562997</v>
      </c>
      <c r="AC8" s="170">
        <f>SUMIF('Monthly Data'!$B:$B,AA8,'Monthly Data'!AT:AT)</f>
        <v>81689.161949999994</v>
      </c>
      <c r="AD8" s="59">
        <f t="shared" si="4"/>
        <v>1.8018274735323225E-3</v>
      </c>
      <c r="AE8" s="59">
        <f t="shared" si="16"/>
        <v>1.8197631041267715E-3</v>
      </c>
      <c r="AG8" s="4">
        <f t="shared" si="11"/>
        <v>2012</v>
      </c>
      <c r="AH8" s="33">
        <f>'Normalized Annual Summary'!BQ8</f>
        <v>17377866.278999001</v>
      </c>
      <c r="AI8" s="33">
        <f>SUMIF('Monthly Data'!$B:$B,AG8,'Monthly Data'!AY:AY)</f>
        <v>49565.55999999999</v>
      </c>
      <c r="AJ8" s="59">
        <f t="shared" si="5"/>
        <v>2.8522235816660379E-3</v>
      </c>
      <c r="AK8" s="59">
        <f t="shared" si="17"/>
        <v>2.8701509072808461E-3</v>
      </c>
      <c r="AM8" s="4">
        <f>AG8</f>
        <v>2012</v>
      </c>
      <c r="AN8" s="33">
        <f>'Normalized Annual Summary'!BW8</f>
        <v>908923.37890999997</v>
      </c>
      <c r="AO8" s="33">
        <f>SUMIF('Monthly Data'!$B:$B,AM8,'Monthly Data'!BD:BD)</f>
        <v>2495.6537090000002</v>
      </c>
      <c r="AP8" s="59">
        <f t="shared" si="6"/>
        <v>2.74572507089964E-3</v>
      </c>
      <c r="AQ8" s="59">
        <f t="shared" si="18"/>
        <v>2.7740889270581916E-3</v>
      </c>
    </row>
    <row r="9" spans="1:43">
      <c r="B9" s="119">
        <v>2013</v>
      </c>
      <c r="C9" s="170">
        <f>'Normalized Annual Summary'!U9</f>
        <v>948224332.78106129</v>
      </c>
      <c r="D9" s="170">
        <f>SUMIFS('Monthly Data'!P:P,'Monthly Data'!B:B,B9)</f>
        <v>2533713.0355069996</v>
      </c>
      <c r="E9" s="59">
        <f t="shared" si="0"/>
        <v>2.6720607644351783E-3</v>
      </c>
      <c r="F9" s="59">
        <f t="shared" si="12"/>
        <v>2.5929109164892334E-3</v>
      </c>
      <c r="G9" s="156">
        <f>SUMIFS('Monthly Data'!L:L,'Monthly Data'!B:B,B9)</f>
        <v>2556408.0255070003</v>
      </c>
      <c r="H9" s="156"/>
      <c r="I9" s="119">
        <f t="shared" si="7"/>
        <v>2013</v>
      </c>
      <c r="J9" s="170">
        <f>'Normalized Annual Summary'!AE9</f>
        <v>45666584.426196001</v>
      </c>
      <c r="K9" s="170">
        <f>SUMIF('Monthly Data'!$B:$B,I9,'Monthly Data'!W:W)</f>
        <v>129021.099858</v>
      </c>
      <c r="L9" s="59">
        <f t="shared" si="1"/>
        <v>2.8252846469504918E-3</v>
      </c>
      <c r="M9" s="59">
        <f t="shared" si="13"/>
        <v>2.765383885613263E-3</v>
      </c>
      <c r="O9" s="119">
        <f t="shared" si="8"/>
        <v>2013</v>
      </c>
      <c r="P9" s="170">
        <f>'Normalized Annual Summary'!AN9</f>
        <v>295185913.80554301</v>
      </c>
      <c r="Q9" s="170">
        <f>SUMIF('Monthly Data'!$B:$B,O9,'Monthly Data'!AB:AB)</f>
        <v>557388.87657400011</v>
      </c>
      <c r="R9" s="59">
        <f t="shared" si="2"/>
        <v>1.8882638042856822E-3</v>
      </c>
      <c r="S9" s="59">
        <f t="shared" si="14"/>
        <v>1.8715943587875393E-3</v>
      </c>
      <c r="U9" s="119">
        <f t="shared" si="9"/>
        <v>2013</v>
      </c>
      <c r="V9" s="170">
        <f ca="1">'Normalized Annual Summary'!AY9</f>
        <v>265541554.24181503</v>
      </c>
      <c r="W9" s="170">
        <f>SUMIF('Monthly Data'!$B:$B,U9,'Monthly Data'!AG:AG)</f>
        <v>535816.2171779999</v>
      </c>
      <c r="X9" s="59">
        <f t="shared" ca="1" si="3"/>
        <v>2.017824361644203E-3</v>
      </c>
      <c r="Y9" s="59">
        <f t="shared" ca="1" si="15"/>
        <v>2.057733451075953E-3</v>
      </c>
      <c r="Z9" s="174"/>
      <c r="AA9" s="119">
        <f t="shared" si="10"/>
        <v>2013</v>
      </c>
      <c r="AB9" s="170">
        <f>'Normalized Annual Summary'!BH9</f>
        <v>48126674.812411003</v>
      </c>
      <c r="AC9" s="170">
        <f>SUMIF('Monthly Data'!$B:$B,AA9,'Monthly Data'!AT:AT)</f>
        <v>85550.828219999981</v>
      </c>
      <c r="AD9" s="59">
        <f t="shared" si="4"/>
        <v>1.7776176840278597E-3</v>
      </c>
      <c r="AE9" s="59">
        <f t="shared" si="16"/>
        <v>1.8064066461489098E-3</v>
      </c>
      <c r="AG9" s="4">
        <f t="shared" si="11"/>
        <v>2013</v>
      </c>
      <c r="AH9" s="33">
        <f>'Normalized Annual Summary'!BQ9</f>
        <v>17283102.442827001</v>
      </c>
      <c r="AI9" s="33">
        <f>SUMIF('Monthly Data'!$B:$B,AG9,'Monthly Data'!AY:AY)</f>
        <v>49480.340000000004</v>
      </c>
      <c r="AJ9" s="59">
        <f t="shared" si="5"/>
        <v>2.8629315925009636E-3</v>
      </c>
      <c r="AK9" s="59">
        <f t="shared" si="17"/>
        <v>2.8672359841158748E-3</v>
      </c>
      <c r="AM9" s="4">
        <f t="shared" ref="AM9:AM14" si="19">AM8+1</f>
        <v>2013</v>
      </c>
      <c r="AN9" s="33">
        <f>'Normalized Annual Summary'!BW9</f>
        <v>887747.77032600006</v>
      </c>
      <c r="AO9" s="33">
        <f>SUMIF('Monthly Data'!$B:$B,AM9,'Monthly Data'!BD:BD)</f>
        <v>2438.761598</v>
      </c>
      <c r="AP9" s="59">
        <f t="shared" si="6"/>
        <v>2.7471334533506453E-3</v>
      </c>
      <c r="AQ9" s="59">
        <f t="shared" si="18"/>
        <v>2.7724137051109844E-3</v>
      </c>
    </row>
    <row r="10" spans="1:43">
      <c r="B10" s="119">
        <v>2014</v>
      </c>
      <c r="C10" s="170">
        <f>'Normalized Annual Summary'!U10</f>
        <v>970184488.09365582</v>
      </c>
      <c r="D10" s="170">
        <f>SUMIFS('Monthly Data'!P:P,'Monthly Data'!B:B,B10)</f>
        <v>2361955.46</v>
      </c>
      <c r="E10" s="59">
        <f t="shared" si="0"/>
        <v>2.4345425936886252E-3</v>
      </c>
      <c r="F10" s="59">
        <f t="shared" si="12"/>
        <v>2.5531664693485413E-3</v>
      </c>
      <c r="G10" s="156">
        <f>SUMIFS('Monthly Data'!L:L,'Monthly Data'!B:B,B10)</f>
        <v>2368008.0300000003</v>
      </c>
      <c r="H10" s="156"/>
      <c r="I10" s="119">
        <f t="shared" si="7"/>
        <v>2014</v>
      </c>
      <c r="J10" s="170">
        <f>'Normalized Annual Summary'!AE10</f>
        <v>47519841.509630993</v>
      </c>
      <c r="K10" s="170">
        <f>SUMIF('Monthly Data'!$B:$B,I10,'Monthly Data'!W:W)</f>
        <v>131071.55</v>
      </c>
      <c r="L10" s="59">
        <f t="shared" si="1"/>
        <v>2.7582488879605233E-3</v>
      </c>
      <c r="M10" s="59">
        <f t="shared" si="13"/>
        <v>2.7915880434791333E-3</v>
      </c>
      <c r="O10" s="119">
        <f t="shared" si="8"/>
        <v>2014</v>
      </c>
      <c r="P10" s="170">
        <f>'Normalized Annual Summary'!AN10</f>
        <v>304014292.368729</v>
      </c>
      <c r="Q10" s="170">
        <f>SUMIF('Monthly Data'!$B:$B,O10,'Monthly Data'!AB:AB)</f>
        <v>557415.25</v>
      </c>
      <c r="R10" s="59">
        <f t="shared" si="2"/>
        <v>1.8335165944235584E-3</v>
      </c>
      <c r="S10" s="59">
        <f t="shared" si="14"/>
        <v>1.860442905288177E-3</v>
      </c>
      <c r="U10" s="119">
        <f t="shared" si="9"/>
        <v>2014</v>
      </c>
      <c r="V10" s="170">
        <f ca="1">'Normalized Annual Summary'!AY10</f>
        <v>266219489.74002093</v>
      </c>
      <c r="W10" s="170">
        <f>SUMIF('Monthly Data'!$B:$B,U10,'Monthly Data'!AG:AG)</f>
        <v>524555.20000000007</v>
      </c>
      <c r="X10" s="59">
        <f t="shared" ca="1" si="3"/>
        <v>1.9703861671144336E-3</v>
      </c>
      <c r="Y10" s="59">
        <f t="shared" ca="1" si="15"/>
        <v>1.992871324388168E-3</v>
      </c>
      <c r="AA10" s="119">
        <f t="shared" si="10"/>
        <v>2014</v>
      </c>
      <c r="AB10" s="170">
        <f>'Normalized Annual Summary'!BH10</f>
        <v>47308908.679020993</v>
      </c>
      <c r="AC10" s="170">
        <f>SUMIF('Monthly Data'!$B:$B,AA10,'Monthly Data'!AT:AT)</f>
        <v>86734.079999999987</v>
      </c>
      <c r="AD10" s="59">
        <f t="shared" si="4"/>
        <v>1.8333561779763053E-3</v>
      </c>
      <c r="AE10" s="59">
        <f t="shared" si="16"/>
        <v>1.8042671118454958E-3</v>
      </c>
      <c r="AG10" s="4">
        <f t="shared" si="11"/>
        <v>2014</v>
      </c>
      <c r="AH10" s="33">
        <f>'Normalized Annual Summary'!BQ10</f>
        <v>17360921.051590003</v>
      </c>
      <c r="AI10" s="33">
        <f>SUMIF('Monthly Data'!$B:$B,AG10,'Monthly Data'!AY:AY)</f>
        <v>49412.19</v>
      </c>
      <c r="AJ10" s="59">
        <f t="shared" si="5"/>
        <v>2.8461733022784857E-3</v>
      </c>
      <c r="AK10" s="59">
        <f t="shared" si="17"/>
        <v>2.8537761588151626E-3</v>
      </c>
      <c r="AM10" s="4">
        <f t="shared" si="19"/>
        <v>2014</v>
      </c>
      <c r="AN10" s="33">
        <f>'Normalized Annual Summary'!BW10</f>
        <v>924204.18281011167</v>
      </c>
      <c r="AO10" s="33">
        <f>SUMIF('Monthly Data'!$B:$B,AM10,'Monthly Data'!BD:BD)</f>
        <v>2541.5785940000001</v>
      </c>
      <c r="AP10" s="59">
        <f t="shared" si="6"/>
        <v>2.7500184929613075E-3</v>
      </c>
      <c r="AQ10" s="59">
        <f t="shared" si="18"/>
        <v>2.747625672403864E-3</v>
      </c>
    </row>
    <row r="11" spans="1:43">
      <c r="B11" s="119">
        <v>2015</v>
      </c>
      <c r="C11" s="170">
        <f>'Normalized Annual Summary'!U11</f>
        <v>941653981.70491183</v>
      </c>
      <c r="D11" s="170">
        <f>SUMIFS('Monthly Data'!P:P,'Monthly Data'!B:B,B11)</f>
        <v>2413020.5799999996</v>
      </c>
      <c r="E11" s="59">
        <f t="shared" si="0"/>
        <v>2.5625342502466827E-3</v>
      </c>
      <c r="F11" s="59">
        <f t="shared" si="12"/>
        <v>2.5563792027901619E-3</v>
      </c>
      <c r="G11" s="156">
        <f>SUMIFS('Monthly Data'!L:L,'Monthly Data'!B:B,B11)</f>
        <v>2413020.5799999996</v>
      </c>
      <c r="H11" s="156"/>
      <c r="I11" s="119">
        <f t="shared" si="7"/>
        <v>2015</v>
      </c>
      <c r="J11" s="170">
        <f>'Normalized Annual Summary'!AE11</f>
        <v>44363940.879999988</v>
      </c>
      <c r="K11" s="170">
        <f>SUMIF('Monthly Data'!$B:$B,I11,'Monthly Data'!W:W)</f>
        <v>128585.56999999999</v>
      </c>
      <c r="L11" s="59">
        <f t="shared" si="1"/>
        <v>2.8984253303332781E-3</v>
      </c>
      <c r="M11" s="59">
        <f t="shared" si="13"/>
        <v>2.8273196217480975E-3</v>
      </c>
      <c r="O11" s="119">
        <f t="shared" si="8"/>
        <v>2015</v>
      </c>
      <c r="P11" s="170">
        <f>'Normalized Annual Summary'!AN11</f>
        <v>301194469.31</v>
      </c>
      <c r="Q11" s="170">
        <f>SUMIF('Monthly Data'!$B:$B,O11,'Monthly Data'!AB:AB)</f>
        <v>559320.55000000005</v>
      </c>
      <c r="R11" s="59">
        <f t="shared" si="2"/>
        <v>1.8570080363073584E-3</v>
      </c>
      <c r="S11" s="59">
        <f t="shared" si="14"/>
        <v>1.8595961450055328E-3</v>
      </c>
      <c r="U11" s="119">
        <f t="shared" si="9"/>
        <v>2015</v>
      </c>
      <c r="V11" s="170">
        <f ca="1">'Normalized Annual Summary'!AY11</f>
        <v>241052438.81000003</v>
      </c>
      <c r="W11" s="170">
        <f>SUMIF('Monthly Data'!$B:$B,U11,'Monthly Data'!AG:AG)</f>
        <v>487724.93000000005</v>
      </c>
      <c r="X11" s="59">
        <f t="shared" ca="1" si="3"/>
        <v>2.0233146464219338E-3</v>
      </c>
      <c r="Y11" s="59">
        <f t="shared" ca="1" si="15"/>
        <v>2.00384172506019E-3</v>
      </c>
      <c r="AA11" s="119">
        <f t="shared" si="10"/>
        <v>2015</v>
      </c>
      <c r="AB11" s="170">
        <f>'Normalized Annual Summary'!BH11</f>
        <v>47202925.820000008</v>
      </c>
      <c r="AC11" s="170">
        <f>SUMIF('Monthly Data'!$B:$B,AA11,'Monthly Data'!AT:AT)</f>
        <v>82844.529999999984</v>
      </c>
      <c r="AD11" s="59">
        <f t="shared" si="4"/>
        <v>1.7550719274460427E-3</v>
      </c>
      <c r="AE11" s="59">
        <f t="shared" si="16"/>
        <v>1.7886819298167361E-3</v>
      </c>
      <c r="AG11" s="4">
        <f t="shared" si="11"/>
        <v>2015</v>
      </c>
      <c r="AH11" s="33">
        <f>'Normalized Annual Summary'!BQ11</f>
        <v>17162407.530000001</v>
      </c>
      <c r="AI11" s="33">
        <f>SUMIF('Monthly Data'!$B:$B,AG11,'Monthly Data'!AY:AY)</f>
        <v>49145.369999999995</v>
      </c>
      <c r="AJ11" s="59">
        <f t="shared" si="5"/>
        <v>2.8635475479820397E-3</v>
      </c>
      <c r="AK11" s="59">
        <f t="shared" si="17"/>
        <v>2.8575508142538297E-3</v>
      </c>
      <c r="AM11" s="4">
        <f t="shared" si="19"/>
        <v>2015</v>
      </c>
      <c r="AN11" s="33">
        <f>'Normalized Annual Summary'!BW11</f>
        <v>873074.41874517407</v>
      </c>
      <c r="AO11" s="33">
        <f>SUMIF('Monthly Data'!$B:$B,AM11,'Monthly Data'!BD:BD)</f>
        <v>2447.9</v>
      </c>
      <c r="AP11" s="59">
        <f t="shared" si="6"/>
        <v>2.8037701568650285E-3</v>
      </c>
      <c r="AQ11" s="59">
        <f t="shared" si="18"/>
        <v>2.7669740343923273E-3</v>
      </c>
    </row>
    <row r="12" spans="1:43">
      <c r="B12" s="119">
        <v>2016</v>
      </c>
      <c r="C12" s="170">
        <f>'Normalized Annual Summary'!U12</f>
        <v>954879860.93795967</v>
      </c>
      <c r="D12" s="170">
        <f>SUMIFS('Monthly Data'!P:P,'Monthly Data'!B:B,B12)</f>
        <v>2436984.27</v>
      </c>
      <c r="E12" s="59">
        <f t="shared" si="0"/>
        <v>2.5521370485352976E-3</v>
      </c>
      <c r="F12" s="59">
        <f t="shared" si="12"/>
        <v>2.5164046308235352E-3</v>
      </c>
      <c r="G12" s="156">
        <f>SUMIFS('Monthly Data'!L:L,'Monthly Data'!B:B,B12)</f>
        <v>2436984.27</v>
      </c>
      <c r="H12" s="156"/>
      <c r="I12" s="119">
        <f t="shared" si="7"/>
        <v>2016</v>
      </c>
      <c r="J12" s="170">
        <f>'Normalized Annual Summary'!AE12</f>
        <v>44045563.989999995</v>
      </c>
      <c r="K12" s="170">
        <f>SUMIF('Monthly Data'!$B:$B,I12,'Monthly Data'!W:W)</f>
        <v>130216.19</v>
      </c>
      <c r="L12" s="59">
        <f t="shared" si="1"/>
        <v>2.9563973804391289E-3</v>
      </c>
      <c r="M12" s="59">
        <f t="shared" si="13"/>
        <v>2.8710238662443105E-3</v>
      </c>
      <c r="O12" s="119">
        <f t="shared" si="8"/>
        <v>2016</v>
      </c>
      <c r="P12" s="170">
        <f>'Normalized Annual Summary'!AN12</f>
        <v>318162193.04000002</v>
      </c>
      <c r="Q12" s="170">
        <f>SUMIF('Monthly Data'!$B:$B,O12,'Monthly Data'!AB:AB)</f>
        <v>576548.00999999989</v>
      </c>
      <c r="R12" s="59">
        <f t="shared" si="2"/>
        <v>1.8121198011968539E-3</v>
      </c>
      <c r="S12" s="59">
        <f t="shared" si="14"/>
        <v>1.8342148106425902E-3</v>
      </c>
      <c r="T12" s="33"/>
      <c r="U12" s="119">
        <f t="shared" si="9"/>
        <v>2016</v>
      </c>
      <c r="V12" s="170">
        <f ca="1">'Normalized Annual Summary'!AY12</f>
        <v>264027087.00000006</v>
      </c>
      <c r="W12" s="170">
        <f>SUMIF('Monthly Data'!$B:$B,U12,'Monthly Data'!AG:AG)</f>
        <v>515986.85</v>
      </c>
      <c r="X12" s="59">
        <f t="shared" ca="1" si="3"/>
        <v>1.9542951288175968E-3</v>
      </c>
      <c r="Y12" s="59">
        <f t="shared" ca="1" si="15"/>
        <v>1.9826653141179883E-3</v>
      </c>
      <c r="AA12" s="119">
        <f t="shared" si="10"/>
        <v>2016</v>
      </c>
      <c r="AB12" s="170">
        <f>'Normalized Annual Summary'!BH12</f>
        <v>44370766.850000001</v>
      </c>
      <c r="AC12" s="170">
        <f>SUMIF('Monthly Data'!$B:$B,AA12,'Monthly Data'!AT:AT)</f>
        <v>74821.62</v>
      </c>
      <c r="AD12" s="59">
        <f t="shared" si="4"/>
        <v>1.6862818768253944E-3</v>
      </c>
      <c r="AE12" s="59">
        <f t="shared" si="16"/>
        <v>1.7582366607492475E-3</v>
      </c>
      <c r="AG12" s="4">
        <f t="shared" si="11"/>
        <v>2016</v>
      </c>
      <c r="AH12" s="33">
        <f>'Normalized Annual Summary'!BQ12</f>
        <v>14655212.350000001</v>
      </c>
      <c r="AI12" s="33">
        <f>SUMIF('Monthly Data'!$B:$B,AG12,'Monthly Data'!AY:AY)</f>
        <v>43202.96</v>
      </c>
      <c r="AJ12" s="59">
        <f t="shared" si="5"/>
        <v>2.9479586489922129E-3</v>
      </c>
      <c r="AK12" s="59">
        <f t="shared" si="17"/>
        <v>2.8858931664175794E-3</v>
      </c>
      <c r="AM12" s="4">
        <f t="shared" si="19"/>
        <v>2016</v>
      </c>
      <c r="AN12" s="33">
        <f>'Normalized Annual Summary'!BW12</f>
        <v>851684.9625372421</v>
      </c>
      <c r="AO12" s="33">
        <f>SUMIF('Monthly Data'!$B:$B,AM12,'Monthly Data'!BD:BD)</f>
        <v>2364.69</v>
      </c>
      <c r="AP12" s="59">
        <f t="shared" si="6"/>
        <v>2.7764843856763503E-3</v>
      </c>
      <c r="AQ12" s="59">
        <f t="shared" si="18"/>
        <v>2.7767576785008956E-3</v>
      </c>
    </row>
    <row r="13" spans="1:43" s="119" customFormat="1">
      <c r="A13" s="4"/>
      <c r="B13" s="119">
        <v>2017</v>
      </c>
      <c r="C13" s="170">
        <f>'Normalized Annual Summary'!U13</f>
        <v>935689535.96999991</v>
      </c>
      <c r="D13" s="170">
        <f>SUMIFS('Monthly Data'!P:P,'Monthly Data'!B:B,B13)</f>
        <v>2393115.89</v>
      </c>
      <c r="E13" s="59">
        <f t="shared" si="0"/>
        <v>2.5575960807546405E-3</v>
      </c>
      <c r="F13" s="59">
        <f t="shared" si="12"/>
        <v>2.5574224598455403E-3</v>
      </c>
      <c r="G13" s="156">
        <f>SUMIFS('Monthly Data'!L:L,'Monthly Data'!B:B,B13)</f>
        <v>2393115.89</v>
      </c>
      <c r="H13" s="156"/>
      <c r="I13" s="119">
        <f t="shared" si="7"/>
        <v>2017</v>
      </c>
      <c r="J13" s="170">
        <f>'Normalized Annual Summary'!AE13</f>
        <v>44136954.399999991</v>
      </c>
      <c r="K13" s="170">
        <f>SUMIF('Monthly Data'!$B:$B,I13,'Monthly Data'!W:W)</f>
        <v>133091.57999999999</v>
      </c>
      <c r="L13" s="59">
        <f t="shared" si="1"/>
        <v>3.0154228312590597E-3</v>
      </c>
      <c r="M13" s="59">
        <f t="shared" si="13"/>
        <v>2.956748514010489E-3</v>
      </c>
      <c r="N13" s="4"/>
      <c r="O13" s="119">
        <f t="shared" si="8"/>
        <v>2017</v>
      </c>
      <c r="P13" s="170">
        <f>'Normalized Annual Summary'!AN13</f>
        <v>299472217.15999997</v>
      </c>
      <c r="Q13" s="170">
        <f>SUMIF('Monthly Data'!$B:$B,O13,'Monthly Data'!AB:AB)</f>
        <v>548063.93000000005</v>
      </c>
      <c r="R13" s="59">
        <f t="shared" si="2"/>
        <v>1.8300994168924331E-3</v>
      </c>
      <c r="S13" s="59">
        <f t="shared" si="14"/>
        <v>1.8330757514655484E-3</v>
      </c>
      <c r="T13" s="33"/>
      <c r="U13" s="119">
        <f t="shared" si="9"/>
        <v>2017</v>
      </c>
      <c r="V13" s="170">
        <f ca="1">'Normalized Annual Summary'!AY13</f>
        <v>252589949.61000001</v>
      </c>
      <c r="W13" s="170">
        <f>SUMIF('Monthly Data'!$B:$B,U13,'Monthly Data'!AG:AG)</f>
        <v>495653.43</v>
      </c>
      <c r="X13" s="59">
        <f t="shared" ca="1" si="3"/>
        <v>1.9622848445288144E-3</v>
      </c>
      <c r="Y13" s="59">
        <f t="shared" ca="1" si="15"/>
        <v>1.9799648732561153E-3</v>
      </c>
      <c r="Z13" s="4"/>
      <c r="AA13" s="119">
        <f t="shared" si="10"/>
        <v>2017</v>
      </c>
      <c r="AB13" s="170">
        <f>'Normalized Annual Summary'!BH13</f>
        <v>42875821.289999999</v>
      </c>
      <c r="AC13" s="170">
        <f>SUMIF('Monthly Data'!$B:$B,AA13,'Monthly Data'!AT:AT)</f>
        <v>70873.779999999984</v>
      </c>
      <c r="AD13" s="59">
        <f t="shared" si="4"/>
        <v>1.6530011056961373E-3</v>
      </c>
      <c r="AE13" s="59">
        <f t="shared" si="16"/>
        <v>1.6981183033225246E-3</v>
      </c>
      <c r="AG13" s="119">
        <f t="shared" si="11"/>
        <v>2017</v>
      </c>
      <c r="AH13" s="33">
        <f>'Normalized Annual Summary'!BQ13</f>
        <v>6962744.2999999998</v>
      </c>
      <c r="AI13" s="33">
        <f>SUMIF('Monthly Data'!$B:$B,AG13,'Monthly Data'!AY:AY)</f>
        <v>19819.260000000002</v>
      </c>
      <c r="AJ13" s="59">
        <f t="shared" si="5"/>
        <v>2.8464724749406641E-3</v>
      </c>
      <c r="AK13" s="59">
        <f t="shared" si="17"/>
        <v>2.8859928906383053E-3</v>
      </c>
      <c r="AM13" s="119">
        <f t="shared" si="19"/>
        <v>2017</v>
      </c>
      <c r="AN13" s="33">
        <f>'Normalized Annual Summary'!BW13</f>
        <v>795950.62000000011</v>
      </c>
      <c r="AO13" s="33">
        <f>SUMIF('Monthly Data'!$B:$B,AM13,'Monthly Data'!BD:BD)</f>
        <v>2229.64</v>
      </c>
      <c r="AP13" s="59">
        <f t="shared" si="6"/>
        <v>2.8012290511187734E-3</v>
      </c>
      <c r="AQ13" s="59">
        <f t="shared" si="18"/>
        <v>2.7938278645533842E-3</v>
      </c>
    </row>
    <row r="14" spans="1:43" s="119" customFormat="1">
      <c r="B14" s="119">
        <v>2018</v>
      </c>
      <c r="C14" s="170">
        <f>'Normalized Annual Summary'!U14</f>
        <v>936712309.46510732</v>
      </c>
      <c r="D14" s="170">
        <f>SUMIFS('Monthly Data'!P:P,'Monthly Data'!B:B,B14)</f>
        <v>2385326.37</v>
      </c>
      <c r="E14" s="59">
        <f t="shared" ref="E14" si="20">D14/C14</f>
        <v>2.5464876952050494E-3</v>
      </c>
      <c r="F14" s="59">
        <f>AVERAGE(E12:E14)</f>
        <v>2.552073608164996E-3</v>
      </c>
      <c r="G14" s="156">
        <f>SUMIFS('Monthly Data'!L:L,'Monthly Data'!B:B,B14)</f>
        <v>2385326.37</v>
      </c>
      <c r="H14" s="156"/>
      <c r="I14" s="119">
        <f t="shared" si="7"/>
        <v>2018</v>
      </c>
      <c r="J14" s="170">
        <f>'Normalized Annual Summary'!AE14</f>
        <v>41120567.090000004</v>
      </c>
      <c r="K14" s="170">
        <f>SUMIF('Monthly Data'!$B:$B,I14,'Monthly Data'!W:W)</f>
        <v>128455.81999999999</v>
      </c>
      <c r="L14" s="59">
        <f t="shared" ref="L14" si="21">K14/J14</f>
        <v>3.1238825018840466E-3</v>
      </c>
      <c r="M14" s="59">
        <f t="shared" ref="M14" si="22">AVERAGE(L12:L14)</f>
        <v>3.0319009045274119E-3</v>
      </c>
      <c r="O14" s="119">
        <f t="shared" si="8"/>
        <v>2018</v>
      </c>
      <c r="P14" s="170">
        <f>'Normalized Annual Summary'!AN14</f>
        <v>311285837.94999999</v>
      </c>
      <c r="Q14" s="170">
        <f>SUMIF('Monthly Data'!$B:$B,O14,'Monthly Data'!AB:AB)</f>
        <v>568092.82000000007</v>
      </c>
      <c r="R14" s="59">
        <f t="shared" ref="R14" si="23">Q14/P14</f>
        <v>1.8249876825146458E-3</v>
      </c>
      <c r="S14" s="59">
        <f t="shared" ref="S14" si="24">AVERAGE(R12:R14)</f>
        <v>1.822402300201311E-3</v>
      </c>
      <c r="T14" s="33"/>
      <c r="U14" s="119">
        <f t="shared" si="9"/>
        <v>2018</v>
      </c>
      <c r="V14" s="170">
        <f ca="1">'Normalized Annual Summary'!AY14</f>
        <v>254635666.92999998</v>
      </c>
      <c r="W14" s="170">
        <f>SUMIF('Monthly Data'!$B:$B,U14,'Monthly Data'!AG:AG)</f>
        <v>494552.82999999996</v>
      </c>
      <c r="X14" s="59">
        <f t="shared" ref="X14" ca="1" si="25">W14/V14</f>
        <v>1.942197791701953E-3</v>
      </c>
      <c r="Y14" s="59">
        <f t="shared" ref="Y14" ca="1" si="26">AVERAGE(X12:X14)</f>
        <v>1.9529259216827879E-3</v>
      </c>
      <c r="AA14" s="119">
        <f t="shared" si="10"/>
        <v>2018</v>
      </c>
      <c r="AB14" s="170">
        <f>'Normalized Annual Summary'!BH14</f>
        <v>45402739.360000007</v>
      </c>
      <c r="AC14" s="170">
        <f>SUMIF('Monthly Data'!$B:$B,AA14,'Monthly Data'!AT:AT)</f>
        <v>73849.089999999982</v>
      </c>
      <c r="AD14" s="59">
        <f t="shared" ref="AD14" si="27">AC14/AB14</f>
        <v>1.6265337959995719E-3</v>
      </c>
      <c r="AE14" s="59">
        <f t="shared" ref="AE14" si="28">AVERAGE(AD12:AD14)</f>
        <v>1.6552722595070347E-3</v>
      </c>
      <c r="AG14" s="119">
        <f t="shared" si="11"/>
        <v>2018</v>
      </c>
      <c r="AH14" s="33">
        <f>'Normalized Annual Summary'!BQ14</f>
        <v>6467781.0800000001</v>
      </c>
      <c r="AI14" s="33">
        <f>SUMIF('Monthly Data'!$B:$B,AG14,'Monthly Data'!AY:AY)</f>
        <v>18707.3</v>
      </c>
      <c r="AJ14" s="59">
        <f t="shared" ref="AJ14" si="29">AI14/AH14</f>
        <v>2.8923829932722459E-3</v>
      </c>
      <c r="AK14" s="59">
        <f t="shared" ref="AK14" si="30">AVERAGE(AJ12:AJ14)</f>
        <v>2.8956047057350411E-3</v>
      </c>
      <c r="AM14" s="119">
        <f t="shared" si="19"/>
        <v>2018</v>
      </c>
      <c r="AN14" s="33">
        <f>'Normalized Annual Summary'!BW14</f>
        <v>768231.72021026898</v>
      </c>
      <c r="AO14" s="33">
        <f>SUMIF('Monthly Data'!$B:$B,AM14,'Monthly Data'!BD:BD)</f>
        <v>2141.5699999999997</v>
      </c>
      <c r="AP14" s="59">
        <f t="shared" ref="AP14" si="31">AO14/AN14</f>
        <v>2.7876615136561153E-3</v>
      </c>
      <c r="AQ14" s="59">
        <f t="shared" ref="AQ14" si="32">AVERAGE(AP12:AP14)</f>
        <v>2.7884583168170801E-3</v>
      </c>
    </row>
    <row r="15" spans="1:43">
      <c r="A15" s="119"/>
      <c r="B15" s="119"/>
      <c r="C15" s="159"/>
      <c r="D15" s="159"/>
      <c r="E15" s="59"/>
      <c r="F15" s="59"/>
      <c r="G15" s="119"/>
      <c r="I15" s="119"/>
      <c r="J15" s="119"/>
      <c r="K15" s="119"/>
      <c r="L15" s="119"/>
      <c r="N15" s="119"/>
      <c r="O15" s="119"/>
      <c r="P15" s="119"/>
      <c r="Q15" s="119"/>
      <c r="R15" s="119"/>
      <c r="T15" s="33"/>
      <c r="U15" s="119"/>
      <c r="V15" s="119"/>
      <c r="W15" s="119"/>
      <c r="X15" s="119"/>
      <c r="Z15" s="119"/>
      <c r="AA15" s="119"/>
      <c r="AB15" s="119"/>
      <c r="AC15" s="119"/>
      <c r="AD15" s="119"/>
      <c r="AI15" s="38"/>
      <c r="AO15" s="38"/>
    </row>
    <row r="16" spans="1:43">
      <c r="B16" s="119"/>
      <c r="C16" s="119" t="s">
        <v>166</v>
      </c>
      <c r="D16" s="38" t="s">
        <v>167</v>
      </c>
      <c r="E16" s="119"/>
      <c r="F16" s="119" t="s">
        <v>242</v>
      </c>
      <c r="I16" s="119"/>
      <c r="J16" s="119" t="s">
        <v>166</v>
      </c>
      <c r="K16" s="38" t="s">
        <v>167</v>
      </c>
      <c r="L16" s="119"/>
      <c r="M16" s="119" t="s">
        <v>242</v>
      </c>
      <c r="O16" s="119"/>
      <c r="P16" s="119" t="s">
        <v>166</v>
      </c>
      <c r="Q16" s="38" t="s">
        <v>167</v>
      </c>
      <c r="R16" s="119"/>
      <c r="S16" s="119" t="s">
        <v>242</v>
      </c>
      <c r="U16" s="119"/>
      <c r="V16" s="119" t="s">
        <v>166</v>
      </c>
      <c r="W16" s="38" t="s">
        <v>167</v>
      </c>
      <c r="X16" s="119"/>
      <c r="Y16" s="119" t="s">
        <v>242</v>
      </c>
      <c r="AA16" s="119"/>
      <c r="AB16" s="119" t="s">
        <v>166</v>
      </c>
      <c r="AC16" s="38" t="s">
        <v>167</v>
      </c>
      <c r="AD16" s="119"/>
      <c r="AE16" s="119" t="s">
        <v>242</v>
      </c>
      <c r="AG16" s="119"/>
      <c r="AH16" s="119" t="s">
        <v>166</v>
      </c>
      <c r="AI16" s="38" t="s">
        <v>167</v>
      </c>
      <c r="AJ16" s="119"/>
      <c r="AK16" s="119" t="s">
        <v>242</v>
      </c>
      <c r="AN16" s="4" t="s">
        <v>166</v>
      </c>
      <c r="AO16" s="38" t="s">
        <v>167</v>
      </c>
      <c r="AQ16" s="119" t="s">
        <v>242</v>
      </c>
    </row>
    <row r="17" spans="1:43" s="37" customFormat="1">
      <c r="B17" s="153"/>
      <c r="C17" s="153" t="s">
        <v>160</v>
      </c>
      <c r="D17" s="39" t="s">
        <v>169</v>
      </c>
      <c r="E17" s="153"/>
      <c r="F17" s="153" t="s">
        <v>168</v>
      </c>
      <c r="H17" s="233"/>
      <c r="I17" s="153"/>
      <c r="J17" s="153" t="s">
        <v>160</v>
      </c>
      <c r="K17" s="39" t="s">
        <v>169</v>
      </c>
      <c r="L17" s="153"/>
      <c r="M17" s="153" t="s">
        <v>168</v>
      </c>
      <c r="O17" s="153"/>
      <c r="P17" s="153" t="s">
        <v>160</v>
      </c>
      <c r="Q17" s="39" t="s">
        <v>169</v>
      </c>
      <c r="R17" s="153"/>
      <c r="S17" s="153" t="s">
        <v>168</v>
      </c>
      <c r="U17" s="153"/>
      <c r="V17" s="153" t="s">
        <v>160</v>
      </c>
      <c r="W17" s="39" t="s">
        <v>169</v>
      </c>
      <c r="X17" s="153"/>
      <c r="Y17" s="153" t="s">
        <v>168</v>
      </c>
      <c r="AA17" s="153"/>
      <c r="AB17" s="153" t="s">
        <v>160</v>
      </c>
      <c r="AC17" s="39" t="s">
        <v>169</v>
      </c>
      <c r="AD17" s="153"/>
      <c r="AE17" s="153" t="s">
        <v>168</v>
      </c>
      <c r="AF17" s="57"/>
      <c r="AG17" s="153"/>
      <c r="AH17" s="153" t="s">
        <v>160</v>
      </c>
      <c r="AI17" s="39" t="s">
        <v>169</v>
      </c>
      <c r="AJ17" s="153"/>
      <c r="AK17" s="153" t="s">
        <v>168</v>
      </c>
      <c r="AN17" s="37" t="s">
        <v>160</v>
      </c>
      <c r="AO17" s="39" t="s">
        <v>169</v>
      </c>
      <c r="AQ17" s="37" t="s">
        <v>168</v>
      </c>
    </row>
    <row r="18" spans="1:43" s="28" customFormat="1">
      <c r="A18" s="4" t="s">
        <v>164</v>
      </c>
      <c r="B18" s="28">
        <v>2018</v>
      </c>
      <c r="C18" s="32">
        <f ca="1">'Normalized Annual Summary'!AB14</f>
        <v>937869077.8102895</v>
      </c>
      <c r="D18" s="40">
        <f ca="1">F18*C18</f>
        <v>2381358.1782545815</v>
      </c>
      <c r="E18" s="60"/>
      <c r="F18" s="60">
        <f>TREND(F$7:F$14,B$7:B$14,B18)</f>
        <v>2.5391157834252411E-3</v>
      </c>
      <c r="G18" s="4"/>
      <c r="H18" s="119"/>
      <c r="I18" s="28">
        <v>2018</v>
      </c>
      <c r="J18" s="32">
        <f>'Normalized Annual Summary'!AK14</f>
        <v>41632181.698187709</v>
      </c>
      <c r="K18" s="40">
        <f>M18*J18</f>
        <v>125213.0632701913</v>
      </c>
      <c r="L18" s="60"/>
      <c r="M18" s="60">
        <f>TREND(M$7:M$14,I$7:I$14,I18)</f>
        <v>3.0076027285315665E-3</v>
      </c>
      <c r="N18" s="4"/>
      <c r="O18" s="28">
        <v>2018</v>
      </c>
      <c r="P18" s="32">
        <f ca="1">'Normalized Annual Summary'!AV14</f>
        <v>314516690.49578923</v>
      </c>
      <c r="Q18" s="40">
        <f ca="1">S18*P18</f>
        <v>569483.15792478516</v>
      </c>
      <c r="R18" s="60"/>
      <c r="S18" s="60">
        <f>TREND(S$7:S$14,O$7:O$14,O18)</f>
        <v>1.8106611672247946E-3</v>
      </c>
      <c r="T18" s="33"/>
      <c r="U18" s="28">
        <v>2018</v>
      </c>
      <c r="V18" s="32">
        <f ca="1">'Normalized Annual Summary'!BE14</f>
        <v>249456615.83775952</v>
      </c>
      <c r="W18" s="40">
        <f ca="1">Y18*V18</f>
        <v>487261.33904550801</v>
      </c>
      <c r="X18" s="60"/>
      <c r="Y18" s="60">
        <f ca="1">TREND(Y$9:Y$14,U$9:U$14,U18)</f>
        <v>1.9532909055513317E-3</v>
      </c>
      <c r="Z18" s="4"/>
      <c r="AA18" s="28">
        <v>2018</v>
      </c>
      <c r="AB18" s="32">
        <f ca="1">'Normalized Annual Summary'!BN14</f>
        <v>43577795.201350845</v>
      </c>
      <c r="AC18" s="40">
        <f ca="1">AE18*AB18</f>
        <v>72902.735287113246</v>
      </c>
      <c r="AD18" s="60"/>
      <c r="AE18" s="60">
        <f>TREND(AE$9:AE$14,AA$9:AA$14,AA18)</f>
        <v>1.6729330832426642E-3</v>
      </c>
      <c r="AG18" s="28">
        <v>2018</v>
      </c>
      <c r="AH18" s="32">
        <f>'Normalized Annual Summary'!BT14</f>
        <v>6467781.0800000001</v>
      </c>
      <c r="AI18" s="40">
        <f>AH18*AK18</f>
        <v>18728.137330912068</v>
      </c>
      <c r="AJ18" s="60"/>
      <c r="AK18" s="60">
        <f>AK14</f>
        <v>2.8956047057350411E-3</v>
      </c>
      <c r="AM18" s="28">
        <v>2018</v>
      </c>
      <c r="AN18" s="32">
        <f>'Normalized Annual Summary'!BZ14</f>
        <v>768231.72021026898</v>
      </c>
      <c r="AO18" s="40">
        <f>AN18*AQ18</f>
        <v>2142.1821294630167</v>
      </c>
      <c r="AP18" s="60"/>
      <c r="AQ18" s="60">
        <f>AQ14</f>
        <v>2.7884583168170801E-3</v>
      </c>
    </row>
    <row r="19" spans="1:43">
      <c r="A19" s="4" t="s">
        <v>77</v>
      </c>
      <c r="B19" s="28">
        <v>2019</v>
      </c>
      <c r="C19" s="32">
        <f ca="1">'Normalized Annual Summary'!AB15</f>
        <v>946429187.74910879</v>
      </c>
      <c r="D19" s="40">
        <f ca="1">F19*C19</f>
        <v>2397659.4544536313</v>
      </c>
      <c r="E19" s="60"/>
      <c r="F19" s="60">
        <f t="shared" ref="F19:F20" si="33">TREND(F$7:F$14,B$7:B$14,B19)</f>
        <v>2.5333743775971043E-3</v>
      </c>
      <c r="I19" s="28">
        <v>2019</v>
      </c>
      <c r="J19" s="32">
        <f>'Normalized Annual Summary'!AK15</f>
        <v>40804277.431955516</v>
      </c>
      <c r="K19" s="40">
        <f>M19*J19</f>
        <v>124887.62399093214</v>
      </c>
      <c r="L19" s="60"/>
      <c r="M19" s="60">
        <f>TREND(M$7:M$14,I$7:I$14,I19)</f>
        <v>3.0606503006747887E-3</v>
      </c>
      <c r="O19" s="28">
        <v>2019</v>
      </c>
      <c r="P19" s="32">
        <f ca="1">'Normalized Annual Summary'!AV15</f>
        <v>321811842.75210875</v>
      </c>
      <c r="Q19" s="40">
        <f ca="1">S19*P19</f>
        <v>577593.69797954906</v>
      </c>
      <c r="R19" s="60"/>
      <c r="S19" s="60">
        <f t="shared" ref="S19:S20" si="34">TREND(S$7:S$14,O$7:O$14,O19)</f>
        <v>1.7948180310581943E-3</v>
      </c>
      <c r="T19" s="33"/>
      <c r="U19" s="28">
        <v>2019</v>
      </c>
      <c r="V19" s="32">
        <f ca="1">'Normalized Annual Summary'!BE15</f>
        <v>249737271.69682729</v>
      </c>
      <c r="W19" s="40">
        <f ca="1">Y19*V19</f>
        <v>483642.97195428057</v>
      </c>
      <c r="X19" s="60"/>
      <c r="Y19" s="60">
        <f ca="1">TREND(Y$9:Y$14,U$9:U$14,U19)</f>
        <v>1.9366070937997873E-3</v>
      </c>
      <c r="AA19" s="28">
        <v>2019</v>
      </c>
      <c r="AB19" s="32">
        <f ca="1">'Normalized Annual Summary'!BN15</f>
        <v>42938710.833557054</v>
      </c>
      <c r="AC19" s="40">
        <f ca="1">AE19*AB19</f>
        <v>70478.488813438089</v>
      </c>
      <c r="AD19" s="60"/>
      <c r="AE19" s="60">
        <f>TREND(AE$9:AE$14,AA$9:AA$14,AA19)</f>
        <v>1.6413741224470674E-3</v>
      </c>
      <c r="AF19" s="28"/>
      <c r="AG19" s="28">
        <v>2019</v>
      </c>
      <c r="AH19" s="32">
        <f>'Normalized Annual Summary'!BT15</f>
        <v>6475784.8006475894</v>
      </c>
      <c r="AI19" s="40">
        <f>AH19*AK19</f>
        <v>18751.312942082615</v>
      </c>
      <c r="AJ19" s="60"/>
      <c r="AK19" s="60">
        <f>AK18</f>
        <v>2.8956047057350411E-3</v>
      </c>
      <c r="AL19" s="28"/>
      <c r="AM19" s="28">
        <v>2019</v>
      </c>
      <c r="AN19" s="32">
        <f>'Normalized Annual Summary'!BZ15</f>
        <v>749098.84812005772</v>
      </c>
      <c r="AO19" s="40">
        <f>AN19*AQ19</f>
        <v>2088.8309131584697</v>
      </c>
      <c r="AP19" s="60"/>
      <c r="AQ19" s="60">
        <f>AQ18</f>
        <v>2.7884583168170801E-3</v>
      </c>
    </row>
    <row r="20" spans="1:43">
      <c r="B20" s="28">
        <v>2020</v>
      </c>
      <c r="C20" s="32">
        <f ca="1">'Normalized Annual Summary'!AB16</f>
        <v>956527556.36098576</v>
      </c>
      <c r="D20" s="40">
        <f ca="1">F20*C20</f>
        <v>2417750.5898636272</v>
      </c>
      <c r="E20" s="60"/>
      <c r="F20" s="60">
        <f t="shared" si="33"/>
        <v>2.5276329717689675E-3</v>
      </c>
      <c r="I20" s="28">
        <v>2020</v>
      </c>
      <c r="J20" s="32">
        <f>'Normalized Annual Summary'!AK16</f>
        <v>40126967.285152338</v>
      </c>
      <c r="K20" s="40">
        <f>M20*J20</f>
        <v>124943.25267841676</v>
      </c>
      <c r="L20" s="60"/>
      <c r="M20" s="60">
        <f>TREND(M$7:M$14,I$7:I$14,I20)</f>
        <v>3.1136978728180109E-3</v>
      </c>
      <c r="O20" s="28">
        <v>2020</v>
      </c>
      <c r="P20" s="32">
        <f ca="1">'Normalized Annual Summary'!AV16</f>
        <v>265794377.04225573</v>
      </c>
      <c r="Q20" s="40">
        <f ca="1">S20*P20</f>
        <v>472841.52396152541</v>
      </c>
      <c r="R20" s="60"/>
      <c r="S20" s="60">
        <f t="shared" si="34"/>
        <v>1.7789748948916009E-3</v>
      </c>
      <c r="T20" s="33"/>
      <c r="U20" s="28">
        <v>2020</v>
      </c>
      <c r="V20" s="32">
        <f ca="1">'Normalized Annual Summary'!BE16</f>
        <v>250089947.03802782</v>
      </c>
      <c r="W20" s="40">
        <f ca="1">Y20*V20</f>
        <v>480153.5119245199</v>
      </c>
      <c r="X20" s="60"/>
      <c r="Y20" s="60">
        <f ca="1">TREND(Y$9:Y$14,U$9:U$14,U20)</f>
        <v>1.9199232820482359E-3</v>
      </c>
      <c r="AA20" s="28">
        <v>2020</v>
      </c>
      <c r="AB20" s="32">
        <f ca="1">'Normalized Annual Summary'!BN16</f>
        <v>42304757.8607333</v>
      </c>
      <c r="AC20" s="40">
        <f ca="1">AE20*AB20</f>
        <v>68102.840614203291</v>
      </c>
      <c r="AD20" s="60"/>
      <c r="AE20" s="60">
        <f>TREND(AE$9:AE$14,AA$9:AA$14,AA20)</f>
        <v>1.6098151616514844E-3</v>
      </c>
      <c r="AF20" s="28"/>
      <c r="AG20" s="28">
        <v>2020</v>
      </c>
      <c r="AH20" s="32">
        <f>'Normalized Annual Summary'!BT16</f>
        <v>6483798.4257034156</v>
      </c>
      <c r="AI20" s="40">
        <f>AH20*AK20</f>
        <v>18774.517232504262</v>
      </c>
      <c r="AJ20" s="60"/>
      <c r="AK20" s="60">
        <f>AK19</f>
        <v>2.8956047057350411E-3</v>
      </c>
      <c r="AL20" s="28"/>
      <c r="AM20" s="28">
        <v>2020</v>
      </c>
      <c r="AN20" s="32">
        <f>'Normalized Annual Summary'!BZ16</f>
        <v>730442.48173091304</v>
      </c>
      <c r="AO20" s="40">
        <f>AN20*AQ20</f>
        <v>2036.8084131390726</v>
      </c>
      <c r="AP20" s="60"/>
      <c r="AQ20" s="60">
        <f>AQ19</f>
        <v>2.7884583168170801E-3</v>
      </c>
    </row>
    <row r="21" spans="1:43">
      <c r="C21" s="33"/>
      <c r="D21" s="33"/>
      <c r="I21" s="119"/>
      <c r="O21" s="119"/>
      <c r="P21" s="119"/>
      <c r="Q21" s="119"/>
      <c r="R21" s="119"/>
      <c r="T21" s="33"/>
      <c r="U21" s="119"/>
      <c r="V21" s="119"/>
      <c r="W21" s="119"/>
      <c r="X21" s="119"/>
      <c r="AA21" s="119"/>
      <c r="AB21" s="119"/>
      <c r="AC21" s="119"/>
      <c r="AD21" s="119"/>
      <c r="AN21" s="156"/>
      <c r="AO21" s="156"/>
    </row>
    <row r="22" spans="1:43">
      <c r="C22" s="4" t="str">
        <f t="shared" ref="C22:E23" si="35">C3</f>
        <v>kWh</v>
      </c>
      <c r="D22" s="119" t="str">
        <f t="shared" si="35"/>
        <v>kW</v>
      </c>
      <c r="E22" s="119" t="str">
        <f t="shared" si="35"/>
        <v>Ratio</v>
      </c>
      <c r="I22" s="119"/>
      <c r="J22" s="119"/>
      <c r="K22" s="119"/>
      <c r="L22" s="119"/>
      <c r="O22" s="119"/>
      <c r="P22" s="119" t="str">
        <f t="shared" ref="P22:R23" si="36">P3</f>
        <v>kWh</v>
      </c>
      <c r="Q22" s="119" t="str">
        <f t="shared" si="36"/>
        <v>kW</v>
      </c>
      <c r="R22" s="119" t="str">
        <f t="shared" si="36"/>
        <v>Ratio</v>
      </c>
      <c r="U22" s="119"/>
      <c r="V22" s="119"/>
      <c r="W22" s="119"/>
      <c r="X22" s="119"/>
      <c r="AA22" s="119"/>
      <c r="AB22" s="119"/>
      <c r="AC22" s="119"/>
      <c r="AD22" s="119"/>
      <c r="AG22" s="119"/>
      <c r="AH22" s="119"/>
      <c r="AI22" s="119"/>
      <c r="AJ22" s="119"/>
    </row>
    <row r="23" spans="1:43">
      <c r="C23" s="119" t="str">
        <f t="shared" si="35"/>
        <v>A</v>
      </c>
      <c r="D23" s="119" t="str">
        <f t="shared" si="35"/>
        <v>B</v>
      </c>
      <c r="E23" s="119" t="str">
        <f t="shared" si="35"/>
        <v>C = B / A</v>
      </c>
      <c r="I23" s="119"/>
      <c r="J23" s="119"/>
      <c r="K23" s="119"/>
      <c r="L23" s="119"/>
      <c r="O23" s="119"/>
      <c r="P23" s="119" t="str">
        <f t="shared" si="36"/>
        <v>A</v>
      </c>
      <c r="Q23" s="119" t="str">
        <f t="shared" si="36"/>
        <v>B</v>
      </c>
      <c r="R23" s="119" t="str">
        <f t="shared" si="36"/>
        <v>C = B / A</v>
      </c>
      <c r="S23" s="59"/>
      <c r="U23" s="119"/>
      <c r="V23" s="119"/>
      <c r="W23" s="119"/>
      <c r="X23" s="119"/>
      <c r="AA23" s="119"/>
      <c r="AB23" s="119"/>
      <c r="AC23" s="119"/>
      <c r="AD23" s="119"/>
      <c r="AG23" s="119"/>
      <c r="AH23" s="119"/>
      <c r="AI23" s="119"/>
      <c r="AJ23" s="119"/>
    </row>
    <row r="24" spans="1:43">
      <c r="B24" s="4">
        <f>B5</f>
        <v>2009</v>
      </c>
      <c r="C24" s="33">
        <f ca="1">'Normalized Annual Summary'!AB5</f>
        <v>929123775.81219018</v>
      </c>
      <c r="D24" s="156">
        <f ca="1">C24*E24</f>
        <v>2471268.9624775965</v>
      </c>
      <c r="E24" s="59">
        <f>E5</f>
        <v>2.6597844407946032E-3</v>
      </c>
      <c r="I24" s="119"/>
      <c r="J24" s="33"/>
      <c r="K24" s="156"/>
      <c r="L24" s="59"/>
      <c r="O24" s="119">
        <f>O5</f>
        <v>2009</v>
      </c>
      <c r="P24" s="33">
        <f ca="1">'Normalized Annual Summary'!AV5</f>
        <v>292439562.23267168</v>
      </c>
      <c r="Q24" s="156">
        <f ca="1">P24*R24</f>
        <v>591713.7791579247</v>
      </c>
      <c r="R24" s="59">
        <f>R5</f>
        <v>2.023371169893708E-3</v>
      </c>
      <c r="U24" s="119"/>
      <c r="V24" s="33"/>
      <c r="W24" s="156"/>
      <c r="X24" s="59"/>
      <c r="AA24" s="119"/>
      <c r="AB24" s="33"/>
      <c r="AC24" s="156"/>
      <c r="AD24" s="59"/>
      <c r="AG24" s="119"/>
      <c r="AH24" s="33"/>
      <c r="AI24" s="156"/>
      <c r="AJ24" s="59"/>
    </row>
    <row r="25" spans="1:43">
      <c r="A25" s="4" t="s">
        <v>305</v>
      </c>
      <c r="B25" s="119">
        <f t="shared" ref="B25:B33" si="37">B6</f>
        <v>2010</v>
      </c>
      <c r="C25" s="33">
        <f ca="1">'Normalized Annual Summary'!AB6</f>
        <v>935985192.15703523</v>
      </c>
      <c r="D25" s="156">
        <f t="shared" ref="D25:D35" ca="1" si="38">C25*E25</f>
        <v>2394134.3722013542</v>
      </c>
      <c r="E25" s="59">
        <f t="shared" ref="E25" si="39">E6</f>
        <v>2.5578763342226866E-3</v>
      </c>
      <c r="I25" s="119"/>
      <c r="J25" s="33"/>
      <c r="K25" s="156"/>
      <c r="L25" s="59"/>
      <c r="O25" s="119">
        <f t="shared" ref="O25:O33" si="40">O6</f>
        <v>2010</v>
      </c>
      <c r="P25" s="33">
        <f ca="1">'Normalized Annual Summary'!AV6</f>
        <v>295810980.59895909</v>
      </c>
      <c r="Q25" s="156">
        <f t="shared" ref="Q25:Q35" ca="1" si="41">P25*R25</f>
        <v>580654.95254304376</v>
      </c>
      <c r="R25" s="59">
        <f t="shared" ref="R25" si="42">R6</f>
        <v>1.9629256201623472E-3</v>
      </c>
      <c r="U25" s="119"/>
      <c r="V25" s="33"/>
      <c r="W25" s="156"/>
      <c r="X25" s="59"/>
      <c r="AA25" s="119"/>
      <c r="AB25" s="33"/>
      <c r="AC25" s="156"/>
      <c r="AD25" s="59"/>
      <c r="AG25" s="119"/>
      <c r="AH25" s="33"/>
      <c r="AI25" s="156"/>
      <c r="AJ25" s="59"/>
    </row>
    <row r="26" spans="1:43">
      <c r="A26" s="4" t="s">
        <v>249</v>
      </c>
      <c r="B26" s="119">
        <f t="shared" si="37"/>
        <v>2011</v>
      </c>
      <c r="C26" s="33">
        <f ca="1">'Normalized Annual Summary'!AB7</f>
        <v>943202745.34213531</v>
      </c>
      <c r="D26" s="156">
        <f t="shared" ca="1" si="38"/>
        <v>2443346.8134151245</v>
      </c>
      <c r="E26" s="59">
        <f>F7</f>
        <v>2.5904789033759971E-3</v>
      </c>
      <c r="I26" s="119"/>
      <c r="J26" s="33"/>
      <c r="K26" s="156"/>
      <c r="L26" s="59"/>
      <c r="O26" s="119">
        <f t="shared" si="40"/>
        <v>2011</v>
      </c>
      <c r="P26" s="33">
        <f ca="1">'Normalized Annual Summary'!AV7</f>
        <v>300342236.45578402</v>
      </c>
      <c r="Q26" s="156">
        <f t="shared" ca="1" si="41"/>
        <v>585994.50836703542</v>
      </c>
      <c r="R26" s="59">
        <f>S7</f>
        <v>1.9510892483259E-3</v>
      </c>
      <c r="U26" s="119"/>
      <c r="V26" s="33"/>
      <c r="W26" s="156"/>
      <c r="X26" s="59"/>
      <c r="AA26" s="119"/>
      <c r="AB26" s="33"/>
      <c r="AC26" s="156"/>
      <c r="AD26" s="59"/>
      <c r="AG26" s="119"/>
      <c r="AH26" s="33"/>
      <c r="AI26" s="156"/>
      <c r="AJ26" s="59"/>
    </row>
    <row r="27" spans="1:43">
      <c r="B27" s="119">
        <f t="shared" si="37"/>
        <v>2012</v>
      </c>
      <c r="C27" s="33">
        <f ca="1">'Normalized Annual Summary'!AB8</f>
        <v>945538430.0325526</v>
      </c>
      <c r="D27" s="156">
        <f t="shared" ca="1" si="38"/>
        <v>2415708.3282324029</v>
      </c>
      <c r="E27" s="59">
        <f t="shared" ref="E27:E32" si="43">F8</f>
        <v>2.554849439751736E-3</v>
      </c>
      <c r="I27" s="119"/>
      <c r="J27" s="33"/>
      <c r="K27" s="156"/>
      <c r="L27" s="59"/>
      <c r="O27" s="119">
        <f t="shared" si="40"/>
        <v>2012</v>
      </c>
      <c r="P27" s="33">
        <f ca="1">'Normalized Annual Summary'!AV8</f>
        <v>300912994.31345308</v>
      </c>
      <c r="Q27" s="156">
        <f t="shared" ca="1" si="41"/>
        <v>570675.966168368</v>
      </c>
      <c r="R27" s="59">
        <f t="shared" ref="R27:R32" si="44">S8</f>
        <v>1.8964816307464275E-3</v>
      </c>
      <c r="U27" s="119"/>
      <c r="V27" s="33"/>
      <c r="W27" s="156"/>
      <c r="X27" s="59"/>
      <c r="AA27" s="119"/>
      <c r="AB27" s="33"/>
      <c r="AC27" s="156"/>
      <c r="AD27" s="59"/>
      <c r="AG27" s="119"/>
      <c r="AH27" s="33"/>
      <c r="AI27" s="156"/>
      <c r="AJ27" s="59"/>
    </row>
    <row r="28" spans="1:43">
      <c r="B28" s="119">
        <f t="shared" si="37"/>
        <v>2013</v>
      </c>
      <c r="C28" s="33">
        <f ca="1">'Normalized Annual Summary'!AB9</f>
        <v>942101798.42320251</v>
      </c>
      <c r="D28" s="156">
        <f t="shared" ca="1" si="38"/>
        <v>2442786.0375756612</v>
      </c>
      <c r="E28" s="59">
        <f t="shared" si="43"/>
        <v>2.5929109164892334E-3</v>
      </c>
      <c r="I28" s="119"/>
      <c r="J28" s="33"/>
      <c r="K28" s="156"/>
      <c r="L28" s="59"/>
      <c r="O28" s="119">
        <f t="shared" si="40"/>
        <v>2013</v>
      </c>
      <c r="P28" s="33">
        <f ca="1">'Normalized Annual Summary'!AV9</f>
        <v>301585002.37530524</v>
      </c>
      <c r="Q28" s="156">
        <f t="shared" ca="1" si="41"/>
        <v>564444.78914054786</v>
      </c>
      <c r="R28" s="59">
        <f t="shared" si="44"/>
        <v>1.8715943587875393E-3</v>
      </c>
      <c r="U28" s="119"/>
      <c r="V28" s="33"/>
      <c r="W28" s="156"/>
      <c r="X28" s="59"/>
      <c r="AA28" s="119"/>
      <c r="AB28" s="33"/>
      <c r="AC28" s="156"/>
      <c r="AD28" s="59"/>
      <c r="AG28" s="119"/>
      <c r="AH28" s="33"/>
      <c r="AI28" s="156"/>
      <c r="AJ28" s="59"/>
    </row>
    <row r="29" spans="1:43">
      <c r="B29" s="119">
        <f t="shared" si="37"/>
        <v>2014</v>
      </c>
      <c r="C29" s="33">
        <f ca="1">'Normalized Annual Summary'!AB10</f>
        <v>942346822.48336196</v>
      </c>
      <c r="D29" s="156">
        <f t="shared" ca="1" si="38"/>
        <v>2405968.3096616617</v>
      </c>
      <c r="E29" s="59">
        <f t="shared" si="43"/>
        <v>2.5531664693485413E-3</v>
      </c>
      <c r="I29" s="119"/>
      <c r="J29" s="33"/>
      <c r="K29" s="156"/>
      <c r="L29" s="59"/>
      <c r="O29" s="119">
        <f t="shared" si="40"/>
        <v>2014</v>
      </c>
      <c r="P29" s="33">
        <f ca="1">'Normalized Annual Summary'!AV10</f>
        <v>301237699.89708626</v>
      </c>
      <c r="Q29" s="156">
        <f t="shared" ca="1" si="41"/>
        <v>560435.54157886317</v>
      </c>
      <c r="R29" s="59">
        <f t="shared" si="44"/>
        <v>1.860442905288177E-3</v>
      </c>
      <c r="U29" s="119"/>
      <c r="V29" s="33"/>
      <c r="W29" s="156"/>
      <c r="X29" s="59"/>
      <c r="AA29" s="119"/>
      <c r="AB29" s="33"/>
      <c r="AC29" s="156"/>
      <c r="AD29" s="59"/>
      <c r="AG29" s="119"/>
      <c r="AH29" s="33"/>
      <c r="AI29" s="156"/>
      <c r="AJ29" s="59"/>
    </row>
    <row r="30" spans="1:43">
      <c r="B30" s="119">
        <f t="shared" si="37"/>
        <v>2015</v>
      </c>
      <c r="C30" s="33">
        <f ca="1">'Normalized Annual Summary'!AB11</f>
        <v>942501868.01125264</v>
      </c>
      <c r="D30" s="156">
        <f t="shared" ca="1" si="38"/>
        <v>2409392.1739748446</v>
      </c>
      <c r="E30" s="59">
        <f t="shared" si="43"/>
        <v>2.5563792027901619E-3</v>
      </c>
      <c r="I30" s="119"/>
      <c r="J30" s="33"/>
      <c r="K30" s="156"/>
      <c r="L30" s="59"/>
      <c r="O30" s="119">
        <f t="shared" si="40"/>
        <v>2015</v>
      </c>
      <c r="P30" s="33">
        <f ca="1">'Normalized Annual Summary'!AV11</f>
        <v>301843894.87625712</v>
      </c>
      <c r="Q30" s="156">
        <f t="shared" ca="1" si="41"/>
        <v>561307.74330534309</v>
      </c>
      <c r="R30" s="59">
        <f t="shared" si="44"/>
        <v>1.8595961450055328E-3</v>
      </c>
      <c r="U30" s="119"/>
      <c r="V30" s="33"/>
      <c r="W30" s="156"/>
      <c r="X30" s="59"/>
      <c r="AA30" s="119"/>
      <c r="AB30" s="33"/>
      <c r="AC30" s="156"/>
      <c r="AD30" s="59"/>
      <c r="AG30" s="119"/>
      <c r="AH30" s="33"/>
      <c r="AI30" s="156"/>
      <c r="AJ30" s="59"/>
    </row>
    <row r="31" spans="1:43">
      <c r="B31" s="119">
        <f t="shared" si="37"/>
        <v>2016</v>
      </c>
      <c r="C31" s="33">
        <f ca="1">'Normalized Annual Summary'!AB12</f>
        <v>944970325.82323682</v>
      </c>
      <c r="D31" s="156">
        <f t="shared" ca="1" si="38"/>
        <v>2377927.7038924182</v>
      </c>
      <c r="E31" s="59">
        <f t="shared" si="43"/>
        <v>2.5164046308235352E-3</v>
      </c>
      <c r="I31" s="119"/>
      <c r="J31" s="33"/>
      <c r="K31" s="156"/>
      <c r="L31" s="59"/>
      <c r="O31" s="119">
        <f t="shared" si="40"/>
        <v>2016</v>
      </c>
      <c r="P31" s="33">
        <f ca="1">'Normalized Annual Summary'!AV12</f>
        <v>305112689.56276673</v>
      </c>
      <c r="Q31" s="156">
        <f t="shared" ca="1" si="41"/>
        <v>559642.2141110216</v>
      </c>
      <c r="R31" s="59">
        <f t="shared" si="44"/>
        <v>1.8342148106425902E-3</v>
      </c>
      <c r="U31" s="119"/>
      <c r="V31" s="33"/>
      <c r="W31" s="156"/>
      <c r="X31" s="59"/>
      <c r="AA31" s="119"/>
      <c r="AB31" s="33"/>
      <c r="AC31" s="156"/>
      <c r="AD31" s="59"/>
      <c r="AG31" s="119"/>
      <c r="AH31" s="33"/>
      <c r="AI31" s="156"/>
      <c r="AJ31" s="59"/>
    </row>
    <row r="32" spans="1:43">
      <c r="B32" s="119">
        <f t="shared" si="37"/>
        <v>2017</v>
      </c>
      <c r="C32" s="33">
        <f ca="1">'Normalized Annual Summary'!AB13</f>
        <v>946698267.70046031</v>
      </c>
      <c r="D32" s="156">
        <f t="shared" ca="1" si="38"/>
        <v>2421107.412514023</v>
      </c>
      <c r="E32" s="59">
        <f t="shared" si="43"/>
        <v>2.5574224598455403E-3</v>
      </c>
      <c r="I32" s="119"/>
      <c r="J32" s="33"/>
      <c r="K32" s="156"/>
      <c r="L32" s="59"/>
      <c r="O32" s="119">
        <f t="shared" si="40"/>
        <v>2017</v>
      </c>
      <c r="P32" s="33">
        <f ca="1">'Normalized Annual Summary'!AV13</f>
        <v>309339473.95366311</v>
      </c>
      <c r="Q32" s="156">
        <f t="shared" ca="1" si="41"/>
        <v>567042.68867556844</v>
      </c>
      <c r="R32" s="59">
        <f t="shared" si="44"/>
        <v>1.8330757514655484E-3</v>
      </c>
      <c r="U32" s="119"/>
      <c r="V32" s="33"/>
      <c r="W32" s="156"/>
      <c r="X32" s="59"/>
      <c r="AA32" s="119"/>
      <c r="AB32" s="33"/>
      <c r="AC32" s="156"/>
      <c r="AD32" s="59"/>
      <c r="AG32" s="119"/>
      <c r="AH32" s="33"/>
      <c r="AI32" s="156"/>
      <c r="AJ32" s="59"/>
    </row>
    <row r="33" spans="2:36">
      <c r="B33" s="119">
        <f t="shared" si="37"/>
        <v>2018</v>
      </c>
      <c r="C33" s="33">
        <f ca="1">'Normalized Annual Summary'!AB14</f>
        <v>937869077.8102895</v>
      </c>
      <c r="D33" s="156">
        <f t="shared" ca="1" si="38"/>
        <v>2381358.1782545815</v>
      </c>
      <c r="E33" s="59">
        <f>F18</f>
        <v>2.5391157834252411E-3</v>
      </c>
      <c r="I33" s="119"/>
      <c r="J33" s="33"/>
      <c r="K33" s="156"/>
      <c r="L33" s="59"/>
      <c r="O33" s="119">
        <f t="shared" si="40"/>
        <v>2018</v>
      </c>
      <c r="P33" s="33">
        <f ca="1">'Normalized Annual Summary'!AV14</f>
        <v>314516690.49578923</v>
      </c>
      <c r="Q33" s="156">
        <f t="shared" ca="1" si="41"/>
        <v>569483.15792478516</v>
      </c>
      <c r="R33" s="59">
        <f>S18</f>
        <v>1.8106611672247946E-3</v>
      </c>
      <c r="U33" s="119"/>
      <c r="V33" s="33"/>
      <c r="W33" s="156"/>
      <c r="X33" s="59"/>
      <c r="AA33" s="119"/>
      <c r="AB33" s="33"/>
      <c r="AC33" s="156"/>
      <c r="AD33" s="59"/>
      <c r="AG33" s="119"/>
      <c r="AH33" s="33"/>
      <c r="AI33" s="156"/>
      <c r="AJ33" s="59"/>
    </row>
    <row r="34" spans="2:36">
      <c r="B34" s="119">
        <v>2019</v>
      </c>
      <c r="C34" s="33">
        <f ca="1">'Normalized Annual Summary'!AB15</f>
        <v>946429187.74910879</v>
      </c>
      <c r="D34" s="156">
        <f t="shared" ca="1" si="38"/>
        <v>2397659.4544536313</v>
      </c>
      <c r="E34" s="59">
        <f>F19</f>
        <v>2.5333743775971043E-3</v>
      </c>
      <c r="I34" s="119"/>
      <c r="J34" s="33"/>
      <c r="K34" s="156"/>
      <c r="L34" s="59"/>
      <c r="O34" s="119">
        <v>2019</v>
      </c>
      <c r="P34" s="33">
        <f ca="1">'Normalized Annual Summary'!AV15</f>
        <v>321811842.75210875</v>
      </c>
      <c r="Q34" s="156">
        <f t="shared" ca="1" si="41"/>
        <v>577593.69797954906</v>
      </c>
      <c r="R34" s="59">
        <f>S19</f>
        <v>1.7948180310581943E-3</v>
      </c>
      <c r="U34" s="119"/>
      <c r="V34" s="33"/>
      <c r="W34" s="156"/>
      <c r="X34" s="59"/>
      <c r="AA34" s="119"/>
      <c r="AB34" s="33"/>
      <c r="AC34" s="156"/>
      <c r="AD34" s="59"/>
      <c r="AG34" s="119"/>
      <c r="AH34" s="33"/>
      <c r="AI34" s="156"/>
      <c r="AJ34" s="59"/>
    </row>
    <row r="35" spans="2:36">
      <c r="B35" s="119">
        <v>2020</v>
      </c>
      <c r="C35" s="33">
        <f ca="1">'Normalized Annual Summary'!AB16</f>
        <v>956527556.36098576</v>
      </c>
      <c r="D35" s="156">
        <f t="shared" ca="1" si="38"/>
        <v>2417750.5898636272</v>
      </c>
      <c r="E35" s="59">
        <f>F20</f>
        <v>2.5276329717689675E-3</v>
      </c>
      <c r="I35" s="119"/>
      <c r="J35" s="33"/>
      <c r="K35" s="156"/>
      <c r="L35" s="59"/>
      <c r="O35" s="119">
        <v>2020</v>
      </c>
      <c r="P35" s="33">
        <f ca="1">'Normalized Annual Summary'!AV16</f>
        <v>265794377.04225573</v>
      </c>
      <c r="Q35" s="156">
        <f t="shared" ca="1" si="41"/>
        <v>472841.52396152541</v>
      </c>
      <c r="R35" s="59">
        <f>S20</f>
        <v>1.7789748948916009E-3</v>
      </c>
      <c r="U35" s="119"/>
      <c r="V35" s="33"/>
      <c r="W35" s="156"/>
      <c r="X35" s="59"/>
      <c r="AA35" s="119"/>
      <c r="AB35" s="33"/>
      <c r="AC35" s="156"/>
      <c r="AD35" s="59"/>
      <c r="AG35" s="119"/>
      <c r="AH35" s="33"/>
      <c r="AI35" s="156"/>
      <c r="AJ35" s="59"/>
    </row>
    <row r="37" spans="2:36">
      <c r="D37" s="156"/>
    </row>
    <row r="38" spans="2:36">
      <c r="C38" s="33"/>
      <c r="D38" s="156"/>
    </row>
    <row r="39" spans="2:36">
      <c r="B39" s="119"/>
      <c r="C39" s="33"/>
      <c r="D39" s="156"/>
    </row>
    <row r="40" spans="2:36">
      <c r="B40" s="119"/>
      <c r="C40" s="33"/>
      <c r="D40" s="156"/>
    </row>
    <row r="41" spans="2:36">
      <c r="B41" s="119"/>
      <c r="C41" s="33"/>
      <c r="D41" s="156"/>
    </row>
    <row r="42" spans="2:36">
      <c r="B42" s="119"/>
      <c r="C42" s="33"/>
      <c r="D42" s="156"/>
    </row>
    <row r="43" spans="2:36">
      <c r="B43" s="119"/>
      <c r="C43" s="33"/>
      <c r="D43" s="156"/>
    </row>
    <row r="44" spans="2:36">
      <c r="B44" s="119"/>
      <c r="C44" s="33"/>
      <c r="D44" s="156"/>
    </row>
    <row r="45" spans="2:36">
      <c r="B45" s="119"/>
      <c r="C45" s="33"/>
      <c r="D45" s="156"/>
    </row>
    <row r="46" spans="2:36">
      <c r="B46" s="119"/>
      <c r="C46" s="33"/>
      <c r="D46" s="156"/>
    </row>
    <row r="47" spans="2:36">
      <c r="B47" s="119"/>
      <c r="C47" s="33"/>
      <c r="D47" s="156"/>
    </row>
    <row r="48" spans="2:36">
      <c r="B48" s="119"/>
    </row>
  </sheetData>
  <mergeCells count="7">
    <mergeCell ref="AM2:AQ2"/>
    <mergeCell ref="AG2:AK2"/>
    <mergeCell ref="B2:F2"/>
    <mergeCell ref="I2:M2"/>
    <mergeCell ref="O2:S2"/>
    <mergeCell ref="U2:Y2"/>
    <mergeCell ref="AA2:AE2"/>
  </mergeCells>
  <pageMargins left="0.7" right="0.7" top="0.75" bottom="0.75" header="0.3" footer="0.3"/>
  <pageSetup paperSize="9"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2:AE65"/>
  <sheetViews>
    <sheetView workbookViewId="0">
      <selection activeCell="L35" sqref="L35"/>
    </sheetView>
  </sheetViews>
  <sheetFormatPr defaultColWidth="9.1640625" defaultRowHeight="12.75"/>
  <cols>
    <col min="1" max="1" width="13.1640625" style="4" bestFit="1" customWidth="1"/>
    <col min="2" max="2" width="32.6640625" style="4" customWidth="1"/>
    <col min="3" max="3" width="14.6640625" style="4" customWidth="1"/>
    <col min="4" max="4" width="18.6640625" style="4" bestFit="1" customWidth="1"/>
    <col min="5" max="5" width="11.1640625" style="4" bestFit="1" customWidth="1"/>
    <col min="6" max="6" width="17" style="4" bestFit="1" customWidth="1"/>
    <col min="7" max="7" width="18.1640625" style="4" customWidth="1"/>
    <col min="8" max="8" width="18.6640625" style="4" bestFit="1" customWidth="1"/>
    <col min="9" max="9" width="18.83203125" style="4" bestFit="1" customWidth="1"/>
    <col min="10" max="10" width="19" style="4" bestFit="1" customWidth="1"/>
    <col min="11" max="11" width="19.5" style="4" bestFit="1" customWidth="1"/>
    <col min="12" max="12" width="10.1640625" style="4" bestFit="1" customWidth="1"/>
    <col min="13" max="13" width="18.1640625" style="4" bestFit="1" customWidth="1"/>
    <col min="14" max="14" width="13.33203125" style="4" bestFit="1" customWidth="1"/>
    <col min="15" max="15" width="9.1640625" style="4"/>
    <col min="16" max="16" width="10.6640625" style="4" bestFit="1" customWidth="1"/>
    <col min="17" max="17" width="12" style="4" customWidth="1"/>
    <col min="18" max="18" width="9.1640625" style="4"/>
    <col min="19" max="19" width="13.6640625" style="4" bestFit="1" customWidth="1"/>
    <col min="20" max="16384" width="9.1640625" style="4"/>
  </cols>
  <sheetData>
    <row r="2" spans="2:13" ht="13.5" thickBot="1">
      <c r="K2" s="78"/>
      <c r="L2" s="78"/>
    </row>
    <row r="3" spans="2:13">
      <c r="B3" s="76"/>
      <c r="C3" s="77"/>
      <c r="D3" s="77"/>
      <c r="E3" s="77"/>
      <c r="F3" s="77"/>
      <c r="G3" s="77"/>
      <c r="H3" s="81"/>
      <c r="I3" s="81"/>
      <c r="J3" s="81"/>
      <c r="K3" s="82"/>
      <c r="L3" s="78"/>
    </row>
    <row r="4" spans="2:13" ht="15">
      <c r="B4" s="278" t="s">
        <v>270</v>
      </c>
      <c r="C4" s="279"/>
      <c r="D4" s="279"/>
      <c r="E4" s="279"/>
      <c r="F4" s="279"/>
      <c r="G4" s="279"/>
      <c r="H4" s="279"/>
      <c r="I4" s="279"/>
      <c r="J4" s="279"/>
      <c r="K4" s="280"/>
      <c r="L4" s="78"/>
    </row>
    <row r="5" spans="2:13" ht="15">
      <c r="B5" s="282" t="s">
        <v>193</v>
      </c>
      <c r="C5" s="281">
        <v>2018</v>
      </c>
      <c r="D5" s="281"/>
      <c r="E5" s="281"/>
      <c r="F5" s="142">
        <v>2019</v>
      </c>
      <c r="G5" s="283">
        <v>2020</v>
      </c>
      <c r="H5" s="284"/>
      <c r="I5" s="285"/>
      <c r="J5" s="129" t="s">
        <v>170</v>
      </c>
      <c r="K5" s="130" t="s">
        <v>171</v>
      </c>
      <c r="L5" s="78"/>
    </row>
    <row r="6" spans="2:13" ht="15">
      <c r="B6" s="282"/>
      <c r="C6" s="131" t="s">
        <v>174</v>
      </c>
      <c r="D6" s="131" t="s">
        <v>195</v>
      </c>
      <c r="E6" s="131" t="s">
        <v>172</v>
      </c>
      <c r="F6" s="131" t="s">
        <v>174</v>
      </c>
      <c r="G6" s="131" t="s">
        <v>174</v>
      </c>
      <c r="H6" s="131" t="s">
        <v>195</v>
      </c>
      <c r="I6" s="131" t="s">
        <v>172</v>
      </c>
      <c r="J6" s="131" t="s">
        <v>174</v>
      </c>
      <c r="K6" s="132" t="s">
        <v>174</v>
      </c>
      <c r="L6" s="78"/>
    </row>
    <row r="7" spans="2:13" ht="15">
      <c r="B7" s="133"/>
      <c r="C7" s="131" t="s">
        <v>157</v>
      </c>
      <c r="D7" s="131" t="s">
        <v>158</v>
      </c>
      <c r="E7" s="131" t="s">
        <v>196</v>
      </c>
      <c r="F7" s="131" t="s">
        <v>160</v>
      </c>
      <c r="G7" s="131" t="s">
        <v>168</v>
      </c>
      <c r="H7" s="131" t="s">
        <v>197</v>
      </c>
      <c r="I7" s="131" t="s">
        <v>267</v>
      </c>
      <c r="J7" s="205" t="s">
        <v>268</v>
      </c>
      <c r="K7" s="206" t="s">
        <v>269</v>
      </c>
    </row>
    <row r="8" spans="2:13">
      <c r="B8" s="134" t="s">
        <v>136</v>
      </c>
      <c r="C8" s="135">
        <f>D36</f>
        <v>1598200.8852295566</v>
      </c>
      <c r="D8" s="136">
        <v>0.5</v>
      </c>
      <c r="E8" s="137">
        <f>C8*D8</f>
        <v>799100.44261477829</v>
      </c>
      <c r="F8" s="137">
        <f>F36</f>
        <v>0</v>
      </c>
      <c r="G8" s="137">
        <f>H36</f>
        <v>0</v>
      </c>
      <c r="H8" s="138">
        <v>0.5</v>
      </c>
      <c r="I8" s="137">
        <f>G8*H8</f>
        <v>0</v>
      </c>
      <c r="J8" s="139">
        <f>E8+F8+I8</f>
        <v>799100.44261477829</v>
      </c>
      <c r="K8" s="140">
        <f>C8+F8+G8</f>
        <v>1598200.8852295566</v>
      </c>
    </row>
    <row r="9" spans="2:13">
      <c r="B9" s="141" t="s">
        <v>138</v>
      </c>
      <c r="C9" s="135">
        <f>D37</f>
        <v>1297396.7753807909</v>
      </c>
      <c r="D9" s="136">
        <v>0.5</v>
      </c>
      <c r="E9" s="137">
        <f t="shared" ref="E9:E14" si="0">C9*D9</f>
        <v>648698.38769039547</v>
      </c>
      <c r="F9" s="137">
        <f t="shared" ref="F9:F14" si="1">F37</f>
        <v>1432188.1709855522</v>
      </c>
      <c r="G9" s="137">
        <f t="shared" ref="G9:G14" si="2">H37</f>
        <v>0</v>
      </c>
      <c r="H9" s="138">
        <v>0.5</v>
      </c>
      <c r="I9" s="137">
        <f t="shared" ref="I9:I14" si="3">G9*H9</f>
        <v>0</v>
      </c>
      <c r="J9" s="139">
        <f t="shared" ref="J9:J14" si="4">E9+C9+I9</f>
        <v>1946095.1630711863</v>
      </c>
      <c r="K9" s="140">
        <f t="shared" ref="K9:K14" si="5">C9+F9+G9</f>
        <v>2729584.9463663432</v>
      </c>
    </row>
    <row r="10" spans="2:13">
      <c r="B10" s="134" t="s">
        <v>139</v>
      </c>
      <c r="C10" s="135">
        <f t="shared" ref="C10:C14" si="6">D38</f>
        <v>19941425.094690636</v>
      </c>
      <c r="D10" s="136">
        <v>0.5</v>
      </c>
      <c r="E10" s="137">
        <f t="shared" si="0"/>
        <v>9970712.5473453179</v>
      </c>
      <c r="F10" s="137">
        <f t="shared" si="1"/>
        <v>15981377.791175578</v>
      </c>
      <c r="G10" s="137">
        <f t="shared" si="2"/>
        <v>0</v>
      </c>
      <c r="H10" s="138">
        <v>0.5</v>
      </c>
      <c r="I10" s="137">
        <f t="shared" si="3"/>
        <v>0</v>
      </c>
      <c r="J10" s="139">
        <f t="shared" si="4"/>
        <v>29912137.642035954</v>
      </c>
      <c r="K10" s="140">
        <f t="shared" si="5"/>
        <v>35922802.88586621</v>
      </c>
      <c r="M10" s="157"/>
    </row>
    <row r="11" spans="2:13">
      <c r="B11" s="134" t="s">
        <v>140</v>
      </c>
      <c r="C11" s="135">
        <f t="shared" si="6"/>
        <v>248975.60089597933</v>
      </c>
      <c r="D11" s="136">
        <v>0.5</v>
      </c>
      <c r="E11" s="137">
        <f t="shared" si="0"/>
        <v>124487.80044798966</v>
      </c>
      <c r="F11" s="137">
        <f t="shared" si="1"/>
        <v>129316.08571324406</v>
      </c>
      <c r="G11" s="137">
        <f t="shared" si="2"/>
        <v>0</v>
      </c>
      <c r="H11" s="138">
        <v>0.5</v>
      </c>
      <c r="I11" s="137">
        <f t="shared" si="3"/>
        <v>0</v>
      </c>
      <c r="J11" s="139">
        <f t="shared" si="4"/>
        <v>373463.40134396899</v>
      </c>
      <c r="K11" s="140">
        <f t="shared" si="5"/>
        <v>378291.68660922337</v>
      </c>
      <c r="M11" s="157"/>
    </row>
    <row r="12" spans="2:13">
      <c r="B12" s="134" t="s">
        <v>141</v>
      </c>
      <c r="C12" s="135">
        <f>D40</f>
        <v>1520169.6639867001</v>
      </c>
      <c r="D12" s="136">
        <v>0.5</v>
      </c>
      <c r="E12" s="137">
        <f t="shared" si="0"/>
        <v>760084.83199335006</v>
      </c>
      <c r="F12" s="137">
        <f t="shared" si="1"/>
        <v>3230207.0157782109</v>
      </c>
      <c r="G12" s="137">
        <f t="shared" si="2"/>
        <v>54001577.640000001</v>
      </c>
      <c r="H12" s="138">
        <v>0.5</v>
      </c>
      <c r="I12" s="137">
        <f t="shared" si="3"/>
        <v>27000788.82</v>
      </c>
      <c r="J12" s="139">
        <f t="shared" si="4"/>
        <v>29281043.315980051</v>
      </c>
      <c r="K12" s="140">
        <f t="shared" si="5"/>
        <v>58751954.319764912</v>
      </c>
      <c r="M12" s="157"/>
    </row>
    <row r="13" spans="2:13">
      <c r="B13" s="134" t="s">
        <v>189</v>
      </c>
      <c r="C13" s="135">
        <f t="shared" si="6"/>
        <v>1952631.5837848473</v>
      </c>
      <c r="D13" s="136">
        <v>0.5</v>
      </c>
      <c r="E13" s="137">
        <f t="shared" si="0"/>
        <v>976315.79189242364</v>
      </c>
      <c r="F13" s="137">
        <f t="shared" si="1"/>
        <v>3805261.4822671395</v>
      </c>
      <c r="G13" s="137">
        <f t="shared" si="2"/>
        <v>0</v>
      </c>
      <c r="H13" s="138">
        <v>0.5</v>
      </c>
      <c r="I13" s="137">
        <f t="shared" si="3"/>
        <v>0</v>
      </c>
      <c r="J13" s="139">
        <f t="shared" si="4"/>
        <v>2928947.3756772708</v>
      </c>
      <c r="K13" s="140">
        <f t="shared" si="5"/>
        <v>5757893.066051987</v>
      </c>
      <c r="M13" s="157"/>
    </row>
    <row r="14" spans="2:13">
      <c r="B14" s="134" t="s">
        <v>190</v>
      </c>
      <c r="C14" s="135">
        <f t="shared" si="6"/>
        <v>624543.7447363442</v>
      </c>
      <c r="D14" s="136">
        <v>0.5</v>
      </c>
      <c r="E14" s="137">
        <f t="shared" si="0"/>
        <v>312271.8723681721</v>
      </c>
      <c r="F14" s="137">
        <f t="shared" si="1"/>
        <v>17911.474080273008</v>
      </c>
      <c r="G14" s="137">
        <f t="shared" si="2"/>
        <v>0</v>
      </c>
      <c r="H14" s="138">
        <v>0.5</v>
      </c>
      <c r="I14" s="137">
        <f t="shared" si="3"/>
        <v>0</v>
      </c>
      <c r="J14" s="139">
        <f t="shared" si="4"/>
        <v>936815.61710451636</v>
      </c>
      <c r="K14" s="140">
        <f t="shared" si="5"/>
        <v>642455.21881661727</v>
      </c>
      <c r="M14" s="157"/>
    </row>
    <row r="15" spans="2:13" ht="13.5" thickBot="1">
      <c r="B15" s="79" t="s">
        <v>194</v>
      </c>
      <c r="C15" s="80">
        <f>SUM(C8:C14)</f>
        <v>27183343.348704856</v>
      </c>
      <c r="D15" s="83">
        <v>0.5</v>
      </c>
      <c r="E15" s="85">
        <f>SUM(E8:E14)</f>
        <v>13591671.674352428</v>
      </c>
      <c r="F15" s="85">
        <f>SUM(F8:F14)</f>
        <v>24596262.019999996</v>
      </c>
      <c r="G15" s="85">
        <v>33534337.927282955</v>
      </c>
      <c r="H15" s="84">
        <v>0.5</v>
      </c>
      <c r="I15" s="86">
        <f>SUM(I8:I14)</f>
        <v>27000788.82</v>
      </c>
      <c r="J15" s="86">
        <f t="shared" ref="J15:K15" si="7">SUM(J8:J14)</f>
        <v>66177602.957827725</v>
      </c>
      <c r="K15" s="86">
        <f t="shared" si="7"/>
        <v>105781183.00870486</v>
      </c>
      <c r="M15" s="157"/>
    </row>
    <row r="18" spans="2:19" ht="13.5" thickBot="1"/>
    <row r="19" spans="2:19">
      <c r="B19" s="76"/>
      <c r="C19" s="77"/>
      <c r="D19" s="77"/>
      <c r="E19" s="77"/>
      <c r="F19" s="77"/>
      <c r="G19" s="248"/>
      <c r="H19" s="119"/>
      <c r="I19" s="119"/>
      <c r="J19" s="119"/>
      <c r="K19" s="119"/>
    </row>
    <row r="20" spans="2:19" ht="15">
      <c r="B20" s="278" t="s">
        <v>271</v>
      </c>
      <c r="C20" s="279"/>
      <c r="D20" s="279"/>
      <c r="E20" s="279"/>
      <c r="F20" s="279"/>
      <c r="G20" s="280"/>
      <c r="H20" s="119"/>
      <c r="I20" s="119"/>
      <c r="J20" s="119"/>
      <c r="K20" s="119"/>
    </row>
    <row r="21" spans="2:19" ht="15" customHeight="1">
      <c r="B21" s="249" t="s">
        <v>193</v>
      </c>
      <c r="C21" s="288" t="s">
        <v>302</v>
      </c>
      <c r="D21" s="289"/>
      <c r="E21" s="250"/>
      <c r="F21" s="286" t="s">
        <v>306</v>
      </c>
      <c r="G21" s="287"/>
      <c r="H21" s="119"/>
      <c r="I21" s="119"/>
      <c r="J21" s="119"/>
      <c r="K21" s="119"/>
    </row>
    <row r="22" spans="2:19" s="259" customFormat="1" ht="45">
      <c r="B22" s="258"/>
      <c r="C22" s="260" t="s">
        <v>304</v>
      </c>
      <c r="D22" s="260" t="s">
        <v>239</v>
      </c>
      <c r="E22" s="260" t="s">
        <v>303</v>
      </c>
      <c r="F22" s="260" t="s">
        <v>304</v>
      </c>
      <c r="G22" s="261" t="s">
        <v>239</v>
      </c>
    </row>
    <row r="23" spans="2:19" s="259" customFormat="1" ht="15">
      <c r="B23" s="262"/>
      <c r="C23" s="263" t="s">
        <v>157</v>
      </c>
      <c r="D23" s="263" t="s">
        <v>158</v>
      </c>
      <c r="E23" s="263" t="s">
        <v>165</v>
      </c>
      <c r="F23" s="263" t="s">
        <v>160</v>
      </c>
      <c r="G23" s="264" t="s">
        <v>309</v>
      </c>
    </row>
    <row r="24" spans="2:19">
      <c r="B24" s="251" t="s">
        <v>139</v>
      </c>
      <c r="C24" s="252">
        <f ca="1">'Normalized Annual Summary'!AB16</f>
        <v>956527556.36098576</v>
      </c>
      <c r="D24" s="253">
        <f>J10</f>
        <v>29912137.642035954</v>
      </c>
      <c r="E24" s="254">
        <f ca="1">D24/C24</f>
        <v>3.1271590079258893E-2</v>
      </c>
      <c r="F24" s="252">
        <f ca="1">'kW Forecast'!D20</f>
        <v>2417750.5898636272</v>
      </c>
      <c r="G24" s="255">
        <f ca="1">F24*E24</f>
        <v>75606.905360101737</v>
      </c>
      <c r="H24" s="156"/>
      <c r="I24" s="243"/>
      <c r="J24" s="244"/>
      <c r="K24" s="33"/>
      <c r="M24" s="156"/>
      <c r="N24" s="243"/>
      <c r="O24" s="244"/>
      <c r="P24" s="33"/>
      <c r="Q24" s="156"/>
      <c r="S24" s="245"/>
    </row>
    <row r="25" spans="2:19">
      <c r="B25" s="251" t="s">
        <v>140</v>
      </c>
      <c r="C25" s="252">
        <f>'Normalized Annual Summary'!AK16</f>
        <v>40126967.285152338</v>
      </c>
      <c r="D25" s="253">
        <f t="shared" ref="D25:D28" si="8">J11</f>
        <v>373463.40134396899</v>
      </c>
      <c r="E25" s="254">
        <f t="shared" ref="E25:E29" si="9">D25/C25</f>
        <v>9.3070427847199103E-3</v>
      </c>
      <c r="F25" s="252">
        <f>'kW Forecast'!K20</f>
        <v>124943.25267841676</v>
      </c>
      <c r="G25" s="255">
        <f t="shared" ref="G25:G28" si="10">F25*E25</f>
        <v>1162.8521983400954</v>
      </c>
      <c r="H25" s="156"/>
      <c r="I25" s="243"/>
      <c r="J25" s="244"/>
      <c r="K25" s="33"/>
      <c r="M25" s="156"/>
      <c r="N25" s="243"/>
      <c r="O25" s="244"/>
      <c r="P25" s="33"/>
      <c r="Q25" s="156"/>
      <c r="S25" s="245"/>
    </row>
    <row r="26" spans="2:19">
      <c r="B26" s="251" t="s">
        <v>141</v>
      </c>
      <c r="C26" s="252">
        <f ca="1">'Normalized Annual Summary'!AV16</f>
        <v>265794377.04225573</v>
      </c>
      <c r="D26" s="253">
        <f t="shared" si="8"/>
        <v>29281043.315980051</v>
      </c>
      <c r="E26" s="254">
        <f t="shared" ca="1" si="9"/>
        <v>0.11016426924383348</v>
      </c>
      <c r="F26" s="252">
        <f ca="1">'kW Forecast'!Q20</f>
        <v>472841.52396152541</v>
      </c>
      <c r="G26" s="255">
        <f t="shared" ca="1" si="10"/>
        <v>52090.240955362024</v>
      </c>
      <c r="H26" s="156"/>
      <c r="I26" s="243"/>
      <c r="J26" s="244"/>
      <c r="K26" s="33"/>
      <c r="M26" s="156"/>
      <c r="N26" s="243"/>
      <c r="O26" s="244"/>
      <c r="P26" s="33"/>
      <c r="Q26" s="156"/>
      <c r="S26" s="245"/>
    </row>
    <row r="27" spans="2:19">
      <c r="B27" s="251" t="s">
        <v>189</v>
      </c>
      <c r="C27" s="252">
        <f ca="1">'Normalized Annual Summary'!BE16</f>
        <v>250089947.03802782</v>
      </c>
      <c r="D27" s="253">
        <f t="shared" si="8"/>
        <v>2928947.3756772708</v>
      </c>
      <c r="E27" s="254">
        <f t="shared" ca="1" si="9"/>
        <v>1.1711575816487758E-2</v>
      </c>
      <c r="F27" s="252">
        <f ca="1">'kW Forecast'!W20</f>
        <v>480153.5119245199</v>
      </c>
      <c r="G27" s="255">
        <f t="shared" ca="1" si="10"/>
        <v>5623.3542584568731</v>
      </c>
      <c r="H27" s="156"/>
      <c r="I27" s="243"/>
      <c r="J27" s="244"/>
      <c r="K27" s="33"/>
      <c r="M27" s="156"/>
      <c r="N27" s="243"/>
      <c r="O27" s="244"/>
      <c r="P27" s="33"/>
      <c r="Q27" s="156"/>
      <c r="S27" s="245"/>
    </row>
    <row r="28" spans="2:19">
      <c r="B28" s="251" t="s">
        <v>190</v>
      </c>
      <c r="C28" s="252">
        <f ca="1">'Normalized Annual Summary'!BN16</f>
        <v>42304757.8607333</v>
      </c>
      <c r="D28" s="253">
        <f t="shared" si="8"/>
        <v>936815.61710451636</v>
      </c>
      <c r="E28" s="254">
        <f t="shared" ca="1" si="9"/>
        <v>2.2144450517563554E-2</v>
      </c>
      <c r="F28" s="252">
        <f ca="1">'kW Forecast'!AC20</f>
        <v>68102.840614203291</v>
      </c>
      <c r="G28" s="255">
        <f t="shared" ca="1" si="10"/>
        <v>1508.0999840867423</v>
      </c>
      <c r="H28" s="156"/>
      <c r="I28" s="243"/>
      <c r="J28" s="244"/>
      <c r="K28" s="33"/>
      <c r="M28" s="156"/>
      <c r="N28" s="243"/>
      <c r="O28" s="244"/>
      <c r="P28" s="33"/>
      <c r="Q28" s="156"/>
      <c r="S28" s="245"/>
    </row>
    <row r="29" spans="2:19" ht="13.5" thickBot="1">
      <c r="B29" s="79" t="s">
        <v>194</v>
      </c>
      <c r="C29" s="80">
        <f ca="1">SUM(C24:C28)</f>
        <v>1554843605.5871549</v>
      </c>
      <c r="D29" s="80">
        <f>SUM(D24:D28)</f>
        <v>63432407.35214176</v>
      </c>
      <c r="E29" s="256">
        <f t="shared" ca="1" si="9"/>
        <v>4.0796648051421101E-2</v>
      </c>
      <c r="F29" s="85">
        <f ca="1">SUM(F24:F28)</f>
        <v>3563791.7190422928</v>
      </c>
      <c r="G29" s="257">
        <f ca="1">SUM(G24:G28)</f>
        <v>135991.45275634745</v>
      </c>
      <c r="H29" s="156"/>
      <c r="I29" s="119"/>
      <c r="J29" s="119"/>
      <c r="K29" s="119"/>
      <c r="M29" s="156"/>
    </row>
    <row r="30" spans="2:19">
      <c r="P30" s="33"/>
      <c r="Q30" s="33"/>
    </row>
    <row r="33" spans="2:31" ht="30" customHeight="1">
      <c r="B33" s="186"/>
      <c r="C33" s="265" t="s">
        <v>273</v>
      </c>
      <c r="D33" s="266"/>
      <c r="E33" s="265" t="s">
        <v>274</v>
      </c>
      <c r="F33" s="266"/>
      <c r="G33" s="265" t="s">
        <v>275</v>
      </c>
      <c r="H33" s="266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</row>
    <row r="34" spans="2:31" ht="15">
      <c r="B34" s="186"/>
      <c r="C34" s="163" t="s">
        <v>183</v>
      </c>
      <c r="D34" s="163" t="s">
        <v>174</v>
      </c>
      <c r="E34" s="163" t="s">
        <v>183</v>
      </c>
      <c r="F34" s="163" t="s">
        <v>174</v>
      </c>
      <c r="G34" s="163" t="s">
        <v>183</v>
      </c>
      <c r="H34" s="163" t="s">
        <v>174</v>
      </c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</row>
    <row r="35" spans="2:31" ht="15">
      <c r="B35" s="186"/>
      <c r="C35" s="164"/>
      <c r="D35" s="164"/>
      <c r="E35" s="164"/>
      <c r="F35" s="164"/>
      <c r="G35" s="164"/>
      <c r="H35" s="164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</row>
    <row r="36" spans="2:31" ht="15">
      <c r="B36" s="186" t="s">
        <v>136</v>
      </c>
      <c r="C36" s="208">
        <v>132.26824436929647</v>
      </c>
      <c r="D36" s="208">
        <v>1598200.8852295566</v>
      </c>
      <c r="E36" s="209">
        <v>0</v>
      </c>
      <c r="F36" s="209">
        <v>0</v>
      </c>
      <c r="G36" s="209">
        <v>0</v>
      </c>
      <c r="H36" s="209">
        <v>0</v>
      </c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</row>
    <row r="37" spans="2:31" ht="15">
      <c r="B37" s="186" t="s">
        <v>211</v>
      </c>
      <c r="C37" s="208">
        <v>165.63521124349876</v>
      </c>
      <c r="D37" s="208">
        <v>1297396.7753807909</v>
      </c>
      <c r="E37" s="209">
        <v>107.93166348986618</v>
      </c>
      <c r="F37" s="209">
        <v>1432188.1709855522</v>
      </c>
      <c r="G37" s="209">
        <v>0</v>
      </c>
      <c r="H37" s="209">
        <v>0</v>
      </c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</row>
    <row r="38" spans="2:31" ht="15">
      <c r="B38" s="186" t="s">
        <v>212</v>
      </c>
      <c r="C38" s="208">
        <v>2327.7203530249026</v>
      </c>
      <c r="D38" s="208">
        <v>19941425.094690636</v>
      </c>
      <c r="E38" s="209">
        <v>1478.1346750852013</v>
      </c>
      <c r="F38" s="209">
        <v>15981377.791175578</v>
      </c>
      <c r="G38" s="209">
        <v>0</v>
      </c>
      <c r="H38" s="209">
        <v>0</v>
      </c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</row>
    <row r="39" spans="2:31" ht="15">
      <c r="B39" s="186" t="s">
        <v>213</v>
      </c>
      <c r="C39" s="208">
        <v>59.316581587313095</v>
      </c>
      <c r="D39" s="208">
        <v>248975.60089597933</v>
      </c>
      <c r="E39" s="209">
        <v>4.1028018503502395</v>
      </c>
      <c r="F39" s="209">
        <v>129316.08571324406</v>
      </c>
      <c r="G39" s="209">
        <v>0</v>
      </c>
      <c r="H39" s="209">
        <v>0</v>
      </c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</row>
    <row r="40" spans="2:31" ht="15">
      <c r="B40" s="186" t="s">
        <v>214</v>
      </c>
      <c r="C40" s="208">
        <v>284.07518932400103</v>
      </c>
      <c r="D40" s="208">
        <v>1520169.6639867001</v>
      </c>
      <c r="E40" s="209">
        <v>216.04016364819662</v>
      </c>
      <c r="F40" s="209">
        <v>3230207.0157782109</v>
      </c>
      <c r="G40" s="209">
        <v>6165.0020000000004</v>
      </c>
      <c r="H40" s="209">
        <v>54001577.640000001</v>
      </c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</row>
    <row r="41" spans="2:31" ht="15">
      <c r="B41" s="186" t="s">
        <v>186</v>
      </c>
      <c r="C41" s="208">
        <v>163.98738512714178</v>
      </c>
      <c r="D41" s="208">
        <v>1952631.5837848473</v>
      </c>
      <c r="E41" s="209">
        <v>381.43312581891792</v>
      </c>
      <c r="F41" s="209">
        <v>3805261.4822671395</v>
      </c>
      <c r="G41" s="209">
        <v>0</v>
      </c>
      <c r="H41" s="209">
        <v>0</v>
      </c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</row>
    <row r="42" spans="2:31" ht="15">
      <c r="B42" s="186" t="s">
        <v>215</v>
      </c>
      <c r="C42" s="208">
        <v>107.89032165627552</v>
      </c>
      <c r="D42" s="208">
        <v>624543.7447363442</v>
      </c>
      <c r="E42" s="209">
        <v>0.59414010746757384</v>
      </c>
      <c r="F42" s="209">
        <v>17911.474080273008</v>
      </c>
      <c r="G42" s="209">
        <v>0</v>
      </c>
      <c r="H42" s="209">
        <v>0</v>
      </c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</row>
    <row r="43" spans="2:31" ht="15">
      <c r="B43" s="186" t="s">
        <v>216</v>
      </c>
      <c r="C43" s="208"/>
      <c r="D43" s="208"/>
      <c r="E43" s="209"/>
      <c r="F43" s="209"/>
      <c r="G43" s="209"/>
      <c r="H43" s="20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</row>
    <row r="44" spans="2:31" ht="15">
      <c r="B44" s="186"/>
      <c r="C44" s="210"/>
      <c r="D44" s="210"/>
      <c r="E44" s="210"/>
      <c r="F44" s="210"/>
      <c r="G44" s="210"/>
      <c r="H44" s="210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</row>
    <row r="45" spans="2:31" ht="15">
      <c r="B45" s="186"/>
      <c r="C45" s="211">
        <f>SUM(C36:C43)</f>
        <v>3240.8932863324289</v>
      </c>
      <c r="D45" s="211">
        <f t="shared" ref="D45:H45" si="11">SUM(D36:D43)</f>
        <v>27183343.348704856</v>
      </c>
      <c r="E45" s="214">
        <f t="shared" si="11"/>
        <v>2188.2365699999996</v>
      </c>
      <c r="F45" s="214">
        <f t="shared" si="11"/>
        <v>24596262.019999996</v>
      </c>
      <c r="G45" s="214">
        <f t="shared" si="11"/>
        <v>6165.0020000000004</v>
      </c>
      <c r="H45" s="214">
        <f t="shared" si="11"/>
        <v>54001577.640000001</v>
      </c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</row>
    <row r="46" spans="2:31" ht="15">
      <c r="B46" s="186"/>
      <c r="C46" s="213"/>
      <c r="D46" s="213"/>
      <c r="E46" s="213"/>
      <c r="F46" s="213"/>
      <c r="G46" s="213"/>
      <c r="H46" s="213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</row>
    <row r="56" spans="3:8">
      <c r="C56" s="156"/>
      <c r="D56" s="156"/>
      <c r="E56" s="156"/>
      <c r="F56" s="156"/>
      <c r="G56" s="156"/>
      <c r="H56" s="156"/>
    </row>
    <row r="57" spans="3:8">
      <c r="C57" s="156"/>
      <c r="D57" s="156"/>
      <c r="E57" s="156"/>
      <c r="F57" s="156"/>
      <c r="G57" s="156"/>
      <c r="H57" s="156"/>
    </row>
    <row r="58" spans="3:8">
      <c r="C58" s="156"/>
      <c r="D58" s="156"/>
      <c r="E58" s="156"/>
      <c r="F58" s="156"/>
      <c r="G58" s="156"/>
      <c r="H58" s="156"/>
    </row>
    <row r="59" spans="3:8">
      <c r="C59" s="156"/>
      <c r="D59" s="156"/>
      <c r="E59" s="156"/>
      <c r="F59" s="156"/>
      <c r="G59" s="156"/>
      <c r="H59" s="156"/>
    </row>
    <row r="60" spans="3:8">
      <c r="C60" s="156"/>
      <c r="D60" s="156"/>
      <c r="E60" s="156"/>
      <c r="F60" s="156"/>
      <c r="G60" s="156"/>
      <c r="H60" s="156"/>
    </row>
    <row r="61" spans="3:8">
      <c r="C61" s="156"/>
      <c r="D61" s="156"/>
      <c r="E61" s="156"/>
      <c r="F61" s="156"/>
      <c r="G61" s="156"/>
      <c r="H61" s="156"/>
    </row>
    <row r="62" spans="3:8">
      <c r="C62" s="156"/>
      <c r="D62" s="156"/>
      <c r="E62" s="156"/>
      <c r="F62" s="156"/>
      <c r="G62" s="156"/>
      <c r="H62" s="156"/>
    </row>
    <row r="63" spans="3:8">
      <c r="C63" s="156"/>
      <c r="D63" s="156"/>
      <c r="E63" s="156"/>
      <c r="F63" s="156"/>
      <c r="G63" s="156"/>
      <c r="H63" s="156"/>
    </row>
    <row r="64" spans="3:8">
      <c r="C64" s="156"/>
      <c r="D64" s="156"/>
      <c r="E64" s="156"/>
      <c r="F64" s="156"/>
      <c r="G64" s="156"/>
      <c r="H64" s="156"/>
    </row>
    <row r="65" spans="3:8">
      <c r="C65" s="156"/>
      <c r="D65" s="156"/>
      <c r="E65" s="156"/>
      <c r="F65" s="156"/>
      <c r="G65" s="156"/>
      <c r="H65" s="156"/>
    </row>
  </sheetData>
  <mergeCells count="10">
    <mergeCell ref="C33:D33"/>
    <mergeCell ref="E33:F33"/>
    <mergeCell ref="G33:H33"/>
    <mergeCell ref="B4:K4"/>
    <mergeCell ref="C5:E5"/>
    <mergeCell ref="B5:B6"/>
    <mergeCell ref="G5:I5"/>
    <mergeCell ref="F21:G21"/>
    <mergeCell ref="B20:G20"/>
    <mergeCell ref="C21:D21"/>
  </mergeCells>
  <pageMargins left="0.7" right="0.7" top="0.75" bottom="0.75" header="0.3" footer="0.3"/>
  <pageSetup paperSize="9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23EB-4CA0-4500-9669-C70802AB87BF}">
  <dimension ref="B2:BT83"/>
  <sheetViews>
    <sheetView workbookViewId="0">
      <selection activeCell="W25" sqref="W25"/>
    </sheetView>
  </sheetViews>
  <sheetFormatPr defaultRowHeight="12.75"/>
  <cols>
    <col min="2" max="2" width="9.33203125" style="127"/>
    <col min="3" max="3" width="12.6640625" style="127" customWidth="1"/>
    <col min="4" max="4" width="12.6640625" style="127" bestFit="1" customWidth="1"/>
    <col min="5" max="5" width="16.83203125" style="127" bestFit="1" customWidth="1"/>
    <col min="6" max="6" width="15.1640625" style="127" bestFit="1" customWidth="1"/>
    <col min="7" max="7" width="15.6640625" style="127" customWidth="1"/>
    <col min="8" max="8" width="14.33203125" style="127" customWidth="1"/>
    <col min="9" max="9" width="13.1640625" customWidth="1"/>
    <col min="10" max="10" width="13" style="127" customWidth="1"/>
    <col min="11" max="11" width="12.1640625" bestFit="1" customWidth="1"/>
    <col min="12" max="13" width="15.1640625" bestFit="1" customWidth="1"/>
    <col min="14" max="14" width="14" bestFit="1" customWidth="1"/>
    <col min="15" max="15" width="12.6640625" style="127" bestFit="1" customWidth="1"/>
    <col min="16" max="16" width="14.6640625" customWidth="1"/>
    <col min="17" max="17" width="12.6640625" bestFit="1" customWidth="1"/>
    <col min="21" max="21" width="9.33203125" style="127"/>
    <col min="22" max="22" width="12.6640625" bestFit="1" customWidth="1"/>
    <col min="23" max="23" width="11.1640625" bestFit="1" customWidth="1"/>
    <col min="24" max="24" width="9.83203125" bestFit="1" customWidth="1"/>
    <col min="25" max="25" width="13" bestFit="1" customWidth="1"/>
    <col min="28" max="28" width="9.33203125" style="127"/>
    <col min="29" max="29" width="10.1640625" bestFit="1" customWidth="1"/>
    <col min="30" max="30" width="11.5" customWidth="1"/>
    <col min="32" max="32" width="10.6640625" customWidth="1"/>
    <col min="35" max="35" width="9.33203125" style="127"/>
    <col min="36" max="37" width="11.1640625" bestFit="1" customWidth="1"/>
    <col min="39" max="39" width="11.83203125" customWidth="1"/>
    <col min="42" max="42" width="9.33203125" style="127"/>
    <col min="43" max="44" width="11.1640625" bestFit="1" customWidth="1"/>
    <col min="46" max="46" width="10.83203125" customWidth="1"/>
    <col min="49" max="49" width="9.33203125" style="127"/>
    <col min="50" max="50" width="10.1640625" bestFit="1" customWidth="1"/>
    <col min="51" max="51" width="13" customWidth="1"/>
    <col min="53" max="53" width="11.5" customWidth="1"/>
    <col min="56" max="56" width="9.33203125" style="127"/>
    <col min="57" max="57" width="10.1640625" bestFit="1" customWidth="1"/>
    <col min="58" max="58" width="12" customWidth="1"/>
    <col min="59" max="59" width="10.83203125" style="127" bestFit="1" customWidth="1"/>
    <col min="60" max="60" width="12.6640625" style="127" customWidth="1"/>
    <col min="63" max="63" width="9.33203125" style="127"/>
    <col min="65" max="65" width="11.5" customWidth="1"/>
    <col min="66" max="66" width="9.33203125" style="127"/>
    <col min="67" max="67" width="11" style="127" customWidth="1"/>
    <col min="70" max="70" width="9.33203125" style="127"/>
    <col min="72" max="72" width="11.6640625" customWidth="1"/>
  </cols>
  <sheetData>
    <row r="2" spans="2:72">
      <c r="B2" s="290" t="s">
        <v>251</v>
      </c>
      <c r="C2" s="291"/>
      <c r="D2" s="291"/>
      <c r="E2" s="291"/>
      <c r="F2" s="291"/>
      <c r="G2" s="291"/>
      <c r="H2" s="178"/>
      <c r="I2" s="290" t="s">
        <v>247</v>
      </c>
      <c r="J2" s="290"/>
      <c r="K2" s="290"/>
      <c r="L2" s="290"/>
      <c r="N2" s="291" t="str">
        <f>'Normalized Annual Summary'!K2</f>
        <v>GS&lt;50 kW</v>
      </c>
      <c r="O2" s="291"/>
      <c r="P2" s="291"/>
      <c r="Q2" s="291"/>
      <c r="R2" s="291"/>
      <c r="T2" s="291" t="str">
        <f>'Normalized Annual Summary'!U2</f>
        <v>GS&gt;50 kW</v>
      </c>
      <c r="U2" s="291"/>
      <c r="V2" s="291"/>
      <c r="W2" s="291"/>
      <c r="X2" s="291"/>
      <c r="Y2" s="291"/>
      <c r="AA2" s="291" t="str">
        <f>'Normalized Annual Summary'!AE2</f>
        <v>Intermediate</v>
      </c>
      <c r="AB2" s="291"/>
      <c r="AC2" s="291"/>
      <c r="AD2" s="291"/>
      <c r="AE2" s="291"/>
      <c r="AF2" s="291"/>
      <c r="AH2" s="291" t="str">
        <f>'Normalized Annual Summary'!AN2</f>
        <v>Large Use</v>
      </c>
      <c r="AI2" s="291"/>
      <c r="AJ2" s="291"/>
      <c r="AK2" s="291"/>
      <c r="AL2" s="291"/>
      <c r="AM2" s="291"/>
      <c r="AO2" s="291" t="str">
        <f>'Normalized Annual Summary'!AY2</f>
        <v>Large Use - 3TS</v>
      </c>
      <c r="AP2" s="291"/>
      <c r="AQ2" s="291"/>
      <c r="AR2" s="291"/>
      <c r="AS2" s="291"/>
      <c r="AT2" s="291"/>
      <c r="AV2" s="291" t="str">
        <f>'Normalized Annual Summary'!BH2</f>
        <v>Large Use - FA</v>
      </c>
      <c r="AW2" s="291"/>
      <c r="AX2" s="291"/>
      <c r="AY2" s="291"/>
      <c r="AZ2" s="291"/>
      <c r="BA2" s="291"/>
      <c r="BC2" s="290" t="str">
        <f>'Normalized Annual Summary'!BP2</f>
        <v>Street Light</v>
      </c>
      <c r="BD2" s="290"/>
      <c r="BE2" s="290"/>
      <c r="BF2" s="290"/>
      <c r="BG2" s="290"/>
      <c r="BH2" s="290"/>
      <c r="BJ2" s="290" t="str">
        <f>'Normalized Annual Summary'!BV2</f>
        <v>Sentinel</v>
      </c>
      <c r="BK2" s="290"/>
      <c r="BL2" s="290"/>
      <c r="BM2" s="290"/>
      <c r="BN2" s="290"/>
      <c r="BO2" s="290"/>
      <c r="BQ2" s="290" t="str">
        <f>'Normalized Annual Summary'!CB2</f>
        <v>USL</v>
      </c>
      <c r="BR2" s="290"/>
      <c r="BS2" s="290"/>
      <c r="BT2" s="290"/>
    </row>
    <row r="3" spans="2:72" s="127" customFormat="1">
      <c r="D3" s="290" t="s">
        <v>174</v>
      </c>
      <c r="E3" s="290"/>
      <c r="F3" s="290" t="s">
        <v>183</v>
      </c>
      <c r="G3" s="290"/>
      <c r="H3" s="176"/>
      <c r="K3" s="290" t="s">
        <v>174</v>
      </c>
      <c r="L3" s="290"/>
      <c r="P3" s="290" t="s">
        <v>174</v>
      </c>
      <c r="Q3" s="290"/>
      <c r="V3" s="290" t="s">
        <v>174</v>
      </c>
      <c r="W3" s="290"/>
      <c r="X3" s="290" t="s">
        <v>183</v>
      </c>
      <c r="Y3" s="290"/>
      <c r="AC3" s="290" t="s">
        <v>174</v>
      </c>
      <c r="AD3" s="290"/>
      <c r="AE3" s="290" t="s">
        <v>183</v>
      </c>
      <c r="AF3" s="290"/>
      <c r="AJ3" s="290" t="s">
        <v>174</v>
      </c>
      <c r="AK3" s="290"/>
      <c r="AL3" s="290" t="s">
        <v>183</v>
      </c>
      <c r="AM3" s="290"/>
      <c r="AQ3" s="290" t="s">
        <v>174</v>
      </c>
      <c r="AR3" s="290"/>
      <c r="AS3" s="290" t="s">
        <v>183</v>
      </c>
      <c r="AT3" s="290"/>
      <c r="AX3" s="290" t="s">
        <v>174</v>
      </c>
      <c r="AY3" s="290"/>
      <c r="AZ3" s="290" t="s">
        <v>183</v>
      </c>
      <c r="BA3" s="290"/>
      <c r="BE3" s="290" t="s">
        <v>174</v>
      </c>
      <c r="BF3" s="290"/>
      <c r="BG3" s="290" t="s">
        <v>183</v>
      </c>
      <c r="BH3" s="290"/>
      <c r="BL3" s="290" t="s">
        <v>174</v>
      </c>
      <c r="BM3" s="290"/>
      <c r="BN3" s="290" t="s">
        <v>183</v>
      </c>
      <c r="BO3" s="290"/>
      <c r="BS3" s="290" t="s">
        <v>174</v>
      </c>
      <c r="BT3" s="290"/>
    </row>
    <row r="4" spans="2:72" ht="25.5" customHeight="1">
      <c r="B4" s="161" t="s">
        <v>124</v>
      </c>
      <c r="C4" s="180" t="s">
        <v>199</v>
      </c>
      <c r="D4" s="161" t="s">
        <v>150</v>
      </c>
      <c r="E4" s="180" t="s">
        <v>248</v>
      </c>
      <c r="F4" s="161" t="s">
        <v>150</v>
      </c>
      <c r="G4" s="180" t="s">
        <v>248</v>
      </c>
      <c r="H4" s="180"/>
      <c r="I4" s="161" t="s">
        <v>124</v>
      </c>
      <c r="J4" s="161" t="s">
        <v>146</v>
      </c>
      <c r="K4" s="161" t="s">
        <v>150</v>
      </c>
      <c r="L4" s="180" t="s">
        <v>248</v>
      </c>
      <c r="N4" s="161" t="s">
        <v>124</v>
      </c>
      <c r="O4" s="161" t="s">
        <v>146</v>
      </c>
      <c r="P4" s="161" t="s">
        <v>150</v>
      </c>
      <c r="Q4" s="180" t="s">
        <v>248</v>
      </c>
      <c r="T4" s="161" t="s">
        <v>124</v>
      </c>
      <c r="U4" s="161" t="s">
        <v>146</v>
      </c>
      <c r="V4" s="161" t="s">
        <v>150</v>
      </c>
      <c r="W4" s="180" t="s">
        <v>248</v>
      </c>
      <c r="X4" s="161" t="s">
        <v>150</v>
      </c>
      <c r="Y4" s="180" t="s">
        <v>248</v>
      </c>
      <c r="AA4" s="161" t="s">
        <v>124</v>
      </c>
      <c r="AB4" s="161" t="s">
        <v>146</v>
      </c>
      <c r="AC4" s="161" t="s">
        <v>150</v>
      </c>
      <c r="AD4" s="180" t="s">
        <v>248</v>
      </c>
      <c r="AE4" s="161" t="s">
        <v>150</v>
      </c>
      <c r="AF4" s="180" t="s">
        <v>248</v>
      </c>
      <c r="AH4" s="161" t="s">
        <v>124</v>
      </c>
      <c r="AI4" s="161" t="s">
        <v>146</v>
      </c>
      <c r="AJ4" s="161" t="s">
        <v>150</v>
      </c>
      <c r="AK4" s="180" t="s">
        <v>248</v>
      </c>
      <c r="AL4" s="161" t="s">
        <v>150</v>
      </c>
      <c r="AM4" s="180" t="s">
        <v>248</v>
      </c>
      <c r="AO4" s="161" t="s">
        <v>124</v>
      </c>
      <c r="AP4" s="161" t="s">
        <v>146</v>
      </c>
      <c r="AQ4" s="161" t="s">
        <v>150</v>
      </c>
      <c r="AR4" s="180" t="s">
        <v>248</v>
      </c>
      <c r="AS4" s="161" t="s">
        <v>150</v>
      </c>
      <c r="AT4" s="180" t="s">
        <v>248</v>
      </c>
      <c r="AV4" s="161" t="s">
        <v>124</v>
      </c>
      <c r="AW4" s="161" t="s">
        <v>146</v>
      </c>
      <c r="AX4" s="161" t="s">
        <v>150</v>
      </c>
      <c r="AY4" s="180" t="s">
        <v>248</v>
      </c>
      <c r="AZ4" s="161" t="s">
        <v>150</v>
      </c>
      <c r="BA4" s="180" t="s">
        <v>248</v>
      </c>
      <c r="BC4" s="161" t="s">
        <v>124</v>
      </c>
      <c r="BD4" s="161" t="s">
        <v>147</v>
      </c>
      <c r="BE4" s="161" t="s">
        <v>150</v>
      </c>
      <c r="BF4" s="180" t="s">
        <v>248</v>
      </c>
      <c r="BG4" s="161" t="s">
        <v>150</v>
      </c>
      <c r="BH4" s="180" t="s">
        <v>248</v>
      </c>
      <c r="BJ4" s="161" t="s">
        <v>124</v>
      </c>
      <c r="BK4" s="161" t="s">
        <v>147</v>
      </c>
      <c r="BL4" s="161" t="s">
        <v>150</v>
      </c>
      <c r="BM4" s="180" t="s">
        <v>248</v>
      </c>
      <c r="BN4" s="161" t="s">
        <v>150</v>
      </c>
      <c r="BO4" s="180" t="s">
        <v>248</v>
      </c>
      <c r="BQ4" s="161" t="s">
        <v>124</v>
      </c>
      <c r="BR4" s="161" t="s">
        <v>147</v>
      </c>
      <c r="BS4" s="161" t="s">
        <v>150</v>
      </c>
      <c r="BT4" s="180" t="s">
        <v>248</v>
      </c>
    </row>
    <row r="5" spans="2:72">
      <c r="B5" s="127">
        <v>2009</v>
      </c>
      <c r="C5" s="177">
        <f t="shared" ref="C5:C16" si="0">J5+O5+U5+AB5+AI5+AP5+AW5+BD5+BK5+BR5</f>
        <v>109429.75</v>
      </c>
      <c r="D5" s="177">
        <f t="shared" ref="D5:E15" ca="1" si="1">K5+P5+V5+AC5+AJ5+AQ5+AX5+BE5+BL5+BS5</f>
        <v>2381532328.7215962</v>
      </c>
      <c r="E5" s="177">
        <f t="shared" ca="1" si="1"/>
        <v>2459288677.7222381</v>
      </c>
      <c r="F5" s="179">
        <f t="shared" ref="F5:F13" si="2">X5+AE5+AL5+AS5+AZ5+BG5+BN5</f>
        <v>3977324.834671</v>
      </c>
      <c r="G5" s="179">
        <f t="shared" ref="G5:G16" ca="1" si="3">Y5+AF5+AM5+AT5+BA5+BH5+BO5</f>
        <v>4078821.9284135206</v>
      </c>
      <c r="H5" s="155"/>
      <c r="I5">
        <v>2009</v>
      </c>
      <c r="J5" s="177">
        <f>'Connection count '!C4</f>
        <v>76419</v>
      </c>
      <c r="K5" s="177">
        <f>'Normalized Annual Summary'!C5</f>
        <v>604635108.51263404</v>
      </c>
      <c r="L5" s="177">
        <f ca="1">'Normalized Annual Summary'!I5</f>
        <v>630707544.76267982</v>
      </c>
      <c r="N5" s="127">
        <v>2009</v>
      </c>
      <c r="O5" s="177">
        <f>'Connection count '!G4</f>
        <v>6970.25</v>
      </c>
      <c r="P5" s="177">
        <f>'Normalized Annual Summary'!L5</f>
        <v>220940436.27633598</v>
      </c>
      <c r="Q5" s="177">
        <f ca="1">'Normalized Annual Summary'!R5</f>
        <v>229541720.0122458</v>
      </c>
      <c r="T5" s="127">
        <v>2009</v>
      </c>
      <c r="U5" s="177">
        <f>'Connection count '!K4</f>
        <v>1175.5</v>
      </c>
      <c r="V5" s="177">
        <f>'Normalized Annual Summary'!U5</f>
        <v>906614904.72799397</v>
      </c>
      <c r="W5" s="177">
        <f ca="1">'Normalized Annual Summary'!AB5</f>
        <v>929123775.81219018</v>
      </c>
      <c r="X5" s="179">
        <f>'kW Forecast'!G5</f>
        <v>2411400.2173879999</v>
      </c>
      <c r="Y5" s="155">
        <f ca="1">'kW Forecast'!D24</f>
        <v>2471268.9624775965</v>
      </c>
      <c r="AA5" s="127">
        <v>2009</v>
      </c>
      <c r="AB5" s="177">
        <f>'Connection count '!O4</f>
        <v>3</v>
      </c>
      <c r="AC5" s="177">
        <f>'Normalized Annual Summary'!AE5</f>
        <v>51306801.944982</v>
      </c>
      <c r="AD5" s="177">
        <f t="shared" ref="AD5:AD13" si="4">AC5</f>
        <v>51306801.944982</v>
      </c>
      <c r="AE5" s="179">
        <f>'kW Forecast'!K5</f>
        <v>130057.313337</v>
      </c>
      <c r="AF5" s="155">
        <f>AE5</f>
        <v>130057.313337</v>
      </c>
      <c r="AH5" s="127">
        <v>2009</v>
      </c>
      <c r="AI5" s="177">
        <f>'Connection count '!S4</f>
        <v>6</v>
      </c>
      <c r="AJ5" s="177">
        <f>'Normalized Annual Summary'!AN5</f>
        <v>271865804.30218202</v>
      </c>
      <c r="AK5" s="177">
        <f ca="1">'Normalized Annual Summary'!AV5</f>
        <v>292439562.23267168</v>
      </c>
      <c r="AL5" s="179">
        <f>'kW Forecast'!Q5</f>
        <v>550085.43050499994</v>
      </c>
      <c r="AM5" s="179">
        <f ca="1">'kW Forecast'!Q24</f>
        <v>591713.7791579247</v>
      </c>
      <c r="AO5" s="127">
        <v>2009</v>
      </c>
      <c r="AP5" s="177">
        <f>'Connection count '!W4</f>
        <v>3</v>
      </c>
      <c r="AQ5" s="177">
        <f ca="1">'Normalized Annual Summary'!AY5</f>
        <v>253823156.07115111</v>
      </c>
      <c r="AR5" s="177">
        <f t="shared" ref="AR5:AR13" ca="1" si="5">AQ5</f>
        <v>253823156.07115111</v>
      </c>
      <c r="AS5" s="179">
        <f>'kW Forecast'!W5</f>
        <v>739222.92477000004</v>
      </c>
      <c r="AT5" s="155">
        <f>AS5</f>
        <v>739222.92477000004</v>
      </c>
      <c r="AV5" s="127">
        <v>2009</v>
      </c>
      <c r="AW5" s="177">
        <f>'Connection count '!AA4</f>
        <v>1</v>
      </c>
      <c r="AX5" s="177">
        <f>'Normalized Annual Summary'!BH5</f>
        <v>50208448.727770001</v>
      </c>
      <c r="AY5" s="177">
        <f t="shared" ref="AY5:AY13" si="6">AX5</f>
        <v>50208448.727770001</v>
      </c>
      <c r="AZ5" s="179">
        <f>'kW Forecast'!AC5</f>
        <v>95070.414779999992</v>
      </c>
      <c r="BA5" s="155">
        <f t="shared" ref="BA5:BA13" si="7">AZ5</f>
        <v>95070.414779999992</v>
      </c>
      <c r="BC5" s="127">
        <v>2009</v>
      </c>
      <c r="BD5" s="177">
        <f>'Connection count '!AE4</f>
        <v>23421</v>
      </c>
      <c r="BE5" s="177">
        <f>'Normalized Annual Summary'!BQ5</f>
        <v>16930327.966194</v>
      </c>
      <c r="BF5" s="177">
        <f t="shared" ref="BF5:BF12" si="8">BE5</f>
        <v>16930327.966194</v>
      </c>
      <c r="BG5" s="179">
        <f>'kW Forecast'!AI5</f>
        <v>48739.06</v>
      </c>
      <c r="BH5" s="155">
        <f t="shared" ref="BH5:BH13" si="9">BG5</f>
        <v>48739.06</v>
      </c>
      <c r="BJ5" s="127">
        <v>2009</v>
      </c>
      <c r="BK5" s="177">
        <f>'Connection count '!AI4</f>
        <v>668.5</v>
      </c>
      <c r="BL5" s="177">
        <f>'Normalized Annual Summary'!BW5</f>
        <v>992473.34792500013</v>
      </c>
      <c r="BM5" s="177">
        <f>'Normalized Annual Summary'!BZ5</f>
        <v>992473.34792500013</v>
      </c>
      <c r="BN5" s="179">
        <f>'kW Forecast'!AO5</f>
        <v>2749.4738910000001</v>
      </c>
      <c r="BO5" s="155">
        <f t="shared" ref="BO5:BO13" si="10">BN5</f>
        <v>2749.4738910000001</v>
      </c>
      <c r="BQ5" s="127">
        <v>2009</v>
      </c>
      <c r="BR5" s="177">
        <f>'Connection count '!AM4</f>
        <v>762.5</v>
      </c>
      <c r="BS5" s="177">
        <f>'Normalized Annual Summary'!CC5</f>
        <v>4214866.844428001</v>
      </c>
      <c r="BT5" s="177">
        <f>'Normalized Annual Summary'!CF5</f>
        <v>4214866.844428001</v>
      </c>
    </row>
    <row r="6" spans="2:72">
      <c r="B6" s="127">
        <v>2010</v>
      </c>
      <c r="C6" s="177">
        <f t="shared" si="0"/>
        <v>109626.75</v>
      </c>
      <c r="D6" s="177">
        <f t="shared" ca="1" si="1"/>
        <v>2521864889.5895662</v>
      </c>
      <c r="E6" s="177">
        <f t="shared" ca="1" si="1"/>
        <v>2500017178.1672554</v>
      </c>
      <c r="F6" s="179">
        <f t="shared" si="2"/>
        <v>3970852.5949090002</v>
      </c>
      <c r="G6" s="179">
        <f t="shared" ca="1" si="3"/>
        <v>3954081.7621783977</v>
      </c>
      <c r="H6" s="155"/>
      <c r="I6" s="127">
        <v>2010</v>
      </c>
      <c r="J6" s="177">
        <f>'Connection count '!C5</f>
        <v>76604.75</v>
      </c>
      <c r="K6" s="177">
        <f>'Normalized Annual Summary'!C6</f>
        <v>647490324.95962501</v>
      </c>
      <c r="L6" s="177">
        <f ca="1">'Normalized Annual Summary'!I6</f>
        <v>632311051.50082684</v>
      </c>
      <c r="N6" s="127">
        <v>2010</v>
      </c>
      <c r="O6" s="177">
        <f>'Connection count '!G5</f>
        <v>6948</v>
      </c>
      <c r="P6" s="177">
        <f>'Normalized Annual Summary'!L6</f>
        <v>223232845.52965501</v>
      </c>
      <c r="Q6" s="177">
        <f ca="1">'Normalized Annual Summary'!R6</f>
        <v>222953244.89558995</v>
      </c>
      <c r="T6" s="127">
        <v>2010</v>
      </c>
      <c r="U6" s="177">
        <f>'Connection count '!K5</f>
        <v>1188.5</v>
      </c>
      <c r="V6" s="177">
        <f>'Normalized Annual Summary'!U6</f>
        <v>943095058.82937098</v>
      </c>
      <c r="W6" s="177">
        <f ca="1">'Normalized Annual Summary'!AB6</f>
        <v>935985192.15703523</v>
      </c>
      <c r="X6" s="179">
        <f>'kW Forecast'!G6</f>
        <v>2412320.5319020003</v>
      </c>
      <c r="Y6" s="155">
        <f ca="1">'kW Forecast'!D25</f>
        <v>2394134.3722013542</v>
      </c>
      <c r="AA6" s="127">
        <v>2010</v>
      </c>
      <c r="AB6" s="177">
        <f>'Connection count '!O5</f>
        <v>3</v>
      </c>
      <c r="AC6" s="177">
        <f>'Normalized Annual Summary'!AE6</f>
        <v>49071887.882886</v>
      </c>
      <c r="AD6" s="177">
        <f t="shared" si="4"/>
        <v>49071887.882886</v>
      </c>
      <c r="AE6" s="179">
        <f>'kW Forecast'!K6</f>
        <v>130265.67708899999</v>
      </c>
      <c r="AF6" s="155">
        <f t="shared" ref="AF6:AF14" si="11">AE6</f>
        <v>130265.67708899999</v>
      </c>
      <c r="AH6" s="127">
        <v>2010</v>
      </c>
      <c r="AI6" s="177">
        <f>'Connection count '!S5</f>
        <v>6</v>
      </c>
      <c r="AJ6" s="177">
        <f>'Normalized Annual Summary'!AN6</f>
        <v>295089951.25607103</v>
      </c>
      <c r="AK6" s="177">
        <f ca="1">'Normalized Annual Summary'!AV6</f>
        <v>295810980.59895909</v>
      </c>
      <c r="AL6" s="179">
        <f>'kW Forecast'!Q6</f>
        <v>579239.62557300006</v>
      </c>
      <c r="AM6" s="179">
        <f ca="1">'kW Forecast'!Q25</f>
        <v>580654.95254304376</v>
      </c>
      <c r="AO6" s="127">
        <v>2010</v>
      </c>
      <c r="AP6" s="177">
        <f>'Connection count '!W5</f>
        <v>3</v>
      </c>
      <c r="AQ6" s="177">
        <f ca="1">'Normalized Annual Summary'!AY6</f>
        <v>287197655.7575056</v>
      </c>
      <c r="AR6" s="177">
        <f t="shared" ca="1" si="5"/>
        <v>287197655.7575056</v>
      </c>
      <c r="AS6" s="179">
        <f>'kW Forecast'!W6</f>
        <v>698063.14066499996</v>
      </c>
      <c r="AT6" s="155">
        <f t="shared" ref="AT6:AT13" si="12">AS6</f>
        <v>698063.14066499996</v>
      </c>
      <c r="AV6" s="127">
        <v>2010</v>
      </c>
      <c r="AW6" s="177">
        <f>'Connection count '!AA5</f>
        <v>1</v>
      </c>
      <c r="AX6" s="177">
        <f>'Normalized Annual Summary'!BH6</f>
        <v>54756020.297367997</v>
      </c>
      <c r="AY6" s="177">
        <f t="shared" si="6"/>
        <v>54756020.297367997</v>
      </c>
      <c r="AZ6" s="179">
        <f>'kW Forecast'!AC6</f>
        <v>99529.309439999997</v>
      </c>
      <c r="BA6" s="155">
        <f t="shared" si="7"/>
        <v>99529.309439999997</v>
      </c>
      <c r="BC6" s="127">
        <v>2010</v>
      </c>
      <c r="BD6" s="177">
        <f>'Connection count '!AE5</f>
        <v>23436.25</v>
      </c>
      <c r="BE6" s="177">
        <f>'Normalized Annual Summary'!BQ6</f>
        <v>16997068.557570998</v>
      </c>
      <c r="BF6" s="177">
        <f t="shared" si="8"/>
        <v>16997068.557570998</v>
      </c>
      <c r="BG6" s="179">
        <f>'kW Forecast'!AI6</f>
        <v>48810.080000000009</v>
      </c>
      <c r="BH6" s="155">
        <f t="shared" si="9"/>
        <v>48810.080000000009</v>
      </c>
      <c r="BJ6" s="127">
        <v>2010</v>
      </c>
      <c r="BK6" s="177">
        <f>'Connection count '!AI5</f>
        <v>666.5</v>
      </c>
      <c r="BL6" s="177">
        <f>'Normalized Annual Summary'!BW6</f>
        <v>953516.90303800011</v>
      </c>
      <c r="BM6" s="177">
        <f>'Normalized Annual Summary'!BZ6</f>
        <v>953516.90303800011</v>
      </c>
      <c r="BN6" s="179">
        <f>'kW Forecast'!AO6</f>
        <v>2624.2302400000003</v>
      </c>
      <c r="BO6" s="155">
        <f t="shared" si="10"/>
        <v>2624.2302400000003</v>
      </c>
      <c r="BQ6" s="127">
        <v>2010</v>
      </c>
      <c r="BR6" s="177">
        <f>'Connection count '!AM5</f>
        <v>769.75</v>
      </c>
      <c r="BS6" s="177">
        <f>'Normalized Annual Summary'!CC6</f>
        <v>3980559.6164759998</v>
      </c>
      <c r="BT6" s="177">
        <f>'Normalized Annual Summary'!CF6</f>
        <v>3980559.6164759998</v>
      </c>
    </row>
    <row r="7" spans="2:72">
      <c r="B7" s="127">
        <v>2011</v>
      </c>
      <c r="C7" s="177">
        <f t="shared" si="0"/>
        <v>109749.75</v>
      </c>
      <c r="D7" s="177">
        <f t="shared" ca="1" si="1"/>
        <v>2503962652.866323</v>
      </c>
      <c r="E7" s="177">
        <f t="shared" ca="1" si="1"/>
        <v>2467780174.4131336</v>
      </c>
      <c r="F7" s="179">
        <f t="shared" si="2"/>
        <v>3868961.1708919997</v>
      </c>
      <c r="G7" s="179">
        <f t="shared" ca="1" si="3"/>
        <v>3863954.8915121597</v>
      </c>
      <c r="H7" s="155"/>
      <c r="I7" s="127">
        <v>2011</v>
      </c>
      <c r="J7" s="177">
        <f>'Connection count '!C6</f>
        <v>76747</v>
      </c>
      <c r="K7" s="177">
        <f>'Normalized Annual Summary'!C7</f>
        <v>636991610.62298107</v>
      </c>
      <c r="L7" s="177">
        <f ca="1">'Normalized Annual Summary'!I7</f>
        <v>628669706.03569293</v>
      </c>
      <c r="N7" s="127">
        <v>2011</v>
      </c>
      <c r="O7" s="177">
        <f>'Connection count '!G6</f>
        <v>6929</v>
      </c>
      <c r="P7" s="177">
        <f>'Normalized Annual Summary'!L7</f>
        <v>218915071.69101101</v>
      </c>
      <c r="Q7" s="177">
        <f ca="1">'Normalized Annual Summary'!R7</f>
        <v>217664155.39898863</v>
      </c>
      <c r="T7" s="127">
        <v>2011</v>
      </c>
      <c r="U7" s="177">
        <f>'Connection count '!K6</f>
        <v>1195</v>
      </c>
      <c r="V7" s="177">
        <f>'Normalized Annual Summary'!U7</f>
        <v>949533128.04511392</v>
      </c>
      <c r="W7" s="177">
        <f ca="1">'Normalized Annual Summary'!AB7</f>
        <v>943202745.34213531</v>
      </c>
      <c r="X7" s="179">
        <f>'kW Forecast'!G7</f>
        <v>2435756.5519919996</v>
      </c>
      <c r="Y7" s="155">
        <f ca="1">'kW Forecast'!D26</f>
        <v>2443346.8134151245</v>
      </c>
      <c r="AA7" s="127">
        <v>2011</v>
      </c>
      <c r="AB7" s="177">
        <f>'Connection count '!O6</f>
        <v>3</v>
      </c>
      <c r="AC7" s="177">
        <f>'Normalized Annual Summary'!AE7</f>
        <v>48794571.150462002</v>
      </c>
      <c r="AD7" s="177">
        <f t="shared" si="4"/>
        <v>48794571.150462002</v>
      </c>
      <c r="AE7" s="179">
        <f>'kW Forecast'!K7</f>
        <v>130751.70967799998</v>
      </c>
      <c r="AF7" s="155">
        <f t="shared" si="11"/>
        <v>130751.70967799998</v>
      </c>
      <c r="AH7" s="127">
        <v>2011</v>
      </c>
      <c r="AI7" s="177">
        <f>'Connection count '!S6</f>
        <v>6</v>
      </c>
      <c r="AJ7" s="177">
        <f>'Normalized Annual Summary'!AN7</f>
        <v>320621511.326684</v>
      </c>
      <c r="AK7" s="177">
        <f ca="1">'Normalized Annual Summary'!AV7</f>
        <v>300342236.45578402</v>
      </c>
      <c r="AL7" s="179">
        <f>'kW Forecast'!Q7</f>
        <v>598591.04917000001</v>
      </c>
      <c r="AM7" s="179">
        <f ca="1">'kW Forecast'!Q26</f>
        <v>585994.50836703542</v>
      </c>
      <c r="AO7" s="127">
        <v>2011</v>
      </c>
      <c r="AP7" s="177">
        <f>'Connection count '!W6</f>
        <v>3</v>
      </c>
      <c r="AQ7" s="177">
        <f ca="1">'Normalized Annual Summary'!AY7</f>
        <v>265542337.9138996</v>
      </c>
      <c r="AR7" s="177">
        <f t="shared" ca="1" si="5"/>
        <v>265542337.9138996</v>
      </c>
      <c r="AS7" s="179">
        <f>'kW Forecast'!W7</f>
        <v>574891.871697</v>
      </c>
      <c r="AT7" s="155">
        <f t="shared" si="12"/>
        <v>574891.871697</v>
      </c>
      <c r="AV7" s="127">
        <v>2011</v>
      </c>
      <c r="AW7" s="177">
        <f>'Connection count '!AA6</f>
        <v>1</v>
      </c>
      <c r="AX7" s="177">
        <f>'Normalized Annual Summary'!BH7</f>
        <v>41936988.305069</v>
      </c>
      <c r="AY7" s="177">
        <f t="shared" si="6"/>
        <v>41936988.305069</v>
      </c>
      <c r="AZ7" s="179">
        <f>'kW Forecast'!AC7</f>
        <v>77154.613469999997</v>
      </c>
      <c r="BA7" s="155">
        <f t="shared" si="7"/>
        <v>77154.613469999997</v>
      </c>
      <c r="BC7" s="127">
        <v>2011</v>
      </c>
      <c r="BD7" s="177">
        <f>'Connection count '!AE6</f>
        <v>23411</v>
      </c>
      <c r="BE7" s="177">
        <f>'Normalized Annual Summary'!BQ7</f>
        <v>17061700.853792001</v>
      </c>
      <c r="BF7" s="177">
        <f t="shared" si="8"/>
        <v>17061700.853792001</v>
      </c>
      <c r="BG7" s="179">
        <f>'kW Forecast'!AI7</f>
        <v>49249.500000000007</v>
      </c>
      <c r="BH7" s="155">
        <f t="shared" si="9"/>
        <v>49249.500000000007</v>
      </c>
      <c r="BJ7" s="127">
        <v>2011</v>
      </c>
      <c r="BK7" s="177">
        <f>'Connection count '!AI6</f>
        <v>662</v>
      </c>
      <c r="BL7" s="177">
        <f>'Normalized Annual Summary'!BW7</f>
        <v>908472.8439770001</v>
      </c>
      <c r="BM7" s="177">
        <f>'Normalized Annual Summary'!BZ7</f>
        <v>908472.8439770001</v>
      </c>
      <c r="BN7" s="179">
        <f>'kW Forecast'!AO7</f>
        <v>2565.8748849999997</v>
      </c>
      <c r="BO7" s="155">
        <f t="shared" si="10"/>
        <v>2565.8748849999997</v>
      </c>
      <c r="BQ7" s="127">
        <v>2011</v>
      </c>
      <c r="BR7" s="177">
        <f>'Connection count '!AM6</f>
        <v>792.75</v>
      </c>
      <c r="BS7" s="177">
        <f>'Normalized Annual Summary'!CC7</f>
        <v>3657260.1133329999</v>
      </c>
      <c r="BT7" s="177">
        <f>'Normalized Annual Summary'!CF7</f>
        <v>3657260.1133329999</v>
      </c>
    </row>
    <row r="8" spans="2:72">
      <c r="B8" s="127">
        <v>2012</v>
      </c>
      <c r="C8" s="177">
        <f t="shared" si="0"/>
        <v>110025.25</v>
      </c>
      <c r="D8" s="177">
        <f t="shared" ca="1" si="1"/>
        <v>2487666883.4758096</v>
      </c>
      <c r="E8" s="177">
        <f t="shared" ca="1" si="1"/>
        <v>2483367967.1423178</v>
      </c>
      <c r="F8" s="179">
        <f t="shared" si="2"/>
        <v>3814750.2031589998</v>
      </c>
      <c r="G8" s="179">
        <f t="shared" ca="1" si="3"/>
        <v>3806906.0189367714</v>
      </c>
      <c r="H8" s="155"/>
      <c r="I8" s="127">
        <v>2012</v>
      </c>
      <c r="J8" s="177">
        <f>'Connection count '!C7</f>
        <v>77099</v>
      </c>
      <c r="K8" s="177">
        <f>'Normalized Annual Summary'!C8</f>
        <v>631309635.844643</v>
      </c>
      <c r="L8" s="177">
        <f ca="1">'Normalized Annual Summary'!I8</f>
        <v>627043886.20637274</v>
      </c>
      <c r="N8" s="127">
        <v>2012</v>
      </c>
      <c r="O8" s="177">
        <f>'Connection count '!G7</f>
        <v>6922</v>
      </c>
      <c r="P8" s="177">
        <f>'Normalized Annual Summary'!L8</f>
        <v>216236228.69367602</v>
      </c>
      <c r="Q8" s="177">
        <f ca="1">'Normalized Annual Summary'!R8</f>
        <v>216136535.17555362</v>
      </c>
      <c r="T8" s="127">
        <v>2012</v>
      </c>
      <c r="U8" s="177">
        <f>'Connection count '!K7</f>
        <v>1179.25</v>
      </c>
      <c r="V8" s="177">
        <f>'Normalized Annual Summary'!U8</f>
        <v>941638530.06494999</v>
      </c>
      <c r="W8" s="177">
        <f ca="1">'Normalized Annual Summary'!AB8</f>
        <v>945538430.0325526</v>
      </c>
      <c r="X8" s="179">
        <f>'kW Forecast'!G8</f>
        <v>2427537.8838569997</v>
      </c>
      <c r="Y8" s="155">
        <f ca="1">'kW Forecast'!D27</f>
        <v>2415708.3282324029</v>
      </c>
      <c r="AA8" s="127">
        <v>2012</v>
      </c>
      <c r="AB8" s="177">
        <f>'Connection count '!O7</f>
        <v>3</v>
      </c>
      <c r="AC8" s="177">
        <f>'Normalized Annual Summary'!AE8</f>
        <v>45768539.737902999</v>
      </c>
      <c r="AD8" s="177">
        <f t="shared" si="4"/>
        <v>45768539.737902999</v>
      </c>
      <c r="AE8" s="179">
        <f>'kW Forecast'!K8</f>
        <v>127750.54842900002</v>
      </c>
      <c r="AF8" s="155">
        <f t="shared" si="11"/>
        <v>127750.54842900002</v>
      </c>
      <c r="AH8" s="127">
        <v>2012</v>
      </c>
      <c r="AI8" s="177">
        <f>'Connection count '!S7</f>
        <v>6</v>
      </c>
      <c r="AJ8" s="177">
        <f>'Normalized Annual Summary'!AN8</f>
        <v>304746367.45815498</v>
      </c>
      <c r="AK8" s="177">
        <f ca="1">'Normalized Annual Summary'!AV8</f>
        <v>300912994.31345308</v>
      </c>
      <c r="AL8" s="179">
        <f>'kW Forecast'!Q8</f>
        <v>566690.59476599994</v>
      </c>
      <c r="AM8" s="179">
        <f ca="1">'kW Forecast'!Q27</f>
        <v>570675.966168368</v>
      </c>
      <c r="AO8" s="127">
        <v>2012</v>
      </c>
      <c r="AP8" s="177">
        <f>'Connection count '!W7</f>
        <v>2.5</v>
      </c>
      <c r="AQ8" s="177">
        <f ca="1">'Normalized Annual Summary'!AY8</f>
        <v>280858035.097938</v>
      </c>
      <c r="AR8" s="177">
        <f t="shared" ca="1" si="5"/>
        <v>280858035.097938</v>
      </c>
      <c r="AS8" s="179">
        <f>'kW Forecast'!W8</f>
        <v>559020.80044799997</v>
      </c>
      <c r="AT8" s="155">
        <f t="shared" si="12"/>
        <v>559020.80044799997</v>
      </c>
      <c r="AV8" s="127">
        <v>2012</v>
      </c>
      <c r="AW8" s="177">
        <f>'Connection count '!AA7</f>
        <v>1</v>
      </c>
      <c r="AX8" s="177">
        <f>'Normalized Annual Summary'!BH8</f>
        <v>45336838.931562997</v>
      </c>
      <c r="AY8" s="177">
        <f t="shared" si="6"/>
        <v>45336838.931562997</v>
      </c>
      <c r="AZ8" s="179">
        <f>'kW Forecast'!AC8</f>
        <v>81689.161949999994</v>
      </c>
      <c r="BA8" s="155">
        <f t="shared" si="7"/>
        <v>81689.161949999994</v>
      </c>
      <c r="BC8" s="127">
        <v>2012</v>
      </c>
      <c r="BD8" s="177">
        <f>'Connection count '!AE7</f>
        <v>23358</v>
      </c>
      <c r="BE8" s="177">
        <f>'Normalized Annual Summary'!BQ8</f>
        <v>17377866.278999001</v>
      </c>
      <c r="BF8" s="177">
        <f t="shared" si="8"/>
        <v>17377866.278999001</v>
      </c>
      <c r="BG8" s="179">
        <f>'kW Forecast'!AI8</f>
        <v>49565.55999999999</v>
      </c>
      <c r="BH8" s="155">
        <f t="shared" si="9"/>
        <v>49565.55999999999</v>
      </c>
      <c r="BJ8" s="127">
        <v>2012</v>
      </c>
      <c r="BK8" s="177">
        <f>'Connection count '!AI7</f>
        <v>660.5</v>
      </c>
      <c r="BL8" s="177">
        <f>'Normalized Annual Summary'!BW8</f>
        <v>908923.37890999997</v>
      </c>
      <c r="BM8" s="177">
        <f>'Normalized Annual Summary'!BZ8</f>
        <v>908923.37890999997</v>
      </c>
      <c r="BN8" s="179">
        <f>'kW Forecast'!AO8</f>
        <v>2495.6537090000002</v>
      </c>
      <c r="BO8" s="155">
        <f t="shared" si="10"/>
        <v>2495.6537090000002</v>
      </c>
      <c r="BQ8" s="127">
        <v>2012</v>
      </c>
      <c r="BR8" s="177">
        <f>'Connection count '!AM7</f>
        <v>794</v>
      </c>
      <c r="BS8" s="177">
        <f>'Normalized Annual Summary'!CC8</f>
        <v>3485917.9890729999</v>
      </c>
      <c r="BT8" s="177">
        <f>'Normalized Annual Summary'!CF8</f>
        <v>3485917.9890729995</v>
      </c>
    </row>
    <row r="9" spans="2:72">
      <c r="B9" s="127">
        <v>2013</v>
      </c>
      <c r="C9" s="177">
        <f t="shared" si="0"/>
        <v>110405.25</v>
      </c>
      <c r="D9" s="177">
        <f t="shared" ca="1" si="1"/>
        <v>2458205854.0067267</v>
      </c>
      <c r="E9" s="177">
        <f t="shared" ca="1" si="1"/>
        <v>2458279404.2913432</v>
      </c>
      <c r="F9" s="179">
        <f t="shared" si="2"/>
        <v>3916104.1489350004</v>
      </c>
      <c r="G9" s="179">
        <f t="shared" ca="1" si="3"/>
        <v>3809538.0735702086</v>
      </c>
      <c r="H9" s="155"/>
      <c r="I9" s="127">
        <v>2013</v>
      </c>
      <c r="J9" s="177">
        <f>'Connection count '!C8</f>
        <v>77452.25</v>
      </c>
      <c r="K9" s="177">
        <f>'Normalized Annual Summary'!C9</f>
        <v>617011740.79367626</v>
      </c>
      <c r="L9" s="177">
        <f ca="1">'Normalized Annual Summary'!I9</f>
        <v>621169656.37073529</v>
      </c>
      <c r="N9" s="127">
        <v>2013</v>
      </c>
      <c r="O9" s="177">
        <f>'Connection count '!G8</f>
        <v>6945.5</v>
      </c>
      <c r="P9" s="177">
        <f>'Normalized Annual Summary'!L9</f>
        <v>217023476.48367095</v>
      </c>
      <c r="Q9" s="177">
        <f ca="1">'Normalized Annual Summary'!R9</f>
        <v>212662556.97932491</v>
      </c>
      <c r="T9" s="127">
        <v>2013</v>
      </c>
      <c r="U9" s="177">
        <f>'Connection count '!K8</f>
        <v>1179.25</v>
      </c>
      <c r="V9" s="177">
        <f>'Normalized Annual Summary'!U9</f>
        <v>948224332.78106129</v>
      </c>
      <c r="W9" s="177">
        <f ca="1">'Normalized Annual Summary'!AB9</f>
        <v>942101798.42320251</v>
      </c>
      <c r="X9" s="179">
        <f>'kW Forecast'!G9</f>
        <v>2556408.0255070003</v>
      </c>
      <c r="Y9" s="155">
        <f ca="1">'kW Forecast'!D28</f>
        <v>2442786.0375756612</v>
      </c>
      <c r="AA9" s="127">
        <v>2013</v>
      </c>
      <c r="AB9" s="177">
        <f>'Connection count '!O8</f>
        <v>3</v>
      </c>
      <c r="AC9" s="177">
        <f>'Normalized Annual Summary'!AE9</f>
        <v>45666584.426196001</v>
      </c>
      <c r="AD9" s="177">
        <f t="shared" si="4"/>
        <v>45666584.426196001</v>
      </c>
      <c r="AE9" s="179">
        <f>'kW Forecast'!K9</f>
        <v>129021.099858</v>
      </c>
      <c r="AF9" s="155">
        <f t="shared" si="11"/>
        <v>129021.099858</v>
      </c>
      <c r="AH9" s="127">
        <v>2013</v>
      </c>
      <c r="AI9" s="177">
        <f>'Connection count '!S8</f>
        <v>6</v>
      </c>
      <c r="AJ9" s="177">
        <f>'Normalized Annual Summary'!AN9</f>
        <v>295185913.80554301</v>
      </c>
      <c r="AK9" s="177">
        <f ca="1">'Normalized Annual Summary'!AV9</f>
        <v>301585002.37530524</v>
      </c>
      <c r="AL9" s="179">
        <f>'kW Forecast'!Q9</f>
        <v>557388.87657400011</v>
      </c>
      <c r="AM9" s="179">
        <f ca="1">'kW Forecast'!Q28</f>
        <v>564444.78914054786</v>
      </c>
      <c r="AO9" s="127">
        <v>2013</v>
      </c>
      <c r="AP9" s="177">
        <f>'Connection count '!W8</f>
        <v>2</v>
      </c>
      <c r="AQ9" s="177">
        <f ca="1">'Normalized Annual Summary'!AY9</f>
        <v>265541554.24181503</v>
      </c>
      <c r="AR9" s="177">
        <f t="shared" ca="1" si="5"/>
        <v>265541554.24181503</v>
      </c>
      <c r="AS9" s="179">
        <f>'kW Forecast'!W9</f>
        <v>535816.2171779999</v>
      </c>
      <c r="AT9" s="155">
        <f t="shared" si="12"/>
        <v>535816.2171779999</v>
      </c>
      <c r="AV9" s="127">
        <v>2013</v>
      </c>
      <c r="AW9" s="177">
        <f>'Connection count '!AA8</f>
        <v>1</v>
      </c>
      <c r="AX9" s="177">
        <f>'Normalized Annual Summary'!BH9</f>
        <v>48126674.812411003</v>
      </c>
      <c r="AY9" s="177">
        <f t="shared" si="6"/>
        <v>48126674.812411003</v>
      </c>
      <c r="AZ9" s="179">
        <f>'kW Forecast'!AC9</f>
        <v>85550.828219999981</v>
      </c>
      <c r="BA9" s="155">
        <f t="shared" si="7"/>
        <v>85550.828219999981</v>
      </c>
      <c r="BC9" s="127">
        <v>2013</v>
      </c>
      <c r="BD9" s="177">
        <f>'Connection count '!AE8</f>
        <v>23385.5</v>
      </c>
      <c r="BE9" s="177">
        <f>'Normalized Annual Summary'!BQ9</f>
        <v>17283102.442827001</v>
      </c>
      <c r="BF9" s="177">
        <f t="shared" si="8"/>
        <v>17283102.442827001</v>
      </c>
      <c r="BG9" s="179">
        <f>'kW Forecast'!AI9</f>
        <v>49480.340000000004</v>
      </c>
      <c r="BH9" s="155">
        <f t="shared" si="9"/>
        <v>49480.340000000004</v>
      </c>
      <c r="BJ9" s="127">
        <v>2013</v>
      </c>
      <c r="BK9" s="177">
        <f>'Connection count '!AI8</f>
        <v>641.25</v>
      </c>
      <c r="BL9" s="177">
        <f>'Normalized Annual Summary'!BW9</f>
        <v>887747.77032600006</v>
      </c>
      <c r="BM9" s="177">
        <f>'Normalized Annual Summary'!BZ9</f>
        <v>887747.77032600006</v>
      </c>
      <c r="BN9" s="179">
        <f>'kW Forecast'!AO9</f>
        <v>2438.761598</v>
      </c>
      <c r="BO9" s="155">
        <f t="shared" si="10"/>
        <v>2438.761598</v>
      </c>
      <c r="BQ9" s="127">
        <v>2013</v>
      </c>
      <c r="BR9" s="177">
        <f>'Connection count '!AM8</f>
        <v>789.5</v>
      </c>
      <c r="BS9" s="177">
        <f>'Normalized Annual Summary'!CC9</f>
        <v>3254726.4492000006</v>
      </c>
      <c r="BT9" s="177">
        <f>'Normalized Annual Summary'!CF9</f>
        <v>3254726.4492000001</v>
      </c>
    </row>
    <row r="10" spans="2:72">
      <c r="B10" s="127">
        <v>2014</v>
      </c>
      <c r="C10" s="177">
        <f t="shared" si="0"/>
        <v>111058.5</v>
      </c>
      <c r="D10" s="177">
        <f t="shared" ca="1" si="1"/>
        <v>2466527763.7403936</v>
      </c>
      <c r="E10" s="177">
        <f t="shared" ca="1" si="1"/>
        <v>2451958872.5127921</v>
      </c>
      <c r="F10" s="179">
        <f t="shared" si="2"/>
        <v>3719737.8785940004</v>
      </c>
      <c r="G10" s="179">
        <f t="shared" ca="1" si="3"/>
        <v>3760718.4498345251</v>
      </c>
      <c r="H10" s="155"/>
      <c r="I10" s="127">
        <v>2014</v>
      </c>
      <c r="J10" s="177">
        <f>'Connection count '!C9</f>
        <v>77949.5</v>
      </c>
      <c r="K10" s="177">
        <f>'Normalized Annual Summary'!C10</f>
        <v>598157531.45016491</v>
      </c>
      <c r="L10" s="177">
        <f ca="1">'Normalized Annual Summary'!I10</f>
        <v>617032791.81966138</v>
      </c>
      <c r="N10" s="127">
        <v>2014</v>
      </c>
      <c r="O10" s="177">
        <f>'Connection count '!G9</f>
        <v>7014</v>
      </c>
      <c r="P10" s="177">
        <f>'Normalized Annual Summary'!L10</f>
        <v>212401261.73789737</v>
      </c>
      <c r="Q10" s="177">
        <f ca="1">'Normalized Annual Summary'!R10</f>
        <v>209571368.222736</v>
      </c>
      <c r="T10" s="127">
        <v>2014</v>
      </c>
      <c r="U10" s="177">
        <f>'Connection count '!K9</f>
        <v>1209.25</v>
      </c>
      <c r="V10" s="177">
        <f>'Normalized Annual Summary'!U10</f>
        <v>970184488.09365582</v>
      </c>
      <c r="W10" s="177">
        <f ca="1">'Normalized Annual Summary'!AB10</f>
        <v>942346822.48336196</v>
      </c>
      <c r="X10" s="179">
        <f>'kW Forecast'!G10</f>
        <v>2368008.0300000003</v>
      </c>
      <c r="Y10" s="155">
        <f ca="1">'kW Forecast'!D29</f>
        <v>2405968.3096616617</v>
      </c>
      <c r="AA10" s="127">
        <v>2014</v>
      </c>
      <c r="AB10" s="177">
        <f>'Connection count '!O9</f>
        <v>3</v>
      </c>
      <c r="AC10" s="177">
        <f>'Normalized Annual Summary'!AE10</f>
        <v>47519841.509630993</v>
      </c>
      <c r="AD10" s="177">
        <f t="shared" si="4"/>
        <v>47519841.509630993</v>
      </c>
      <c r="AE10" s="179">
        <f>'kW Forecast'!K10</f>
        <v>131071.55</v>
      </c>
      <c r="AF10" s="155">
        <f t="shared" si="11"/>
        <v>131071.55</v>
      </c>
      <c r="AH10" s="127">
        <v>2014</v>
      </c>
      <c r="AI10" s="177">
        <f>'Connection count '!S9</f>
        <v>6</v>
      </c>
      <c r="AJ10" s="177">
        <f>'Normalized Annual Summary'!AN10</f>
        <v>304014292.368729</v>
      </c>
      <c r="AK10" s="177">
        <f ca="1">'Normalized Annual Summary'!AV10</f>
        <v>301237699.89708626</v>
      </c>
      <c r="AL10" s="179">
        <f>'kW Forecast'!Q10</f>
        <v>557415.25</v>
      </c>
      <c r="AM10" s="179">
        <f ca="1">'kW Forecast'!Q29</f>
        <v>560435.54157886317</v>
      </c>
      <c r="AO10" s="127">
        <v>2014</v>
      </c>
      <c r="AP10" s="177">
        <f>'Connection count '!W9</f>
        <v>2</v>
      </c>
      <c r="AQ10" s="177">
        <f ca="1">'Normalized Annual Summary'!AY10</f>
        <v>266219489.74002093</v>
      </c>
      <c r="AR10" s="177">
        <f t="shared" ca="1" si="5"/>
        <v>266219489.74002093</v>
      </c>
      <c r="AS10" s="179">
        <f>'kW Forecast'!W10</f>
        <v>524555.20000000007</v>
      </c>
      <c r="AT10" s="155">
        <f t="shared" si="12"/>
        <v>524555.20000000007</v>
      </c>
      <c r="AV10" s="127">
        <v>2014</v>
      </c>
      <c r="AW10" s="177">
        <f>'Connection count '!AA9</f>
        <v>1</v>
      </c>
      <c r="AX10" s="177">
        <f>'Normalized Annual Summary'!BH10</f>
        <v>47308908.679020993</v>
      </c>
      <c r="AY10" s="177">
        <f t="shared" si="6"/>
        <v>47308908.679020993</v>
      </c>
      <c r="AZ10" s="179">
        <f>'kW Forecast'!AC10</f>
        <v>86734.079999999987</v>
      </c>
      <c r="BA10" s="155">
        <f t="shared" si="7"/>
        <v>86734.079999999987</v>
      </c>
      <c r="BC10" s="127">
        <v>2014</v>
      </c>
      <c r="BD10" s="177">
        <f>'Connection count '!AE9</f>
        <v>23459.5</v>
      </c>
      <c r="BE10" s="177">
        <f>'Normalized Annual Summary'!BQ10</f>
        <v>17360921.051590003</v>
      </c>
      <c r="BF10" s="177">
        <f t="shared" si="8"/>
        <v>17360921.051590003</v>
      </c>
      <c r="BG10" s="179">
        <f>'kW Forecast'!AI10</f>
        <v>49412.19</v>
      </c>
      <c r="BH10" s="155">
        <f t="shared" si="9"/>
        <v>49412.19</v>
      </c>
      <c r="BJ10" s="127">
        <v>2014</v>
      </c>
      <c r="BK10" s="177">
        <f>'Connection count '!AI9</f>
        <v>631.25</v>
      </c>
      <c r="BL10" s="177">
        <f>'Normalized Annual Summary'!BW10</f>
        <v>924204.18281011167</v>
      </c>
      <c r="BM10" s="177">
        <f>'Normalized Annual Summary'!BZ10</f>
        <v>924204.18281011167</v>
      </c>
      <c r="BN10" s="179">
        <f>'kW Forecast'!AO10</f>
        <v>2541.5785940000001</v>
      </c>
      <c r="BO10" s="155">
        <f t="shared" si="10"/>
        <v>2541.5785940000001</v>
      </c>
      <c r="BQ10" s="127">
        <v>2014</v>
      </c>
      <c r="BR10" s="177">
        <f>'Connection count '!AM9</f>
        <v>783</v>
      </c>
      <c r="BS10" s="177">
        <f>'Normalized Annual Summary'!CC10</f>
        <v>2436824.926873663</v>
      </c>
      <c r="BT10" s="177">
        <f>'Normalized Annual Summary'!CF10</f>
        <v>2436824.926873663</v>
      </c>
    </row>
    <row r="11" spans="2:72">
      <c r="B11" s="127">
        <v>2015</v>
      </c>
      <c r="C11" s="177">
        <f t="shared" si="0"/>
        <v>111506.75</v>
      </c>
      <c r="D11" s="177">
        <f t="shared" ca="1" si="1"/>
        <v>2397631611.1056104</v>
      </c>
      <c r="E11" s="177">
        <f t="shared" ca="1" si="1"/>
        <v>2418793449.8417916</v>
      </c>
      <c r="F11" s="179">
        <f t="shared" si="2"/>
        <v>3723089.4299999992</v>
      </c>
      <c r="G11" s="179">
        <f t="shared" ca="1" si="3"/>
        <v>3721448.2172801876</v>
      </c>
      <c r="H11" s="155"/>
      <c r="I11" s="127">
        <v>2015</v>
      </c>
      <c r="J11" s="177">
        <f>'Connection count '!C10</f>
        <v>78320.5</v>
      </c>
      <c r="K11" s="177">
        <f>'Normalized Annual Summary'!C11</f>
        <v>593984431.47600019</v>
      </c>
      <c r="L11" s="177">
        <f ca="1">'Normalized Annual Summary'!I11</f>
        <v>614929732.97154629</v>
      </c>
      <c r="N11" s="127">
        <v>2015</v>
      </c>
      <c r="O11" s="177">
        <f>'Connection count '!G10</f>
        <v>7054.5</v>
      </c>
      <c r="P11" s="177">
        <f>'Normalized Annual Summary'!L11</f>
        <v>207733154.94022256</v>
      </c>
      <c r="Q11" s="177">
        <f ca="1">'Normalized Annual Summary'!R11</f>
        <v>206452380.30826005</v>
      </c>
      <c r="T11" s="127">
        <v>2015</v>
      </c>
      <c r="U11" s="177">
        <f>'Connection count '!K10</f>
        <v>1228.75</v>
      </c>
      <c r="V11" s="177">
        <f>'Normalized Annual Summary'!U11</f>
        <v>941653981.70491183</v>
      </c>
      <c r="W11" s="177">
        <f ca="1">'Normalized Annual Summary'!AB11</f>
        <v>942501868.01125264</v>
      </c>
      <c r="X11" s="179">
        <f>'kW Forecast'!G11</f>
        <v>2413020.5799999996</v>
      </c>
      <c r="Y11" s="155">
        <f ca="1">'kW Forecast'!D30</f>
        <v>2409392.1739748446</v>
      </c>
      <c r="AA11" s="127">
        <v>2015</v>
      </c>
      <c r="AB11" s="177">
        <f>'Connection count '!O10</f>
        <v>3</v>
      </c>
      <c r="AC11" s="177">
        <f>'Normalized Annual Summary'!AE11</f>
        <v>44363940.879999988</v>
      </c>
      <c r="AD11" s="177">
        <f t="shared" si="4"/>
        <v>44363940.879999988</v>
      </c>
      <c r="AE11" s="179">
        <f>'kW Forecast'!K11</f>
        <v>128585.56999999999</v>
      </c>
      <c r="AF11" s="155">
        <f t="shared" si="11"/>
        <v>128585.56999999999</v>
      </c>
      <c r="AH11" s="127">
        <v>2015</v>
      </c>
      <c r="AI11" s="177">
        <f>'Connection count '!S10</f>
        <v>6</v>
      </c>
      <c r="AJ11" s="177">
        <f>'Normalized Annual Summary'!AN11</f>
        <v>301194469.31</v>
      </c>
      <c r="AK11" s="177">
        <f ca="1">'Normalized Annual Summary'!AV11</f>
        <v>301843894.87625712</v>
      </c>
      <c r="AL11" s="179">
        <f>'kW Forecast'!Q11</f>
        <v>559320.55000000005</v>
      </c>
      <c r="AM11" s="179">
        <f ca="1">'kW Forecast'!Q30</f>
        <v>561307.74330534309</v>
      </c>
      <c r="AO11" s="127">
        <v>2015</v>
      </c>
      <c r="AP11" s="177">
        <f>'Connection count '!W10</f>
        <v>2</v>
      </c>
      <c r="AQ11" s="177">
        <f ca="1">'Normalized Annual Summary'!AY11</f>
        <v>241052438.81000003</v>
      </c>
      <c r="AR11" s="177">
        <f t="shared" ca="1" si="5"/>
        <v>241052438.81000003</v>
      </c>
      <c r="AS11" s="179">
        <f>'kW Forecast'!W11</f>
        <v>487724.93000000005</v>
      </c>
      <c r="AT11" s="155">
        <f t="shared" si="12"/>
        <v>487724.93000000005</v>
      </c>
      <c r="AV11" s="127">
        <v>2015</v>
      </c>
      <c r="AW11" s="177">
        <f>'Connection count '!AA10</f>
        <v>1</v>
      </c>
      <c r="AX11" s="177">
        <f>'Normalized Annual Summary'!BH11</f>
        <v>47202925.820000008</v>
      </c>
      <c r="AY11" s="177">
        <f t="shared" si="6"/>
        <v>47202925.820000008</v>
      </c>
      <c r="AZ11" s="179">
        <f>'kW Forecast'!AC11</f>
        <v>82844.529999999984</v>
      </c>
      <c r="BA11" s="155">
        <f t="shared" si="7"/>
        <v>82844.529999999984</v>
      </c>
      <c r="BC11" s="127">
        <v>2015</v>
      </c>
      <c r="BD11" s="177">
        <f>'Connection count '!AE10</f>
        <v>23495.25</v>
      </c>
      <c r="BE11" s="177">
        <f>'Normalized Annual Summary'!BQ11</f>
        <v>17162407.530000001</v>
      </c>
      <c r="BF11" s="177">
        <f t="shared" si="8"/>
        <v>17162407.530000001</v>
      </c>
      <c r="BG11" s="179">
        <f>'kW Forecast'!AI11</f>
        <v>49145.369999999995</v>
      </c>
      <c r="BH11" s="155">
        <f t="shared" si="9"/>
        <v>49145.369999999995</v>
      </c>
      <c r="BJ11" s="127">
        <v>2015</v>
      </c>
      <c r="BK11" s="177">
        <f>'Connection count '!AI10</f>
        <v>615.75</v>
      </c>
      <c r="BL11" s="177">
        <f>'Normalized Annual Summary'!BW11</f>
        <v>873074.41874517407</v>
      </c>
      <c r="BM11" s="177">
        <f>'Normalized Annual Summary'!BZ11</f>
        <v>873074.41874517407</v>
      </c>
      <c r="BN11" s="179">
        <f>'kW Forecast'!AO11</f>
        <v>2447.9</v>
      </c>
      <c r="BO11" s="155">
        <f t="shared" si="10"/>
        <v>2447.9</v>
      </c>
      <c r="BQ11" s="127">
        <v>2015</v>
      </c>
      <c r="BR11" s="177">
        <f>'Connection count '!AM10</f>
        <v>780</v>
      </c>
      <c r="BS11" s="177">
        <f>'Normalized Annual Summary'!CC11</f>
        <v>2410786.215730337</v>
      </c>
      <c r="BT11" s="177">
        <f>'Normalized Annual Summary'!CF11</f>
        <v>2410786.215730337</v>
      </c>
    </row>
    <row r="12" spans="2:72">
      <c r="B12" s="127">
        <v>2016</v>
      </c>
      <c r="C12" s="177">
        <f t="shared" si="0"/>
        <v>112049</v>
      </c>
      <c r="D12" s="177">
        <f t="shared" ca="1" si="1"/>
        <v>2471215846.1173172</v>
      </c>
      <c r="E12" s="177">
        <f t="shared" ca="1" si="1"/>
        <v>2436535327.684195</v>
      </c>
      <c r="F12" s="179">
        <f t="shared" si="2"/>
        <v>3780124.59</v>
      </c>
      <c r="G12" s="179">
        <f t="shared" ca="1" si="3"/>
        <v>3704162.22800344</v>
      </c>
      <c r="H12" s="155"/>
      <c r="I12" s="127">
        <v>2016</v>
      </c>
      <c r="J12" s="177">
        <f>'Connection count '!C11</f>
        <v>78812</v>
      </c>
      <c r="K12" s="177">
        <f>'Normalized Annual Summary'!C12</f>
        <v>619568737.68663192</v>
      </c>
      <c r="L12" s="177">
        <f ca="1">'Normalized Annual Summary'!I12</f>
        <v>611201705.25933492</v>
      </c>
      <c r="N12" s="127">
        <v>2016</v>
      </c>
      <c r="O12" s="177">
        <f>'Connection count '!G11</f>
        <v>7079.5</v>
      </c>
      <c r="P12" s="177">
        <f>'Normalized Annual Summary'!L12</f>
        <v>208239182.30018815</v>
      </c>
      <c r="Q12" s="177">
        <f ca="1">'Normalized Annual Summary'!R12</f>
        <v>204884734.88631937</v>
      </c>
      <c r="T12" s="127">
        <v>2016</v>
      </c>
      <c r="U12" s="177">
        <f>'Connection count '!K11</f>
        <v>1245</v>
      </c>
      <c r="V12" s="177">
        <f>'Normalized Annual Summary'!U12</f>
        <v>954879860.93795967</v>
      </c>
      <c r="W12" s="177">
        <f ca="1">'Normalized Annual Summary'!AB12</f>
        <v>944970325.82323682</v>
      </c>
      <c r="X12" s="179">
        <f>'kW Forecast'!G12</f>
        <v>2436984.27</v>
      </c>
      <c r="Y12" s="155">
        <f ca="1">'kW Forecast'!D31</f>
        <v>2377927.7038924182</v>
      </c>
      <c r="AA12" s="127">
        <v>2016</v>
      </c>
      <c r="AB12" s="177">
        <f>'Connection count '!O11</f>
        <v>3</v>
      </c>
      <c r="AC12" s="177">
        <f>'Normalized Annual Summary'!AE12</f>
        <v>44045563.989999995</v>
      </c>
      <c r="AD12" s="177">
        <f t="shared" si="4"/>
        <v>44045563.989999995</v>
      </c>
      <c r="AE12" s="179">
        <f>'kW Forecast'!K12</f>
        <v>130216.19</v>
      </c>
      <c r="AF12" s="155">
        <f t="shared" si="11"/>
        <v>130216.19</v>
      </c>
      <c r="AH12" s="127">
        <v>2016</v>
      </c>
      <c r="AI12" s="177">
        <f>'Connection count '!S11</f>
        <v>6</v>
      </c>
      <c r="AJ12" s="177">
        <f>'Normalized Annual Summary'!AN12</f>
        <v>318162193.04000002</v>
      </c>
      <c r="AK12" s="177">
        <f ca="1">'Normalized Annual Summary'!AV12</f>
        <v>305112689.56276673</v>
      </c>
      <c r="AL12" s="179">
        <f>'kW Forecast'!Q12</f>
        <v>576548.00999999989</v>
      </c>
      <c r="AM12" s="179">
        <f ca="1">'kW Forecast'!Q31</f>
        <v>559642.2141110216</v>
      </c>
      <c r="AO12" s="127">
        <v>2016</v>
      </c>
      <c r="AP12" s="177">
        <f>'Connection count '!W11</f>
        <v>2</v>
      </c>
      <c r="AQ12" s="177">
        <f ca="1">'Normalized Annual Summary'!AY12</f>
        <v>264027087.00000006</v>
      </c>
      <c r="AR12" s="177">
        <f t="shared" ca="1" si="5"/>
        <v>264027087.00000006</v>
      </c>
      <c r="AS12" s="179">
        <f>'kW Forecast'!W12</f>
        <v>515986.85</v>
      </c>
      <c r="AT12" s="155">
        <f t="shared" si="12"/>
        <v>515986.85</v>
      </c>
      <c r="AV12" s="127">
        <v>2016</v>
      </c>
      <c r="AW12" s="177">
        <f>'Connection count '!AA11</f>
        <v>1</v>
      </c>
      <c r="AX12" s="177">
        <f>'Normalized Annual Summary'!BH12</f>
        <v>44370766.850000001</v>
      </c>
      <c r="AY12" s="177">
        <f t="shared" si="6"/>
        <v>44370766.850000001</v>
      </c>
      <c r="AZ12" s="179">
        <f>'kW Forecast'!AC12</f>
        <v>74821.62</v>
      </c>
      <c r="BA12" s="155">
        <f t="shared" si="7"/>
        <v>74821.62</v>
      </c>
      <c r="BC12" s="127">
        <v>2016</v>
      </c>
      <c r="BD12" s="177">
        <f>'Connection count '!AE11</f>
        <v>23517.5</v>
      </c>
      <c r="BE12" s="177">
        <f>'Normalized Annual Summary'!BQ12</f>
        <v>14655212.350000001</v>
      </c>
      <c r="BF12" s="177">
        <f t="shared" si="8"/>
        <v>14655212.350000001</v>
      </c>
      <c r="BG12" s="179">
        <f>'kW Forecast'!AI12</f>
        <v>43202.96</v>
      </c>
      <c r="BH12" s="155">
        <f t="shared" si="9"/>
        <v>43202.96</v>
      </c>
      <c r="BJ12" s="127">
        <v>2016</v>
      </c>
      <c r="BK12" s="177">
        <f>'Connection count '!AI11</f>
        <v>602</v>
      </c>
      <c r="BL12" s="177">
        <f>'Normalized Annual Summary'!BW12</f>
        <v>851684.9625372421</v>
      </c>
      <c r="BM12" s="177">
        <f>'Normalized Annual Summary'!BZ12</f>
        <v>851684.96253724198</v>
      </c>
      <c r="BN12" s="179">
        <f>'kW Forecast'!AO12</f>
        <v>2364.69</v>
      </c>
      <c r="BO12" s="155">
        <f t="shared" si="10"/>
        <v>2364.69</v>
      </c>
      <c r="BQ12" s="127">
        <v>2016</v>
      </c>
      <c r="BR12" s="177">
        <f>'Connection count '!AM11</f>
        <v>781</v>
      </c>
      <c r="BS12" s="177">
        <f>'Normalized Annual Summary'!CC12</f>
        <v>2415557</v>
      </c>
      <c r="BT12" s="177">
        <f>'Normalized Annual Summary'!CF12</f>
        <v>2415557</v>
      </c>
    </row>
    <row r="13" spans="2:72">
      <c r="B13" s="127">
        <v>2017</v>
      </c>
      <c r="C13" s="177">
        <f t="shared" si="0"/>
        <v>113163.25</v>
      </c>
      <c r="D13" s="177">
        <f t="shared" ca="1" si="1"/>
        <v>2367940087.46</v>
      </c>
      <c r="E13" s="177">
        <f t="shared" ca="1" si="1"/>
        <v>2407017882.9398999</v>
      </c>
      <c r="F13" s="179">
        <f t="shared" si="2"/>
        <v>3662847.5100000002</v>
      </c>
      <c r="G13" s="179">
        <f t="shared" ca="1" si="3"/>
        <v>3709817.7911895914</v>
      </c>
      <c r="H13" s="155"/>
      <c r="I13" s="127">
        <v>2017</v>
      </c>
      <c r="J13" s="177">
        <f>'Connection count '!C12</f>
        <v>79324.5</v>
      </c>
      <c r="K13" s="177">
        <f>'Normalized Annual Summary'!C13</f>
        <v>583858255.14999998</v>
      </c>
      <c r="L13" s="177">
        <f ca="1">'Normalized Annual Summary'!I13</f>
        <v>597615778.32428527</v>
      </c>
      <c r="N13" s="127">
        <v>2017</v>
      </c>
      <c r="O13" s="177">
        <f>'Connection count '!G12</f>
        <v>7108.75</v>
      </c>
      <c r="P13" s="177">
        <f>'Normalized Annual Summary'!L13</f>
        <v>199190042.63999999</v>
      </c>
      <c r="Q13" s="177">
        <f ca="1">'Normalized Annual Summary'!R13</f>
        <v>203634326.42149118</v>
      </c>
      <c r="T13" s="127">
        <v>2017</v>
      </c>
      <c r="U13" s="177">
        <f>'Connection count '!K12</f>
        <v>1251.25</v>
      </c>
      <c r="V13" s="177">
        <f>'Normalized Annual Summary'!U13</f>
        <v>935689535.96999991</v>
      </c>
      <c r="W13" s="177">
        <f ca="1">'Normalized Annual Summary'!AB13</f>
        <v>946698267.70046031</v>
      </c>
      <c r="X13" s="179">
        <f>'kW Forecast'!G13</f>
        <v>2393115.89</v>
      </c>
      <c r="Y13" s="155">
        <f ca="1">'kW Forecast'!D32</f>
        <v>2421107.412514023</v>
      </c>
      <c r="AA13" s="127">
        <v>2017</v>
      </c>
      <c r="AB13" s="177">
        <f>'Connection count '!O12</f>
        <v>3</v>
      </c>
      <c r="AC13" s="177">
        <f>'Normalized Annual Summary'!AE13</f>
        <v>44136954.399999991</v>
      </c>
      <c r="AD13" s="177">
        <f t="shared" si="4"/>
        <v>44136954.399999991</v>
      </c>
      <c r="AE13" s="179">
        <f>'kW Forecast'!K13</f>
        <v>133091.57999999999</v>
      </c>
      <c r="AF13" s="155">
        <f t="shared" si="11"/>
        <v>133091.57999999999</v>
      </c>
      <c r="AH13" s="127">
        <v>2017</v>
      </c>
      <c r="AI13" s="177">
        <f>'Connection count '!S12</f>
        <v>6</v>
      </c>
      <c r="AJ13" s="177">
        <f>'Normalized Annual Summary'!AN13</f>
        <v>299472217.15999997</v>
      </c>
      <c r="AK13" s="177">
        <f ca="1">'Normalized Annual Summary'!AV13</f>
        <v>309339473.95366311</v>
      </c>
      <c r="AL13" s="179">
        <f>'kW Forecast'!Q13</f>
        <v>548063.93000000005</v>
      </c>
      <c r="AM13" s="179">
        <f ca="1">'kW Forecast'!Q32</f>
        <v>567042.68867556844</v>
      </c>
      <c r="AO13" s="127">
        <v>2017</v>
      </c>
      <c r="AP13" s="177">
        <f>'Connection count '!W12</f>
        <v>2</v>
      </c>
      <c r="AQ13" s="177">
        <f ca="1">'Normalized Annual Summary'!AY13</f>
        <v>252589949.61000001</v>
      </c>
      <c r="AR13" s="177">
        <f t="shared" ca="1" si="5"/>
        <v>252589949.61000001</v>
      </c>
      <c r="AS13" s="179">
        <f>'kW Forecast'!W13</f>
        <v>495653.43</v>
      </c>
      <c r="AT13" s="155">
        <f t="shared" si="12"/>
        <v>495653.43</v>
      </c>
      <c r="AV13" s="127">
        <v>2017</v>
      </c>
      <c r="AW13" s="177">
        <f>'Connection count '!AA12</f>
        <v>1</v>
      </c>
      <c r="AX13" s="177">
        <f>'Normalized Annual Summary'!BH13</f>
        <v>42875821.289999999</v>
      </c>
      <c r="AY13" s="177">
        <f t="shared" si="6"/>
        <v>42875821.289999999</v>
      </c>
      <c r="AZ13" s="179">
        <f>'kW Forecast'!AC13</f>
        <v>70873.779999999984</v>
      </c>
      <c r="BA13" s="155">
        <f t="shared" si="7"/>
        <v>70873.779999999984</v>
      </c>
      <c r="BC13" s="127">
        <v>2017</v>
      </c>
      <c r="BD13" s="177">
        <f>'Connection count '!AE12</f>
        <v>24143.5</v>
      </c>
      <c r="BE13" s="177">
        <f>'Normalized Annual Summary'!BQ13</f>
        <v>6962744.2999999998</v>
      </c>
      <c r="BF13" s="177">
        <f>'Normalized Annual Summary'!BT13</f>
        <v>6962744.2999999998</v>
      </c>
      <c r="BG13" s="179">
        <f>'kW Forecast'!AI13</f>
        <v>19819.260000000002</v>
      </c>
      <c r="BH13" s="155">
        <f t="shared" si="9"/>
        <v>19819.260000000002</v>
      </c>
      <c r="BJ13" s="127">
        <v>2017</v>
      </c>
      <c r="BK13" s="177">
        <f>'Connection count '!AI12</f>
        <v>554.25</v>
      </c>
      <c r="BL13" s="177">
        <f>'Normalized Annual Summary'!BW13</f>
        <v>795950.62000000011</v>
      </c>
      <c r="BM13" s="177">
        <f>'Normalized Annual Summary'!BZ13</f>
        <v>795950.62000000011</v>
      </c>
      <c r="BN13" s="179">
        <f>'kW Forecast'!AO13</f>
        <v>2229.64</v>
      </c>
      <c r="BO13" s="155">
        <f t="shared" si="10"/>
        <v>2229.64</v>
      </c>
      <c r="BQ13" s="127">
        <v>2017</v>
      </c>
      <c r="BR13" s="177">
        <f>'Connection count '!AM12</f>
        <v>769</v>
      </c>
      <c r="BS13" s="177">
        <f>'Normalized Annual Summary'!CC13</f>
        <v>2368616.3200000003</v>
      </c>
      <c r="BT13" s="177">
        <f>'Normalized Annual Summary'!CF13</f>
        <v>2368616.3200000003</v>
      </c>
    </row>
    <row r="14" spans="2:72">
      <c r="B14" s="186">
        <v>2018</v>
      </c>
      <c r="C14" s="177">
        <f t="shared" ref="C14" si="13">J14+O14+U14+AB14+AI14+AP14+AW14+BD14+BK14+BR14</f>
        <v>113379</v>
      </c>
      <c r="D14" s="177">
        <f t="shared" ref="D14" ca="1" si="14">K14+P14+V14+AC14+AJ14+AQ14+AX14+BE14+BL14+BS14</f>
        <v>2438533274.6590438</v>
      </c>
      <c r="E14" s="177">
        <f t="shared" ref="E14" ca="1" si="15">L14+Q14+W14+AD14+AK14+AR14+AY14+BF14+BM14+BT14</f>
        <v>2399142447.4228134</v>
      </c>
      <c r="F14" s="179">
        <f t="shared" ref="F14" si="16">X14+AE14+AL14+AS14+AZ14+BG14+BN14</f>
        <v>3671125.7999999993</v>
      </c>
      <c r="G14" s="179">
        <f t="shared" ref="G14" ca="1" si="17">Y14+AF14+AM14+AT14+BA14+BH14+BO14</f>
        <v>3668547.9461793662</v>
      </c>
      <c r="H14" s="155"/>
      <c r="I14" s="186">
        <v>2018</v>
      </c>
      <c r="J14" s="177">
        <f>'Connection count '!C13</f>
        <v>79466</v>
      </c>
      <c r="K14" s="177">
        <f>'Normalized Annual Summary'!C14</f>
        <v>636798570.50953054</v>
      </c>
      <c r="L14" s="177">
        <f ca="1">'Normalized Annual Summary'!I14</f>
        <v>592076679.01897192</v>
      </c>
      <c r="M14" s="186"/>
      <c r="N14" s="186">
        <v>2018</v>
      </c>
      <c r="O14" s="177">
        <f>'Connection count '!G13</f>
        <v>7104</v>
      </c>
      <c r="P14" s="177">
        <f>'Normalized Annual Summary'!L14</f>
        <v>203075206.32419604</v>
      </c>
      <c r="Q14" s="177">
        <f ca="1">'Normalized Annual Summary'!R14</f>
        <v>204018649.6875526</v>
      </c>
      <c r="R14" s="186"/>
      <c r="S14" s="186"/>
      <c r="T14" s="186">
        <v>2018</v>
      </c>
      <c r="U14" s="177">
        <f>'Connection count '!K13</f>
        <v>1254.25</v>
      </c>
      <c r="V14" s="177">
        <f>'Normalized Annual Summary'!U14</f>
        <v>936712309.46510732</v>
      </c>
      <c r="W14" s="177">
        <f ca="1">'Normalized Annual Summary'!AB14</f>
        <v>937869077.8102895</v>
      </c>
      <c r="X14" s="179">
        <f>'kW Forecast'!G14</f>
        <v>2385326.37</v>
      </c>
      <c r="Y14" s="155">
        <f ca="1">'kW Forecast'!D33</f>
        <v>2381358.1782545815</v>
      </c>
      <c r="Z14" s="186"/>
      <c r="AA14" s="186">
        <v>2018</v>
      </c>
      <c r="AB14" s="177">
        <f>'Connection count '!O13</f>
        <v>3</v>
      </c>
      <c r="AC14" s="177">
        <f>'Normalized Annual Summary'!AE14</f>
        <v>41120567.090000004</v>
      </c>
      <c r="AD14" s="177">
        <f t="shared" ref="AD14" si="18">AC14</f>
        <v>41120567.090000004</v>
      </c>
      <c r="AE14" s="179">
        <f>'kW Forecast'!K14</f>
        <v>128455.81999999999</v>
      </c>
      <c r="AF14" s="155">
        <f t="shared" si="11"/>
        <v>128455.81999999999</v>
      </c>
      <c r="AG14" s="186"/>
      <c r="AH14" s="186">
        <v>2018</v>
      </c>
      <c r="AI14" s="177">
        <f>'Connection count '!S13</f>
        <v>6</v>
      </c>
      <c r="AJ14" s="177">
        <f>'Normalized Annual Summary'!AN14</f>
        <v>311285837.94999999</v>
      </c>
      <c r="AK14" s="177">
        <f ca="1">'Normalized Annual Summary'!AV14</f>
        <v>314516690.49578923</v>
      </c>
      <c r="AL14" s="179">
        <f>'kW Forecast'!Q14</f>
        <v>568092.82000000007</v>
      </c>
      <c r="AM14" s="179">
        <f ca="1">'kW Forecast'!Q33</f>
        <v>569483.15792478516</v>
      </c>
      <c r="AN14" s="186"/>
      <c r="AO14" s="186">
        <v>2018</v>
      </c>
      <c r="AP14" s="177">
        <f>'Connection count '!W13</f>
        <v>2</v>
      </c>
      <c r="AQ14" s="177">
        <f ca="1">'Normalized Annual Summary'!AY14</f>
        <v>254635666.92999998</v>
      </c>
      <c r="AR14" s="177">
        <f t="shared" ref="AR14" ca="1" si="19">AQ14</f>
        <v>254635666.92999998</v>
      </c>
      <c r="AS14" s="179">
        <f>'kW Forecast'!W14</f>
        <v>494552.82999999996</v>
      </c>
      <c r="AT14" s="155">
        <f t="shared" ref="AT14" si="20">AS14</f>
        <v>494552.82999999996</v>
      </c>
      <c r="AU14" s="186"/>
      <c r="AV14" s="186">
        <v>2018</v>
      </c>
      <c r="AW14" s="177">
        <f>'Connection count '!AA13</f>
        <v>1</v>
      </c>
      <c r="AX14" s="177">
        <f>'Normalized Annual Summary'!BH14</f>
        <v>45402739.360000007</v>
      </c>
      <c r="AY14" s="177">
        <f t="shared" ref="AY14" si="21">AX14</f>
        <v>45402739.360000007</v>
      </c>
      <c r="AZ14" s="179">
        <f>'kW Forecast'!AC14</f>
        <v>73849.089999999982</v>
      </c>
      <c r="BA14" s="155">
        <f t="shared" ref="BA14" si="22">AZ14</f>
        <v>73849.089999999982</v>
      </c>
      <c r="BB14" s="186"/>
      <c r="BC14" s="186">
        <v>2018</v>
      </c>
      <c r="BD14" s="177">
        <f>'Connection count '!AE13</f>
        <v>24283.5</v>
      </c>
      <c r="BE14" s="177">
        <f>'Normalized Annual Summary'!BQ14</f>
        <v>6467781.0800000001</v>
      </c>
      <c r="BF14" s="177">
        <f t="shared" ref="BF14" si="23">BE14</f>
        <v>6467781.0800000001</v>
      </c>
      <c r="BG14" s="179">
        <f>'kW Forecast'!AI14</f>
        <v>18707.3</v>
      </c>
      <c r="BH14" s="155">
        <f t="shared" ref="BH14" si="24">BG14</f>
        <v>18707.3</v>
      </c>
      <c r="BI14" s="186"/>
      <c r="BJ14" s="186">
        <v>2018</v>
      </c>
      <c r="BK14" s="177">
        <f>'Connection count '!AI13</f>
        <v>532.75</v>
      </c>
      <c r="BL14" s="177">
        <f>'Normalized Annual Summary'!BW14</f>
        <v>768231.72021026898</v>
      </c>
      <c r="BM14" s="177">
        <f>'Normalized Annual Summary'!BZ14</f>
        <v>768231.72021026898</v>
      </c>
      <c r="BN14" s="179">
        <f>'kW Forecast'!AO14</f>
        <v>2141.5699999999997</v>
      </c>
      <c r="BO14" s="155">
        <f t="shared" ref="BO14" si="25">BN14</f>
        <v>2141.5699999999997</v>
      </c>
      <c r="BP14" s="186"/>
      <c r="BQ14" s="186">
        <v>2018</v>
      </c>
      <c r="BR14" s="177">
        <f>'Connection count '!AM13</f>
        <v>726.5</v>
      </c>
      <c r="BS14" s="177">
        <f>'Normalized Annual Summary'!CC14</f>
        <v>2266364.23</v>
      </c>
      <c r="BT14" s="177">
        <f>'Normalized Annual Summary'!CF14</f>
        <v>2266364.23</v>
      </c>
    </row>
    <row r="15" spans="2:72">
      <c r="B15" s="127">
        <v>2019</v>
      </c>
      <c r="C15" s="89">
        <f t="shared" si="0"/>
        <v>113755.15972282186</v>
      </c>
      <c r="D15" s="89"/>
      <c r="E15" s="89">
        <f t="shared" ca="1" si="1"/>
        <v>2378653099.5352058</v>
      </c>
      <c r="F15" s="181"/>
      <c r="G15" s="181">
        <f t="shared" ca="1" si="3"/>
        <v>3618843.7335510007</v>
      </c>
      <c r="H15" s="155"/>
      <c r="I15" s="127">
        <v>2019</v>
      </c>
      <c r="J15" s="89">
        <f>'Connection count '!C14</f>
        <v>79811.968022845249</v>
      </c>
      <c r="K15" s="89"/>
      <c r="L15" s="89">
        <f ca="1">'Normalized Annual Summary'!I15-('CDM Adjustments'!E8+'CDM Adjustments'!F8/2)</f>
        <v>589516480.37435675</v>
      </c>
      <c r="N15" s="127">
        <v>2019</v>
      </c>
      <c r="O15" s="89">
        <f>'Connection count '!G14</f>
        <v>7119.0186436319073</v>
      </c>
      <c r="P15" s="89"/>
      <c r="Q15" s="89">
        <f ca="1">'Normalized Annual Summary'!R15-('CDM Adjustments'!E9+'CDM Adjustments'!C9/2)</f>
        <v>202245138.44486296</v>
      </c>
      <c r="T15" s="127">
        <v>2019</v>
      </c>
      <c r="U15" s="89">
        <f>'Connection count '!K14</f>
        <v>1263.3193919637922</v>
      </c>
      <c r="V15" s="89"/>
      <c r="W15" s="89">
        <f ca="1">'Normalized Annual Summary'!AB15-('CDM Adjustments'!E10+'CDM Adjustments'!C10/2)</f>
        <v>926487762.65441811</v>
      </c>
      <c r="X15" s="181"/>
      <c r="Y15" s="89">
        <f ca="1">'kW Forecast'!D34-('CDM Adjustments'!E10+'CDM Adjustments'!F10/2)/'CDM Adjustments'!J10*'CDM Adjustments'!G24</f>
        <v>2352259.6239472949</v>
      </c>
      <c r="AA15" s="127">
        <v>2019</v>
      </c>
      <c r="AB15" s="89">
        <f>'Connection count '!O14</f>
        <v>3</v>
      </c>
      <c r="AC15" s="89"/>
      <c r="AD15" s="89">
        <f>'Normalized Annual Summary'!AK15-('CDM Adjustments'!E11+'CDM Adjustments'!C11/2)</f>
        <v>40555301.831059538</v>
      </c>
      <c r="AE15" s="181"/>
      <c r="AF15" s="89">
        <f>'kW Forecast'!K19-('CDM Adjustments'!E11+'CDM Adjustments'!F11/2)/'CDM Adjustments'!J11*'CDM Adjustments'!G25</f>
        <v>124298.6809809822</v>
      </c>
      <c r="AH15" s="127">
        <v>2019</v>
      </c>
      <c r="AI15" s="89">
        <f>'Connection count '!S14</f>
        <v>6</v>
      </c>
      <c r="AJ15" s="89"/>
      <c r="AK15" s="89">
        <f ca="1">'Normalized Annual Summary'!AV15-('CDM Adjustments'!E12+'CDM Adjustments'!C12/2)</f>
        <v>320291673.08812207</v>
      </c>
      <c r="AL15" s="181"/>
      <c r="AM15" s="89">
        <f ca="1">'kW Forecast'!Q34-('CDM Adjustments'!E12+'CDM Adjustments'!F12/2)/'CDM Adjustments'!J12*'CDM Adjustments'!G26</f>
        <v>573368.29755225894</v>
      </c>
      <c r="AO15" s="127">
        <v>2019</v>
      </c>
      <c r="AP15" s="89">
        <f>'Connection count '!W14</f>
        <v>2</v>
      </c>
      <c r="AQ15" s="89"/>
      <c r="AR15" s="89">
        <f ca="1">'Normalized Annual Summary'!BE15-('CDM Adjustments'!E13+'CDM Adjustments'!C13/2)</f>
        <v>247784640.11304244</v>
      </c>
      <c r="AS15" s="181"/>
      <c r="AT15" s="155">
        <f ca="1">'kW Forecast'!W19-('CDM Adjustments'!E13+'CDM Adjustments'!F13/2)/'CDM Adjustments'!J13*'CDM Adjustments'!G27</f>
        <v>478115.61547775194</v>
      </c>
      <c r="AV15" s="127">
        <v>2019</v>
      </c>
      <c r="AW15" s="89">
        <f>'Connection count '!AA14</f>
        <v>1</v>
      </c>
      <c r="AX15" s="89"/>
      <c r="AY15" s="89">
        <f ca="1">'Normalized Annual Summary'!BN15-('CDM Adjustments'!E14+'CDM Adjustments'!C14/2)</f>
        <v>42314167.088820711</v>
      </c>
      <c r="AZ15" s="181"/>
      <c r="BA15" s="89">
        <f ca="1">'kW Forecast'!AC19-('CDM Adjustments'!E14+'CDM Adjustments'!F14/2)/'CDM Adjustments'!J14*'CDM Adjustments'!G28</f>
        <v>69961.371737471534</v>
      </c>
      <c r="BC15" s="127">
        <v>2019</v>
      </c>
      <c r="BD15" s="89">
        <f>'Connection count '!AE14</f>
        <v>24313.550236385821</v>
      </c>
      <c r="BE15" s="89"/>
      <c r="BF15" s="89">
        <f>'Normalized Annual Summary'!BT15</f>
        <v>6475784.8006475894</v>
      </c>
      <c r="BG15" s="181"/>
      <c r="BH15" s="181">
        <f>'kW Forecast'!AI19</f>
        <v>18751.312942082615</v>
      </c>
      <c r="BJ15" s="127">
        <v>2019</v>
      </c>
      <c r="BK15" s="89">
        <f>'Connection count '!AI14</f>
        <v>519.48181887976432</v>
      </c>
      <c r="BL15" s="89"/>
      <c r="BM15" s="89">
        <f>'Normalized Annual Summary'!BZ15</f>
        <v>749098.84812005772</v>
      </c>
      <c r="BN15" s="181"/>
      <c r="BO15" s="181">
        <f>'kW Forecast'!AO19</f>
        <v>2088.8309131584697</v>
      </c>
      <c r="BQ15" s="127">
        <v>2019</v>
      </c>
      <c r="BR15" s="89">
        <f>'Connection count '!AM14</f>
        <v>715.82160911532708</v>
      </c>
      <c r="BS15" s="89"/>
      <c r="BT15" s="89">
        <f>'Normalized Annual Summary'!CF15</f>
        <v>2233052.2917550164</v>
      </c>
    </row>
    <row r="16" spans="2:72">
      <c r="B16" s="127">
        <v>2020</v>
      </c>
      <c r="C16" s="89">
        <f t="shared" si="0"/>
        <v>114132.44759117064</v>
      </c>
      <c r="D16" s="89"/>
      <c r="E16" s="89">
        <f ca="1">L16+Q16+W16+AD16+AK16+AR16+AY16+BF16+BM16+BT16</f>
        <v>2291811812.3984447</v>
      </c>
      <c r="F16" s="181"/>
      <c r="G16" s="181">
        <f t="shared" ca="1" si="3"/>
        <v>3448611.591931588</v>
      </c>
      <c r="H16" s="155"/>
      <c r="I16" s="127">
        <v>2020</v>
      </c>
      <c r="J16" s="89">
        <f>'Connection count '!C15</f>
        <v>80159.442273169305</v>
      </c>
      <c r="K16" s="89"/>
      <c r="L16" s="89">
        <f ca="1">'Normalized Annual Summary'!I16-'CDM Adjustments'!J8</f>
        <v>590649150.33394611</v>
      </c>
      <c r="N16" s="127">
        <v>2020</v>
      </c>
      <c r="O16" s="89">
        <f>'Connection count '!G15</f>
        <v>7134.0690383415931</v>
      </c>
      <c r="P16" s="89"/>
      <c r="Q16" s="89">
        <f ca="1">'Normalized Annual Summary'!R16-'CDM Adjustments'!J9</f>
        <v>200336992.9361971</v>
      </c>
      <c r="T16" s="127">
        <v>2020</v>
      </c>
      <c r="U16" s="89">
        <f>'Connection count '!K15</f>
        <v>1272.454364051637</v>
      </c>
      <c r="V16" s="89"/>
      <c r="W16" s="89">
        <f ca="1">'Normalized Annual Summary'!AB16-'CDM Adjustments'!J10</f>
        <v>926615418.71894979</v>
      </c>
      <c r="X16" s="181"/>
      <c r="Y16" s="89">
        <f ca="1">'kW Forecast'!D35-'CDM Adjustments'!G24</f>
        <v>2342143.6845035255</v>
      </c>
      <c r="AA16" s="127">
        <v>2020</v>
      </c>
      <c r="AB16" s="89">
        <f>'Connection count '!O15</f>
        <v>3</v>
      </c>
      <c r="AC16" s="89"/>
      <c r="AD16" s="89">
        <f>'Normalized Annual Summary'!AK16-'CDM Adjustments'!J11</f>
        <v>39753503.883808367</v>
      </c>
      <c r="AE16" s="181"/>
      <c r="AF16" s="89">
        <f>'kW Forecast'!K20-'CDM Adjustments'!G25</f>
        <v>123780.40048007666</v>
      </c>
      <c r="AH16" s="127">
        <v>2020</v>
      </c>
      <c r="AI16" s="89">
        <f>'Connection count '!S15</f>
        <v>5</v>
      </c>
      <c r="AJ16" s="89"/>
      <c r="AK16" s="89">
        <f ca="1">'Normalized Annual Summary'!AV16-'CDM Adjustments'!J12</f>
        <v>236513333.72627568</v>
      </c>
      <c r="AL16" s="181"/>
      <c r="AM16" s="89">
        <f ca="1">'kW Forecast'!Q35-'CDM Adjustments'!G26</f>
        <v>420751.28300616337</v>
      </c>
      <c r="AO16" s="127">
        <v>2020</v>
      </c>
      <c r="AP16" s="89">
        <f>'Connection count '!W15</f>
        <v>2</v>
      </c>
      <c r="AQ16" s="89"/>
      <c r="AR16" s="89">
        <f ca="1">'Normalized Annual Summary'!BE16-'CDM Adjustments'!J13</f>
        <v>247160999.66235057</v>
      </c>
      <c r="AS16" s="181"/>
      <c r="AT16" s="155">
        <f ca="1">'kW Forecast'!W20-'CDM Adjustments'!G27</f>
        <v>474530.15766606305</v>
      </c>
      <c r="AV16" s="127">
        <v>2020</v>
      </c>
      <c r="AW16" s="89">
        <f>'Connection count '!AA15</f>
        <v>1</v>
      </c>
      <c r="AX16" s="89"/>
      <c r="AY16" s="89">
        <f ca="1">'Normalized Annual Summary'!BN16-'CDM Adjustments'!J14</f>
        <v>41367942.243628785</v>
      </c>
      <c r="AZ16" s="181"/>
      <c r="BA16" s="89">
        <f ca="1">'kW Forecast'!AC20-'CDM Adjustments'!G28</f>
        <v>66594.740630116547</v>
      </c>
      <c r="BC16" s="127">
        <v>2020</v>
      </c>
      <c r="BD16" s="89">
        <f>'Connection count '!AE15</f>
        <v>24343.637659203039</v>
      </c>
      <c r="BE16" s="89"/>
      <c r="BF16" s="89">
        <f>'Normalized Annual Summary'!BT16</f>
        <v>6483798.4257034156</v>
      </c>
      <c r="BG16" s="181"/>
      <c r="BH16" s="181">
        <f>'kW Forecast'!AI20</f>
        <v>18774.517232504262</v>
      </c>
      <c r="BJ16" s="127">
        <v>2020</v>
      </c>
      <c r="BK16" s="89">
        <f>'Connection count '!AI15</f>
        <v>506.54408286556219</v>
      </c>
      <c r="BL16" s="89"/>
      <c r="BM16" s="89">
        <f>'Normalized Annual Summary'!BZ16</f>
        <v>730442.48173091304</v>
      </c>
      <c r="BN16" s="181"/>
      <c r="BO16" s="181">
        <f>'kW Forecast'!AO20</f>
        <v>2036.8084131390726</v>
      </c>
      <c r="BQ16" s="127">
        <v>2020</v>
      </c>
      <c r="BR16" s="89">
        <f>'Connection count '!AM15</f>
        <v>705.30017353951291</v>
      </c>
      <c r="BS16" s="89"/>
      <c r="BT16" s="89">
        <f>'Normalized Annual Summary'!CF16</f>
        <v>2200229.9858537433</v>
      </c>
    </row>
    <row r="18" spans="2:72">
      <c r="AB18" s="161" t="s">
        <v>250</v>
      </c>
      <c r="AP18" s="161" t="s">
        <v>250</v>
      </c>
      <c r="AX18" s="161" t="s">
        <v>250</v>
      </c>
      <c r="BD18" s="161" t="s">
        <v>250</v>
      </c>
      <c r="BK18" s="161" t="s">
        <v>250</v>
      </c>
      <c r="BR18" s="161" t="s">
        <v>250</v>
      </c>
    </row>
    <row r="19" spans="2:72">
      <c r="L19" s="127"/>
    </row>
    <row r="20" spans="2:72">
      <c r="G20" s="177"/>
      <c r="H20" s="177"/>
      <c r="I20" s="177"/>
      <c r="K20" s="127"/>
    </row>
    <row r="21" spans="2:72">
      <c r="B21" s="161" t="s">
        <v>272</v>
      </c>
      <c r="G21" s="177"/>
      <c r="H21" s="177"/>
      <c r="I21" s="177"/>
      <c r="K21" s="12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</row>
    <row r="22" spans="2:72">
      <c r="G22" s="177"/>
      <c r="H22" s="177"/>
      <c r="I22" s="177"/>
      <c r="K22" s="12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</row>
    <row r="23" spans="2:72"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</row>
    <row r="24" spans="2:72">
      <c r="E24" s="155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</row>
    <row r="25" spans="2:72">
      <c r="D25" s="161" t="s">
        <v>308</v>
      </c>
      <c r="E25" s="155"/>
      <c r="F25" s="230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</row>
    <row r="26" spans="2:72">
      <c r="E26" s="235"/>
      <c r="F26" s="186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</row>
    <row r="27" spans="2:72" ht="25.5">
      <c r="D27" s="242" t="s">
        <v>174</v>
      </c>
      <c r="E27" s="238" t="str">
        <f>B2</f>
        <v>Total System</v>
      </c>
      <c r="F27" s="239" t="str">
        <f>I2</f>
        <v xml:space="preserve">Residential </v>
      </c>
      <c r="G27" s="239" t="str">
        <f>N2</f>
        <v>GS&lt;50 kW</v>
      </c>
      <c r="H27" s="239" t="str">
        <f>T2</f>
        <v>GS&gt;50 kW</v>
      </c>
      <c r="I27" s="240" t="str">
        <f>AA2</f>
        <v>Intermediate</v>
      </c>
      <c r="J27" s="125"/>
      <c r="K27" s="242" t="s">
        <v>174</v>
      </c>
      <c r="L27" s="239" t="str">
        <f>AH2</f>
        <v>Large Use</v>
      </c>
      <c r="M27" s="239" t="str">
        <f>AO2</f>
        <v>Large Use - 3TS</v>
      </c>
      <c r="N27" s="239" t="str">
        <f>AV2</f>
        <v>Large Use - FA</v>
      </c>
      <c r="O27" s="239" t="str">
        <f>BC2</f>
        <v>Street Light</v>
      </c>
      <c r="P27" s="239" t="str">
        <f>BJ2</f>
        <v>Sentinel</v>
      </c>
      <c r="Q27" s="239" t="str">
        <f>BQ2</f>
        <v>USL</v>
      </c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</row>
    <row r="28" spans="2:72">
      <c r="D28" s="127">
        <f t="shared" ref="D28:D37" si="26">B5</f>
        <v>2009</v>
      </c>
      <c r="E28" s="155">
        <f t="shared" ref="E28:E37" ca="1" si="27">E5</f>
        <v>2459288677.7222381</v>
      </c>
      <c r="F28" s="177">
        <f t="shared" ref="F28:F37" ca="1" si="28">L5</f>
        <v>630707544.76267982</v>
      </c>
      <c r="G28" s="177">
        <f t="shared" ref="G28:G37" ca="1" si="29">Q5</f>
        <v>229541720.0122458</v>
      </c>
      <c r="H28" s="177">
        <f t="shared" ref="H28:H37" ca="1" si="30">W5</f>
        <v>929123775.81219018</v>
      </c>
      <c r="I28" s="177">
        <f t="shared" ref="I28:I37" si="31">AD5</f>
        <v>51306801.944982</v>
      </c>
      <c r="K28" s="186">
        <f t="shared" ref="K28:K37" si="32">I5</f>
        <v>2009</v>
      </c>
      <c r="L28" s="177">
        <f t="shared" ref="L28:L37" ca="1" si="33">AK5</f>
        <v>292439562.23267168</v>
      </c>
      <c r="M28" s="177">
        <f t="shared" ref="M28:M37" ca="1" si="34">AR5</f>
        <v>253823156.07115111</v>
      </c>
      <c r="N28" s="177">
        <f t="shared" ref="N28:N37" si="35">AY5</f>
        <v>50208448.727770001</v>
      </c>
      <c r="O28" s="177">
        <f t="shared" ref="O28:O37" si="36">BF5</f>
        <v>16930327.966194</v>
      </c>
      <c r="P28" s="177">
        <f t="shared" ref="P28:P37" si="37">BM5</f>
        <v>992473.34792500013</v>
      </c>
      <c r="Q28" s="177">
        <f t="shared" ref="Q28:Q37" si="38">BT5</f>
        <v>4214866.844428001</v>
      </c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</row>
    <row r="29" spans="2:72">
      <c r="D29" s="186">
        <f t="shared" si="26"/>
        <v>2010</v>
      </c>
      <c r="E29" s="155">
        <f t="shared" ca="1" si="27"/>
        <v>2500017178.1672554</v>
      </c>
      <c r="F29" s="177">
        <f t="shared" ca="1" si="28"/>
        <v>632311051.50082684</v>
      </c>
      <c r="G29" s="177">
        <f t="shared" ca="1" si="29"/>
        <v>222953244.89558995</v>
      </c>
      <c r="H29" s="177">
        <f t="shared" ca="1" si="30"/>
        <v>935985192.15703523</v>
      </c>
      <c r="I29" s="177">
        <f t="shared" si="31"/>
        <v>49071887.882886</v>
      </c>
      <c r="K29" s="186">
        <f t="shared" si="32"/>
        <v>2010</v>
      </c>
      <c r="L29" s="177">
        <f t="shared" ca="1" si="33"/>
        <v>295810980.59895909</v>
      </c>
      <c r="M29" s="177">
        <f t="shared" ca="1" si="34"/>
        <v>287197655.7575056</v>
      </c>
      <c r="N29" s="177">
        <f t="shared" si="35"/>
        <v>54756020.297367997</v>
      </c>
      <c r="O29" s="177">
        <f t="shared" si="36"/>
        <v>16997068.557570998</v>
      </c>
      <c r="P29" s="177">
        <f t="shared" si="37"/>
        <v>953516.90303800011</v>
      </c>
      <c r="Q29" s="177">
        <f t="shared" si="38"/>
        <v>3980559.6164759998</v>
      </c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</row>
    <row r="30" spans="2:72">
      <c r="D30" s="186">
        <f t="shared" si="26"/>
        <v>2011</v>
      </c>
      <c r="E30" s="155">
        <f t="shared" ca="1" si="27"/>
        <v>2467780174.4131336</v>
      </c>
      <c r="F30" s="177">
        <f t="shared" ca="1" si="28"/>
        <v>628669706.03569293</v>
      </c>
      <c r="G30" s="177">
        <f t="shared" ca="1" si="29"/>
        <v>217664155.39898863</v>
      </c>
      <c r="H30" s="177">
        <f t="shared" ca="1" si="30"/>
        <v>943202745.34213531</v>
      </c>
      <c r="I30" s="177">
        <f t="shared" si="31"/>
        <v>48794571.150462002</v>
      </c>
      <c r="K30" s="186">
        <f t="shared" si="32"/>
        <v>2011</v>
      </c>
      <c r="L30" s="177">
        <f t="shared" ca="1" si="33"/>
        <v>300342236.45578402</v>
      </c>
      <c r="M30" s="177">
        <f t="shared" ca="1" si="34"/>
        <v>265542337.9138996</v>
      </c>
      <c r="N30" s="177">
        <f t="shared" si="35"/>
        <v>41936988.305069</v>
      </c>
      <c r="O30" s="177">
        <f t="shared" si="36"/>
        <v>17061700.853792001</v>
      </c>
      <c r="P30" s="177">
        <f t="shared" si="37"/>
        <v>908472.8439770001</v>
      </c>
      <c r="Q30" s="177">
        <f t="shared" si="38"/>
        <v>3657260.1133329999</v>
      </c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</row>
    <row r="31" spans="2:72">
      <c r="D31" s="186">
        <f t="shared" si="26"/>
        <v>2012</v>
      </c>
      <c r="E31" s="155">
        <f t="shared" ca="1" si="27"/>
        <v>2483367967.1423178</v>
      </c>
      <c r="F31" s="177">
        <f t="shared" ca="1" si="28"/>
        <v>627043886.20637274</v>
      </c>
      <c r="G31" s="177">
        <f t="shared" ca="1" si="29"/>
        <v>216136535.17555362</v>
      </c>
      <c r="H31" s="177">
        <f t="shared" ca="1" si="30"/>
        <v>945538430.0325526</v>
      </c>
      <c r="I31" s="177">
        <f t="shared" si="31"/>
        <v>45768539.737902999</v>
      </c>
      <c r="K31" s="186">
        <f t="shared" si="32"/>
        <v>2012</v>
      </c>
      <c r="L31" s="177">
        <f t="shared" ca="1" si="33"/>
        <v>300912994.31345308</v>
      </c>
      <c r="M31" s="177">
        <f t="shared" ca="1" si="34"/>
        <v>280858035.097938</v>
      </c>
      <c r="N31" s="177">
        <f t="shared" si="35"/>
        <v>45336838.931562997</v>
      </c>
      <c r="O31" s="177">
        <f t="shared" si="36"/>
        <v>17377866.278999001</v>
      </c>
      <c r="P31" s="177">
        <f t="shared" si="37"/>
        <v>908923.37890999997</v>
      </c>
      <c r="Q31" s="177">
        <f t="shared" si="38"/>
        <v>3485917.9890729995</v>
      </c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</row>
    <row r="32" spans="2:72">
      <c r="D32" s="186">
        <f t="shared" si="26"/>
        <v>2013</v>
      </c>
      <c r="E32" s="155">
        <f t="shared" ca="1" si="27"/>
        <v>2458279404.2913432</v>
      </c>
      <c r="F32" s="177">
        <f t="shared" ca="1" si="28"/>
        <v>621169656.37073529</v>
      </c>
      <c r="G32" s="177">
        <f t="shared" ca="1" si="29"/>
        <v>212662556.97932491</v>
      </c>
      <c r="H32" s="177">
        <f t="shared" ca="1" si="30"/>
        <v>942101798.42320251</v>
      </c>
      <c r="I32" s="177">
        <f t="shared" si="31"/>
        <v>45666584.426196001</v>
      </c>
      <c r="K32" s="186">
        <f t="shared" si="32"/>
        <v>2013</v>
      </c>
      <c r="L32" s="177">
        <f t="shared" ca="1" si="33"/>
        <v>301585002.37530524</v>
      </c>
      <c r="M32" s="177">
        <f t="shared" ca="1" si="34"/>
        <v>265541554.24181503</v>
      </c>
      <c r="N32" s="177">
        <f t="shared" si="35"/>
        <v>48126674.812411003</v>
      </c>
      <c r="O32" s="177">
        <f t="shared" si="36"/>
        <v>17283102.442827001</v>
      </c>
      <c r="P32" s="177">
        <f t="shared" si="37"/>
        <v>887747.77032600006</v>
      </c>
      <c r="Q32" s="177">
        <f t="shared" si="38"/>
        <v>3254726.4492000001</v>
      </c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</row>
    <row r="33" spans="4:72">
      <c r="D33" s="186">
        <f t="shared" si="26"/>
        <v>2014</v>
      </c>
      <c r="E33" s="155">
        <f t="shared" ca="1" si="27"/>
        <v>2451958872.5127921</v>
      </c>
      <c r="F33" s="177">
        <f t="shared" ca="1" si="28"/>
        <v>617032791.81966138</v>
      </c>
      <c r="G33" s="177">
        <f t="shared" ca="1" si="29"/>
        <v>209571368.222736</v>
      </c>
      <c r="H33" s="177">
        <f t="shared" ca="1" si="30"/>
        <v>942346822.48336196</v>
      </c>
      <c r="I33" s="177">
        <f t="shared" si="31"/>
        <v>47519841.509630993</v>
      </c>
      <c r="K33" s="186">
        <f t="shared" si="32"/>
        <v>2014</v>
      </c>
      <c r="L33" s="177">
        <f t="shared" ca="1" si="33"/>
        <v>301237699.89708626</v>
      </c>
      <c r="M33" s="177">
        <f t="shared" ca="1" si="34"/>
        <v>266219489.74002093</v>
      </c>
      <c r="N33" s="177">
        <f t="shared" si="35"/>
        <v>47308908.679020993</v>
      </c>
      <c r="O33" s="177">
        <f t="shared" si="36"/>
        <v>17360921.051590003</v>
      </c>
      <c r="P33" s="177">
        <f t="shared" si="37"/>
        <v>924204.18281011167</v>
      </c>
      <c r="Q33" s="177">
        <f t="shared" si="38"/>
        <v>2436824.926873663</v>
      </c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</row>
    <row r="34" spans="4:72">
      <c r="D34" s="186">
        <f t="shared" si="26"/>
        <v>2015</v>
      </c>
      <c r="E34" s="155">
        <f t="shared" ca="1" si="27"/>
        <v>2418793449.8417916</v>
      </c>
      <c r="F34" s="177">
        <f t="shared" ca="1" si="28"/>
        <v>614929732.97154629</v>
      </c>
      <c r="G34" s="177">
        <f t="shared" ca="1" si="29"/>
        <v>206452380.30826005</v>
      </c>
      <c r="H34" s="177">
        <f t="shared" ca="1" si="30"/>
        <v>942501868.01125264</v>
      </c>
      <c r="I34" s="177">
        <f t="shared" si="31"/>
        <v>44363940.879999988</v>
      </c>
      <c r="K34" s="186">
        <f t="shared" si="32"/>
        <v>2015</v>
      </c>
      <c r="L34" s="177">
        <f t="shared" ca="1" si="33"/>
        <v>301843894.87625712</v>
      </c>
      <c r="M34" s="177">
        <f t="shared" ca="1" si="34"/>
        <v>241052438.81000003</v>
      </c>
      <c r="N34" s="177">
        <f t="shared" si="35"/>
        <v>47202925.820000008</v>
      </c>
      <c r="O34" s="177">
        <f t="shared" si="36"/>
        <v>17162407.530000001</v>
      </c>
      <c r="P34" s="177">
        <f t="shared" si="37"/>
        <v>873074.41874517407</v>
      </c>
      <c r="Q34" s="177">
        <f t="shared" si="38"/>
        <v>2410786.215730337</v>
      </c>
      <c r="T34" s="177"/>
      <c r="U34" s="177"/>
      <c r="V34" s="177"/>
      <c r="W34" s="177"/>
      <c r="X34" s="177"/>
    </row>
    <row r="35" spans="4:72">
      <c r="D35" s="186">
        <f t="shared" si="26"/>
        <v>2016</v>
      </c>
      <c r="E35" s="155">
        <f t="shared" ca="1" si="27"/>
        <v>2436535327.684195</v>
      </c>
      <c r="F35" s="177">
        <f t="shared" ca="1" si="28"/>
        <v>611201705.25933492</v>
      </c>
      <c r="G35" s="177">
        <f t="shared" ca="1" si="29"/>
        <v>204884734.88631937</v>
      </c>
      <c r="H35" s="177">
        <f t="shared" ca="1" si="30"/>
        <v>944970325.82323682</v>
      </c>
      <c r="I35" s="177">
        <f t="shared" si="31"/>
        <v>44045563.989999995</v>
      </c>
      <c r="K35" s="186">
        <f t="shared" si="32"/>
        <v>2016</v>
      </c>
      <c r="L35" s="177">
        <f t="shared" ca="1" si="33"/>
        <v>305112689.56276673</v>
      </c>
      <c r="M35" s="177">
        <f t="shared" ca="1" si="34"/>
        <v>264027087.00000006</v>
      </c>
      <c r="N35" s="177">
        <f t="shared" si="35"/>
        <v>44370766.850000001</v>
      </c>
      <c r="O35" s="177">
        <f t="shared" si="36"/>
        <v>14655212.350000001</v>
      </c>
      <c r="P35" s="177">
        <f t="shared" si="37"/>
        <v>851684.96253724198</v>
      </c>
      <c r="Q35" s="177">
        <f t="shared" si="38"/>
        <v>2415557</v>
      </c>
    </row>
    <row r="36" spans="4:72">
      <c r="D36" s="186">
        <f t="shared" si="26"/>
        <v>2017</v>
      </c>
      <c r="E36" s="155">
        <f t="shared" ca="1" si="27"/>
        <v>2407017882.9398999</v>
      </c>
      <c r="F36" s="177">
        <f t="shared" ca="1" si="28"/>
        <v>597615778.32428527</v>
      </c>
      <c r="G36" s="177">
        <f t="shared" ca="1" si="29"/>
        <v>203634326.42149118</v>
      </c>
      <c r="H36" s="177">
        <f t="shared" ca="1" si="30"/>
        <v>946698267.70046031</v>
      </c>
      <c r="I36" s="177">
        <f t="shared" si="31"/>
        <v>44136954.399999991</v>
      </c>
      <c r="K36" s="186">
        <f t="shared" si="32"/>
        <v>2017</v>
      </c>
      <c r="L36" s="177">
        <f t="shared" ca="1" si="33"/>
        <v>309339473.95366311</v>
      </c>
      <c r="M36" s="177">
        <f t="shared" ca="1" si="34"/>
        <v>252589949.61000001</v>
      </c>
      <c r="N36" s="177">
        <f t="shared" si="35"/>
        <v>42875821.289999999</v>
      </c>
      <c r="O36" s="177">
        <f t="shared" si="36"/>
        <v>6962744.2999999998</v>
      </c>
      <c r="P36" s="177">
        <f t="shared" si="37"/>
        <v>795950.62000000011</v>
      </c>
      <c r="Q36" s="177">
        <f t="shared" si="38"/>
        <v>2368616.3200000003</v>
      </c>
    </row>
    <row r="37" spans="4:72">
      <c r="D37" s="186">
        <f t="shared" si="26"/>
        <v>2018</v>
      </c>
      <c r="E37" s="155">
        <f t="shared" ca="1" si="27"/>
        <v>2399142447.4228134</v>
      </c>
      <c r="F37" s="177">
        <f t="shared" ca="1" si="28"/>
        <v>592076679.01897192</v>
      </c>
      <c r="G37" s="177">
        <f t="shared" ca="1" si="29"/>
        <v>204018649.6875526</v>
      </c>
      <c r="H37" s="177">
        <f t="shared" ca="1" si="30"/>
        <v>937869077.8102895</v>
      </c>
      <c r="I37" s="177">
        <f t="shared" si="31"/>
        <v>41120567.090000004</v>
      </c>
      <c r="K37" s="186">
        <f t="shared" si="32"/>
        <v>2018</v>
      </c>
      <c r="L37" s="177">
        <f t="shared" ca="1" si="33"/>
        <v>314516690.49578923</v>
      </c>
      <c r="M37" s="177">
        <f t="shared" ca="1" si="34"/>
        <v>254635666.92999998</v>
      </c>
      <c r="N37" s="177">
        <f t="shared" si="35"/>
        <v>45402739.360000007</v>
      </c>
      <c r="O37" s="177">
        <f t="shared" si="36"/>
        <v>6467781.0800000001</v>
      </c>
      <c r="P37" s="177">
        <f t="shared" si="37"/>
        <v>768231.72021026898</v>
      </c>
      <c r="Q37" s="177">
        <f t="shared" si="38"/>
        <v>2266364.23</v>
      </c>
    </row>
    <row r="38" spans="4:72">
      <c r="D38" s="236">
        <v>2019</v>
      </c>
      <c r="E38" s="237">
        <f ca="1">EXP(E67)</f>
        <v>2396866106.2844276</v>
      </c>
      <c r="F38" s="237">
        <f t="shared" ref="F38:I38" ca="1" si="39">EXP(F67)</f>
        <v>593531015.93474448</v>
      </c>
      <c r="G38" s="237">
        <f t="shared" ca="1" si="39"/>
        <v>197889089.9731417</v>
      </c>
      <c r="H38" s="237">
        <f t="shared" ca="1" si="39"/>
        <v>946177057.41769278</v>
      </c>
      <c r="I38" s="237">
        <f t="shared" si="39"/>
        <v>41291133.410627775</v>
      </c>
      <c r="K38" s="236">
        <v>2019</v>
      </c>
      <c r="L38" s="237">
        <f t="shared" ref="L38:Q39" ca="1" si="40">EXP(J67)</f>
        <v>313073863.18331182</v>
      </c>
      <c r="M38" s="237">
        <f t="shared" ca="1" si="40"/>
        <v>251229024.50197938</v>
      </c>
      <c r="N38" s="237">
        <f t="shared" si="40"/>
        <v>43280137.055840269</v>
      </c>
      <c r="O38" s="237">
        <f t="shared" si="40"/>
        <v>8297409.590372704</v>
      </c>
      <c r="P38" s="237">
        <f t="shared" si="40"/>
        <v>774384.9897903516</v>
      </c>
      <c r="Q38" s="237">
        <f t="shared" si="40"/>
        <v>1944394.1379909492</v>
      </c>
    </row>
    <row r="39" spans="4:72" s="186" customFormat="1">
      <c r="D39" s="236">
        <v>2020</v>
      </c>
      <c r="E39" s="237">
        <f ca="1">EXP(E68)</f>
        <v>2387680730.602736</v>
      </c>
      <c r="F39" s="237">
        <f t="shared" ref="F39:I39" ca="1" si="41">EXP(F68)</f>
        <v>589337258.18587041</v>
      </c>
      <c r="G39" s="237">
        <f t="shared" ca="1" si="41"/>
        <v>195327254.15858158</v>
      </c>
      <c r="H39" s="237">
        <f t="shared" ca="1" si="41"/>
        <v>947117694.57546413</v>
      </c>
      <c r="I39" s="237">
        <f t="shared" si="41"/>
        <v>40473647.088686466</v>
      </c>
      <c r="K39" s="236">
        <v>2020</v>
      </c>
      <c r="L39" s="237">
        <f t="shared" ca="1" si="40"/>
        <v>315081955.35913926</v>
      </c>
      <c r="M39" s="237">
        <f t="shared" ca="1" si="40"/>
        <v>249174913.28036776</v>
      </c>
      <c r="N39" s="237">
        <f t="shared" si="40"/>
        <v>42698715.332821712</v>
      </c>
      <c r="O39" s="237">
        <f t="shared" si="40"/>
        <v>7544256.8623605119</v>
      </c>
      <c r="P39" s="237">
        <f t="shared" si="40"/>
        <v>755963.56717356353</v>
      </c>
      <c r="Q39" s="237">
        <f t="shared" si="40"/>
        <v>1800486.2468355629</v>
      </c>
    </row>
    <row r="40" spans="4:72" s="186" customFormat="1">
      <c r="E40" s="155"/>
    </row>
    <row r="41" spans="4:72" s="186" customFormat="1">
      <c r="E41" s="155"/>
    </row>
    <row r="42" spans="4:72" ht="25.5">
      <c r="D42" s="242" t="s">
        <v>183</v>
      </c>
      <c r="E42" s="241" t="str">
        <f>E27</f>
        <v>Total System</v>
      </c>
      <c r="F42" s="240" t="str">
        <f>T2</f>
        <v>GS&gt;50 kW</v>
      </c>
      <c r="G42" s="240" t="str">
        <f>I27</f>
        <v>Intermediate</v>
      </c>
      <c r="H42" s="239" t="str">
        <f>L27</f>
        <v>Large Use</v>
      </c>
      <c r="I42" s="239" t="str">
        <f>M27</f>
        <v>Large Use - 3TS</v>
      </c>
      <c r="J42" s="239" t="str">
        <f>N27</f>
        <v>Large Use - FA</v>
      </c>
      <c r="K42" s="239" t="str">
        <f>O27</f>
        <v>Street Light</v>
      </c>
      <c r="L42" s="239" t="str">
        <f>P27</f>
        <v>Sentinel</v>
      </c>
    </row>
    <row r="43" spans="4:72">
      <c r="D43" s="127">
        <f t="shared" ref="D43:D52" si="42">B5</f>
        <v>2009</v>
      </c>
      <c r="E43" s="179">
        <f t="shared" ref="E43:E52" ca="1" si="43">G5</f>
        <v>4078821.9284135206</v>
      </c>
      <c r="F43" s="230">
        <f t="shared" ref="F43:F52" ca="1" si="44">Y5</f>
        <v>2471268.9624775965</v>
      </c>
      <c r="G43" s="230">
        <f t="shared" ref="G43:G52" si="45">AF5</f>
        <v>130057.313337</v>
      </c>
      <c r="H43" s="230">
        <f t="shared" ref="H43:H52" ca="1" si="46">AM5</f>
        <v>591713.7791579247</v>
      </c>
      <c r="I43" s="230">
        <f t="shared" ref="I43:I52" si="47">AT5</f>
        <v>739222.92477000004</v>
      </c>
      <c r="J43" s="230">
        <f t="shared" ref="J43:J52" si="48">BA5</f>
        <v>95070.414779999992</v>
      </c>
      <c r="K43" s="230">
        <f t="shared" ref="K43:K52" si="49">BH5</f>
        <v>48739.06</v>
      </c>
      <c r="L43" s="230">
        <f t="shared" ref="L43:L52" si="50">BO5</f>
        <v>2749.4738910000001</v>
      </c>
    </row>
    <row r="44" spans="4:72">
      <c r="D44" s="186">
        <f t="shared" si="42"/>
        <v>2010</v>
      </c>
      <c r="E44" s="179">
        <f t="shared" ca="1" si="43"/>
        <v>3954081.7621783977</v>
      </c>
      <c r="F44" s="230">
        <f t="shared" ca="1" si="44"/>
        <v>2394134.3722013542</v>
      </c>
      <c r="G44" s="230">
        <f t="shared" si="45"/>
        <v>130265.67708899999</v>
      </c>
      <c r="H44" s="230">
        <f t="shared" ca="1" si="46"/>
        <v>580654.95254304376</v>
      </c>
      <c r="I44" s="230">
        <f t="shared" si="47"/>
        <v>698063.14066499996</v>
      </c>
      <c r="J44" s="230">
        <f t="shared" si="48"/>
        <v>99529.309439999997</v>
      </c>
      <c r="K44" s="230">
        <f t="shared" si="49"/>
        <v>48810.080000000009</v>
      </c>
      <c r="L44" s="230">
        <f t="shared" si="50"/>
        <v>2624.2302400000003</v>
      </c>
    </row>
    <row r="45" spans="4:72">
      <c r="D45" s="186">
        <f t="shared" si="42"/>
        <v>2011</v>
      </c>
      <c r="E45" s="179">
        <f t="shared" ca="1" si="43"/>
        <v>3863954.8915121597</v>
      </c>
      <c r="F45" s="230">
        <f t="shared" ca="1" si="44"/>
        <v>2443346.8134151245</v>
      </c>
      <c r="G45" s="230">
        <f t="shared" si="45"/>
        <v>130751.70967799998</v>
      </c>
      <c r="H45" s="230">
        <f t="shared" ca="1" si="46"/>
        <v>585994.50836703542</v>
      </c>
      <c r="I45" s="230">
        <f t="shared" si="47"/>
        <v>574891.871697</v>
      </c>
      <c r="J45" s="230">
        <f t="shared" si="48"/>
        <v>77154.613469999997</v>
      </c>
      <c r="K45" s="230">
        <f t="shared" si="49"/>
        <v>49249.500000000007</v>
      </c>
      <c r="L45" s="230">
        <f t="shared" si="50"/>
        <v>2565.8748849999997</v>
      </c>
    </row>
    <row r="46" spans="4:72">
      <c r="D46" s="186">
        <f t="shared" si="42"/>
        <v>2012</v>
      </c>
      <c r="E46" s="179">
        <f t="shared" ca="1" si="43"/>
        <v>3806906.0189367714</v>
      </c>
      <c r="F46" s="230">
        <f t="shared" ca="1" si="44"/>
        <v>2415708.3282324029</v>
      </c>
      <c r="G46" s="230">
        <f t="shared" si="45"/>
        <v>127750.54842900002</v>
      </c>
      <c r="H46" s="230">
        <f t="shared" ca="1" si="46"/>
        <v>570675.966168368</v>
      </c>
      <c r="I46" s="230">
        <f t="shared" si="47"/>
        <v>559020.80044799997</v>
      </c>
      <c r="J46" s="230">
        <f t="shared" si="48"/>
        <v>81689.161949999994</v>
      </c>
      <c r="K46" s="230">
        <f t="shared" si="49"/>
        <v>49565.55999999999</v>
      </c>
      <c r="L46" s="230">
        <f t="shared" si="50"/>
        <v>2495.6537090000002</v>
      </c>
    </row>
    <row r="47" spans="4:72">
      <c r="D47" s="186">
        <f t="shared" si="42"/>
        <v>2013</v>
      </c>
      <c r="E47" s="179">
        <f t="shared" ca="1" si="43"/>
        <v>3809538.0735702086</v>
      </c>
      <c r="F47" s="230">
        <f t="shared" ca="1" si="44"/>
        <v>2442786.0375756612</v>
      </c>
      <c r="G47" s="230">
        <f t="shared" si="45"/>
        <v>129021.099858</v>
      </c>
      <c r="H47" s="230">
        <f t="shared" ca="1" si="46"/>
        <v>564444.78914054786</v>
      </c>
      <c r="I47" s="230">
        <f t="shared" si="47"/>
        <v>535816.2171779999</v>
      </c>
      <c r="J47" s="230">
        <f t="shared" si="48"/>
        <v>85550.828219999981</v>
      </c>
      <c r="K47" s="230">
        <f t="shared" si="49"/>
        <v>49480.340000000004</v>
      </c>
      <c r="L47" s="230">
        <f t="shared" si="50"/>
        <v>2438.761598</v>
      </c>
    </row>
    <row r="48" spans="4:72">
      <c r="D48" s="186">
        <f t="shared" si="42"/>
        <v>2014</v>
      </c>
      <c r="E48" s="179">
        <f t="shared" ca="1" si="43"/>
        <v>3760718.4498345251</v>
      </c>
      <c r="F48" s="230">
        <f t="shared" ca="1" si="44"/>
        <v>2405968.3096616617</v>
      </c>
      <c r="G48" s="230">
        <f t="shared" si="45"/>
        <v>131071.55</v>
      </c>
      <c r="H48" s="230">
        <f t="shared" ca="1" si="46"/>
        <v>560435.54157886317</v>
      </c>
      <c r="I48" s="230">
        <f t="shared" si="47"/>
        <v>524555.20000000007</v>
      </c>
      <c r="J48" s="230">
        <f t="shared" si="48"/>
        <v>86734.079999999987</v>
      </c>
      <c r="K48" s="230">
        <f t="shared" si="49"/>
        <v>49412.19</v>
      </c>
      <c r="L48" s="230">
        <f t="shared" si="50"/>
        <v>2541.5785940000001</v>
      </c>
    </row>
    <row r="49" spans="4:15">
      <c r="D49" s="186">
        <f t="shared" si="42"/>
        <v>2015</v>
      </c>
      <c r="E49" s="179">
        <f t="shared" ca="1" si="43"/>
        <v>3721448.2172801876</v>
      </c>
      <c r="F49" s="230">
        <f t="shared" ca="1" si="44"/>
        <v>2409392.1739748446</v>
      </c>
      <c r="G49" s="230">
        <f t="shared" si="45"/>
        <v>128585.56999999999</v>
      </c>
      <c r="H49" s="230">
        <f t="shared" ca="1" si="46"/>
        <v>561307.74330534309</v>
      </c>
      <c r="I49" s="230">
        <f t="shared" si="47"/>
        <v>487724.93000000005</v>
      </c>
      <c r="J49" s="230">
        <f t="shared" si="48"/>
        <v>82844.529999999984</v>
      </c>
      <c r="K49" s="230">
        <f t="shared" si="49"/>
        <v>49145.369999999995</v>
      </c>
      <c r="L49" s="230">
        <f t="shared" si="50"/>
        <v>2447.9</v>
      </c>
    </row>
    <row r="50" spans="4:15">
      <c r="D50" s="186">
        <f t="shared" si="42"/>
        <v>2016</v>
      </c>
      <c r="E50" s="179">
        <f t="shared" ca="1" si="43"/>
        <v>3704162.22800344</v>
      </c>
      <c r="F50" s="230">
        <f t="shared" ca="1" si="44"/>
        <v>2377927.7038924182</v>
      </c>
      <c r="G50" s="230">
        <f t="shared" si="45"/>
        <v>130216.19</v>
      </c>
      <c r="H50" s="230">
        <f t="shared" ca="1" si="46"/>
        <v>559642.2141110216</v>
      </c>
      <c r="I50" s="230">
        <f t="shared" si="47"/>
        <v>515986.85</v>
      </c>
      <c r="J50" s="230">
        <f t="shared" si="48"/>
        <v>74821.62</v>
      </c>
      <c r="K50" s="230">
        <f t="shared" si="49"/>
        <v>43202.96</v>
      </c>
      <c r="L50" s="230">
        <f t="shared" si="50"/>
        <v>2364.69</v>
      </c>
    </row>
    <row r="51" spans="4:15">
      <c r="D51" s="186">
        <f t="shared" si="42"/>
        <v>2017</v>
      </c>
      <c r="E51" s="179">
        <f t="shared" ca="1" si="43"/>
        <v>3709817.7911895914</v>
      </c>
      <c r="F51" s="230">
        <f t="shared" ca="1" si="44"/>
        <v>2421107.412514023</v>
      </c>
      <c r="G51" s="230">
        <f t="shared" si="45"/>
        <v>133091.57999999999</v>
      </c>
      <c r="H51" s="230">
        <f t="shared" ca="1" si="46"/>
        <v>567042.68867556844</v>
      </c>
      <c r="I51" s="230">
        <f t="shared" si="47"/>
        <v>495653.43</v>
      </c>
      <c r="J51" s="230">
        <f t="shared" si="48"/>
        <v>70873.779999999984</v>
      </c>
      <c r="K51" s="230">
        <f t="shared" si="49"/>
        <v>19819.260000000002</v>
      </c>
      <c r="L51" s="230">
        <f t="shared" si="50"/>
        <v>2229.64</v>
      </c>
    </row>
    <row r="52" spans="4:15">
      <c r="D52" s="186">
        <f t="shared" si="42"/>
        <v>2018</v>
      </c>
      <c r="E52" s="179">
        <f t="shared" ca="1" si="43"/>
        <v>3668547.9461793662</v>
      </c>
      <c r="F52" s="230">
        <f t="shared" ca="1" si="44"/>
        <v>2381358.1782545815</v>
      </c>
      <c r="G52" s="230">
        <f t="shared" si="45"/>
        <v>128455.81999999999</v>
      </c>
      <c r="H52" s="230">
        <f t="shared" ca="1" si="46"/>
        <v>569483.15792478516</v>
      </c>
      <c r="I52" s="230">
        <f t="shared" si="47"/>
        <v>494552.82999999996</v>
      </c>
      <c r="J52" s="230">
        <f t="shared" si="48"/>
        <v>73849.089999999982</v>
      </c>
      <c r="K52" s="230">
        <f t="shared" si="49"/>
        <v>18707.3</v>
      </c>
      <c r="L52" s="230">
        <f t="shared" si="50"/>
        <v>2141.5699999999997</v>
      </c>
    </row>
    <row r="53" spans="4:15">
      <c r="D53" s="236">
        <v>2019</v>
      </c>
      <c r="E53" s="237">
        <f ca="1">EXP(E82)</f>
        <v>3597112.5589768351</v>
      </c>
      <c r="F53" s="237">
        <f t="shared" ref="F53:L53" ca="1" si="51">EXP(F82)</f>
        <v>2383035.8813104243</v>
      </c>
      <c r="G53" s="237">
        <f t="shared" si="51"/>
        <v>130150.3110442515</v>
      </c>
      <c r="H53" s="237">
        <f t="shared" ca="1" si="51"/>
        <v>556059.33089211734</v>
      </c>
      <c r="I53" s="237">
        <f t="shared" si="51"/>
        <v>441309.05050857418</v>
      </c>
      <c r="J53" s="237">
        <f t="shared" si="51"/>
        <v>70302.942468200752</v>
      </c>
      <c r="K53" s="237">
        <f t="shared" si="51"/>
        <v>23926.010183354552</v>
      </c>
      <c r="L53" s="237">
        <f t="shared" si="51"/>
        <v>2160.8713086914286</v>
      </c>
    </row>
    <row r="54" spans="4:15">
      <c r="D54" s="236">
        <v>2020</v>
      </c>
      <c r="E54" s="237">
        <f ca="1">EXP(E83)</f>
        <v>3560400.2581827352</v>
      </c>
      <c r="F54" s="237">
        <f t="shared" ref="F54:L54" ca="1" si="52">EXP(F83)</f>
        <v>2377066.1180946813</v>
      </c>
      <c r="G54" s="237">
        <f t="shared" si="52"/>
        <v>130192.52629365762</v>
      </c>
      <c r="H54" s="237">
        <f t="shared" ca="1" si="52"/>
        <v>553378.03451604536</v>
      </c>
      <c r="I54" s="237">
        <f t="shared" si="52"/>
        <v>423015.37698840437</v>
      </c>
      <c r="J54" s="237">
        <f t="shared" si="52"/>
        <v>68308.809068763367</v>
      </c>
      <c r="K54" s="237">
        <f t="shared" si="52"/>
        <v>21766.377344467943</v>
      </c>
      <c r="L54" s="237">
        <f t="shared" si="52"/>
        <v>2111.4902629888657</v>
      </c>
    </row>
    <row r="55" spans="4:15">
      <c r="E55" s="155"/>
      <c r="F55" s="155"/>
      <c r="G55" s="155"/>
      <c r="H55" s="155"/>
      <c r="I55" s="155"/>
      <c r="J55" s="155"/>
      <c r="K55" s="155"/>
      <c r="L55" s="155"/>
    </row>
    <row r="57" spans="4:15">
      <c r="D57" s="127">
        <f>D28</f>
        <v>2009</v>
      </c>
      <c r="E57" s="127">
        <f ca="1">LN(E28)</f>
        <v>21.623137989679737</v>
      </c>
      <c r="F57" s="186">
        <f t="shared" ref="F57:I57" ca="1" si="53">LN(F28)</f>
        <v>20.262352834084414</v>
      </c>
      <c r="G57" s="186">
        <f t="shared" ca="1" si="53"/>
        <v>19.251595357489435</v>
      </c>
      <c r="H57" s="186">
        <f t="shared" ca="1" si="53"/>
        <v>20.649752523438234</v>
      </c>
      <c r="I57" s="186">
        <f t="shared" si="53"/>
        <v>17.753333892871638</v>
      </c>
      <c r="J57" s="186">
        <f t="shared" ref="J57:J66" ca="1" si="54">LN(L28)</f>
        <v>19.493768578440765</v>
      </c>
      <c r="K57" s="186">
        <f t="shared" ref="K57:K66" ca="1" si="55">LN(M28)</f>
        <v>19.352148346557662</v>
      </c>
      <c r="L57" s="186">
        <f t="shared" ref="L57:L66" si="56">LN(N28)</f>
        <v>17.731693871850876</v>
      </c>
      <c r="M57" s="186">
        <f t="shared" ref="M57:M66" si="57">LN(O28)</f>
        <v>16.644617125817373</v>
      </c>
      <c r="N57" s="186">
        <f t="shared" ref="N57:N66" si="58">LN(P28)</f>
        <v>13.807955437706852</v>
      </c>
      <c r="O57" s="186">
        <f t="shared" ref="O57:O66" si="59">LN(Q28)</f>
        <v>15.254128558036054</v>
      </c>
    </row>
    <row r="58" spans="4:15">
      <c r="D58" s="186">
        <f t="shared" ref="D58:D83" si="60">D29</f>
        <v>2010</v>
      </c>
      <c r="E58" s="186">
        <f t="shared" ref="E58:I64" ca="1" si="61">LN(E29)</f>
        <v>21.63956344006386</v>
      </c>
      <c r="F58" s="186">
        <f t="shared" ca="1" si="61"/>
        <v>20.2648920011314</v>
      </c>
      <c r="G58" s="186">
        <f t="shared" ca="1" si="61"/>
        <v>19.222472643296456</v>
      </c>
      <c r="H58" s="186">
        <f t="shared" ca="1" si="61"/>
        <v>20.657110213971674</v>
      </c>
      <c r="I58" s="186">
        <f t="shared" si="61"/>
        <v>17.708796880586373</v>
      </c>
      <c r="J58" s="186">
        <f t="shared" ca="1" si="54"/>
        <v>19.505231229252317</v>
      </c>
      <c r="K58" s="186">
        <f t="shared" ca="1" si="55"/>
        <v>19.475681232700801</v>
      </c>
      <c r="L58" s="186">
        <f t="shared" si="56"/>
        <v>17.818397880385032</v>
      </c>
      <c r="M58" s="186">
        <f t="shared" si="57"/>
        <v>16.648551449361445</v>
      </c>
      <c r="N58" s="186">
        <f t="shared" si="58"/>
        <v>13.767912431225735</v>
      </c>
      <c r="O58" s="186">
        <f t="shared" si="59"/>
        <v>15.196932974531135</v>
      </c>
    </row>
    <row r="59" spans="4:15">
      <c r="D59" s="186">
        <f t="shared" si="60"/>
        <v>2011</v>
      </c>
      <c r="E59" s="186">
        <f t="shared" ca="1" si="61"/>
        <v>21.62658486868752</v>
      </c>
      <c r="F59" s="186">
        <f t="shared" ca="1" si="61"/>
        <v>20.259116567105174</v>
      </c>
      <c r="G59" s="186">
        <f t="shared" ca="1" si="61"/>
        <v>19.198463861288531</v>
      </c>
      <c r="H59" s="186">
        <f t="shared" ca="1" si="61"/>
        <v>20.664791817851281</v>
      </c>
      <c r="I59" s="186">
        <f t="shared" si="61"/>
        <v>17.703129617718215</v>
      </c>
      <c r="J59" s="186">
        <f t="shared" ca="1" si="54"/>
        <v>19.520433170602029</v>
      </c>
      <c r="K59" s="186">
        <f t="shared" ca="1" si="55"/>
        <v>19.397284850768884</v>
      </c>
      <c r="L59" s="186">
        <f t="shared" si="56"/>
        <v>17.551678771252295</v>
      </c>
      <c r="M59" s="186">
        <f t="shared" si="57"/>
        <v>16.652346793404799</v>
      </c>
      <c r="N59" s="186">
        <f t="shared" si="58"/>
        <v>13.719520275317132</v>
      </c>
      <c r="O59" s="186">
        <f t="shared" si="59"/>
        <v>15.112224822119988</v>
      </c>
    </row>
    <row r="60" spans="4:15">
      <c r="D60" s="186">
        <f t="shared" si="60"/>
        <v>2012</v>
      </c>
      <c r="E60" s="186">
        <f t="shared" ca="1" si="61"/>
        <v>21.632881527072779</v>
      </c>
      <c r="F60" s="186">
        <f t="shared" ca="1" si="61"/>
        <v>20.25652709009729</v>
      </c>
      <c r="G60" s="186">
        <f t="shared" ca="1" si="61"/>
        <v>19.191420873247001</v>
      </c>
      <c r="H60" s="186">
        <f t="shared" ca="1" si="61"/>
        <v>20.667265090432512</v>
      </c>
      <c r="I60" s="186">
        <f t="shared" si="61"/>
        <v>17.639107507770923</v>
      </c>
      <c r="J60" s="186">
        <f t="shared" ca="1" si="54"/>
        <v>19.52233172549154</v>
      </c>
      <c r="K60" s="186">
        <f t="shared" ca="1" si="55"/>
        <v>19.453359886460245</v>
      </c>
      <c r="L60" s="186">
        <f t="shared" si="56"/>
        <v>17.629630481415166</v>
      </c>
      <c r="M60" s="186">
        <f t="shared" si="57"/>
        <v>16.670707901507569</v>
      </c>
      <c r="N60" s="186">
        <f t="shared" si="58"/>
        <v>13.720016077978714</v>
      </c>
      <c r="O60" s="186">
        <f t="shared" si="59"/>
        <v>15.064241978988752</v>
      </c>
    </row>
    <row r="61" spans="4:15">
      <c r="D61" s="186">
        <f t="shared" si="60"/>
        <v>2013</v>
      </c>
      <c r="E61" s="186">
        <f t="shared" ca="1" si="61"/>
        <v>21.622727513026142</v>
      </c>
      <c r="F61" s="186">
        <f t="shared" ca="1" si="61"/>
        <v>20.247114801250422</v>
      </c>
      <c r="G61" s="186">
        <f t="shared" ca="1" si="61"/>
        <v>19.175217227905605</v>
      </c>
      <c r="H61" s="186">
        <f t="shared" ca="1" si="61"/>
        <v>20.66362389296857</v>
      </c>
      <c r="I61" s="186">
        <f t="shared" si="61"/>
        <v>17.63687739423645</v>
      </c>
      <c r="J61" s="186">
        <f t="shared" ca="1" si="54"/>
        <v>19.524562465989323</v>
      </c>
      <c r="K61" s="186">
        <f t="shared" ca="1" si="55"/>
        <v>19.397281899551206</v>
      </c>
      <c r="L61" s="186">
        <f t="shared" si="56"/>
        <v>17.689347151263522</v>
      </c>
      <c r="M61" s="186">
        <f t="shared" si="57"/>
        <v>16.665239844740345</v>
      </c>
      <c r="N61" s="186">
        <f t="shared" si="58"/>
        <v>13.69644293920094</v>
      </c>
      <c r="O61" s="186">
        <f t="shared" si="59"/>
        <v>14.995618789908901</v>
      </c>
    </row>
    <row r="62" spans="4:15">
      <c r="D62" s="186">
        <f t="shared" si="60"/>
        <v>2014</v>
      </c>
      <c r="E62" s="186">
        <f t="shared" ca="1" si="61"/>
        <v>21.62015308184251</v>
      </c>
      <c r="F62" s="186">
        <f t="shared" ca="1" si="61"/>
        <v>20.240432727652962</v>
      </c>
      <c r="G62" s="186">
        <f t="shared" ca="1" si="61"/>
        <v>19.160574899089497</v>
      </c>
      <c r="H62" s="186">
        <f t="shared" ca="1" si="61"/>
        <v>20.663883941514143</v>
      </c>
      <c r="I62" s="186">
        <f t="shared" si="61"/>
        <v>17.676657897778064</v>
      </c>
      <c r="J62" s="186">
        <f t="shared" ca="1" si="54"/>
        <v>19.523410211718421</v>
      </c>
      <c r="K62" s="186">
        <f t="shared" ca="1" si="55"/>
        <v>19.399831675895943</v>
      </c>
      <c r="L62" s="186">
        <f t="shared" si="56"/>
        <v>17.672209179892974</v>
      </c>
      <c r="M62" s="186">
        <f t="shared" si="57"/>
        <v>16.669732321756225</v>
      </c>
      <c r="N62" s="186">
        <f t="shared" si="58"/>
        <v>13.736688303279205</v>
      </c>
      <c r="O62" s="186">
        <f t="shared" si="59"/>
        <v>14.706206490418081</v>
      </c>
    </row>
    <row r="63" spans="4:15">
      <c r="D63" s="186">
        <f t="shared" si="60"/>
        <v>2015</v>
      </c>
      <c r="E63" s="186">
        <f t="shared" ca="1" si="61"/>
        <v>21.606534678339901</v>
      </c>
      <c r="F63" s="186">
        <f t="shared" ca="1" si="61"/>
        <v>20.237018563912336</v>
      </c>
      <c r="G63" s="186">
        <f t="shared" ca="1" si="61"/>
        <v>19.145580339938117</v>
      </c>
      <c r="H63" s="186">
        <f t="shared" ca="1" si="61"/>
        <v>20.664048459259281</v>
      </c>
      <c r="I63" s="186">
        <f t="shared" si="61"/>
        <v>17.607937555093855</v>
      </c>
      <c r="J63" s="186">
        <f t="shared" ca="1" si="54"/>
        <v>19.525420537314762</v>
      </c>
      <c r="K63" s="186">
        <f t="shared" ca="1" si="55"/>
        <v>19.300525056209239</v>
      </c>
      <c r="L63" s="186">
        <f t="shared" si="56"/>
        <v>17.669966436346488</v>
      </c>
      <c r="M63" s="186">
        <f t="shared" si="57"/>
        <v>16.658231941134162</v>
      </c>
      <c r="N63" s="186">
        <f t="shared" si="58"/>
        <v>13.679776076028437</v>
      </c>
      <c r="O63" s="186">
        <f t="shared" si="59"/>
        <v>14.69546348285871</v>
      </c>
    </row>
    <row r="64" spans="4:15">
      <c r="D64" s="186">
        <f t="shared" si="60"/>
        <v>2016</v>
      </c>
      <c r="E64" s="186">
        <f t="shared" ca="1" si="61"/>
        <v>21.613842919500076</v>
      </c>
      <c r="F64" s="186">
        <f t="shared" ca="1" si="61"/>
        <v>20.230937585831239</v>
      </c>
      <c r="G64" s="186">
        <f t="shared" ca="1" si="61"/>
        <v>19.137958110123055</v>
      </c>
      <c r="H64" s="186">
        <f t="shared" ca="1" si="61"/>
        <v>20.666664083719734</v>
      </c>
      <c r="I64" s="186">
        <f t="shared" si="61"/>
        <v>17.600735201302719</v>
      </c>
      <c r="J64" s="186">
        <f t="shared" ca="1" si="54"/>
        <v>19.536191740309267</v>
      </c>
      <c r="K64" s="186">
        <f t="shared" ca="1" si="55"/>
        <v>19.391562258120064</v>
      </c>
      <c r="L64" s="186">
        <f t="shared" si="56"/>
        <v>17.60809140627989</v>
      </c>
      <c r="M64" s="186">
        <f t="shared" si="57"/>
        <v>16.500306621957328</v>
      </c>
      <c r="N64" s="186">
        <f t="shared" si="58"/>
        <v>13.654971975152291</v>
      </c>
      <c r="O64" s="186">
        <f t="shared" si="59"/>
        <v>14.69744046029702</v>
      </c>
    </row>
    <row r="65" spans="4:15">
      <c r="D65" s="186">
        <f t="shared" si="60"/>
        <v>2017</v>
      </c>
      <c r="E65" s="186">
        <f t="shared" ref="E65:I65" ca="1" si="62">LN(E36)</f>
        <v>21.601654425275168</v>
      </c>
      <c r="F65" s="186">
        <f t="shared" ca="1" si="62"/>
        <v>20.20845859425275</v>
      </c>
      <c r="G65" s="186">
        <f t="shared" ca="1" si="62"/>
        <v>19.131836425784769</v>
      </c>
      <c r="H65" s="186">
        <f t="shared" ca="1" si="62"/>
        <v>20.668490981267997</v>
      </c>
      <c r="I65" s="186">
        <f t="shared" si="62"/>
        <v>17.60280795777166</v>
      </c>
      <c r="J65" s="186">
        <f t="shared" ca="1" si="54"/>
        <v>19.54994985302864</v>
      </c>
      <c r="K65" s="186">
        <f t="shared" ca="1" si="55"/>
        <v>19.347277979321891</v>
      </c>
      <c r="L65" s="186">
        <f t="shared" si="56"/>
        <v>17.573818618718811</v>
      </c>
      <c r="M65" s="186">
        <f t="shared" si="57"/>
        <v>15.756084250573382</v>
      </c>
      <c r="N65" s="186">
        <f t="shared" si="58"/>
        <v>13.58729242772638</v>
      </c>
      <c r="O65" s="186">
        <f t="shared" si="59"/>
        <v>14.677816511391873</v>
      </c>
    </row>
    <row r="66" spans="4:15">
      <c r="D66" s="186">
        <f t="shared" si="60"/>
        <v>2018</v>
      </c>
      <c r="E66" s="186">
        <f t="shared" ref="E66:I66" ca="1" si="63">LN(E37)</f>
        <v>21.598377196874779</v>
      </c>
      <c r="F66" s="186">
        <f t="shared" ca="1" si="63"/>
        <v>20.19914670983048</v>
      </c>
      <c r="G66" s="186">
        <f t="shared" ca="1" si="63"/>
        <v>19.133721967666958</v>
      </c>
      <c r="H66" s="186">
        <f t="shared" ca="1" si="63"/>
        <v>20.659120921333663</v>
      </c>
      <c r="I66" s="186">
        <f t="shared" si="63"/>
        <v>17.53201897011531</v>
      </c>
      <c r="J66" s="186">
        <f t="shared" ca="1" si="54"/>
        <v>19.566547702635525</v>
      </c>
      <c r="K66" s="186">
        <f t="shared" ca="1" si="55"/>
        <v>19.355344324338727</v>
      </c>
      <c r="L66" s="186">
        <f t="shared" si="56"/>
        <v>17.631082999517282</v>
      </c>
      <c r="M66" s="186">
        <f t="shared" si="57"/>
        <v>15.682343652476764</v>
      </c>
      <c r="N66" s="186">
        <f t="shared" si="58"/>
        <v>13.551846685645566</v>
      </c>
      <c r="O66" s="186">
        <f t="shared" si="59"/>
        <v>14.633687444634749</v>
      </c>
    </row>
    <row r="67" spans="4:15">
      <c r="D67" s="186">
        <f t="shared" si="60"/>
        <v>2019</v>
      </c>
      <c r="E67" s="186">
        <f ca="1">TREND(E$57:E$66,$D$57:$D$66,$D67)</f>
        <v>21.597427931966749</v>
      </c>
      <c r="F67" s="186">
        <f t="shared" ref="F67:O68" ca="1" si="64">TREND(F$57:F$66,$D$57:$D$66,$D67)</f>
        <v>20.201600030016248</v>
      </c>
      <c r="G67" s="186">
        <f t="shared" ca="1" si="64"/>
        <v>19.103217280064463</v>
      </c>
      <c r="H67" s="186">
        <f t="shared" ca="1" si="64"/>
        <v>20.667940273792418</v>
      </c>
      <c r="I67" s="186">
        <f t="shared" si="64"/>
        <v>17.536158347488623</v>
      </c>
      <c r="J67" s="186">
        <f t="shared" ca="1" si="64"/>
        <v>19.561949705275659</v>
      </c>
      <c r="K67" s="186">
        <f t="shared" ca="1" si="64"/>
        <v>19.341875529283293</v>
      </c>
      <c r="L67" s="186">
        <f t="shared" si="64"/>
        <v>17.583204359222076</v>
      </c>
      <c r="M67" s="186">
        <f t="shared" si="64"/>
        <v>15.931453926508794</v>
      </c>
      <c r="N67" s="186">
        <f t="shared" si="64"/>
        <v>13.559824431737994</v>
      </c>
      <c r="O67" s="186">
        <f>TREND(O$57:O$66,$D$57:$D$66,$D67)</f>
        <v>14.480460989332471</v>
      </c>
    </row>
    <row r="68" spans="4:15">
      <c r="D68" s="186">
        <f t="shared" si="60"/>
        <v>2020</v>
      </c>
      <c r="E68" s="186">
        <f ca="1">TREND(E$57:E$66,$D$57:$D$66,$D68)</f>
        <v>21.593588326135933</v>
      </c>
      <c r="F68" s="186">
        <f t="shared" ca="1" si="64"/>
        <v>20.19450917228923</v>
      </c>
      <c r="G68" s="186">
        <f t="shared" ca="1" si="64"/>
        <v>19.090186936333833</v>
      </c>
      <c r="H68" s="186">
        <f t="shared" ca="1" si="64"/>
        <v>20.66893392492273</v>
      </c>
      <c r="I68" s="186">
        <f t="shared" si="64"/>
        <v>17.516161631118457</v>
      </c>
      <c r="J68" s="186">
        <f t="shared" ca="1" si="64"/>
        <v>19.568343338693367</v>
      </c>
      <c r="K68" s="186">
        <f t="shared" ca="1" si="64"/>
        <v>19.333665670790715</v>
      </c>
      <c r="L68" s="186">
        <f t="shared" si="64"/>
        <v>17.569679391863868</v>
      </c>
      <c r="M68" s="186">
        <f t="shared" si="64"/>
        <v>15.836297151278956</v>
      </c>
      <c r="N68" s="186">
        <f t="shared" si="64"/>
        <v>13.535748462431059</v>
      </c>
      <c r="O68" s="186">
        <f t="shared" si="64"/>
        <v>14.403567323516796</v>
      </c>
    </row>
    <row r="69" spans="4:15"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</row>
    <row r="70" spans="4:15"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</row>
    <row r="71" spans="4:15"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</row>
    <row r="72" spans="4:15">
      <c r="D72" s="186">
        <f t="shared" si="60"/>
        <v>2009</v>
      </c>
      <c r="E72" s="186">
        <f t="shared" ref="E72:L72" ca="1" si="65">LN(E43)</f>
        <v>15.221318761650146</v>
      </c>
      <c r="F72" s="186">
        <f t="shared" ca="1" si="65"/>
        <v>14.720242326670745</v>
      </c>
      <c r="G72" s="186">
        <f t="shared" si="65"/>
        <v>11.775730504105368</v>
      </c>
      <c r="H72" s="186">
        <f t="shared" ca="1" si="65"/>
        <v>13.29077831579929</v>
      </c>
      <c r="I72" s="186">
        <f t="shared" si="65"/>
        <v>13.513354811775148</v>
      </c>
      <c r="J72" s="186">
        <f t="shared" si="65"/>
        <v>11.462373104234061</v>
      </c>
      <c r="K72" s="186">
        <f t="shared" si="65"/>
        <v>10.794236040985833</v>
      </c>
      <c r="L72" s="186">
        <f t="shared" si="65"/>
        <v>7.919164859994436</v>
      </c>
      <c r="M72" s="186"/>
      <c r="N72" s="186"/>
      <c r="O72" s="186"/>
    </row>
    <row r="73" spans="4:15">
      <c r="D73" s="186">
        <f t="shared" si="60"/>
        <v>2010</v>
      </c>
      <c r="E73" s="186">
        <f t="shared" ref="E73:L73" ca="1" si="66">LN(E44)</f>
        <v>15.19025896084448</v>
      </c>
      <c r="F73" s="186">
        <f t="shared" ca="1" si="66"/>
        <v>14.688532292263975</v>
      </c>
      <c r="G73" s="186">
        <f t="shared" si="66"/>
        <v>11.777331313900577</v>
      </c>
      <c r="H73" s="186">
        <f t="shared" ca="1" si="66"/>
        <v>13.271911973946139</v>
      </c>
      <c r="I73" s="186">
        <f t="shared" si="66"/>
        <v>13.456064837058749</v>
      </c>
      <c r="J73" s="186">
        <f t="shared" si="66"/>
        <v>11.508207447006455</v>
      </c>
      <c r="K73" s="186">
        <f t="shared" si="66"/>
        <v>10.79569212788825</v>
      </c>
      <c r="L73" s="186">
        <f t="shared" si="66"/>
        <v>7.8725428901171481</v>
      </c>
      <c r="M73" s="186"/>
      <c r="N73" s="186"/>
      <c r="O73" s="186"/>
    </row>
    <row r="74" spans="4:15">
      <c r="D74" s="186">
        <f t="shared" si="60"/>
        <v>2011</v>
      </c>
      <c r="E74" s="186">
        <f t="shared" ref="E74:L74" ca="1" si="67">LN(E45)</f>
        <v>15.167201800207108</v>
      </c>
      <c r="F74" s="186">
        <f t="shared" ca="1" si="67"/>
        <v>14.708879302266187</v>
      </c>
      <c r="G74" s="186">
        <f t="shared" si="67"/>
        <v>11.781055457772846</v>
      </c>
      <c r="H74" s="186">
        <f t="shared" ca="1" si="67"/>
        <v>13.281065697127927</v>
      </c>
      <c r="I74" s="186">
        <f t="shared" si="67"/>
        <v>13.261937252873407</v>
      </c>
      <c r="J74" s="186">
        <f t="shared" si="67"/>
        <v>11.25356665470726</v>
      </c>
      <c r="K74" s="186">
        <f t="shared" si="67"/>
        <v>10.804654494264437</v>
      </c>
      <c r="L74" s="186">
        <f t="shared" si="67"/>
        <v>7.8500547852183233</v>
      </c>
      <c r="M74" s="186"/>
      <c r="N74" s="186"/>
      <c r="O74" s="186"/>
    </row>
    <row r="75" spans="4:15">
      <c r="D75" s="186">
        <f t="shared" si="60"/>
        <v>2012</v>
      </c>
      <c r="E75" s="186">
        <f t="shared" ref="E75:L75" ca="1" si="68">LN(E46)</f>
        <v>15.152327348676094</v>
      </c>
      <c r="F75" s="186">
        <f t="shared" ca="1" si="68"/>
        <v>14.697503105679615</v>
      </c>
      <c r="G75" s="186">
        <f t="shared" si="68"/>
        <v>11.757834801043037</v>
      </c>
      <c r="H75" s="186">
        <f t="shared" ca="1" si="68"/>
        <v>13.254576842738723</v>
      </c>
      <c r="I75" s="186">
        <f t="shared" si="68"/>
        <v>13.233941961548714</v>
      </c>
      <c r="J75" s="186">
        <f t="shared" si="68"/>
        <v>11.310676615377673</v>
      </c>
      <c r="K75" s="186">
        <f t="shared" si="68"/>
        <v>10.81105151669834</v>
      </c>
      <c r="L75" s="186">
        <f t="shared" si="68"/>
        <v>7.8223059814828488</v>
      </c>
    </row>
    <row r="76" spans="4:15">
      <c r="D76" s="186">
        <f t="shared" si="60"/>
        <v>2013</v>
      </c>
      <c r="E76" s="186">
        <f t="shared" ref="E76:L76" ca="1" si="69">LN(E47)</f>
        <v>15.153018499219902</v>
      </c>
      <c r="F76" s="186">
        <f t="shared" ca="1" si="69"/>
        <v>14.708649764568777</v>
      </c>
      <c r="G76" s="186">
        <f t="shared" si="69"/>
        <v>11.767731234759244</v>
      </c>
      <c r="H76" s="186">
        <f t="shared" ca="1" si="69"/>
        <v>13.243597852900331</v>
      </c>
      <c r="I76" s="186">
        <f t="shared" si="69"/>
        <v>13.191546502857447</v>
      </c>
      <c r="J76" s="186">
        <f t="shared" si="69"/>
        <v>11.356865960395629</v>
      </c>
      <c r="K76" s="186">
        <f t="shared" si="69"/>
        <v>10.809330697946033</v>
      </c>
      <c r="L76" s="186">
        <f t="shared" si="69"/>
        <v>7.7992456476410306</v>
      </c>
    </row>
    <row r="77" spans="4:15">
      <c r="D77" s="186">
        <f t="shared" si="60"/>
        <v>2014</v>
      </c>
      <c r="E77" s="186">
        <f t="shared" ref="E77:L77" ca="1" si="70">LN(E48)</f>
        <v>15.140120574196827</v>
      </c>
      <c r="F77" s="186">
        <f t="shared" ca="1" si="70"/>
        <v>14.693463004050825</v>
      </c>
      <c r="G77" s="186">
        <f t="shared" si="70"/>
        <v>11.783498636285637</v>
      </c>
      <c r="H77" s="186">
        <f t="shared" ca="1" si="70"/>
        <v>13.236469513237736</v>
      </c>
      <c r="I77" s="186">
        <f t="shared" si="70"/>
        <v>13.170305944369479</v>
      </c>
      <c r="J77" s="186">
        <f t="shared" si="70"/>
        <v>11.370602165117868</v>
      </c>
      <c r="K77" s="186">
        <f t="shared" si="70"/>
        <v>10.807952433869096</v>
      </c>
      <c r="L77" s="186">
        <f t="shared" si="70"/>
        <v>7.8405406606661403</v>
      </c>
    </row>
    <row r="78" spans="4:15">
      <c r="D78" s="186">
        <f t="shared" si="60"/>
        <v>2015</v>
      </c>
      <c r="E78" s="186">
        <f t="shared" ref="E78:L78" ca="1" si="71">LN(E49)</f>
        <v>15.12962345621</v>
      </c>
      <c r="F78" s="186">
        <f t="shared" ca="1" si="71"/>
        <v>14.694885063687611</v>
      </c>
      <c r="G78" s="186">
        <f t="shared" si="71"/>
        <v>11.764349876091689</v>
      </c>
      <c r="H78" s="186">
        <f t="shared" ca="1" si="71"/>
        <v>13.238024596141289</v>
      </c>
      <c r="I78" s="186">
        <f t="shared" si="71"/>
        <v>13.09750685788195</v>
      </c>
      <c r="J78" s="186">
        <f t="shared" si="71"/>
        <v>11.324720997742087</v>
      </c>
      <c r="K78" s="186">
        <f t="shared" si="71"/>
        <v>10.802537919713869</v>
      </c>
      <c r="L78" s="186">
        <f t="shared" si="71"/>
        <v>7.8029857931246438</v>
      </c>
    </row>
    <row r="79" spans="4:15">
      <c r="D79" s="186">
        <f t="shared" si="60"/>
        <v>2016</v>
      </c>
      <c r="E79" s="186">
        <f t="shared" ref="E79:L79" ca="1" si="72">LN(E50)</f>
        <v>15.124967671846184</v>
      </c>
      <c r="F79" s="186">
        <f t="shared" ca="1" si="72"/>
        <v>14.681739953706968</v>
      </c>
      <c r="G79" s="186">
        <f t="shared" si="72"/>
        <v>11.776951348184356</v>
      </c>
      <c r="H79" s="186">
        <f t="shared" ca="1" si="72"/>
        <v>13.235052955152421</v>
      </c>
      <c r="I79" s="186">
        <f t="shared" si="72"/>
        <v>13.153836559642841</v>
      </c>
      <c r="J79" s="186">
        <f t="shared" si="72"/>
        <v>11.222862159632452</v>
      </c>
      <c r="K79" s="186">
        <f t="shared" si="72"/>
        <v>10.673664290403433</v>
      </c>
      <c r="L79" s="186">
        <f t="shared" si="72"/>
        <v>7.7684022141104307</v>
      </c>
    </row>
    <row r="80" spans="4:15">
      <c r="D80" s="186">
        <f t="shared" si="60"/>
        <v>2017</v>
      </c>
      <c r="E80" s="186">
        <f t="shared" ref="E80:L80" ca="1" si="73">LN(E51)</f>
        <v>15.126493320490638</v>
      </c>
      <c r="F80" s="186">
        <f t="shared" ca="1" si="73"/>
        <v>14.69973560193891</v>
      </c>
      <c r="G80" s="186">
        <f t="shared" si="73"/>
        <v>11.798792741675925</v>
      </c>
      <c r="H80" s="186">
        <f t="shared" ca="1" si="73"/>
        <v>13.248189868545273</v>
      </c>
      <c r="I80" s="186">
        <f t="shared" si="73"/>
        <v>13.113632231642889</v>
      </c>
      <c r="J80" s="186">
        <f t="shared" si="73"/>
        <v>11.168655827478021</v>
      </c>
      <c r="K80" s="186">
        <f t="shared" si="73"/>
        <v>9.8944094711627546</v>
      </c>
      <c r="L80" s="186">
        <f t="shared" si="73"/>
        <v>7.7095954164445573</v>
      </c>
    </row>
    <row r="81" spans="4:12">
      <c r="D81" s="186">
        <f t="shared" si="60"/>
        <v>2018</v>
      </c>
      <c r="E81" s="186">
        <f t="shared" ref="E81:L81" ca="1" si="74">LN(E52)</f>
        <v>15.115306486746666</v>
      </c>
      <c r="F81" s="186">
        <f t="shared" ca="1" si="74"/>
        <v>14.68318154601355</v>
      </c>
      <c r="G81" s="186">
        <f t="shared" si="74"/>
        <v>11.76334031097052</v>
      </c>
      <c r="H81" s="186">
        <f t="shared" ca="1" si="74"/>
        <v>13.252484487990078</v>
      </c>
      <c r="I81" s="186">
        <f t="shared" si="74"/>
        <v>13.111409259525489</v>
      </c>
      <c r="J81" s="186">
        <f t="shared" si="74"/>
        <v>11.209778965608724</v>
      </c>
      <c r="K81" s="186">
        <f t="shared" si="74"/>
        <v>9.8366691009979927</v>
      </c>
      <c r="L81" s="186">
        <f t="shared" si="74"/>
        <v>7.669294483889872</v>
      </c>
    </row>
    <row r="82" spans="4:12">
      <c r="D82" s="186">
        <f t="shared" si="60"/>
        <v>2019</v>
      </c>
      <c r="E82" s="186">
        <f ca="1">TREND(E$72:E$81,$D$72:$D$81,$D82)</f>
        <v>15.095642014647666</v>
      </c>
      <c r="F82" s="186">
        <f t="shared" ref="F82:L83" ca="1" si="75">TREND(F$72:F$81,$D$72:$D$81,$D82)</f>
        <v>14.683885813168706</v>
      </c>
      <c r="G82" s="186">
        <f t="shared" si="75"/>
        <v>11.776445300310378</v>
      </c>
      <c r="H82" s="186">
        <f t="shared" ca="1" si="75"/>
        <v>13.228630277777208</v>
      </c>
      <c r="I82" s="186">
        <f t="shared" si="75"/>
        <v>12.99750070379099</v>
      </c>
      <c r="J82" s="186">
        <f t="shared" si="75"/>
        <v>11.160568932800501</v>
      </c>
      <c r="K82" s="186">
        <f t="shared" si="75"/>
        <v>10.082721438349523</v>
      </c>
      <c r="L82" s="186">
        <f t="shared" si="75"/>
        <v>7.6782668029943366</v>
      </c>
    </row>
    <row r="83" spans="4:12">
      <c r="D83" s="186">
        <f t="shared" si="60"/>
        <v>2020</v>
      </c>
      <c r="E83" s="186">
        <f ca="1">TREND(E$72:E$81,$D$72:$D$81,$D83)</f>
        <v>15.085383528582003</v>
      </c>
      <c r="F83" s="186">
        <f t="shared" ca="1" si="75"/>
        <v>14.68137756172943</v>
      </c>
      <c r="G83" s="186">
        <f t="shared" si="75"/>
        <v>11.776769605370642</v>
      </c>
      <c r="H83" s="186">
        <f t="shared" ca="1" si="75"/>
        <v>13.223796653671624</v>
      </c>
      <c r="I83" s="186">
        <f t="shared" si="75"/>
        <v>12.955163809586139</v>
      </c>
      <c r="J83" s="186">
        <f t="shared" si="75"/>
        <v>11.131794013358771</v>
      </c>
      <c r="K83" s="186">
        <f t="shared" si="75"/>
        <v>9.9881217345234461</v>
      </c>
      <c r="L83" s="186">
        <f t="shared" si="75"/>
        <v>7.6551492629444056</v>
      </c>
    </row>
  </sheetData>
  <mergeCells count="30">
    <mergeCell ref="B2:G2"/>
    <mergeCell ref="D3:E3"/>
    <mergeCell ref="F3:G3"/>
    <mergeCell ref="BE3:BF3"/>
    <mergeCell ref="BL3:BM3"/>
    <mergeCell ref="AO2:AT2"/>
    <mergeCell ref="AQ3:AR3"/>
    <mergeCell ref="AS3:AT3"/>
    <mergeCell ref="AV2:BA2"/>
    <mergeCell ref="AX3:AY3"/>
    <mergeCell ref="AZ3:BA3"/>
    <mergeCell ref="AA2:AF2"/>
    <mergeCell ref="AC3:AD3"/>
    <mergeCell ref="AE3:AF3"/>
    <mergeCell ref="AH2:AM2"/>
    <mergeCell ref="AJ3:AK3"/>
    <mergeCell ref="BQ2:BT2"/>
    <mergeCell ref="BN3:BO3"/>
    <mergeCell ref="BC2:BH2"/>
    <mergeCell ref="BG3:BH3"/>
    <mergeCell ref="BJ2:BO2"/>
    <mergeCell ref="BS3:BT3"/>
    <mergeCell ref="AL3:AM3"/>
    <mergeCell ref="K3:L3"/>
    <mergeCell ref="P3:Q3"/>
    <mergeCell ref="N2:R2"/>
    <mergeCell ref="I2:L2"/>
    <mergeCell ref="V3:W3"/>
    <mergeCell ref="X3:Y3"/>
    <mergeCell ref="T2:Y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71"/>
  <sheetViews>
    <sheetView tabSelected="1" workbookViewId="0">
      <selection activeCell="L25" sqref="L25"/>
    </sheetView>
  </sheetViews>
  <sheetFormatPr defaultColWidth="9.1640625" defaultRowHeight="12.75"/>
  <cols>
    <col min="1" max="1" width="3" style="42" customWidth="1"/>
    <col min="2" max="2" width="25.5" style="42" bestFit="1" customWidth="1"/>
    <col min="3" max="3" width="15" style="42" bestFit="1" customWidth="1"/>
    <col min="4" max="4" width="15.33203125" style="42" customWidth="1"/>
    <col min="5" max="9" width="15" style="42" bestFit="1" customWidth="1"/>
    <col min="10" max="10" width="19" style="42" bestFit="1" customWidth="1"/>
    <col min="11" max="12" width="15.6640625" style="42" bestFit="1" customWidth="1"/>
    <col min="13" max="19" width="9.1640625" style="42"/>
    <col min="20" max="20" width="10" style="42" bestFit="1" customWidth="1"/>
    <col min="21" max="16384" width="9.1640625" style="42"/>
  </cols>
  <sheetData>
    <row r="1" spans="2:12" ht="16.5" thickBot="1">
      <c r="B1" s="41" t="s">
        <v>156</v>
      </c>
    </row>
    <row r="2" spans="2:12">
      <c r="B2" s="43" t="s">
        <v>174</v>
      </c>
      <c r="C2" s="44" t="s">
        <v>175</v>
      </c>
      <c r="D2" s="44" t="s">
        <v>176</v>
      </c>
      <c r="E2" s="44" t="s">
        <v>177</v>
      </c>
      <c r="F2" s="44" t="s">
        <v>178</v>
      </c>
      <c r="G2" s="44" t="s">
        <v>179</v>
      </c>
      <c r="H2" s="44" t="s">
        <v>200</v>
      </c>
      <c r="I2" s="44" t="s">
        <v>254</v>
      </c>
      <c r="J2" s="44" t="s">
        <v>255</v>
      </c>
      <c r="K2" s="114" t="s">
        <v>191</v>
      </c>
      <c r="L2" s="113" t="s">
        <v>201</v>
      </c>
    </row>
    <row r="3" spans="2:12">
      <c r="B3" s="45" t="s">
        <v>136</v>
      </c>
      <c r="C3" s="46">
        <f ca="1">OFFSET('Normalized Annual Summary'!$C$8,COLUMN(F3)-COLUMN($F3),0)</f>
        <v>631309635.844643</v>
      </c>
      <c r="D3" s="46">
        <f ca="1">OFFSET('Normalized Annual Summary'!$C$8,COLUMN(G3)-COLUMN($F3),0)</f>
        <v>617011740.79367626</v>
      </c>
      <c r="E3" s="46">
        <f ca="1">OFFSET('Normalized Annual Summary'!$C$8,COLUMN(H3)-COLUMN($F3),0)</f>
        <v>598157531.45016491</v>
      </c>
      <c r="F3" s="46">
        <f ca="1">OFFSET('Normalized Annual Summary'!$C$8,COLUMN(I3)-COLUMN($F3),0)</f>
        <v>593984431.47600019</v>
      </c>
      <c r="G3" s="46">
        <f ca="1">OFFSET('Normalized Annual Summary'!$C$8,COLUMN(J3)-COLUMN($F3),0)</f>
        <v>619568737.68663192</v>
      </c>
      <c r="H3" s="112">
        <f ca="1">OFFSET('Normalized Annual Summary'!$C$8,COLUMN(K3)-COLUMN($F3),0)</f>
        <v>583858255.14999998</v>
      </c>
      <c r="I3" s="112">
        <f ca="1">OFFSET('Normalized Annual Summary'!$C$8,COLUMN(L3)-COLUMN($F3),0)</f>
        <v>636798570.50953054</v>
      </c>
      <c r="J3" s="46">
        <f ca="1">OFFSET('Normalized Annual Summary'!$I$12,COLUMN(J3)-COLUMN($H3),0)</f>
        <v>592076679.01897192</v>
      </c>
      <c r="K3" s="112">
        <f ca="1">OFFSET('Normalized Annual Summary'!$I$12,COLUMN(K3)-COLUMN($H3),0)</f>
        <v>590315580.81697154</v>
      </c>
      <c r="L3" s="111">
        <f ca="1">OFFSET('Normalized Annual Summary'!$I$12,COLUMN(L3)-COLUMN($H3),0)</f>
        <v>591448250.7765609</v>
      </c>
    </row>
    <row r="4" spans="2:12">
      <c r="B4" s="48" t="s">
        <v>138</v>
      </c>
      <c r="C4" s="46">
        <f ca="1">OFFSET('Normalized Annual Summary'!$L$8,COLUMN(F4)-COLUMN($F4),0)</f>
        <v>216236228.69367602</v>
      </c>
      <c r="D4" s="46">
        <f ca="1">OFFSET('Normalized Annual Summary'!$L$8,COLUMN(G4)-COLUMN($F4),0)</f>
        <v>217023476.48367095</v>
      </c>
      <c r="E4" s="46">
        <f ca="1">OFFSET('Normalized Annual Summary'!$L$8,COLUMN(H4)-COLUMN($F4),0)</f>
        <v>212401261.73789737</v>
      </c>
      <c r="F4" s="46">
        <f ca="1">OFFSET('Normalized Annual Summary'!$L$8,COLUMN(I4)-COLUMN($F4),0)</f>
        <v>207733154.94022256</v>
      </c>
      <c r="G4" s="46">
        <f ca="1">OFFSET('Normalized Annual Summary'!$L$8,COLUMN(J4)-COLUMN($F4),0)</f>
        <v>208239182.30018815</v>
      </c>
      <c r="H4" s="112">
        <f ca="1">OFFSET('Normalized Annual Summary'!$L$8,COLUMN(K4)-COLUMN($F4),0)</f>
        <v>199190042.63999999</v>
      </c>
      <c r="I4" s="112">
        <f ca="1">OFFSET('Normalized Annual Summary'!$L$8,COLUMN(L4)-COLUMN($F4),0)</f>
        <v>203075206.32419604</v>
      </c>
      <c r="J4" s="46">
        <f ca="1">OFFSET('Normalized Annual Summary'!$R$12,COLUMN(J4)-COLUMN($H4),0)</f>
        <v>204018649.6875526</v>
      </c>
      <c r="K4" s="112">
        <f ca="1">OFFSET('Normalized Annual Summary'!$R$12,COLUMN(K4)-COLUMN($H4),0)</f>
        <v>203542535.22024375</v>
      </c>
      <c r="L4" s="111">
        <f ca="1">OFFSET('Normalized Annual Summary'!$R$12,COLUMN(L4)-COLUMN($H4),0)</f>
        <v>202283088.09926829</v>
      </c>
    </row>
    <row r="5" spans="2:12">
      <c r="B5" s="48" t="s">
        <v>139</v>
      </c>
      <c r="C5" s="46">
        <f ca="1">OFFSET('Normalized Annual Summary'!$U$8,COLUMN(F5)-COLUMN($F5),0)</f>
        <v>941638530.06494999</v>
      </c>
      <c r="D5" s="46">
        <f ca="1">OFFSET('Normalized Annual Summary'!$U$8,COLUMN(G5)-COLUMN($F5),0)</f>
        <v>948224332.78106129</v>
      </c>
      <c r="E5" s="46">
        <f ca="1">OFFSET('Normalized Annual Summary'!$U$8,COLUMN(H5)-COLUMN($F5),0)</f>
        <v>970184488.09365582</v>
      </c>
      <c r="F5" s="46">
        <f ca="1">OFFSET('Normalized Annual Summary'!$U$8,COLUMN(I5)-COLUMN($F5),0)</f>
        <v>941653981.70491183</v>
      </c>
      <c r="G5" s="46">
        <f ca="1">OFFSET('Normalized Annual Summary'!$U$8,COLUMN(J5)-COLUMN($F5),0)</f>
        <v>954879860.93795967</v>
      </c>
      <c r="H5" s="112">
        <f ca="1">OFFSET('Normalized Annual Summary'!$U$8,COLUMN(K5)-COLUMN($F5),0)</f>
        <v>935689535.96999991</v>
      </c>
      <c r="I5" s="112">
        <f ca="1">OFFSET('Normalized Annual Summary'!$U$8,COLUMN(L5)-COLUMN($F5),0)</f>
        <v>936712309.46510732</v>
      </c>
      <c r="J5" s="46">
        <f ca="1">OFFSET('Normalized Annual Summary'!$AB$12,COLUMN(J5)-COLUMN($H5),0)</f>
        <v>937869077.8102895</v>
      </c>
      <c r="K5" s="112">
        <f ca="1">OFFSET('Normalized Annual Summary'!$AB$12,COLUMN(K5)-COLUMN($H5),0)</f>
        <v>946429187.74910879</v>
      </c>
      <c r="L5" s="111">
        <f ca="1">OFFSET('Normalized Annual Summary'!$AB$12,COLUMN(L5)-COLUMN($H5),0)</f>
        <v>956527556.36098576</v>
      </c>
    </row>
    <row r="6" spans="2:12">
      <c r="B6" s="48" t="s">
        <v>140</v>
      </c>
      <c r="C6" s="46">
        <f ca="1">OFFSET('Normalized Annual Summary'!$AE$8,COLUMN(F6)-COLUMN($F6),0)</f>
        <v>45768539.737902999</v>
      </c>
      <c r="D6" s="46">
        <f ca="1">OFFSET('Normalized Annual Summary'!$AE$8,COLUMN(G6)-COLUMN($F6),0)</f>
        <v>45666584.426196001</v>
      </c>
      <c r="E6" s="46">
        <f ca="1">OFFSET('Normalized Annual Summary'!$AE$8,COLUMN(H6)-COLUMN($F6),0)</f>
        <v>47519841.509630993</v>
      </c>
      <c r="F6" s="46">
        <f ca="1">OFFSET('Normalized Annual Summary'!$AE$8,COLUMN(I6)-COLUMN($F6),0)</f>
        <v>44363940.879999988</v>
      </c>
      <c r="G6" s="46">
        <f ca="1">OFFSET('Normalized Annual Summary'!$AE$8,COLUMN(J6)-COLUMN($F6),0)</f>
        <v>44045563.989999995</v>
      </c>
      <c r="H6" s="112">
        <f ca="1">OFFSET('Normalized Annual Summary'!$AE$8,COLUMN(K6)-COLUMN($F6),0)</f>
        <v>44136954.399999991</v>
      </c>
      <c r="I6" s="112">
        <f ca="1">OFFSET('Normalized Annual Summary'!$AE$8,COLUMN(L6)-COLUMN($F6),0)</f>
        <v>41120567.090000004</v>
      </c>
      <c r="J6" s="46">
        <f ca="1">OFFSET('Normalized Annual Summary'!$AK$12,COLUMN(J6)-COLUMN($H6),0)</f>
        <v>41632181.698187709</v>
      </c>
      <c r="K6" s="112">
        <f ca="1">OFFSET('Normalized Annual Summary'!$AK$12,COLUMN(K6)-COLUMN($H6),0)</f>
        <v>40804277.431955516</v>
      </c>
      <c r="L6" s="111">
        <f ca="1">OFFSET('Normalized Annual Summary'!$AK$12,COLUMN(L6)-COLUMN($H6),0)</f>
        <v>40126967.285152338</v>
      </c>
    </row>
    <row r="7" spans="2:12">
      <c r="B7" s="48" t="s">
        <v>181</v>
      </c>
      <c r="C7" s="46">
        <f ca="1">OFFSET('Normalized Annual Summary'!$AN$8,COLUMN(F7)-COLUMN($F7),0)</f>
        <v>304746367.45815498</v>
      </c>
      <c r="D7" s="46">
        <f ca="1">OFFSET('Normalized Annual Summary'!$AN$8,COLUMN(G7)-COLUMN($F7),0)</f>
        <v>295185913.80554301</v>
      </c>
      <c r="E7" s="46">
        <f ca="1">OFFSET('Normalized Annual Summary'!$AN$8,COLUMN(H7)-COLUMN($F7),0)</f>
        <v>304014292.368729</v>
      </c>
      <c r="F7" s="46">
        <f ca="1">OFFSET('Normalized Annual Summary'!$AN$8,COLUMN(I7)-COLUMN($F7),0)</f>
        <v>301194469.31</v>
      </c>
      <c r="G7" s="46">
        <f ca="1">OFFSET('Normalized Annual Summary'!$AN$8,COLUMN(J7)-COLUMN($F7),0)</f>
        <v>318162193.04000002</v>
      </c>
      <c r="H7" s="112">
        <f ca="1">OFFSET('Normalized Annual Summary'!$AN$8,COLUMN(K7)-COLUMN($F7),0)</f>
        <v>299472217.15999997</v>
      </c>
      <c r="I7" s="112">
        <f ca="1">OFFSET('Normalized Annual Summary'!$AN$8,COLUMN(L7)-COLUMN($F7),0)</f>
        <v>311285837.94999999</v>
      </c>
      <c r="J7" s="46">
        <f ca="1">OFFSET('Normalized Annual Summary'!$AV$12,COLUMN(J7)-COLUMN($H7),0)</f>
        <v>314516690.49578923</v>
      </c>
      <c r="K7" s="112">
        <f ca="1">OFFSET('Normalized Annual Summary'!$AV$12,COLUMN(K7)-COLUMN($H7),0)</f>
        <v>321811842.75210875</v>
      </c>
      <c r="L7" s="111">
        <f ca="1">OFFSET('Normalized Annual Summary'!$AV$12,COLUMN(L7)-COLUMN($H7),0)</f>
        <v>265794377.04225573</v>
      </c>
    </row>
    <row r="8" spans="2:12">
      <c r="B8" s="48" t="s">
        <v>189</v>
      </c>
      <c r="C8" s="46">
        <f ca="1">OFFSET('Normalized Annual Summary'!$AY$8,COLUMN(F8)-COLUMN($F8),0)</f>
        <v>280858035.097938</v>
      </c>
      <c r="D8" s="46">
        <f ca="1">OFFSET('Normalized Annual Summary'!$AY$8,COLUMN(G8)-COLUMN($F8),0)</f>
        <v>265541554.24181503</v>
      </c>
      <c r="E8" s="46">
        <f ca="1">OFFSET('Normalized Annual Summary'!$AY$8,COLUMN(H8)-COLUMN($F8),0)</f>
        <v>266219489.74002093</v>
      </c>
      <c r="F8" s="46">
        <f ca="1">OFFSET('Normalized Annual Summary'!$AY$8,COLUMN(I8)-COLUMN($F8),0)</f>
        <v>241052438.81000003</v>
      </c>
      <c r="G8" s="46">
        <f ca="1">OFFSET('Normalized Annual Summary'!$AY$8,COLUMN(J8)-COLUMN($F8),0)</f>
        <v>264027087.00000006</v>
      </c>
      <c r="H8" s="112">
        <f ca="1">OFFSET('Normalized Annual Summary'!$AY$8,COLUMN(K8)-COLUMN($F8),0)</f>
        <v>252589949.61000001</v>
      </c>
      <c r="I8" s="112">
        <f ca="1">OFFSET('Normalized Annual Summary'!$AY$8,COLUMN(L8)-COLUMN($F8),0)</f>
        <v>254635666.92999998</v>
      </c>
      <c r="J8" s="46">
        <f ca="1">OFFSET('Normalized Annual Summary'!$BE$12,COLUMN(J8)-COLUMN($H8),0)</f>
        <v>249456615.83775952</v>
      </c>
      <c r="K8" s="112">
        <f ca="1">OFFSET('Normalized Annual Summary'!$BE$12,COLUMN(K8)-COLUMN($H8),0)</f>
        <v>249737271.69682729</v>
      </c>
      <c r="L8" s="111">
        <f ca="1">OFFSET('Normalized Annual Summary'!$BE$12,COLUMN(L8)-COLUMN($H8),0)</f>
        <v>250089947.03802782</v>
      </c>
    </row>
    <row r="9" spans="2:12">
      <c r="B9" s="48" t="s">
        <v>190</v>
      </c>
      <c r="C9" s="46">
        <f ca="1">OFFSET('Normalized Annual Summary'!$BH$8,COLUMN(F9)-COLUMN($F9),0)</f>
        <v>45336838.931562997</v>
      </c>
      <c r="D9" s="46">
        <f ca="1">OFFSET('Normalized Annual Summary'!$BH$8,COLUMN(G9)-COLUMN($F9),0)</f>
        <v>48126674.812411003</v>
      </c>
      <c r="E9" s="46">
        <f ca="1">OFFSET('Normalized Annual Summary'!$BH$8,COLUMN(H9)-COLUMN($F9),0)</f>
        <v>47308908.679020993</v>
      </c>
      <c r="F9" s="46">
        <f ca="1">OFFSET('Normalized Annual Summary'!$BH$8,COLUMN(I9)-COLUMN($F9),0)</f>
        <v>47202925.820000008</v>
      </c>
      <c r="G9" s="46">
        <f ca="1">OFFSET('Normalized Annual Summary'!$BH$8,COLUMN(J9)-COLUMN($F9),0)</f>
        <v>44370766.850000001</v>
      </c>
      <c r="H9" s="112">
        <f ca="1">OFFSET('Normalized Annual Summary'!$BH$8,COLUMN(K9)-COLUMN($F9),0)</f>
        <v>42875821.289999999</v>
      </c>
      <c r="I9" s="112">
        <f ca="1">OFFSET('Normalized Annual Summary'!$BH$8,COLUMN(L9)-COLUMN($F9),0)</f>
        <v>45402739.360000007</v>
      </c>
      <c r="J9" s="46">
        <f ca="1">OFFSET('Normalized Annual Summary'!$BN$12,COLUMN(J9)-COLUMN($H9),0)</f>
        <v>43577795.201350845</v>
      </c>
      <c r="K9" s="112">
        <f ca="1">OFFSET('Normalized Annual Summary'!$BN$12,COLUMN(K9)-COLUMN($H9),0)</f>
        <v>42938710.833557054</v>
      </c>
      <c r="L9" s="111">
        <f ca="1">OFFSET('Normalized Annual Summary'!$BN$12,COLUMN(L9)-COLUMN($H9),0)</f>
        <v>42304757.8607333</v>
      </c>
    </row>
    <row r="10" spans="2:12">
      <c r="B10" s="48" t="s">
        <v>144</v>
      </c>
      <c r="C10" s="46">
        <f ca="1">OFFSET('Normalized Annual Summary'!$BQ$8,COLUMN(F10)-COLUMN($F10),0)</f>
        <v>17377866.278999001</v>
      </c>
      <c r="D10" s="46">
        <f ca="1">OFFSET('Normalized Annual Summary'!$BQ$8,COLUMN(G10)-COLUMN($F10),0)</f>
        <v>17283102.442827001</v>
      </c>
      <c r="E10" s="46">
        <f ca="1">OFFSET('Normalized Annual Summary'!$BQ$8,COLUMN(H10)-COLUMN($F10),0)</f>
        <v>17360921.051590003</v>
      </c>
      <c r="F10" s="46">
        <f ca="1">OFFSET('Normalized Annual Summary'!$BQ$8,COLUMN(I10)-COLUMN($F10),0)</f>
        <v>17162407.530000001</v>
      </c>
      <c r="G10" s="46">
        <f ca="1">OFFSET('Normalized Annual Summary'!$BQ$8,COLUMN(J10)-COLUMN($F10),0)</f>
        <v>14655212.350000001</v>
      </c>
      <c r="H10" s="112">
        <f ca="1">OFFSET('Normalized Annual Summary'!$BQ$8,COLUMN(K10)-COLUMN($F10),0)</f>
        <v>6962744.2999999998</v>
      </c>
      <c r="I10" s="112">
        <f ca="1">OFFSET('Normalized Annual Summary'!$BQ$8,COLUMN(L10)-COLUMN($F10),0)</f>
        <v>6467781.0800000001</v>
      </c>
      <c r="J10" s="46">
        <f ca="1">OFFSET('Normalized Annual Summary'!$BT$12,COLUMN(J10)-COLUMN($H10),0)</f>
        <v>6467781.0800000001</v>
      </c>
      <c r="K10" s="112">
        <f ca="1">OFFSET('Normalized Annual Summary'!$BT$12,COLUMN(K10)-COLUMN($H10),0)</f>
        <v>6475784.8006475894</v>
      </c>
      <c r="L10" s="111">
        <f ca="1">OFFSET('Normalized Annual Summary'!$BT$12,COLUMN(L10)-COLUMN($H10),0)</f>
        <v>6483798.4257034156</v>
      </c>
    </row>
    <row r="11" spans="2:12">
      <c r="B11" s="48" t="s">
        <v>143</v>
      </c>
      <c r="C11" s="46">
        <f ca="1">OFFSET('Normalized Annual Summary'!$BW$8,COLUMN(F11)-COLUMN($F11),0)</f>
        <v>908923.37890999997</v>
      </c>
      <c r="D11" s="46">
        <f ca="1">OFFSET('Normalized Annual Summary'!$BW$8,COLUMN(G11)-COLUMN($F11),0)</f>
        <v>887747.77032600006</v>
      </c>
      <c r="E11" s="46">
        <f ca="1">OFFSET('Normalized Annual Summary'!$BW$8,COLUMN(H11)-COLUMN($F11),0)</f>
        <v>924204.18281011167</v>
      </c>
      <c r="F11" s="46">
        <f ca="1">OFFSET('Normalized Annual Summary'!$BW$8,COLUMN(I11)-COLUMN($F11),0)</f>
        <v>873074.41874517407</v>
      </c>
      <c r="G11" s="46">
        <f ca="1">OFFSET('Normalized Annual Summary'!$BW$8,COLUMN(J11)-COLUMN($F11),0)</f>
        <v>851684.9625372421</v>
      </c>
      <c r="H11" s="112">
        <f ca="1">OFFSET('Normalized Annual Summary'!$BW$8,COLUMN(K11)-COLUMN($F11),0)</f>
        <v>795950.62000000011</v>
      </c>
      <c r="I11" s="112">
        <f ca="1">OFFSET('Normalized Annual Summary'!$BW$8,COLUMN(L11)-COLUMN($F11),0)</f>
        <v>768231.72021026898</v>
      </c>
      <c r="J11" s="46">
        <f ca="1">OFFSET('Normalized Annual Summary'!$BZ$12,COLUMN(J11)-COLUMN($H11),0)</f>
        <v>768231.72021026898</v>
      </c>
      <c r="K11" s="112">
        <f ca="1">OFFSET('Normalized Annual Summary'!$BZ$12,COLUMN(K11)-COLUMN($H11),0)</f>
        <v>749098.84812005772</v>
      </c>
      <c r="L11" s="111">
        <f ca="1">OFFSET('Normalized Annual Summary'!$BZ$12,COLUMN(L11)-COLUMN($H11),0)</f>
        <v>730442.48173091304</v>
      </c>
    </row>
    <row r="12" spans="2:12">
      <c r="B12" s="48" t="s">
        <v>142</v>
      </c>
      <c r="C12" s="46">
        <f ca="1">OFFSET('Normalized Annual Summary'!$CC$8,COLUMN(F12)-COLUMN($F12),0)</f>
        <v>3485917.9890729999</v>
      </c>
      <c r="D12" s="46">
        <f ca="1">OFFSET('Normalized Annual Summary'!$CC$8,COLUMN(G12)-COLUMN($F12),0)</f>
        <v>3254726.4492000006</v>
      </c>
      <c r="E12" s="46">
        <f ca="1">OFFSET('Normalized Annual Summary'!$CC$8,COLUMN(H12)-COLUMN($F12),0)</f>
        <v>2436824.926873663</v>
      </c>
      <c r="F12" s="46">
        <f ca="1">OFFSET('Normalized Annual Summary'!$CC$8,COLUMN(I12)-COLUMN($F12),0)</f>
        <v>2410786.215730337</v>
      </c>
      <c r="G12" s="46">
        <f ca="1">OFFSET('Normalized Annual Summary'!$CC$8,COLUMN(J12)-COLUMN($F12),0)</f>
        <v>2415557</v>
      </c>
      <c r="H12" s="112">
        <f ca="1">OFFSET('Normalized Annual Summary'!$CC$8,COLUMN(K12)-COLUMN($F12),0)</f>
        <v>2368616.3200000003</v>
      </c>
      <c r="I12" s="112">
        <f ca="1">OFFSET('Normalized Annual Summary'!$CC$8,COLUMN(L12)-COLUMN($F12),0)</f>
        <v>2266364.23</v>
      </c>
      <c r="J12" s="46">
        <f ca="1">OFFSET('Normalized Annual Summary'!$CF$12,COLUMN(J12)-COLUMN($H12),0)</f>
        <v>2266364.23</v>
      </c>
      <c r="K12" s="112">
        <f ca="1">OFFSET('Normalized Annual Summary'!$CF$12,COLUMN(K12)-COLUMN($H12),0)</f>
        <v>2233052.2917550164</v>
      </c>
      <c r="L12" s="111">
        <f ca="1">OFFSET('Normalized Annual Summary'!$CF$12,COLUMN(L12)-COLUMN($H12),0)</f>
        <v>2200229.9858537433</v>
      </c>
    </row>
    <row r="13" spans="2:12" ht="13.5" thickBot="1">
      <c r="B13" s="49" t="s">
        <v>173</v>
      </c>
      <c r="C13" s="50">
        <f t="shared" ref="C13:E13" ca="1" si="0">SUM(C3:C12)</f>
        <v>2487666883.4758096</v>
      </c>
      <c r="D13" s="50">
        <f t="shared" ca="1" si="0"/>
        <v>2458205854.0067267</v>
      </c>
      <c r="E13" s="50">
        <f t="shared" ca="1" si="0"/>
        <v>2466527763.7403936</v>
      </c>
      <c r="F13" s="50">
        <f t="shared" ref="F13:K13" ca="1" si="1">SUM(F3:F12)</f>
        <v>2397631611.1056104</v>
      </c>
      <c r="G13" s="50">
        <f t="shared" ca="1" si="1"/>
        <v>2471215846.1173172</v>
      </c>
      <c r="H13" s="50">
        <f t="shared" ca="1" si="1"/>
        <v>2367940087.46</v>
      </c>
      <c r="I13" s="50">
        <f t="shared" ca="1" si="1"/>
        <v>2438533274.6590438</v>
      </c>
      <c r="J13" s="50">
        <f t="shared" ca="1" si="1"/>
        <v>2392650066.7801113</v>
      </c>
      <c r="K13" s="108">
        <f t="shared" ca="1" si="1"/>
        <v>2405037342.4412961</v>
      </c>
      <c r="L13" s="107">
        <f t="shared" ref="L13" ca="1" si="2">SUM(L3:L12)</f>
        <v>2357989415.3562727</v>
      </c>
    </row>
    <row r="15" spans="2:12" ht="16.5" thickBot="1">
      <c r="B15" s="41" t="s">
        <v>182</v>
      </c>
      <c r="H15" s="65"/>
      <c r="I15" s="65"/>
    </row>
    <row r="16" spans="2:12" ht="51">
      <c r="B16" s="43" t="s">
        <v>174</v>
      </c>
      <c r="C16" s="52" t="s">
        <v>203</v>
      </c>
      <c r="D16" s="52" t="s">
        <v>170</v>
      </c>
      <c r="E16" s="53" t="s">
        <v>202</v>
      </c>
    </row>
    <row r="17" spans="2:12">
      <c r="B17" s="45" t="str">
        <f t="shared" ref="B17:B26" si="3">B3</f>
        <v>Residential</v>
      </c>
      <c r="C17" s="112">
        <f ca="1">L3</f>
        <v>591448250.7765609</v>
      </c>
      <c r="D17" s="112">
        <f>'CDM Adjustments'!J8</f>
        <v>799100.44261477829</v>
      </c>
      <c r="E17" s="111">
        <f ca="1">C17-D17</f>
        <v>590649150.33394611</v>
      </c>
      <c r="L17" s="207"/>
    </row>
    <row r="18" spans="2:12">
      <c r="B18" s="48" t="str">
        <f t="shared" si="3"/>
        <v>GS &lt; 50</v>
      </c>
      <c r="C18" s="112">
        <f t="shared" ref="C18:C26" ca="1" si="4">L4</f>
        <v>202283088.09926829</v>
      </c>
      <c r="D18" s="112">
        <f>'CDM Adjustments'!J9</f>
        <v>1946095.1630711863</v>
      </c>
      <c r="E18" s="111">
        <f ca="1">C18-D18</f>
        <v>200336992.9361971</v>
      </c>
    </row>
    <row r="19" spans="2:12">
      <c r="B19" s="48" t="str">
        <f t="shared" si="3"/>
        <v>GS &gt; 50</v>
      </c>
      <c r="C19" s="112">
        <f t="shared" ca="1" si="4"/>
        <v>956527556.36098576</v>
      </c>
      <c r="D19" s="112">
        <f>'CDM Adjustments'!J10</f>
        <v>29912137.642035954</v>
      </c>
      <c r="E19" s="111">
        <f t="shared" ref="E19:E26" ca="1" si="5">C19-D19</f>
        <v>926615418.71894979</v>
      </c>
    </row>
    <row r="20" spans="2:12">
      <c r="B20" s="48" t="str">
        <f t="shared" si="3"/>
        <v>Intermediate</v>
      </c>
      <c r="C20" s="112">
        <f t="shared" ca="1" si="4"/>
        <v>40126967.285152338</v>
      </c>
      <c r="D20" s="112">
        <f>'CDM Adjustments'!J11</f>
        <v>373463.40134396899</v>
      </c>
      <c r="E20" s="111">
        <f t="shared" ca="1" si="5"/>
        <v>39753503.883808367</v>
      </c>
    </row>
    <row r="21" spans="2:12">
      <c r="B21" s="48" t="str">
        <f t="shared" si="3"/>
        <v>Large User</v>
      </c>
      <c r="C21" s="112">
        <f t="shared" ca="1" si="4"/>
        <v>265794377.04225573</v>
      </c>
      <c r="D21" s="112">
        <f>'CDM Adjustments'!J12</f>
        <v>29281043.315980051</v>
      </c>
      <c r="E21" s="111">
        <f t="shared" ca="1" si="5"/>
        <v>236513333.72627568</v>
      </c>
    </row>
    <row r="22" spans="2:12">
      <c r="B22" s="48" t="str">
        <f t="shared" si="3"/>
        <v>Large Use 3TS</v>
      </c>
      <c r="C22" s="112">
        <f t="shared" ca="1" si="4"/>
        <v>250089947.03802782</v>
      </c>
      <c r="D22" s="112">
        <f>'CDM Adjustments'!J13</f>
        <v>2928947.3756772708</v>
      </c>
      <c r="E22" s="111">
        <f t="shared" ca="1" si="5"/>
        <v>247160999.66235057</v>
      </c>
    </row>
    <row r="23" spans="2:12">
      <c r="B23" s="48" t="str">
        <f t="shared" si="3"/>
        <v>Large Use FA</v>
      </c>
      <c r="C23" s="112">
        <f t="shared" ca="1" si="4"/>
        <v>42304757.8607333</v>
      </c>
      <c r="D23" s="112">
        <f>'CDM Adjustments'!J14</f>
        <v>936815.61710451636</v>
      </c>
      <c r="E23" s="111">
        <f t="shared" ca="1" si="5"/>
        <v>41367942.243628785</v>
      </c>
    </row>
    <row r="24" spans="2:12">
      <c r="B24" s="48" t="str">
        <f t="shared" si="3"/>
        <v>Street Light</v>
      </c>
      <c r="C24" s="112">
        <f t="shared" ca="1" si="4"/>
        <v>6483798.4257034156</v>
      </c>
      <c r="D24" s="112">
        <v>0</v>
      </c>
      <c r="E24" s="111">
        <f t="shared" ca="1" si="5"/>
        <v>6483798.4257034156</v>
      </c>
    </row>
    <row r="25" spans="2:12">
      <c r="B25" s="48" t="str">
        <f t="shared" si="3"/>
        <v>Sentinel Light</v>
      </c>
      <c r="C25" s="112">
        <f t="shared" ca="1" si="4"/>
        <v>730442.48173091304</v>
      </c>
      <c r="D25" s="112">
        <v>0</v>
      </c>
      <c r="E25" s="111">
        <f t="shared" ca="1" si="5"/>
        <v>730442.48173091304</v>
      </c>
    </row>
    <row r="26" spans="2:12">
      <c r="B26" s="48" t="str">
        <f t="shared" si="3"/>
        <v>USL</v>
      </c>
      <c r="C26" s="112">
        <f t="shared" ca="1" si="4"/>
        <v>2200229.9858537433</v>
      </c>
      <c r="D26" s="112">
        <v>0</v>
      </c>
      <c r="E26" s="111">
        <f t="shared" ca="1" si="5"/>
        <v>2200229.9858537433</v>
      </c>
    </row>
    <row r="27" spans="2:12" ht="13.5" thickBot="1">
      <c r="B27" s="49" t="s">
        <v>173</v>
      </c>
      <c r="C27" s="50">
        <f ca="1">SUM(C17:C26)</f>
        <v>2357989415.3562727</v>
      </c>
      <c r="D27" s="50">
        <f>SUM(D17:D26)</f>
        <v>66177602.957827725</v>
      </c>
      <c r="E27" s="51">
        <f ca="1">SUM(E17:E26)</f>
        <v>2291811812.3984447</v>
      </c>
    </row>
    <row r="29" spans="2:12" ht="16.5" thickBot="1">
      <c r="B29" s="41" t="s">
        <v>156</v>
      </c>
    </row>
    <row r="30" spans="2:12">
      <c r="B30" s="115" t="s">
        <v>183</v>
      </c>
      <c r="C30" s="114" t="s">
        <v>175</v>
      </c>
      <c r="D30" s="114" t="s">
        <v>176</v>
      </c>
      <c r="E30" s="114" t="s">
        <v>177</v>
      </c>
      <c r="F30" s="114" t="s">
        <v>178</v>
      </c>
      <c r="G30" s="114" t="s">
        <v>179</v>
      </c>
      <c r="H30" s="114" t="s">
        <v>200</v>
      </c>
      <c r="I30" s="114" t="s">
        <v>254</v>
      </c>
      <c r="J30" s="114" t="s">
        <v>255</v>
      </c>
      <c r="K30" s="114" t="s">
        <v>191</v>
      </c>
      <c r="L30" s="113" t="s">
        <v>201</v>
      </c>
    </row>
    <row r="31" spans="2:12">
      <c r="B31" s="110" t="s">
        <v>139</v>
      </c>
      <c r="C31" s="112">
        <f ca="1">OFFSET('kW Forecast'!$G$8,COLUMN()-COLUMN($C31),0)</f>
        <v>2427537.8838569997</v>
      </c>
      <c r="D31" s="112">
        <f ca="1">OFFSET('kW Forecast'!$G$8,COLUMN()-COLUMN($C31),0)</f>
        <v>2556408.0255070003</v>
      </c>
      <c r="E31" s="112">
        <f ca="1">OFFSET('kW Forecast'!$G$8,COLUMN()-COLUMN($C31),0)</f>
        <v>2368008.0300000003</v>
      </c>
      <c r="F31" s="112">
        <f ca="1">OFFSET('kW Forecast'!$G$8,COLUMN()-COLUMN($C31),0)</f>
        <v>2413020.5799999996</v>
      </c>
      <c r="G31" s="112">
        <f ca="1">OFFSET('kW Forecast'!$G$8,COLUMN()-COLUMN($C31),0)</f>
        <v>2436984.27</v>
      </c>
      <c r="H31" s="112">
        <f ca="1">OFFSET('kW Forecast'!$G$8,COLUMN()-COLUMN($C31),0)</f>
        <v>2393115.89</v>
      </c>
      <c r="I31" s="112">
        <f ca="1">OFFSET('kW Forecast'!$G$8,COLUMN()-COLUMN($C31),0)</f>
        <v>2385326.37</v>
      </c>
      <c r="J31" s="112">
        <f ca="1">OFFSET('kW Forecast'!$D$18,COLUMN()-COLUMN($J31),0)</f>
        <v>2381358.1782545815</v>
      </c>
      <c r="K31" s="112">
        <f ca="1">OFFSET('kW Forecast'!$D$18,COLUMN()-COLUMN($J31),0)</f>
        <v>2397659.4544536313</v>
      </c>
      <c r="L31" s="111">
        <f ca="1">OFFSET('kW Forecast'!$D$18,COLUMN()-COLUMN($J31),0)</f>
        <v>2417750.5898636272</v>
      </c>
    </row>
    <row r="32" spans="2:12">
      <c r="B32" s="110" t="str">
        <f>B20</f>
        <v>Intermediate</v>
      </c>
      <c r="C32" s="112">
        <f ca="1">OFFSET('kW Forecast'!$K$8,COLUMN()-COLUMN($C32),0)</f>
        <v>127750.54842900002</v>
      </c>
      <c r="D32" s="112">
        <f ca="1">OFFSET('kW Forecast'!$K$8,COLUMN()-COLUMN($C32),0)</f>
        <v>129021.099858</v>
      </c>
      <c r="E32" s="112">
        <f ca="1">OFFSET('kW Forecast'!$K$8,COLUMN()-COLUMN($C32),0)</f>
        <v>131071.55</v>
      </c>
      <c r="F32" s="112">
        <f ca="1">OFFSET('kW Forecast'!$K$8,COLUMN()-COLUMN($C32),0)</f>
        <v>128585.56999999999</v>
      </c>
      <c r="G32" s="112">
        <f ca="1">OFFSET('kW Forecast'!$K$8,COLUMN()-COLUMN($C32),0)</f>
        <v>130216.19</v>
      </c>
      <c r="H32" s="112">
        <f ca="1">OFFSET('kW Forecast'!$K$8,COLUMN()-COLUMN($C32),0)</f>
        <v>133091.57999999999</v>
      </c>
      <c r="I32" s="112">
        <f ca="1">OFFSET('kW Forecast'!$K$8,COLUMN()-COLUMN($C32),0)</f>
        <v>128455.81999999999</v>
      </c>
      <c r="J32" s="112">
        <f ca="1">OFFSET('kW Forecast'!$K$18,COLUMN()-COLUMN($J32),0)</f>
        <v>125213.0632701913</v>
      </c>
      <c r="K32" s="112">
        <f ca="1">OFFSET('kW Forecast'!$K$18,COLUMN()-COLUMN($J32),0)</f>
        <v>124887.62399093214</v>
      </c>
      <c r="L32" s="111">
        <f ca="1">OFFSET('kW Forecast'!$K$18,COLUMN()-COLUMN($J32),0)</f>
        <v>124943.25267841676</v>
      </c>
    </row>
    <row r="33" spans="2:12">
      <c r="B33" s="110" t="str">
        <f>B21</f>
        <v>Large User</v>
      </c>
      <c r="C33" s="112">
        <f ca="1">OFFSET('kW Forecast'!$Q$8,COLUMN()-COLUMN($C33),0)</f>
        <v>566690.59476599994</v>
      </c>
      <c r="D33" s="112">
        <f ca="1">OFFSET('kW Forecast'!$Q$8,COLUMN()-COLUMN($C33),0)</f>
        <v>557388.87657400011</v>
      </c>
      <c r="E33" s="112">
        <f ca="1">OFFSET('kW Forecast'!$Q$8,COLUMN()-COLUMN($C33),0)</f>
        <v>557415.25</v>
      </c>
      <c r="F33" s="112">
        <f ca="1">OFFSET('kW Forecast'!$Q$8,COLUMN()-COLUMN($C33),0)</f>
        <v>559320.55000000005</v>
      </c>
      <c r="G33" s="112">
        <f ca="1">OFFSET('kW Forecast'!$Q$8,COLUMN()-COLUMN($C33),0)</f>
        <v>576548.00999999989</v>
      </c>
      <c r="H33" s="112">
        <f ca="1">OFFSET('kW Forecast'!$Q$8,COLUMN()-COLUMN($C33),0)</f>
        <v>548063.93000000005</v>
      </c>
      <c r="I33" s="112">
        <f ca="1">OFFSET('kW Forecast'!$Q$8,COLUMN()-COLUMN($C33),0)</f>
        <v>568092.82000000007</v>
      </c>
      <c r="J33" s="112">
        <f ca="1">OFFSET('kW Forecast'!$Q$18,COLUMN()-COLUMN($J33),0)</f>
        <v>569483.15792478516</v>
      </c>
      <c r="K33" s="112">
        <f ca="1">OFFSET('kW Forecast'!$Q$18,COLUMN()-COLUMN($J33),0)</f>
        <v>577593.69797954906</v>
      </c>
      <c r="L33" s="111">
        <f ca="1">OFFSET('kW Forecast'!$Q$18,COLUMN()-COLUMN($J33),0)</f>
        <v>472841.52396152541</v>
      </c>
    </row>
    <row r="34" spans="2:12">
      <c r="B34" s="110" t="str">
        <f t="shared" ref="B34:B35" si="6">B22</f>
        <v>Large Use 3TS</v>
      </c>
      <c r="C34" s="112">
        <f ca="1">OFFSET('kW Forecast'!$W$8,COLUMN()-COLUMN($C34),0)</f>
        <v>559020.80044799997</v>
      </c>
      <c r="D34" s="112">
        <f ca="1">OFFSET('kW Forecast'!$W$8,COLUMN()-COLUMN($C34),0)</f>
        <v>535816.2171779999</v>
      </c>
      <c r="E34" s="112">
        <f ca="1">OFFSET('kW Forecast'!$W$8,COLUMN()-COLUMN($C34),0)</f>
        <v>524555.20000000007</v>
      </c>
      <c r="F34" s="112">
        <f ca="1">OFFSET('kW Forecast'!$W$8,COLUMN()-COLUMN($C34),0)</f>
        <v>487724.93000000005</v>
      </c>
      <c r="G34" s="112">
        <f ca="1">OFFSET('kW Forecast'!$W$8,COLUMN()-COLUMN($C34),0)</f>
        <v>515986.85</v>
      </c>
      <c r="H34" s="112">
        <f ca="1">OFFSET('kW Forecast'!$W$8,COLUMN()-COLUMN($C34),0)</f>
        <v>495653.43</v>
      </c>
      <c r="I34" s="112">
        <f ca="1">OFFSET('kW Forecast'!$W$8,COLUMN()-COLUMN($C34),0)</f>
        <v>494552.82999999996</v>
      </c>
      <c r="J34" s="112">
        <f ca="1">OFFSET('kW Forecast'!$W$18,COLUMN()-COLUMN($J34),0)</f>
        <v>487261.33904550801</v>
      </c>
      <c r="K34" s="112">
        <f ca="1">OFFSET('kW Forecast'!$W$18,COLUMN()-COLUMN($J34),0)</f>
        <v>483642.97195428057</v>
      </c>
      <c r="L34" s="111">
        <f ca="1">OFFSET('kW Forecast'!$W$18,COLUMN()-COLUMN($J34),0)</f>
        <v>480153.5119245199</v>
      </c>
    </row>
    <row r="35" spans="2:12">
      <c r="B35" s="110" t="str">
        <f t="shared" si="6"/>
        <v>Large Use FA</v>
      </c>
      <c r="C35" s="112">
        <f ca="1">OFFSET('kW Forecast'!$AC$8,COLUMN()-COLUMN($C35),0)</f>
        <v>81689.161949999994</v>
      </c>
      <c r="D35" s="112">
        <f ca="1">OFFSET('kW Forecast'!$AC$8,COLUMN()-COLUMN($C35),0)</f>
        <v>85550.828219999981</v>
      </c>
      <c r="E35" s="112">
        <f ca="1">OFFSET('kW Forecast'!$AC$8,COLUMN()-COLUMN($C35),0)</f>
        <v>86734.079999999987</v>
      </c>
      <c r="F35" s="112">
        <f ca="1">OFFSET('kW Forecast'!$AC$8,COLUMN()-COLUMN($C35),0)</f>
        <v>82844.529999999984</v>
      </c>
      <c r="G35" s="112">
        <f ca="1">OFFSET('kW Forecast'!$AC$8,COLUMN()-COLUMN($C35),0)</f>
        <v>74821.62</v>
      </c>
      <c r="H35" s="112">
        <f ca="1">OFFSET('kW Forecast'!$AC$8,COLUMN()-COLUMN($C35),0)</f>
        <v>70873.779999999984</v>
      </c>
      <c r="I35" s="112">
        <f ca="1">OFFSET('kW Forecast'!$AC$8,COLUMN()-COLUMN($C35),0)</f>
        <v>73849.089999999982</v>
      </c>
      <c r="J35" s="112">
        <f ca="1">OFFSET('kW Forecast'!$AC$18,COLUMN()-COLUMN($J35),0)</f>
        <v>72902.735287113246</v>
      </c>
      <c r="K35" s="112">
        <f ca="1">OFFSET('kW Forecast'!$AC$18,COLUMN()-COLUMN($J35),0)</f>
        <v>70478.488813438089</v>
      </c>
      <c r="L35" s="111">
        <f ca="1">OFFSET('kW Forecast'!$AC$18,COLUMN()-COLUMN($J35),0)</f>
        <v>68102.840614203291</v>
      </c>
    </row>
    <row r="36" spans="2:12">
      <c r="B36" s="110" t="s">
        <v>144</v>
      </c>
      <c r="C36" s="112">
        <f ca="1">OFFSET('kW Forecast'!$AI$8,COLUMN()-COLUMN($C36),0)</f>
        <v>49565.55999999999</v>
      </c>
      <c r="D36" s="112">
        <f ca="1">OFFSET('kW Forecast'!$AI$8,COLUMN()-COLUMN($C36),0)</f>
        <v>49480.340000000004</v>
      </c>
      <c r="E36" s="112">
        <f ca="1">OFFSET('kW Forecast'!$AI$8,COLUMN()-COLUMN($C36),0)</f>
        <v>49412.19</v>
      </c>
      <c r="F36" s="112">
        <f ca="1">OFFSET('kW Forecast'!$AI$8,COLUMN()-COLUMN($C36),0)</f>
        <v>49145.369999999995</v>
      </c>
      <c r="G36" s="112">
        <f ca="1">OFFSET('kW Forecast'!$AI$8,COLUMN()-COLUMN($C36),0)</f>
        <v>43202.96</v>
      </c>
      <c r="H36" s="112">
        <f ca="1">OFFSET('kW Forecast'!$AI$8,COLUMN()-COLUMN($C36),0)</f>
        <v>19819.260000000002</v>
      </c>
      <c r="I36" s="112">
        <f ca="1">OFFSET('kW Forecast'!$AI$8,COLUMN()-COLUMN($C36),0)</f>
        <v>18707.3</v>
      </c>
      <c r="J36" s="112">
        <f ca="1">OFFSET('kW Forecast'!$AI$18,COLUMN()-COLUMN($J36),0)</f>
        <v>18728.137330912068</v>
      </c>
      <c r="K36" s="112">
        <f ca="1">OFFSET('kW Forecast'!$AI$18,COLUMN()-COLUMN($J36),0)</f>
        <v>18751.312942082615</v>
      </c>
      <c r="L36" s="111">
        <f ca="1">OFFSET('kW Forecast'!$AI$18,COLUMN()-COLUMN($J36),0)</f>
        <v>18774.517232504262</v>
      </c>
    </row>
    <row r="37" spans="2:12">
      <c r="B37" s="110" t="s">
        <v>143</v>
      </c>
      <c r="C37" s="112">
        <f ca="1">OFFSET('kW Forecast'!$AO$8,COLUMN()-COLUMN($C37),0)</f>
        <v>2495.6537090000002</v>
      </c>
      <c r="D37" s="112">
        <f ca="1">OFFSET('kW Forecast'!$AO$8,COLUMN()-COLUMN($C37),0)</f>
        <v>2438.761598</v>
      </c>
      <c r="E37" s="112">
        <f ca="1">OFFSET('kW Forecast'!$AO$8,COLUMN()-COLUMN($C37),0)</f>
        <v>2541.5785940000001</v>
      </c>
      <c r="F37" s="112">
        <f ca="1">OFFSET('kW Forecast'!$AO$8,COLUMN()-COLUMN($C37),0)</f>
        <v>2447.9</v>
      </c>
      <c r="G37" s="112">
        <f ca="1">OFFSET('kW Forecast'!$AO$8,COLUMN()-COLUMN($C37),0)</f>
        <v>2364.69</v>
      </c>
      <c r="H37" s="112">
        <f ca="1">OFFSET('kW Forecast'!$AO$8,COLUMN()-COLUMN($C37),0)</f>
        <v>2229.64</v>
      </c>
      <c r="I37" s="112">
        <f ca="1">OFFSET('kW Forecast'!$AO$8,COLUMN()-COLUMN($C37),0)</f>
        <v>2141.5699999999997</v>
      </c>
      <c r="J37" s="112">
        <f ca="1">OFFSET('kW Forecast'!$AO$18,COLUMN()-COLUMN($J37),0)</f>
        <v>2142.1821294630167</v>
      </c>
      <c r="K37" s="112">
        <f ca="1">OFFSET('kW Forecast'!$AO$18,COLUMN()-COLUMN($J37),0)</f>
        <v>2088.8309131584697</v>
      </c>
      <c r="L37" s="111">
        <f ca="1">OFFSET('kW Forecast'!$AO$18,COLUMN()-COLUMN($J37),0)</f>
        <v>2036.8084131390726</v>
      </c>
    </row>
    <row r="38" spans="2:12" ht="13.5" thickBot="1">
      <c r="B38" s="109" t="s">
        <v>173</v>
      </c>
      <c r="C38" s="108">
        <f t="shared" ref="C38" ca="1" si="7">SUM(C28:C37)</f>
        <v>3814750.2031589998</v>
      </c>
      <c r="D38" s="108">
        <f t="shared" ref="D38:E38" ca="1" si="8">SUM(D28:D37)</f>
        <v>3916104.1489350004</v>
      </c>
      <c r="E38" s="108">
        <f t="shared" ca="1" si="8"/>
        <v>3719737.8785940004</v>
      </c>
      <c r="F38" s="108">
        <f t="shared" ref="F38:K38" ca="1" si="9">SUM(F28:F37)</f>
        <v>3723089.4299999992</v>
      </c>
      <c r="G38" s="108">
        <f t="shared" ca="1" si="9"/>
        <v>3780124.59</v>
      </c>
      <c r="H38" s="108">
        <f t="shared" ca="1" si="9"/>
        <v>3662847.5100000002</v>
      </c>
      <c r="I38" s="108">
        <f t="shared" ca="1" si="9"/>
        <v>3671125.7999999993</v>
      </c>
      <c r="J38" s="108">
        <f ca="1">SUM(J28:J37)</f>
        <v>3657088.7932425542</v>
      </c>
      <c r="K38" s="108">
        <f t="shared" ca="1" si="9"/>
        <v>3675102.3810470719</v>
      </c>
      <c r="L38" s="107">
        <f t="shared" ref="L38" ca="1" si="10">SUM(L28:L37)</f>
        <v>3584603.0446879361</v>
      </c>
    </row>
    <row r="40" spans="2:12" ht="16.5" thickBot="1">
      <c r="B40" s="41" t="s">
        <v>182</v>
      </c>
    </row>
    <row r="41" spans="2:12" ht="51">
      <c r="B41" s="43" t="s">
        <v>183</v>
      </c>
      <c r="C41" s="52" t="s">
        <v>203</v>
      </c>
      <c r="D41" s="52" t="s">
        <v>170</v>
      </c>
      <c r="E41" s="53" t="s">
        <v>202</v>
      </c>
    </row>
    <row r="42" spans="2:12">
      <c r="B42" s="48" t="str">
        <f>B31</f>
        <v>GS &gt; 50</v>
      </c>
      <c r="C42" s="46">
        <f ca="1">L31</f>
        <v>2417750.5898636272</v>
      </c>
      <c r="D42" s="46">
        <f ca="1">'CDM Adjustments'!G24</f>
        <v>75606.905360101737</v>
      </c>
      <c r="E42" s="111">
        <f ca="1">C42-D42</f>
        <v>2342143.6845035255</v>
      </c>
      <c r="G42" s="65"/>
    </row>
    <row r="43" spans="2:12">
      <c r="B43" s="48" t="str">
        <f>B32</f>
        <v>Intermediate</v>
      </c>
      <c r="C43" s="112">
        <f t="shared" ref="C43:C48" ca="1" si="11">L32</f>
        <v>124943.25267841676</v>
      </c>
      <c r="D43" s="112">
        <f>'CDM Adjustments'!G25</f>
        <v>1162.8521983400954</v>
      </c>
      <c r="E43" s="111">
        <f t="shared" ref="E43:E48" ca="1" si="12">C43-D43</f>
        <v>123780.40048007666</v>
      </c>
      <c r="G43" s="65"/>
    </row>
    <row r="44" spans="2:12">
      <c r="B44" s="48" t="str">
        <f>B33</f>
        <v>Large User</v>
      </c>
      <c r="C44" s="112">
        <f t="shared" ca="1" si="11"/>
        <v>472841.52396152541</v>
      </c>
      <c r="D44" s="112">
        <f ca="1">'CDM Adjustments'!G26</f>
        <v>52090.240955362024</v>
      </c>
      <c r="E44" s="111">
        <f t="shared" ca="1" si="12"/>
        <v>420751.28300616337</v>
      </c>
      <c r="G44" s="65"/>
    </row>
    <row r="45" spans="2:12">
      <c r="B45" s="48" t="str">
        <f t="shared" ref="B45:B46" si="13">B34</f>
        <v>Large Use 3TS</v>
      </c>
      <c r="C45" s="112">
        <f t="shared" ca="1" si="11"/>
        <v>480153.5119245199</v>
      </c>
      <c r="D45" s="112">
        <f ca="1">'CDM Adjustments'!G27</f>
        <v>5623.3542584568731</v>
      </c>
      <c r="E45" s="47">
        <f t="shared" ca="1" si="12"/>
        <v>474530.15766606305</v>
      </c>
      <c r="G45" s="65"/>
    </row>
    <row r="46" spans="2:12">
      <c r="B46" s="48" t="str">
        <f t="shared" si="13"/>
        <v>Large Use FA</v>
      </c>
      <c r="C46" s="112">
        <f t="shared" ca="1" si="11"/>
        <v>68102.840614203291</v>
      </c>
      <c r="D46" s="112">
        <f ca="1">'CDM Adjustments'!G28</f>
        <v>1508.0999840867423</v>
      </c>
      <c r="E46" s="47">
        <f t="shared" ca="1" si="12"/>
        <v>66594.740630116547</v>
      </c>
      <c r="G46" s="65"/>
    </row>
    <row r="47" spans="2:12">
      <c r="B47" s="48" t="str">
        <f>B36</f>
        <v>Street Light</v>
      </c>
      <c r="C47" s="112">
        <f t="shared" ca="1" si="11"/>
        <v>18774.517232504262</v>
      </c>
      <c r="D47" s="112">
        <f>'CDM Adjustments'!Q29</f>
        <v>0</v>
      </c>
      <c r="E47" s="47">
        <f t="shared" ca="1" si="12"/>
        <v>18774.517232504262</v>
      </c>
      <c r="G47" s="65"/>
    </row>
    <row r="48" spans="2:12">
      <c r="B48" s="48" t="str">
        <f>B37</f>
        <v>Sentinel Light</v>
      </c>
      <c r="C48" s="112">
        <f t="shared" ca="1" si="11"/>
        <v>2036.8084131390726</v>
      </c>
      <c r="D48" s="112">
        <v>0</v>
      </c>
      <c r="E48" s="47">
        <f t="shared" ca="1" si="12"/>
        <v>2036.8084131390726</v>
      </c>
      <c r="G48" s="65"/>
    </row>
    <row r="49" spans="2:11" ht="13.5" thickBot="1">
      <c r="B49" s="49" t="s">
        <v>173</v>
      </c>
      <c r="C49" s="50">
        <f ca="1">SUM(C42:C48)</f>
        <v>3584603.0446879361</v>
      </c>
      <c r="D49" s="50">
        <f ca="1">SUM(D42:D48)</f>
        <v>135991.45275634745</v>
      </c>
      <c r="E49" s="51">
        <f ca="1">SUM(E42:E48)</f>
        <v>3448611.591931588</v>
      </c>
    </row>
    <row r="51" spans="2:11" ht="16.5" thickBot="1">
      <c r="B51" s="41" t="s">
        <v>199</v>
      </c>
    </row>
    <row r="52" spans="2:11">
      <c r="B52" s="43" t="s">
        <v>183</v>
      </c>
      <c r="C52" s="44" t="s">
        <v>175</v>
      </c>
      <c r="D52" s="44" t="s">
        <v>176</v>
      </c>
      <c r="E52" s="44" t="s">
        <v>177</v>
      </c>
      <c r="F52" s="44" t="s">
        <v>178</v>
      </c>
      <c r="G52" s="44" t="s">
        <v>179</v>
      </c>
      <c r="H52" s="44" t="s">
        <v>200</v>
      </c>
      <c r="I52" s="114" t="s">
        <v>254</v>
      </c>
      <c r="J52" s="114" t="s">
        <v>191</v>
      </c>
      <c r="K52" s="113" t="s">
        <v>201</v>
      </c>
    </row>
    <row r="53" spans="2:11">
      <c r="B53" s="45" t="str">
        <f t="shared" ref="B53:B62" si="14">B3</f>
        <v>Residential</v>
      </c>
      <c r="C53" s="46">
        <f ca="1">OFFSET('Connection count '!$C$7,COLUMN()-COLUMN($C53),0)</f>
        <v>77099</v>
      </c>
      <c r="D53" s="46">
        <f ca="1">OFFSET('Connection count '!$C$7,COLUMN()-COLUMN($C53),0)</f>
        <v>77452.25</v>
      </c>
      <c r="E53" s="46">
        <f ca="1">OFFSET('Connection count '!$C$7,COLUMN()-COLUMN($C53),0)</f>
        <v>77949.5</v>
      </c>
      <c r="F53" s="46">
        <f ca="1">OFFSET('Connection count '!$C$7,COLUMN()-COLUMN($C53),0)</f>
        <v>78320.5</v>
      </c>
      <c r="G53" s="46">
        <f ca="1">OFFSET('Connection count '!$C$7,COLUMN()-COLUMN($C53),0)</f>
        <v>78812</v>
      </c>
      <c r="H53" s="46">
        <f ca="1">OFFSET('Connection count '!$C$7,COLUMN()-COLUMN($C53),0)</f>
        <v>79324.5</v>
      </c>
      <c r="I53" s="46">
        <f ca="1">OFFSET('Connection count '!$C$7,COLUMN()-COLUMN($C53),0)</f>
        <v>79466</v>
      </c>
      <c r="J53" s="112">
        <f ca="1">OFFSET('Connection count '!$C$7,COLUMN()-COLUMN($C53),0)</f>
        <v>79811.968022845249</v>
      </c>
      <c r="K53" s="111">
        <f ca="1">OFFSET('Connection count '!$C$7,COLUMN()-COLUMN($C53),0)</f>
        <v>80159.442273169305</v>
      </c>
    </row>
    <row r="54" spans="2:11">
      <c r="B54" s="48" t="str">
        <f t="shared" si="14"/>
        <v>GS &lt; 50</v>
      </c>
      <c r="C54" s="46">
        <f ca="1">OFFSET('Connection count '!$G$7,COLUMN()-COLUMN($C54),0)</f>
        <v>6922</v>
      </c>
      <c r="D54" s="46">
        <f ca="1">OFFSET('Connection count '!$G$7,COLUMN()-COLUMN($C54),0)</f>
        <v>6945.5</v>
      </c>
      <c r="E54" s="46">
        <f ca="1">OFFSET('Connection count '!$G$7,COLUMN()-COLUMN($C54),0)</f>
        <v>7014</v>
      </c>
      <c r="F54" s="46">
        <f ca="1">OFFSET('Connection count '!$G$7,COLUMN()-COLUMN($C54),0)</f>
        <v>7054.5</v>
      </c>
      <c r="G54" s="46">
        <f ca="1">OFFSET('Connection count '!$G$7,COLUMN()-COLUMN($C54),0)</f>
        <v>7079.5</v>
      </c>
      <c r="H54" s="46">
        <f ca="1">OFFSET('Connection count '!$G$7,COLUMN()-COLUMN($C54),0)</f>
        <v>7108.75</v>
      </c>
      <c r="I54" s="46">
        <f ca="1">OFFSET('Connection count '!$G$7,COLUMN()-COLUMN($C54),0)</f>
        <v>7104</v>
      </c>
      <c r="J54" s="112">
        <f ca="1">OFFSET('Connection count '!$G$7,COLUMN()-COLUMN($C54),0)</f>
        <v>7119.0186436319073</v>
      </c>
      <c r="K54" s="111">
        <f ca="1">OFFSET('Connection count '!$G$7,COLUMN()-COLUMN($C54),0)</f>
        <v>7134.0690383415931</v>
      </c>
    </row>
    <row r="55" spans="2:11">
      <c r="B55" s="48" t="str">
        <f t="shared" si="14"/>
        <v>GS &gt; 50</v>
      </c>
      <c r="C55" s="46">
        <f ca="1">OFFSET('Connection count '!$K$7,COLUMN()-COLUMN($C55),0)</f>
        <v>1179.25</v>
      </c>
      <c r="D55" s="46">
        <f ca="1">OFFSET('Connection count '!$K$7,COLUMN()-COLUMN($C55),0)</f>
        <v>1179.25</v>
      </c>
      <c r="E55" s="46">
        <f ca="1">OFFSET('Connection count '!$K$7,COLUMN()-COLUMN($C55),0)</f>
        <v>1209.25</v>
      </c>
      <c r="F55" s="46">
        <f ca="1">OFFSET('Connection count '!$K$7,COLUMN()-COLUMN($C55),0)</f>
        <v>1228.75</v>
      </c>
      <c r="G55" s="46">
        <f ca="1">OFFSET('Connection count '!$K$7,COLUMN()-COLUMN($C55),0)</f>
        <v>1245</v>
      </c>
      <c r="H55" s="46">
        <f ca="1">OFFSET('Connection count '!$K$7,COLUMN()-COLUMN($C55),0)</f>
        <v>1251.25</v>
      </c>
      <c r="I55" s="46">
        <f ca="1">OFFSET('Connection count '!$K$7,COLUMN()-COLUMN($C55),0)</f>
        <v>1254.25</v>
      </c>
      <c r="J55" s="112">
        <f ca="1">OFFSET('Connection count '!$K$7,COLUMN()-COLUMN($C55),0)</f>
        <v>1263.3193919637922</v>
      </c>
      <c r="K55" s="111">
        <f ca="1">OFFSET('Connection count '!$K$7,COLUMN()-COLUMN($C55),0)</f>
        <v>1272.454364051637</v>
      </c>
    </row>
    <row r="56" spans="2:11">
      <c r="B56" s="48" t="str">
        <f t="shared" si="14"/>
        <v>Intermediate</v>
      </c>
      <c r="C56" s="46">
        <f ca="1">OFFSET('Connection count '!$O$7,COLUMN()-COLUMN($C56),0)</f>
        <v>3</v>
      </c>
      <c r="D56" s="46">
        <f ca="1">OFFSET('Connection count '!$O$7,COLUMN()-COLUMN($C56),0)</f>
        <v>3</v>
      </c>
      <c r="E56" s="46">
        <f ca="1">OFFSET('Connection count '!$O$7,COLUMN()-COLUMN($C56),0)</f>
        <v>3</v>
      </c>
      <c r="F56" s="46">
        <f ca="1">OFFSET('Connection count '!$O$7,COLUMN()-COLUMN($C56),0)</f>
        <v>3</v>
      </c>
      <c r="G56" s="46">
        <f ca="1">OFFSET('Connection count '!$O$7,COLUMN()-COLUMN($C56),0)</f>
        <v>3</v>
      </c>
      <c r="H56" s="46">
        <f ca="1">OFFSET('Connection count '!$O$7,COLUMN()-COLUMN($C56),0)</f>
        <v>3</v>
      </c>
      <c r="I56" s="46">
        <f ca="1">OFFSET('Connection count '!$O$7,COLUMN()-COLUMN($C56),0)</f>
        <v>3</v>
      </c>
      <c r="J56" s="112">
        <f ca="1">OFFSET('Connection count '!$O$7,COLUMN()-COLUMN($C56),0)</f>
        <v>3</v>
      </c>
      <c r="K56" s="111">
        <f ca="1">OFFSET('Connection count '!$O$7,COLUMN()-COLUMN($C56),0)</f>
        <v>3</v>
      </c>
    </row>
    <row r="57" spans="2:11">
      <c r="B57" s="48" t="str">
        <f t="shared" si="14"/>
        <v>Large User</v>
      </c>
      <c r="C57" s="46">
        <f ca="1">OFFSET('Connection count '!$S$7,COLUMN()-COLUMN($C57),0)</f>
        <v>6</v>
      </c>
      <c r="D57" s="46">
        <f ca="1">OFFSET('Connection count '!$S$7,COLUMN()-COLUMN($C57),0)</f>
        <v>6</v>
      </c>
      <c r="E57" s="46">
        <f ca="1">OFFSET('Connection count '!$S$7,COLUMN()-COLUMN($C57),0)</f>
        <v>6</v>
      </c>
      <c r="F57" s="46">
        <f ca="1">OFFSET('Connection count '!$S$7,COLUMN()-COLUMN($C57),0)</f>
        <v>6</v>
      </c>
      <c r="G57" s="46">
        <f ca="1">OFFSET('Connection count '!$S$7,COLUMN()-COLUMN($C57),0)</f>
        <v>6</v>
      </c>
      <c r="H57" s="46">
        <f ca="1">OFFSET('Connection count '!$S$7,COLUMN()-COLUMN($C57),0)</f>
        <v>6</v>
      </c>
      <c r="I57" s="46">
        <f ca="1">OFFSET('Connection count '!$S$7,COLUMN()-COLUMN($C57),0)</f>
        <v>6</v>
      </c>
      <c r="J57" s="112">
        <f ca="1">OFFSET('Connection count '!$S$7,COLUMN()-COLUMN($C57),0)</f>
        <v>6</v>
      </c>
      <c r="K57" s="111">
        <f ca="1">OFFSET('Connection count '!$S$7,COLUMN()-COLUMN($C57),0)</f>
        <v>5</v>
      </c>
    </row>
    <row r="58" spans="2:11">
      <c r="B58" s="48" t="str">
        <f t="shared" si="14"/>
        <v>Large Use 3TS</v>
      </c>
      <c r="C58" s="46">
        <f ca="1">OFFSET('Connection count '!$W$7,COLUMN()-COLUMN($C58),0)</f>
        <v>2.5</v>
      </c>
      <c r="D58" s="46">
        <f ca="1">OFFSET('Connection count '!$W$7,COLUMN()-COLUMN($C58),0)</f>
        <v>2</v>
      </c>
      <c r="E58" s="46">
        <f ca="1">OFFSET('Connection count '!$W$7,COLUMN()-COLUMN($C58),0)</f>
        <v>2</v>
      </c>
      <c r="F58" s="46">
        <f ca="1">OFFSET('Connection count '!$W$7,COLUMN()-COLUMN($C58),0)</f>
        <v>2</v>
      </c>
      <c r="G58" s="46">
        <f ca="1">OFFSET('Connection count '!$W$7,COLUMN()-COLUMN($C58),0)</f>
        <v>2</v>
      </c>
      <c r="H58" s="46">
        <f ca="1">OFFSET('Connection count '!$W$7,COLUMN()-COLUMN($C58),0)</f>
        <v>2</v>
      </c>
      <c r="I58" s="46">
        <f ca="1">OFFSET('Connection count '!$W$7,COLUMN()-COLUMN($C58),0)</f>
        <v>2</v>
      </c>
      <c r="J58" s="112">
        <f ca="1">OFFSET('Connection count '!$W$7,COLUMN()-COLUMN($C58),0)</f>
        <v>2</v>
      </c>
      <c r="K58" s="111">
        <f ca="1">OFFSET('Connection count '!$W$7,COLUMN()-COLUMN($C58),0)</f>
        <v>2</v>
      </c>
    </row>
    <row r="59" spans="2:11">
      <c r="B59" s="48" t="str">
        <f t="shared" si="14"/>
        <v>Large Use FA</v>
      </c>
      <c r="C59" s="46">
        <f ca="1">OFFSET('Connection count '!$AA$7,COLUMN()-COLUMN($C59),0)</f>
        <v>1</v>
      </c>
      <c r="D59" s="46">
        <f ca="1">OFFSET('Connection count '!$AA$7,COLUMN()-COLUMN($C59),0)</f>
        <v>1</v>
      </c>
      <c r="E59" s="46">
        <f ca="1">OFFSET('Connection count '!$AA$7,COLUMN()-COLUMN($C59),0)</f>
        <v>1</v>
      </c>
      <c r="F59" s="46">
        <f ca="1">OFFSET('Connection count '!$AA$7,COLUMN()-COLUMN($C59),0)</f>
        <v>1</v>
      </c>
      <c r="G59" s="46">
        <f ca="1">OFFSET('Connection count '!$AA$7,COLUMN()-COLUMN($C59),0)</f>
        <v>1</v>
      </c>
      <c r="H59" s="46">
        <f ca="1">OFFSET('Connection count '!$AA$7,COLUMN()-COLUMN($C59),0)</f>
        <v>1</v>
      </c>
      <c r="I59" s="46">
        <f ca="1">OFFSET('Connection count '!$AA$7,COLUMN()-COLUMN($C59),0)</f>
        <v>1</v>
      </c>
      <c r="J59" s="112">
        <f ca="1">OFFSET('Connection count '!$AA$7,COLUMN()-COLUMN($C59),0)</f>
        <v>1</v>
      </c>
      <c r="K59" s="111">
        <f ca="1">OFFSET('Connection count '!$AA$7,COLUMN()-COLUMN($C59),0)</f>
        <v>1</v>
      </c>
    </row>
    <row r="60" spans="2:11">
      <c r="B60" s="48" t="str">
        <f t="shared" si="14"/>
        <v>Street Light</v>
      </c>
      <c r="C60" s="46">
        <f ca="1">OFFSET('Connection count '!$AE$7,COLUMN()-COLUMN($C60),0)</f>
        <v>23358</v>
      </c>
      <c r="D60" s="46">
        <f ca="1">OFFSET('Connection count '!$AE$7,COLUMN()-COLUMN($C60),0)</f>
        <v>23385.5</v>
      </c>
      <c r="E60" s="46">
        <f ca="1">OFFSET('Connection count '!$AE$7,COLUMN()-COLUMN($C60),0)</f>
        <v>23459.5</v>
      </c>
      <c r="F60" s="46">
        <f ca="1">OFFSET('Connection count '!$AE$7,COLUMN()-COLUMN($C60),0)</f>
        <v>23495.25</v>
      </c>
      <c r="G60" s="46">
        <f ca="1">OFFSET('Connection count '!$AE$7,COLUMN()-COLUMN($C60),0)</f>
        <v>23517.5</v>
      </c>
      <c r="H60" s="46">
        <f ca="1">OFFSET('Connection count '!$AE$7,COLUMN()-COLUMN($C60),0)</f>
        <v>24143.5</v>
      </c>
      <c r="I60" s="46">
        <f ca="1">OFFSET('Connection count '!$AE$7,COLUMN()-COLUMN($C60),0)</f>
        <v>24283.5</v>
      </c>
      <c r="J60" s="112">
        <f ca="1">OFFSET('Connection count '!$AE$7,COLUMN()-COLUMN($C60),0)</f>
        <v>24313.550236385821</v>
      </c>
      <c r="K60" s="111">
        <f ca="1">OFFSET('Connection count '!$AE$7,COLUMN()-COLUMN($C60),0)</f>
        <v>24343.637659203039</v>
      </c>
    </row>
    <row r="61" spans="2:11">
      <c r="B61" s="48" t="str">
        <f t="shared" si="14"/>
        <v>Sentinel Light</v>
      </c>
      <c r="C61" s="46">
        <f ca="1">OFFSET('Connection count '!$AI$7,COLUMN()-COLUMN($C61),0)</f>
        <v>660.5</v>
      </c>
      <c r="D61" s="46">
        <f ca="1">OFFSET('Connection count '!$AI$7,COLUMN()-COLUMN($C61),0)</f>
        <v>641.25</v>
      </c>
      <c r="E61" s="46">
        <f ca="1">OFFSET('Connection count '!$AI$7,COLUMN()-COLUMN($C61),0)</f>
        <v>631.25</v>
      </c>
      <c r="F61" s="46">
        <f ca="1">OFFSET('Connection count '!$AI$7,COLUMN()-COLUMN($C61),0)</f>
        <v>615.75</v>
      </c>
      <c r="G61" s="46">
        <f ca="1">OFFSET('Connection count '!$AI$7,COLUMN()-COLUMN($C61),0)</f>
        <v>602</v>
      </c>
      <c r="H61" s="46">
        <f ca="1">OFFSET('Connection count '!$AI$7,COLUMN()-COLUMN($C61),0)</f>
        <v>554.25</v>
      </c>
      <c r="I61" s="46">
        <f ca="1">OFFSET('Connection count '!$AI$7,COLUMN()-COLUMN($C61),0)</f>
        <v>532.75</v>
      </c>
      <c r="J61" s="112">
        <f ca="1">OFFSET('Connection count '!$AI$7,COLUMN()-COLUMN($C61),0)</f>
        <v>519.48181887976432</v>
      </c>
      <c r="K61" s="111">
        <f ca="1">OFFSET('Connection count '!$AI$7,COLUMN()-COLUMN($C61),0)</f>
        <v>506.54408286556219</v>
      </c>
    </row>
    <row r="62" spans="2:11">
      <c r="B62" s="48" t="str">
        <f t="shared" si="14"/>
        <v>USL</v>
      </c>
      <c r="C62" s="46">
        <f ca="1">OFFSET('Connection count '!$AM$7,COLUMN()-COLUMN($C62),0)</f>
        <v>794</v>
      </c>
      <c r="D62" s="46">
        <f ca="1">OFFSET('Connection count '!$AM$7,COLUMN()-COLUMN($C62),0)</f>
        <v>789.5</v>
      </c>
      <c r="E62" s="46">
        <f ca="1">OFFSET('Connection count '!$AM$7,COLUMN()-COLUMN($C62),0)</f>
        <v>783</v>
      </c>
      <c r="F62" s="46">
        <f ca="1">OFFSET('Connection count '!$AM$7,COLUMN()-COLUMN($C62),0)</f>
        <v>780</v>
      </c>
      <c r="G62" s="46">
        <f ca="1">OFFSET('Connection count '!$AM$7,COLUMN()-COLUMN($C62),0)</f>
        <v>781</v>
      </c>
      <c r="H62" s="46">
        <f ca="1">OFFSET('Connection count '!$AM$7,COLUMN()-COLUMN($C62),0)</f>
        <v>769</v>
      </c>
      <c r="I62" s="46">
        <f ca="1">OFFSET('Connection count '!$AM$7,COLUMN()-COLUMN($C62),0)</f>
        <v>726.5</v>
      </c>
      <c r="J62" s="112">
        <f ca="1">OFFSET('Connection count '!$AM$7,COLUMN()-COLUMN($C62),0)</f>
        <v>715.82160911532708</v>
      </c>
      <c r="K62" s="111">
        <f ca="1">OFFSET('Connection count '!$AM$7,COLUMN()-COLUMN($C62),0)</f>
        <v>705.30017353951291</v>
      </c>
    </row>
    <row r="63" spans="2:11" ht="13.5" thickBot="1">
      <c r="B63" s="49" t="s">
        <v>173</v>
      </c>
      <c r="C63" s="50">
        <f ca="1">SUM(C53:C62)</f>
        <v>110025.25</v>
      </c>
      <c r="D63" s="50">
        <f t="shared" ref="D63:H63" ca="1" si="15">SUM(D53:D62)</f>
        <v>110405.25</v>
      </c>
      <c r="E63" s="50">
        <f t="shared" ca="1" si="15"/>
        <v>111058.5</v>
      </c>
      <c r="F63" s="50">
        <f t="shared" ca="1" si="15"/>
        <v>111506.75</v>
      </c>
      <c r="G63" s="50">
        <f t="shared" ca="1" si="15"/>
        <v>112049</v>
      </c>
      <c r="H63" s="50">
        <f t="shared" ca="1" si="15"/>
        <v>113163.25</v>
      </c>
      <c r="I63" s="50">
        <f t="shared" ref="I63:J63" ca="1" si="16">SUM(I53:I62)</f>
        <v>113379</v>
      </c>
      <c r="J63" s="108">
        <f t="shared" ca="1" si="16"/>
        <v>113755.15972282186</v>
      </c>
      <c r="K63" s="107">
        <f t="shared" ref="K63" ca="1" si="17">SUM(K53:K62)</f>
        <v>114132.44759117064</v>
      </c>
    </row>
    <row r="66" spans="2:6" ht="16.5" thickBot="1">
      <c r="B66" s="41" t="s">
        <v>294</v>
      </c>
    </row>
    <row r="67" spans="2:6">
      <c r="B67" s="115">
        <v>2020</v>
      </c>
      <c r="C67" s="52" t="s">
        <v>174</v>
      </c>
      <c r="D67" s="52" t="s">
        <v>183</v>
      </c>
      <c r="E67" s="52" t="s">
        <v>296</v>
      </c>
      <c r="F67" s="53" t="s">
        <v>297</v>
      </c>
    </row>
    <row r="68" spans="2:6">
      <c r="B68" s="110" t="s">
        <v>139</v>
      </c>
      <c r="C68" s="112">
        <f ca="1">'Normalized Annual Summary'!Z16</f>
        <v>-3241797.8582704067</v>
      </c>
      <c r="D68" s="112">
        <f ca="1">C68*'kW Forecast'!F20</f>
        <v>-8194.0751543743027</v>
      </c>
      <c r="E68" s="112">
        <v>0</v>
      </c>
      <c r="F68" s="111">
        <v>0</v>
      </c>
    </row>
    <row r="69" spans="2:6">
      <c r="B69" s="110" t="s">
        <v>181</v>
      </c>
      <c r="C69" s="112">
        <f ca="1">'Normalized Annual Summary'!AS16</f>
        <v>-61545727.39578414</v>
      </c>
      <c r="D69" s="112">
        <f ca="1">C69*'kW Forecast'!S20</f>
        <v>-109488.30392494221</v>
      </c>
      <c r="E69" s="112">
        <f>'Normalized Annual Summary'!AU16</f>
        <v>-1469214.729761156</v>
      </c>
      <c r="F69" s="111">
        <f>E69*'kW Forecast'!S20</f>
        <v>-2613.6961194500445</v>
      </c>
    </row>
    <row r="70" spans="2:6" ht="13.5" thickBot="1">
      <c r="B70" s="109" t="s">
        <v>173</v>
      </c>
      <c r="C70" s="108">
        <f ca="1">SUM(C68:C69)</f>
        <v>-64787525.254054546</v>
      </c>
      <c r="D70" s="108">
        <f ca="1">SUM(D68:D69)</f>
        <v>-117682.37907931651</v>
      </c>
      <c r="E70" s="108">
        <f t="shared" ref="E70:F70" si="18">SUM(E68:E69)</f>
        <v>-1469214.729761156</v>
      </c>
      <c r="F70" s="107">
        <f t="shared" si="18"/>
        <v>-2613.6961194500445</v>
      </c>
    </row>
    <row r="71" spans="2:6">
      <c r="B71" s="42" t="s">
        <v>299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5CB5A-CA67-436B-A8D9-4FDCE456C0C8}">
  <sheetPr>
    <tabColor theme="8"/>
  </sheetPr>
  <dimension ref="A1"/>
  <sheetViews>
    <sheetView workbookViewId="0">
      <selection activeCell="P31" sqref="P31"/>
    </sheetView>
  </sheetViews>
  <sheetFormatPr defaultRowHeight="12.7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95F27-38F0-4439-9A00-DE4C02FCF72F}">
  <dimension ref="A1:T145"/>
  <sheetViews>
    <sheetView workbookViewId="0">
      <selection activeCell="R27" sqref="R27"/>
    </sheetView>
  </sheetViews>
  <sheetFormatPr defaultRowHeight="12.75"/>
  <cols>
    <col min="1" max="1" width="10.33203125" style="127" bestFit="1" customWidth="1"/>
    <col min="2" max="2" width="8.5" style="127" customWidth="1"/>
    <col min="3" max="3" width="18.6640625" style="127" bestFit="1" customWidth="1"/>
    <col min="4" max="4" width="7.5" style="127" customWidth="1"/>
    <col min="5" max="5" width="7" style="127" customWidth="1"/>
    <col min="6" max="6" width="7.6640625" style="127" customWidth="1"/>
    <col min="7" max="7" width="10.33203125" style="127" customWidth="1"/>
    <col min="8" max="8" width="10.1640625" style="127" bestFit="1" customWidth="1"/>
    <col min="9" max="9" width="8.33203125" style="127" customWidth="1"/>
    <col min="10" max="10" width="9.6640625" style="127" customWidth="1"/>
    <col min="11" max="11" width="9.33203125" style="127"/>
    <col min="12" max="12" width="12.6640625" style="127" bestFit="1" customWidth="1"/>
    <col min="13" max="14" width="12" style="127" bestFit="1" customWidth="1"/>
    <col min="15" max="16" width="12.6640625" style="127" bestFit="1" customWidth="1"/>
    <col min="17" max="18" width="12" style="127" bestFit="1" customWidth="1"/>
    <col min="19" max="19" width="12.6640625" style="127" bestFit="1" customWidth="1"/>
    <col min="20" max="20" width="12" style="127" bestFit="1" customWidth="1"/>
    <col min="21" max="16384" width="9.33203125" style="127"/>
  </cols>
  <sheetData>
    <row r="1" spans="1:20">
      <c r="A1" s="127" t="s">
        <v>123</v>
      </c>
      <c r="B1" s="127" t="s">
        <v>124</v>
      </c>
      <c r="C1" s="127" t="str">
        <f>'Monthly Data'!F1</f>
        <v>Residential_NO_CDM</v>
      </c>
      <c r="D1" s="127" t="str">
        <f>'Monthly Data'!BH1</f>
        <v>HDD</v>
      </c>
      <c r="E1" s="127" t="str">
        <f>'Monthly Data'!BI1</f>
        <v>CDD</v>
      </c>
      <c r="F1" s="127" t="str">
        <f>'Monthly Data'!BZ1</f>
        <v>Spring</v>
      </c>
      <c r="G1" s="127" t="str">
        <f>'Monthly Data'!CA1</f>
        <v>Fall</v>
      </c>
      <c r="H1" s="127" t="str">
        <f>'Monthly Data'!CC1</f>
        <v>Month Days</v>
      </c>
      <c r="I1" s="127" t="str">
        <f>'Monthly Data'!BV1</f>
        <v>Sept</v>
      </c>
      <c r="J1" s="127" t="str">
        <f>'Monthly Data'!BM1</f>
        <v>Trend</v>
      </c>
      <c r="L1" s="127" t="s">
        <v>91</v>
      </c>
      <c r="M1" s="127" t="str">
        <f>D1</f>
        <v>HDD</v>
      </c>
      <c r="N1" s="127" t="str">
        <f t="shared" ref="N1:S1" si="0">E1</f>
        <v>CDD</v>
      </c>
      <c r="O1" s="127" t="str">
        <f t="shared" si="0"/>
        <v>Spring</v>
      </c>
      <c r="P1" s="127" t="str">
        <f t="shared" si="0"/>
        <v>Fall</v>
      </c>
      <c r="Q1" s="127" t="str">
        <f t="shared" si="0"/>
        <v>Month Days</v>
      </c>
      <c r="R1" s="127" t="str">
        <f t="shared" si="0"/>
        <v>Sept</v>
      </c>
      <c r="S1" s="127" t="str">
        <f t="shared" si="0"/>
        <v>Trend</v>
      </c>
      <c r="T1" s="127" t="s">
        <v>154</v>
      </c>
    </row>
    <row r="2" spans="1:20">
      <c r="A2" s="128">
        <f>'Monthly Data'!A2</f>
        <v>39814</v>
      </c>
      <c r="B2" s="127">
        <f t="shared" ref="B2:B53" si="1">YEAR(A2)</f>
        <v>2009</v>
      </c>
      <c r="C2" s="127">
        <f ca="1">'Monthly Data'!F2</f>
        <v>59871639.469987579</v>
      </c>
      <c r="D2" s="144">
        <f ca="1">Weather!L69</f>
        <v>665.14879699248104</v>
      </c>
      <c r="E2" s="144">
        <f ca="1">Weather!M69</f>
        <v>0</v>
      </c>
      <c r="F2" s="127">
        <f>'Monthly Data'!BZ2</f>
        <v>0</v>
      </c>
      <c r="G2" s="127">
        <f>'Monthly Data'!CA2</f>
        <v>0</v>
      </c>
      <c r="H2" s="127">
        <f>'Monthly Data'!CC2</f>
        <v>31</v>
      </c>
      <c r="I2" s="127">
        <f>'Monthly Data'!BV2</f>
        <v>0</v>
      </c>
      <c r="J2" s="127">
        <f>'Monthly Data'!BM2</f>
        <v>1</v>
      </c>
      <c r="L2" s="127">
        <f>'Res OLS Model'!$B$5</f>
        <v>-14695221.8516191</v>
      </c>
      <c r="M2" s="127">
        <f ca="1">'Res OLS Model'!$B$6*D2</f>
        <v>16058123.765505565</v>
      </c>
      <c r="N2" s="127">
        <f ca="1">'Res OLS Model'!$B$7*E2</f>
        <v>0</v>
      </c>
      <c r="O2" s="127">
        <f>'Res OLS Model'!$B$8*F2</f>
        <v>0</v>
      </c>
      <c r="P2" s="127">
        <f>'Res OLS Model'!$B$9*G2</f>
        <v>0</v>
      </c>
      <c r="Q2" s="127">
        <f>'Res OLS Model'!$B$10*H2</f>
        <v>55859933.6715082</v>
      </c>
      <c r="R2" s="127">
        <f>'Res OLS Model'!$B$11*I2</f>
        <v>0</v>
      </c>
      <c r="S2" s="127">
        <f>'Res OLS Model'!$B$12*J2</f>
        <v>-12746.1846293341</v>
      </c>
      <c r="T2" s="127">
        <f t="shared" ref="T2:T53" ca="1" si="2">SUM(L2:S2)</f>
        <v>57210089.40076533</v>
      </c>
    </row>
    <row r="3" spans="1:20">
      <c r="A3" s="128">
        <f>'Monthly Data'!A3</f>
        <v>39845</v>
      </c>
      <c r="B3" s="127">
        <f t="shared" si="1"/>
        <v>2009</v>
      </c>
      <c r="C3" s="127">
        <f ca="1">'Monthly Data'!F3</f>
        <v>50314490.087674581</v>
      </c>
      <c r="D3" s="144">
        <f ca="1">Weather!L70</f>
        <v>611.17548872180487</v>
      </c>
      <c r="E3" s="144">
        <f ca="1">Weather!M70</f>
        <v>0</v>
      </c>
      <c r="F3" s="127">
        <f>'Monthly Data'!BZ3</f>
        <v>0</v>
      </c>
      <c r="G3" s="127">
        <f>'Monthly Data'!CA3</f>
        <v>0</v>
      </c>
      <c r="H3" s="127">
        <f>'Monthly Data'!CC3</f>
        <v>28</v>
      </c>
      <c r="I3" s="127">
        <f>'Monthly Data'!BV3</f>
        <v>0</v>
      </c>
      <c r="J3" s="127">
        <f>'Monthly Data'!BM3</f>
        <v>2</v>
      </c>
      <c r="L3" s="127">
        <f>'Res OLS Model'!$B$5</f>
        <v>-14695221.8516191</v>
      </c>
      <c r="M3" s="127">
        <f ca="1">'Res OLS Model'!$B$6*D3</f>
        <v>14755091.920355735</v>
      </c>
      <c r="N3" s="127">
        <f ca="1">'Res OLS Model'!$B$7*E3</f>
        <v>0</v>
      </c>
      <c r="O3" s="127">
        <f>'Res OLS Model'!$B$8*F3</f>
        <v>0</v>
      </c>
      <c r="P3" s="127">
        <f>'Res OLS Model'!$B$9*G3</f>
        <v>0</v>
      </c>
      <c r="Q3" s="127">
        <f>'Res OLS Model'!$B$10*H3</f>
        <v>50454133.6387816</v>
      </c>
      <c r="R3" s="127">
        <f>'Res OLS Model'!$B$11*I3</f>
        <v>0</v>
      </c>
      <c r="S3" s="127">
        <f>'Res OLS Model'!$B$12*J3</f>
        <v>-25492.369258668201</v>
      </c>
      <c r="T3" s="127">
        <f t="shared" ca="1" si="2"/>
        <v>50488511.33825957</v>
      </c>
    </row>
    <row r="4" spans="1:20">
      <c r="A4" s="128">
        <f>'Monthly Data'!A4</f>
        <v>39873</v>
      </c>
      <c r="B4" s="127">
        <f t="shared" si="1"/>
        <v>2009</v>
      </c>
      <c r="C4" s="127">
        <f ca="1">'Monthly Data'!F4</f>
        <v>49701259.077867575</v>
      </c>
      <c r="D4" s="144">
        <f ca="1">Weather!L71</f>
        <v>458.46436090225569</v>
      </c>
      <c r="E4" s="144">
        <f ca="1">Weather!M71</f>
        <v>0.45218045112781802</v>
      </c>
      <c r="F4" s="127">
        <f>'Monthly Data'!BZ4</f>
        <v>1</v>
      </c>
      <c r="G4" s="127">
        <f>'Monthly Data'!CA4</f>
        <v>0</v>
      </c>
      <c r="H4" s="127">
        <f>'Monthly Data'!CC4</f>
        <v>31</v>
      </c>
      <c r="I4" s="127">
        <f>'Monthly Data'!BV4</f>
        <v>0</v>
      </c>
      <c r="J4" s="127">
        <f>'Monthly Data'!BM4</f>
        <v>3</v>
      </c>
      <c r="L4" s="127">
        <f>'Res OLS Model'!$B$5</f>
        <v>-14695221.8516191</v>
      </c>
      <c r="M4" s="127">
        <f ca="1">'Res OLS Model'!$B$6*D4</f>
        <v>11068316.567255335</v>
      </c>
      <c r="N4" s="127">
        <f ca="1">'Res OLS Model'!$B$7*E4</f>
        <v>78769.784733003224</v>
      </c>
      <c r="O4" s="127">
        <f>'Res OLS Model'!$B$8*F4</f>
        <v>-4177006.7225933699</v>
      </c>
      <c r="P4" s="127">
        <f>'Res OLS Model'!$B$9*G4</f>
        <v>0</v>
      </c>
      <c r="Q4" s="127">
        <f>'Res OLS Model'!$B$10*H4</f>
        <v>55859933.6715082</v>
      </c>
      <c r="R4" s="127">
        <f>'Res OLS Model'!$B$11*I4</f>
        <v>0</v>
      </c>
      <c r="S4" s="127">
        <f>'Res OLS Model'!$B$12*J4</f>
        <v>-38238.553888002301</v>
      </c>
      <c r="T4" s="127">
        <f t="shared" ca="1" si="2"/>
        <v>48096552.895396069</v>
      </c>
    </row>
    <row r="5" spans="1:20">
      <c r="A5" s="128">
        <f>'Monthly Data'!A5</f>
        <v>39904</v>
      </c>
      <c r="B5" s="127">
        <f t="shared" si="1"/>
        <v>2009</v>
      </c>
      <c r="C5" s="127">
        <f ca="1">'Monthly Data'!F5</f>
        <v>43094637.623121575</v>
      </c>
      <c r="D5" s="144">
        <f ca="1">Weather!L72</f>
        <v>254.29052631578941</v>
      </c>
      <c r="E5" s="144">
        <f ca="1">Weather!M72</f>
        <v>0.50947368421054762</v>
      </c>
      <c r="F5" s="127">
        <f>'Monthly Data'!BZ5</f>
        <v>1</v>
      </c>
      <c r="G5" s="127">
        <f>'Monthly Data'!CA5</f>
        <v>0</v>
      </c>
      <c r="H5" s="127">
        <f>'Monthly Data'!CC5</f>
        <v>30</v>
      </c>
      <c r="I5" s="127">
        <f>'Monthly Data'!BV5</f>
        <v>0</v>
      </c>
      <c r="J5" s="127">
        <f>'Monthly Data'!BM5</f>
        <v>4</v>
      </c>
      <c r="L5" s="127">
        <f>'Res OLS Model'!$B$5</f>
        <v>-14695221.8516191</v>
      </c>
      <c r="M5" s="127">
        <f ca="1">'Res OLS Model'!$B$6*D5</f>
        <v>6139120.6936523356</v>
      </c>
      <c r="N5" s="127">
        <f ca="1">'Res OLS Model'!$B$7*E5</f>
        <v>88750.259619363816</v>
      </c>
      <c r="O5" s="127">
        <f>'Res OLS Model'!$B$8*F5</f>
        <v>-4177006.7225933699</v>
      </c>
      <c r="P5" s="127">
        <f>'Res OLS Model'!$B$9*G5</f>
        <v>0</v>
      </c>
      <c r="Q5" s="127">
        <f>'Res OLS Model'!$B$10*H5</f>
        <v>54058000.327266</v>
      </c>
      <c r="R5" s="127">
        <f>'Res OLS Model'!$B$11*I5</f>
        <v>0</v>
      </c>
      <c r="S5" s="127">
        <f>'Res OLS Model'!$B$12*J5</f>
        <v>-50984.738517336402</v>
      </c>
      <c r="T5" s="127">
        <f t="shared" ca="1" si="2"/>
        <v>41362657.967807896</v>
      </c>
    </row>
    <row r="6" spans="1:20">
      <c r="A6" s="128">
        <f>'Monthly Data'!A6</f>
        <v>39934</v>
      </c>
      <c r="B6" s="127">
        <f t="shared" si="1"/>
        <v>2009</v>
      </c>
      <c r="C6" s="127">
        <f ca="1">'Monthly Data'!F6</f>
        <v>41837246.165888578</v>
      </c>
      <c r="D6" s="144">
        <f ca="1">Weather!L73</f>
        <v>102.64150375939857</v>
      </c>
      <c r="E6" s="144">
        <f ca="1">Weather!M73</f>
        <v>56.062781954887214</v>
      </c>
      <c r="F6" s="127">
        <f>'Monthly Data'!BZ6</f>
        <v>1</v>
      </c>
      <c r="G6" s="127">
        <f>'Monthly Data'!CA6</f>
        <v>0</v>
      </c>
      <c r="H6" s="127">
        <f>'Monthly Data'!CC6</f>
        <v>31</v>
      </c>
      <c r="I6" s="127">
        <f>'Monthly Data'!BV6</f>
        <v>0</v>
      </c>
      <c r="J6" s="127">
        <f>'Monthly Data'!BM6</f>
        <v>5</v>
      </c>
      <c r="L6" s="127">
        <f>'Res OLS Model'!$B$5</f>
        <v>-14695221.8516191</v>
      </c>
      <c r="M6" s="127">
        <f ca="1">'Res OLS Model'!$B$6*D6</f>
        <v>2477986.8479032353</v>
      </c>
      <c r="N6" s="127">
        <f ca="1">'Res OLS Model'!$B$7*E6</f>
        <v>9766130.4355492275</v>
      </c>
      <c r="O6" s="127">
        <f>'Res OLS Model'!$B$8*F6</f>
        <v>-4177006.7225933699</v>
      </c>
      <c r="P6" s="127">
        <f>'Res OLS Model'!$B$9*G6</f>
        <v>0</v>
      </c>
      <c r="Q6" s="127">
        <f>'Res OLS Model'!$B$10*H6</f>
        <v>55859933.6715082</v>
      </c>
      <c r="R6" s="127">
        <f>'Res OLS Model'!$B$11*I6</f>
        <v>0</v>
      </c>
      <c r="S6" s="127">
        <f>'Res OLS Model'!$B$12*J6</f>
        <v>-63730.923146670502</v>
      </c>
      <c r="T6" s="127">
        <f t="shared" ca="1" si="2"/>
        <v>49168091.457601517</v>
      </c>
    </row>
    <row r="7" spans="1:20">
      <c r="A7" s="128">
        <f>'Monthly Data'!A7</f>
        <v>39965</v>
      </c>
      <c r="B7" s="127">
        <f t="shared" si="1"/>
        <v>2009</v>
      </c>
      <c r="C7" s="127">
        <f ca="1">'Monthly Data'!F7</f>
        <v>50342302.386945575</v>
      </c>
      <c r="D7" s="144">
        <f ca="1">Weather!L74</f>
        <v>0.39669172932326546</v>
      </c>
      <c r="E7" s="144">
        <f ca="1">Weather!M74</f>
        <v>116.89315789473682</v>
      </c>
      <c r="F7" s="127">
        <f>'Monthly Data'!BZ7</f>
        <v>0</v>
      </c>
      <c r="G7" s="127">
        <f>'Monthly Data'!CA7</f>
        <v>0</v>
      </c>
      <c r="H7" s="127">
        <f>'Monthly Data'!CC7</f>
        <v>30</v>
      </c>
      <c r="I7" s="127">
        <f>'Monthly Data'!BV7</f>
        <v>0</v>
      </c>
      <c r="J7" s="127">
        <f>'Monthly Data'!BM7</f>
        <v>6</v>
      </c>
      <c r="L7" s="127">
        <f>'Res OLS Model'!$B$5</f>
        <v>-14695221.8516191</v>
      </c>
      <c r="M7" s="127">
        <f ca="1">'Res OLS Model'!$B$6*D7</f>
        <v>9576.9922685396359</v>
      </c>
      <c r="N7" s="127">
        <f ca="1">'Res OLS Model'!$B$7*E7</f>
        <v>20362775.217645679</v>
      </c>
      <c r="O7" s="127">
        <f>'Res OLS Model'!$B$8*F7</f>
        <v>0</v>
      </c>
      <c r="P7" s="127">
        <f>'Res OLS Model'!$B$9*G7</f>
        <v>0</v>
      </c>
      <c r="Q7" s="127">
        <f>'Res OLS Model'!$B$10*H7</f>
        <v>54058000.327266</v>
      </c>
      <c r="R7" s="127">
        <f>'Res OLS Model'!$B$11*I7</f>
        <v>0</v>
      </c>
      <c r="S7" s="127">
        <f>'Res OLS Model'!$B$12*J7</f>
        <v>-76477.107776004603</v>
      </c>
      <c r="T7" s="127">
        <f t="shared" ca="1" si="2"/>
        <v>59658653.577785119</v>
      </c>
    </row>
    <row r="8" spans="1:20">
      <c r="A8" s="128">
        <f>'Monthly Data'!A8</f>
        <v>39995</v>
      </c>
      <c r="B8" s="127">
        <f t="shared" si="1"/>
        <v>2009</v>
      </c>
      <c r="C8" s="127">
        <f ca="1">'Monthly Data'!F8</f>
        <v>60810554.498038575</v>
      </c>
      <c r="D8" s="144">
        <f ca="1">Weather!L75</f>
        <v>0.58105263157894704</v>
      </c>
      <c r="E8" s="144">
        <f ca="1">Weather!M75</f>
        <v>186.96526315789481</v>
      </c>
      <c r="F8" s="127">
        <f>'Monthly Data'!BZ8</f>
        <v>0</v>
      </c>
      <c r="G8" s="127">
        <f>'Monthly Data'!CA8</f>
        <v>0</v>
      </c>
      <c r="H8" s="127">
        <f>'Monthly Data'!CC8</f>
        <v>31</v>
      </c>
      <c r="I8" s="127">
        <f>'Monthly Data'!BV8</f>
        <v>0</v>
      </c>
      <c r="J8" s="127">
        <f>'Monthly Data'!BM8</f>
        <v>7</v>
      </c>
      <c r="L8" s="127">
        <f>'Res OLS Model'!$B$5</f>
        <v>-14695221.8516191</v>
      </c>
      <c r="M8" s="127">
        <f ca="1">'Res OLS Model'!$B$6*D8</f>
        <v>14027.861306156605</v>
      </c>
      <c r="N8" s="127">
        <f ca="1">'Res OLS Model'!$B$7*E8</f>
        <v>32569328.228950184</v>
      </c>
      <c r="O8" s="127">
        <f>'Res OLS Model'!$B$8*F8</f>
        <v>0</v>
      </c>
      <c r="P8" s="127">
        <f>'Res OLS Model'!$B$9*G8</f>
        <v>0</v>
      </c>
      <c r="Q8" s="127">
        <f>'Res OLS Model'!$B$10*H8</f>
        <v>55859933.6715082</v>
      </c>
      <c r="R8" s="127">
        <f>'Res OLS Model'!$B$11*I8</f>
        <v>0</v>
      </c>
      <c r="S8" s="127">
        <f>'Res OLS Model'!$B$12*J8</f>
        <v>-89223.292405338696</v>
      </c>
      <c r="T8" s="127">
        <f t="shared" ca="1" si="2"/>
        <v>73658844.617740095</v>
      </c>
    </row>
    <row r="9" spans="1:20">
      <c r="A9" s="128">
        <f>'Monthly Data'!A9</f>
        <v>40026</v>
      </c>
      <c r="B9" s="127">
        <f t="shared" si="1"/>
        <v>2009</v>
      </c>
      <c r="C9" s="127">
        <f ca="1">'Monthly Data'!F9</f>
        <v>64587027.745830581</v>
      </c>
      <c r="D9" s="144">
        <f ca="1">Weather!L76</f>
        <v>1.6660902255639058</v>
      </c>
      <c r="E9" s="144">
        <f ca="1">Weather!M76</f>
        <v>167.43443609022574</v>
      </c>
      <c r="F9" s="127">
        <f>'Monthly Data'!BZ9</f>
        <v>0</v>
      </c>
      <c r="G9" s="127">
        <f>'Monthly Data'!CA9</f>
        <v>0</v>
      </c>
      <c r="H9" s="127">
        <f>'Monthly Data'!CC9</f>
        <v>31</v>
      </c>
      <c r="I9" s="127">
        <f>'Monthly Data'!BV9</f>
        <v>0</v>
      </c>
      <c r="J9" s="127">
        <f>'Monthly Data'!BM9</f>
        <v>8</v>
      </c>
      <c r="L9" s="127">
        <f>'Res OLS Model'!$B$5</f>
        <v>-14695221.8516191</v>
      </c>
      <c r="M9" s="127">
        <f ca="1">'Res OLS Model'!$B$6*D9</f>
        <v>40223.004487981838</v>
      </c>
      <c r="N9" s="127">
        <f ca="1">'Res OLS Model'!$B$7*E9</f>
        <v>29167060.307060447</v>
      </c>
      <c r="O9" s="127">
        <f>'Res OLS Model'!$B$8*F9</f>
        <v>0</v>
      </c>
      <c r="P9" s="127">
        <f>'Res OLS Model'!$B$9*G9</f>
        <v>0</v>
      </c>
      <c r="Q9" s="127">
        <f>'Res OLS Model'!$B$10*H9</f>
        <v>55859933.6715082</v>
      </c>
      <c r="R9" s="127">
        <f>'Res OLS Model'!$B$11*I9</f>
        <v>0</v>
      </c>
      <c r="S9" s="127">
        <f>'Res OLS Model'!$B$12*J9</f>
        <v>-101969.4770346728</v>
      </c>
      <c r="T9" s="127">
        <f t="shared" ca="1" si="2"/>
        <v>70270025.654402852</v>
      </c>
    </row>
    <row r="10" spans="1:20">
      <c r="A10" s="128">
        <f>'Monthly Data'!A10</f>
        <v>40057</v>
      </c>
      <c r="B10" s="127">
        <f t="shared" si="1"/>
        <v>2009</v>
      </c>
      <c r="C10" s="127">
        <f ca="1">'Monthly Data'!F10</f>
        <v>49270432.95375558</v>
      </c>
      <c r="D10" s="144">
        <f ca="1">Weather!L77</f>
        <v>30.410827067669118</v>
      </c>
      <c r="E10" s="144">
        <f ca="1">Weather!M77</f>
        <v>83.003533834586506</v>
      </c>
      <c r="F10" s="127">
        <f>'Monthly Data'!BZ10</f>
        <v>0</v>
      </c>
      <c r="G10" s="127">
        <f>'Monthly Data'!CA10</f>
        <v>1</v>
      </c>
      <c r="H10" s="127">
        <f>'Monthly Data'!CC10</f>
        <v>30</v>
      </c>
      <c r="I10" s="127">
        <f>'Monthly Data'!BV10</f>
        <v>1</v>
      </c>
      <c r="J10" s="127">
        <f>'Monthly Data'!BM10</f>
        <v>9</v>
      </c>
      <c r="L10" s="127">
        <f>'Res OLS Model'!$B$5</f>
        <v>-14695221.8516191</v>
      </c>
      <c r="M10" s="127">
        <f ca="1">'Res OLS Model'!$B$6*D10</f>
        <v>734182.82807108155</v>
      </c>
      <c r="N10" s="127">
        <f ca="1">'Res OLS Model'!$B$7*E10</f>
        <v>14459206.442741111</v>
      </c>
      <c r="O10" s="127">
        <f>'Res OLS Model'!$B$8*F10</f>
        <v>0</v>
      </c>
      <c r="P10" s="127">
        <f>'Res OLS Model'!$B$9*G10</f>
        <v>-2399238.63510927</v>
      </c>
      <c r="Q10" s="127">
        <f>'Res OLS Model'!$B$10*H10</f>
        <v>54058000.327266</v>
      </c>
      <c r="R10" s="127">
        <f>'Res OLS Model'!$B$11*I10</f>
        <v>2497427.94615121</v>
      </c>
      <c r="S10" s="127">
        <f>'Res OLS Model'!$B$12*J10</f>
        <v>-114715.66166400691</v>
      </c>
      <c r="T10" s="127">
        <f t="shared" ca="1" si="2"/>
        <v>54539641.395837024</v>
      </c>
    </row>
    <row r="11" spans="1:20">
      <c r="A11" s="128">
        <f>'Monthly Data'!A11</f>
        <v>40087</v>
      </c>
      <c r="B11" s="127">
        <f t="shared" si="1"/>
        <v>2009</v>
      </c>
      <c r="C11" s="127">
        <f ca="1">'Monthly Data'!F11</f>
        <v>45083293.96010758</v>
      </c>
      <c r="D11" s="144">
        <f ca="1">Weather!L78</f>
        <v>158.93676691729343</v>
      </c>
      <c r="E11" s="144">
        <f ca="1">Weather!M78</f>
        <v>16.916090225563948</v>
      </c>
      <c r="F11" s="127">
        <f>'Monthly Data'!BZ11</f>
        <v>0</v>
      </c>
      <c r="G11" s="127">
        <f>'Monthly Data'!CA11</f>
        <v>1</v>
      </c>
      <c r="H11" s="127">
        <f>'Monthly Data'!CC11</f>
        <v>31</v>
      </c>
      <c r="I11" s="127">
        <f>'Monthly Data'!BV11</f>
        <v>0</v>
      </c>
      <c r="J11" s="127">
        <f>'Monthly Data'!BM11</f>
        <v>10</v>
      </c>
      <c r="L11" s="127">
        <f>'Res OLS Model'!$B$5</f>
        <v>-14695221.8516191</v>
      </c>
      <c r="M11" s="127">
        <f ca="1">'Res OLS Model'!$B$6*D11</f>
        <v>3837075.6822943771</v>
      </c>
      <c r="N11" s="127">
        <f ca="1">'Res OLS Model'!$B$7*E11</f>
        <v>2946781.0522730458</v>
      </c>
      <c r="O11" s="127">
        <f>'Res OLS Model'!$B$8*F11</f>
        <v>0</v>
      </c>
      <c r="P11" s="127">
        <f>'Res OLS Model'!$B$9*G11</f>
        <v>-2399238.63510927</v>
      </c>
      <c r="Q11" s="127">
        <f>'Res OLS Model'!$B$10*H11</f>
        <v>55859933.6715082</v>
      </c>
      <c r="R11" s="127">
        <f>'Res OLS Model'!$B$11*I11</f>
        <v>0</v>
      </c>
      <c r="S11" s="127">
        <f>'Res OLS Model'!$B$12*J11</f>
        <v>-127461.846293341</v>
      </c>
      <c r="T11" s="127">
        <f t="shared" ca="1" si="2"/>
        <v>45421868.073053919</v>
      </c>
    </row>
    <row r="12" spans="1:20">
      <c r="A12" s="128">
        <f>'Monthly Data'!A12</f>
        <v>40118</v>
      </c>
      <c r="B12" s="127">
        <f t="shared" si="1"/>
        <v>2009</v>
      </c>
      <c r="C12" s="127">
        <f ca="1">'Monthly Data'!F12</f>
        <v>46033170.645772576</v>
      </c>
      <c r="D12" s="144">
        <f ca="1">Weather!L79</f>
        <v>375.92533834586447</v>
      </c>
      <c r="E12" s="144">
        <f ca="1">Weather!M79</f>
        <v>8.120300751879661E-2</v>
      </c>
      <c r="F12" s="127">
        <f>'Monthly Data'!BZ12</f>
        <v>0</v>
      </c>
      <c r="G12" s="127">
        <f>'Monthly Data'!CA12</f>
        <v>1</v>
      </c>
      <c r="H12" s="127">
        <f>'Monthly Data'!CC12</f>
        <v>30</v>
      </c>
      <c r="I12" s="127">
        <f>'Monthly Data'!BV12</f>
        <v>0</v>
      </c>
      <c r="J12" s="127">
        <f>'Monthly Data'!BM12</f>
        <v>11</v>
      </c>
      <c r="L12" s="127">
        <f>'Res OLS Model'!$B$5</f>
        <v>-14695221.8516191</v>
      </c>
      <c r="M12" s="127">
        <f ca="1">'Res OLS Model'!$B$6*D12</f>
        <v>9075646.8883994482</v>
      </c>
      <c r="N12" s="127">
        <f ca="1">'Res OLS Model'!$B$7*E12</f>
        <v>14145.5549570408</v>
      </c>
      <c r="O12" s="127">
        <f>'Res OLS Model'!$B$8*F12</f>
        <v>0</v>
      </c>
      <c r="P12" s="127">
        <f>'Res OLS Model'!$B$9*G12</f>
        <v>-2399238.63510927</v>
      </c>
      <c r="Q12" s="127">
        <f>'Res OLS Model'!$B$10*H12</f>
        <v>54058000.327266</v>
      </c>
      <c r="R12" s="127">
        <f>'Res OLS Model'!$B$11*I12</f>
        <v>0</v>
      </c>
      <c r="S12" s="127">
        <f>'Res OLS Model'!$B$12*J12</f>
        <v>-140208.0309226751</v>
      </c>
      <c r="T12" s="127">
        <f t="shared" ca="1" si="2"/>
        <v>45913124.252971448</v>
      </c>
    </row>
    <row r="13" spans="1:20">
      <c r="A13" s="128">
        <f>'Monthly Data'!A13</f>
        <v>40148</v>
      </c>
      <c r="B13" s="127">
        <f t="shared" si="1"/>
        <v>2009</v>
      </c>
      <c r="C13" s="127">
        <f ca="1">'Monthly Data'!F13</f>
        <v>56594449.192762576</v>
      </c>
      <c r="D13" s="144">
        <f ca="1">Weather!L80</f>
        <v>548.76120300751859</v>
      </c>
      <c r="E13" s="144">
        <f ca="1">Weather!M80</f>
        <v>0</v>
      </c>
      <c r="F13" s="127">
        <f>'Monthly Data'!BZ13</f>
        <v>0</v>
      </c>
      <c r="G13" s="127">
        <f>'Monthly Data'!CA13</f>
        <v>0</v>
      </c>
      <c r="H13" s="127">
        <f>'Monthly Data'!CC13</f>
        <v>31</v>
      </c>
      <c r="I13" s="127">
        <f>'Monthly Data'!BV13</f>
        <v>0</v>
      </c>
      <c r="J13" s="127">
        <f>'Monthly Data'!BM13</f>
        <v>12</v>
      </c>
      <c r="L13" s="127">
        <f>'Res OLS Model'!$B$5</f>
        <v>-14695221.8516191</v>
      </c>
      <c r="M13" s="127">
        <f ca="1">'Res OLS Model'!$B$6*D13</f>
        <v>13248276.709582731</v>
      </c>
      <c r="N13" s="127">
        <f ca="1">'Res OLS Model'!$B$7*E13</f>
        <v>0</v>
      </c>
      <c r="O13" s="127">
        <f>'Res OLS Model'!$B$8*F13</f>
        <v>0</v>
      </c>
      <c r="P13" s="127">
        <f>'Res OLS Model'!$B$9*G13</f>
        <v>0</v>
      </c>
      <c r="Q13" s="127">
        <f>'Res OLS Model'!$B$10*H13</f>
        <v>55859933.6715082</v>
      </c>
      <c r="R13" s="127">
        <f>'Res OLS Model'!$B$11*I13</f>
        <v>0</v>
      </c>
      <c r="S13" s="127">
        <f>'Res OLS Model'!$B$12*J13</f>
        <v>-152954.21555200921</v>
      </c>
      <c r="T13" s="127">
        <f t="shared" ca="1" si="2"/>
        <v>54260034.31391982</v>
      </c>
    </row>
    <row r="14" spans="1:20">
      <c r="A14" s="128">
        <f>'Monthly Data'!A14</f>
        <v>40179</v>
      </c>
      <c r="B14" s="127">
        <f t="shared" si="1"/>
        <v>2010</v>
      </c>
      <c r="C14" s="127">
        <f ca="1">'Monthly Data'!F14</f>
        <v>57230062.23541832</v>
      </c>
      <c r="D14" s="127">
        <f t="shared" ref="D14:E18" ca="1" si="3">D2</f>
        <v>665.14879699248104</v>
      </c>
      <c r="E14" s="127">
        <f t="shared" ca="1" si="3"/>
        <v>0</v>
      </c>
      <c r="F14" s="127">
        <f>'Monthly Data'!BZ14</f>
        <v>0</v>
      </c>
      <c r="G14" s="127">
        <f>'Monthly Data'!CA14</f>
        <v>0</v>
      </c>
      <c r="H14" s="127">
        <f>'Monthly Data'!CC14</f>
        <v>31</v>
      </c>
      <c r="I14" s="127">
        <f>'Monthly Data'!BV14</f>
        <v>0</v>
      </c>
      <c r="J14" s="127">
        <f>'Monthly Data'!BM14</f>
        <v>13</v>
      </c>
      <c r="L14" s="127">
        <f>'Res OLS Model'!$B$5</f>
        <v>-14695221.8516191</v>
      </c>
      <c r="M14" s="127">
        <f ca="1">'Res OLS Model'!$B$6*D14</f>
        <v>16058123.765505565</v>
      </c>
      <c r="N14" s="127">
        <f ca="1">'Res OLS Model'!$B$7*E14</f>
        <v>0</v>
      </c>
      <c r="O14" s="127">
        <f>'Res OLS Model'!$B$8*F14</f>
        <v>0</v>
      </c>
      <c r="P14" s="127">
        <f>'Res OLS Model'!$B$9*G14</f>
        <v>0</v>
      </c>
      <c r="Q14" s="127">
        <f>'Res OLS Model'!$B$10*H14</f>
        <v>55859933.6715082</v>
      </c>
      <c r="R14" s="127">
        <f>'Res OLS Model'!$B$11*I14</f>
        <v>0</v>
      </c>
      <c r="S14" s="127">
        <f>'Res OLS Model'!$B$12*J14</f>
        <v>-165700.40018134331</v>
      </c>
      <c r="T14" s="127">
        <f t="shared" ca="1" si="2"/>
        <v>57057135.18521332</v>
      </c>
    </row>
    <row r="15" spans="1:20">
      <c r="A15" s="128">
        <f>'Monthly Data'!A15</f>
        <v>40210</v>
      </c>
      <c r="B15" s="127">
        <f t="shared" si="1"/>
        <v>2010</v>
      </c>
      <c r="C15" s="127">
        <f ca="1">'Monthly Data'!F15</f>
        <v>48541585.314724319</v>
      </c>
      <c r="D15" s="127">
        <f t="shared" ca="1" si="3"/>
        <v>611.17548872180487</v>
      </c>
      <c r="E15" s="127">
        <f t="shared" ca="1" si="3"/>
        <v>0</v>
      </c>
      <c r="F15" s="127">
        <f>'Monthly Data'!BZ15</f>
        <v>0</v>
      </c>
      <c r="G15" s="127">
        <f>'Monthly Data'!CA15</f>
        <v>0</v>
      </c>
      <c r="H15" s="127">
        <f>'Monthly Data'!CC15</f>
        <v>28</v>
      </c>
      <c r="I15" s="127">
        <f>'Monthly Data'!BV15</f>
        <v>0</v>
      </c>
      <c r="J15" s="127">
        <f>'Monthly Data'!BM15</f>
        <v>14</v>
      </c>
      <c r="L15" s="127">
        <f>'Res OLS Model'!$B$5</f>
        <v>-14695221.8516191</v>
      </c>
      <c r="M15" s="127">
        <f ca="1">'Res OLS Model'!$B$6*D15</f>
        <v>14755091.920355735</v>
      </c>
      <c r="N15" s="127">
        <f ca="1">'Res OLS Model'!$B$7*E15</f>
        <v>0</v>
      </c>
      <c r="O15" s="127">
        <f>'Res OLS Model'!$B$8*F15</f>
        <v>0</v>
      </c>
      <c r="P15" s="127">
        <f>'Res OLS Model'!$B$9*G15</f>
        <v>0</v>
      </c>
      <c r="Q15" s="127">
        <f>'Res OLS Model'!$B$10*H15</f>
        <v>50454133.6387816</v>
      </c>
      <c r="R15" s="127">
        <f>'Res OLS Model'!$B$11*I15</f>
        <v>0</v>
      </c>
      <c r="S15" s="127">
        <f>'Res OLS Model'!$B$12*J15</f>
        <v>-178446.58481067739</v>
      </c>
      <c r="T15" s="127">
        <f t="shared" ca="1" si="2"/>
        <v>50335557.122707561</v>
      </c>
    </row>
    <row r="16" spans="1:20">
      <c r="A16" s="128">
        <f>'Monthly Data'!A16</f>
        <v>40238</v>
      </c>
      <c r="B16" s="127">
        <f t="shared" si="1"/>
        <v>2010</v>
      </c>
      <c r="C16" s="127">
        <f ca="1">'Monthly Data'!F16</f>
        <v>46701990.468791321</v>
      </c>
      <c r="D16" s="127">
        <f t="shared" ca="1" si="3"/>
        <v>458.46436090225569</v>
      </c>
      <c r="E16" s="127">
        <f t="shared" ca="1" si="3"/>
        <v>0.45218045112781802</v>
      </c>
      <c r="F16" s="127">
        <f>'Monthly Data'!BZ16</f>
        <v>1</v>
      </c>
      <c r="G16" s="127">
        <f>'Monthly Data'!CA16</f>
        <v>0</v>
      </c>
      <c r="H16" s="127">
        <f>'Monthly Data'!CC16</f>
        <v>31</v>
      </c>
      <c r="I16" s="127">
        <f>'Monthly Data'!BV16</f>
        <v>0</v>
      </c>
      <c r="J16" s="127">
        <f>'Monthly Data'!BM16</f>
        <v>15</v>
      </c>
      <c r="L16" s="127">
        <f>'Res OLS Model'!$B$5</f>
        <v>-14695221.8516191</v>
      </c>
      <c r="M16" s="127">
        <f ca="1">'Res OLS Model'!$B$6*D16</f>
        <v>11068316.567255335</v>
      </c>
      <c r="N16" s="127">
        <f ca="1">'Res OLS Model'!$B$7*E16</f>
        <v>78769.784733003224</v>
      </c>
      <c r="O16" s="127">
        <f>'Res OLS Model'!$B$8*F16</f>
        <v>-4177006.7225933699</v>
      </c>
      <c r="P16" s="127">
        <f>'Res OLS Model'!$B$9*G16</f>
        <v>0</v>
      </c>
      <c r="Q16" s="127">
        <f>'Res OLS Model'!$B$10*H16</f>
        <v>55859933.6715082</v>
      </c>
      <c r="R16" s="127">
        <f>'Res OLS Model'!$B$11*I16</f>
        <v>0</v>
      </c>
      <c r="S16" s="127">
        <f>'Res OLS Model'!$B$12*J16</f>
        <v>-191192.7694400115</v>
      </c>
      <c r="T16" s="127">
        <f t="shared" ca="1" si="2"/>
        <v>47943598.679844059</v>
      </c>
    </row>
    <row r="17" spans="1:20">
      <c r="A17" s="128">
        <f>'Monthly Data'!A17</f>
        <v>40269</v>
      </c>
      <c r="B17" s="127">
        <f t="shared" si="1"/>
        <v>2010</v>
      </c>
      <c r="C17" s="127">
        <f ca="1">'Monthly Data'!F17</f>
        <v>40737141.674832322</v>
      </c>
      <c r="D17" s="127">
        <f t="shared" ca="1" si="3"/>
        <v>254.29052631578941</v>
      </c>
      <c r="E17" s="127">
        <f t="shared" ca="1" si="3"/>
        <v>0.50947368421054762</v>
      </c>
      <c r="F17" s="127">
        <f>'Monthly Data'!BZ17</f>
        <v>1</v>
      </c>
      <c r="G17" s="127">
        <f>'Monthly Data'!CA17</f>
        <v>0</v>
      </c>
      <c r="H17" s="127">
        <f>'Monthly Data'!CC17</f>
        <v>30</v>
      </c>
      <c r="I17" s="127">
        <f>'Monthly Data'!BV17</f>
        <v>0</v>
      </c>
      <c r="J17" s="127">
        <f>'Monthly Data'!BM17</f>
        <v>16</v>
      </c>
      <c r="L17" s="127">
        <f>'Res OLS Model'!$B$5</f>
        <v>-14695221.8516191</v>
      </c>
      <c r="M17" s="127">
        <f ca="1">'Res OLS Model'!$B$6*D17</f>
        <v>6139120.6936523356</v>
      </c>
      <c r="N17" s="127">
        <f ca="1">'Res OLS Model'!$B$7*E17</f>
        <v>88750.259619363816</v>
      </c>
      <c r="O17" s="127">
        <f>'Res OLS Model'!$B$8*F17</f>
        <v>-4177006.7225933699</v>
      </c>
      <c r="P17" s="127">
        <f>'Res OLS Model'!$B$9*G17</f>
        <v>0</v>
      </c>
      <c r="Q17" s="127">
        <f>'Res OLS Model'!$B$10*H17</f>
        <v>54058000.327266</v>
      </c>
      <c r="R17" s="127">
        <f>'Res OLS Model'!$B$11*I17</f>
        <v>0</v>
      </c>
      <c r="S17" s="127">
        <f>'Res OLS Model'!$B$12*J17</f>
        <v>-203938.95406934561</v>
      </c>
      <c r="T17" s="127">
        <f t="shared" ca="1" si="2"/>
        <v>41209703.752255887</v>
      </c>
    </row>
    <row r="18" spans="1:20">
      <c r="A18" s="128">
        <f>'Monthly Data'!A18</f>
        <v>40299</v>
      </c>
      <c r="B18" s="127">
        <f t="shared" si="1"/>
        <v>2010</v>
      </c>
      <c r="C18" s="127">
        <f ca="1">'Monthly Data'!F18</f>
        <v>48242779.236058325</v>
      </c>
      <c r="D18" s="127">
        <f t="shared" ca="1" si="3"/>
        <v>102.64150375939857</v>
      </c>
      <c r="E18" s="127">
        <f t="shared" ca="1" si="3"/>
        <v>56.062781954887214</v>
      </c>
      <c r="F18" s="127">
        <f>'Monthly Data'!BZ18</f>
        <v>1</v>
      </c>
      <c r="G18" s="127">
        <f>'Monthly Data'!CA18</f>
        <v>0</v>
      </c>
      <c r="H18" s="127">
        <f>'Monthly Data'!CC18</f>
        <v>31</v>
      </c>
      <c r="I18" s="127">
        <f>'Monthly Data'!BV18</f>
        <v>0</v>
      </c>
      <c r="J18" s="127">
        <f>'Monthly Data'!BM18</f>
        <v>17</v>
      </c>
      <c r="L18" s="127">
        <f>'Res OLS Model'!$B$5</f>
        <v>-14695221.8516191</v>
      </c>
      <c r="M18" s="127">
        <f ca="1">'Res OLS Model'!$B$6*D18</f>
        <v>2477986.8479032353</v>
      </c>
      <c r="N18" s="127">
        <f ca="1">'Res OLS Model'!$B$7*E18</f>
        <v>9766130.4355492275</v>
      </c>
      <c r="O18" s="127">
        <f>'Res OLS Model'!$B$8*F18</f>
        <v>-4177006.7225933699</v>
      </c>
      <c r="P18" s="127">
        <f>'Res OLS Model'!$B$9*G18</f>
        <v>0</v>
      </c>
      <c r="Q18" s="127">
        <f>'Res OLS Model'!$B$10*H18</f>
        <v>55859933.6715082</v>
      </c>
      <c r="R18" s="127">
        <f>'Res OLS Model'!$B$11*I18</f>
        <v>0</v>
      </c>
      <c r="S18" s="127">
        <f>'Res OLS Model'!$B$12*J18</f>
        <v>-216685.13869867972</v>
      </c>
      <c r="T18" s="127">
        <f t="shared" ca="1" si="2"/>
        <v>49015137.242049508</v>
      </c>
    </row>
    <row r="19" spans="1:20">
      <c r="A19" s="128">
        <f>'Monthly Data'!A19</f>
        <v>40330</v>
      </c>
      <c r="B19" s="127">
        <f t="shared" si="1"/>
        <v>2010</v>
      </c>
      <c r="C19" s="127">
        <f ca="1">'Monthly Data'!F19</f>
        <v>65023461.895293318</v>
      </c>
      <c r="D19" s="127">
        <f t="shared" ref="D19:E34" ca="1" si="4">D7</f>
        <v>0.39669172932326546</v>
      </c>
      <c r="E19" s="127">
        <f t="shared" ca="1" si="4"/>
        <v>116.89315789473682</v>
      </c>
      <c r="F19" s="127">
        <f>'Monthly Data'!BZ19</f>
        <v>0</v>
      </c>
      <c r="G19" s="127">
        <f>'Monthly Data'!CA19</f>
        <v>0</v>
      </c>
      <c r="H19" s="127">
        <f>'Monthly Data'!CC19</f>
        <v>30</v>
      </c>
      <c r="I19" s="127">
        <f>'Monthly Data'!BV19</f>
        <v>0</v>
      </c>
      <c r="J19" s="127">
        <f>'Monthly Data'!BM19</f>
        <v>18</v>
      </c>
      <c r="L19" s="127">
        <f>'Res OLS Model'!$B$5</f>
        <v>-14695221.8516191</v>
      </c>
      <c r="M19" s="127">
        <f ca="1">'Res OLS Model'!$B$6*D19</f>
        <v>9576.9922685396359</v>
      </c>
      <c r="N19" s="127">
        <f ca="1">'Res OLS Model'!$B$7*E19</f>
        <v>20362775.217645679</v>
      </c>
      <c r="O19" s="127">
        <f>'Res OLS Model'!$B$8*F19</f>
        <v>0</v>
      </c>
      <c r="P19" s="127">
        <f>'Res OLS Model'!$B$9*G19</f>
        <v>0</v>
      </c>
      <c r="Q19" s="127">
        <f>'Res OLS Model'!$B$10*H19</f>
        <v>54058000.327266</v>
      </c>
      <c r="R19" s="127">
        <f>'Res OLS Model'!$B$11*I19</f>
        <v>0</v>
      </c>
      <c r="S19" s="127">
        <f>'Res OLS Model'!$B$12*J19</f>
        <v>-229431.32332801382</v>
      </c>
      <c r="T19" s="127">
        <f t="shared" ca="1" si="2"/>
        <v>59505699.36223311</v>
      </c>
    </row>
    <row r="20" spans="1:20">
      <c r="A20" s="128">
        <f>'Monthly Data'!A20</f>
        <v>40360</v>
      </c>
      <c r="B20" s="127">
        <f t="shared" si="1"/>
        <v>2010</v>
      </c>
      <c r="C20" s="127">
        <f ca="1">'Monthly Data'!F20</f>
        <v>81296181.759749323</v>
      </c>
      <c r="D20" s="127">
        <f t="shared" ca="1" si="4"/>
        <v>0.58105263157894704</v>
      </c>
      <c r="E20" s="127">
        <f t="shared" ca="1" si="4"/>
        <v>186.96526315789481</v>
      </c>
      <c r="F20" s="127">
        <f>'Monthly Data'!BZ20</f>
        <v>0</v>
      </c>
      <c r="G20" s="127">
        <f>'Monthly Data'!CA20</f>
        <v>0</v>
      </c>
      <c r="H20" s="127">
        <f>'Monthly Data'!CC20</f>
        <v>31</v>
      </c>
      <c r="I20" s="127">
        <f>'Monthly Data'!BV20</f>
        <v>0</v>
      </c>
      <c r="J20" s="127">
        <f>'Monthly Data'!BM20</f>
        <v>19</v>
      </c>
      <c r="L20" s="127">
        <f>'Res OLS Model'!$B$5</f>
        <v>-14695221.8516191</v>
      </c>
      <c r="M20" s="127">
        <f ca="1">'Res OLS Model'!$B$6*D20</f>
        <v>14027.861306156605</v>
      </c>
      <c r="N20" s="127">
        <f ca="1">'Res OLS Model'!$B$7*E20</f>
        <v>32569328.228950184</v>
      </c>
      <c r="O20" s="127">
        <f>'Res OLS Model'!$B$8*F20</f>
        <v>0</v>
      </c>
      <c r="P20" s="127">
        <f>'Res OLS Model'!$B$9*G20</f>
        <v>0</v>
      </c>
      <c r="Q20" s="127">
        <f>'Res OLS Model'!$B$10*H20</f>
        <v>55859933.6715082</v>
      </c>
      <c r="R20" s="127">
        <f>'Res OLS Model'!$B$11*I20</f>
        <v>0</v>
      </c>
      <c r="S20" s="127">
        <f>'Res OLS Model'!$B$12*J20</f>
        <v>-242177.5079573479</v>
      </c>
      <c r="T20" s="127">
        <f t="shared" ca="1" si="2"/>
        <v>73505890.402188078</v>
      </c>
    </row>
    <row r="21" spans="1:20">
      <c r="A21" s="128">
        <f>'Monthly Data'!A21</f>
        <v>40391</v>
      </c>
      <c r="B21" s="127">
        <f t="shared" si="1"/>
        <v>2010</v>
      </c>
      <c r="C21" s="127">
        <f ca="1">'Monthly Data'!F21</f>
        <v>75078483.539122328</v>
      </c>
      <c r="D21" s="127">
        <f t="shared" ca="1" si="4"/>
        <v>1.6660902255639058</v>
      </c>
      <c r="E21" s="127">
        <f t="shared" ca="1" si="4"/>
        <v>167.43443609022574</v>
      </c>
      <c r="F21" s="127">
        <f>'Monthly Data'!BZ21</f>
        <v>0</v>
      </c>
      <c r="G21" s="127">
        <f>'Monthly Data'!CA21</f>
        <v>0</v>
      </c>
      <c r="H21" s="127">
        <f>'Monthly Data'!CC21</f>
        <v>31</v>
      </c>
      <c r="I21" s="127">
        <f>'Monthly Data'!BV21</f>
        <v>0</v>
      </c>
      <c r="J21" s="127">
        <f>'Monthly Data'!BM21</f>
        <v>20</v>
      </c>
      <c r="L21" s="127">
        <f>'Res OLS Model'!$B$5</f>
        <v>-14695221.8516191</v>
      </c>
      <c r="M21" s="127">
        <f ca="1">'Res OLS Model'!$B$6*D21</f>
        <v>40223.004487981838</v>
      </c>
      <c r="N21" s="127">
        <f ca="1">'Res OLS Model'!$B$7*E21</f>
        <v>29167060.307060447</v>
      </c>
      <c r="O21" s="127">
        <f>'Res OLS Model'!$B$8*F21</f>
        <v>0</v>
      </c>
      <c r="P21" s="127">
        <f>'Res OLS Model'!$B$9*G21</f>
        <v>0</v>
      </c>
      <c r="Q21" s="127">
        <f>'Res OLS Model'!$B$10*H21</f>
        <v>55859933.6715082</v>
      </c>
      <c r="R21" s="127">
        <f>'Res OLS Model'!$B$11*I21</f>
        <v>0</v>
      </c>
      <c r="S21" s="127">
        <f>'Res OLS Model'!$B$12*J21</f>
        <v>-254923.69258668201</v>
      </c>
      <c r="T21" s="127">
        <f t="shared" ca="1" si="2"/>
        <v>70117071.43885085</v>
      </c>
    </row>
    <row r="22" spans="1:20">
      <c r="A22" s="128">
        <f>'Monthly Data'!A22</f>
        <v>40422</v>
      </c>
      <c r="B22" s="127">
        <f t="shared" si="1"/>
        <v>2010</v>
      </c>
      <c r="C22" s="127">
        <f ca="1">'Monthly Data'!F22</f>
        <v>49993208.971530318</v>
      </c>
      <c r="D22" s="127">
        <f t="shared" ca="1" si="4"/>
        <v>30.410827067669118</v>
      </c>
      <c r="E22" s="127">
        <f t="shared" ca="1" si="4"/>
        <v>83.003533834586506</v>
      </c>
      <c r="F22" s="127">
        <f>'Monthly Data'!BZ22</f>
        <v>0</v>
      </c>
      <c r="G22" s="127">
        <f>'Monthly Data'!CA22</f>
        <v>1</v>
      </c>
      <c r="H22" s="127">
        <f>'Monthly Data'!CC22</f>
        <v>30</v>
      </c>
      <c r="I22" s="127">
        <f>'Monthly Data'!BV22</f>
        <v>1</v>
      </c>
      <c r="J22" s="127">
        <f>'Monthly Data'!BM22</f>
        <v>21</v>
      </c>
      <c r="L22" s="127">
        <f>'Res OLS Model'!$B$5</f>
        <v>-14695221.8516191</v>
      </c>
      <c r="M22" s="127">
        <f ca="1">'Res OLS Model'!$B$6*D22</f>
        <v>734182.82807108155</v>
      </c>
      <c r="N22" s="127">
        <f ca="1">'Res OLS Model'!$B$7*E22</f>
        <v>14459206.442741111</v>
      </c>
      <c r="O22" s="127">
        <f>'Res OLS Model'!$B$8*F22</f>
        <v>0</v>
      </c>
      <c r="P22" s="127">
        <f>'Res OLS Model'!$B$9*G22</f>
        <v>-2399238.63510927</v>
      </c>
      <c r="Q22" s="127">
        <f>'Res OLS Model'!$B$10*H22</f>
        <v>54058000.327266</v>
      </c>
      <c r="R22" s="127">
        <f>'Res OLS Model'!$B$11*I22</f>
        <v>2497427.94615121</v>
      </c>
      <c r="S22" s="127">
        <f>'Res OLS Model'!$B$12*J22</f>
        <v>-267669.87721601612</v>
      </c>
      <c r="T22" s="127">
        <f t="shared" ca="1" si="2"/>
        <v>54386687.180285014</v>
      </c>
    </row>
    <row r="23" spans="1:20">
      <c r="A23" s="128">
        <f>'Monthly Data'!A23</f>
        <v>40452</v>
      </c>
      <c r="B23" s="127">
        <f t="shared" si="1"/>
        <v>2010</v>
      </c>
      <c r="C23" s="127">
        <f ca="1">'Monthly Data'!F23</f>
        <v>42337839.47948432</v>
      </c>
      <c r="D23" s="127">
        <f t="shared" ca="1" si="4"/>
        <v>158.93676691729343</v>
      </c>
      <c r="E23" s="127">
        <f t="shared" ca="1" si="4"/>
        <v>16.916090225563948</v>
      </c>
      <c r="F23" s="127">
        <f>'Monthly Data'!BZ23</f>
        <v>0</v>
      </c>
      <c r="G23" s="127">
        <f>'Monthly Data'!CA23</f>
        <v>1</v>
      </c>
      <c r="H23" s="127">
        <f>'Monthly Data'!CC23</f>
        <v>31</v>
      </c>
      <c r="I23" s="127">
        <f>'Monthly Data'!BV23</f>
        <v>0</v>
      </c>
      <c r="J23" s="127">
        <f>'Monthly Data'!BM23</f>
        <v>22</v>
      </c>
      <c r="L23" s="127">
        <f>'Res OLS Model'!$B$5</f>
        <v>-14695221.8516191</v>
      </c>
      <c r="M23" s="127">
        <f ca="1">'Res OLS Model'!$B$6*D23</f>
        <v>3837075.6822943771</v>
      </c>
      <c r="N23" s="127">
        <f ca="1">'Res OLS Model'!$B$7*E23</f>
        <v>2946781.0522730458</v>
      </c>
      <c r="O23" s="127">
        <f>'Res OLS Model'!$B$8*F23</f>
        <v>0</v>
      </c>
      <c r="P23" s="127">
        <f>'Res OLS Model'!$B$9*G23</f>
        <v>-2399238.63510927</v>
      </c>
      <c r="Q23" s="127">
        <f>'Res OLS Model'!$B$10*H23</f>
        <v>55859933.6715082</v>
      </c>
      <c r="R23" s="127">
        <f>'Res OLS Model'!$B$11*I23</f>
        <v>0</v>
      </c>
      <c r="S23" s="127">
        <f>'Res OLS Model'!$B$12*J23</f>
        <v>-280416.0618453502</v>
      </c>
      <c r="T23" s="127">
        <f t="shared" ca="1" si="2"/>
        <v>45268913.857501909</v>
      </c>
    </row>
    <row r="24" spans="1:20">
      <c r="A24" s="128">
        <f>'Monthly Data'!A24</f>
        <v>40483</v>
      </c>
      <c r="B24" s="127">
        <f t="shared" si="1"/>
        <v>2010</v>
      </c>
      <c r="C24" s="127">
        <f ca="1">'Monthly Data'!F24</f>
        <v>45676188.057550319</v>
      </c>
      <c r="D24" s="127">
        <f t="shared" ca="1" si="4"/>
        <v>375.92533834586447</v>
      </c>
      <c r="E24" s="127">
        <f t="shared" ca="1" si="4"/>
        <v>8.120300751879661E-2</v>
      </c>
      <c r="F24" s="127">
        <f>'Monthly Data'!BZ24</f>
        <v>0</v>
      </c>
      <c r="G24" s="127">
        <f>'Monthly Data'!CA24</f>
        <v>1</v>
      </c>
      <c r="H24" s="127">
        <f>'Monthly Data'!CC24</f>
        <v>30</v>
      </c>
      <c r="I24" s="127">
        <f>'Monthly Data'!BV24</f>
        <v>0</v>
      </c>
      <c r="J24" s="127">
        <f>'Monthly Data'!BM24</f>
        <v>23</v>
      </c>
      <c r="L24" s="127">
        <f>'Res OLS Model'!$B$5</f>
        <v>-14695221.8516191</v>
      </c>
      <c r="M24" s="127">
        <f ca="1">'Res OLS Model'!$B$6*D24</f>
        <v>9075646.8883994482</v>
      </c>
      <c r="N24" s="127">
        <f ca="1">'Res OLS Model'!$B$7*E24</f>
        <v>14145.5549570408</v>
      </c>
      <c r="O24" s="127">
        <f>'Res OLS Model'!$B$8*F24</f>
        <v>0</v>
      </c>
      <c r="P24" s="127">
        <f>'Res OLS Model'!$B$9*G24</f>
        <v>-2399238.63510927</v>
      </c>
      <c r="Q24" s="127">
        <f>'Res OLS Model'!$B$10*H24</f>
        <v>54058000.327266</v>
      </c>
      <c r="R24" s="127">
        <f>'Res OLS Model'!$B$11*I24</f>
        <v>0</v>
      </c>
      <c r="S24" s="127">
        <f>'Res OLS Model'!$B$12*J24</f>
        <v>-293162.24647468433</v>
      </c>
      <c r="T24" s="127">
        <f t="shared" ca="1" si="2"/>
        <v>45760170.037419438</v>
      </c>
    </row>
    <row r="25" spans="1:20">
      <c r="A25" s="128">
        <f>'Monthly Data'!A25</f>
        <v>40513</v>
      </c>
      <c r="B25" s="127">
        <f t="shared" si="1"/>
        <v>2010</v>
      </c>
      <c r="C25" s="127">
        <f ca="1">'Monthly Data'!F25</f>
        <v>56097840.297418319</v>
      </c>
      <c r="D25" s="127">
        <f t="shared" ca="1" si="4"/>
        <v>548.76120300751859</v>
      </c>
      <c r="E25" s="127">
        <f t="shared" ca="1" si="4"/>
        <v>0</v>
      </c>
      <c r="F25" s="127">
        <f>'Monthly Data'!BZ25</f>
        <v>0</v>
      </c>
      <c r="G25" s="127">
        <f>'Monthly Data'!CA25</f>
        <v>0</v>
      </c>
      <c r="H25" s="127">
        <f>'Monthly Data'!CC25</f>
        <v>31</v>
      </c>
      <c r="I25" s="127">
        <f>'Monthly Data'!BV25</f>
        <v>0</v>
      </c>
      <c r="J25" s="127">
        <f>'Monthly Data'!BM25</f>
        <v>24</v>
      </c>
      <c r="L25" s="127">
        <f>'Res OLS Model'!$B$5</f>
        <v>-14695221.8516191</v>
      </c>
      <c r="M25" s="127">
        <f ca="1">'Res OLS Model'!$B$6*D25</f>
        <v>13248276.709582731</v>
      </c>
      <c r="N25" s="127">
        <f ca="1">'Res OLS Model'!$B$7*E25</f>
        <v>0</v>
      </c>
      <c r="O25" s="127">
        <f>'Res OLS Model'!$B$8*F25</f>
        <v>0</v>
      </c>
      <c r="P25" s="127">
        <f>'Res OLS Model'!$B$9*G25</f>
        <v>0</v>
      </c>
      <c r="Q25" s="127">
        <f>'Res OLS Model'!$B$10*H25</f>
        <v>55859933.6715082</v>
      </c>
      <c r="R25" s="127">
        <f>'Res OLS Model'!$B$11*I25</f>
        <v>0</v>
      </c>
      <c r="S25" s="127">
        <f>'Res OLS Model'!$B$12*J25</f>
        <v>-305908.43110401841</v>
      </c>
      <c r="T25" s="127">
        <f t="shared" ca="1" si="2"/>
        <v>54107080.09836781</v>
      </c>
    </row>
    <row r="26" spans="1:20">
      <c r="A26" s="128">
        <f>'Monthly Data'!A26</f>
        <v>40544</v>
      </c>
      <c r="B26" s="127">
        <f t="shared" si="1"/>
        <v>2011</v>
      </c>
      <c r="C26" s="127">
        <f ca="1">'Monthly Data'!F26</f>
        <v>57216324.683351137</v>
      </c>
      <c r="D26" s="127">
        <f t="shared" ca="1" si="4"/>
        <v>665.14879699248104</v>
      </c>
      <c r="E26" s="127">
        <f t="shared" ca="1" si="4"/>
        <v>0</v>
      </c>
      <c r="F26" s="127">
        <f>'Monthly Data'!BZ26</f>
        <v>0</v>
      </c>
      <c r="G26" s="127">
        <f>'Monthly Data'!CA26</f>
        <v>0</v>
      </c>
      <c r="H26" s="127">
        <f>'Monthly Data'!CC26</f>
        <v>31</v>
      </c>
      <c r="I26" s="127">
        <f>'Monthly Data'!BV26</f>
        <v>0</v>
      </c>
      <c r="J26" s="127">
        <f>'Monthly Data'!BM26</f>
        <v>25</v>
      </c>
      <c r="L26" s="127">
        <f>'Res OLS Model'!$B$5</f>
        <v>-14695221.8516191</v>
      </c>
      <c r="M26" s="127">
        <f ca="1">'Res OLS Model'!$B$6*D26</f>
        <v>16058123.765505565</v>
      </c>
      <c r="N26" s="127">
        <f ca="1">'Res OLS Model'!$B$7*E26</f>
        <v>0</v>
      </c>
      <c r="O26" s="127">
        <f>'Res OLS Model'!$B$8*F26</f>
        <v>0</v>
      </c>
      <c r="P26" s="127">
        <f>'Res OLS Model'!$B$9*G26</f>
        <v>0</v>
      </c>
      <c r="Q26" s="127">
        <f>'Res OLS Model'!$B$10*H26</f>
        <v>55859933.6715082</v>
      </c>
      <c r="R26" s="127">
        <f>'Res OLS Model'!$B$11*I26</f>
        <v>0</v>
      </c>
      <c r="S26" s="127">
        <f>'Res OLS Model'!$B$12*J26</f>
        <v>-318654.61573335249</v>
      </c>
      <c r="T26" s="127">
        <f t="shared" ca="1" si="2"/>
        <v>56904180.96966131</v>
      </c>
    </row>
    <row r="27" spans="1:20">
      <c r="A27" s="128">
        <f>'Monthly Data'!A27</f>
        <v>40575</v>
      </c>
      <c r="B27" s="127">
        <f t="shared" si="1"/>
        <v>2011</v>
      </c>
      <c r="C27" s="127">
        <f ca="1">'Monthly Data'!F27</f>
        <v>49077423.393344134</v>
      </c>
      <c r="D27" s="127">
        <f t="shared" ca="1" si="4"/>
        <v>611.17548872180487</v>
      </c>
      <c r="E27" s="127">
        <f t="shared" ca="1" si="4"/>
        <v>0</v>
      </c>
      <c r="F27" s="127">
        <f>'Monthly Data'!BZ27</f>
        <v>0</v>
      </c>
      <c r="G27" s="127">
        <f>'Monthly Data'!CA27</f>
        <v>0</v>
      </c>
      <c r="H27" s="127">
        <f>'Monthly Data'!CC27</f>
        <v>28</v>
      </c>
      <c r="I27" s="127">
        <f>'Monthly Data'!BV27</f>
        <v>0</v>
      </c>
      <c r="J27" s="127">
        <f>'Monthly Data'!BM27</f>
        <v>26</v>
      </c>
      <c r="L27" s="127">
        <f>'Res OLS Model'!$B$5</f>
        <v>-14695221.8516191</v>
      </c>
      <c r="M27" s="127">
        <f ca="1">'Res OLS Model'!$B$6*D27</f>
        <v>14755091.920355735</v>
      </c>
      <c r="N27" s="127">
        <f ca="1">'Res OLS Model'!$B$7*E27</f>
        <v>0</v>
      </c>
      <c r="O27" s="127">
        <f>'Res OLS Model'!$B$8*F27</f>
        <v>0</v>
      </c>
      <c r="P27" s="127">
        <f>'Res OLS Model'!$B$9*G27</f>
        <v>0</v>
      </c>
      <c r="Q27" s="127">
        <f>'Res OLS Model'!$B$10*H27</f>
        <v>50454133.6387816</v>
      </c>
      <c r="R27" s="127">
        <f>'Res OLS Model'!$B$11*I27</f>
        <v>0</v>
      </c>
      <c r="S27" s="127">
        <f>'Res OLS Model'!$B$12*J27</f>
        <v>-331400.80036268663</v>
      </c>
      <c r="T27" s="127">
        <f t="shared" ca="1" si="2"/>
        <v>50182602.907155551</v>
      </c>
    </row>
    <row r="28" spans="1:20">
      <c r="A28" s="128">
        <f>'Monthly Data'!A28</f>
        <v>40603</v>
      </c>
      <c r="B28" s="127">
        <f t="shared" si="1"/>
        <v>2011</v>
      </c>
      <c r="C28" s="127">
        <f ca="1">'Monthly Data'!F28</f>
        <v>49267213.176552139</v>
      </c>
      <c r="D28" s="127">
        <f t="shared" ca="1" si="4"/>
        <v>458.46436090225569</v>
      </c>
      <c r="E28" s="127">
        <f t="shared" ca="1" si="4"/>
        <v>0.45218045112781802</v>
      </c>
      <c r="F28" s="127">
        <f>'Monthly Data'!BZ28</f>
        <v>1</v>
      </c>
      <c r="G28" s="127">
        <f>'Monthly Data'!CA28</f>
        <v>0</v>
      </c>
      <c r="H28" s="127">
        <f>'Monthly Data'!CC28</f>
        <v>31</v>
      </c>
      <c r="I28" s="127">
        <f>'Monthly Data'!BV28</f>
        <v>0</v>
      </c>
      <c r="J28" s="127">
        <f>'Monthly Data'!BM28</f>
        <v>27</v>
      </c>
      <c r="L28" s="127">
        <f>'Res OLS Model'!$B$5</f>
        <v>-14695221.8516191</v>
      </c>
      <c r="M28" s="127">
        <f ca="1">'Res OLS Model'!$B$6*D28</f>
        <v>11068316.567255335</v>
      </c>
      <c r="N28" s="127">
        <f ca="1">'Res OLS Model'!$B$7*E28</f>
        <v>78769.784733003224</v>
      </c>
      <c r="O28" s="127">
        <f>'Res OLS Model'!$B$8*F28</f>
        <v>-4177006.7225933699</v>
      </c>
      <c r="P28" s="127">
        <f>'Res OLS Model'!$B$9*G28</f>
        <v>0</v>
      </c>
      <c r="Q28" s="127">
        <f>'Res OLS Model'!$B$10*H28</f>
        <v>55859933.6715082</v>
      </c>
      <c r="R28" s="127">
        <f>'Res OLS Model'!$B$11*I28</f>
        <v>0</v>
      </c>
      <c r="S28" s="127">
        <f>'Res OLS Model'!$B$12*J28</f>
        <v>-344146.98499202071</v>
      </c>
      <c r="T28" s="127">
        <f t="shared" ca="1" si="2"/>
        <v>47790644.464292049</v>
      </c>
    </row>
    <row r="29" spans="1:20">
      <c r="A29" s="128">
        <f>'Monthly Data'!A29</f>
        <v>40634</v>
      </c>
      <c r="B29" s="127">
        <f t="shared" si="1"/>
        <v>2011</v>
      </c>
      <c r="C29" s="127">
        <f ca="1">'Monthly Data'!F29</f>
        <v>43063023.121252134</v>
      </c>
      <c r="D29" s="127">
        <f t="shared" ca="1" si="4"/>
        <v>254.29052631578941</v>
      </c>
      <c r="E29" s="127">
        <f t="shared" ca="1" si="4"/>
        <v>0.50947368421054762</v>
      </c>
      <c r="F29" s="127">
        <f>'Monthly Data'!BZ29</f>
        <v>1</v>
      </c>
      <c r="G29" s="127">
        <f>'Monthly Data'!CA29</f>
        <v>0</v>
      </c>
      <c r="H29" s="127">
        <f>'Monthly Data'!CC29</f>
        <v>30</v>
      </c>
      <c r="I29" s="127">
        <f>'Monthly Data'!BV29</f>
        <v>0</v>
      </c>
      <c r="J29" s="127">
        <f>'Monthly Data'!BM29</f>
        <v>28</v>
      </c>
      <c r="L29" s="127">
        <f>'Res OLS Model'!$B$5</f>
        <v>-14695221.8516191</v>
      </c>
      <c r="M29" s="127">
        <f ca="1">'Res OLS Model'!$B$6*D29</f>
        <v>6139120.6936523356</v>
      </c>
      <c r="N29" s="127">
        <f ca="1">'Res OLS Model'!$B$7*E29</f>
        <v>88750.259619363816</v>
      </c>
      <c r="O29" s="127">
        <f>'Res OLS Model'!$B$8*F29</f>
        <v>-4177006.7225933699</v>
      </c>
      <c r="P29" s="127">
        <f>'Res OLS Model'!$B$9*G29</f>
        <v>0</v>
      </c>
      <c r="Q29" s="127">
        <f>'Res OLS Model'!$B$10*H29</f>
        <v>54058000.327266</v>
      </c>
      <c r="R29" s="127">
        <f>'Res OLS Model'!$B$11*I29</f>
        <v>0</v>
      </c>
      <c r="S29" s="127">
        <f>'Res OLS Model'!$B$12*J29</f>
        <v>-356893.16962135478</v>
      </c>
      <c r="T29" s="127">
        <f t="shared" ca="1" si="2"/>
        <v>41056749.536703877</v>
      </c>
    </row>
    <row r="30" spans="1:20">
      <c r="A30" s="128">
        <f>'Monthly Data'!A30</f>
        <v>40664</v>
      </c>
      <c r="B30" s="127">
        <f t="shared" si="1"/>
        <v>2011</v>
      </c>
      <c r="C30" s="127">
        <f ca="1">'Monthly Data'!F30</f>
        <v>46164662.055697136</v>
      </c>
      <c r="D30" s="127">
        <f t="shared" ca="1" si="4"/>
        <v>102.64150375939857</v>
      </c>
      <c r="E30" s="127">
        <f t="shared" ca="1" si="4"/>
        <v>56.062781954887214</v>
      </c>
      <c r="F30" s="127">
        <f>'Monthly Data'!BZ30</f>
        <v>1</v>
      </c>
      <c r="G30" s="127">
        <f>'Monthly Data'!CA30</f>
        <v>0</v>
      </c>
      <c r="H30" s="127">
        <f>'Monthly Data'!CC30</f>
        <v>31</v>
      </c>
      <c r="I30" s="127">
        <f>'Monthly Data'!BV30</f>
        <v>0</v>
      </c>
      <c r="J30" s="127">
        <f>'Monthly Data'!BM30</f>
        <v>29</v>
      </c>
      <c r="L30" s="127">
        <f>'Res OLS Model'!$B$5</f>
        <v>-14695221.8516191</v>
      </c>
      <c r="M30" s="127">
        <f ca="1">'Res OLS Model'!$B$6*D30</f>
        <v>2477986.8479032353</v>
      </c>
      <c r="N30" s="127">
        <f ca="1">'Res OLS Model'!$B$7*E30</f>
        <v>9766130.4355492275</v>
      </c>
      <c r="O30" s="127">
        <f>'Res OLS Model'!$B$8*F30</f>
        <v>-4177006.7225933699</v>
      </c>
      <c r="P30" s="127">
        <f>'Res OLS Model'!$B$9*G30</f>
        <v>0</v>
      </c>
      <c r="Q30" s="127">
        <f>'Res OLS Model'!$B$10*H30</f>
        <v>55859933.6715082</v>
      </c>
      <c r="R30" s="127">
        <f>'Res OLS Model'!$B$11*I30</f>
        <v>0</v>
      </c>
      <c r="S30" s="127">
        <f>'Res OLS Model'!$B$12*J30</f>
        <v>-369639.35425068892</v>
      </c>
      <c r="T30" s="127">
        <f t="shared" ca="1" si="2"/>
        <v>48862183.026497498</v>
      </c>
    </row>
    <row r="31" spans="1:20">
      <c r="A31" s="128">
        <f>'Monthly Data'!A31</f>
        <v>40695</v>
      </c>
      <c r="B31" s="127">
        <f t="shared" si="1"/>
        <v>2011</v>
      </c>
      <c r="C31" s="127">
        <f ca="1">'Monthly Data'!F31</f>
        <v>60282224.690545134</v>
      </c>
      <c r="D31" s="127">
        <f t="shared" ca="1" si="4"/>
        <v>0.39669172932326546</v>
      </c>
      <c r="E31" s="127">
        <f t="shared" ca="1" si="4"/>
        <v>116.89315789473682</v>
      </c>
      <c r="F31" s="127">
        <f>'Monthly Data'!BZ31</f>
        <v>0</v>
      </c>
      <c r="G31" s="127">
        <f>'Monthly Data'!CA31</f>
        <v>0</v>
      </c>
      <c r="H31" s="127">
        <f>'Monthly Data'!CC31</f>
        <v>30</v>
      </c>
      <c r="I31" s="127">
        <f>'Monthly Data'!BV31</f>
        <v>0</v>
      </c>
      <c r="J31" s="127">
        <f>'Monthly Data'!BM31</f>
        <v>30</v>
      </c>
      <c r="L31" s="127">
        <f>'Res OLS Model'!$B$5</f>
        <v>-14695221.8516191</v>
      </c>
      <c r="M31" s="127">
        <f ca="1">'Res OLS Model'!$B$6*D31</f>
        <v>9576.9922685396359</v>
      </c>
      <c r="N31" s="127">
        <f ca="1">'Res OLS Model'!$B$7*E31</f>
        <v>20362775.217645679</v>
      </c>
      <c r="O31" s="127">
        <f>'Res OLS Model'!$B$8*F31</f>
        <v>0</v>
      </c>
      <c r="P31" s="127">
        <f>'Res OLS Model'!$B$9*G31</f>
        <v>0</v>
      </c>
      <c r="Q31" s="127">
        <f>'Res OLS Model'!$B$10*H31</f>
        <v>54058000.327266</v>
      </c>
      <c r="R31" s="127">
        <f>'Res OLS Model'!$B$11*I31</f>
        <v>0</v>
      </c>
      <c r="S31" s="127">
        <f>'Res OLS Model'!$B$12*J31</f>
        <v>-382385.538880023</v>
      </c>
      <c r="T31" s="127">
        <f t="shared" ca="1" si="2"/>
        <v>59352745.1466811</v>
      </c>
    </row>
    <row r="32" spans="1:20">
      <c r="A32" s="128">
        <f>'Monthly Data'!A32</f>
        <v>40725</v>
      </c>
      <c r="B32" s="127">
        <f t="shared" si="1"/>
        <v>2011</v>
      </c>
      <c r="C32" s="127">
        <f ca="1">'Monthly Data'!F32</f>
        <v>81061488.555960134</v>
      </c>
      <c r="D32" s="127">
        <f t="shared" ca="1" si="4"/>
        <v>0.58105263157894704</v>
      </c>
      <c r="E32" s="127">
        <f t="shared" ca="1" si="4"/>
        <v>186.96526315789481</v>
      </c>
      <c r="F32" s="127">
        <f>'Monthly Data'!BZ32</f>
        <v>0</v>
      </c>
      <c r="G32" s="127">
        <f>'Monthly Data'!CA32</f>
        <v>0</v>
      </c>
      <c r="H32" s="127">
        <f>'Monthly Data'!CC32</f>
        <v>31</v>
      </c>
      <c r="I32" s="127">
        <f>'Monthly Data'!BV32</f>
        <v>0</v>
      </c>
      <c r="J32" s="127">
        <f>'Monthly Data'!BM32</f>
        <v>31</v>
      </c>
      <c r="L32" s="127">
        <f>'Res OLS Model'!$B$5</f>
        <v>-14695221.8516191</v>
      </c>
      <c r="M32" s="127">
        <f ca="1">'Res OLS Model'!$B$6*D32</f>
        <v>14027.861306156605</v>
      </c>
      <c r="N32" s="127">
        <f ca="1">'Res OLS Model'!$B$7*E32</f>
        <v>32569328.228950184</v>
      </c>
      <c r="O32" s="127">
        <f>'Res OLS Model'!$B$8*F32</f>
        <v>0</v>
      </c>
      <c r="P32" s="127">
        <f>'Res OLS Model'!$B$9*G32</f>
        <v>0</v>
      </c>
      <c r="Q32" s="127">
        <f>'Res OLS Model'!$B$10*H32</f>
        <v>55859933.6715082</v>
      </c>
      <c r="R32" s="127">
        <f>'Res OLS Model'!$B$11*I32</f>
        <v>0</v>
      </c>
      <c r="S32" s="127">
        <f>'Res OLS Model'!$B$12*J32</f>
        <v>-395131.72350935714</v>
      </c>
      <c r="T32" s="127">
        <f t="shared" ca="1" si="2"/>
        <v>73352936.186636075</v>
      </c>
    </row>
    <row r="33" spans="1:20">
      <c r="A33" s="128">
        <f>'Monthly Data'!A33</f>
        <v>40756</v>
      </c>
      <c r="B33" s="127">
        <f t="shared" si="1"/>
        <v>2011</v>
      </c>
      <c r="C33" s="127">
        <f ca="1">'Monthly Data'!F33</f>
        <v>71258545.409913138</v>
      </c>
      <c r="D33" s="127">
        <f t="shared" ca="1" si="4"/>
        <v>1.6660902255639058</v>
      </c>
      <c r="E33" s="127">
        <f t="shared" ca="1" si="4"/>
        <v>167.43443609022574</v>
      </c>
      <c r="F33" s="127">
        <f>'Monthly Data'!BZ33</f>
        <v>0</v>
      </c>
      <c r="G33" s="127">
        <f>'Monthly Data'!CA33</f>
        <v>0</v>
      </c>
      <c r="H33" s="127">
        <f>'Monthly Data'!CC33</f>
        <v>31</v>
      </c>
      <c r="I33" s="127">
        <f>'Monthly Data'!BV33</f>
        <v>0</v>
      </c>
      <c r="J33" s="127">
        <f>'Monthly Data'!BM33</f>
        <v>32</v>
      </c>
      <c r="L33" s="127">
        <f>'Res OLS Model'!$B$5</f>
        <v>-14695221.8516191</v>
      </c>
      <c r="M33" s="127">
        <f ca="1">'Res OLS Model'!$B$6*D33</f>
        <v>40223.004487981838</v>
      </c>
      <c r="N33" s="127">
        <f ca="1">'Res OLS Model'!$B$7*E33</f>
        <v>29167060.307060447</v>
      </c>
      <c r="O33" s="127">
        <f>'Res OLS Model'!$B$8*F33</f>
        <v>0</v>
      </c>
      <c r="P33" s="127">
        <f>'Res OLS Model'!$B$9*G33</f>
        <v>0</v>
      </c>
      <c r="Q33" s="127">
        <f>'Res OLS Model'!$B$10*H33</f>
        <v>55859933.6715082</v>
      </c>
      <c r="R33" s="127">
        <f>'Res OLS Model'!$B$11*I33</f>
        <v>0</v>
      </c>
      <c r="S33" s="127">
        <f>'Res OLS Model'!$B$12*J33</f>
        <v>-407877.90813869121</v>
      </c>
      <c r="T33" s="127">
        <f t="shared" ca="1" si="2"/>
        <v>69964117.223298833</v>
      </c>
    </row>
    <row r="34" spans="1:20">
      <c r="A34" s="128">
        <f>'Monthly Data'!A34</f>
        <v>40787</v>
      </c>
      <c r="B34" s="127">
        <f t="shared" si="1"/>
        <v>2011</v>
      </c>
      <c r="C34" s="127">
        <f ca="1">'Monthly Data'!F34</f>
        <v>49668107.280463137</v>
      </c>
      <c r="D34" s="127">
        <f t="shared" ca="1" si="4"/>
        <v>30.410827067669118</v>
      </c>
      <c r="E34" s="127">
        <f t="shared" ca="1" si="4"/>
        <v>83.003533834586506</v>
      </c>
      <c r="F34" s="127">
        <f>'Monthly Data'!BZ34</f>
        <v>0</v>
      </c>
      <c r="G34" s="127">
        <f>'Monthly Data'!CA34</f>
        <v>1</v>
      </c>
      <c r="H34" s="127">
        <f>'Monthly Data'!CC34</f>
        <v>30</v>
      </c>
      <c r="I34" s="127">
        <f>'Monthly Data'!BV34</f>
        <v>1</v>
      </c>
      <c r="J34" s="127">
        <f>'Monthly Data'!BM34</f>
        <v>33</v>
      </c>
      <c r="L34" s="127">
        <f>'Res OLS Model'!$B$5</f>
        <v>-14695221.8516191</v>
      </c>
      <c r="M34" s="127">
        <f ca="1">'Res OLS Model'!$B$6*D34</f>
        <v>734182.82807108155</v>
      </c>
      <c r="N34" s="127">
        <f ca="1">'Res OLS Model'!$B$7*E34</f>
        <v>14459206.442741111</v>
      </c>
      <c r="O34" s="127">
        <f>'Res OLS Model'!$B$8*F34</f>
        <v>0</v>
      </c>
      <c r="P34" s="127">
        <f>'Res OLS Model'!$B$9*G34</f>
        <v>-2399238.63510927</v>
      </c>
      <c r="Q34" s="127">
        <f>'Res OLS Model'!$B$10*H34</f>
        <v>54058000.327266</v>
      </c>
      <c r="R34" s="127">
        <f>'Res OLS Model'!$B$11*I34</f>
        <v>2497427.94615121</v>
      </c>
      <c r="S34" s="127">
        <f>'Res OLS Model'!$B$12*J34</f>
        <v>-420624.09276802529</v>
      </c>
      <c r="T34" s="127">
        <f t="shared" ca="1" si="2"/>
        <v>54233732.964733005</v>
      </c>
    </row>
    <row r="35" spans="1:20">
      <c r="A35" s="128">
        <f>'Monthly Data'!A35</f>
        <v>40817</v>
      </c>
      <c r="B35" s="127">
        <f t="shared" si="1"/>
        <v>2011</v>
      </c>
      <c r="C35" s="127">
        <f ca="1">'Monthly Data'!F35</f>
        <v>43253414.186002135</v>
      </c>
      <c r="D35" s="127">
        <f t="shared" ref="D35:E50" ca="1" si="5">D23</f>
        <v>158.93676691729343</v>
      </c>
      <c r="E35" s="127">
        <f t="shared" ca="1" si="5"/>
        <v>16.916090225563948</v>
      </c>
      <c r="F35" s="127">
        <f>'Monthly Data'!BZ35</f>
        <v>0</v>
      </c>
      <c r="G35" s="127">
        <f>'Monthly Data'!CA35</f>
        <v>1</v>
      </c>
      <c r="H35" s="127">
        <f>'Monthly Data'!CC35</f>
        <v>31</v>
      </c>
      <c r="I35" s="127">
        <f>'Monthly Data'!BV35</f>
        <v>0</v>
      </c>
      <c r="J35" s="127">
        <f>'Monthly Data'!BM35</f>
        <v>34</v>
      </c>
      <c r="L35" s="127">
        <f>'Res OLS Model'!$B$5</f>
        <v>-14695221.8516191</v>
      </c>
      <c r="M35" s="127">
        <f ca="1">'Res OLS Model'!$B$6*D35</f>
        <v>3837075.6822943771</v>
      </c>
      <c r="N35" s="127">
        <f ca="1">'Res OLS Model'!$B$7*E35</f>
        <v>2946781.0522730458</v>
      </c>
      <c r="O35" s="127">
        <f>'Res OLS Model'!$B$8*F35</f>
        <v>0</v>
      </c>
      <c r="P35" s="127">
        <f>'Res OLS Model'!$B$9*G35</f>
        <v>-2399238.63510927</v>
      </c>
      <c r="Q35" s="127">
        <f>'Res OLS Model'!$B$10*H35</f>
        <v>55859933.6715082</v>
      </c>
      <c r="R35" s="127">
        <f>'Res OLS Model'!$B$11*I35</f>
        <v>0</v>
      </c>
      <c r="S35" s="127">
        <f>'Res OLS Model'!$B$12*J35</f>
        <v>-433370.27739735943</v>
      </c>
      <c r="T35" s="127">
        <f t="shared" ca="1" si="2"/>
        <v>45115959.641949899</v>
      </c>
    </row>
    <row r="36" spans="1:20">
      <c r="A36" s="128">
        <f>'Monthly Data'!A36</f>
        <v>40848</v>
      </c>
      <c r="B36" s="127">
        <f t="shared" si="1"/>
        <v>2011</v>
      </c>
      <c r="C36" s="127">
        <f ca="1">'Monthly Data'!F36</f>
        <v>44910887.27802214</v>
      </c>
      <c r="D36" s="127">
        <f t="shared" ca="1" si="5"/>
        <v>375.92533834586447</v>
      </c>
      <c r="E36" s="127">
        <f t="shared" ca="1" si="5"/>
        <v>8.120300751879661E-2</v>
      </c>
      <c r="F36" s="127">
        <f>'Monthly Data'!BZ36</f>
        <v>0</v>
      </c>
      <c r="G36" s="127">
        <f>'Monthly Data'!CA36</f>
        <v>1</v>
      </c>
      <c r="H36" s="127">
        <f>'Monthly Data'!CC36</f>
        <v>30</v>
      </c>
      <c r="I36" s="127">
        <f>'Monthly Data'!BV36</f>
        <v>0</v>
      </c>
      <c r="J36" s="127">
        <f>'Monthly Data'!BM36</f>
        <v>35</v>
      </c>
      <c r="L36" s="127">
        <f>'Res OLS Model'!$B$5</f>
        <v>-14695221.8516191</v>
      </c>
      <c r="M36" s="127">
        <f ca="1">'Res OLS Model'!$B$6*D36</f>
        <v>9075646.8883994482</v>
      </c>
      <c r="N36" s="127">
        <f ca="1">'Res OLS Model'!$B$7*E36</f>
        <v>14145.5549570408</v>
      </c>
      <c r="O36" s="127">
        <f>'Res OLS Model'!$B$8*F36</f>
        <v>0</v>
      </c>
      <c r="P36" s="127">
        <f>'Res OLS Model'!$B$9*G36</f>
        <v>-2399238.63510927</v>
      </c>
      <c r="Q36" s="127">
        <f>'Res OLS Model'!$B$10*H36</f>
        <v>54058000.327266</v>
      </c>
      <c r="R36" s="127">
        <f>'Res OLS Model'!$B$11*I36</f>
        <v>0</v>
      </c>
      <c r="S36" s="127">
        <f>'Res OLS Model'!$B$12*J36</f>
        <v>-446116.46202669351</v>
      </c>
      <c r="T36" s="127">
        <f t="shared" ca="1" si="2"/>
        <v>45607215.821867429</v>
      </c>
    </row>
    <row r="37" spans="1:20">
      <c r="A37" s="128">
        <f>'Monthly Data'!A37</f>
        <v>40878</v>
      </c>
      <c r="B37" s="127">
        <f t="shared" si="1"/>
        <v>2011</v>
      </c>
      <c r="C37" s="127">
        <f ca="1">'Monthly Data'!F37</f>
        <v>53040629.64073614</v>
      </c>
      <c r="D37" s="127">
        <f t="shared" ca="1" si="5"/>
        <v>548.76120300751859</v>
      </c>
      <c r="E37" s="127">
        <f t="shared" ca="1" si="5"/>
        <v>0</v>
      </c>
      <c r="F37" s="127">
        <f>'Monthly Data'!BZ37</f>
        <v>0</v>
      </c>
      <c r="G37" s="127">
        <f>'Monthly Data'!CA37</f>
        <v>0</v>
      </c>
      <c r="H37" s="127">
        <f>'Monthly Data'!CC37</f>
        <v>31</v>
      </c>
      <c r="I37" s="127">
        <f>'Monthly Data'!BV37</f>
        <v>0</v>
      </c>
      <c r="J37" s="127">
        <f>'Monthly Data'!BM37</f>
        <v>36</v>
      </c>
      <c r="L37" s="127">
        <f>'Res OLS Model'!$B$5</f>
        <v>-14695221.8516191</v>
      </c>
      <c r="M37" s="127">
        <f ca="1">'Res OLS Model'!$B$6*D37</f>
        <v>13248276.709582731</v>
      </c>
      <c r="N37" s="127">
        <f ca="1">'Res OLS Model'!$B$7*E37</f>
        <v>0</v>
      </c>
      <c r="O37" s="127">
        <f>'Res OLS Model'!$B$8*F37</f>
        <v>0</v>
      </c>
      <c r="P37" s="127">
        <f>'Res OLS Model'!$B$9*G37</f>
        <v>0</v>
      </c>
      <c r="Q37" s="127">
        <f>'Res OLS Model'!$B$10*H37</f>
        <v>55859933.6715082</v>
      </c>
      <c r="R37" s="127">
        <f>'Res OLS Model'!$B$11*I37</f>
        <v>0</v>
      </c>
      <c r="S37" s="127">
        <f>'Res OLS Model'!$B$12*J37</f>
        <v>-458862.64665602765</v>
      </c>
      <c r="T37" s="127">
        <f t="shared" ca="1" si="2"/>
        <v>53954125.882815801</v>
      </c>
    </row>
    <row r="38" spans="1:20">
      <c r="A38" s="128">
        <f>'Monthly Data'!A38</f>
        <v>40909</v>
      </c>
      <c r="B38" s="127">
        <f t="shared" si="1"/>
        <v>2012</v>
      </c>
      <c r="C38" s="127">
        <f ca="1">'Monthly Data'!F38</f>
        <v>53836254.463610977</v>
      </c>
      <c r="D38" s="127">
        <f t="shared" ca="1" si="5"/>
        <v>665.14879699248104</v>
      </c>
      <c r="E38" s="127">
        <f t="shared" ca="1" si="5"/>
        <v>0</v>
      </c>
      <c r="F38" s="127">
        <f>'Monthly Data'!BZ38</f>
        <v>0</v>
      </c>
      <c r="G38" s="127">
        <f>'Monthly Data'!CA38</f>
        <v>0</v>
      </c>
      <c r="H38" s="127">
        <f>'Monthly Data'!CC38</f>
        <v>31</v>
      </c>
      <c r="I38" s="127">
        <f>'Monthly Data'!BV38</f>
        <v>0</v>
      </c>
      <c r="J38" s="127">
        <f>'Monthly Data'!BM38</f>
        <v>37</v>
      </c>
      <c r="L38" s="127">
        <f>'Res OLS Model'!$B$5</f>
        <v>-14695221.8516191</v>
      </c>
      <c r="M38" s="127">
        <f ca="1">'Res OLS Model'!$B$6*D38</f>
        <v>16058123.765505565</v>
      </c>
      <c r="N38" s="127">
        <f ca="1">'Res OLS Model'!$B$7*E38</f>
        <v>0</v>
      </c>
      <c r="O38" s="127">
        <f>'Res OLS Model'!$B$8*F38</f>
        <v>0</v>
      </c>
      <c r="P38" s="127">
        <f>'Res OLS Model'!$B$9*G38</f>
        <v>0</v>
      </c>
      <c r="Q38" s="127">
        <f>'Res OLS Model'!$B$10*H38</f>
        <v>55859933.6715082</v>
      </c>
      <c r="R38" s="127">
        <f>'Res OLS Model'!$B$11*I38</f>
        <v>0</v>
      </c>
      <c r="S38" s="127">
        <f>'Res OLS Model'!$B$12*J38</f>
        <v>-471608.83128536172</v>
      </c>
      <c r="T38" s="127">
        <f t="shared" ca="1" si="2"/>
        <v>56751226.754109301</v>
      </c>
    </row>
    <row r="39" spans="1:20">
      <c r="A39" s="128">
        <f>'Monthly Data'!A39</f>
        <v>40940</v>
      </c>
      <c r="B39" s="127">
        <f t="shared" si="1"/>
        <v>2012</v>
      </c>
      <c r="C39" s="127">
        <f ca="1">'Monthly Data'!F39</f>
        <v>47974878.753441975</v>
      </c>
      <c r="D39" s="127">
        <f t="shared" ca="1" si="5"/>
        <v>611.17548872180487</v>
      </c>
      <c r="E39" s="127">
        <f t="shared" ca="1" si="5"/>
        <v>0</v>
      </c>
      <c r="F39" s="127">
        <f>'Monthly Data'!BZ39</f>
        <v>0</v>
      </c>
      <c r="G39" s="127">
        <f>'Monthly Data'!CA39</f>
        <v>0</v>
      </c>
      <c r="H39" s="127">
        <f>'Monthly Data'!CC39</f>
        <v>29</v>
      </c>
      <c r="I39" s="127">
        <f>'Monthly Data'!BV39</f>
        <v>0</v>
      </c>
      <c r="J39" s="127">
        <f>'Monthly Data'!BM39</f>
        <v>38</v>
      </c>
      <c r="L39" s="127">
        <f>'Res OLS Model'!$B$5</f>
        <v>-14695221.8516191</v>
      </c>
      <c r="M39" s="127">
        <f ca="1">'Res OLS Model'!$B$6*D39</f>
        <v>14755091.920355735</v>
      </c>
      <c r="N39" s="127">
        <f ca="1">'Res OLS Model'!$B$7*E39</f>
        <v>0</v>
      </c>
      <c r="O39" s="127">
        <f>'Res OLS Model'!$B$8*F39</f>
        <v>0</v>
      </c>
      <c r="P39" s="127">
        <f>'Res OLS Model'!$B$9*G39</f>
        <v>0</v>
      </c>
      <c r="Q39" s="127">
        <f>'Res OLS Model'!$B$10*H39</f>
        <v>52256066.9830238</v>
      </c>
      <c r="R39" s="127">
        <f>'Res OLS Model'!$B$11*I39</f>
        <v>0</v>
      </c>
      <c r="S39" s="127">
        <f>'Res OLS Model'!$B$12*J39</f>
        <v>-484355.0159146958</v>
      </c>
      <c r="T39" s="127">
        <f t="shared" ca="1" si="2"/>
        <v>51831582.035845742</v>
      </c>
    </row>
    <row r="40" spans="1:20">
      <c r="A40" s="128">
        <f>'Monthly Data'!A40</f>
        <v>40969</v>
      </c>
      <c r="B40" s="127">
        <f t="shared" si="1"/>
        <v>2012</v>
      </c>
      <c r="C40" s="127">
        <f ca="1">'Monthly Data'!F40</f>
        <v>44818017.847629979</v>
      </c>
      <c r="D40" s="127">
        <f t="shared" ca="1" si="5"/>
        <v>458.46436090225569</v>
      </c>
      <c r="E40" s="127">
        <f t="shared" ca="1" si="5"/>
        <v>0.45218045112781802</v>
      </c>
      <c r="F40" s="127">
        <f>'Monthly Data'!BZ40</f>
        <v>1</v>
      </c>
      <c r="G40" s="127">
        <f>'Monthly Data'!CA40</f>
        <v>0</v>
      </c>
      <c r="H40" s="127">
        <f>'Monthly Data'!CC40</f>
        <v>31</v>
      </c>
      <c r="I40" s="127">
        <f>'Monthly Data'!BV40</f>
        <v>0</v>
      </c>
      <c r="J40" s="127">
        <f>'Monthly Data'!BM40</f>
        <v>39</v>
      </c>
      <c r="L40" s="127">
        <f>'Res OLS Model'!$B$5</f>
        <v>-14695221.8516191</v>
      </c>
      <c r="M40" s="127">
        <f ca="1">'Res OLS Model'!$B$6*D40</f>
        <v>11068316.567255335</v>
      </c>
      <c r="N40" s="127">
        <f ca="1">'Res OLS Model'!$B$7*E40</f>
        <v>78769.784733003224</v>
      </c>
      <c r="O40" s="127">
        <f>'Res OLS Model'!$B$8*F40</f>
        <v>-4177006.7225933699</v>
      </c>
      <c r="P40" s="127">
        <f>'Res OLS Model'!$B$9*G40</f>
        <v>0</v>
      </c>
      <c r="Q40" s="127">
        <f>'Res OLS Model'!$B$10*H40</f>
        <v>55859933.6715082</v>
      </c>
      <c r="R40" s="127">
        <f>'Res OLS Model'!$B$11*I40</f>
        <v>0</v>
      </c>
      <c r="S40" s="127">
        <f>'Res OLS Model'!$B$12*J40</f>
        <v>-497101.20054402994</v>
      </c>
      <c r="T40" s="127">
        <f t="shared" ca="1" si="2"/>
        <v>47637690.24874004</v>
      </c>
    </row>
    <row r="41" spans="1:20">
      <c r="A41" s="128">
        <f>'Monthly Data'!A41</f>
        <v>41000</v>
      </c>
      <c r="B41" s="127">
        <f t="shared" si="1"/>
        <v>2012</v>
      </c>
      <c r="C41" s="127">
        <f ca="1">'Monthly Data'!F41</f>
        <v>40519756.964387976</v>
      </c>
      <c r="D41" s="127">
        <f t="shared" ca="1" si="5"/>
        <v>254.29052631578941</v>
      </c>
      <c r="E41" s="127">
        <f t="shared" ca="1" si="5"/>
        <v>0.50947368421054762</v>
      </c>
      <c r="F41" s="127">
        <f>'Monthly Data'!BZ41</f>
        <v>1</v>
      </c>
      <c r="G41" s="127">
        <f>'Monthly Data'!CA41</f>
        <v>0</v>
      </c>
      <c r="H41" s="127">
        <f>'Monthly Data'!CC41</f>
        <v>30</v>
      </c>
      <c r="I41" s="127">
        <f>'Monthly Data'!BV41</f>
        <v>0</v>
      </c>
      <c r="J41" s="127">
        <f>'Monthly Data'!BM41</f>
        <v>40</v>
      </c>
      <c r="L41" s="127">
        <f>'Res OLS Model'!$B$5</f>
        <v>-14695221.8516191</v>
      </c>
      <c r="M41" s="127">
        <f ca="1">'Res OLS Model'!$B$6*D41</f>
        <v>6139120.6936523356</v>
      </c>
      <c r="N41" s="127">
        <f ca="1">'Res OLS Model'!$B$7*E41</f>
        <v>88750.259619363816</v>
      </c>
      <c r="O41" s="127">
        <f>'Res OLS Model'!$B$8*F41</f>
        <v>-4177006.7225933699</v>
      </c>
      <c r="P41" s="127">
        <f>'Res OLS Model'!$B$9*G41</f>
        <v>0</v>
      </c>
      <c r="Q41" s="127">
        <f>'Res OLS Model'!$B$10*H41</f>
        <v>54058000.327266</v>
      </c>
      <c r="R41" s="127">
        <f>'Res OLS Model'!$B$11*I41</f>
        <v>0</v>
      </c>
      <c r="S41" s="127">
        <f>'Res OLS Model'!$B$12*J41</f>
        <v>-509847.38517336402</v>
      </c>
      <c r="T41" s="127">
        <f t="shared" ca="1" si="2"/>
        <v>40903795.321151868</v>
      </c>
    </row>
    <row r="42" spans="1:20">
      <c r="A42" s="128">
        <f>'Monthly Data'!A42</f>
        <v>41030</v>
      </c>
      <c r="B42" s="127">
        <f t="shared" si="1"/>
        <v>2012</v>
      </c>
      <c r="C42" s="127">
        <f ca="1">'Monthly Data'!F42</f>
        <v>47369873.151951976</v>
      </c>
      <c r="D42" s="127">
        <f t="shared" ca="1" si="5"/>
        <v>102.64150375939857</v>
      </c>
      <c r="E42" s="127">
        <f t="shared" ca="1" si="5"/>
        <v>56.062781954887214</v>
      </c>
      <c r="F42" s="127">
        <f>'Monthly Data'!BZ42</f>
        <v>1</v>
      </c>
      <c r="G42" s="127">
        <f>'Monthly Data'!CA42</f>
        <v>0</v>
      </c>
      <c r="H42" s="127">
        <f>'Monthly Data'!CC42</f>
        <v>31</v>
      </c>
      <c r="I42" s="127">
        <f>'Monthly Data'!BV42</f>
        <v>0</v>
      </c>
      <c r="J42" s="127">
        <f>'Monthly Data'!BM42</f>
        <v>41</v>
      </c>
      <c r="L42" s="127">
        <f>'Res OLS Model'!$B$5</f>
        <v>-14695221.8516191</v>
      </c>
      <c r="M42" s="127">
        <f ca="1">'Res OLS Model'!$B$6*D42</f>
        <v>2477986.8479032353</v>
      </c>
      <c r="N42" s="127">
        <f ca="1">'Res OLS Model'!$B$7*E42</f>
        <v>9766130.4355492275</v>
      </c>
      <c r="O42" s="127">
        <f>'Res OLS Model'!$B$8*F42</f>
        <v>-4177006.7225933699</v>
      </c>
      <c r="P42" s="127">
        <f>'Res OLS Model'!$B$9*G42</f>
        <v>0</v>
      </c>
      <c r="Q42" s="127">
        <f>'Res OLS Model'!$B$10*H42</f>
        <v>55859933.6715082</v>
      </c>
      <c r="R42" s="127">
        <f>'Res OLS Model'!$B$11*I42</f>
        <v>0</v>
      </c>
      <c r="S42" s="127">
        <f>'Res OLS Model'!$B$12*J42</f>
        <v>-522593.5698026981</v>
      </c>
      <c r="T42" s="127">
        <f t="shared" ca="1" si="2"/>
        <v>48709228.810945489</v>
      </c>
    </row>
    <row r="43" spans="1:20">
      <c r="A43" s="128">
        <f>'Monthly Data'!A43</f>
        <v>41061</v>
      </c>
      <c r="B43" s="127">
        <f t="shared" si="1"/>
        <v>2012</v>
      </c>
      <c r="C43" s="127">
        <f ca="1">'Monthly Data'!F43</f>
        <v>66164429.476892978</v>
      </c>
      <c r="D43" s="127">
        <f t="shared" ca="1" si="5"/>
        <v>0.39669172932326546</v>
      </c>
      <c r="E43" s="127">
        <f t="shared" ca="1" si="5"/>
        <v>116.89315789473682</v>
      </c>
      <c r="F43" s="127">
        <f>'Monthly Data'!BZ43</f>
        <v>0</v>
      </c>
      <c r="G43" s="127">
        <f>'Monthly Data'!CA43</f>
        <v>0</v>
      </c>
      <c r="H43" s="127">
        <f>'Monthly Data'!CC43</f>
        <v>30</v>
      </c>
      <c r="I43" s="127">
        <f>'Monthly Data'!BV43</f>
        <v>0</v>
      </c>
      <c r="J43" s="127">
        <f>'Monthly Data'!BM43</f>
        <v>42</v>
      </c>
      <c r="L43" s="127">
        <f>'Res OLS Model'!$B$5</f>
        <v>-14695221.8516191</v>
      </c>
      <c r="M43" s="127">
        <f ca="1">'Res OLS Model'!$B$6*D43</f>
        <v>9576.9922685396359</v>
      </c>
      <c r="N43" s="127">
        <f ca="1">'Res OLS Model'!$B$7*E43</f>
        <v>20362775.217645679</v>
      </c>
      <c r="O43" s="127">
        <f>'Res OLS Model'!$B$8*F43</f>
        <v>0</v>
      </c>
      <c r="P43" s="127">
        <f>'Res OLS Model'!$B$9*G43</f>
        <v>0</v>
      </c>
      <c r="Q43" s="127">
        <f>'Res OLS Model'!$B$10*H43</f>
        <v>54058000.327266</v>
      </c>
      <c r="R43" s="127">
        <f>'Res OLS Model'!$B$11*I43</f>
        <v>0</v>
      </c>
      <c r="S43" s="127">
        <f>'Res OLS Model'!$B$12*J43</f>
        <v>-535339.75443203223</v>
      </c>
      <c r="T43" s="127">
        <f t="shared" ca="1" si="2"/>
        <v>59199790.93112909</v>
      </c>
    </row>
    <row r="44" spans="1:20">
      <c r="A44" s="128">
        <f>'Monthly Data'!A44</f>
        <v>41091</v>
      </c>
      <c r="B44" s="127">
        <f t="shared" si="1"/>
        <v>2012</v>
      </c>
      <c r="C44" s="127">
        <f ca="1">'Monthly Data'!F44</f>
        <v>83251368.938582972</v>
      </c>
      <c r="D44" s="127">
        <f t="shared" ca="1" si="5"/>
        <v>0.58105263157894704</v>
      </c>
      <c r="E44" s="127">
        <f t="shared" ca="1" si="5"/>
        <v>186.96526315789481</v>
      </c>
      <c r="F44" s="127">
        <f>'Monthly Data'!BZ44</f>
        <v>0</v>
      </c>
      <c r="G44" s="127">
        <f>'Monthly Data'!CA44</f>
        <v>0</v>
      </c>
      <c r="H44" s="127">
        <f>'Monthly Data'!CC44</f>
        <v>31</v>
      </c>
      <c r="I44" s="127">
        <f>'Monthly Data'!BV44</f>
        <v>0</v>
      </c>
      <c r="J44" s="127">
        <f>'Monthly Data'!BM44</f>
        <v>43</v>
      </c>
      <c r="L44" s="127">
        <f>'Res OLS Model'!$B$5</f>
        <v>-14695221.8516191</v>
      </c>
      <c r="M44" s="127">
        <f ca="1">'Res OLS Model'!$B$6*D44</f>
        <v>14027.861306156605</v>
      </c>
      <c r="N44" s="127">
        <f ca="1">'Res OLS Model'!$B$7*E44</f>
        <v>32569328.228950184</v>
      </c>
      <c r="O44" s="127">
        <f>'Res OLS Model'!$B$8*F44</f>
        <v>0</v>
      </c>
      <c r="P44" s="127">
        <f>'Res OLS Model'!$B$9*G44</f>
        <v>0</v>
      </c>
      <c r="Q44" s="127">
        <f>'Res OLS Model'!$B$10*H44</f>
        <v>55859933.6715082</v>
      </c>
      <c r="R44" s="127">
        <f>'Res OLS Model'!$B$11*I44</f>
        <v>0</v>
      </c>
      <c r="S44" s="127">
        <f>'Res OLS Model'!$B$12*J44</f>
        <v>-548085.93906136637</v>
      </c>
      <c r="T44" s="127">
        <f t="shared" ca="1" si="2"/>
        <v>73199981.971084058</v>
      </c>
    </row>
    <row r="45" spans="1:20">
      <c r="A45" s="128">
        <f>'Monthly Data'!A45</f>
        <v>41122</v>
      </c>
      <c r="B45" s="127">
        <f t="shared" si="1"/>
        <v>2012</v>
      </c>
      <c r="C45" s="127">
        <f ca="1">'Monthly Data'!F45</f>
        <v>68538520.76983498</v>
      </c>
      <c r="D45" s="127">
        <f t="shared" ca="1" si="5"/>
        <v>1.6660902255639058</v>
      </c>
      <c r="E45" s="127">
        <f t="shared" ca="1" si="5"/>
        <v>167.43443609022574</v>
      </c>
      <c r="F45" s="127">
        <f>'Monthly Data'!BZ45</f>
        <v>0</v>
      </c>
      <c r="G45" s="127">
        <f>'Monthly Data'!CA45</f>
        <v>0</v>
      </c>
      <c r="H45" s="127">
        <f>'Monthly Data'!CC45</f>
        <v>31</v>
      </c>
      <c r="I45" s="127">
        <f>'Monthly Data'!BV45</f>
        <v>0</v>
      </c>
      <c r="J45" s="127">
        <f>'Monthly Data'!BM45</f>
        <v>44</v>
      </c>
      <c r="L45" s="127">
        <f>'Res OLS Model'!$B$5</f>
        <v>-14695221.8516191</v>
      </c>
      <c r="M45" s="127">
        <f ca="1">'Res OLS Model'!$B$6*D45</f>
        <v>40223.004487981838</v>
      </c>
      <c r="N45" s="127">
        <f ca="1">'Res OLS Model'!$B$7*E45</f>
        <v>29167060.307060447</v>
      </c>
      <c r="O45" s="127">
        <f>'Res OLS Model'!$B$8*F45</f>
        <v>0</v>
      </c>
      <c r="P45" s="127">
        <f>'Res OLS Model'!$B$9*G45</f>
        <v>0</v>
      </c>
      <c r="Q45" s="127">
        <f>'Res OLS Model'!$B$10*H45</f>
        <v>55859933.6715082</v>
      </c>
      <c r="R45" s="127">
        <f>'Res OLS Model'!$B$11*I45</f>
        <v>0</v>
      </c>
      <c r="S45" s="127">
        <f>'Res OLS Model'!$B$12*J45</f>
        <v>-560832.12369070039</v>
      </c>
      <c r="T45" s="127">
        <f t="shared" ca="1" si="2"/>
        <v>69811163.007746831</v>
      </c>
    </row>
    <row r="46" spans="1:20">
      <c r="A46" s="128">
        <f>'Monthly Data'!A46</f>
        <v>41153</v>
      </c>
      <c r="B46" s="127">
        <f t="shared" si="1"/>
        <v>2012</v>
      </c>
      <c r="C46" s="127">
        <f ca="1">'Monthly Data'!F46</f>
        <v>50547782.282330975</v>
      </c>
      <c r="D46" s="127">
        <f t="shared" ca="1" si="5"/>
        <v>30.410827067669118</v>
      </c>
      <c r="E46" s="127">
        <f t="shared" ca="1" si="5"/>
        <v>83.003533834586506</v>
      </c>
      <c r="F46" s="127">
        <f>'Monthly Data'!BZ46</f>
        <v>0</v>
      </c>
      <c r="G46" s="127">
        <f>'Monthly Data'!CA46</f>
        <v>1</v>
      </c>
      <c r="H46" s="127">
        <f>'Monthly Data'!CC46</f>
        <v>30</v>
      </c>
      <c r="I46" s="127">
        <f>'Monthly Data'!BV46</f>
        <v>1</v>
      </c>
      <c r="J46" s="127">
        <f>'Monthly Data'!BM46</f>
        <v>45</v>
      </c>
      <c r="L46" s="127">
        <f>'Res OLS Model'!$B$5</f>
        <v>-14695221.8516191</v>
      </c>
      <c r="M46" s="127">
        <f ca="1">'Res OLS Model'!$B$6*D46</f>
        <v>734182.82807108155</v>
      </c>
      <c r="N46" s="127">
        <f ca="1">'Res OLS Model'!$B$7*E46</f>
        <v>14459206.442741111</v>
      </c>
      <c r="O46" s="127">
        <f>'Res OLS Model'!$B$8*F46</f>
        <v>0</v>
      </c>
      <c r="P46" s="127">
        <f>'Res OLS Model'!$B$9*G46</f>
        <v>-2399238.63510927</v>
      </c>
      <c r="Q46" s="127">
        <f>'Res OLS Model'!$B$10*H46</f>
        <v>54058000.327266</v>
      </c>
      <c r="R46" s="127">
        <f>'Res OLS Model'!$B$11*I46</f>
        <v>2497427.94615121</v>
      </c>
      <c r="S46" s="127">
        <f>'Res OLS Model'!$B$12*J46</f>
        <v>-573578.30832003453</v>
      </c>
      <c r="T46" s="127">
        <f t="shared" ca="1" si="2"/>
        <v>54080778.749180995</v>
      </c>
    </row>
    <row r="47" spans="1:20">
      <c r="A47" s="128">
        <f>'Monthly Data'!A47</f>
        <v>41183</v>
      </c>
      <c r="B47" s="127">
        <f t="shared" si="1"/>
        <v>2012</v>
      </c>
      <c r="C47" s="127">
        <f ca="1">'Monthly Data'!F47</f>
        <v>42873857.88398198</v>
      </c>
      <c r="D47" s="127">
        <f t="shared" ca="1" si="5"/>
        <v>158.93676691729343</v>
      </c>
      <c r="E47" s="127">
        <f t="shared" ca="1" si="5"/>
        <v>16.916090225563948</v>
      </c>
      <c r="F47" s="127">
        <f>'Monthly Data'!BZ47</f>
        <v>0</v>
      </c>
      <c r="G47" s="127">
        <f>'Monthly Data'!CA47</f>
        <v>1</v>
      </c>
      <c r="H47" s="127">
        <f>'Monthly Data'!CC47</f>
        <v>31</v>
      </c>
      <c r="I47" s="127">
        <f>'Monthly Data'!BV47</f>
        <v>0</v>
      </c>
      <c r="J47" s="127">
        <f>'Monthly Data'!BM47</f>
        <v>46</v>
      </c>
      <c r="L47" s="127">
        <f>'Res OLS Model'!$B$5</f>
        <v>-14695221.8516191</v>
      </c>
      <c r="M47" s="127">
        <f ca="1">'Res OLS Model'!$B$6*D47</f>
        <v>3837075.6822943771</v>
      </c>
      <c r="N47" s="127">
        <f ca="1">'Res OLS Model'!$B$7*E47</f>
        <v>2946781.0522730458</v>
      </c>
      <c r="O47" s="127">
        <f>'Res OLS Model'!$B$8*F47</f>
        <v>0</v>
      </c>
      <c r="P47" s="127">
        <f>'Res OLS Model'!$B$9*G47</f>
        <v>-2399238.63510927</v>
      </c>
      <c r="Q47" s="127">
        <f>'Res OLS Model'!$B$10*H47</f>
        <v>55859933.6715082</v>
      </c>
      <c r="R47" s="127">
        <f>'Res OLS Model'!$B$11*I47</f>
        <v>0</v>
      </c>
      <c r="S47" s="127">
        <f>'Res OLS Model'!$B$12*J47</f>
        <v>-586324.49294936866</v>
      </c>
      <c r="T47" s="127">
        <f t="shared" ca="1" si="2"/>
        <v>44963005.42639789</v>
      </c>
    </row>
    <row r="48" spans="1:20">
      <c r="A48" s="128">
        <f>'Monthly Data'!A48</f>
        <v>41214</v>
      </c>
      <c r="B48" s="127">
        <f t="shared" si="1"/>
        <v>2012</v>
      </c>
      <c r="C48" s="127">
        <f ca="1">'Monthly Data'!F48</f>
        <v>45641430.12196698</v>
      </c>
      <c r="D48" s="127">
        <f t="shared" ca="1" si="5"/>
        <v>375.92533834586447</v>
      </c>
      <c r="E48" s="127">
        <f t="shared" ca="1" si="5"/>
        <v>8.120300751879661E-2</v>
      </c>
      <c r="F48" s="127">
        <f>'Monthly Data'!BZ48</f>
        <v>0</v>
      </c>
      <c r="G48" s="127">
        <f>'Monthly Data'!CA48</f>
        <v>1</v>
      </c>
      <c r="H48" s="127">
        <f>'Monthly Data'!CC48</f>
        <v>30</v>
      </c>
      <c r="I48" s="127">
        <f>'Monthly Data'!BV48</f>
        <v>0</v>
      </c>
      <c r="J48" s="127">
        <f>'Monthly Data'!BM48</f>
        <v>47</v>
      </c>
      <c r="L48" s="127">
        <f>'Res OLS Model'!$B$5</f>
        <v>-14695221.8516191</v>
      </c>
      <c r="M48" s="127">
        <f ca="1">'Res OLS Model'!$B$6*D48</f>
        <v>9075646.8883994482</v>
      </c>
      <c r="N48" s="127">
        <f ca="1">'Res OLS Model'!$B$7*E48</f>
        <v>14145.5549570408</v>
      </c>
      <c r="O48" s="127">
        <f>'Res OLS Model'!$B$8*F48</f>
        <v>0</v>
      </c>
      <c r="P48" s="127">
        <f>'Res OLS Model'!$B$9*G48</f>
        <v>-2399238.63510927</v>
      </c>
      <c r="Q48" s="127">
        <f>'Res OLS Model'!$B$10*H48</f>
        <v>54058000.327266</v>
      </c>
      <c r="R48" s="127">
        <f>'Res OLS Model'!$B$11*I48</f>
        <v>0</v>
      </c>
      <c r="S48" s="127">
        <f>'Res OLS Model'!$B$12*J48</f>
        <v>-599070.67757870269</v>
      </c>
      <c r="T48" s="127">
        <f t="shared" ca="1" si="2"/>
        <v>45454261.606315419</v>
      </c>
    </row>
    <row r="49" spans="1:20">
      <c r="A49" s="128">
        <f>'Monthly Data'!A49</f>
        <v>41244</v>
      </c>
      <c r="B49" s="127">
        <f t="shared" si="1"/>
        <v>2012</v>
      </c>
      <c r="C49" s="127">
        <f ca="1">'Monthly Data'!F49</f>
        <v>52638100.62582498</v>
      </c>
      <c r="D49" s="127">
        <f t="shared" ca="1" si="5"/>
        <v>548.76120300751859</v>
      </c>
      <c r="E49" s="127">
        <f t="shared" ca="1" si="5"/>
        <v>0</v>
      </c>
      <c r="F49" s="127">
        <f>'Monthly Data'!BZ49</f>
        <v>0</v>
      </c>
      <c r="G49" s="127">
        <f>'Monthly Data'!CA49</f>
        <v>0</v>
      </c>
      <c r="H49" s="127">
        <f>'Monthly Data'!CC49</f>
        <v>31</v>
      </c>
      <c r="I49" s="127">
        <f>'Monthly Data'!BV49</f>
        <v>0</v>
      </c>
      <c r="J49" s="127">
        <f>'Monthly Data'!BM49</f>
        <v>48</v>
      </c>
      <c r="L49" s="127">
        <f>'Res OLS Model'!$B$5</f>
        <v>-14695221.8516191</v>
      </c>
      <c r="M49" s="127">
        <f ca="1">'Res OLS Model'!$B$6*D49</f>
        <v>13248276.709582731</v>
      </c>
      <c r="N49" s="127">
        <f ca="1">'Res OLS Model'!$B$7*E49</f>
        <v>0</v>
      </c>
      <c r="O49" s="127">
        <f>'Res OLS Model'!$B$8*F49</f>
        <v>0</v>
      </c>
      <c r="P49" s="127">
        <f>'Res OLS Model'!$B$9*G49</f>
        <v>0</v>
      </c>
      <c r="Q49" s="127">
        <f>'Res OLS Model'!$B$10*H49</f>
        <v>55859933.6715082</v>
      </c>
      <c r="R49" s="127">
        <f>'Res OLS Model'!$B$11*I49</f>
        <v>0</v>
      </c>
      <c r="S49" s="127">
        <f>'Res OLS Model'!$B$12*J49</f>
        <v>-611816.86220803682</v>
      </c>
      <c r="T49" s="127">
        <f t="shared" ca="1" si="2"/>
        <v>53801171.667263791</v>
      </c>
    </row>
    <row r="50" spans="1:20">
      <c r="A50" s="128">
        <f>'Monthly Data'!A50</f>
        <v>41275</v>
      </c>
      <c r="B50" s="127">
        <f t="shared" si="1"/>
        <v>2013</v>
      </c>
      <c r="C50" s="127">
        <f ca="1">'Monthly Data'!F50</f>
        <v>54911356.121163584</v>
      </c>
      <c r="D50" s="127">
        <f t="shared" ca="1" si="5"/>
        <v>665.14879699248104</v>
      </c>
      <c r="E50" s="127">
        <f t="shared" ca="1" si="5"/>
        <v>0</v>
      </c>
      <c r="F50" s="127">
        <f>'Monthly Data'!BZ50</f>
        <v>0</v>
      </c>
      <c r="G50" s="127">
        <f>'Monthly Data'!CA50</f>
        <v>0</v>
      </c>
      <c r="H50" s="127">
        <f>'Monthly Data'!CC50</f>
        <v>31</v>
      </c>
      <c r="I50" s="127">
        <f>'Monthly Data'!BV50</f>
        <v>0</v>
      </c>
      <c r="J50" s="127">
        <f>'Monthly Data'!BM50</f>
        <v>49</v>
      </c>
      <c r="L50" s="127">
        <f>'Res OLS Model'!$B$5</f>
        <v>-14695221.8516191</v>
      </c>
      <c r="M50" s="127">
        <f ca="1">'Res OLS Model'!$B$6*D50</f>
        <v>16058123.765505565</v>
      </c>
      <c r="N50" s="127">
        <f ca="1">'Res OLS Model'!$B$7*E50</f>
        <v>0</v>
      </c>
      <c r="O50" s="127">
        <f>'Res OLS Model'!$B$8*F50</f>
        <v>0</v>
      </c>
      <c r="P50" s="127">
        <f>'Res OLS Model'!$B$9*G50</f>
        <v>0</v>
      </c>
      <c r="Q50" s="127">
        <f>'Res OLS Model'!$B$10*H50</f>
        <v>55859933.6715082</v>
      </c>
      <c r="R50" s="127">
        <f>'Res OLS Model'!$B$11*I50</f>
        <v>0</v>
      </c>
      <c r="S50" s="127">
        <f>'Res OLS Model'!$B$12*J50</f>
        <v>-624563.04683737096</v>
      </c>
      <c r="T50" s="127">
        <f t="shared" ca="1" si="2"/>
        <v>56598272.538557291</v>
      </c>
    </row>
    <row r="51" spans="1:20">
      <c r="A51" s="128">
        <f>'Monthly Data'!A51</f>
        <v>41306</v>
      </c>
      <c r="B51" s="127">
        <f t="shared" si="1"/>
        <v>2013</v>
      </c>
      <c r="C51" s="127">
        <f ca="1">'Monthly Data'!F51</f>
        <v>48753761.194211587</v>
      </c>
      <c r="D51" s="127">
        <f t="shared" ref="D51:E66" ca="1" si="6">D39</f>
        <v>611.17548872180487</v>
      </c>
      <c r="E51" s="127">
        <f t="shared" ca="1" si="6"/>
        <v>0</v>
      </c>
      <c r="F51" s="127">
        <f>'Monthly Data'!BZ51</f>
        <v>0</v>
      </c>
      <c r="G51" s="127">
        <f>'Monthly Data'!CA51</f>
        <v>0</v>
      </c>
      <c r="H51" s="127">
        <f>'Monthly Data'!CC51</f>
        <v>28</v>
      </c>
      <c r="I51" s="127">
        <f>'Monthly Data'!BV51</f>
        <v>0</v>
      </c>
      <c r="J51" s="127">
        <f>'Monthly Data'!BM51</f>
        <v>50</v>
      </c>
      <c r="L51" s="127">
        <f>'Res OLS Model'!$B$5</f>
        <v>-14695221.8516191</v>
      </c>
      <c r="M51" s="127">
        <f ca="1">'Res OLS Model'!$B$6*D51</f>
        <v>14755091.920355735</v>
      </c>
      <c r="N51" s="127">
        <f ca="1">'Res OLS Model'!$B$7*E51</f>
        <v>0</v>
      </c>
      <c r="O51" s="127">
        <f>'Res OLS Model'!$B$8*F51</f>
        <v>0</v>
      </c>
      <c r="P51" s="127">
        <f>'Res OLS Model'!$B$9*G51</f>
        <v>0</v>
      </c>
      <c r="Q51" s="127">
        <f>'Res OLS Model'!$B$10*H51</f>
        <v>50454133.6387816</v>
      </c>
      <c r="R51" s="127">
        <f>'Res OLS Model'!$B$11*I51</f>
        <v>0</v>
      </c>
      <c r="S51" s="127">
        <f>'Res OLS Model'!$B$12*J51</f>
        <v>-637309.23146670498</v>
      </c>
      <c r="T51" s="127">
        <f t="shared" ca="1" si="2"/>
        <v>49876694.476051532</v>
      </c>
    </row>
    <row r="52" spans="1:20">
      <c r="A52" s="128">
        <f>'Monthly Data'!A52</f>
        <v>41334</v>
      </c>
      <c r="B52" s="127">
        <f t="shared" si="1"/>
        <v>2013</v>
      </c>
      <c r="C52" s="127">
        <f ca="1">'Monthly Data'!F52</f>
        <v>49889124.102056585</v>
      </c>
      <c r="D52" s="127">
        <f t="shared" ca="1" si="6"/>
        <v>458.46436090225569</v>
      </c>
      <c r="E52" s="127">
        <f t="shared" ca="1" si="6"/>
        <v>0.45218045112781802</v>
      </c>
      <c r="F52" s="127">
        <f>'Monthly Data'!BZ52</f>
        <v>1</v>
      </c>
      <c r="G52" s="127">
        <f>'Monthly Data'!CA52</f>
        <v>0</v>
      </c>
      <c r="H52" s="127">
        <f>'Monthly Data'!CC52</f>
        <v>31</v>
      </c>
      <c r="I52" s="127">
        <f>'Monthly Data'!BV52</f>
        <v>0</v>
      </c>
      <c r="J52" s="127">
        <f>'Monthly Data'!BM52</f>
        <v>51</v>
      </c>
      <c r="L52" s="127">
        <f>'Res OLS Model'!$B$5</f>
        <v>-14695221.8516191</v>
      </c>
      <c r="M52" s="127">
        <f ca="1">'Res OLS Model'!$B$6*D52</f>
        <v>11068316.567255335</v>
      </c>
      <c r="N52" s="127">
        <f ca="1">'Res OLS Model'!$B$7*E52</f>
        <v>78769.784733003224</v>
      </c>
      <c r="O52" s="127">
        <f>'Res OLS Model'!$B$8*F52</f>
        <v>-4177006.7225933699</v>
      </c>
      <c r="P52" s="127">
        <f>'Res OLS Model'!$B$9*G52</f>
        <v>0</v>
      </c>
      <c r="Q52" s="127">
        <f>'Res OLS Model'!$B$10*H52</f>
        <v>55859933.6715082</v>
      </c>
      <c r="R52" s="127">
        <f>'Res OLS Model'!$B$11*I52</f>
        <v>0</v>
      </c>
      <c r="S52" s="127">
        <f>'Res OLS Model'!$B$12*J52</f>
        <v>-650055.41609603912</v>
      </c>
      <c r="T52" s="127">
        <f t="shared" ca="1" si="2"/>
        <v>47484736.03318803</v>
      </c>
    </row>
    <row r="53" spans="1:20">
      <c r="A53" s="128">
        <f>'Monthly Data'!A53</f>
        <v>41365</v>
      </c>
      <c r="B53" s="127">
        <f t="shared" si="1"/>
        <v>2013</v>
      </c>
      <c r="C53" s="127">
        <f ca="1">'Monthly Data'!F53</f>
        <v>43188284.981835589</v>
      </c>
      <c r="D53" s="127">
        <f t="shared" ca="1" si="6"/>
        <v>254.29052631578941</v>
      </c>
      <c r="E53" s="127">
        <f t="shared" ca="1" si="6"/>
        <v>0.50947368421054762</v>
      </c>
      <c r="F53" s="127">
        <f>'Monthly Data'!BZ53</f>
        <v>1</v>
      </c>
      <c r="G53" s="127">
        <f>'Monthly Data'!CA53</f>
        <v>0</v>
      </c>
      <c r="H53" s="127">
        <f>'Monthly Data'!CC53</f>
        <v>30</v>
      </c>
      <c r="I53" s="127">
        <f>'Monthly Data'!BV53</f>
        <v>0</v>
      </c>
      <c r="J53" s="127">
        <f>'Monthly Data'!BM53</f>
        <v>52</v>
      </c>
      <c r="L53" s="127">
        <f>'Res OLS Model'!$B$5</f>
        <v>-14695221.8516191</v>
      </c>
      <c r="M53" s="127">
        <f ca="1">'Res OLS Model'!$B$6*D53</f>
        <v>6139120.6936523356</v>
      </c>
      <c r="N53" s="127">
        <f ca="1">'Res OLS Model'!$B$7*E53</f>
        <v>88750.259619363816</v>
      </c>
      <c r="O53" s="127">
        <f>'Res OLS Model'!$B$8*F53</f>
        <v>-4177006.7225933699</v>
      </c>
      <c r="P53" s="127">
        <f>'Res OLS Model'!$B$9*G53</f>
        <v>0</v>
      </c>
      <c r="Q53" s="127">
        <f>'Res OLS Model'!$B$10*H53</f>
        <v>54058000.327266</v>
      </c>
      <c r="R53" s="127">
        <f>'Res OLS Model'!$B$11*I53</f>
        <v>0</v>
      </c>
      <c r="S53" s="127">
        <f>'Res OLS Model'!$B$12*J53</f>
        <v>-662801.60072537325</v>
      </c>
      <c r="T53" s="127">
        <f t="shared" ca="1" si="2"/>
        <v>40750841.105599858</v>
      </c>
    </row>
    <row r="54" spans="1:20">
      <c r="A54" s="128">
        <f>'Monthly Data'!A54</f>
        <v>41395</v>
      </c>
      <c r="B54" s="127">
        <f t="shared" ref="B54:B109" si="7">YEAR(A54)</f>
        <v>2013</v>
      </c>
      <c r="C54" s="127">
        <f ca="1">'Monthly Data'!F54</f>
        <v>45290631.481890589</v>
      </c>
      <c r="D54" s="127">
        <f t="shared" ca="1" si="6"/>
        <v>102.64150375939857</v>
      </c>
      <c r="E54" s="127">
        <f t="shared" ca="1" si="6"/>
        <v>56.062781954887214</v>
      </c>
      <c r="F54" s="127">
        <f>'Monthly Data'!BZ54</f>
        <v>1</v>
      </c>
      <c r="G54" s="127">
        <f>'Monthly Data'!CA54</f>
        <v>0</v>
      </c>
      <c r="H54" s="127">
        <f>'Monthly Data'!CC54</f>
        <v>31</v>
      </c>
      <c r="I54" s="127">
        <f>'Monthly Data'!BV54</f>
        <v>0</v>
      </c>
      <c r="J54" s="127">
        <f>'Monthly Data'!BM54</f>
        <v>53</v>
      </c>
      <c r="L54" s="127">
        <f>'Res OLS Model'!$B$5</f>
        <v>-14695221.8516191</v>
      </c>
      <c r="M54" s="127">
        <f ca="1">'Res OLS Model'!$B$6*D54</f>
        <v>2477986.8479032353</v>
      </c>
      <c r="N54" s="127">
        <f ca="1">'Res OLS Model'!$B$7*E54</f>
        <v>9766130.4355492275</v>
      </c>
      <c r="O54" s="127">
        <f>'Res OLS Model'!$B$8*F54</f>
        <v>-4177006.7225933699</v>
      </c>
      <c r="P54" s="127">
        <f>'Res OLS Model'!$B$9*G54</f>
        <v>0</v>
      </c>
      <c r="Q54" s="127">
        <f>'Res OLS Model'!$B$10*H54</f>
        <v>55859933.6715082</v>
      </c>
      <c r="R54" s="127">
        <f>'Res OLS Model'!$B$11*I54</f>
        <v>0</v>
      </c>
      <c r="S54" s="127">
        <f>'Res OLS Model'!$B$12*J54</f>
        <v>-675547.78535470727</v>
      </c>
      <c r="T54" s="127">
        <f t="shared" ref="T54:T109" ca="1" si="8">SUM(L54:S54)</f>
        <v>48556274.595393486</v>
      </c>
    </row>
    <row r="55" spans="1:20">
      <c r="A55" s="128">
        <f>'Monthly Data'!A55</f>
        <v>41426</v>
      </c>
      <c r="B55" s="127">
        <f t="shared" si="7"/>
        <v>2013</v>
      </c>
      <c r="C55" s="127">
        <f ca="1">'Monthly Data'!F55</f>
        <v>56572380.058294587</v>
      </c>
      <c r="D55" s="127">
        <f t="shared" ca="1" si="6"/>
        <v>0.39669172932326546</v>
      </c>
      <c r="E55" s="127">
        <f t="shared" ca="1" si="6"/>
        <v>116.89315789473682</v>
      </c>
      <c r="F55" s="127">
        <f>'Monthly Data'!BZ55</f>
        <v>0</v>
      </c>
      <c r="G55" s="127">
        <f>'Monthly Data'!CA55</f>
        <v>0</v>
      </c>
      <c r="H55" s="127">
        <f>'Monthly Data'!CC55</f>
        <v>30</v>
      </c>
      <c r="I55" s="127">
        <f>'Monthly Data'!BV55</f>
        <v>0</v>
      </c>
      <c r="J55" s="127">
        <f>'Monthly Data'!BM55</f>
        <v>54</v>
      </c>
      <c r="L55" s="127">
        <f>'Res OLS Model'!$B$5</f>
        <v>-14695221.8516191</v>
      </c>
      <c r="M55" s="127">
        <f ca="1">'Res OLS Model'!$B$6*D55</f>
        <v>9576.9922685396359</v>
      </c>
      <c r="N55" s="127">
        <f ca="1">'Res OLS Model'!$B$7*E55</f>
        <v>20362775.217645679</v>
      </c>
      <c r="O55" s="127">
        <f>'Res OLS Model'!$B$8*F55</f>
        <v>0</v>
      </c>
      <c r="P55" s="127">
        <f>'Res OLS Model'!$B$9*G55</f>
        <v>0</v>
      </c>
      <c r="Q55" s="127">
        <f>'Res OLS Model'!$B$10*H55</f>
        <v>54058000.327266</v>
      </c>
      <c r="R55" s="127">
        <f>'Res OLS Model'!$B$11*I55</f>
        <v>0</v>
      </c>
      <c r="S55" s="127">
        <f>'Res OLS Model'!$B$12*J55</f>
        <v>-688293.96998404141</v>
      </c>
      <c r="T55" s="127">
        <f t="shared" ca="1" si="8"/>
        <v>59046836.715577081</v>
      </c>
    </row>
    <row r="56" spans="1:20">
      <c r="A56" s="128">
        <f>'Monthly Data'!A56</f>
        <v>41456</v>
      </c>
      <c r="B56" s="127">
        <f t="shared" si="7"/>
        <v>2013</v>
      </c>
      <c r="C56" s="127">
        <f ca="1">'Monthly Data'!F56</f>
        <v>69531972.104008585</v>
      </c>
      <c r="D56" s="127">
        <f t="shared" ca="1" si="6"/>
        <v>0.58105263157894704</v>
      </c>
      <c r="E56" s="127">
        <f t="shared" ca="1" si="6"/>
        <v>186.96526315789481</v>
      </c>
      <c r="F56" s="127">
        <f>'Monthly Data'!BZ56</f>
        <v>0</v>
      </c>
      <c r="G56" s="127">
        <f>'Monthly Data'!CA56</f>
        <v>0</v>
      </c>
      <c r="H56" s="127">
        <f>'Monthly Data'!CC56</f>
        <v>31</v>
      </c>
      <c r="I56" s="127">
        <f>'Monthly Data'!BV56</f>
        <v>0</v>
      </c>
      <c r="J56" s="127">
        <f>'Monthly Data'!BM56</f>
        <v>55</v>
      </c>
      <c r="L56" s="127">
        <f>'Res OLS Model'!$B$5</f>
        <v>-14695221.8516191</v>
      </c>
      <c r="M56" s="127">
        <f ca="1">'Res OLS Model'!$B$6*D56</f>
        <v>14027.861306156605</v>
      </c>
      <c r="N56" s="127">
        <f ca="1">'Res OLS Model'!$B$7*E56</f>
        <v>32569328.228950184</v>
      </c>
      <c r="O56" s="127">
        <f>'Res OLS Model'!$B$8*F56</f>
        <v>0</v>
      </c>
      <c r="P56" s="127">
        <f>'Res OLS Model'!$B$9*G56</f>
        <v>0</v>
      </c>
      <c r="Q56" s="127">
        <f>'Res OLS Model'!$B$10*H56</f>
        <v>55859933.6715082</v>
      </c>
      <c r="R56" s="127">
        <f>'Res OLS Model'!$B$11*I56</f>
        <v>0</v>
      </c>
      <c r="S56" s="127">
        <f>'Res OLS Model'!$B$12*J56</f>
        <v>-701040.15461337555</v>
      </c>
      <c r="T56" s="127">
        <f t="shared" ca="1" si="8"/>
        <v>73047027.755532056</v>
      </c>
    </row>
    <row r="57" spans="1:20">
      <c r="A57" s="128">
        <f>'Monthly Data'!A57</f>
        <v>41487</v>
      </c>
      <c r="B57" s="127">
        <f t="shared" si="7"/>
        <v>2013</v>
      </c>
      <c r="C57" s="127">
        <f ca="1">'Monthly Data'!F57</f>
        <v>62627316.669716507</v>
      </c>
      <c r="D57" s="127">
        <f t="shared" ca="1" si="6"/>
        <v>1.6660902255639058</v>
      </c>
      <c r="E57" s="127">
        <f t="shared" ca="1" si="6"/>
        <v>167.43443609022574</v>
      </c>
      <c r="F57" s="127">
        <f>'Monthly Data'!BZ57</f>
        <v>0</v>
      </c>
      <c r="G57" s="127">
        <f>'Monthly Data'!CA57</f>
        <v>0</v>
      </c>
      <c r="H57" s="127">
        <f>'Monthly Data'!CC57</f>
        <v>31</v>
      </c>
      <c r="I57" s="127">
        <f>'Monthly Data'!BV57</f>
        <v>0</v>
      </c>
      <c r="J57" s="127">
        <f>'Monthly Data'!BM57</f>
        <v>56</v>
      </c>
      <c r="L57" s="127">
        <f>'Res OLS Model'!$B$5</f>
        <v>-14695221.8516191</v>
      </c>
      <c r="M57" s="127">
        <f ca="1">'Res OLS Model'!$B$6*D57</f>
        <v>40223.004487981838</v>
      </c>
      <c r="N57" s="127">
        <f ca="1">'Res OLS Model'!$B$7*E57</f>
        <v>29167060.307060447</v>
      </c>
      <c r="O57" s="127">
        <f>'Res OLS Model'!$B$8*F57</f>
        <v>0</v>
      </c>
      <c r="P57" s="127">
        <f>'Res OLS Model'!$B$9*G57</f>
        <v>0</v>
      </c>
      <c r="Q57" s="127">
        <f>'Res OLS Model'!$B$10*H57</f>
        <v>55859933.6715082</v>
      </c>
      <c r="R57" s="127">
        <f>'Res OLS Model'!$B$11*I57</f>
        <v>0</v>
      </c>
      <c r="S57" s="127">
        <f>'Res OLS Model'!$B$12*J57</f>
        <v>-713786.33924270957</v>
      </c>
      <c r="T57" s="127">
        <f t="shared" ca="1" si="8"/>
        <v>69658208.792194813</v>
      </c>
    </row>
    <row r="58" spans="1:20">
      <c r="A58" s="128">
        <f>'Monthly Data'!A58</f>
        <v>41518</v>
      </c>
      <c r="B58" s="127">
        <f t="shared" si="7"/>
        <v>2013</v>
      </c>
      <c r="C58" s="127">
        <f ca="1">'Monthly Data'!F58</f>
        <v>52483630.869351625</v>
      </c>
      <c r="D58" s="127">
        <f t="shared" ca="1" si="6"/>
        <v>30.410827067669118</v>
      </c>
      <c r="E58" s="127">
        <f t="shared" ca="1" si="6"/>
        <v>83.003533834586506</v>
      </c>
      <c r="F58" s="127">
        <f>'Monthly Data'!BZ58</f>
        <v>0</v>
      </c>
      <c r="G58" s="127">
        <f>'Monthly Data'!CA58</f>
        <v>1</v>
      </c>
      <c r="H58" s="127">
        <f>'Monthly Data'!CC58</f>
        <v>30</v>
      </c>
      <c r="I58" s="127">
        <f>'Monthly Data'!BV58</f>
        <v>1</v>
      </c>
      <c r="J58" s="127">
        <f>'Monthly Data'!BM58</f>
        <v>57</v>
      </c>
      <c r="L58" s="127">
        <f>'Res OLS Model'!$B$5</f>
        <v>-14695221.8516191</v>
      </c>
      <c r="M58" s="127">
        <f ca="1">'Res OLS Model'!$B$6*D58</f>
        <v>734182.82807108155</v>
      </c>
      <c r="N58" s="127">
        <f ca="1">'Res OLS Model'!$B$7*E58</f>
        <v>14459206.442741111</v>
      </c>
      <c r="O58" s="127">
        <f>'Res OLS Model'!$B$8*F58</f>
        <v>0</v>
      </c>
      <c r="P58" s="127">
        <f>'Res OLS Model'!$B$9*G58</f>
        <v>-2399238.63510927</v>
      </c>
      <c r="Q58" s="127">
        <f>'Res OLS Model'!$B$10*H58</f>
        <v>54058000.327266</v>
      </c>
      <c r="R58" s="127">
        <f>'Res OLS Model'!$B$11*I58</f>
        <v>2497427.94615121</v>
      </c>
      <c r="S58" s="127">
        <f>'Res OLS Model'!$B$12*J58</f>
        <v>-726532.5238720437</v>
      </c>
      <c r="T58" s="127">
        <f t="shared" ca="1" si="8"/>
        <v>53927824.533628993</v>
      </c>
    </row>
    <row r="59" spans="1:20">
      <c r="A59" s="128">
        <f>'Monthly Data'!A59</f>
        <v>41548</v>
      </c>
      <c r="B59" s="127">
        <f t="shared" si="7"/>
        <v>2013</v>
      </c>
      <c r="C59" s="127">
        <f ca="1">'Monthly Data'!F59</f>
        <v>44313505.933738872</v>
      </c>
      <c r="D59" s="127">
        <f t="shared" ca="1" si="6"/>
        <v>158.93676691729343</v>
      </c>
      <c r="E59" s="127">
        <f t="shared" ca="1" si="6"/>
        <v>16.916090225563948</v>
      </c>
      <c r="F59" s="127">
        <f>'Monthly Data'!BZ59</f>
        <v>0</v>
      </c>
      <c r="G59" s="127">
        <f>'Monthly Data'!CA59</f>
        <v>1</v>
      </c>
      <c r="H59" s="127">
        <f>'Monthly Data'!CC59</f>
        <v>31</v>
      </c>
      <c r="I59" s="127">
        <f>'Monthly Data'!BV59</f>
        <v>0</v>
      </c>
      <c r="J59" s="127">
        <f>'Monthly Data'!BM59</f>
        <v>58</v>
      </c>
      <c r="L59" s="127">
        <f>'Res OLS Model'!$B$5</f>
        <v>-14695221.8516191</v>
      </c>
      <c r="M59" s="127">
        <f ca="1">'Res OLS Model'!$B$6*D59</f>
        <v>3837075.6822943771</v>
      </c>
      <c r="N59" s="127">
        <f ca="1">'Res OLS Model'!$B$7*E59</f>
        <v>2946781.0522730458</v>
      </c>
      <c r="O59" s="127">
        <f>'Res OLS Model'!$B$8*F59</f>
        <v>0</v>
      </c>
      <c r="P59" s="127">
        <f>'Res OLS Model'!$B$9*G59</f>
        <v>-2399238.63510927</v>
      </c>
      <c r="Q59" s="127">
        <f>'Res OLS Model'!$B$10*H59</f>
        <v>55859933.6715082</v>
      </c>
      <c r="R59" s="127">
        <f>'Res OLS Model'!$B$11*I59</f>
        <v>0</v>
      </c>
      <c r="S59" s="127">
        <f>'Res OLS Model'!$B$12*J59</f>
        <v>-739278.70850137784</v>
      </c>
      <c r="T59" s="127">
        <f t="shared" ca="1" si="8"/>
        <v>44810051.21084588</v>
      </c>
    </row>
    <row r="60" spans="1:20">
      <c r="A60" s="128">
        <f>'Monthly Data'!A60</f>
        <v>41579</v>
      </c>
      <c r="B60" s="127">
        <f t="shared" si="7"/>
        <v>2013</v>
      </c>
      <c r="C60" s="127">
        <f ca="1">'Monthly Data'!F60</f>
        <v>47268963.680705905</v>
      </c>
      <c r="D60" s="127">
        <f t="shared" ca="1" si="6"/>
        <v>375.92533834586447</v>
      </c>
      <c r="E60" s="127">
        <f t="shared" ca="1" si="6"/>
        <v>8.120300751879661E-2</v>
      </c>
      <c r="F60" s="127">
        <f>'Monthly Data'!BZ60</f>
        <v>0</v>
      </c>
      <c r="G60" s="127">
        <f>'Monthly Data'!CA60</f>
        <v>1</v>
      </c>
      <c r="H60" s="127">
        <f>'Monthly Data'!CC60</f>
        <v>30</v>
      </c>
      <c r="I60" s="127">
        <f>'Monthly Data'!BV60</f>
        <v>0</v>
      </c>
      <c r="J60" s="127">
        <f>'Monthly Data'!BM60</f>
        <v>59</v>
      </c>
      <c r="L60" s="127">
        <f>'Res OLS Model'!$B$5</f>
        <v>-14695221.8516191</v>
      </c>
      <c r="M60" s="127">
        <f ca="1">'Res OLS Model'!$B$6*D60</f>
        <v>9075646.8883994482</v>
      </c>
      <c r="N60" s="127">
        <f ca="1">'Res OLS Model'!$B$7*E60</f>
        <v>14145.5549570408</v>
      </c>
      <c r="O60" s="127">
        <f>'Res OLS Model'!$B$8*F60</f>
        <v>0</v>
      </c>
      <c r="P60" s="127">
        <f>'Res OLS Model'!$B$9*G60</f>
        <v>-2399238.63510927</v>
      </c>
      <c r="Q60" s="127">
        <f>'Res OLS Model'!$B$10*H60</f>
        <v>54058000.327266</v>
      </c>
      <c r="R60" s="127">
        <f>'Res OLS Model'!$B$11*I60</f>
        <v>0</v>
      </c>
      <c r="S60" s="127">
        <f>'Res OLS Model'!$B$12*J60</f>
        <v>-752024.89313071198</v>
      </c>
      <c r="T60" s="127">
        <f t="shared" ca="1" si="8"/>
        <v>45301307.390763409</v>
      </c>
    </row>
    <row r="61" spans="1:20">
      <c r="A61" s="128">
        <f>'Monthly Data'!A61</f>
        <v>41609</v>
      </c>
      <c r="B61" s="127">
        <f t="shared" si="7"/>
        <v>2013</v>
      </c>
      <c r="C61" s="127">
        <f ca="1">'Monthly Data'!F61</f>
        <v>57282294.93726933</v>
      </c>
      <c r="D61" s="127">
        <f t="shared" ca="1" si="6"/>
        <v>548.76120300751859</v>
      </c>
      <c r="E61" s="127">
        <f t="shared" ca="1" si="6"/>
        <v>0</v>
      </c>
      <c r="F61" s="127">
        <f>'Monthly Data'!BZ61</f>
        <v>0</v>
      </c>
      <c r="G61" s="127">
        <f>'Monthly Data'!CA61</f>
        <v>0</v>
      </c>
      <c r="H61" s="127">
        <f>'Monthly Data'!CC61</f>
        <v>31</v>
      </c>
      <c r="I61" s="127">
        <f>'Monthly Data'!BV61</f>
        <v>0</v>
      </c>
      <c r="J61" s="127">
        <f>'Monthly Data'!BM61</f>
        <v>60</v>
      </c>
      <c r="L61" s="127">
        <f>'Res OLS Model'!$B$5</f>
        <v>-14695221.8516191</v>
      </c>
      <c r="M61" s="127">
        <f ca="1">'Res OLS Model'!$B$6*D61</f>
        <v>13248276.709582731</v>
      </c>
      <c r="N61" s="127">
        <f ca="1">'Res OLS Model'!$B$7*E61</f>
        <v>0</v>
      </c>
      <c r="O61" s="127">
        <f>'Res OLS Model'!$B$8*F61</f>
        <v>0</v>
      </c>
      <c r="P61" s="127">
        <f>'Res OLS Model'!$B$9*G61</f>
        <v>0</v>
      </c>
      <c r="Q61" s="127">
        <f>'Res OLS Model'!$B$10*H61</f>
        <v>55859933.6715082</v>
      </c>
      <c r="R61" s="127">
        <f>'Res OLS Model'!$B$11*I61</f>
        <v>0</v>
      </c>
      <c r="S61" s="127">
        <f>'Res OLS Model'!$B$12*J61</f>
        <v>-764771.077760046</v>
      </c>
      <c r="T61" s="127">
        <f t="shared" ca="1" si="8"/>
        <v>53648217.451711781</v>
      </c>
    </row>
    <row r="62" spans="1:20">
      <c r="A62" s="128">
        <f>'Monthly Data'!A62</f>
        <v>41640</v>
      </c>
      <c r="B62" s="127">
        <f t="shared" si="7"/>
        <v>2014</v>
      </c>
      <c r="C62" s="127">
        <f ca="1">'Monthly Data'!F62</f>
        <v>61083284.63878455</v>
      </c>
      <c r="D62" s="127">
        <f t="shared" ca="1" si="6"/>
        <v>665.14879699248104</v>
      </c>
      <c r="E62" s="127">
        <f t="shared" ca="1" si="6"/>
        <v>0</v>
      </c>
      <c r="F62" s="127">
        <f>'Monthly Data'!BZ62</f>
        <v>0</v>
      </c>
      <c r="G62" s="127">
        <f>'Monthly Data'!CA62</f>
        <v>0</v>
      </c>
      <c r="H62" s="127">
        <f>'Monthly Data'!CC62</f>
        <v>31</v>
      </c>
      <c r="I62" s="127">
        <f>'Monthly Data'!BV62</f>
        <v>0</v>
      </c>
      <c r="J62" s="127">
        <f>'Monthly Data'!BM62</f>
        <v>61</v>
      </c>
      <c r="L62" s="127">
        <f>'Res OLS Model'!$B$5</f>
        <v>-14695221.8516191</v>
      </c>
      <c r="M62" s="127">
        <f ca="1">'Res OLS Model'!$B$6*D62</f>
        <v>16058123.765505565</v>
      </c>
      <c r="N62" s="127">
        <f ca="1">'Res OLS Model'!$B$7*E62</f>
        <v>0</v>
      </c>
      <c r="O62" s="127">
        <f>'Res OLS Model'!$B$8*F62</f>
        <v>0</v>
      </c>
      <c r="P62" s="127">
        <f>'Res OLS Model'!$B$9*G62</f>
        <v>0</v>
      </c>
      <c r="Q62" s="127">
        <f>'Res OLS Model'!$B$10*H62</f>
        <v>55859933.6715082</v>
      </c>
      <c r="R62" s="127">
        <f>'Res OLS Model'!$B$11*I62</f>
        <v>0</v>
      </c>
      <c r="S62" s="127">
        <f>'Res OLS Model'!$B$12*J62</f>
        <v>-777517.26238938014</v>
      </c>
      <c r="T62" s="127">
        <f t="shared" ca="1" si="8"/>
        <v>56445318.323005289</v>
      </c>
    </row>
    <row r="63" spans="1:20">
      <c r="A63" s="128">
        <f>'Monthly Data'!A63</f>
        <v>41671</v>
      </c>
      <c r="B63" s="127">
        <f t="shared" si="7"/>
        <v>2014</v>
      </c>
      <c r="C63" s="127">
        <f ca="1">'Monthly Data'!F63</f>
        <v>51952415.072566412</v>
      </c>
      <c r="D63" s="127">
        <f t="shared" ca="1" si="6"/>
        <v>611.17548872180487</v>
      </c>
      <c r="E63" s="127">
        <f t="shared" ca="1" si="6"/>
        <v>0</v>
      </c>
      <c r="F63" s="127">
        <f>'Monthly Data'!BZ63</f>
        <v>0</v>
      </c>
      <c r="G63" s="127">
        <f>'Monthly Data'!CA63</f>
        <v>0</v>
      </c>
      <c r="H63" s="127">
        <f>'Monthly Data'!CC63</f>
        <v>28</v>
      </c>
      <c r="I63" s="127">
        <f>'Monthly Data'!BV63</f>
        <v>0</v>
      </c>
      <c r="J63" s="127">
        <f>'Monthly Data'!BM63</f>
        <v>62</v>
      </c>
      <c r="L63" s="127">
        <f>'Res OLS Model'!$B$5</f>
        <v>-14695221.8516191</v>
      </c>
      <c r="M63" s="127">
        <f ca="1">'Res OLS Model'!$B$6*D63</f>
        <v>14755091.920355735</v>
      </c>
      <c r="N63" s="127">
        <f ca="1">'Res OLS Model'!$B$7*E63</f>
        <v>0</v>
      </c>
      <c r="O63" s="127">
        <f>'Res OLS Model'!$B$8*F63</f>
        <v>0</v>
      </c>
      <c r="P63" s="127">
        <f>'Res OLS Model'!$B$9*G63</f>
        <v>0</v>
      </c>
      <c r="Q63" s="127">
        <f>'Res OLS Model'!$B$10*H63</f>
        <v>50454133.6387816</v>
      </c>
      <c r="R63" s="127">
        <f>'Res OLS Model'!$B$11*I63</f>
        <v>0</v>
      </c>
      <c r="S63" s="127">
        <f>'Res OLS Model'!$B$12*J63</f>
        <v>-790263.44701871427</v>
      </c>
      <c r="T63" s="127">
        <f t="shared" ca="1" si="8"/>
        <v>49723740.260499522</v>
      </c>
    </row>
    <row r="64" spans="1:20">
      <c r="A64" s="128">
        <f>'Monthly Data'!A64</f>
        <v>41699</v>
      </c>
      <c r="B64" s="127">
        <f t="shared" si="7"/>
        <v>2014</v>
      </c>
      <c r="C64" s="127">
        <f ca="1">'Monthly Data'!F64</f>
        <v>51052991.482677959</v>
      </c>
      <c r="D64" s="127">
        <f t="shared" ca="1" si="6"/>
        <v>458.46436090225569</v>
      </c>
      <c r="E64" s="127">
        <f t="shared" ca="1" si="6"/>
        <v>0.45218045112781802</v>
      </c>
      <c r="F64" s="127">
        <f>'Monthly Data'!BZ64</f>
        <v>1</v>
      </c>
      <c r="G64" s="127">
        <f>'Monthly Data'!CA64</f>
        <v>0</v>
      </c>
      <c r="H64" s="127">
        <f>'Monthly Data'!CC64</f>
        <v>31</v>
      </c>
      <c r="I64" s="127">
        <f>'Monthly Data'!BV64</f>
        <v>0</v>
      </c>
      <c r="J64" s="127">
        <f>'Monthly Data'!BM64</f>
        <v>63</v>
      </c>
      <c r="L64" s="127">
        <f>'Res OLS Model'!$B$5</f>
        <v>-14695221.8516191</v>
      </c>
      <c r="M64" s="127">
        <f ca="1">'Res OLS Model'!$B$6*D64</f>
        <v>11068316.567255335</v>
      </c>
      <c r="N64" s="127">
        <f ca="1">'Res OLS Model'!$B$7*E64</f>
        <v>78769.784733003224</v>
      </c>
      <c r="O64" s="127">
        <f>'Res OLS Model'!$B$8*F64</f>
        <v>-4177006.7225933699</v>
      </c>
      <c r="P64" s="127">
        <f>'Res OLS Model'!$B$9*G64</f>
        <v>0</v>
      </c>
      <c r="Q64" s="127">
        <f>'Res OLS Model'!$B$10*H64</f>
        <v>55859933.6715082</v>
      </c>
      <c r="R64" s="127">
        <f>'Res OLS Model'!$B$11*I64</f>
        <v>0</v>
      </c>
      <c r="S64" s="127">
        <f>'Res OLS Model'!$B$12*J64</f>
        <v>-803009.63164804829</v>
      </c>
      <c r="T64" s="127">
        <f t="shared" ca="1" si="8"/>
        <v>47331781.81763602</v>
      </c>
    </row>
    <row r="65" spans="1:20">
      <c r="A65" s="128">
        <f>'Monthly Data'!A65</f>
        <v>41730</v>
      </c>
      <c r="B65" s="127">
        <f t="shared" si="7"/>
        <v>2014</v>
      </c>
      <c r="C65" s="127">
        <f ca="1">'Monthly Data'!F65</f>
        <v>41360165.193640947</v>
      </c>
      <c r="D65" s="127">
        <f t="shared" ca="1" si="6"/>
        <v>254.29052631578941</v>
      </c>
      <c r="E65" s="127">
        <f t="shared" ca="1" si="6"/>
        <v>0.50947368421054762</v>
      </c>
      <c r="F65" s="127">
        <f>'Monthly Data'!BZ65</f>
        <v>1</v>
      </c>
      <c r="G65" s="127">
        <f>'Monthly Data'!CA65</f>
        <v>0</v>
      </c>
      <c r="H65" s="127">
        <f>'Monthly Data'!CC65</f>
        <v>30</v>
      </c>
      <c r="I65" s="127">
        <f>'Monthly Data'!BV65</f>
        <v>0</v>
      </c>
      <c r="J65" s="127">
        <f>'Monthly Data'!BM65</f>
        <v>64</v>
      </c>
      <c r="L65" s="127">
        <f>'Res OLS Model'!$B$5</f>
        <v>-14695221.8516191</v>
      </c>
      <c r="M65" s="127">
        <f ca="1">'Res OLS Model'!$B$6*D65</f>
        <v>6139120.6936523356</v>
      </c>
      <c r="N65" s="127">
        <f ca="1">'Res OLS Model'!$B$7*E65</f>
        <v>88750.259619363816</v>
      </c>
      <c r="O65" s="127">
        <f>'Res OLS Model'!$B$8*F65</f>
        <v>-4177006.7225933699</v>
      </c>
      <c r="P65" s="127">
        <f>'Res OLS Model'!$B$9*G65</f>
        <v>0</v>
      </c>
      <c r="Q65" s="127">
        <f>'Res OLS Model'!$B$10*H65</f>
        <v>54058000.327266</v>
      </c>
      <c r="R65" s="127">
        <f>'Res OLS Model'!$B$11*I65</f>
        <v>0</v>
      </c>
      <c r="S65" s="127">
        <f>'Res OLS Model'!$B$12*J65</f>
        <v>-815755.81627738243</v>
      </c>
      <c r="T65" s="127">
        <f t="shared" ca="1" si="8"/>
        <v>40597886.890047848</v>
      </c>
    </row>
    <row r="66" spans="1:20">
      <c r="A66" s="128">
        <f>'Monthly Data'!A66</f>
        <v>41760</v>
      </c>
      <c r="B66" s="127">
        <f t="shared" si="7"/>
        <v>2014</v>
      </c>
      <c r="C66" s="127">
        <f ca="1">'Monthly Data'!F66</f>
        <v>43158849.921167485</v>
      </c>
      <c r="D66" s="127">
        <f t="shared" ca="1" si="6"/>
        <v>102.64150375939857</v>
      </c>
      <c r="E66" s="127">
        <f t="shared" ca="1" si="6"/>
        <v>56.062781954887214</v>
      </c>
      <c r="F66" s="127">
        <f>'Monthly Data'!BZ66</f>
        <v>1</v>
      </c>
      <c r="G66" s="127">
        <f>'Monthly Data'!CA66</f>
        <v>0</v>
      </c>
      <c r="H66" s="127">
        <f>'Monthly Data'!CC66</f>
        <v>31</v>
      </c>
      <c r="I66" s="127">
        <f>'Monthly Data'!BV66</f>
        <v>0</v>
      </c>
      <c r="J66" s="127">
        <f>'Monthly Data'!BM66</f>
        <v>65</v>
      </c>
      <c r="L66" s="127">
        <f>'Res OLS Model'!$B$5</f>
        <v>-14695221.8516191</v>
      </c>
      <c r="M66" s="127">
        <f ca="1">'Res OLS Model'!$B$6*D66</f>
        <v>2477986.8479032353</v>
      </c>
      <c r="N66" s="127">
        <f ca="1">'Res OLS Model'!$B$7*E66</f>
        <v>9766130.4355492275</v>
      </c>
      <c r="O66" s="127">
        <f>'Res OLS Model'!$B$8*F66</f>
        <v>-4177006.7225933699</v>
      </c>
      <c r="P66" s="127">
        <f>'Res OLS Model'!$B$9*G66</f>
        <v>0</v>
      </c>
      <c r="Q66" s="127">
        <f>'Res OLS Model'!$B$10*H66</f>
        <v>55859933.6715082</v>
      </c>
      <c r="R66" s="127">
        <f>'Res OLS Model'!$B$11*I66</f>
        <v>0</v>
      </c>
      <c r="S66" s="127">
        <f>'Res OLS Model'!$B$12*J66</f>
        <v>-828502.00090671657</v>
      </c>
      <c r="T66" s="127">
        <f t="shared" ca="1" si="8"/>
        <v>48403320.379841477</v>
      </c>
    </row>
    <row r="67" spans="1:20">
      <c r="A67" s="128">
        <f>'Monthly Data'!A67</f>
        <v>41791</v>
      </c>
      <c r="B67" s="127">
        <f t="shared" si="7"/>
        <v>2014</v>
      </c>
      <c r="C67" s="127">
        <f ca="1">'Monthly Data'!F67</f>
        <v>55440642.71470008</v>
      </c>
      <c r="D67" s="127">
        <f t="shared" ref="D67:E82" ca="1" si="9">D55</f>
        <v>0.39669172932326546</v>
      </c>
      <c r="E67" s="127">
        <f t="shared" ca="1" si="9"/>
        <v>116.89315789473682</v>
      </c>
      <c r="F67" s="127">
        <f>'Monthly Data'!BZ67</f>
        <v>0</v>
      </c>
      <c r="G67" s="127">
        <f>'Monthly Data'!CA67</f>
        <v>0</v>
      </c>
      <c r="H67" s="127">
        <f>'Monthly Data'!CC67</f>
        <v>30</v>
      </c>
      <c r="I67" s="127">
        <f>'Monthly Data'!BV67</f>
        <v>0</v>
      </c>
      <c r="J67" s="127">
        <f>'Monthly Data'!BM67</f>
        <v>66</v>
      </c>
      <c r="L67" s="127">
        <f>'Res OLS Model'!$B$5</f>
        <v>-14695221.8516191</v>
      </c>
      <c r="M67" s="127">
        <f ca="1">'Res OLS Model'!$B$6*D67</f>
        <v>9576.9922685396359</v>
      </c>
      <c r="N67" s="127">
        <f ca="1">'Res OLS Model'!$B$7*E67</f>
        <v>20362775.217645679</v>
      </c>
      <c r="O67" s="127">
        <f>'Res OLS Model'!$B$8*F67</f>
        <v>0</v>
      </c>
      <c r="P67" s="127">
        <f>'Res OLS Model'!$B$9*G67</f>
        <v>0</v>
      </c>
      <c r="Q67" s="127">
        <f>'Res OLS Model'!$B$10*H67</f>
        <v>54058000.327266</v>
      </c>
      <c r="R67" s="127">
        <f>'Res OLS Model'!$B$11*I67</f>
        <v>0</v>
      </c>
      <c r="S67" s="127">
        <f>'Res OLS Model'!$B$12*J67</f>
        <v>-841248.18553605059</v>
      </c>
      <c r="T67" s="127">
        <f t="shared" ca="1" si="8"/>
        <v>58893882.500025071</v>
      </c>
    </row>
    <row r="68" spans="1:20">
      <c r="A68" s="128">
        <f>'Monthly Data'!A68</f>
        <v>41821</v>
      </c>
      <c r="B68" s="127">
        <f t="shared" si="7"/>
        <v>2014</v>
      </c>
      <c r="C68" s="127">
        <f ca="1">'Monthly Data'!F68</f>
        <v>61454907.375045419</v>
      </c>
      <c r="D68" s="127">
        <f t="shared" ca="1" si="9"/>
        <v>0.58105263157894704</v>
      </c>
      <c r="E68" s="127">
        <f t="shared" ca="1" si="9"/>
        <v>186.96526315789481</v>
      </c>
      <c r="F68" s="127">
        <f>'Monthly Data'!BZ68</f>
        <v>0</v>
      </c>
      <c r="G68" s="127">
        <f>'Monthly Data'!CA68</f>
        <v>0</v>
      </c>
      <c r="H68" s="127">
        <f>'Monthly Data'!CC68</f>
        <v>31</v>
      </c>
      <c r="I68" s="127">
        <f>'Monthly Data'!BV68</f>
        <v>0</v>
      </c>
      <c r="J68" s="127">
        <f>'Monthly Data'!BM68</f>
        <v>67</v>
      </c>
      <c r="L68" s="127">
        <f>'Res OLS Model'!$B$5</f>
        <v>-14695221.8516191</v>
      </c>
      <c r="M68" s="127">
        <f ca="1">'Res OLS Model'!$B$6*D68</f>
        <v>14027.861306156605</v>
      </c>
      <c r="N68" s="127">
        <f ca="1">'Res OLS Model'!$B$7*E68</f>
        <v>32569328.228950184</v>
      </c>
      <c r="O68" s="127">
        <f>'Res OLS Model'!$B$8*F68</f>
        <v>0</v>
      </c>
      <c r="P68" s="127">
        <f>'Res OLS Model'!$B$9*G68</f>
        <v>0</v>
      </c>
      <c r="Q68" s="127">
        <f>'Res OLS Model'!$B$10*H68</f>
        <v>55859933.6715082</v>
      </c>
      <c r="R68" s="127">
        <f>'Res OLS Model'!$B$11*I68</f>
        <v>0</v>
      </c>
      <c r="S68" s="127">
        <f>'Res OLS Model'!$B$12*J68</f>
        <v>-853994.37016538472</v>
      </c>
      <c r="T68" s="127">
        <f t="shared" ca="1" si="8"/>
        <v>72894073.539980054</v>
      </c>
    </row>
    <row r="69" spans="1:20">
      <c r="A69" s="128">
        <f>'Monthly Data'!A69</f>
        <v>41852</v>
      </c>
      <c r="B69" s="127">
        <f t="shared" si="7"/>
        <v>2014</v>
      </c>
      <c r="C69" s="127">
        <f ca="1">'Monthly Data'!F69</f>
        <v>60080885.539118305</v>
      </c>
      <c r="D69" s="127">
        <f t="shared" ca="1" si="9"/>
        <v>1.6660902255639058</v>
      </c>
      <c r="E69" s="127">
        <f t="shared" ca="1" si="9"/>
        <v>167.43443609022574</v>
      </c>
      <c r="F69" s="127">
        <f>'Monthly Data'!BZ69</f>
        <v>0</v>
      </c>
      <c r="G69" s="127">
        <f>'Monthly Data'!CA69</f>
        <v>0</v>
      </c>
      <c r="H69" s="127">
        <f>'Monthly Data'!CC69</f>
        <v>31</v>
      </c>
      <c r="I69" s="127">
        <f>'Monthly Data'!BV69</f>
        <v>0</v>
      </c>
      <c r="J69" s="127">
        <f>'Monthly Data'!BM69</f>
        <v>68</v>
      </c>
      <c r="L69" s="127">
        <f>'Res OLS Model'!$B$5</f>
        <v>-14695221.8516191</v>
      </c>
      <c r="M69" s="127">
        <f ca="1">'Res OLS Model'!$B$6*D69</f>
        <v>40223.004487981838</v>
      </c>
      <c r="N69" s="127">
        <f ca="1">'Res OLS Model'!$B$7*E69</f>
        <v>29167060.307060447</v>
      </c>
      <c r="O69" s="127">
        <f>'Res OLS Model'!$B$8*F69</f>
        <v>0</v>
      </c>
      <c r="P69" s="127">
        <f>'Res OLS Model'!$B$9*G69</f>
        <v>0</v>
      </c>
      <c r="Q69" s="127">
        <f>'Res OLS Model'!$B$10*H69</f>
        <v>55859933.6715082</v>
      </c>
      <c r="R69" s="127">
        <f>'Res OLS Model'!$B$11*I69</f>
        <v>0</v>
      </c>
      <c r="S69" s="127">
        <f>'Res OLS Model'!$B$12*J69</f>
        <v>-866740.55479471886</v>
      </c>
      <c r="T69" s="127">
        <f t="shared" ca="1" si="8"/>
        <v>69505254.576642811</v>
      </c>
    </row>
    <row r="70" spans="1:20">
      <c r="A70" s="128">
        <f>'Monthly Data'!A70</f>
        <v>41883</v>
      </c>
      <c r="B70" s="127">
        <f t="shared" si="7"/>
        <v>2014</v>
      </c>
      <c r="C70" s="127">
        <f ca="1">'Monthly Data'!F70</f>
        <v>48273397.042750143</v>
      </c>
      <c r="D70" s="127">
        <f t="shared" ca="1" si="9"/>
        <v>30.410827067669118</v>
      </c>
      <c r="E70" s="127">
        <f t="shared" ca="1" si="9"/>
        <v>83.003533834586506</v>
      </c>
      <c r="F70" s="127">
        <f>'Monthly Data'!BZ70</f>
        <v>0</v>
      </c>
      <c r="G70" s="127">
        <f>'Monthly Data'!CA70</f>
        <v>1</v>
      </c>
      <c r="H70" s="127">
        <f>'Monthly Data'!CC70</f>
        <v>30</v>
      </c>
      <c r="I70" s="127">
        <f>'Monthly Data'!BV70</f>
        <v>1</v>
      </c>
      <c r="J70" s="127">
        <f>'Monthly Data'!BM70</f>
        <v>69</v>
      </c>
      <c r="L70" s="127">
        <f>'Res OLS Model'!$B$5</f>
        <v>-14695221.8516191</v>
      </c>
      <c r="M70" s="127">
        <f ca="1">'Res OLS Model'!$B$6*D70</f>
        <v>734182.82807108155</v>
      </c>
      <c r="N70" s="127">
        <f ca="1">'Res OLS Model'!$B$7*E70</f>
        <v>14459206.442741111</v>
      </c>
      <c r="O70" s="127">
        <f>'Res OLS Model'!$B$8*F70</f>
        <v>0</v>
      </c>
      <c r="P70" s="127">
        <f>'Res OLS Model'!$B$9*G70</f>
        <v>-2399238.63510927</v>
      </c>
      <c r="Q70" s="127">
        <f>'Res OLS Model'!$B$10*H70</f>
        <v>54058000.327266</v>
      </c>
      <c r="R70" s="127">
        <f>'Res OLS Model'!$B$11*I70</f>
        <v>2497427.94615121</v>
      </c>
      <c r="S70" s="127">
        <f>'Res OLS Model'!$B$12*J70</f>
        <v>-879486.73942405288</v>
      </c>
      <c r="T70" s="127">
        <f t="shared" ca="1" si="8"/>
        <v>53774870.318076983</v>
      </c>
    </row>
    <row r="71" spans="1:20">
      <c r="A71" s="128">
        <f>'Monthly Data'!A71</f>
        <v>41913</v>
      </c>
      <c r="B71" s="127">
        <f t="shared" si="7"/>
        <v>2014</v>
      </c>
      <c r="C71" s="127">
        <f ca="1">'Monthly Data'!F71</f>
        <v>41793076.89713157</v>
      </c>
      <c r="D71" s="127">
        <f t="shared" ca="1" si="9"/>
        <v>158.93676691729343</v>
      </c>
      <c r="E71" s="127">
        <f t="shared" ca="1" si="9"/>
        <v>16.916090225563948</v>
      </c>
      <c r="F71" s="127">
        <f>'Monthly Data'!BZ71</f>
        <v>0</v>
      </c>
      <c r="G71" s="127">
        <f>'Monthly Data'!CA71</f>
        <v>1</v>
      </c>
      <c r="H71" s="127">
        <f>'Monthly Data'!CC71</f>
        <v>31</v>
      </c>
      <c r="I71" s="127">
        <f>'Monthly Data'!BV71</f>
        <v>0</v>
      </c>
      <c r="J71" s="127">
        <f>'Monthly Data'!BM71</f>
        <v>70</v>
      </c>
      <c r="L71" s="127">
        <f>'Res OLS Model'!$B$5</f>
        <v>-14695221.8516191</v>
      </c>
      <c r="M71" s="127">
        <f ca="1">'Res OLS Model'!$B$6*D71</f>
        <v>3837075.6822943771</v>
      </c>
      <c r="N71" s="127">
        <f ca="1">'Res OLS Model'!$B$7*E71</f>
        <v>2946781.0522730458</v>
      </c>
      <c r="O71" s="127">
        <f>'Res OLS Model'!$B$8*F71</f>
        <v>0</v>
      </c>
      <c r="P71" s="127">
        <f>'Res OLS Model'!$B$9*G71</f>
        <v>-2399238.63510927</v>
      </c>
      <c r="Q71" s="127">
        <f>'Res OLS Model'!$B$10*H71</f>
        <v>55859933.6715082</v>
      </c>
      <c r="R71" s="127">
        <f>'Res OLS Model'!$B$11*I71</f>
        <v>0</v>
      </c>
      <c r="S71" s="127">
        <f>'Res OLS Model'!$B$12*J71</f>
        <v>-892232.92405338702</v>
      </c>
      <c r="T71" s="127">
        <f t="shared" ca="1" si="8"/>
        <v>44657096.995293871</v>
      </c>
    </row>
    <row r="72" spans="1:20">
      <c r="A72" s="128">
        <f>'Monthly Data'!A72</f>
        <v>41944</v>
      </c>
      <c r="B72" s="127">
        <f t="shared" si="7"/>
        <v>2014</v>
      </c>
      <c r="C72" s="127">
        <f ca="1">'Monthly Data'!F72</f>
        <v>46664422.649748906</v>
      </c>
      <c r="D72" s="127">
        <f t="shared" ca="1" si="9"/>
        <v>375.92533834586447</v>
      </c>
      <c r="E72" s="127">
        <f t="shared" ca="1" si="9"/>
        <v>8.120300751879661E-2</v>
      </c>
      <c r="F72" s="127">
        <f>'Monthly Data'!BZ72</f>
        <v>0</v>
      </c>
      <c r="G72" s="127">
        <f>'Monthly Data'!CA72</f>
        <v>1</v>
      </c>
      <c r="H72" s="127">
        <f>'Monthly Data'!CC72</f>
        <v>30</v>
      </c>
      <c r="I72" s="127">
        <f>'Monthly Data'!BV72</f>
        <v>0</v>
      </c>
      <c r="J72" s="127">
        <f>'Monthly Data'!BM72</f>
        <v>71</v>
      </c>
      <c r="L72" s="127">
        <f>'Res OLS Model'!$B$5</f>
        <v>-14695221.8516191</v>
      </c>
      <c r="M72" s="127">
        <f ca="1">'Res OLS Model'!$B$6*D72</f>
        <v>9075646.8883994482</v>
      </c>
      <c r="N72" s="127">
        <f ca="1">'Res OLS Model'!$B$7*E72</f>
        <v>14145.5549570408</v>
      </c>
      <c r="O72" s="127">
        <f>'Res OLS Model'!$B$8*F72</f>
        <v>0</v>
      </c>
      <c r="P72" s="127">
        <f>'Res OLS Model'!$B$9*G72</f>
        <v>-2399238.63510927</v>
      </c>
      <c r="Q72" s="127">
        <f>'Res OLS Model'!$B$10*H72</f>
        <v>54058000.327266</v>
      </c>
      <c r="R72" s="127">
        <f>'Res OLS Model'!$B$11*I72</f>
        <v>0</v>
      </c>
      <c r="S72" s="127">
        <f>'Res OLS Model'!$B$12*J72</f>
        <v>-904979.10868272115</v>
      </c>
      <c r="T72" s="127">
        <f t="shared" ca="1" si="8"/>
        <v>45148353.1752114</v>
      </c>
    </row>
    <row r="73" spans="1:20">
      <c r="A73" s="128">
        <f>'Monthly Data'!A73</f>
        <v>41974</v>
      </c>
      <c r="B73" s="127">
        <f t="shared" si="7"/>
        <v>2014</v>
      </c>
      <c r="C73" s="127">
        <f ca="1">'Monthly Data'!F73</f>
        <v>53245388.227849908</v>
      </c>
      <c r="D73" s="127">
        <f t="shared" ca="1" si="9"/>
        <v>548.76120300751859</v>
      </c>
      <c r="E73" s="127">
        <f t="shared" ca="1" si="9"/>
        <v>0</v>
      </c>
      <c r="F73" s="127">
        <f>'Monthly Data'!BZ73</f>
        <v>0</v>
      </c>
      <c r="G73" s="127">
        <f>'Monthly Data'!CA73</f>
        <v>0</v>
      </c>
      <c r="H73" s="127">
        <f>'Monthly Data'!CC73</f>
        <v>31</v>
      </c>
      <c r="I73" s="127">
        <f>'Monthly Data'!BV73</f>
        <v>0</v>
      </c>
      <c r="J73" s="127">
        <f>'Monthly Data'!BM73</f>
        <v>72</v>
      </c>
      <c r="L73" s="127">
        <f>'Res OLS Model'!$B$5</f>
        <v>-14695221.8516191</v>
      </c>
      <c r="M73" s="127">
        <f ca="1">'Res OLS Model'!$B$6*D73</f>
        <v>13248276.709582731</v>
      </c>
      <c r="N73" s="127">
        <f ca="1">'Res OLS Model'!$B$7*E73</f>
        <v>0</v>
      </c>
      <c r="O73" s="127">
        <f>'Res OLS Model'!$B$8*F73</f>
        <v>0</v>
      </c>
      <c r="P73" s="127">
        <f>'Res OLS Model'!$B$9*G73</f>
        <v>0</v>
      </c>
      <c r="Q73" s="127">
        <f>'Res OLS Model'!$B$10*H73</f>
        <v>55859933.6715082</v>
      </c>
      <c r="R73" s="127">
        <f>'Res OLS Model'!$B$11*I73</f>
        <v>0</v>
      </c>
      <c r="S73" s="127">
        <f>'Res OLS Model'!$B$12*J73</f>
        <v>-917725.29331205529</v>
      </c>
      <c r="T73" s="127">
        <f t="shared" ca="1" si="8"/>
        <v>53495263.236159772</v>
      </c>
    </row>
    <row r="74" spans="1:20">
      <c r="A74" s="128">
        <f>'Monthly Data'!A74</f>
        <v>42005</v>
      </c>
      <c r="B74" s="127">
        <f t="shared" si="7"/>
        <v>2015</v>
      </c>
      <c r="C74" s="127">
        <f ca="1">'Monthly Data'!F74</f>
        <v>55763896.18168027</v>
      </c>
      <c r="D74" s="127">
        <f t="shared" ca="1" si="9"/>
        <v>665.14879699248104</v>
      </c>
      <c r="E74" s="127">
        <f t="shared" ca="1" si="9"/>
        <v>0</v>
      </c>
      <c r="F74" s="127">
        <f>'Monthly Data'!BZ74</f>
        <v>0</v>
      </c>
      <c r="G74" s="127">
        <f>'Monthly Data'!CA74</f>
        <v>0</v>
      </c>
      <c r="H74" s="127">
        <f>'Monthly Data'!CC74</f>
        <v>31</v>
      </c>
      <c r="I74" s="127">
        <f>'Monthly Data'!BV74</f>
        <v>0</v>
      </c>
      <c r="J74" s="127">
        <f>'Monthly Data'!BM74</f>
        <v>73</v>
      </c>
      <c r="L74" s="127">
        <f>'Res OLS Model'!$B$5</f>
        <v>-14695221.8516191</v>
      </c>
      <c r="M74" s="127">
        <f ca="1">'Res OLS Model'!$B$6*D74</f>
        <v>16058123.765505565</v>
      </c>
      <c r="N74" s="127">
        <f ca="1">'Res OLS Model'!$B$7*E74</f>
        <v>0</v>
      </c>
      <c r="O74" s="127">
        <f>'Res OLS Model'!$B$8*F74</f>
        <v>0</v>
      </c>
      <c r="P74" s="127">
        <f>'Res OLS Model'!$B$9*G74</f>
        <v>0</v>
      </c>
      <c r="Q74" s="127">
        <f>'Res OLS Model'!$B$10*H74</f>
        <v>55859933.6715082</v>
      </c>
      <c r="R74" s="127">
        <f>'Res OLS Model'!$B$11*I74</f>
        <v>0</v>
      </c>
      <c r="S74" s="127">
        <f>'Res OLS Model'!$B$12*J74</f>
        <v>-930471.47794138931</v>
      </c>
      <c r="T74" s="127">
        <f t="shared" ca="1" si="8"/>
        <v>56292364.107453279</v>
      </c>
    </row>
    <row r="75" spans="1:20">
      <c r="A75" s="128">
        <f>'Monthly Data'!A75</f>
        <v>42036</v>
      </c>
      <c r="B75" s="127">
        <f t="shared" si="7"/>
        <v>2015</v>
      </c>
      <c r="C75" s="127">
        <f ca="1">'Monthly Data'!F75</f>
        <v>50700386.356609277</v>
      </c>
      <c r="D75" s="127">
        <f t="shared" ca="1" si="9"/>
        <v>611.17548872180487</v>
      </c>
      <c r="E75" s="127">
        <f t="shared" ca="1" si="9"/>
        <v>0</v>
      </c>
      <c r="F75" s="127">
        <f>'Monthly Data'!BZ75</f>
        <v>0</v>
      </c>
      <c r="G75" s="127">
        <f>'Monthly Data'!CA75</f>
        <v>0</v>
      </c>
      <c r="H75" s="127">
        <f>'Monthly Data'!CC75</f>
        <v>28</v>
      </c>
      <c r="I75" s="127">
        <f>'Monthly Data'!BV75</f>
        <v>0</v>
      </c>
      <c r="J75" s="127">
        <f>'Monthly Data'!BM75</f>
        <v>74</v>
      </c>
      <c r="L75" s="127">
        <f>'Res OLS Model'!$B$5</f>
        <v>-14695221.8516191</v>
      </c>
      <c r="M75" s="127">
        <f ca="1">'Res OLS Model'!$B$6*D75</f>
        <v>14755091.920355735</v>
      </c>
      <c r="N75" s="127">
        <f ca="1">'Res OLS Model'!$B$7*E75</f>
        <v>0</v>
      </c>
      <c r="O75" s="127">
        <f>'Res OLS Model'!$B$8*F75</f>
        <v>0</v>
      </c>
      <c r="P75" s="127">
        <f>'Res OLS Model'!$B$9*G75</f>
        <v>0</v>
      </c>
      <c r="Q75" s="127">
        <f>'Res OLS Model'!$B$10*H75</f>
        <v>50454133.6387816</v>
      </c>
      <c r="R75" s="127">
        <f>'Res OLS Model'!$B$11*I75</f>
        <v>0</v>
      </c>
      <c r="S75" s="127">
        <f>'Res OLS Model'!$B$12*J75</f>
        <v>-943217.66257072345</v>
      </c>
      <c r="T75" s="127">
        <f t="shared" ca="1" si="8"/>
        <v>49570786.044947512</v>
      </c>
    </row>
    <row r="76" spans="1:20">
      <c r="A76" s="128">
        <f>'Monthly Data'!A76</f>
        <v>42064</v>
      </c>
      <c r="B76" s="127">
        <f t="shared" si="7"/>
        <v>2015</v>
      </c>
      <c r="C76" s="127">
        <f ca="1">'Monthly Data'!F76</f>
        <v>48601161.77192767</v>
      </c>
      <c r="D76" s="127">
        <f t="shared" ca="1" si="9"/>
        <v>458.46436090225569</v>
      </c>
      <c r="E76" s="127">
        <f t="shared" ca="1" si="9"/>
        <v>0.45218045112781802</v>
      </c>
      <c r="F76" s="127">
        <f>'Monthly Data'!BZ76</f>
        <v>1</v>
      </c>
      <c r="G76" s="127">
        <f>'Monthly Data'!CA76</f>
        <v>0</v>
      </c>
      <c r="H76" s="127">
        <f>'Monthly Data'!CC76</f>
        <v>31</v>
      </c>
      <c r="I76" s="127">
        <f>'Monthly Data'!BV76</f>
        <v>0</v>
      </c>
      <c r="J76" s="127">
        <f>'Monthly Data'!BM76</f>
        <v>75</v>
      </c>
      <c r="L76" s="127">
        <f>'Res OLS Model'!$B$5</f>
        <v>-14695221.8516191</v>
      </c>
      <c r="M76" s="127">
        <f ca="1">'Res OLS Model'!$B$6*D76</f>
        <v>11068316.567255335</v>
      </c>
      <c r="N76" s="127">
        <f ca="1">'Res OLS Model'!$B$7*E76</f>
        <v>78769.784733003224</v>
      </c>
      <c r="O76" s="127">
        <f>'Res OLS Model'!$B$8*F76</f>
        <v>-4177006.7225933699</v>
      </c>
      <c r="P76" s="127">
        <f>'Res OLS Model'!$B$9*G76</f>
        <v>0</v>
      </c>
      <c r="Q76" s="127">
        <f>'Res OLS Model'!$B$10*H76</f>
        <v>55859933.6715082</v>
      </c>
      <c r="R76" s="127">
        <f>'Res OLS Model'!$B$11*I76</f>
        <v>0</v>
      </c>
      <c r="S76" s="127">
        <f>'Res OLS Model'!$B$12*J76</f>
        <v>-955963.84720005759</v>
      </c>
      <c r="T76" s="127">
        <f t="shared" ca="1" si="8"/>
        <v>47178827.602084011</v>
      </c>
    </row>
    <row r="77" spans="1:20">
      <c r="A77" s="128">
        <f>'Monthly Data'!A77</f>
        <v>42095</v>
      </c>
      <c r="B77" s="127">
        <f t="shared" si="7"/>
        <v>2015</v>
      </c>
      <c r="C77" s="127">
        <f ca="1">'Monthly Data'!F77</f>
        <v>40903456.917285234</v>
      </c>
      <c r="D77" s="127">
        <f t="shared" ca="1" si="9"/>
        <v>254.29052631578941</v>
      </c>
      <c r="E77" s="127">
        <f t="shared" ca="1" si="9"/>
        <v>0.50947368421054762</v>
      </c>
      <c r="F77" s="127">
        <f>'Monthly Data'!BZ77</f>
        <v>1</v>
      </c>
      <c r="G77" s="127">
        <f>'Monthly Data'!CA77</f>
        <v>0</v>
      </c>
      <c r="H77" s="127">
        <f>'Monthly Data'!CC77</f>
        <v>30</v>
      </c>
      <c r="I77" s="127">
        <f>'Monthly Data'!BV77</f>
        <v>0</v>
      </c>
      <c r="J77" s="127">
        <f>'Monthly Data'!BM77</f>
        <v>76</v>
      </c>
      <c r="L77" s="127">
        <f>'Res OLS Model'!$B$5</f>
        <v>-14695221.8516191</v>
      </c>
      <c r="M77" s="127">
        <f ca="1">'Res OLS Model'!$B$6*D77</f>
        <v>6139120.6936523356</v>
      </c>
      <c r="N77" s="127">
        <f ca="1">'Res OLS Model'!$B$7*E77</f>
        <v>88750.259619363816</v>
      </c>
      <c r="O77" s="127">
        <f>'Res OLS Model'!$B$8*F77</f>
        <v>-4177006.7225933699</v>
      </c>
      <c r="P77" s="127">
        <f>'Res OLS Model'!$B$9*G77</f>
        <v>0</v>
      </c>
      <c r="Q77" s="127">
        <f>'Res OLS Model'!$B$10*H77</f>
        <v>54058000.327266</v>
      </c>
      <c r="R77" s="127">
        <f>'Res OLS Model'!$B$11*I77</f>
        <v>0</v>
      </c>
      <c r="S77" s="127">
        <f>'Res OLS Model'!$B$12*J77</f>
        <v>-968710.03182939161</v>
      </c>
      <c r="T77" s="127">
        <f t="shared" ca="1" si="8"/>
        <v>40444932.674495839</v>
      </c>
    </row>
    <row r="78" spans="1:20">
      <c r="A78" s="128">
        <f>'Monthly Data'!A78</f>
        <v>42125</v>
      </c>
      <c r="B78" s="127">
        <f t="shared" si="7"/>
        <v>2015</v>
      </c>
      <c r="C78" s="127">
        <f ca="1">'Monthly Data'!F78</f>
        <v>44255377.816204593</v>
      </c>
      <c r="D78" s="127">
        <f t="shared" ca="1" si="9"/>
        <v>102.64150375939857</v>
      </c>
      <c r="E78" s="127">
        <f t="shared" ca="1" si="9"/>
        <v>56.062781954887214</v>
      </c>
      <c r="F78" s="127">
        <f>'Monthly Data'!BZ78</f>
        <v>1</v>
      </c>
      <c r="G78" s="127">
        <f>'Monthly Data'!CA78</f>
        <v>0</v>
      </c>
      <c r="H78" s="127">
        <f>'Monthly Data'!CC78</f>
        <v>31</v>
      </c>
      <c r="I78" s="127">
        <f>'Monthly Data'!BV78</f>
        <v>0</v>
      </c>
      <c r="J78" s="127">
        <f>'Monthly Data'!BM78</f>
        <v>77</v>
      </c>
      <c r="L78" s="127">
        <f>'Res OLS Model'!$B$5</f>
        <v>-14695221.8516191</v>
      </c>
      <c r="M78" s="127">
        <f ca="1">'Res OLS Model'!$B$6*D78</f>
        <v>2477986.8479032353</v>
      </c>
      <c r="N78" s="127">
        <f ca="1">'Res OLS Model'!$B$7*E78</f>
        <v>9766130.4355492275</v>
      </c>
      <c r="O78" s="127">
        <f>'Res OLS Model'!$B$8*F78</f>
        <v>-4177006.7225933699</v>
      </c>
      <c r="P78" s="127">
        <f>'Res OLS Model'!$B$9*G78</f>
        <v>0</v>
      </c>
      <c r="Q78" s="127">
        <f>'Res OLS Model'!$B$10*H78</f>
        <v>55859933.6715082</v>
      </c>
      <c r="R78" s="127">
        <f>'Res OLS Model'!$B$11*I78</f>
        <v>0</v>
      </c>
      <c r="S78" s="127">
        <f>'Res OLS Model'!$B$12*J78</f>
        <v>-981456.21645872574</v>
      </c>
      <c r="T78" s="127">
        <f t="shared" ca="1" si="8"/>
        <v>48250366.164289467</v>
      </c>
    </row>
    <row r="79" spans="1:20">
      <c r="A79" s="128">
        <f>'Monthly Data'!A79</f>
        <v>42156</v>
      </c>
      <c r="B79" s="127">
        <f t="shared" si="7"/>
        <v>2015</v>
      </c>
      <c r="C79" s="127">
        <f ca="1">'Monthly Data'!F79</f>
        <v>52472039.303485408</v>
      </c>
      <c r="D79" s="127">
        <f t="shared" ca="1" si="9"/>
        <v>0.39669172932326546</v>
      </c>
      <c r="E79" s="127">
        <f t="shared" ca="1" si="9"/>
        <v>116.89315789473682</v>
      </c>
      <c r="F79" s="127">
        <f>'Monthly Data'!BZ79</f>
        <v>0</v>
      </c>
      <c r="G79" s="127">
        <f>'Monthly Data'!CA79</f>
        <v>0</v>
      </c>
      <c r="H79" s="127">
        <f>'Monthly Data'!CC79</f>
        <v>30</v>
      </c>
      <c r="I79" s="127">
        <f>'Monthly Data'!BV79</f>
        <v>0</v>
      </c>
      <c r="J79" s="127">
        <f>'Monthly Data'!BM79</f>
        <v>78</v>
      </c>
      <c r="L79" s="127">
        <f>'Res OLS Model'!$B$5</f>
        <v>-14695221.8516191</v>
      </c>
      <c r="M79" s="127">
        <f ca="1">'Res OLS Model'!$B$6*D79</f>
        <v>9576.9922685396359</v>
      </c>
      <c r="N79" s="127">
        <f ca="1">'Res OLS Model'!$B$7*E79</f>
        <v>20362775.217645679</v>
      </c>
      <c r="O79" s="127">
        <f>'Res OLS Model'!$B$8*F79</f>
        <v>0</v>
      </c>
      <c r="P79" s="127">
        <f>'Res OLS Model'!$B$9*G79</f>
        <v>0</v>
      </c>
      <c r="Q79" s="127">
        <f>'Res OLS Model'!$B$10*H79</f>
        <v>54058000.327266</v>
      </c>
      <c r="R79" s="127">
        <f>'Res OLS Model'!$B$11*I79</f>
        <v>0</v>
      </c>
      <c r="S79" s="127">
        <f>'Res OLS Model'!$B$12*J79</f>
        <v>-994202.40108805988</v>
      </c>
      <c r="T79" s="127">
        <f t="shared" ca="1" si="8"/>
        <v>58740928.284473062</v>
      </c>
    </row>
    <row r="80" spans="1:20">
      <c r="A80" s="128">
        <f>'Monthly Data'!A80</f>
        <v>42186</v>
      </c>
      <c r="B80" s="127">
        <f t="shared" si="7"/>
        <v>2015</v>
      </c>
      <c r="C80" s="127">
        <f ca="1">'Monthly Data'!F80</f>
        <v>65255972.638263904</v>
      </c>
      <c r="D80" s="127">
        <f t="shared" ca="1" si="9"/>
        <v>0.58105263157894704</v>
      </c>
      <c r="E80" s="127">
        <f t="shared" ca="1" si="9"/>
        <v>186.96526315789481</v>
      </c>
      <c r="F80" s="127">
        <f>'Monthly Data'!BZ80</f>
        <v>0</v>
      </c>
      <c r="G80" s="127">
        <f>'Monthly Data'!CA80</f>
        <v>0</v>
      </c>
      <c r="H80" s="127">
        <f>'Monthly Data'!CC80</f>
        <v>31</v>
      </c>
      <c r="I80" s="127">
        <f>'Monthly Data'!BV80</f>
        <v>0</v>
      </c>
      <c r="J80" s="127">
        <f>'Monthly Data'!BM80</f>
        <v>79</v>
      </c>
      <c r="L80" s="127">
        <f>'Res OLS Model'!$B$5</f>
        <v>-14695221.8516191</v>
      </c>
      <c r="M80" s="127">
        <f ca="1">'Res OLS Model'!$B$6*D80</f>
        <v>14027.861306156605</v>
      </c>
      <c r="N80" s="127">
        <f ca="1">'Res OLS Model'!$B$7*E80</f>
        <v>32569328.228950184</v>
      </c>
      <c r="O80" s="127">
        <f>'Res OLS Model'!$B$8*F80</f>
        <v>0</v>
      </c>
      <c r="P80" s="127">
        <f>'Res OLS Model'!$B$9*G80</f>
        <v>0</v>
      </c>
      <c r="Q80" s="127">
        <f>'Res OLS Model'!$B$10*H80</f>
        <v>55859933.6715082</v>
      </c>
      <c r="R80" s="127">
        <f>'Res OLS Model'!$B$11*I80</f>
        <v>0</v>
      </c>
      <c r="S80" s="127">
        <f>'Res OLS Model'!$B$12*J80</f>
        <v>-1006948.5857173939</v>
      </c>
      <c r="T80" s="127">
        <f t="shared" ca="1" si="8"/>
        <v>72741119.324428037</v>
      </c>
    </row>
    <row r="81" spans="1:20">
      <c r="A81" s="128">
        <f>'Monthly Data'!A81</f>
        <v>42217</v>
      </c>
      <c r="B81" s="127">
        <f t="shared" si="7"/>
        <v>2015</v>
      </c>
      <c r="C81" s="127">
        <f ca="1">'Monthly Data'!F81</f>
        <v>67807607.144169539</v>
      </c>
      <c r="D81" s="127">
        <f t="shared" ca="1" si="9"/>
        <v>1.6660902255639058</v>
      </c>
      <c r="E81" s="127">
        <f t="shared" ca="1" si="9"/>
        <v>167.43443609022574</v>
      </c>
      <c r="F81" s="127">
        <f>'Monthly Data'!BZ81</f>
        <v>0</v>
      </c>
      <c r="G81" s="127">
        <f>'Monthly Data'!CA81</f>
        <v>0</v>
      </c>
      <c r="H81" s="127">
        <f>'Monthly Data'!CC81</f>
        <v>31</v>
      </c>
      <c r="I81" s="127">
        <f>'Monthly Data'!BV81</f>
        <v>0</v>
      </c>
      <c r="J81" s="127">
        <f>'Monthly Data'!BM81</f>
        <v>80</v>
      </c>
      <c r="L81" s="127">
        <f>'Res OLS Model'!$B$5</f>
        <v>-14695221.8516191</v>
      </c>
      <c r="M81" s="127">
        <f ca="1">'Res OLS Model'!$B$6*D81</f>
        <v>40223.004487981838</v>
      </c>
      <c r="N81" s="127">
        <f ca="1">'Res OLS Model'!$B$7*E81</f>
        <v>29167060.307060447</v>
      </c>
      <c r="O81" s="127">
        <f>'Res OLS Model'!$B$8*F81</f>
        <v>0</v>
      </c>
      <c r="P81" s="127">
        <f>'Res OLS Model'!$B$9*G81</f>
        <v>0</v>
      </c>
      <c r="Q81" s="127">
        <f>'Res OLS Model'!$B$10*H81</f>
        <v>55859933.6715082</v>
      </c>
      <c r="R81" s="127">
        <f>'Res OLS Model'!$B$11*I81</f>
        <v>0</v>
      </c>
      <c r="S81" s="127">
        <f>'Res OLS Model'!$B$12*J81</f>
        <v>-1019694.770346728</v>
      </c>
      <c r="T81" s="127">
        <f t="shared" ca="1" si="8"/>
        <v>69352300.361090794</v>
      </c>
    </row>
    <row r="82" spans="1:20">
      <c r="A82" s="128">
        <f>'Monthly Data'!A82</f>
        <v>42248</v>
      </c>
      <c r="B82" s="127">
        <f t="shared" si="7"/>
        <v>2015</v>
      </c>
      <c r="C82" s="127">
        <f ca="1">'Monthly Data'!F82</f>
        <v>53044043.734858684</v>
      </c>
      <c r="D82" s="127">
        <f t="shared" ca="1" si="9"/>
        <v>30.410827067669118</v>
      </c>
      <c r="E82" s="127">
        <f t="shared" ca="1" si="9"/>
        <v>83.003533834586506</v>
      </c>
      <c r="F82" s="127">
        <f>'Monthly Data'!BZ82</f>
        <v>0</v>
      </c>
      <c r="G82" s="127">
        <f>'Monthly Data'!CA82</f>
        <v>1</v>
      </c>
      <c r="H82" s="127">
        <f>'Monthly Data'!CC82</f>
        <v>30</v>
      </c>
      <c r="I82" s="127">
        <f>'Monthly Data'!BV82</f>
        <v>1</v>
      </c>
      <c r="J82" s="127">
        <f>'Monthly Data'!BM82</f>
        <v>81</v>
      </c>
      <c r="L82" s="127">
        <f>'Res OLS Model'!$B$5</f>
        <v>-14695221.8516191</v>
      </c>
      <c r="M82" s="127">
        <f ca="1">'Res OLS Model'!$B$6*D82</f>
        <v>734182.82807108155</v>
      </c>
      <c r="N82" s="127">
        <f ca="1">'Res OLS Model'!$B$7*E82</f>
        <v>14459206.442741111</v>
      </c>
      <c r="O82" s="127">
        <f>'Res OLS Model'!$B$8*F82</f>
        <v>0</v>
      </c>
      <c r="P82" s="127">
        <f>'Res OLS Model'!$B$9*G82</f>
        <v>-2399238.63510927</v>
      </c>
      <c r="Q82" s="127">
        <f>'Res OLS Model'!$B$10*H82</f>
        <v>54058000.327266</v>
      </c>
      <c r="R82" s="127">
        <f>'Res OLS Model'!$B$11*I82</f>
        <v>2497427.94615121</v>
      </c>
      <c r="S82" s="127">
        <f>'Res OLS Model'!$B$12*J82</f>
        <v>-1032440.9549760622</v>
      </c>
      <c r="T82" s="127">
        <f t="shared" ca="1" si="8"/>
        <v>53621916.102524973</v>
      </c>
    </row>
    <row r="83" spans="1:20">
      <c r="A83" s="128">
        <f>'Monthly Data'!A83</f>
        <v>42278</v>
      </c>
      <c r="B83" s="127">
        <f t="shared" si="7"/>
        <v>2015</v>
      </c>
      <c r="C83" s="127">
        <f ca="1">'Monthly Data'!F83</f>
        <v>41411011.439795353</v>
      </c>
      <c r="D83" s="127">
        <f t="shared" ref="D83:I98" ca="1" si="10">D71</f>
        <v>158.93676691729343</v>
      </c>
      <c r="E83" s="127">
        <f t="shared" ca="1" si="10"/>
        <v>16.916090225563948</v>
      </c>
      <c r="F83" s="127">
        <f>'Monthly Data'!BZ83</f>
        <v>0</v>
      </c>
      <c r="G83" s="127">
        <f>'Monthly Data'!CA83</f>
        <v>1</v>
      </c>
      <c r="H83" s="127">
        <f>'Monthly Data'!CC83</f>
        <v>31</v>
      </c>
      <c r="I83" s="127">
        <f>'Monthly Data'!BV83</f>
        <v>0</v>
      </c>
      <c r="J83" s="127">
        <f>'Monthly Data'!BM83</f>
        <v>82</v>
      </c>
      <c r="L83" s="127">
        <f>'Res OLS Model'!$B$5</f>
        <v>-14695221.8516191</v>
      </c>
      <c r="M83" s="127">
        <f ca="1">'Res OLS Model'!$B$6*D83</f>
        <v>3837075.6822943771</v>
      </c>
      <c r="N83" s="127">
        <f ca="1">'Res OLS Model'!$B$7*E83</f>
        <v>2946781.0522730458</v>
      </c>
      <c r="O83" s="127">
        <f>'Res OLS Model'!$B$8*F83</f>
        <v>0</v>
      </c>
      <c r="P83" s="127">
        <f>'Res OLS Model'!$B$9*G83</f>
        <v>-2399238.63510927</v>
      </c>
      <c r="Q83" s="127">
        <f>'Res OLS Model'!$B$10*H83</f>
        <v>55859933.6715082</v>
      </c>
      <c r="R83" s="127">
        <f>'Res OLS Model'!$B$11*I83</f>
        <v>0</v>
      </c>
      <c r="S83" s="127">
        <f>'Res OLS Model'!$B$12*J83</f>
        <v>-1045187.1396053962</v>
      </c>
      <c r="T83" s="127">
        <f t="shared" ca="1" si="8"/>
        <v>44504142.779741861</v>
      </c>
    </row>
    <row r="84" spans="1:20">
      <c r="A84" s="128">
        <f>'Monthly Data'!A84</f>
        <v>42309</v>
      </c>
      <c r="B84" s="127">
        <f t="shared" si="7"/>
        <v>2015</v>
      </c>
      <c r="C84" s="127">
        <f ca="1">'Monthly Data'!F84</f>
        <v>42304554.515398659</v>
      </c>
      <c r="D84" s="127">
        <f t="shared" ca="1" si="10"/>
        <v>375.92533834586447</v>
      </c>
      <c r="E84" s="127">
        <f t="shared" ca="1" si="10"/>
        <v>8.120300751879661E-2</v>
      </c>
      <c r="F84" s="127">
        <f>'Monthly Data'!BZ84</f>
        <v>0</v>
      </c>
      <c r="G84" s="127">
        <f>'Monthly Data'!CA84</f>
        <v>1</v>
      </c>
      <c r="H84" s="127">
        <f>'Monthly Data'!CC84</f>
        <v>30</v>
      </c>
      <c r="I84" s="127">
        <f>'Monthly Data'!BV84</f>
        <v>0</v>
      </c>
      <c r="J84" s="127">
        <f>'Monthly Data'!BM84</f>
        <v>83</v>
      </c>
      <c r="L84" s="127">
        <f>'Res OLS Model'!$B$5</f>
        <v>-14695221.8516191</v>
      </c>
      <c r="M84" s="127">
        <f ca="1">'Res OLS Model'!$B$6*D84</f>
        <v>9075646.8883994482</v>
      </c>
      <c r="N84" s="127">
        <f ca="1">'Res OLS Model'!$B$7*E84</f>
        <v>14145.5549570408</v>
      </c>
      <c r="O84" s="127">
        <f>'Res OLS Model'!$B$8*F84</f>
        <v>0</v>
      </c>
      <c r="P84" s="127">
        <f>'Res OLS Model'!$B$9*G84</f>
        <v>-2399238.63510927</v>
      </c>
      <c r="Q84" s="127">
        <f>'Res OLS Model'!$B$10*H84</f>
        <v>54058000.327266</v>
      </c>
      <c r="R84" s="127">
        <f>'Res OLS Model'!$B$11*I84</f>
        <v>0</v>
      </c>
      <c r="S84" s="127">
        <f>'Res OLS Model'!$B$12*J84</f>
        <v>-1057933.3242347303</v>
      </c>
      <c r="T84" s="127">
        <f t="shared" ca="1" si="8"/>
        <v>44995398.95965939</v>
      </c>
    </row>
    <row r="85" spans="1:20">
      <c r="A85" s="128">
        <f>'Monthly Data'!A85</f>
        <v>42339</v>
      </c>
      <c r="B85" s="127">
        <f t="shared" si="7"/>
        <v>2015</v>
      </c>
      <c r="C85" s="127">
        <f ca="1">'Monthly Data'!F85</f>
        <v>49135427.22282929</v>
      </c>
      <c r="D85" s="127">
        <f t="shared" ca="1" si="10"/>
        <v>548.76120300751859</v>
      </c>
      <c r="E85" s="127">
        <f t="shared" ca="1" si="10"/>
        <v>0</v>
      </c>
      <c r="F85" s="127">
        <f>'Monthly Data'!BZ85</f>
        <v>0</v>
      </c>
      <c r="G85" s="127">
        <f>'Monthly Data'!CA85</f>
        <v>0</v>
      </c>
      <c r="H85" s="127">
        <f>'Monthly Data'!CC85</f>
        <v>31</v>
      </c>
      <c r="I85" s="127">
        <f>'Monthly Data'!BV85</f>
        <v>0</v>
      </c>
      <c r="J85" s="127">
        <f>'Monthly Data'!BM85</f>
        <v>84</v>
      </c>
      <c r="L85" s="127">
        <f>'Res OLS Model'!$B$5</f>
        <v>-14695221.8516191</v>
      </c>
      <c r="M85" s="127">
        <f ca="1">'Res OLS Model'!$B$6*D85</f>
        <v>13248276.709582731</v>
      </c>
      <c r="N85" s="127">
        <f ca="1">'Res OLS Model'!$B$7*E85</f>
        <v>0</v>
      </c>
      <c r="O85" s="127">
        <f>'Res OLS Model'!$B$8*F85</f>
        <v>0</v>
      </c>
      <c r="P85" s="127">
        <f>'Res OLS Model'!$B$9*G85</f>
        <v>0</v>
      </c>
      <c r="Q85" s="127">
        <f>'Res OLS Model'!$B$10*H85</f>
        <v>55859933.6715082</v>
      </c>
      <c r="R85" s="127">
        <f>'Res OLS Model'!$B$11*I85</f>
        <v>0</v>
      </c>
      <c r="S85" s="127">
        <f>'Res OLS Model'!$B$12*J85</f>
        <v>-1070679.5088640645</v>
      </c>
      <c r="T85" s="127">
        <f t="shared" ca="1" si="8"/>
        <v>53342309.020607762</v>
      </c>
    </row>
    <row r="86" spans="1:20">
      <c r="A86" s="128">
        <f>'Monthly Data'!A86</f>
        <v>42370</v>
      </c>
      <c r="B86" s="127">
        <f t="shared" si="7"/>
        <v>2016</v>
      </c>
      <c r="C86" s="127">
        <f ca="1">'Monthly Data'!F86</f>
        <v>52102836.708981939</v>
      </c>
      <c r="D86" s="127">
        <f t="shared" ca="1" si="10"/>
        <v>665.14879699248104</v>
      </c>
      <c r="E86" s="127">
        <f t="shared" ca="1" si="10"/>
        <v>0</v>
      </c>
      <c r="F86" s="127">
        <f>'Monthly Data'!BZ86</f>
        <v>0</v>
      </c>
      <c r="G86" s="127">
        <f>'Monthly Data'!CA86</f>
        <v>0</v>
      </c>
      <c r="H86" s="127">
        <f>'Monthly Data'!CC86</f>
        <v>31</v>
      </c>
      <c r="I86" s="127">
        <f>'Monthly Data'!BV86</f>
        <v>0</v>
      </c>
      <c r="J86" s="127">
        <f>'Monthly Data'!BM86</f>
        <v>85</v>
      </c>
      <c r="L86" s="127">
        <f>'Res OLS Model'!$B$5</f>
        <v>-14695221.8516191</v>
      </c>
      <c r="M86" s="127">
        <f ca="1">'Res OLS Model'!$B$6*D86</f>
        <v>16058123.765505565</v>
      </c>
      <c r="N86" s="127">
        <f ca="1">'Res OLS Model'!$B$7*E86</f>
        <v>0</v>
      </c>
      <c r="O86" s="127">
        <f>'Res OLS Model'!$B$8*F86</f>
        <v>0</v>
      </c>
      <c r="P86" s="127">
        <f>'Res OLS Model'!$B$9*G86</f>
        <v>0</v>
      </c>
      <c r="Q86" s="127">
        <f>'Res OLS Model'!$B$10*H86</f>
        <v>55859933.6715082</v>
      </c>
      <c r="R86" s="127">
        <f>'Res OLS Model'!$B$11*I86</f>
        <v>0</v>
      </c>
      <c r="S86" s="127">
        <f>'Res OLS Model'!$B$12*J86</f>
        <v>-1083425.6934933986</v>
      </c>
      <c r="T86" s="127">
        <f t="shared" ca="1" si="8"/>
        <v>56139409.89190127</v>
      </c>
    </row>
    <row r="87" spans="1:20">
      <c r="A87" s="128">
        <f>'Monthly Data'!A87</f>
        <v>42401</v>
      </c>
      <c r="B87" s="127">
        <f t="shared" si="7"/>
        <v>2016</v>
      </c>
      <c r="C87" s="127">
        <f ca="1">'Monthly Data'!F87</f>
        <v>46904127.650017522</v>
      </c>
      <c r="D87" s="127">
        <f t="shared" ca="1" si="10"/>
        <v>611.17548872180487</v>
      </c>
      <c r="E87" s="127">
        <f t="shared" ca="1" si="10"/>
        <v>0</v>
      </c>
      <c r="F87" s="127">
        <f>'Monthly Data'!BZ87</f>
        <v>0</v>
      </c>
      <c r="G87" s="127">
        <f>'Monthly Data'!CA87</f>
        <v>0</v>
      </c>
      <c r="H87" s="127">
        <f>'Monthly Data'!CC87</f>
        <v>29</v>
      </c>
      <c r="I87" s="127">
        <f>'Monthly Data'!BV87</f>
        <v>0</v>
      </c>
      <c r="J87" s="127">
        <f>'Monthly Data'!BM87</f>
        <v>86</v>
      </c>
      <c r="L87" s="127">
        <f>'Res OLS Model'!$B$5</f>
        <v>-14695221.8516191</v>
      </c>
      <c r="M87" s="127">
        <f ca="1">'Res OLS Model'!$B$6*D87</f>
        <v>14755091.920355735</v>
      </c>
      <c r="N87" s="127">
        <f ca="1">'Res OLS Model'!$B$7*E87</f>
        <v>0</v>
      </c>
      <c r="O87" s="127">
        <f>'Res OLS Model'!$B$8*F87</f>
        <v>0</v>
      </c>
      <c r="P87" s="127">
        <f>'Res OLS Model'!$B$9*G87</f>
        <v>0</v>
      </c>
      <c r="Q87" s="127">
        <f>'Res OLS Model'!$B$10*H87</f>
        <v>52256066.9830238</v>
      </c>
      <c r="R87" s="127">
        <f>'Res OLS Model'!$B$11*I87</f>
        <v>0</v>
      </c>
      <c r="S87" s="127">
        <f>'Res OLS Model'!$B$12*J87</f>
        <v>-1096171.8781227327</v>
      </c>
      <c r="T87" s="127">
        <f t="shared" ca="1" si="8"/>
        <v>51219765.173637703</v>
      </c>
    </row>
    <row r="88" spans="1:20">
      <c r="A88" s="128">
        <f>'Monthly Data'!A88</f>
        <v>42430</v>
      </c>
      <c r="B88" s="127">
        <f t="shared" si="7"/>
        <v>2016</v>
      </c>
      <c r="C88" s="127">
        <f ca="1">'Monthly Data'!F88</f>
        <v>45175173.087262981</v>
      </c>
      <c r="D88" s="127">
        <f t="shared" ca="1" si="10"/>
        <v>458.46436090225569</v>
      </c>
      <c r="E88" s="127">
        <f t="shared" ca="1" si="10"/>
        <v>0.45218045112781802</v>
      </c>
      <c r="F88" s="127">
        <f>'Monthly Data'!BZ88</f>
        <v>1</v>
      </c>
      <c r="G88" s="127">
        <f>'Monthly Data'!CA88</f>
        <v>0</v>
      </c>
      <c r="H88" s="127">
        <f>'Monthly Data'!CC88</f>
        <v>31</v>
      </c>
      <c r="I88" s="127">
        <f>'Monthly Data'!BV88</f>
        <v>0</v>
      </c>
      <c r="J88" s="127">
        <f>'Monthly Data'!BM88</f>
        <v>87</v>
      </c>
      <c r="L88" s="127">
        <f>'Res OLS Model'!$B$5</f>
        <v>-14695221.8516191</v>
      </c>
      <c r="M88" s="127">
        <f ca="1">'Res OLS Model'!$B$6*D88</f>
        <v>11068316.567255335</v>
      </c>
      <c r="N88" s="127">
        <f ca="1">'Res OLS Model'!$B$7*E88</f>
        <v>78769.784733003224</v>
      </c>
      <c r="O88" s="127">
        <f>'Res OLS Model'!$B$8*F88</f>
        <v>-4177006.7225933699</v>
      </c>
      <c r="P88" s="127">
        <f>'Res OLS Model'!$B$9*G88</f>
        <v>0</v>
      </c>
      <c r="Q88" s="127">
        <f>'Res OLS Model'!$B$10*H88</f>
        <v>55859933.6715082</v>
      </c>
      <c r="R88" s="127">
        <f>'Res OLS Model'!$B$11*I88</f>
        <v>0</v>
      </c>
      <c r="S88" s="127">
        <f>'Res OLS Model'!$B$12*J88</f>
        <v>-1108918.0627520666</v>
      </c>
      <c r="T88" s="127">
        <f t="shared" ca="1" si="8"/>
        <v>47025873.386532001</v>
      </c>
    </row>
    <row r="89" spans="1:20">
      <c r="A89" s="128">
        <f>'Monthly Data'!A89</f>
        <v>42461</v>
      </c>
      <c r="B89" s="127">
        <f t="shared" si="7"/>
        <v>2016</v>
      </c>
      <c r="C89" s="127">
        <f ca="1">'Monthly Data'!F89</f>
        <v>40065253.610994443</v>
      </c>
      <c r="D89" s="127">
        <f t="shared" ca="1" si="10"/>
        <v>254.29052631578941</v>
      </c>
      <c r="E89" s="127">
        <f t="shared" ca="1" si="10"/>
        <v>0.50947368421054762</v>
      </c>
      <c r="F89" s="127">
        <f>'Monthly Data'!BZ89</f>
        <v>1</v>
      </c>
      <c r="G89" s="127">
        <f>'Monthly Data'!CA89</f>
        <v>0</v>
      </c>
      <c r="H89" s="127">
        <f>'Monthly Data'!CC89</f>
        <v>30</v>
      </c>
      <c r="I89" s="127">
        <f>'Monthly Data'!BV89</f>
        <v>0</v>
      </c>
      <c r="J89" s="127">
        <f>'Monthly Data'!BM89</f>
        <v>88</v>
      </c>
      <c r="L89" s="127">
        <f>'Res OLS Model'!$B$5</f>
        <v>-14695221.8516191</v>
      </c>
      <c r="M89" s="127">
        <f ca="1">'Res OLS Model'!$B$6*D89</f>
        <v>6139120.6936523356</v>
      </c>
      <c r="N89" s="127">
        <f ca="1">'Res OLS Model'!$B$7*E89</f>
        <v>88750.259619363816</v>
      </c>
      <c r="O89" s="127">
        <f>'Res OLS Model'!$B$8*F89</f>
        <v>-4177006.7225933699</v>
      </c>
      <c r="P89" s="127">
        <f>'Res OLS Model'!$B$9*G89</f>
        <v>0</v>
      </c>
      <c r="Q89" s="127">
        <f>'Res OLS Model'!$B$10*H89</f>
        <v>54058000.327266</v>
      </c>
      <c r="R89" s="127">
        <f>'Res OLS Model'!$B$11*I89</f>
        <v>0</v>
      </c>
      <c r="S89" s="127">
        <f>'Res OLS Model'!$B$12*J89</f>
        <v>-1121664.2473814008</v>
      </c>
      <c r="T89" s="127">
        <f t="shared" ca="1" si="8"/>
        <v>40291978.458943829</v>
      </c>
    </row>
    <row r="90" spans="1:20">
      <c r="A90" s="128">
        <f>'Monthly Data'!A90</f>
        <v>42491</v>
      </c>
      <c r="B90" s="127">
        <f t="shared" si="7"/>
        <v>2016</v>
      </c>
      <c r="C90" s="127">
        <f ca="1">'Monthly Data'!F90</f>
        <v>45621730.560541235</v>
      </c>
      <c r="D90" s="127">
        <f t="shared" ca="1" si="10"/>
        <v>102.64150375939857</v>
      </c>
      <c r="E90" s="127">
        <f t="shared" ca="1" si="10"/>
        <v>56.062781954887214</v>
      </c>
      <c r="F90" s="127">
        <f>'Monthly Data'!BZ90</f>
        <v>1</v>
      </c>
      <c r="G90" s="127">
        <f>'Monthly Data'!CA90</f>
        <v>0</v>
      </c>
      <c r="H90" s="127">
        <f>'Monthly Data'!CC90</f>
        <v>31</v>
      </c>
      <c r="I90" s="127">
        <f>'Monthly Data'!BV90</f>
        <v>0</v>
      </c>
      <c r="J90" s="127">
        <f>'Monthly Data'!BM90</f>
        <v>89</v>
      </c>
      <c r="L90" s="127">
        <f>'Res OLS Model'!$B$5</f>
        <v>-14695221.8516191</v>
      </c>
      <c r="M90" s="127">
        <f ca="1">'Res OLS Model'!$B$6*D90</f>
        <v>2477986.8479032353</v>
      </c>
      <c r="N90" s="127">
        <f ca="1">'Res OLS Model'!$B$7*E90</f>
        <v>9766130.4355492275</v>
      </c>
      <c r="O90" s="127">
        <f>'Res OLS Model'!$B$8*F90</f>
        <v>-4177006.7225933699</v>
      </c>
      <c r="P90" s="127">
        <f>'Res OLS Model'!$B$9*G90</f>
        <v>0</v>
      </c>
      <c r="Q90" s="127">
        <f>'Res OLS Model'!$B$10*H90</f>
        <v>55859933.6715082</v>
      </c>
      <c r="R90" s="127">
        <f>'Res OLS Model'!$B$11*I90</f>
        <v>0</v>
      </c>
      <c r="S90" s="127">
        <f>'Res OLS Model'!$B$12*J90</f>
        <v>-1134410.4320107349</v>
      </c>
      <c r="T90" s="127">
        <f t="shared" ca="1" si="8"/>
        <v>48097411.948737457</v>
      </c>
    </row>
    <row r="91" spans="1:20">
      <c r="A91" s="128">
        <f>'Monthly Data'!A91</f>
        <v>42522</v>
      </c>
      <c r="B91" s="127">
        <f t="shared" si="7"/>
        <v>2016</v>
      </c>
      <c r="C91" s="127">
        <f ca="1">'Monthly Data'!F91</f>
        <v>62219414.444204442</v>
      </c>
      <c r="D91" s="127">
        <f t="shared" ca="1" si="10"/>
        <v>0.39669172932326546</v>
      </c>
      <c r="E91" s="127">
        <f t="shared" ca="1" si="10"/>
        <v>116.89315789473682</v>
      </c>
      <c r="F91" s="127">
        <f>'Monthly Data'!BZ91</f>
        <v>0</v>
      </c>
      <c r="G91" s="127">
        <f>'Monthly Data'!CA91</f>
        <v>0</v>
      </c>
      <c r="H91" s="127">
        <f>'Monthly Data'!CC91</f>
        <v>30</v>
      </c>
      <c r="I91" s="127">
        <f>'Monthly Data'!BV91</f>
        <v>0</v>
      </c>
      <c r="J91" s="127">
        <f>'Monthly Data'!BM91</f>
        <v>90</v>
      </c>
      <c r="L91" s="127">
        <f>'Res OLS Model'!$B$5</f>
        <v>-14695221.8516191</v>
      </c>
      <c r="M91" s="127">
        <f ca="1">'Res OLS Model'!$B$6*D91</f>
        <v>9576.9922685396359</v>
      </c>
      <c r="N91" s="127">
        <f ca="1">'Res OLS Model'!$B$7*E91</f>
        <v>20362775.217645679</v>
      </c>
      <c r="O91" s="127">
        <f>'Res OLS Model'!$B$8*F91</f>
        <v>0</v>
      </c>
      <c r="P91" s="127">
        <f>'Res OLS Model'!$B$9*G91</f>
        <v>0</v>
      </c>
      <c r="Q91" s="127">
        <f>'Res OLS Model'!$B$10*H91</f>
        <v>54058000.327266</v>
      </c>
      <c r="R91" s="127">
        <f>'Res OLS Model'!$B$11*I91</f>
        <v>0</v>
      </c>
      <c r="S91" s="127">
        <f>'Res OLS Model'!$B$12*J91</f>
        <v>-1147156.6166400691</v>
      </c>
      <c r="T91" s="127">
        <f t="shared" ca="1" si="8"/>
        <v>58587974.068921052</v>
      </c>
    </row>
    <row r="92" spans="1:20">
      <c r="A92" s="128">
        <f>'Monthly Data'!A92</f>
        <v>42552</v>
      </c>
      <c r="B92" s="127">
        <f t="shared" si="7"/>
        <v>2016</v>
      </c>
      <c r="C92" s="127">
        <f ca="1">'Monthly Data'!F92</f>
        <v>78540515.183203891</v>
      </c>
      <c r="D92" s="127">
        <f t="shared" ca="1" si="10"/>
        <v>0.58105263157894704</v>
      </c>
      <c r="E92" s="127">
        <f t="shared" ca="1" si="10"/>
        <v>186.96526315789481</v>
      </c>
      <c r="F92" s="127">
        <f>'Monthly Data'!BZ92</f>
        <v>0</v>
      </c>
      <c r="G92" s="127">
        <f>'Monthly Data'!CA92</f>
        <v>0</v>
      </c>
      <c r="H92" s="127">
        <f>'Monthly Data'!CC92</f>
        <v>31</v>
      </c>
      <c r="I92" s="127">
        <f>'Monthly Data'!BV92</f>
        <v>0</v>
      </c>
      <c r="J92" s="127">
        <f>'Monthly Data'!BM92</f>
        <v>91</v>
      </c>
      <c r="L92" s="127">
        <f>'Res OLS Model'!$B$5</f>
        <v>-14695221.8516191</v>
      </c>
      <c r="M92" s="127">
        <f ca="1">'Res OLS Model'!$B$6*D92</f>
        <v>14027.861306156605</v>
      </c>
      <c r="N92" s="127">
        <f ca="1">'Res OLS Model'!$B$7*E92</f>
        <v>32569328.228950184</v>
      </c>
      <c r="O92" s="127">
        <f>'Res OLS Model'!$B$8*F92</f>
        <v>0</v>
      </c>
      <c r="P92" s="127">
        <f>'Res OLS Model'!$B$9*G92</f>
        <v>0</v>
      </c>
      <c r="Q92" s="127">
        <f>'Res OLS Model'!$B$10*H92</f>
        <v>55859933.6715082</v>
      </c>
      <c r="R92" s="127">
        <f>'Res OLS Model'!$B$11*I92</f>
        <v>0</v>
      </c>
      <c r="S92" s="127">
        <f>'Res OLS Model'!$B$12*J92</f>
        <v>-1159902.8012694032</v>
      </c>
      <c r="T92" s="127">
        <f t="shared" ca="1" si="8"/>
        <v>72588165.108876035</v>
      </c>
    </row>
    <row r="93" spans="1:20">
      <c r="A93" s="128">
        <f>'Monthly Data'!A93</f>
        <v>42583</v>
      </c>
      <c r="B93" s="127">
        <f t="shared" si="7"/>
        <v>2016</v>
      </c>
      <c r="C93" s="127">
        <f ca="1">'Monthly Data'!F93</f>
        <v>76966973.631195873</v>
      </c>
      <c r="D93" s="127">
        <f t="shared" ca="1" si="10"/>
        <v>1.6660902255639058</v>
      </c>
      <c r="E93" s="127">
        <f t="shared" ca="1" si="10"/>
        <v>167.43443609022574</v>
      </c>
      <c r="F93" s="127">
        <f>'Monthly Data'!BZ93</f>
        <v>0</v>
      </c>
      <c r="G93" s="127">
        <f>'Monthly Data'!CA93</f>
        <v>0</v>
      </c>
      <c r="H93" s="127">
        <f>'Monthly Data'!CC93</f>
        <v>31</v>
      </c>
      <c r="I93" s="127">
        <f>'Monthly Data'!BV93</f>
        <v>0</v>
      </c>
      <c r="J93" s="127">
        <f>'Monthly Data'!BM93</f>
        <v>92</v>
      </c>
      <c r="L93" s="127">
        <f>'Res OLS Model'!$B$5</f>
        <v>-14695221.8516191</v>
      </c>
      <c r="M93" s="127">
        <f ca="1">'Res OLS Model'!$B$6*D93</f>
        <v>40223.004487981838</v>
      </c>
      <c r="N93" s="127">
        <f ca="1">'Res OLS Model'!$B$7*E93</f>
        <v>29167060.307060447</v>
      </c>
      <c r="O93" s="127">
        <f>'Res OLS Model'!$B$8*F93</f>
        <v>0</v>
      </c>
      <c r="P93" s="127">
        <f>'Res OLS Model'!$B$9*G93</f>
        <v>0</v>
      </c>
      <c r="Q93" s="127">
        <f>'Res OLS Model'!$B$10*H93</f>
        <v>55859933.6715082</v>
      </c>
      <c r="R93" s="127">
        <f>'Res OLS Model'!$B$11*I93</f>
        <v>0</v>
      </c>
      <c r="S93" s="127">
        <f>'Res OLS Model'!$B$12*J93</f>
        <v>-1172648.9858987373</v>
      </c>
      <c r="T93" s="127">
        <f t="shared" ca="1" si="8"/>
        <v>69199346.145538792</v>
      </c>
    </row>
    <row r="94" spans="1:20">
      <c r="A94" s="128">
        <f>'Monthly Data'!A94</f>
        <v>42614</v>
      </c>
      <c r="B94" s="127">
        <f t="shared" si="7"/>
        <v>2016</v>
      </c>
      <c r="C94" s="127">
        <f ca="1">'Monthly Data'!F94</f>
        <v>56086414.527406082</v>
      </c>
      <c r="D94" s="127">
        <f t="shared" ca="1" si="10"/>
        <v>30.410827067669118</v>
      </c>
      <c r="E94" s="127">
        <f t="shared" ca="1" si="10"/>
        <v>83.003533834586506</v>
      </c>
      <c r="F94" s="127">
        <f>'Monthly Data'!BZ94</f>
        <v>0</v>
      </c>
      <c r="G94" s="127">
        <f>'Monthly Data'!CA94</f>
        <v>1</v>
      </c>
      <c r="H94" s="127">
        <f>'Monthly Data'!CC94</f>
        <v>30</v>
      </c>
      <c r="I94" s="127">
        <f>'Monthly Data'!BV94</f>
        <v>1</v>
      </c>
      <c r="J94" s="127">
        <f>'Monthly Data'!BM94</f>
        <v>93</v>
      </c>
      <c r="L94" s="127">
        <f>'Res OLS Model'!$B$5</f>
        <v>-14695221.8516191</v>
      </c>
      <c r="M94" s="127">
        <f ca="1">'Res OLS Model'!$B$6*D94</f>
        <v>734182.82807108155</v>
      </c>
      <c r="N94" s="127">
        <f ca="1">'Res OLS Model'!$B$7*E94</f>
        <v>14459206.442741111</v>
      </c>
      <c r="O94" s="127">
        <f>'Res OLS Model'!$B$8*F94</f>
        <v>0</v>
      </c>
      <c r="P94" s="127">
        <f>'Res OLS Model'!$B$9*G94</f>
        <v>-2399238.63510927</v>
      </c>
      <c r="Q94" s="127">
        <f>'Res OLS Model'!$B$10*H94</f>
        <v>54058000.327266</v>
      </c>
      <c r="R94" s="127">
        <f>'Res OLS Model'!$B$11*I94</f>
        <v>2497427.94615121</v>
      </c>
      <c r="S94" s="127">
        <f>'Res OLS Model'!$B$12*J94</f>
        <v>-1185395.1705280712</v>
      </c>
      <c r="T94" s="127">
        <f t="shared" ca="1" si="8"/>
        <v>53468961.886972964</v>
      </c>
    </row>
    <row r="95" spans="1:20">
      <c r="A95" s="128">
        <f>'Monthly Data'!A95</f>
        <v>42644</v>
      </c>
      <c r="B95" s="127">
        <f t="shared" si="7"/>
        <v>2016</v>
      </c>
      <c r="C95" s="127">
        <f ca="1">'Monthly Data'!F95</f>
        <v>42624018.777550466</v>
      </c>
      <c r="D95" s="127">
        <f t="shared" ca="1" si="10"/>
        <v>158.93676691729343</v>
      </c>
      <c r="E95" s="127">
        <f t="shared" ca="1" si="10"/>
        <v>16.916090225563948</v>
      </c>
      <c r="F95" s="127">
        <f>'Monthly Data'!BZ95</f>
        <v>0</v>
      </c>
      <c r="G95" s="127">
        <f>'Monthly Data'!CA95</f>
        <v>1</v>
      </c>
      <c r="H95" s="127">
        <f>'Monthly Data'!CC95</f>
        <v>31</v>
      </c>
      <c r="I95" s="127">
        <f>'Monthly Data'!BV95</f>
        <v>0</v>
      </c>
      <c r="J95" s="127">
        <f>'Monthly Data'!BM95</f>
        <v>94</v>
      </c>
      <c r="L95" s="127">
        <f>'Res OLS Model'!$B$5</f>
        <v>-14695221.8516191</v>
      </c>
      <c r="M95" s="127">
        <f ca="1">'Res OLS Model'!$B$6*D95</f>
        <v>3837075.6822943771</v>
      </c>
      <c r="N95" s="127">
        <f ca="1">'Res OLS Model'!$B$7*E95</f>
        <v>2946781.0522730458</v>
      </c>
      <c r="O95" s="127">
        <f>'Res OLS Model'!$B$8*F95</f>
        <v>0</v>
      </c>
      <c r="P95" s="127">
        <f>'Res OLS Model'!$B$9*G95</f>
        <v>-2399238.63510927</v>
      </c>
      <c r="Q95" s="127">
        <f>'Res OLS Model'!$B$10*H95</f>
        <v>55859933.6715082</v>
      </c>
      <c r="R95" s="127">
        <f>'Res OLS Model'!$B$11*I95</f>
        <v>0</v>
      </c>
      <c r="S95" s="127">
        <f>'Res OLS Model'!$B$12*J95</f>
        <v>-1198141.3551574054</v>
      </c>
      <c r="T95" s="127">
        <f t="shared" ca="1" si="8"/>
        <v>44351188.564189851</v>
      </c>
    </row>
    <row r="96" spans="1:20">
      <c r="A96" s="128">
        <f>'Monthly Data'!A96</f>
        <v>42675</v>
      </c>
      <c r="B96" s="127">
        <f t="shared" si="7"/>
        <v>2016</v>
      </c>
      <c r="C96" s="127">
        <f ca="1">'Monthly Data'!F96</f>
        <v>42697547.749490358</v>
      </c>
      <c r="D96" s="127">
        <f t="shared" ca="1" si="10"/>
        <v>375.92533834586447</v>
      </c>
      <c r="E96" s="127">
        <f t="shared" ca="1" si="10"/>
        <v>8.120300751879661E-2</v>
      </c>
      <c r="F96" s="127">
        <f>'Monthly Data'!BZ96</f>
        <v>0</v>
      </c>
      <c r="G96" s="127">
        <f>'Monthly Data'!CA96</f>
        <v>1</v>
      </c>
      <c r="H96" s="127">
        <f>'Monthly Data'!CC96</f>
        <v>30</v>
      </c>
      <c r="I96" s="127">
        <f>'Monthly Data'!BV96</f>
        <v>0</v>
      </c>
      <c r="J96" s="127">
        <f>'Monthly Data'!BM96</f>
        <v>95</v>
      </c>
      <c r="L96" s="127">
        <f>'Res OLS Model'!$B$5</f>
        <v>-14695221.8516191</v>
      </c>
      <c r="M96" s="127">
        <f ca="1">'Res OLS Model'!$B$6*D96</f>
        <v>9075646.8883994482</v>
      </c>
      <c r="N96" s="127">
        <f ca="1">'Res OLS Model'!$B$7*E96</f>
        <v>14145.5549570408</v>
      </c>
      <c r="O96" s="127">
        <f>'Res OLS Model'!$B$8*F96</f>
        <v>0</v>
      </c>
      <c r="P96" s="127">
        <f>'Res OLS Model'!$B$9*G96</f>
        <v>-2399238.63510927</v>
      </c>
      <c r="Q96" s="127">
        <f>'Res OLS Model'!$B$10*H96</f>
        <v>54058000.327266</v>
      </c>
      <c r="R96" s="127">
        <f>'Res OLS Model'!$B$11*I96</f>
        <v>0</v>
      </c>
      <c r="S96" s="127">
        <f>'Res OLS Model'!$B$12*J96</f>
        <v>-1210887.5397867395</v>
      </c>
      <c r="T96" s="127">
        <f t="shared" ca="1" si="8"/>
        <v>44842444.744107381</v>
      </c>
    </row>
    <row r="97" spans="1:20">
      <c r="A97" s="128">
        <f>'Monthly Data'!A97</f>
        <v>42705</v>
      </c>
      <c r="B97" s="127">
        <f t="shared" si="7"/>
        <v>2016</v>
      </c>
      <c r="C97" s="127">
        <f ca="1">'Monthly Data'!F97</f>
        <v>51929745.792119883</v>
      </c>
      <c r="D97" s="127">
        <f t="shared" ca="1" si="10"/>
        <v>548.76120300751859</v>
      </c>
      <c r="E97" s="127">
        <f t="shared" ca="1" si="10"/>
        <v>0</v>
      </c>
      <c r="F97" s="127">
        <f>'Monthly Data'!BZ97</f>
        <v>0</v>
      </c>
      <c r="G97" s="127">
        <f>'Monthly Data'!CA97</f>
        <v>0</v>
      </c>
      <c r="H97" s="127">
        <f>'Monthly Data'!CC97</f>
        <v>31</v>
      </c>
      <c r="I97" s="127">
        <f>'Monthly Data'!BV97</f>
        <v>0</v>
      </c>
      <c r="J97" s="127">
        <f>'Monthly Data'!BM97</f>
        <v>96</v>
      </c>
      <c r="L97" s="127">
        <f>'Res OLS Model'!$B$5</f>
        <v>-14695221.8516191</v>
      </c>
      <c r="M97" s="127">
        <f ca="1">'Res OLS Model'!$B$6*D97</f>
        <v>13248276.709582731</v>
      </c>
      <c r="N97" s="127">
        <f ca="1">'Res OLS Model'!$B$7*E97</f>
        <v>0</v>
      </c>
      <c r="O97" s="127">
        <f>'Res OLS Model'!$B$8*F97</f>
        <v>0</v>
      </c>
      <c r="P97" s="127">
        <f>'Res OLS Model'!$B$9*G97</f>
        <v>0</v>
      </c>
      <c r="Q97" s="127">
        <f>'Res OLS Model'!$B$10*H97</f>
        <v>55859933.6715082</v>
      </c>
      <c r="R97" s="127">
        <f>'Res OLS Model'!$B$11*I97</f>
        <v>0</v>
      </c>
      <c r="S97" s="127">
        <f>'Res OLS Model'!$B$12*J97</f>
        <v>-1223633.7244160736</v>
      </c>
      <c r="T97" s="127">
        <f t="shared" ca="1" si="8"/>
        <v>53189354.805055752</v>
      </c>
    </row>
    <row r="98" spans="1:20">
      <c r="A98" s="128">
        <v>42736</v>
      </c>
      <c r="B98" s="127">
        <f t="shared" si="7"/>
        <v>2017</v>
      </c>
      <c r="C98" s="127">
        <f ca="1">'Monthly Data'!F98</f>
        <v>52235221.996710055</v>
      </c>
      <c r="D98" s="127">
        <f t="shared" ca="1" si="10"/>
        <v>665.14879699248104</v>
      </c>
      <c r="E98" s="127">
        <f t="shared" ca="1" si="10"/>
        <v>0</v>
      </c>
      <c r="F98" s="127">
        <f t="shared" si="10"/>
        <v>0</v>
      </c>
      <c r="G98" s="127">
        <f t="shared" si="10"/>
        <v>0</v>
      </c>
      <c r="H98" s="127">
        <f>H50</f>
        <v>31</v>
      </c>
      <c r="I98" s="127">
        <f t="shared" si="10"/>
        <v>0</v>
      </c>
      <c r="J98" s="127">
        <f>J97+1</f>
        <v>97</v>
      </c>
      <c r="L98" s="127">
        <f>'Res OLS Model'!$B$5</f>
        <v>-14695221.8516191</v>
      </c>
      <c r="M98" s="127">
        <f ca="1">'Res OLS Model'!$B$6*D98</f>
        <v>16058123.765505565</v>
      </c>
      <c r="N98" s="127">
        <f ca="1">'Res OLS Model'!$B$7*E98</f>
        <v>0</v>
      </c>
      <c r="O98" s="127">
        <f>'Res OLS Model'!$B$8*F98</f>
        <v>0</v>
      </c>
      <c r="P98" s="127">
        <f>'Res OLS Model'!$B$9*G98</f>
        <v>0</v>
      </c>
      <c r="Q98" s="127">
        <f>'Res OLS Model'!$B$10*H98</f>
        <v>55859933.6715082</v>
      </c>
      <c r="R98" s="127">
        <f>'Res OLS Model'!$B$11*I98</f>
        <v>0</v>
      </c>
      <c r="S98" s="127">
        <f>'Res OLS Model'!$B$12*J98</f>
        <v>-1236379.9090454078</v>
      </c>
      <c r="T98" s="127">
        <f t="shared" ca="1" si="8"/>
        <v>55986455.67634926</v>
      </c>
    </row>
    <row r="99" spans="1:20">
      <c r="A99" s="128">
        <v>42767</v>
      </c>
      <c r="B99" s="127">
        <f t="shared" si="7"/>
        <v>2017</v>
      </c>
      <c r="C99" s="127">
        <f ca="1">'Monthly Data'!F99</f>
        <v>43740261.306710057</v>
      </c>
      <c r="D99" s="127">
        <f t="shared" ref="D99:I109" ca="1" si="11">D87</f>
        <v>611.17548872180487</v>
      </c>
      <c r="E99" s="127">
        <f t="shared" ca="1" si="11"/>
        <v>0</v>
      </c>
      <c r="F99" s="127">
        <f t="shared" si="11"/>
        <v>0</v>
      </c>
      <c r="G99" s="127">
        <f t="shared" si="11"/>
        <v>0</v>
      </c>
      <c r="H99" s="127">
        <f t="shared" ref="H99:H145" si="12">H51</f>
        <v>28</v>
      </c>
      <c r="I99" s="127">
        <f t="shared" si="11"/>
        <v>0</v>
      </c>
      <c r="J99" s="127">
        <f t="shared" ref="J99:J145" si="13">J98+1</f>
        <v>98</v>
      </c>
      <c r="L99" s="127">
        <f>'Res OLS Model'!$B$5</f>
        <v>-14695221.8516191</v>
      </c>
      <c r="M99" s="127">
        <f ca="1">'Res OLS Model'!$B$6*D99</f>
        <v>14755091.920355735</v>
      </c>
      <c r="N99" s="127">
        <f ca="1">'Res OLS Model'!$B$7*E99</f>
        <v>0</v>
      </c>
      <c r="O99" s="127">
        <f>'Res OLS Model'!$B$8*F99</f>
        <v>0</v>
      </c>
      <c r="P99" s="127">
        <f>'Res OLS Model'!$B$9*G99</f>
        <v>0</v>
      </c>
      <c r="Q99" s="127">
        <f>'Res OLS Model'!$B$10*H99</f>
        <v>50454133.6387816</v>
      </c>
      <c r="R99" s="127">
        <f>'Res OLS Model'!$B$11*I99</f>
        <v>0</v>
      </c>
      <c r="S99" s="127">
        <f>'Res OLS Model'!$B$12*J99</f>
        <v>-1249126.0936747419</v>
      </c>
      <c r="T99" s="127">
        <f t="shared" ca="1" si="8"/>
        <v>49264877.613843493</v>
      </c>
    </row>
    <row r="100" spans="1:20">
      <c r="A100" s="128">
        <v>42795</v>
      </c>
      <c r="B100" s="127">
        <f t="shared" si="7"/>
        <v>2017</v>
      </c>
      <c r="C100" s="127">
        <f ca="1">'Monthly Data'!F100</f>
        <v>45837850.07671006</v>
      </c>
      <c r="D100" s="127">
        <f t="shared" ca="1" si="11"/>
        <v>458.46436090225569</v>
      </c>
      <c r="E100" s="127">
        <f t="shared" ca="1" si="11"/>
        <v>0.45218045112781802</v>
      </c>
      <c r="F100" s="127">
        <f t="shared" si="11"/>
        <v>1</v>
      </c>
      <c r="G100" s="127">
        <f t="shared" si="11"/>
        <v>0</v>
      </c>
      <c r="H100" s="127">
        <f t="shared" si="12"/>
        <v>31</v>
      </c>
      <c r="I100" s="127">
        <f t="shared" si="11"/>
        <v>0</v>
      </c>
      <c r="J100" s="127">
        <f t="shared" si="13"/>
        <v>99</v>
      </c>
      <c r="L100" s="127">
        <f>'Res OLS Model'!$B$5</f>
        <v>-14695221.8516191</v>
      </c>
      <c r="M100" s="127">
        <f ca="1">'Res OLS Model'!$B$6*D100</f>
        <v>11068316.567255335</v>
      </c>
      <c r="N100" s="127">
        <f ca="1">'Res OLS Model'!$B$7*E100</f>
        <v>78769.784733003224</v>
      </c>
      <c r="O100" s="127">
        <f>'Res OLS Model'!$B$8*F100</f>
        <v>-4177006.7225933699</v>
      </c>
      <c r="P100" s="127">
        <f>'Res OLS Model'!$B$9*G100</f>
        <v>0</v>
      </c>
      <c r="Q100" s="127">
        <f>'Res OLS Model'!$B$10*H100</f>
        <v>55859933.6715082</v>
      </c>
      <c r="R100" s="127">
        <f>'Res OLS Model'!$B$11*I100</f>
        <v>0</v>
      </c>
      <c r="S100" s="127">
        <f>'Res OLS Model'!$B$12*J100</f>
        <v>-1261872.2783040761</v>
      </c>
      <c r="T100" s="127">
        <f t="shared" ca="1" si="8"/>
        <v>46872919.170979992</v>
      </c>
    </row>
    <row r="101" spans="1:20">
      <c r="A101" s="128">
        <v>42826</v>
      </c>
      <c r="B101" s="127">
        <f t="shared" si="7"/>
        <v>2017</v>
      </c>
      <c r="C101" s="127">
        <f ca="1">'Monthly Data'!F101</f>
        <v>39739104.176710062</v>
      </c>
      <c r="D101" s="127">
        <f t="shared" ca="1" si="11"/>
        <v>254.29052631578941</v>
      </c>
      <c r="E101" s="127">
        <f t="shared" ca="1" si="11"/>
        <v>0.50947368421054762</v>
      </c>
      <c r="F101" s="127">
        <f t="shared" si="11"/>
        <v>1</v>
      </c>
      <c r="G101" s="127">
        <f t="shared" si="11"/>
        <v>0</v>
      </c>
      <c r="H101" s="127">
        <f t="shared" si="12"/>
        <v>30</v>
      </c>
      <c r="I101" s="127">
        <f t="shared" si="11"/>
        <v>0</v>
      </c>
      <c r="J101" s="127">
        <f t="shared" si="13"/>
        <v>100</v>
      </c>
      <c r="L101" s="127">
        <f>'Res OLS Model'!$B$5</f>
        <v>-14695221.8516191</v>
      </c>
      <c r="M101" s="127">
        <f ca="1">'Res OLS Model'!$B$6*D101</f>
        <v>6139120.6936523356</v>
      </c>
      <c r="N101" s="127">
        <f ca="1">'Res OLS Model'!$B$7*E101</f>
        <v>88750.259619363816</v>
      </c>
      <c r="O101" s="127">
        <f>'Res OLS Model'!$B$8*F101</f>
        <v>-4177006.7225933699</v>
      </c>
      <c r="P101" s="127">
        <f>'Res OLS Model'!$B$9*G101</f>
        <v>0</v>
      </c>
      <c r="Q101" s="127">
        <f>'Res OLS Model'!$B$10*H101</f>
        <v>54058000.327266</v>
      </c>
      <c r="R101" s="127">
        <f>'Res OLS Model'!$B$11*I101</f>
        <v>0</v>
      </c>
      <c r="S101" s="127">
        <f>'Res OLS Model'!$B$12*J101</f>
        <v>-1274618.46293341</v>
      </c>
      <c r="T101" s="127">
        <f t="shared" ca="1" si="8"/>
        <v>40139024.243391827</v>
      </c>
    </row>
    <row r="102" spans="1:20">
      <c r="A102" s="128">
        <v>42856</v>
      </c>
      <c r="B102" s="127">
        <f t="shared" si="7"/>
        <v>2017</v>
      </c>
      <c r="C102" s="127">
        <f ca="1">'Monthly Data'!F102</f>
        <v>43383845.156710058</v>
      </c>
      <c r="D102" s="127">
        <f t="shared" ca="1" si="11"/>
        <v>102.64150375939857</v>
      </c>
      <c r="E102" s="127">
        <f t="shared" ca="1" si="11"/>
        <v>56.062781954887214</v>
      </c>
      <c r="F102" s="127">
        <f t="shared" si="11"/>
        <v>1</v>
      </c>
      <c r="G102" s="127">
        <f t="shared" si="11"/>
        <v>0</v>
      </c>
      <c r="H102" s="127">
        <f t="shared" si="12"/>
        <v>31</v>
      </c>
      <c r="I102" s="127">
        <f t="shared" si="11"/>
        <v>0</v>
      </c>
      <c r="J102" s="127">
        <f t="shared" si="13"/>
        <v>101</v>
      </c>
      <c r="L102" s="127">
        <f>'Res OLS Model'!$B$5</f>
        <v>-14695221.8516191</v>
      </c>
      <c r="M102" s="127">
        <f ca="1">'Res OLS Model'!$B$6*D102</f>
        <v>2477986.8479032353</v>
      </c>
      <c r="N102" s="127">
        <f ca="1">'Res OLS Model'!$B$7*E102</f>
        <v>9766130.4355492275</v>
      </c>
      <c r="O102" s="127">
        <f>'Res OLS Model'!$B$8*F102</f>
        <v>-4177006.7225933699</v>
      </c>
      <c r="P102" s="127">
        <f>'Res OLS Model'!$B$9*G102</f>
        <v>0</v>
      </c>
      <c r="Q102" s="127">
        <f>'Res OLS Model'!$B$10*H102</f>
        <v>55859933.6715082</v>
      </c>
      <c r="R102" s="127">
        <f>'Res OLS Model'!$B$11*I102</f>
        <v>0</v>
      </c>
      <c r="S102" s="127">
        <f>'Res OLS Model'!$B$12*J102</f>
        <v>-1287364.6475627441</v>
      </c>
      <c r="T102" s="127">
        <f t="shared" ca="1" si="8"/>
        <v>47944457.733185448</v>
      </c>
    </row>
    <row r="103" spans="1:20">
      <c r="A103" s="128">
        <v>42887</v>
      </c>
      <c r="B103" s="127">
        <f t="shared" si="7"/>
        <v>2017</v>
      </c>
      <c r="C103" s="127">
        <f ca="1">'Monthly Data'!F103</f>
        <v>58319622.406710058</v>
      </c>
      <c r="D103" s="127">
        <f t="shared" ca="1" si="11"/>
        <v>0.39669172932326546</v>
      </c>
      <c r="E103" s="127">
        <f t="shared" ca="1" si="11"/>
        <v>116.89315789473682</v>
      </c>
      <c r="F103" s="127">
        <f t="shared" si="11"/>
        <v>0</v>
      </c>
      <c r="G103" s="127">
        <f t="shared" si="11"/>
        <v>0</v>
      </c>
      <c r="H103" s="127">
        <f t="shared" si="12"/>
        <v>30</v>
      </c>
      <c r="I103" s="127">
        <f t="shared" si="11"/>
        <v>0</v>
      </c>
      <c r="J103" s="127">
        <f t="shared" si="13"/>
        <v>102</v>
      </c>
      <c r="L103" s="127">
        <f>'Res OLS Model'!$B$5</f>
        <v>-14695221.8516191</v>
      </c>
      <c r="M103" s="127">
        <f ca="1">'Res OLS Model'!$B$6*D103</f>
        <v>9576.9922685396359</v>
      </c>
      <c r="N103" s="127">
        <f ca="1">'Res OLS Model'!$B$7*E103</f>
        <v>20362775.217645679</v>
      </c>
      <c r="O103" s="127">
        <f>'Res OLS Model'!$B$8*F103</f>
        <v>0</v>
      </c>
      <c r="P103" s="127">
        <f>'Res OLS Model'!$B$9*G103</f>
        <v>0</v>
      </c>
      <c r="Q103" s="127">
        <f>'Res OLS Model'!$B$10*H103</f>
        <v>54058000.327266</v>
      </c>
      <c r="R103" s="127">
        <f>'Res OLS Model'!$B$11*I103</f>
        <v>0</v>
      </c>
      <c r="S103" s="127">
        <f>'Res OLS Model'!$B$12*J103</f>
        <v>-1300110.8321920782</v>
      </c>
      <c r="T103" s="127">
        <f t="shared" ca="1" si="8"/>
        <v>58435019.853369042</v>
      </c>
    </row>
    <row r="104" spans="1:20">
      <c r="A104" s="128">
        <v>42917</v>
      </c>
      <c r="B104" s="127">
        <f t="shared" si="7"/>
        <v>2017</v>
      </c>
      <c r="C104" s="127">
        <f ca="1">'Monthly Data'!F104</f>
        <v>70157146.256710052</v>
      </c>
      <c r="D104" s="127">
        <f t="shared" ca="1" si="11"/>
        <v>0.58105263157894704</v>
      </c>
      <c r="E104" s="127">
        <f t="shared" ca="1" si="11"/>
        <v>186.96526315789481</v>
      </c>
      <c r="F104" s="127">
        <f t="shared" si="11"/>
        <v>0</v>
      </c>
      <c r="G104" s="127">
        <f t="shared" si="11"/>
        <v>0</v>
      </c>
      <c r="H104" s="127">
        <f t="shared" si="12"/>
        <v>31</v>
      </c>
      <c r="I104" s="127">
        <f t="shared" si="11"/>
        <v>0</v>
      </c>
      <c r="J104" s="127">
        <f t="shared" si="13"/>
        <v>103</v>
      </c>
      <c r="L104" s="127">
        <f>'Res OLS Model'!$B$5</f>
        <v>-14695221.8516191</v>
      </c>
      <c r="M104" s="127">
        <f ca="1">'Res OLS Model'!$B$6*D104</f>
        <v>14027.861306156605</v>
      </c>
      <c r="N104" s="127">
        <f ca="1">'Res OLS Model'!$B$7*E104</f>
        <v>32569328.228950184</v>
      </c>
      <c r="O104" s="127">
        <f>'Res OLS Model'!$B$8*F104</f>
        <v>0</v>
      </c>
      <c r="P104" s="127">
        <f>'Res OLS Model'!$B$9*G104</f>
        <v>0</v>
      </c>
      <c r="Q104" s="127">
        <f>'Res OLS Model'!$B$10*H104</f>
        <v>55859933.6715082</v>
      </c>
      <c r="R104" s="127">
        <f>'Res OLS Model'!$B$11*I104</f>
        <v>0</v>
      </c>
      <c r="S104" s="127">
        <f>'Res OLS Model'!$B$12*J104</f>
        <v>-1312857.0168214124</v>
      </c>
      <c r="T104" s="127">
        <f t="shared" ca="1" si="8"/>
        <v>72435210.893324018</v>
      </c>
    </row>
    <row r="105" spans="1:20">
      <c r="A105" s="128">
        <v>42948</v>
      </c>
      <c r="B105" s="127">
        <f t="shared" si="7"/>
        <v>2017</v>
      </c>
      <c r="C105" s="127">
        <f ca="1">'Monthly Data'!F105</f>
        <v>62635034.536710061</v>
      </c>
      <c r="D105" s="127">
        <f t="shared" ca="1" si="11"/>
        <v>1.6660902255639058</v>
      </c>
      <c r="E105" s="127">
        <f t="shared" ca="1" si="11"/>
        <v>167.43443609022574</v>
      </c>
      <c r="F105" s="127">
        <f t="shared" si="11"/>
        <v>0</v>
      </c>
      <c r="G105" s="127">
        <f t="shared" si="11"/>
        <v>0</v>
      </c>
      <c r="H105" s="127">
        <f t="shared" si="12"/>
        <v>31</v>
      </c>
      <c r="I105" s="127">
        <f t="shared" si="11"/>
        <v>0</v>
      </c>
      <c r="J105" s="127">
        <f t="shared" si="13"/>
        <v>104</v>
      </c>
      <c r="L105" s="127">
        <f>'Res OLS Model'!$B$5</f>
        <v>-14695221.8516191</v>
      </c>
      <c r="M105" s="127">
        <f ca="1">'Res OLS Model'!$B$6*D105</f>
        <v>40223.004487981838</v>
      </c>
      <c r="N105" s="127">
        <f ca="1">'Res OLS Model'!$B$7*E105</f>
        <v>29167060.307060447</v>
      </c>
      <c r="O105" s="127">
        <f>'Res OLS Model'!$B$8*F105</f>
        <v>0</v>
      </c>
      <c r="P105" s="127">
        <f>'Res OLS Model'!$B$9*G105</f>
        <v>0</v>
      </c>
      <c r="Q105" s="127">
        <f>'Res OLS Model'!$B$10*H105</f>
        <v>55859933.6715082</v>
      </c>
      <c r="R105" s="127">
        <f>'Res OLS Model'!$B$11*I105</f>
        <v>0</v>
      </c>
      <c r="S105" s="127">
        <f>'Res OLS Model'!$B$12*J105</f>
        <v>-1325603.2014507465</v>
      </c>
      <c r="T105" s="127">
        <f t="shared" ca="1" si="8"/>
        <v>69046391.929986775</v>
      </c>
    </row>
    <row r="106" spans="1:20">
      <c r="A106" s="128">
        <v>42979</v>
      </c>
      <c r="B106" s="127">
        <f t="shared" si="7"/>
        <v>2017</v>
      </c>
      <c r="C106" s="127">
        <f ca="1">'Monthly Data'!F106</f>
        <v>53098958.586710058</v>
      </c>
      <c r="D106" s="127">
        <f t="shared" ca="1" si="11"/>
        <v>30.410827067669118</v>
      </c>
      <c r="E106" s="127">
        <f t="shared" ca="1" si="11"/>
        <v>83.003533834586506</v>
      </c>
      <c r="F106" s="127">
        <f t="shared" si="11"/>
        <v>0</v>
      </c>
      <c r="G106" s="127">
        <f t="shared" si="11"/>
        <v>1</v>
      </c>
      <c r="H106" s="127">
        <f t="shared" si="12"/>
        <v>30</v>
      </c>
      <c r="I106" s="127">
        <f t="shared" si="11"/>
        <v>1</v>
      </c>
      <c r="J106" s="127">
        <f t="shared" si="13"/>
        <v>105</v>
      </c>
      <c r="L106" s="127">
        <f>'Res OLS Model'!$B$5</f>
        <v>-14695221.8516191</v>
      </c>
      <c r="M106" s="127">
        <f ca="1">'Res OLS Model'!$B$6*D106</f>
        <v>734182.82807108155</v>
      </c>
      <c r="N106" s="127">
        <f ca="1">'Res OLS Model'!$B$7*E106</f>
        <v>14459206.442741111</v>
      </c>
      <c r="O106" s="127">
        <f>'Res OLS Model'!$B$8*F106</f>
        <v>0</v>
      </c>
      <c r="P106" s="127">
        <f>'Res OLS Model'!$B$9*G106</f>
        <v>-2399238.63510927</v>
      </c>
      <c r="Q106" s="127">
        <f>'Res OLS Model'!$B$10*H106</f>
        <v>54058000.327266</v>
      </c>
      <c r="R106" s="127">
        <f>'Res OLS Model'!$B$11*I106</f>
        <v>2497427.94615121</v>
      </c>
      <c r="S106" s="127">
        <f>'Res OLS Model'!$B$12*J106</f>
        <v>-1338349.3860800806</v>
      </c>
      <c r="T106" s="127">
        <f t="shared" ca="1" si="8"/>
        <v>53316007.671420954</v>
      </c>
    </row>
    <row r="107" spans="1:20">
      <c r="A107" s="128">
        <v>43009</v>
      </c>
      <c r="B107" s="127">
        <f t="shared" si="7"/>
        <v>2017</v>
      </c>
      <c r="C107" s="127">
        <f ca="1">'Monthly Data'!F107</f>
        <v>46118064.906710058</v>
      </c>
      <c r="D107" s="127">
        <f t="shared" ca="1" si="11"/>
        <v>158.93676691729343</v>
      </c>
      <c r="E107" s="127">
        <f t="shared" ca="1" si="11"/>
        <v>16.916090225563948</v>
      </c>
      <c r="F107" s="127">
        <f t="shared" si="11"/>
        <v>0</v>
      </c>
      <c r="G107" s="127">
        <f t="shared" si="11"/>
        <v>1</v>
      </c>
      <c r="H107" s="127">
        <f t="shared" si="12"/>
        <v>31</v>
      </c>
      <c r="I107" s="127">
        <f t="shared" si="11"/>
        <v>0</v>
      </c>
      <c r="J107" s="127">
        <f t="shared" si="13"/>
        <v>106</v>
      </c>
      <c r="L107" s="127">
        <f>'Res OLS Model'!$B$5</f>
        <v>-14695221.8516191</v>
      </c>
      <c r="M107" s="127">
        <f ca="1">'Res OLS Model'!$B$6*D107</f>
        <v>3837075.6822943771</v>
      </c>
      <c r="N107" s="127">
        <f ca="1">'Res OLS Model'!$B$7*E107</f>
        <v>2946781.0522730458</v>
      </c>
      <c r="O107" s="127">
        <f>'Res OLS Model'!$B$8*F107</f>
        <v>0</v>
      </c>
      <c r="P107" s="127">
        <f>'Res OLS Model'!$B$9*G107</f>
        <v>-2399238.63510927</v>
      </c>
      <c r="Q107" s="127">
        <f>'Res OLS Model'!$B$10*H107</f>
        <v>55859933.6715082</v>
      </c>
      <c r="R107" s="127">
        <f>'Res OLS Model'!$B$11*I107</f>
        <v>0</v>
      </c>
      <c r="S107" s="127">
        <f>'Res OLS Model'!$B$12*J107</f>
        <v>-1351095.5707094145</v>
      </c>
      <c r="T107" s="127">
        <f t="shared" ca="1" si="8"/>
        <v>44198234.348637842</v>
      </c>
    </row>
    <row r="108" spans="1:20">
      <c r="A108" s="128">
        <v>43040</v>
      </c>
      <c r="B108" s="127">
        <f t="shared" si="7"/>
        <v>2017</v>
      </c>
      <c r="C108" s="127">
        <f ca="1">'Monthly Data'!F108</f>
        <v>45341675.606710061</v>
      </c>
      <c r="D108" s="127">
        <f t="shared" ca="1" si="11"/>
        <v>375.92533834586447</v>
      </c>
      <c r="E108" s="127">
        <f t="shared" ca="1" si="11"/>
        <v>8.120300751879661E-2</v>
      </c>
      <c r="F108" s="127">
        <f t="shared" si="11"/>
        <v>0</v>
      </c>
      <c r="G108" s="127">
        <f t="shared" si="11"/>
        <v>1</v>
      </c>
      <c r="H108" s="127">
        <f t="shared" si="12"/>
        <v>30</v>
      </c>
      <c r="I108" s="127">
        <f t="shared" si="11"/>
        <v>0</v>
      </c>
      <c r="J108" s="127">
        <f t="shared" si="13"/>
        <v>107</v>
      </c>
      <c r="L108" s="127">
        <f>'Res OLS Model'!$B$5</f>
        <v>-14695221.8516191</v>
      </c>
      <c r="M108" s="127">
        <f ca="1">'Res OLS Model'!$B$6*D108</f>
        <v>9075646.8883994482</v>
      </c>
      <c r="N108" s="127">
        <f ca="1">'Res OLS Model'!$B$7*E108</f>
        <v>14145.5549570408</v>
      </c>
      <c r="O108" s="127">
        <f>'Res OLS Model'!$B$8*F108</f>
        <v>0</v>
      </c>
      <c r="P108" s="127">
        <f>'Res OLS Model'!$B$9*G108</f>
        <v>-2399238.63510927</v>
      </c>
      <c r="Q108" s="127">
        <f>'Res OLS Model'!$B$10*H108</f>
        <v>54058000.327266</v>
      </c>
      <c r="R108" s="127">
        <f>'Res OLS Model'!$B$11*I108</f>
        <v>0</v>
      </c>
      <c r="S108" s="127">
        <f>'Res OLS Model'!$B$12*J108</f>
        <v>-1363841.7553387487</v>
      </c>
      <c r="T108" s="127">
        <f t="shared" ca="1" si="8"/>
        <v>44689490.528555371</v>
      </c>
    </row>
    <row r="109" spans="1:20">
      <c r="A109" s="128">
        <v>43070</v>
      </c>
      <c r="B109" s="127">
        <f t="shared" si="7"/>
        <v>2017</v>
      </c>
      <c r="C109" s="127">
        <f ca="1">'Monthly Data'!F109</f>
        <v>54565027.176710062</v>
      </c>
      <c r="D109" s="127">
        <f t="shared" ca="1" si="11"/>
        <v>548.76120300751859</v>
      </c>
      <c r="E109" s="127">
        <f t="shared" ca="1" si="11"/>
        <v>0</v>
      </c>
      <c r="F109" s="127">
        <f t="shared" si="11"/>
        <v>0</v>
      </c>
      <c r="G109" s="127">
        <f t="shared" si="11"/>
        <v>0</v>
      </c>
      <c r="H109" s="127">
        <f t="shared" si="12"/>
        <v>31</v>
      </c>
      <c r="I109" s="127">
        <f t="shared" si="11"/>
        <v>0</v>
      </c>
      <c r="J109" s="127">
        <f t="shared" si="13"/>
        <v>108</v>
      </c>
      <c r="L109" s="127">
        <f>'Res OLS Model'!$B$5</f>
        <v>-14695221.8516191</v>
      </c>
      <c r="M109" s="127">
        <f ca="1">'Res OLS Model'!$B$6*D109</f>
        <v>13248276.709582731</v>
      </c>
      <c r="N109" s="127">
        <f ca="1">'Res OLS Model'!$B$7*E109</f>
        <v>0</v>
      </c>
      <c r="O109" s="127">
        <f>'Res OLS Model'!$B$8*F109</f>
        <v>0</v>
      </c>
      <c r="P109" s="127">
        <f>'Res OLS Model'!$B$9*G109</f>
        <v>0</v>
      </c>
      <c r="Q109" s="127">
        <f>'Res OLS Model'!$B$10*H109</f>
        <v>55859933.6715082</v>
      </c>
      <c r="R109" s="127">
        <f>'Res OLS Model'!$B$11*I109</f>
        <v>0</v>
      </c>
      <c r="S109" s="127">
        <f>'Res OLS Model'!$B$12*J109</f>
        <v>-1376587.9399680828</v>
      </c>
      <c r="T109" s="127">
        <f t="shared" ca="1" si="8"/>
        <v>53036400.58950375</v>
      </c>
    </row>
    <row r="110" spans="1:20">
      <c r="A110" s="128">
        <v>43101</v>
      </c>
      <c r="B110" s="186">
        <f t="shared" ref="B110:B121" si="14">YEAR(A110)</f>
        <v>2018</v>
      </c>
      <c r="C110" s="186">
        <f ca="1">'Monthly Data'!F110</f>
        <v>56225086.293307021</v>
      </c>
      <c r="D110" s="186">
        <f t="shared" ref="D110:G110" ca="1" si="15">D98</f>
        <v>665.14879699248104</v>
      </c>
      <c r="E110" s="186">
        <f t="shared" ca="1" si="15"/>
        <v>0</v>
      </c>
      <c r="F110" s="186">
        <f t="shared" si="15"/>
        <v>0</v>
      </c>
      <c r="G110" s="186">
        <f t="shared" si="15"/>
        <v>0</v>
      </c>
      <c r="H110" s="186">
        <f t="shared" si="12"/>
        <v>31</v>
      </c>
      <c r="I110" s="186">
        <f t="shared" ref="I110" si="16">I98</f>
        <v>0</v>
      </c>
      <c r="J110" s="186">
        <f t="shared" si="13"/>
        <v>109</v>
      </c>
      <c r="K110" s="186"/>
      <c r="L110" s="186">
        <f>'Res OLS Model'!$B$5</f>
        <v>-14695221.8516191</v>
      </c>
      <c r="M110" s="186">
        <f ca="1">'Res OLS Model'!$B$6*D110</f>
        <v>16058123.765505565</v>
      </c>
      <c r="N110" s="186">
        <f ca="1">'Res OLS Model'!$B$7*E110</f>
        <v>0</v>
      </c>
      <c r="O110" s="186">
        <f>'Res OLS Model'!$B$8*F110</f>
        <v>0</v>
      </c>
      <c r="P110" s="186">
        <f>'Res OLS Model'!$B$9*G110</f>
        <v>0</v>
      </c>
      <c r="Q110" s="186">
        <f>'Res OLS Model'!$B$10*H110</f>
        <v>55859933.6715082</v>
      </c>
      <c r="R110" s="186">
        <f>'Res OLS Model'!$B$11*I110</f>
        <v>0</v>
      </c>
      <c r="S110" s="186">
        <f>'Res OLS Model'!$B$12*J110</f>
        <v>-1389334.124597417</v>
      </c>
      <c r="T110" s="186">
        <f t="shared" ref="T110:T121" ca="1" si="17">SUM(L110:S110)</f>
        <v>55833501.46079725</v>
      </c>
    </row>
    <row r="111" spans="1:20">
      <c r="A111" s="128">
        <v>43132</v>
      </c>
      <c r="B111" s="186">
        <f t="shared" si="14"/>
        <v>2018</v>
      </c>
      <c r="C111" s="186">
        <f ca="1">'Monthly Data'!F111</f>
        <v>47139422.787842415</v>
      </c>
      <c r="D111" s="186">
        <f t="shared" ref="D111:G111" ca="1" si="18">D99</f>
        <v>611.17548872180487</v>
      </c>
      <c r="E111" s="186">
        <f t="shared" ca="1" si="18"/>
        <v>0</v>
      </c>
      <c r="F111" s="186">
        <f t="shared" si="18"/>
        <v>0</v>
      </c>
      <c r="G111" s="186">
        <f t="shared" si="18"/>
        <v>0</v>
      </c>
      <c r="H111" s="186">
        <f t="shared" si="12"/>
        <v>28</v>
      </c>
      <c r="I111" s="186">
        <f t="shared" ref="I111" si="19">I99</f>
        <v>0</v>
      </c>
      <c r="J111" s="186">
        <f t="shared" si="13"/>
        <v>110</v>
      </c>
      <c r="K111" s="186"/>
      <c r="L111" s="186">
        <f>'Res OLS Model'!$B$5</f>
        <v>-14695221.8516191</v>
      </c>
      <c r="M111" s="186">
        <f ca="1">'Res OLS Model'!$B$6*D111</f>
        <v>14755091.920355735</v>
      </c>
      <c r="N111" s="186">
        <f ca="1">'Res OLS Model'!$B$7*E111</f>
        <v>0</v>
      </c>
      <c r="O111" s="186">
        <f>'Res OLS Model'!$B$8*F111</f>
        <v>0</v>
      </c>
      <c r="P111" s="186">
        <f>'Res OLS Model'!$B$9*G111</f>
        <v>0</v>
      </c>
      <c r="Q111" s="186">
        <f>'Res OLS Model'!$B$10*H111</f>
        <v>50454133.6387816</v>
      </c>
      <c r="R111" s="186">
        <f>'Res OLS Model'!$B$11*I111</f>
        <v>0</v>
      </c>
      <c r="S111" s="186">
        <f>'Res OLS Model'!$B$12*J111</f>
        <v>-1402080.3092267511</v>
      </c>
      <c r="T111" s="186">
        <f t="shared" ca="1" si="17"/>
        <v>49111923.398291484</v>
      </c>
    </row>
    <row r="112" spans="1:20">
      <c r="A112" s="128">
        <v>43160</v>
      </c>
      <c r="B112" s="186">
        <f t="shared" si="14"/>
        <v>2018</v>
      </c>
      <c r="C112" s="186">
        <f ca="1">'Monthly Data'!F112</f>
        <v>48575569.512237363</v>
      </c>
      <c r="D112" s="186">
        <f t="shared" ref="D112:G112" ca="1" si="20">D100</f>
        <v>458.46436090225569</v>
      </c>
      <c r="E112" s="186">
        <f t="shared" ca="1" si="20"/>
        <v>0.45218045112781802</v>
      </c>
      <c r="F112" s="186">
        <f t="shared" si="20"/>
        <v>1</v>
      </c>
      <c r="G112" s="186">
        <f t="shared" si="20"/>
        <v>0</v>
      </c>
      <c r="H112" s="186">
        <f t="shared" si="12"/>
        <v>31</v>
      </c>
      <c r="I112" s="186">
        <f t="shared" ref="I112" si="21">I100</f>
        <v>0</v>
      </c>
      <c r="J112" s="186">
        <f t="shared" si="13"/>
        <v>111</v>
      </c>
      <c r="K112" s="186"/>
      <c r="L112" s="186">
        <f>'Res OLS Model'!$B$5</f>
        <v>-14695221.8516191</v>
      </c>
      <c r="M112" s="186">
        <f ca="1">'Res OLS Model'!$B$6*D112</f>
        <v>11068316.567255335</v>
      </c>
      <c r="N112" s="186">
        <f ca="1">'Res OLS Model'!$B$7*E112</f>
        <v>78769.784733003224</v>
      </c>
      <c r="O112" s="186">
        <f>'Res OLS Model'!$B$8*F112</f>
        <v>-4177006.7225933699</v>
      </c>
      <c r="P112" s="186">
        <f>'Res OLS Model'!$B$9*G112</f>
        <v>0</v>
      </c>
      <c r="Q112" s="186">
        <f>'Res OLS Model'!$B$10*H112</f>
        <v>55859933.6715082</v>
      </c>
      <c r="R112" s="186">
        <f>'Res OLS Model'!$B$11*I112</f>
        <v>0</v>
      </c>
      <c r="S112" s="186">
        <f>'Res OLS Model'!$B$12*J112</f>
        <v>-1414826.4938560852</v>
      </c>
      <c r="T112" s="186">
        <f t="shared" ca="1" si="17"/>
        <v>46719964.955427982</v>
      </c>
    </row>
    <row r="113" spans="1:20">
      <c r="A113" s="128">
        <v>43191</v>
      </c>
      <c r="B113" s="186">
        <f t="shared" si="14"/>
        <v>2018</v>
      </c>
      <c r="C113" s="186">
        <f ca="1">'Monthly Data'!F113</f>
        <v>43821696.032611214</v>
      </c>
      <c r="D113" s="186">
        <f t="shared" ref="D113:G113" ca="1" si="22">D101</f>
        <v>254.29052631578941</v>
      </c>
      <c r="E113" s="186">
        <f t="shared" ca="1" si="22"/>
        <v>0.50947368421054762</v>
      </c>
      <c r="F113" s="186">
        <f t="shared" si="22"/>
        <v>1</v>
      </c>
      <c r="G113" s="186">
        <f t="shared" si="22"/>
        <v>0</v>
      </c>
      <c r="H113" s="186">
        <f t="shared" si="12"/>
        <v>30</v>
      </c>
      <c r="I113" s="186">
        <f t="shared" ref="I113" si="23">I101</f>
        <v>0</v>
      </c>
      <c r="J113" s="186">
        <f t="shared" si="13"/>
        <v>112</v>
      </c>
      <c r="K113" s="186"/>
      <c r="L113" s="186">
        <f>'Res OLS Model'!$B$5</f>
        <v>-14695221.8516191</v>
      </c>
      <c r="M113" s="186">
        <f ca="1">'Res OLS Model'!$B$6*D113</f>
        <v>6139120.6936523356</v>
      </c>
      <c r="N113" s="186">
        <f ca="1">'Res OLS Model'!$B$7*E113</f>
        <v>88750.259619363816</v>
      </c>
      <c r="O113" s="186">
        <f>'Res OLS Model'!$B$8*F113</f>
        <v>-4177006.7225933699</v>
      </c>
      <c r="P113" s="186">
        <f>'Res OLS Model'!$B$9*G113</f>
        <v>0</v>
      </c>
      <c r="Q113" s="186">
        <f>'Res OLS Model'!$B$10*H113</f>
        <v>54058000.327266</v>
      </c>
      <c r="R113" s="186">
        <f>'Res OLS Model'!$B$11*I113</f>
        <v>0</v>
      </c>
      <c r="S113" s="186">
        <f>'Res OLS Model'!$B$12*J113</f>
        <v>-1427572.6784854191</v>
      </c>
      <c r="T113" s="186">
        <f t="shared" ca="1" si="17"/>
        <v>39986070.027839817</v>
      </c>
    </row>
    <row r="114" spans="1:20">
      <c r="A114" s="128">
        <v>43221</v>
      </c>
      <c r="B114" s="186">
        <f t="shared" si="14"/>
        <v>2018</v>
      </c>
      <c r="C114" s="186">
        <f ca="1">'Monthly Data'!F114</f>
        <v>48899921.933677331</v>
      </c>
      <c r="D114" s="186">
        <f t="shared" ref="D114:G114" ca="1" si="24">D102</f>
        <v>102.64150375939857</v>
      </c>
      <c r="E114" s="186">
        <f t="shared" ca="1" si="24"/>
        <v>56.062781954887214</v>
      </c>
      <c r="F114" s="186">
        <f t="shared" si="24"/>
        <v>1</v>
      </c>
      <c r="G114" s="186">
        <f t="shared" si="24"/>
        <v>0</v>
      </c>
      <c r="H114" s="186">
        <f t="shared" si="12"/>
        <v>31</v>
      </c>
      <c r="I114" s="186">
        <f t="shared" ref="I114" si="25">I102</f>
        <v>0</v>
      </c>
      <c r="J114" s="186">
        <f t="shared" si="13"/>
        <v>113</v>
      </c>
      <c r="K114" s="186"/>
      <c r="L114" s="186">
        <f>'Res OLS Model'!$B$5</f>
        <v>-14695221.8516191</v>
      </c>
      <c r="M114" s="186">
        <f ca="1">'Res OLS Model'!$B$6*D114</f>
        <v>2477986.8479032353</v>
      </c>
      <c r="N114" s="186">
        <f ca="1">'Res OLS Model'!$B$7*E114</f>
        <v>9766130.4355492275</v>
      </c>
      <c r="O114" s="186">
        <f>'Res OLS Model'!$B$8*F114</f>
        <v>-4177006.7225933699</v>
      </c>
      <c r="P114" s="186">
        <f>'Res OLS Model'!$B$9*G114</f>
        <v>0</v>
      </c>
      <c r="Q114" s="186">
        <f>'Res OLS Model'!$B$10*H114</f>
        <v>55859933.6715082</v>
      </c>
      <c r="R114" s="186">
        <f>'Res OLS Model'!$B$11*I114</f>
        <v>0</v>
      </c>
      <c r="S114" s="186">
        <f>'Res OLS Model'!$B$12*J114</f>
        <v>-1440318.8631147533</v>
      </c>
      <c r="T114" s="186">
        <f t="shared" ca="1" si="17"/>
        <v>47791503.517633438</v>
      </c>
    </row>
    <row r="115" spans="1:20">
      <c r="A115" s="128">
        <v>43252</v>
      </c>
      <c r="B115" s="186">
        <f t="shared" si="14"/>
        <v>2018</v>
      </c>
      <c r="C115" s="186">
        <f ca="1">'Monthly Data'!F115</f>
        <v>66010052.584332302</v>
      </c>
      <c r="D115" s="186">
        <f t="shared" ref="D115:G115" ca="1" si="26">D103</f>
        <v>0.39669172932326546</v>
      </c>
      <c r="E115" s="186">
        <f t="shared" ca="1" si="26"/>
        <v>116.89315789473682</v>
      </c>
      <c r="F115" s="186">
        <f t="shared" si="26"/>
        <v>0</v>
      </c>
      <c r="G115" s="186">
        <f t="shared" si="26"/>
        <v>0</v>
      </c>
      <c r="H115" s="186">
        <f t="shared" si="12"/>
        <v>30</v>
      </c>
      <c r="I115" s="186">
        <f t="shared" ref="I115" si="27">I103</f>
        <v>0</v>
      </c>
      <c r="J115" s="186">
        <f t="shared" si="13"/>
        <v>114</v>
      </c>
      <c r="K115" s="186"/>
      <c r="L115" s="186">
        <f>'Res OLS Model'!$B$5</f>
        <v>-14695221.8516191</v>
      </c>
      <c r="M115" s="186">
        <f ca="1">'Res OLS Model'!$B$6*D115</f>
        <v>9576.9922685396359</v>
      </c>
      <c r="N115" s="186">
        <f ca="1">'Res OLS Model'!$B$7*E115</f>
        <v>20362775.217645679</v>
      </c>
      <c r="O115" s="186">
        <f>'Res OLS Model'!$B$8*F115</f>
        <v>0</v>
      </c>
      <c r="P115" s="186">
        <f>'Res OLS Model'!$B$9*G115</f>
        <v>0</v>
      </c>
      <c r="Q115" s="186">
        <f>'Res OLS Model'!$B$10*H115</f>
        <v>54058000.327266</v>
      </c>
      <c r="R115" s="186">
        <f>'Res OLS Model'!$B$11*I115</f>
        <v>0</v>
      </c>
      <c r="S115" s="186">
        <f>'Res OLS Model'!$B$12*J115</f>
        <v>-1453065.0477440874</v>
      </c>
      <c r="T115" s="186">
        <f t="shared" ca="1" si="17"/>
        <v>58282065.637817033</v>
      </c>
    </row>
    <row r="116" spans="1:20">
      <c r="A116" s="128">
        <v>43282</v>
      </c>
      <c r="B116" s="186">
        <f t="shared" si="14"/>
        <v>2018</v>
      </c>
      <c r="C116" s="186">
        <f ca="1">'Monthly Data'!F116</f>
        <v>78572912.328857943</v>
      </c>
      <c r="D116" s="186">
        <f t="shared" ref="D116:G116" ca="1" si="28">D104</f>
        <v>0.58105263157894704</v>
      </c>
      <c r="E116" s="186">
        <f t="shared" ca="1" si="28"/>
        <v>186.96526315789481</v>
      </c>
      <c r="F116" s="186">
        <f t="shared" si="28"/>
        <v>0</v>
      </c>
      <c r="G116" s="186">
        <f t="shared" si="28"/>
        <v>0</v>
      </c>
      <c r="H116" s="186">
        <f t="shared" si="12"/>
        <v>31</v>
      </c>
      <c r="I116" s="186">
        <f t="shared" ref="I116" si="29">I104</f>
        <v>0</v>
      </c>
      <c r="J116" s="186">
        <f t="shared" si="13"/>
        <v>115</v>
      </c>
      <c r="K116" s="186"/>
      <c r="L116" s="186">
        <f>'Res OLS Model'!$B$5</f>
        <v>-14695221.8516191</v>
      </c>
      <c r="M116" s="186">
        <f ca="1">'Res OLS Model'!$B$6*D116</f>
        <v>14027.861306156605</v>
      </c>
      <c r="N116" s="186">
        <f ca="1">'Res OLS Model'!$B$7*E116</f>
        <v>32569328.228950184</v>
      </c>
      <c r="O116" s="186">
        <f>'Res OLS Model'!$B$8*F116</f>
        <v>0</v>
      </c>
      <c r="P116" s="186">
        <f>'Res OLS Model'!$B$9*G116</f>
        <v>0</v>
      </c>
      <c r="Q116" s="186">
        <f>'Res OLS Model'!$B$10*H116</f>
        <v>55859933.6715082</v>
      </c>
      <c r="R116" s="186">
        <f>'Res OLS Model'!$B$11*I116</f>
        <v>0</v>
      </c>
      <c r="S116" s="186">
        <f>'Res OLS Model'!$B$12*J116</f>
        <v>-1465811.2323734215</v>
      </c>
      <c r="T116" s="186">
        <f t="shared" ca="1" si="17"/>
        <v>72282256.677772015</v>
      </c>
    </row>
    <row r="117" spans="1:20">
      <c r="A117" s="128">
        <v>43313</v>
      </c>
      <c r="B117" s="186">
        <f t="shared" si="14"/>
        <v>2018</v>
      </c>
      <c r="C117" s="186">
        <f ca="1">'Monthly Data'!F117</f>
        <v>75820147.472080186</v>
      </c>
      <c r="D117" s="186">
        <f t="shared" ref="D117:G117" ca="1" si="30">D105</f>
        <v>1.6660902255639058</v>
      </c>
      <c r="E117" s="186">
        <f t="shared" ca="1" si="30"/>
        <v>167.43443609022574</v>
      </c>
      <c r="F117" s="186">
        <f t="shared" si="30"/>
        <v>0</v>
      </c>
      <c r="G117" s="186">
        <f t="shared" si="30"/>
        <v>0</v>
      </c>
      <c r="H117" s="186">
        <f t="shared" si="12"/>
        <v>31</v>
      </c>
      <c r="I117" s="186">
        <f t="shared" ref="I117" si="31">I105</f>
        <v>0</v>
      </c>
      <c r="J117" s="186">
        <f t="shared" si="13"/>
        <v>116</v>
      </c>
      <c r="K117" s="186"/>
      <c r="L117" s="186">
        <f>'Res OLS Model'!$B$5</f>
        <v>-14695221.8516191</v>
      </c>
      <c r="M117" s="186">
        <f ca="1">'Res OLS Model'!$B$6*D117</f>
        <v>40223.004487981838</v>
      </c>
      <c r="N117" s="186">
        <f ca="1">'Res OLS Model'!$B$7*E117</f>
        <v>29167060.307060447</v>
      </c>
      <c r="O117" s="186">
        <f>'Res OLS Model'!$B$8*F117</f>
        <v>0</v>
      </c>
      <c r="P117" s="186">
        <f>'Res OLS Model'!$B$9*G117</f>
        <v>0</v>
      </c>
      <c r="Q117" s="186">
        <f>'Res OLS Model'!$B$10*H117</f>
        <v>55859933.6715082</v>
      </c>
      <c r="R117" s="186">
        <f>'Res OLS Model'!$B$11*I117</f>
        <v>0</v>
      </c>
      <c r="S117" s="186">
        <f>'Res OLS Model'!$B$12*J117</f>
        <v>-1478557.4170027557</v>
      </c>
      <c r="T117" s="186">
        <f t="shared" ca="1" si="17"/>
        <v>68893437.714434773</v>
      </c>
    </row>
    <row r="118" spans="1:20">
      <c r="A118" s="128">
        <v>43344</v>
      </c>
      <c r="B118" s="186">
        <f t="shared" si="14"/>
        <v>2018</v>
      </c>
      <c r="C118" s="186">
        <f ca="1">'Monthly Data'!F118</f>
        <v>59545277.389431417</v>
      </c>
      <c r="D118" s="186">
        <f t="shared" ref="D118:G118" ca="1" si="32">D106</f>
        <v>30.410827067669118</v>
      </c>
      <c r="E118" s="186">
        <f t="shared" ca="1" si="32"/>
        <v>83.003533834586506</v>
      </c>
      <c r="F118" s="186">
        <f t="shared" si="32"/>
        <v>0</v>
      </c>
      <c r="G118" s="186">
        <f t="shared" si="32"/>
        <v>1</v>
      </c>
      <c r="H118" s="186">
        <f t="shared" si="12"/>
        <v>30</v>
      </c>
      <c r="I118" s="186">
        <f t="shared" ref="I118" si="33">I106</f>
        <v>1</v>
      </c>
      <c r="J118" s="186">
        <f t="shared" si="13"/>
        <v>117</v>
      </c>
      <c r="K118" s="186"/>
      <c r="L118" s="186">
        <f>'Res OLS Model'!$B$5</f>
        <v>-14695221.8516191</v>
      </c>
      <c r="M118" s="186">
        <f ca="1">'Res OLS Model'!$B$6*D118</f>
        <v>734182.82807108155</v>
      </c>
      <c r="N118" s="186">
        <f ca="1">'Res OLS Model'!$B$7*E118</f>
        <v>14459206.442741111</v>
      </c>
      <c r="O118" s="186">
        <f>'Res OLS Model'!$B$8*F118</f>
        <v>0</v>
      </c>
      <c r="P118" s="186">
        <f>'Res OLS Model'!$B$9*G118</f>
        <v>-2399238.63510927</v>
      </c>
      <c r="Q118" s="186">
        <f>'Res OLS Model'!$B$10*H118</f>
        <v>54058000.327266</v>
      </c>
      <c r="R118" s="186">
        <f>'Res OLS Model'!$B$11*I118</f>
        <v>2497427.94615121</v>
      </c>
      <c r="S118" s="186">
        <f>'Res OLS Model'!$B$12*J118</f>
        <v>-1491303.6016320898</v>
      </c>
      <c r="T118" s="186">
        <f t="shared" ca="1" si="17"/>
        <v>53163053.455868945</v>
      </c>
    </row>
    <row r="119" spans="1:20">
      <c r="A119" s="128">
        <v>43374</v>
      </c>
      <c r="B119" s="186">
        <f t="shared" si="14"/>
        <v>2018</v>
      </c>
      <c r="C119" s="186">
        <f ca="1">'Monthly Data'!F119</f>
        <v>46605104.794214346</v>
      </c>
      <c r="D119" s="186">
        <f t="shared" ref="D119:G119" ca="1" si="34">D107</f>
        <v>158.93676691729343</v>
      </c>
      <c r="E119" s="186">
        <f t="shared" ca="1" si="34"/>
        <v>16.916090225563948</v>
      </c>
      <c r="F119" s="186">
        <f t="shared" si="34"/>
        <v>0</v>
      </c>
      <c r="G119" s="186">
        <f t="shared" si="34"/>
        <v>1</v>
      </c>
      <c r="H119" s="186">
        <f t="shared" si="12"/>
        <v>31</v>
      </c>
      <c r="I119" s="186">
        <f t="shared" ref="I119" si="35">I107</f>
        <v>0</v>
      </c>
      <c r="J119" s="186">
        <f t="shared" si="13"/>
        <v>118</v>
      </c>
      <c r="K119" s="186"/>
      <c r="L119" s="186">
        <f>'Res OLS Model'!$B$5</f>
        <v>-14695221.8516191</v>
      </c>
      <c r="M119" s="186">
        <f ca="1">'Res OLS Model'!$B$6*D119</f>
        <v>3837075.6822943771</v>
      </c>
      <c r="N119" s="186">
        <f ca="1">'Res OLS Model'!$B$7*E119</f>
        <v>2946781.0522730458</v>
      </c>
      <c r="O119" s="186">
        <f>'Res OLS Model'!$B$8*F119</f>
        <v>0</v>
      </c>
      <c r="P119" s="186">
        <f>'Res OLS Model'!$B$9*G119</f>
        <v>-2399238.63510927</v>
      </c>
      <c r="Q119" s="186">
        <f>'Res OLS Model'!$B$10*H119</f>
        <v>55859933.6715082</v>
      </c>
      <c r="R119" s="186">
        <f>'Res OLS Model'!$B$11*I119</f>
        <v>0</v>
      </c>
      <c r="S119" s="186">
        <f>'Res OLS Model'!$B$12*J119</f>
        <v>-1504049.786261424</v>
      </c>
      <c r="T119" s="186">
        <f t="shared" ca="1" si="17"/>
        <v>44045280.133085832</v>
      </c>
    </row>
    <row r="120" spans="1:20">
      <c r="A120" s="128">
        <v>43405</v>
      </c>
      <c r="B120" s="186">
        <f t="shared" si="14"/>
        <v>2018</v>
      </c>
      <c r="C120" s="186">
        <f ca="1">'Monthly Data'!F120</f>
        <v>47874988.187957972</v>
      </c>
      <c r="D120" s="186">
        <f t="shared" ref="D120:G120" ca="1" si="36">D108</f>
        <v>375.92533834586447</v>
      </c>
      <c r="E120" s="186">
        <f t="shared" ca="1" si="36"/>
        <v>8.120300751879661E-2</v>
      </c>
      <c r="F120" s="186">
        <f t="shared" si="36"/>
        <v>0</v>
      </c>
      <c r="G120" s="186">
        <f t="shared" si="36"/>
        <v>1</v>
      </c>
      <c r="H120" s="186">
        <f t="shared" si="12"/>
        <v>30</v>
      </c>
      <c r="I120" s="186">
        <f t="shared" ref="I120" si="37">I108</f>
        <v>0</v>
      </c>
      <c r="J120" s="186">
        <f t="shared" si="13"/>
        <v>119</v>
      </c>
      <c r="K120" s="186"/>
      <c r="L120" s="186">
        <f>'Res OLS Model'!$B$5</f>
        <v>-14695221.8516191</v>
      </c>
      <c r="M120" s="186">
        <f ca="1">'Res OLS Model'!$B$6*D120</f>
        <v>9075646.8883994482</v>
      </c>
      <c r="N120" s="186">
        <f ca="1">'Res OLS Model'!$B$7*E120</f>
        <v>14145.5549570408</v>
      </c>
      <c r="O120" s="186">
        <f>'Res OLS Model'!$B$8*F120</f>
        <v>0</v>
      </c>
      <c r="P120" s="186">
        <f>'Res OLS Model'!$B$9*G120</f>
        <v>-2399238.63510927</v>
      </c>
      <c r="Q120" s="186">
        <f>'Res OLS Model'!$B$10*H120</f>
        <v>54058000.327266</v>
      </c>
      <c r="R120" s="186">
        <f>'Res OLS Model'!$B$11*I120</f>
        <v>0</v>
      </c>
      <c r="S120" s="186">
        <f>'Res OLS Model'!$B$12*J120</f>
        <v>-1516795.9708907579</v>
      </c>
      <c r="T120" s="186">
        <f t="shared" ca="1" si="17"/>
        <v>44536536.313003361</v>
      </c>
    </row>
    <row r="121" spans="1:20">
      <c r="A121" s="128">
        <v>43435</v>
      </c>
      <c r="B121" s="186">
        <f t="shared" si="14"/>
        <v>2018</v>
      </c>
      <c r="C121" s="186">
        <f ca="1">'Monthly Data'!F121</f>
        <v>52725596.952190973</v>
      </c>
      <c r="D121" s="186">
        <f t="shared" ref="D121:G121" ca="1" si="38">D109</f>
        <v>548.76120300751859</v>
      </c>
      <c r="E121" s="186">
        <f t="shared" ca="1" si="38"/>
        <v>0</v>
      </c>
      <c r="F121" s="186">
        <f t="shared" si="38"/>
        <v>0</v>
      </c>
      <c r="G121" s="186">
        <f t="shared" si="38"/>
        <v>0</v>
      </c>
      <c r="H121" s="186">
        <f t="shared" si="12"/>
        <v>31</v>
      </c>
      <c r="I121" s="186">
        <f t="shared" ref="I121" si="39">I109</f>
        <v>0</v>
      </c>
      <c r="J121" s="186">
        <f t="shared" si="13"/>
        <v>120</v>
      </c>
      <c r="K121" s="186"/>
      <c r="L121" s="186">
        <f>'Res OLS Model'!$B$5</f>
        <v>-14695221.8516191</v>
      </c>
      <c r="M121" s="186">
        <f ca="1">'Res OLS Model'!$B$6*D121</f>
        <v>13248276.709582731</v>
      </c>
      <c r="N121" s="186">
        <f ca="1">'Res OLS Model'!$B$7*E121</f>
        <v>0</v>
      </c>
      <c r="O121" s="186">
        <f>'Res OLS Model'!$B$8*F121</f>
        <v>0</v>
      </c>
      <c r="P121" s="186">
        <f>'Res OLS Model'!$B$9*G121</f>
        <v>0</v>
      </c>
      <c r="Q121" s="186">
        <f>'Res OLS Model'!$B$10*H121</f>
        <v>55859933.6715082</v>
      </c>
      <c r="R121" s="186">
        <f>'Res OLS Model'!$B$11*I121</f>
        <v>0</v>
      </c>
      <c r="S121" s="186">
        <f>'Res OLS Model'!$B$12*J121</f>
        <v>-1529542.155520092</v>
      </c>
      <c r="T121" s="186">
        <f t="shared" ca="1" si="17"/>
        <v>52883446.373951741</v>
      </c>
    </row>
    <row r="122" spans="1:20">
      <c r="A122" s="128">
        <v>43466</v>
      </c>
      <c r="B122" s="127">
        <f t="shared" ref="B122:B145" si="40">YEAR(A122)</f>
        <v>2019</v>
      </c>
      <c r="D122" s="127">
        <f t="shared" ref="D122:I130" ca="1" si="41">D110</f>
        <v>665.14879699248104</v>
      </c>
      <c r="E122" s="127">
        <f t="shared" ca="1" si="41"/>
        <v>0</v>
      </c>
      <c r="F122" s="127">
        <f t="shared" si="41"/>
        <v>0</v>
      </c>
      <c r="G122" s="127">
        <f t="shared" si="41"/>
        <v>0</v>
      </c>
      <c r="H122" s="127">
        <f t="shared" si="12"/>
        <v>31</v>
      </c>
      <c r="I122" s="127">
        <f t="shared" si="41"/>
        <v>0</v>
      </c>
      <c r="J122" s="127">
        <f t="shared" si="13"/>
        <v>121</v>
      </c>
      <c r="L122" s="127">
        <f>'Res OLS Model'!$B$5</f>
        <v>-14695221.8516191</v>
      </c>
      <c r="M122" s="127">
        <f ca="1">'Res OLS Model'!$B$6*D122</f>
        <v>16058123.765505565</v>
      </c>
      <c r="N122" s="127">
        <f ca="1">'Res OLS Model'!$B$7*E122</f>
        <v>0</v>
      </c>
      <c r="O122" s="127">
        <f>'Res OLS Model'!$B$8*F122</f>
        <v>0</v>
      </c>
      <c r="P122" s="127">
        <f>'Res OLS Model'!$B$9*G122</f>
        <v>0</v>
      </c>
      <c r="Q122" s="127">
        <f>'Res OLS Model'!$B$10*H122</f>
        <v>55859933.6715082</v>
      </c>
      <c r="R122" s="127">
        <f>'Res OLS Model'!$B$11*I122</f>
        <v>0</v>
      </c>
      <c r="S122" s="127">
        <f>'Res OLS Model'!$B$12*J122</f>
        <v>-1542288.3401494261</v>
      </c>
      <c r="T122" s="127">
        <f t="shared" ref="T122:T145" ca="1" si="42">SUM(L122:S122)</f>
        <v>55680547.245245241</v>
      </c>
    </row>
    <row r="123" spans="1:20">
      <c r="A123" s="128">
        <v>43497</v>
      </c>
      <c r="B123" s="127">
        <f t="shared" si="40"/>
        <v>2019</v>
      </c>
      <c r="D123" s="127">
        <f t="shared" ca="1" si="41"/>
        <v>611.17548872180487</v>
      </c>
      <c r="E123" s="127">
        <f t="shared" ca="1" si="41"/>
        <v>0</v>
      </c>
      <c r="F123" s="127">
        <f t="shared" si="41"/>
        <v>0</v>
      </c>
      <c r="G123" s="127">
        <f t="shared" si="41"/>
        <v>0</v>
      </c>
      <c r="H123" s="127">
        <f t="shared" si="12"/>
        <v>28</v>
      </c>
      <c r="I123" s="127">
        <f t="shared" si="41"/>
        <v>0</v>
      </c>
      <c r="J123" s="127">
        <f t="shared" si="13"/>
        <v>122</v>
      </c>
      <c r="L123" s="127">
        <f>'Res OLS Model'!$B$5</f>
        <v>-14695221.8516191</v>
      </c>
      <c r="M123" s="127">
        <f ca="1">'Res OLS Model'!$B$6*D123</f>
        <v>14755091.920355735</v>
      </c>
      <c r="N123" s="127">
        <f ca="1">'Res OLS Model'!$B$7*E123</f>
        <v>0</v>
      </c>
      <c r="O123" s="127">
        <f>'Res OLS Model'!$B$8*F123</f>
        <v>0</v>
      </c>
      <c r="P123" s="127">
        <f>'Res OLS Model'!$B$9*G123</f>
        <v>0</v>
      </c>
      <c r="Q123" s="127">
        <f>'Res OLS Model'!$B$10*H123</f>
        <v>50454133.6387816</v>
      </c>
      <c r="R123" s="127">
        <f>'Res OLS Model'!$B$11*I123</f>
        <v>0</v>
      </c>
      <c r="S123" s="127">
        <f>'Res OLS Model'!$B$12*J123</f>
        <v>-1555034.5247787603</v>
      </c>
      <c r="T123" s="127">
        <f t="shared" ca="1" si="42"/>
        <v>48958969.182739474</v>
      </c>
    </row>
    <row r="124" spans="1:20">
      <c r="A124" s="128">
        <v>43525</v>
      </c>
      <c r="B124" s="127">
        <f t="shared" si="40"/>
        <v>2019</v>
      </c>
      <c r="D124" s="127">
        <f t="shared" ca="1" si="41"/>
        <v>458.46436090225569</v>
      </c>
      <c r="E124" s="127">
        <f t="shared" ca="1" si="41"/>
        <v>0.45218045112781802</v>
      </c>
      <c r="F124" s="127">
        <f t="shared" si="41"/>
        <v>1</v>
      </c>
      <c r="G124" s="127">
        <f t="shared" si="41"/>
        <v>0</v>
      </c>
      <c r="H124" s="127">
        <f t="shared" si="12"/>
        <v>31</v>
      </c>
      <c r="I124" s="127">
        <f t="shared" si="41"/>
        <v>0</v>
      </c>
      <c r="J124" s="127">
        <f t="shared" si="13"/>
        <v>123</v>
      </c>
      <c r="L124" s="127">
        <f>'Res OLS Model'!$B$5</f>
        <v>-14695221.8516191</v>
      </c>
      <c r="M124" s="127">
        <f ca="1">'Res OLS Model'!$B$6*D124</f>
        <v>11068316.567255335</v>
      </c>
      <c r="N124" s="127">
        <f ca="1">'Res OLS Model'!$B$7*E124</f>
        <v>78769.784733003224</v>
      </c>
      <c r="O124" s="127">
        <f>'Res OLS Model'!$B$8*F124</f>
        <v>-4177006.7225933699</v>
      </c>
      <c r="P124" s="127">
        <f>'Res OLS Model'!$B$9*G124</f>
        <v>0</v>
      </c>
      <c r="Q124" s="127">
        <f>'Res OLS Model'!$B$10*H124</f>
        <v>55859933.6715082</v>
      </c>
      <c r="R124" s="127">
        <f>'Res OLS Model'!$B$11*I124</f>
        <v>0</v>
      </c>
      <c r="S124" s="127">
        <f>'Res OLS Model'!$B$12*J124</f>
        <v>-1567780.7094080944</v>
      </c>
      <c r="T124" s="127">
        <f t="shared" ca="1" si="42"/>
        <v>46567010.739875972</v>
      </c>
    </row>
    <row r="125" spans="1:20">
      <c r="A125" s="128">
        <v>43556</v>
      </c>
      <c r="B125" s="127">
        <f t="shared" si="40"/>
        <v>2019</v>
      </c>
      <c r="D125" s="127">
        <f t="shared" ca="1" si="41"/>
        <v>254.29052631578941</v>
      </c>
      <c r="E125" s="127">
        <f t="shared" ca="1" si="41"/>
        <v>0.50947368421054762</v>
      </c>
      <c r="F125" s="127">
        <f t="shared" si="41"/>
        <v>1</v>
      </c>
      <c r="G125" s="127">
        <f t="shared" si="41"/>
        <v>0</v>
      </c>
      <c r="H125" s="127">
        <f t="shared" si="12"/>
        <v>30</v>
      </c>
      <c r="I125" s="127">
        <f t="shared" si="41"/>
        <v>0</v>
      </c>
      <c r="J125" s="127">
        <f t="shared" si="13"/>
        <v>124</v>
      </c>
      <c r="L125" s="127">
        <f>'Res OLS Model'!$B$5</f>
        <v>-14695221.8516191</v>
      </c>
      <c r="M125" s="127">
        <f ca="1">'Res OLS Model'!$B$6*D125</f>
        <v>6139120.6936523356</v>
      </c>
      <c r="N125" s="127">
        <f ca="1">'Res OLS Model'!$B$7*E125</f>
        <v>88750.259619363816</v>
      </c>
      <c r="O125" s="127">
        <f>'Res OLS Model'!$B$8*F125</f>
        <v>-4177006.7225933699</v>
      </c>
      <c r="P125" s="127">
        <f>'Res OLS Model'!$B$9*G125</f>
        <v>0</v>
      </c>
      <c r="Q125" s="127">
        <f>'Res OLS Model'!$B$10*H125</f>
        <v>54058000.327266</v>
      </c>
      <c r="R125" s="127">
        <f>'Res OLS Model'!$B$11*I125</f>
        <v>0</v>
      </c>
      <c r="S125" s="127">
        <f>'Res OLS Model'!$B$12*J125</f>
        <v>-1580526.8940374285</v>
      </c>
      <c r="T125" s="127">
        <f t="shared" ca="1" si="42"/>
        <v>39833115.812287807</v>
      </c>
    </row>
    <row r="126" spans="1:20">
      <c r="A126" s="128">
        <v>43586</v>
      </c>
      <c r="B126" s="127">
        <f t="shared" si="40"/>
        <v>2019</v>
      </c>
      <c r="D126" s="127">
        <f t="shared" ca="1" si="41"/>
        <v>102.64150375939857</v>
      </c>
      <c r="E126" s="127">
        <f t="shared" ca="1" si="41"/>
        <v>56.062781954887214</v>
      </c>
      <c r="F126" s="127">
        <f t="shared" si="41"/>
        <v>1</v>
      </c>
      <c r="G126" s="127">
        <f t="shared" si="41"/>
        <v>0</v>
      </c>
      <c r="H126" s="127">
        <f t="shared" si="12"/>
        <v>31</v>
      </c>
      <c r="I126" s="127">
        <f t="shared" si="41"/>
        <v>0</v>
      </c>
      <c r="J126" s="127">
        <f t="shared" si="13"/>
        <v>125</v>
      </c>
      <c r="L126" s="127">
        <f>'Res OLS Model'!$B$5</f>
        <v>-14695221.8516191</v>
      </c>
      <c r="M126" s="127">
        <f ca="1">'Res OLS Model'!$B$6*D126</f>
        <v>2477986.8479032353</v>
      </c>
      <c r="N126" s="127">
        <f ca="1">'Res OLS Model'!$B$7*E126</f>
        <v>9766130.4355492275</v>
      </c>
      <c r="O126" s="127">
        <f>'Res OLS Model'!$B$8*F126</f>
        <v>-4177006.7225933699</v>
      </c>
      <c r="P126" s="127">
        <f>'Res OLS Model'!$B$9*G126</f>
        <v>0</v>
      </c>
      <c r="Q126" s="127">
        <f>'Res OLS Model'!$B$10*H126</f>
        <v>55859933.6715082</v>
      </c>
      <c r="R126" s="127">
        <f>'Res OLS Model'!$B$11*I126</f>
        <v>0</v>
      </c>
      <c r="S126" s="127">
        <f>'Res OLS Model'!$B$12*J126</f>
        <v>-1593273.0786667624</v>
      </c>
      <c r="T126" s="127">
        <f t="shared" ca="1" si="42"/>
        <v>47638549.302081428</v>
      </c>
    </row>
    <row r="127" spans="1:20">
      <c r="A127" s="128">
        <v>43617</v>
      </c>
      <c r="B127" s="127">
        <f t="shared" si="40"/>
        <v>2019</v>
      </c>
      <c r="D127" s="127">
        <f t="shared" ca="1" si="41"/>
        <v>0.39669172932326546</v>
      </c>
      <c r="E127" s="127">
        <f t="shared" ca="1" si="41"/>
        <v>116.89315789473682</v>
      </c>
      <c r="F127" s="127">
        <f t="shared" si="41"/>
        <v>0</v>
      </c>
      <c r="G127" s="127">
        <f t="shared" si="41"/>
        <v>0</v>
      </c>
      <c r="H127" s="127">
        <f t="shared" si="12"/>
        <v>30</v>
      </c>
      <c r="I127" s="127">
        <f t="shared" si="41"/>
        <v>0</v>
      </c>
      <c r="J127" s="127">
        <f t="shared" si="13"/>
        <v>126</v>
      </c>
      <c r="L127" s="127">
        <f>'Res OLS Model'!$B$5</f>
        <v>-14695221.8516191</v>
      </c>
      <c r="M127" s="127">
        <f ca="1">'Res OLS Model'!$B$6*D127</f>
        <v>9576.9922685396359</v>
      </c>
      <c r="N127" s="127">
        <f ca="1">'Res OLS Model'!$B$7*E127</f>
        <v>20362775.217645679</v>
      </c>
      <c r="O127" s="127">
        <f>'Res OLS Model'!$B$8*F127</f>
        <v>0</v>
      </c>
      <c r="P127" s="127">
        <f>'Res OLS Model'!$B$9*G127</f>
        <v>0</v>
      </c>
      <c r="Q127" s="127">
        <f>'Res OLS Model'!$B$10*H127</f>
        <v>54058000.327266</v>
      </c>
      <c r="R127" s="127">
        <f>'Res OLS Model'!$B$11*I127</f>
        <v>0</v>
      </c>
      <c r="S127" s="127">
        <f>'Res OLS Model'!$B$12*J127</f>
        <v>-1606019.2632960966</v>
      </c>
      <c r="T127" s="127">
        <f t="shared" ca="1" si="42"/>
        <v>58129111.422265023</v>
      </c>
    </row>
    <row r="128" spans="1:20">
      <c r="A128" s="128">
        <v>43647</v>
      </c>
      <c r="B128" s="127">
        <f t="shared" si="40"/>
        <v>2019</v>
      </c>
      <c r="D128" s="127">
        <f t="shared" ca="1" si="41"/>
        <v>0.58105263157894704</v>
      </c>
      <c r="E128" s="127">
        <f t="shared" ca="1" si="41"/>
        <v>186.96526315789481</v>
      </c>
      <c r="F128" s="127">
        <f t="shared" si="41"/>
        <v>0</v>
      </c>
      <c r="G128" s="127">
        <f t="shared" si="41"/>
        <v>0</v>
      </c>
      <c r="H128" s="127">
        <f t="shared" si="12"/>
        <v>31</v>
      </c>
      <c r="I128" s="127">
        <f t="shared" si="41"/>
        <v>0</v>
      </c>
      <c r="J128" s="127">
        <f t="shared" si="13"/>
        <v>127</v>
      </c>
      <c r="L128" s="127">
        <f>'Res OLS Model'!$B$5</f>
        <v>-14695221.8516191</v>
      </c>
      <c r="M128" s="127">
        <f ca="1">'Res OLS Model'!$B$6*D128</f>
        <v>14027.861306156605</v>
      </c>
      <c r="N128" s="127">
        <f ca="1">'Res OLS Model'!$B$7*E128</f>
        <v>32569328.228950184</v>
      </c>
      <c r="O128" s="127">
        <f>'Res OLS Model'!$B$8*F128</f>
        <v>0</v>
      </c>
      <c r="P128" s="127">
        <f>'Res OLS Model'!$B$9*G128</f>
        <v>0</v>
      </c>
      <c r="Q128" s="127">
        <f>'Res OLS Model'!$B$10*H128</f>
        <v>55859933.6715082</v>
      </c>
      <c r="R128" s="127">
        <f>'Res OLS Model'!$B$11*I128</f>
        <v>0</v>
      </c>
      <c r="S128" s="127">
        <f>'Res OLS Model'!$B$12*J128</f>
        <v>-1618765.4479254307</v>
      </c>
      <c r="T128" s="127">
        <f t="shared" ca="1" si="42"/>
        <v>72129302.462219998</v>
      </c>
    </row>
    <row r="129" spans="1:20">
      <c r="A129" s="128">
        <v>43678</v>
      </c>
      <c r="B129" s="127">
        <f t="shared" si="40"/>
        <v>2019</v>
      </c>
      <c r="D129" s="127">
        <f t="shared" ca="1" si="41"/>
        <v>1.6660902255639058</v>
      </c>
      <c r="E129" s="127">
        <f t="shared" ca="1" si="41"/>
        <v>167.43443609022574</v>
      </c>
      <c r="F129" s="127">
        <f t="shared" si="41"/>
        <v>0</v>
      </c>
      <c r="G129" s="127">
        <f t="shared" si="41"/>
        <v>0</v>
      </c>
      <c r="H129" s="127">
        <f t="shared" si="12"/>
        <v>31</v>
      </c>
      <c r="I129" s="127">
        <f t="shared" si="41"/>
        <v>0</v>
      </c>
      <c r="J129" s="127">
        <f t="shared" si="13"/>
        <v>128</v>
      </c>
      <c r="L129" s="127">
        <f>'Res OLS Model'!$B$5</f>
        <v>-14695221.8516191</v>
      </c>
      <c r="M129" s="127">
        <f ca="1">'Res OLS Model'!$B$6*D129</f>
        <v>40223.004487981838</v>
      </c>
      <c r="N129" s="127">
        <f ca="1">'Res OLS Model'!$B$7*E129</f>
        <v>29167060.307060447</v>
      </c>
      <c r="O129" s="127">
        <f>'Res OLS Model'!$B$8*F129</f>
        <v>0</v>
      </c>
      <c r="P129" s="127">
        <f>'Res OLS Model'!$B$9*G129</f>
        <v>0</v>
      </c>
      <c r="Q129" s="127">
        <f>'Res OLS Model'!$B$10*H129</f>
        <v>55859933.6715082</v>
      </c>
      <c r="R129" s="127">
        <f>'Res OLS Model'!$B$11*I129</f>
        <v>0</v>
      </c>
      <c r="S129" s="127">
        <f>'Res OLS Model'!$B$12*J129</f>
        <v>-1631511.6325547649</v>
      </c>
      <c r="T129" s="127">
        <f t="shared" ca="1" si="42"/>
        <v>68740483.498882756</v>
      </c>
    </row>
    <row r="130" spans="1:20">
      <c r="A130" s="128">
        <v>43709</v>
      </c>
      <c r="B130" s="127">
        <f t="shared" si="40"/>
        <v>2019</v>
      </c>
      <c r="D130" s="127">
        <f t="shared" ca="1" si="41"/>
        <v>30.410827067669118</v>
      </c>
      <c r="E130" s="127">
        <f t="shared" ca="1" si="41"/>
        <v>83.003533834586506</v>
      </c>
      <c r="F130" s="127">
        <f t="shared" si="41"/>
        <v>0</v>
      </c>
      <c r="G130" s="127">
        <f t="shared" si="41"/>
        <v>1</v>
      </c>
      <c r="H130" s="127">
        <f t="shared" si="12"/>
        <v>30</v>
      </c>
      <c r="I130" s="127">
        <f t="shared" si="41"/>
        <v>1</v>
      </c>
      <c r="J130" s="127">
        <f t="shared" si="13"/>
        <v>129</v>
      </c>
      <c r="L130" s="127">
        <f>'Res OLS Model'!$B$5</f>
        <v>-14695221.8516191</v>
      </c>
      <c r="M130" s="127">
        <f ca="1">'Res OLS Model'!$B$6*D130</f>
        <v>734182.82807108155</v>
      </c>
      <c r="N130" s="127">
        <f ca="1">'Res OLS Model'!$B$7*E130</f>
        <v>14459206.442741111</v>
      </c>
      <c r="O130" s="127">
        <f>'Res OLS Model'!$B$8*F130</f>
        <v>0</v>
      </c>
      <c r="P130" s="127">
        <f>'Res OLS Model'!$B$9*G130</f>
        <v>-2399238.63510927</v>
      </c>
      <c r="Q130" s="127">
        <f>'Res OLS Model'!$B$10*H130</f>
        <v>54058000.327266</v>
      </c>
      <c r="R130" s="127">
        <f>'Res OLS Model'!$B$11*I130</f>
        <v>2497427.94615121</v>
      </c>
      <c r="S130" s="127">
        <f>'Res OLS Model'!$B$12*J130</f>
        <v>-1644257.817184099</v>
      </c>
      <c r="T130" s="127">
        <f t="shared" ca="1" si="42"/>
        <v>53010099.240316935</v>
      </c>
    </row>
    <row r="131" spans="1:20">
      <c r="A131" s="128">
        <v>43739</v>
      </c>
      <c r="B131" s="127">
        <f t="shared" si="40"/>
        <v>2019</v>
      </c>
      <c r="D131" s="127">
        <f t="shared" ref="D131:I145" ca="1" si="43">D119</f>
        <v>158.93676691729343</v>
      </c>
      <c r="E131" s="127">
        <f t="shared" ca="1" si="43"/>
        <v>16.916090225563948</v>
      </c>
      <c r="F131" s="127">
        <f t="shared" si="43"/>
        <v>0</v>
      </c>
      <c r="G131" s="127">
        <f t="shared" si="43"/>
        <v>1</v>
      </c>
      <c r="H131" s="127">
        <f t="shared" si="12"/>
        <v>31</v>
      </c>
      <c r="I131" s="127">
        <f t="shared" si="43"/>
        <v>0</v>
      </c>
      <c r="J131" s="127">
        <f t="shared" si="13"/>
        <v>130</v>
      </c>
      <c r="L131" s="127">
        <f>'Res OLS Model'!$B$5</f>
        <v>-14695221.8516191</v>
      </c>
      <c r="M131" s="127">
        <f ca="1">'Res OLS Model'!$B$6*D131</f>
        <v>3837075.6822943771</v>
      </c>
      <c r="N131" s="127">
        <f ca="1">'Res OLS Model'!$B$7*E131</f>
        <v>2946781.0522730458</v>
      </c>
      <c r="O131" s="127">
        <f>'Res OLS Model'!$B$8*F131</f>
        <v>0</v>
      </c>
      <c r="P131" s="127">
        <f>'Res OLS Model'!$B$9*G131</f>
        <v>-2399238.63510927</v>
      </c>
      <c r="Q131" s="127">
        <f>'Res OLS Model'!$B$10*H131</f>
        <v>55859933.6715082</v>
      </c>
      <c r="R131" s="127">
        <f>'Res OLS Model'!$B$11*I131</f>
        <v>0</v>
      </c>
      <c r="S131" s="127">
        <f>'Res OLS Model'!$B$12*J131</f>
        <v>-1657004.0018134331</v>
      </c>
      <c r="T131" s="127">
        <f t="shared" ca="1" si="42"/>
        <v>43892325.917533822</v>
      </c>
    </row>
    <row r="132" spans="1:20">
      <c r="A132" s="128">
        <v>43770</v>
      </c>
      <c r="B132" s="127">
        <f t="shared" si="40"/>
        <v>2019</v>
      </c>
      <c r="D132" s="127">
        <f t="shared" ca="1" si="43"/>
        <v>375.92533834586447</v>
      </c>
      <c r="E132" s="127">
        <f t="shared" ca="1" si="43"/>
        <v>8.120300751879661E-2</v>
      </c>
      <c r="F132" s="127">
        <f t="shared" si="43"/>
        <v>0</v>
      </c>
      <c r="G132" s="127">
        <f t="shared" si="43"/>
        <v>1</v>
      </c>
      <c r="H132" s="127">
        <f t="shared" si="12"/>
        <v>30</v>
      </c>
      <c r="I132" s="127">
        <f t="shared" si="43"/>
        <v>0</v>
      </c>
      <c r="J132" s="127">
        <f t="shared" si="13"/>
        <v>131</v>
      </c>
      <c r="L132" s="127">
        <f>'Res OLS Model'!$B$5</f>
        <v>-14695221.8516191</v>
      </c>
      <c r="M132" s="127">
        <f ca="1">'Res OLS Model'!$B$6*D132</f>
        <v>9075646.8883994482</v>
      </c>
      <c r="N132" s="127">
        <f ca="1">'Res OLS Model'!$B$7*E132</f>
        <v>14145.5549570408</v>
      </c>
      <c r="O132" s="127">
        <f>'Res OLS Model'!$B$8*F132</f>
        <v>0</v>
      </c>
      <c r="P132" s="127">
        <f>'Res OLS Model'!$B$9*G132</f>
        <v>-2399238.63510927</v>
      </c>
      <c r="Q132" s="127">
        <f>'Res OLS Model'!$B$10*H132</f>
        <v>54058000.327266</v>
      </c>
      <c r="R132" s="127">
        <f>'Res OLS Model'!$B$11*I132</f>
        <v>0</v>
      </c>
      <c r="S132" s="127">
        <f>'Res OLS Model'!$B$12*J132</f>
        <v>-1669750.1864427673</v>
      </c>
      <c r="T132" s="127">
        <f t="shared" ca="1" si="42"/>
        <v>44383582.097451352</v>
      </c>
    </row>
    <row r="133" spans="1:20">
      <c r="A133" s="128">
        <v>43800</v>
      </c>
      <c r="B133" s="127">
        <f t="shared" si="40"/>
        <v>2019</v>
      </c>
      <c r="D133" s="127">
        <f t="shared" ca="1" si="43"/>
        <v>548.76120300751859</v>
      </c>
      <c r="E133" s="127">
        <f t="shared" ca="1" si="43"/>
        <v>0</v>
      </c>
      <c r="F133" s="127">
        <f t="shared" si="43"/>
        <v>0</v>
      </c>
      <c r="G133" s="127">
        <f t="shared" si="43"/>
        <v>0</v>
      </c>
      <c r="H133" s="127">
        <f t="shared" si="12"/>
        <v>31</v>
      </c>
      <c r="I133" s="127">
        <f t="shared" si="43"/>
        <v>0</v>
      </c>
      <c r="J133" s="127">
        <f t="shared" si="13"/>
        <v>132</v>
      </c>
      <c r="L133" s="127">
        <f>'Res OLS Model'!$B$5</f>
        <v>-14695221.8516191</v>
      </c>
      <c r="M133" s="127">
        <f ca="1">'Res OLS Model'!$B$6*D133</f>
        <v>13248276.709582731</v>
      </c>
      <c r="N133" s="127">
        <f ca="1">'Res OLS Model'!$B$7*E133</f>
        <v>0</v>
      </c>
      <c r="O133" s="127">
        <f>'Res OLS Model'!$B$8*F133</f>
        <v>0</v>
      </c>
      <c r="P133" s="127">
        <f>'Res OLS Model'!$B$9*G133</f>
        <v>0</v>
      </c>
      <c r="Q133" s="127">
        <f>'Res OLS Model'!$B$10*H133</f>
        <v>55859933.6715082</v>
      </c>
      <c r="R133" s="127">
        <f>'Res OLS Model'!$B$11*I133</f>
        <v>0</v>
      </c>
      <c r="S133" s="127">
        <f>'Res OLS Model'!$B$12*J133</f>
        <v>-1682496.3710721012</v>
      </c>
      <c r="T133" s="127">
        <f t="shared" ca="1" si="42"/>
        <v>52730492.158399731</v>
      </c>
    </row>
    <row r="134" spans="1:20">
      <c r="A134" s="128">
        <v>43831</v>
      </c>
      <c r="B134" s="127">
        <f t="shared" si="40"/>
        <v>2020</v>
      </c>
      <c r="D134" s="127">
        <f t="shared" ca="1" si="43"/>
        <v>665.14879699248104</v>
      </c>
      <c r="E134" s="127">
        <f t="shared" ca="1" si="43"/>
        <v>0</v>
      </c>
      <c r="F134" s="127">
        <f t="shared" si="43"/>
        <v>0</v>
      </c>
      <c r="G134" s="127">
        <f t="shared" si="43"/>
        <v>0</v>
      </c>
      <c r="H134" s="127">
        <f t="shared" si="12"/>
        <v>31</v>
      </c>
      <c r="I134" s="127">
        <f t="shared" si="43"/>
        <v>0</v>
      </c>
      <c r="J134" s="127">
        <f t="shared" si="13"/>
        <v>133</v>
      </c>
      <c r="L134" s="127">
        <f>'Res OLS Model'!$B$5</f>
        <v>-14695221.8516191</v>
      </c>
      <c r="M134" s="127">
        <f ca="1">'Res OLS Model'!$B$6*D134</f>
        <v>16058123.765505565</v>
      </c>
      <c r="N134" s="127">
        <f ca="1">'Res OLS Model'!$B$7*E134</f>
        <v>0</v>
      </c>
      <c r="O134" s="127">
        <f>'Res OLS Model'!$B$8*F134</f>
        <v>0</v>
      </c>
      <c r="P134" s="127">
        <f>'Res OLS Model'!$B$9*G134</f>
        <v>0</v>
      </c>
      <c r="Q134" s="127">
        <f>'Res OLS Model'!$B$10*H134</f>
        <v>55859933.6715082</v>
      </c>
      <c r="R134" s="127">
        <f>'Res OLS Model'!$B$11*I134</f>
        <v>0</v>
      </c>
      <c r="S134" s="127">
        <f>'Res OLS Model'!$B$12*J134</f>
        <v>-1695242.5557014353</v>
      </c>
      <c r="T134" s="127">
        <f t="shared" ca="1" si="42"/>
        <v>55527593.029693231</v>
      </c>
    </row>
    <row r="135" spans="1:20">
      <c r="A135" s="128">
        <v>43862</v>
      </c>
      <c r="B135" s="127">
        <f t="shared" si="40"/>
        <v>2020</v>
      </c>
      <c r="D135" s="127">
        <f t="shared" ca="1" si="43"/>
        <v>611.17548872180487</v>
      </c>
      <c r="E135" s="127">
        <f t="shared" ca="1" si="43"/>
        <v>0</v>
      </c>
      <c r="F135" s="127">
        <f t="shared" si="43"/>
        <v>0</v>
      </c>
      <c r="G135" s="127">
        <f t="shared" si="43"/>
        <v>0</v>
      </c>
      <c r="H135" s="127">
        <f t="shared" si="12"/>
        <v>29</v>
      </c>
      <c r="I135" s="127">
        <f t="shared" si="43"/>
        <v>0</v>
      </c>
      <c r="J135" s="127">
        <f t="shared" si="13"/>
        <v>134</v>
      </c>
      <c r="L135" s="127">
        <f>'Res OLS Model'!$B$5</f>
        <v>-14695221.8516191</v>
      </c>
      <c r="M135" s="127">
        <f ca="1">'Res OLS Model'!$B$6*D135</f>
        <v>14755091.920355735</v>
      </c>
      <c r="N135" s="127">
        <f ca="1">'Res OLS Model'!$B$7*E135</f>
        <v>0</v>
      </c>
      <c r="O135" s="127">
        <f>'Res OLS Model'!$B$8*F135</f>
        <v>0</v>
      </c>
      <c r="P135" s="127">
        <f>'Res OLS Model'!$B$9*G135</f>
        <v>0</v>
      </c>
      <c r="Q135" s="127">
        <f>'Res OLS Model'!$B$10*H135</f>
        <v>52256066.9830238</v>
      </c>
      <c r="R135" s="127">
        <f>'Res OLS Model'!$B$11*I135</f>
        <v>0</v>
      </c>
      <c r="S135" s="127">
        <f>'Res OLS Model'!$B$12*J135</f>
        <v>-1707988.7403307694</v>
      </c>
      <c r="T135" s="127">
        <f t="shared" ca="1" si="42"/>
        <v>50607948.311429664</v>
      </c>
    </row>
    <row r="136" spans="1:20">
      <c r="A136" s="128">
        <v>43891</v>
      </c>
      <c r="B136" s="127">
        <f t="shared" si="40"/>
        <v>2020</v>
      </c>
      <c r="D136" s="127">
        <f t="shared" ca="1" si="43"/>
        <v>458.46436090225569</v>
      </c>
      <c r="E136" s="127">
        <f t="shared" ca="1" si="43"/>
        <v>0.45218045112781802</v>
      </c>
      <c r="F136" s="127">
        <f t="shared" si="43"/>
        <v>1</v>
      </c>
      <c r="G136" s="127">
        <f t="shared" si="43"/>
        <v>0</v>
      </c>
      <c r="H136" s="127">
        <f t="shared" si="12"/>
        <v>31</v>
      </c>
      <c r="I136" s="127">
        <f t="shared" si="43"/>
        <v>0</v>
      </c>
      <c r="J136" s="127">
        <f t="shared" si="13"/>
        <v>135</v>
      </c>
      <c r="L136" s="127">
        <f>'Res OLS Model'!$B$5</f>
        <v>-14695221.8516191</v>
      </c>
      <c r="M136" s="127">
        <f ca="1">'Res OLS Model'!$B$6*D136</f>
        <v>11068316.567255335</v>
      </c>
      <c r="N136" s="127">
        <f ca="1">'Res OLS Model'!$B$7*E136</f>
        <v>78769.784733003224</v>
      </c>
      <c r="O136" s="127">
        <f>'Res OLS Model'!$B$8*F136</f>
        <v>-4177006.7225933699</v>
      </c>
      <c r="P136" s="127">
        <f>'Res OLS Model'!$B$9*G136</f>
        <v>0</v>
      </c>
      <c r="Q136" s="127">
        <f>'Res OLS Model'!$B$10*H136</f>
        <v>55859933.6715082</v>
      </c>
      <c r="R136" s="127">
        <f>'Res OLS Model'!$B$11*I136</f>
        <v>0</v>
      </c>
      <c r="S136" s="127">
        <f>'Res OLS Model'!$B$12*J136</f>
        <v>-1720734.9249601036</v>
      </c>
      <c r="T136" s="127">
        <f t="shared" ca="1" si="42"/>
        <v>46414056.524323963</v>
      </c>
    </row>
    <row r="137" spans="1:20">
      <c r="A137" s="128">
        <v>43922</v>
      </c>
      <c r="B137" s="127">
        <f t="shared" si="40"/>
        <v>2020</v>
      </c>
      <c r="D137" s="127">
        <f t="shared" ca="1" si="43"/>
        <v>254.29052631578941</v>
      </c>
      <c r="E137" s="127">
        <f t="shared" ca="1" si="43"/>
        <v>0.50947368421054762</v>
      </c>
      <c r="F137" s="127">
        <f t="shared" si="43"/>
        <v>1</v>
      </c>
      <c r="G137" s="127">
        <f t="shared" si="43"/>
        <v>0</v>
      </c>
      <c r="H137" s="127">
        <f t="shared" si="12"/>
        <v>30</v>
      </c>
      <c r="I137" s="127">
        <f t="shared" si="43"/>
        <v>0</v>
      </c>
      <c r="J137" s="127">
        <f t="shared" si="13"/>
        <v>136</v>
      </c>
      <c r="L137" s="127">
        <f>'Res OLS Model'!$B$5</f>
        <v>-14695221.8516191</v>
      </c>
      <c r="M137" s="127">
        <f ca="1">'Res OLS Model'!$B$6*D137</f>
        <v>6139120.6936523356</v>
      </c>
      <c r="N137" s="127">
        <f ca="1">'Res OLS Model'!$B$7*E137</f>
        <v>88750.259619363816</v>
      </c>
      <c r="O137" s="127">
        <f>'Res OLS Model'!$B$8*F137</f>
        <v>-4177006.7225933699</v>
      </c>
      <c r="P137" s="127">
        <f>'Res OLS Model'!$B$9*G137</f>
        <v>0</v>
      </c>
      <c r="Q137" s="127">
        <f>'Res OLS Model'!$B$10*H137</f>
        <v>54058000.327266</v>
      </c>
      <c r="R137" s="127">
        <f>'Res OLS Model'!$B$11*I137</f>
        <v>0</v>
      </c>
      <c r="S137" s="127">
        <f>'Res OLS Model'!$B$12*J137</f>
        <v>-1733481.1095894377</v>
      </c>
      <c r="T137" s="127">
        <f t="shared" ca="1" si="42"/>
        <v>39680161.596735798</v>
      </c>
    </row>
    <row r="138" spans="1:20">
      <c r="A138" s="128">
        <v>43952</v>
      </c>
      <c r="B138" s="127">
        <f t="shared" si="40"/>
        <v>2020</v>
      </c>
      <c r="D138" s="127">
        <f t="shared" ca="1" si="43"/>
        <v>102.64150375939857</v>
      </c>
      <c r="E138" s="127">
        <f t="shared" ca="1" si="43"/>
        <v>56.062781954887214</v>
      </c>
      <c r="F138" s="127">
        <f t="shared" si="43"/>
        <v>1</v>
      </c>
      <c r="G138" s="127">
        <f t="shared" si="43"/>
        <v>0</v>
      </c>
      <c r="H138" s="127">
        <f t="shared" si="12"/>
        <v>31</v>
      </c>
      <c r="I138" s="127">
        <f t="shared" si="43"/>
        <v>0</v>
      </c>
      <c r="J138" s="127">
        <f t="shared" si="13"/>
        <v>137</v>
      </c>
      <c r="L138" s="127">
        <f>'Res OLS Model'!$B$5</f>
        <v>-14695221.8516191</v>
      </c>
      <c r="M138" s="127">
        <f ca="1">'Res OLS Model'!$B$6*D138</f>
        <v>2477986.8479032353</v>
      </c>
      <c r="N138" s="127">
        <f ca="1">'Res OLS Model'!$B$7*E138</f>
        <v>9766130.4355492275</v>
      </c>
      <c r="O138" s="127">
        <f>'Res OLS Model'!$B$8*F138</f>
        <v>-4177006.7225933699</v>
      </c>
      <c r="P138" s="127">
        <f>'Res OLS Model'!$B$9*G138</f>
        <v>0</v>
      </c>
      <c r="Q138" s="127">
        <f>'Res OLS Model'!$B$10*H138</f>
        <v>55859933.6715082</v>
      </c>
      <c r="R138" s="127">
        <f>'Res OLS Model'!$B$11*I138</f>
        <v>0</v>
      </c>
      <c r="S138" s="127">
        <f>'Res OLS Model'!$B$12*J138</f>
        <v>-1746227.2942187719</v>
      </c>
      <c r="T138" s="127">
        <f t="shared" ca="1" si="42"/>
        <v>47485595.086529419</v>
      </c>
    </row>
    <row r="139" spans="1:20">
      <c r="A139" s="128">
        <v>43983</v>
      </c>
      <c r="B139" s="127">
        <f t="shared" si="40"/>
        <v>2020</v>
      </c>
      <c r="D139" s="127">
        <f t="shared" ca="1" si="43"/>
        <v>0.39669172932326546</v>
      </c>
      <c r="E139" s="127">
        <f t="shared" ca="1" si="43"/>
        <v>116.89315789473682</v>
      </c>
      <c r="F139" s="127">
        <f t="shared" si="43"/>
        <v>0</v>
      </c>
      <c r="G139" s="127">
        <f t="shared" si="43"/>
        <v>0</v>
      </c>
      <c r="H139" s="127">
        <f t="shared" si="12"/>
        <v>30</v>
      </c>
      <c r="I139" s="127">
        <f t="shared" si="43"/>
        <v>0</v>
      </c>
      <c r="J139" s="127">
        <f t="shared" si="13"/>
        <v>138</v>
      </c>
      <c r="L139" s="127">
        <f>'Res OLS Model'!$B$5</f>
        <v>-14695221.8516191</v>
      </c>
      <c r="M139" s="127">
        <f ca="1">'Res OLS Model'!$B$6*D139</f>
        <v>9576.9922685396359</v>
      </c>
      <c r="N139" s="127">
        <f ca="1">'Res OLS Model'!$B$7*E139</f>
        <v>20362775.217645679</v>
      </c>
      <c r="O139" s="127">
        <f>'Res OLS Model'!$B$8*F139</f>
        <v>0</v>
      </c>
      <c r="P139" s="127">
        <f>'Res OLS Model'!$B$9*G139</f>
        <v>0</v>
      </c>
      <c r="Q139" s="127">
        <f>'Res OLS Model'!$B$10*H139</f>
        <v>54058000.327266</v>
      </c>
      <c r="R139" s="127">
        <f>'Res OLS Model'!$B$11*I139</f>
        <v>0</v>
      </c>
      <c r="S139" s="127">
        <f>'Res OLS Model'!$B$12*J139</f>
        <v>-1758973.4788481058</v>
      </c>
      <c r="T139" s="127">
        <f t="shared" ca="1" si="42"/>
        <v>57976157.206713013</v>
      </c>
    </row>
    <row r="140" spans="1:20">
      <c r="A140" s="128">
        <v>44013</v>
      </c>
      <c r="B140" s="127">
        <f t="shared" si="40"/>
        <v>2020</v>
      </c>
      <c r="D140" s="127">
        <f t="shared" ca="1" si="43"/>
        <v>0.58105263157894704</v>
      </c>
      <c r="E140" s="127">
        <f t="shared" ca="1" si="43"/>
        <v>186.96526315789481</v>
      </c>
      <c r="F140" s="127">
        <f t="shared" si="43"/>
        <v>0</v>
      </c>
      <c r="G140" s="127">
        <f t="shared" si="43"/>
        <v>0</v>
      </c>
      <c r="H140" s="127">
        <f t="shared" si="12"/>
        <v>31</v>
      </c>
      <c r="I140" s="127">
        <f t="shared" si="43"/>
        <v>0</v>
      </c>
      <c r="J140" s="127">
        <f t="shared" si="13"/>
        <v>139</v>
      </c>
      <c r="L140" s="127">
        <f>'Res OLS Model'!$B$5</f>
        <v>-14695221.8516191</v>
      </c>
      <c r="M140" s="127">
        <f ca="1">'Res OLS Model'!$B$6*D140</f>
        <v>14027.861306156605</v>
      </c>
      <c r="N140" s="127">
        <f ca="1">'Res OLS Model'!$B$7*E140</f>
        <v>32569328.228950184</v>
      </c>
      <c r="O140" s="127">
        <f>'Res OLS Model'!$B$8*F140</f>
        <v>0</v>
      </c>
      <c r="P140" s="127">
        <f>'Res OLS Model'!$B$9*G140</f>
        <v>0</v>
      </c>
      <c r="Q140" s="127">
        <f>'Res OLS Model'!$B$10*H140</f>
        <v>55859933.6715082</v>
      </c>
      <c r="R140" s="127">
        <f>'Res OLS Model'!$B$11*I140</f>
        <v>0</v>
      </c>
      <c r="S140" s="127">
        <f>'Res OLS Model'!$B$12*J140</f>
        <v>-1771719.6634774399</v>
      </c>
      <c r="T140" s="127">
        <f t="shared" ca="1" si="42"/>
        <v>71976348.246667996</v>
      </c>
    </row>
    <row r="141" spans="1:20">
      <c r="A141" s="128">
        <v>44044</v>
      </c>
      <c r="B141" s="127">
        <f t="shared" si="40"/>
        <v>2020</v>
      </c>
      <c r="D141" s="127">
        <f t="shared" ca="1" si="43"/>
        <v>1.6660902255639058</v>
      </c>
      <c r="E141" s="127">
        <f t="shared" ca="1" si="43"/>
        <v>167.43443609022574</v>
      </c>
      <c r="F141" s="127">
        <f t="shared" si="43"/>
        <v>0</v>
      </c>
      <c r="G141" s="127">
        <f t="shared" si="43"/>
        <v>0</v>
      </c>
      <c r="H141" s="127">
        <f t="shared" si="12"/>
        <v>31</v>
      </c>
      <c r="I141" s="127">
        <f t="shared" si="43"/>
        <v>0</v>
      </c>
      <c r="J141" s="127">
        <f t="shared" si="13"/>
        <v>140</v>
      </c>
      <c r="L141" s="127">
        <f>'Res OLS Model'!$B$5</f>
        <v>-14695221.8516191</v>
      </c>
      <c r="M141" s="127">
        <f ca="1">'Res OLS Model'!$B$6*D141</f>
        <v>40223.004487981838</v>
      </c>
      <c r="N141" s="127">
        <f ca="1">'Res OLS Model'!$B$7*E141</f>
        <v>29167060.307060447</v>
      </c>
      <c r="O141" s="127">
        <f>'Res OLS Model'!$B$8*F141</f>
        <v>0</v>
      </c>
      <c r="P141" s="127">
        <f>'Res OLS Model'!$B$9*G141</f>
        <v>0</v>
      </c>
      <c r="Q141" s="127">
        <f>'Res OLS Model'!$B$10*H141</f>
        <v>55859933.6715082</v>
      </c>
      <c r="R141" s="127">
        <f>'Res OLS Model'!$B$11*I141</f>
        <v>0</v>
      </c>
      <c r="S141" s="127">
        <f>'Res OLS Model'!$B$12*J141</f>
        <v>-1784465.848106774</v>
      </c>
      <c r="T141" s="127">
        <f t="shared" ca="1" si="42"/>
        <v>68587529.283330753</v>
      </c>
    </row>
    <row r="142" spans="1:20">
      <c r="A142" s="128">
        <v>44075</v>
      </c>
      <c r="B142" s="127">
        <f t="shared" si="40"/>
        <v>2020</v>
      </c>
      <c r="D142" s="127">
        <f t="shared" ca="1" si="43"/>
        <v>30.410827067669118</v>
      </c>
      <c r="E142" s="127">
        <f t="shared" ca="1" si="43"/>
        <v>83.003533834586506</v>
      </c>
      <c r="F142" s="127">
        <f t="shared" si="43"/>
        <v>0</v>
      </c>
      <c r="G142" s="127">
        <f t="shared" si="43"/>
        <v>1</v>
      </c>
      <c r="H142" s="127">
        <f t="shared" si="12"/>
        <v>30</v>
      </c>
      <c r="I142" s="127">
        <f t="shared" si="43"/>
        <v>1</v>
      </c>
      <c r="J142" s="127">
        <f t="shared" si="13"/>
        <v>141</v>
      </c>
      <c r="L142" s="127">
        <f>'Res OLS Model'!$B$5</f>
        <v>-14695221.8516191</v>
      </c>
      <c r="M142" s="127">
        <f ca="1">'Res OLS Model'!$B$6*D142</f>
        <v>734182.82807108155</v>
      </c>
      <c r="N142" s="127">
        <f ca="1">'Res OLS Model'!$B$7*E142</f>
        <v>14459206.442741111</v>
      </c>
      <c r="O142" s="127">
        <f>'Res OLS Model'!$B$8*F142</f>
        <v>0</v>
      </c>
      <c r="P142" s="127">
        <f>'Res OLS Model'!$B$9*G142</f>
        <v>-2399238.63510927</v>
      </c>
      <c r="Q142" s="127">
        <f>'Res OLS Model'!$B$10*H142</f>
        <v>54058000.327266</v>
      </c>
      <c r="R142" s="127">
        <f>'Res OLS Model'!$B$11*I142</f>
        <v>2497427.94615121</v>
      </c>
      <c r="S142" s="127">
        <f>'Res OLS Model'!$B$12*J142</f>
        <v>-1797212.0327361082</v>
      </c>
      <c r="T142" s="127">
        <f t="shared" ca="1" si="42"/>
        <v>52857145.024764925</v>
      </c>
    </row>
    <row r="143" spans="1:20">
      <c r="A143" s="128">
        <v>44105</v>
      </c>
      <c r="B143" s="127">
        <f t="shared" si="40"/>
        <v>2020</v>
      </c>
      <c r="D143" s="127">
        <f t="shared" ca="1" si="43"/>
        <v>158.93676691729343</v>
      </c>
      <c r="E143" s="127">
        <f t="shared" ca="1" si="43"/>
        <v>16.916090225563948</v>
      </c>
      <c r="F143" s="127">
        <f t="shared" si="43"/>
        <v>0</v>
      </c>
      <c r="G143" s="127">
        <f t="shared" si="43"/>
        <v>1</v>
      </c>
      <c r="H143" s="127">
        <f t="shared" si="12"/>
        <v>31</v>
      </c>
      <c r="I143" s="127">
        <f t="shared" si="43"/>
        <v>0</v>
      </c>
      <c r="J143" s="127">
        <f t="shared" si="13"/>
        <v>142</v>
      </c>
      <c r="L143" s="127">
        <f>'Res OLS Model'!$B$5</f>
        <v>-14695221.8516191</v>
      </c>
      <c r="M143" s="127">
        <f ca="1">'Res OLS Model'!$B$6*D143</f>
        <v>3837075.6822943771</v>
      </c>
      <c r="N143" s="127">
        <f ca="1">'Res OLS Model'!$B$7*E143</f>
        <v>2946781.0522730458</v>
      </c>
      <c r="O143" s="127">
        <f>'Res OLS Model'!$B$8*F143</f>
        <v>0</v>
      </c>
      <c r="P143" s="127">
        <f>'Res OLS Model'!$B$9*G143</f>
        <v>-2399238.63510927</v>
      </c>
      <c r="Q143" s="127">
        <f>'Res OLS Model'!$B$10*H143</f>
        <v>55859933.6715082</v>
      </c>
      <c r="R143" s="127">
        <f>'Res OLS Model'!$B$11*I143</f>
        <v>0</v>
      </c>
      <c r="S143" s="127">
        <f>'Res OLS Model'!$B$12*J143</f>
        <v>-1809958.2173654423</v>
      </c>
      <c r="T143" s="127">
        <f t="shared" ca="1" si="42"/>
        <v>43739371.701981813</v>
      </c>
    </row>
    <row r="144" spans="1:20">
      <c r="A144" s="128">
        <v>44136</v>
      </c>
      <c r="B144" s="127">
        <f t="shared" si="40"/>
        <v>2020</v>
      </c>
      <c r="D144" s="127">
        <f t="shared" ca="1" si="43"/>
        <v>375.92533834586447</v>
      </c>
      <c r="E144" s="127">
        <f t="shared" ca="1" si="43"/>
        <v>8.120300751879661E-2</v>
      </c>
      <c r="F144" s="127">
        <f t="shared" si="43"/>
        <v>0</v>
      </c>
      <c r="G144" s="127">
        <f t="shared" si="43"/>
        <v>1</v>
      </c>
      <c r="H144" s="127">
        <f t="shared" si="12"/>
        <v>30</v>
      </c>
      <c r="I144" s="127">
        <f t="shared" si="43"/>
        <v>0</v>
      </c>
      <c r="J144" s="127">
        <f t="shared" si="13"/>
        <v>143</v>
      </c>
      <c r="L144" s="127">
        <f>'Res OLS Model'!$B$5</f>
        <v>-14695221.8516191</v>
      </c>
      <c r="M144" s="127">
        <f ca="1">'Res OLS Model'!$B$6*D144</f>
        <v>9075646.8883994482</v>
      </c>
      <c r="N144" s="127">
        <f ca="1">'Res OLS Model'!$B$7*E144</f>
        <v>14145.5549570408</v>
      </c>
      <c r="O144" s="127">
        <f>'Res OLS Model'!$B$8*F144</f>
        <v>0</v>
      </c>
      <c r="P144" s="127">
        <f>'Res OLS Model'!$B$9*G144</f>
        <v>-2399238.63510927</v>
      </c>
      <c r="Q144" s="127">
        <f>'Res OLS Model'!$B$10*H144</f>
        <v>54058000.327266</v>
      </c>
      <c r="R144" s="127">
        <f>'Res OLS Model'!$B$11*I144</f>
        <v>0</v>
      </c>
      <c r="S144" s="127">
        <f>'Res OLS Model'!$B$12*J144</f>
        <v>-1822704.4019947764</v>
      </c>
      <c r="T144" s="127">
        <f t="shared" ca="1" si="42"/>
        <v>44230627.881899342</v>
      </c>
    </row>
    <row r="145" spans="1:20">
      <c r="A145" s="128">
        <v>44166</v>
      </c>
      <c r="B145" s="127">
        <f t="shared" si="40"/>
        <v>2020</v>
      </c>
      <c r="D145" s="127">
        <f t="shared" ca="1" si="43"/>
        <v>548.76120300751859</v>
      </c>
      <c r="E145" s="127">
        <f t="shared" ca="1" si="43"/>
        <v>0</v>
      </c>
      <c r="F145" s="127">
        <f t="shared" si="43"/>
        <v>0</v>
      </c>
      <c r="G145" s="127">
        <f t="shared" si="43"/>
        <v>0</v>
      </c>
      <c r="H145" s="127">
        <f t="shared" si="12"/>
        <v>31</v>
      </c>
      <c r="I145" s="127">
        <f t="shared" si="43"/>
        <v>0</v>
      </c>
      <c r="J145" s="127">
        <f t="shared" si="13"/>
        <v>144</v>
      </c>
      <c r="L145" s="127">
        <f>'Res OLS Model'!$B$5</f>
        <v>-14695221.8516191</v>
      </c>
      <c r="M145" s="127">
        <f ca="1">'Res OLS Model'!$B$6*D145</f>
        <v>13248276.709582731</v>
      </c>
      <c r="N145" s="127">
        <f ca="1">'Res OLS Model'!$B$7*E145</f>
        <v>0</v>
      </c>
      <c r="O145" s="127">
        <f>'Res OLS Model'!$B$8*F145</f>
        <v>0</v>
      </c>
      <c r="P145" s="127">
        <f>'Res OLS Model'!$B$9*G145</f>
        <v>0</v>
      </c>
      <c r="Q145" s="127">
        <f>'Res OLS Model'!$B$10*H145</f>
        <v>55859933.6715082</v>
      </c>
      <c r="R145" s="127">
        <f>'Res OLS Model'!$B$11*I145</f>
        <v>0</v>
      </c>
      <c r="S145" s="127">
        <f>'Res OLS Model'!$B$12*J145</f>
        <v>-1835450.5866241106</v>
      </c>
      <c r="T145" s="127">
        <f t="shared" ca="1" si="42"/>
        <v>52577537.942847721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E229C-9C8A-46F4-81A5-084B968382F1}">
  <dimension ref="A1:V145"/>
  <sheetViews>
    <sheetView workbookViewId="0">
      <selection activeCell="A13" sqref="A2:XFD13"/>
    </sheetView>
  </sheetViews>
  <sheetFormatPr defaultRowHeight="12.75"/>
  <cols>
    <col min="1" max="1" width="10.33203125" style="127" bestFit="1" customWidth="1"/>
    <col min="2" max="2" width="5" style="127" bestFit="1" customWidth="1"/>
    <col min="3" max="3" width="17.1640625" style="127" bestFit="1" customWidth="1"/>
    <col min="4" max="4" width="6.6640625" style="127" customWidth="1"/>
    <col min="5" max="5" width="6" style="127" bestFit="1" customWidth="1"/>
    <col min="6" max="6" width="8.83203125" style="127" bestFit="1" customWidth="1"/>
    <col min="7" max="7" width="5.33203125" style="127" bestFit="1" customWidth="1"/>
    <col min="8" max="8" width="4.1640625" style="127" bestFit="1" customWidth="1"/>
    <col min="9" max="9" width="4.33203125" style="127" bestFit="1" customWidth="1"/>
    <col min="10" max="10" width="7.83203125" style="127" bestFit="1" customWidth="1"/>
    <col min="11" max="11" width="10.1640625" style="127" bestFit="1" customWidth="1"/>
    <col min="12" max="12" width="9.33203125" style="127"/>
    <col min="13" max="13" width="12.6640625" style="127" bestFit="1" customWidth="1"/>
    <col min="14" max="15" width="12" style="127" bestFit="1" customWidth="1"/>
    <col min="16" max="16" width="15.83203125" style="127" customWidth="1"/>
    <col min="17" max="17" width="12.6640625" style="127" bestFit="1" customWidth="1"/>
    <col min="18" max="19" width="12" style="127" bestFit="1" customWidth="1"/>
    <col min="20" max="20" width="12.6640625" style="127" bestFit="1" customWidth="1"/>
    <col min="21" max="22" width="12" style="127" bestFit="1" customWidth="1"/>
    <col min="23" max="16384" width="9.33203125" style="127"/>
  </cols>
  <sheetData>
    <row r="1" spans="1:22">
      <c r="A1" s="127" t="s">
        <v>123</v>
      </c>
      <c r="B1" s="127" t="s">
        <v>124</v>
      </c>
      <c r="C1" s="127" t="str">
        <f>'Monthly Data'!J1</f>
        <v>GS_lt_50_No_CDM</v>
      </c>
      <c r="D1" s="127" t="str">
        <f>'Monthly Data'!BH1</f>
        <v>HDD</v>
      </c>
      <c r="E1" s="127" t="str">
        <f>'Monthly Data'!BI1</f>
        <v>CDD</v>
      </c>
      <c r="F1" s="124" t="str">
        <f>'Monthly Data'!BK1</f>
        <v>Windsor_Empl</v>
      </c>
      <c r="G1" s="127" t="str">
        <f>'Monthly Data'!BM1</f>
        <v>Trend</v>
      </c>
      <c r="H1" s="127" t="str">
        <f>'Monthly Data'!BP1</f>
        <v>Mar</v>
      </c>
      <c r="I1" s="127" t="str">
        <f>'Monthly Data'!BV1</f>
        <v>Sept</v>
      </c>
      <c r="J1" s="127" t="str">
        <f>'Monthly Data'!CB1</f>
        <v>Shoulder</v>
      </c>
      <c r="K1" s="127" t="str">
        <f>'Monthly Data'!CC1</f>
        <v>Month Days</v>
      </c>
      <c r="M1" s="127" t="s">
        <v>91</v>
      </c>
      <c r="N1" s="127" t="str">
        <f t="shared" ref="N1:U1" si="0">D1</f>
        <v>HDD</v>
      </c>
      <c r="O1" s="127" t="str">
        <f t="shared" si="0"/>
        <v>CDD</v>
      </c>
      <c r="P1" s="127" t="str">
        <f t="shared" si="0"/>
        <v>Windsor_Empl</v>
      </c>
      <c r="Q1" s="127" t="str">
        <f t="shared" si="0"/>
        <v>Trend</v>
      </c>
      <c r="R1" s="127" t="str">
        <f t="shared" si="0"/>
        <v>Mar</v>
      </c>
      <c r="S1" s="127" t="str">
        <f t="shared" si="0"/>
        <v>Sept</v>
      </c>
      <c r="T1" s="127" t="str">
        <f t="shared" si="0"/>
        <v>Shoulder</v>
      </c>
      <c r="U1" s="127" t="str">
        <f t="shared" si="0"/>
        <v>Month Days</v>
      </c>
      <c r="V1" s="127" t="s">
        <v>125</v>
      </c>
    </row>
    <row r="2" spans="1:22">
      <c r="A2" s="128">
        <f>'Monthly Data'!A2</f>
        <v>39814</v>
      </c>
      <c r="B2" s="127">
        <f t="shared" ref="B2:B53" si="1">YEAR(A2)</f>
        <v>2009</v>
      </c>
      <c r="C2" s="127">
        <f ca="1">'Monthly Data'!J2</f>
        <v>20997000.576903876</v>
      </c>
      <c r="D2" s="144">
        <f ca="1">Weather!L69</f>
        <v>665.14879699248104</v>
      </c>
      <c r="E2" s="144">
        <f ca="1">Weather!M69</f>
        <v>0</v>
      </c>
      <c r="F2" s="124">
        <f>'Monthly Data'!BK2</f>
        <v>151.5</v>
      </c>
      <c r="G2" s="127">
        <f>'Monthly Data'!BM2</f>
        <v>1</v>
      </c>
      <c r="H2" s="127">
        <f>'Monthly Data'!BP2</f>
        <v>0</v>
      </c>
      <c r="I2" s="127">
        <f>'Monthly Data'!BV2</f>
        <v>0</v>
      </c>
      <c r="J2" s="127">
        <f>'Monthly Data'!CB2</f>
        <v>0</v>
      </c>
      <c r="K2" s="127">
        <f>'Monthly Data'!CC2</f>
        <v>31</v>
      </c>
      <c r="M2" s="127">
        <f>'GS &lt; 50 OLS Model'!$B$5</f>
        <v>-2510760.1679547098</v>
      </c>
      <c r="N2" s="127">
        <f ca="1">'GS &lt; 50 OLS Model'!$B$6*D2</f>
        <v>2897532.6716256719</v>
      </c>
      <c r="O2" s="127">
        <f ca="1">'GS &lt; 50 OLS Model'!$B$7*E2</f>
        <v>0</v>
      </c>
      <c r="P2" s="124">
        <f>'GS &lt; 50 OLS Model'!$B$8*F2</f>
        <v>6202406.5237341914</v>
      </c>
      <c r="Q2" s="127">
        <f>'GS &lt; 50 OLS Model'!$B$9*G2</f>
        <v>-20492.655304657099</v>
      </c>
      <c r="R2" s="127">
        <f>'GS &lt; 50 OLS Model'!$B$10*H2</f>
        <v>0</v>
      </c>
      <c r="S2" s="127">
        <f>'GS &lt; 50 OLS Model'!$B$11*I2</f>
        <v>0</v>
      </c>
      <c r="T2" s="127">
        <f>'GS &lt; 50 OLS Model'!$B$12*J2</f>
        <v>0</v>
      </c>
      <c r="U2" s="127">
        <f>'GS &lt; 50 OLS Model'!$B$13*K2</f>
        <v>14235755.378578186</v>
      </c>
      <c r="V2" s="127">
        <f t="shared" ref="V2:V53" ca="1" si="2">SUM(M2:U2)</f>
        <v>20804441.750678681</v>
      </c>
    </row>
    <row r="3" spans="1:22">
      <c r="A3" s="128">
        <f>'Monthly Data'!A3</f>
        <v>39845</v>
      </c>
      <c r="B3" s="127">
        <f t="shared" si="1"/>
        <v>2009</v>
      </c>
      <c r="C3" s="127">
        <f ca="1">'Monthly Data'!J3</f>
        <v>18534901.320222881</v>
      </c>
      <c r="D3" s="144">
        <f ca="1">Weather!L70</f>
        <v>611.17548872180487</v>
      </c>
      <c r="E3" s="144">
        <f ca="1">Weather!M70</f>
        <v>0</v>
      </c>
      <c r="F3" s="124">
        <f>'Monthly Data'!BK3</f>
        <v>149.69999999999999</v>
      </c>
      <c r="G3" s="127">
        <f>'Monthly Data'!BM3</f>
        <v>2</v>
      </c>
      <c r="H3" s="127">
        <f>'Monthly Data'!BP3</f>
        <v>0</v>
      </c>
      <c r="I3" s="127">
        <f>'Monthly Data'!BV3</f>
        <v>0</v>
      </c>
      <c r="J3" s="127">
        <f>'Monthly Data'!CB3</f>
        <v>0</v>
      </c>
      <c r="K3" s="127">
        <f>'Monthly Data'!CC3</f>
        <v>28</v>
      </c>
      <c r="M3" s="127">
        <f>'GS &lt; 50 OLS Model'!$B$5</f>
        <v>-2510760.1679547098</v>
      </c>
      <c r="N3" s="127">
        <f ca="1">'GS &lt; 50 OLS Model'!$B$6*D3</f>
        <v>2662413.2144198036</v>
      </c>
      <c r="O3" s="127">
        <f ca="1">'GS &lt; 50 OLS Model'!$B$7*E3</f>
        <v>0</v>
      </c>
      <c r="P3" s="124">
        <f>'GS &lt; 50 OLS Model'!$B$8*F3</f>
        <v>6128714.5650363583</v>
      </c>
      <c r="Q3" s="127">
        <f>'GS &lt; 50 OLS Model'!$B$9*G3</f>
        <v>-40985.310609314198</v>
      </c>
      <c r="R3" s="127">
        <f>'GS &lt; 50 OLS Model'!$B$10*H3</f>
        <v>0</v>
      </c>
      <c r="S3" s="127">
        <f>'GS &lt; 50 OLS Model'!$B$11*I3</f>
        <v>0</v>
      </c>
      <c r="T3" s="127">
        <f>'GS &lt; 50 OLS Model'!$B$12*J3</f>
        <v>0</v>
      </c>
      <c r="U3" s="127">
        <f>'GS &lt; 50 OLS Model'!$B$13*K3</f>
        <v>12858101.632264167</v>
      </c>
      <c r="V3" s="127">
        <f t="shared" ca="1" si="2"/>
        <v>19097483.933156304</v>
      </c>
    </row>
    <row r="4" spans="1:22">
      <c r="A4" s="128">
        <f>'Monthly Data'!A4</f>
        <v>39873</v>
      </c>
      <c r="B4" s="127">
        <f t="shared" si="1"/>
        <v>2009</v>
      </c>
      <c r="C4" s="127">
        <f ca="1">'Monthly Data'!J4</f>
        <v>18954018.30274988</v>
      </c>
      <c r="D4" s="144">
        <f ca="1">Weather!L71</f>
        <v>458.46436090225569</v>
      </c>
      <c r="E4" s="144">
        <f ca="1">Weather!M71</f>
        <v>0.45218045112781802</v>
      </c>
      <c r="F4" s="124">
        <f>'Monthly Data'!BK4</f>
        <v>147.19999999999999</v>
      </c>
      <c r="G4" s="127">
        <f>'Monthly Data'!BM4</f>
        <v>3</v>
      </c>
      <c r="H4" s="127">
        <f>'Monthly Data'!BP4</f>
        <v>1</v>
      </c>
      <c r="I4" s="127">
        <f>'Monthly Data'!BV4</f>
        <v>0</v>
      </c>
      <c r="J4" s="127">
        <f>'Monthly Data'!CB4</f>
        <v>1</v>
      </c>
      <c r="K4" s="127">
        <f>'Monthly Data'!CC4</f>
        <v>31</v>
      </c>
      <c r="M4" s="127">
        <f>'GS &lt; 50 OLS Model'!$B$5</f>
        <v>-2510760.1679547098</v>
      </c>
      <c r="N4" s="127">
        <f ca="1">'GS &lt; 50 OLS Model'!$B$6*D4</f>
        <v>1997170.3632281933</v>
      </c>
      <c r="O4" s="127">
        <f ca="1">'GS &lt; 50 OLS Model'!$B$7*E4</f>
        <v>10737.204724281946</v>
      </c>
      <c r="P4" s="124">
        <f>'GS &lt; 50 OLS Model'!$B$8*F4</f>
        <v>6026364.6224004813</v>
      </c>
      <c r="Q4" s="127">
        <f>'GS &lt; 50 OLS Model'!$B$9*G4</f>
        <v>-61477.965913971297</v>
      </c>
      <c r="R4" s="127">
        <f>'GS &lt; 50 OLS Model'!$B$10*H4</f>
        <v>419453.43275174301</v>
      </c>
      <c r="S4" s="127">
        <f>'GS &lt; 50 OLS Model'!$B$11*I4</f>
        <v>0</v>
      </c>
      <c r="T4" s="127">
        <f>'GS &lt; 50 OLS Model'!$B$12*J4</f>
        <v>-782960.312499544</v>
      </c>
      <c r="U4" s="127">
        <f>'GS &lt; 50 OLS Model'!$B$13*K4</f>
        <v>14235755.378578186</v>
      </c>
      <c r="V4" s="127">
        <f t="shared" ca="1" si="2"/>
        <v>19334282.55531466</v>
      </c>
    </row>
    <row r="5" spans="1:22">
      <c r="A5" s="128">
        <f>'Monthly Data'!A5</f>
        <v>39904</v>
      </c>
      <c r="B5" s="127">
        <f t="shared" si="1"/>
        <v>2009</v>
      </c>
      <c r="C5" s="127">
        <f ca="1">'Monthly Data'!J5</f>
        <v>16925516.165353876</v>
      </c>
      <c r="D5" s="144">
        <f ca="1">Weather!L72</f>
        <v>254.29052631578941</v>
      </c>
      <c r="E5" s="144">
        <f ca="1">Weather!M72</f>
        <v>0.50947368421054762</v>
      </c>
      <c r="F5" s="124">
        <f>'Monthly Data'!BK5</f>
        <v>147.4</v>
      </c>
      <c r="G5" s="127">
        <f>'Monthly Data'!BM5</f>
        <v>4</v>
      </c>
      <c r="H5" s="127">
        <f>'Monthly Data'!BP5</f>
        <v>0</v>
      </c>
      <c r="I5" s="127">
        <f>'Monthly Data'!BV5</f>
        <v>0</v>
      </c>
      <c r="J5" s="127">
        <f>'Monthly Data'!CB5</f>
        <v>1</v>
      </c>
      <c r="K5" s="127">
        <f>'Monthly Data'!CC5</f>
        <v>30</v>
      </c>
      <c r="M5" s="127">
        <f>'GS &lt; 50 OLS Model'!$B$5</f>
        <v>-2510760.1679547098</v>
      </c>
      <c r="N5" s="127">
        <f ca="1">'GS &lt; 50 OLS Model'!$B$6*D5</f>
        <v>1107744.7804407841</v>
      </c>
      <c r="O5" s="127">
        <f ca="1">'GS &lt; 50 OLS Model'!$B$7*E5</f>
        <v>12097.655339497465</v>
      </c>
      <c r="P5" s="124">
        <f>'GS &lt; 50 OLS Model'!$B$8*F5</f>
        <v>6034552.617811352</v>
      </c>
      <c r="Q5" s="127">
        <f>'GS &lt; 50 OLS Model'!$B$9*G5</f>
        <v>-81970.621218628396</v>
      </c>
      <c r="R5" s="127">
        <f>'GS &lt; 50 OLS Model'!$B$10*H5</f>
        <v>0</v>
      </c>
      <c r="S5" s="127">
        <f>'GS &lt; 50 OLS Model'!$B$11*I5</f>
        <v>0</v>
      </c>
      <c r="T5" s="127">
        <f>'GS &lt; 50 OLS Model'!$B$12*J5</f>
        <v>-782960.312499544</v>
      </c>
      <c r="U5" s="127">
        <f>'GS &lt; 50 OLS Model'!$B$13*K5</f>
        <v>13776537.46314018</v>
      </c>
      <c r="V5" s="127">
        <f t="shared" ca="1" si="2"/>
        <v>17555241.415058933</v>
      </c>
    </row>
    <row r="6" spans="1:22">
      <c r="A6" s="128">
        <f>'Monthly Data'!A6</f>
        <v>39934</v>
      </c>
      <c r="B6" s="127">
        <f t="shared" si="1"/>
        <v>2009</v>
      </c>
      <c r="C6" s="127">
        <f ca="1">'Monthly Data'!J6</f>
        <v>17278203.842076879</v>
      </c>
      <c r="D6" s="144">
        <f ca="1">Weather!L73</f>
        <v>102.64150375939857</v>
      </c>
      <c r="E6" s="144">
        <f ca="1">Weather!M73</f>
        <v>56.062781954887214</v>
      </c>
      <c r="F6" s="124">
        <f>'Monthly Data'!BK6</f>
        <v>147</v>
      </c>
      <c r="G6" s="127">
        <f>'Monthly Data'!BM6</f>
        <v>5</v>
      </c>
      <c r="H6" s="127">
        <f>'Monthly Data'!BP6</f>
        <v>0</v>
      </c>
      <c r="I6" s="127">
        <f>'Monthly Data'!BV6</f>
        <v>0</v>
      </c>
      <c r="J6" s="127">
        <f>'Monthly Data'!CB6</f>
        <v>1</v>
      </c>
      <c r="K6" s="127">
        <f>'Monthly Data'!CC6</f>
        <v>31</v>
      </c>
      <c r="M6" s="127">
        <f>'GS &lt; 50 OLS Model'!$B$5</f>
        <v>-2510760.1679547098</v>
      </c>
      <c r="N6" s="127">
        <f ca="1">'GS &lt; 50 OLS Model'!$B$6*D6</f>
        <v>447128.69053119334</v>
      </c>
      <c r="O6" s="127">
        <f ca="1">'GS &lt; 50 OLS Model'!$B$7*E6</f>
        <v>1331233.0636165608</v>
      </c>
      <c r="P6" s="124">
        <f>'GS &lt; 50 OLS Model'!$B$8*F6</f>
        <v>6018176.6269896114</v>
      </c>
      <c r="Q6" s="127">
        <f>'GS &lt; 50 OLS Model'!$B$9*G6</f>
        <v>-102463.27652328549</v>
      </c>
      <c r="R6" s="127">
        <f>'GS &lt; 50 OLS Model'!$B$10*H6</f>
        <v>0</v>
      </c>
      <c r="S6" s="127">
        <f>'GS &lt; 50 OLS Model'!$B$11*I6</f>
        <v>0</v>
      </c>
      <c r="T6" s="127">
        <f>'GS &lt; 50 OLS Model'!$B$12*J6</f>
        <v>-782960.312499544</v>
      </c>
      <c r="U6" s="127">
        <f>'GS &lt; 50 OLS Model'!$B$13*K6</f>
        <v>14235755.378578186</v>
      </c>
      <c r="V6" s="127">
        <f t="shared" ca="1" si="2"/>
        <v>18636110.002738014</v>
      </c>
    </row>
    <row r="7" spans="1:22">
      <c r="A7" s="128">
        <f>'Monthly Data'!A7</f>
        <v>39965</v>
      </c>
      <c r="B7" s="127">
        <f t="shared" si="1"/>
        <v>2009</v>
      </c>
      <c r="C7" s="127">
        <f ca="1">'Monthly Data'!J7</f>
        <v>18191454.642888878</v>
      </c>
      <c r="D7" s="144">
        <f ca="1">Weather!L74</f>
        <v>0.39669172932326546</v>
      </c>
      <c r="E7" s="144">
        <f ca="1">Weather!M74</f>
        <v>116.89315789473682</v>
      </c>
      <c r="F7" s="124">
        <f>'Monthly Data'!BK7</f>
        <v>146.4</v>
      </c>
      <c r="G7" s="127">
        <f>'Monthly Data'!BM7</f>
        <v>6</v>
      </c>
      <c r="H7" s="127">
        <f>'Monthly Data'!BP7</f>
        <v>0</v>
      </c>
      <c r="I7" s="127">
        <f>'Monthly Data'!BV7</f>
        <v>0</v>
      </c>
      <c r="J7" s="127">
        <f>'Monthly Data'!CB7</f>
        <v>0</v>
      </c>
      <c r="K7" s="127">
        <f>'Monthly Data'!CC7</f>
        <v>30</v>
      </c>
      <c r="M7" s="127">
        <f>'GS &lt; 50 OLS Model'!$B$5</f>
        <v>-2510760.1679547098</v>
      </c>
      <c r="N7" s="127">
        <f ca="1">'GS &lt; 50 OLS Model'!$B$6*D7</f>
        <v>1728.0753591904077</v>
      </c>
      <c r="O7" s="127">
        <f ca="1">'GS &lt; 50 OLS Model'!$B$7*E7</f>
        <v>2775674.5433225781</v>
      </c>
      <c r="P7" s="124">
        <f>'GS &lt; 50 OLS Model'!$B$8*F7</f>
        <v>5993612.640757001</v>
      </c>
      <c r="Q7" s="127">
        <f>'GS &lt; 50 OLS Model'!$B$9*G7</f>
        <v>-122955.93182794259</v>
      </c>
      <c r="R7" s="127">
        <f>'GS &lt; 50 OLS Model'!$B$10*H7</f>
        <v>0</v>
      </c>
      <c r="S7" s="127">
        <f>'GS &lt; 50 OLS Model'!$B$11*I7</f>
        <v>0</v>
      </c>
      <c r="T7" s="127">
        <f>'GS &lt; 50 OLS Model'!$B$12*J7</f>
        <v>0</v>
      </c>
      <c r="U7" s="127">
        <f>'GS &lt; 50 OLS Model'!$B$13*K7</f>
        <v>13776537.46314018</v>
      </c>
      <c r="V7" s="127">
        <f t="shared" ca="1" si="2"/>
        <v>19913836.622796297</v>
      </c>
    </row>
    <row r="8" spans="1:22">
      <c r="A8" s="128">
        <f>'Monthly Data'!A8</f>
        <v>39995</v>
      </c>
      <c r="B8" s="127">
        <f t="shared" si="1"/>
        <v>2009</v>
      </c>
      <c r="C8" s="127">
        <f ca="1">'Monthly Data'!J8</f>
        <v>20105262.722413879</v>
      </c>
      <c r="D8" s="144">
        <f ca="1">Weather!L75</f>
        <v>0.58105263157894704</v>
      </c>
      <c r="E8" s="144">
        <f ca="1">Weather!M75</f>
        <v>186.96526315789481</v>
      </c>
      <c r="F8" s="124">
        <f>'Monthly Data'!BK8</f>
        <v>145.19999999999999</v>
      </c>
      <c r="G8" s="127">
        <f>'Monthly Data'!BM8</f>
        <v>7</v>
      </c>
      <c r="H8" s="127">
        <f>'Monthly Data'!BP8</f>
        <v>0</v>
      </c>
      <c r="I8" s="127">
        <f>'Monthly Data'!BV8</f>
        <v>0</v>
      </c>
      <c r="J8" s="127">
        <f>'Monthly Data'!CB8</f>
        <v>0</v>
      </c>
      <c r="K8" s="127">
        <f>'Monthly Data'!CC8</f>
        <v>31</v>
      </c>
      <c r="M8" s="127">
        <f>'GS &lt; 50 OLS Model'!$B$5</f>
        <v>-2510760.1679547098</v>
      </c>
      <c r="N8" s="127">
        <f ca="1">'GS &lt; 50 OLS Model'!$B$6*D8</f>
        <v>2531.1915041366383</v>
      </c>
      <c r="O8" s="127">
        <f ca="1">'GS &lt; 50 OLS Model'!$B$7*E8</f>
        <v>4439564.5628831247</v>
      </c>
      <c r="P8" s="124">
        <f>'GS &lt; 50 OLS Model'!$B$8*F8</f>
        <v>5944484.6682917792</v>
      </c>
      <c r="Q8" s="127">
        <f>'GS &lt; 50 OLS Model'!$B$9*G8</f>
        <v>-143448.5871325997</v>
      </c>
      <c r="R8" s="127">
        <f>'GS &lt; 50 OLS Model'!$B$10*H8</f>
        <v>0</v>
      </c>
      <c r="S8" s="127">
        <f>'GS &lt; 50 OLS Model'!$B$11*I8</f>
        <v>0</v>
      </c>
      <c r="T8" s="127">
        <f>'GS &lt; 50 OLS Model'!$B$12*J8</f>
        <v>0</v>
      </c>
      <c r="U8" s="127">
        <f>'GS &lt; 50 OLS Model'!$B$13*K8</f>
        <v>14235755.378578186</v>
      </c>
      <c r="V8" s="127">
        <f t="shared" ca="1" si="2"/>
        <v>21968127.046169918</v>
      </c>
    </row>
    <row r="9" spans="1:22">
      <c r="A9" s="128">
        <f>'Monthly Data'!A9</f>
        <v>40026</v>
      </c>
      <c r="B9" s="127">
        <f t="shared" si="1"/>
        <v>2009</v>
      </c>
      <c r="C9" s="127">
        <f ca="1">'Monthly Data'!J9</f>
        <v>20523724.411321878</v>
      </c>
      <c r="D9" s="144">
        <f ca="1">Weather!L76</f>
        <v>1.6660902255639058</v>
      </c>
      <c r="E9" s="144">
        <f ca="1">Weather!M76</f>
        <v>167.43443609022574</v>
      </c>
      <c r="F9" s="124">
        <f>'Monthly Data'!BK9</f>
        <v>145.30000000000001</v>
      </c>
      <c r="G9" s="127">
        <f>'Monthly Data'!BM9</f>
        <v>8</v>
      </c>
      <c r="H9" s="127">
        <f>'Monthly Data'!BP9</f>
        <v>0</v>
      </c>
      <c r="I9" s="127">
        <f>'Monthly Data'!BV9</f>
        <v>0</v>
      </c>
      <c r="J9" s="127">
        <f>'Monthly Data'!CB9</f>
        <v>0</v>
      </c>
      <c r="K9" s="127">
        <f>'Monthly Data'!CC9</f>
        <v>31</v>
      </c>
      <c r="M9" s="127">
        <f>'GS &lt; 50 OLS Model'!$B$5</f>
        <v>-2510760.1679547098</v>
      </c>
      <c r="N9" s="127">
        <f ca="1">'GS &lt; 50 OLS Model'!$B$6*D9</f>
        <v>7257.8510015739739</v>
      </c>
      <c r="O9" s="127">
        <f ca="1">'GS &lt; 50 OLS Model'!$B$7*E9</f>
        <v>3975797.3032922582</v>
      </c>
      <c r="P9" s="124">
        <f>'GS &lt; 50 OLS Model'!$B$8*F9</f>
        <v>5948578.6659972146</v>
      </c>
      <c r="Q9" s="127">
        <f>'GS &lt; 50 OLS Model'!$B$9*G9</f>
        <v>-163941.24243725679</v>
      </c>
      <c r="R9" s="127">
        <f>'GS &lt; 50 OLS Model'!$B$10*H9</f>
        <v>0</v>
      </c>
      <c r="S9" s="127">
        <f>'GS &lt; 50 OLS Model'!$B$11*I9</f>
        <v>0</v>
      </c>
      <c r="T9" s="127">
        <f>'GS &lt; 50 OLS Model'!$B$12*J9</f>
        <v>0</v>
      </c>
      <c r="U9" s="127">
        <f>'GS &lt; 50 OLS Model'!$B$13*K9</f>
        <v>14235755.378578186</v>
      </c>
      <c r="V9" s="127">
        <f t="shared" ca="1" si="2"/>
        <v>21492687.788477264</v>
      </c>
    </row>
    <row r="10" spans="1:22">
      <c r="A10" s="128">
        <f>'Monthly Data'!A10</f>
        <v>40057</v>
      </c>
      <c r="B10" s="127">
        <f t="shared" si="1"/>
        <v>2009</v>
      </c>
      <c r="C10" s="127">
        <f ca="1">'Monthly Data'!J10</f>
        <v>18157087.066119879</v>
      </c>
      <c r="D10" s="144">
        <f ca="1">Weather!L77</f>
        <v>30.410827067669118</v>
      </c>
      <c r="E10" s="144">
        <f ca="1">Weather!M77</f>
        <v>83.003533834586506</v>
      </c>
      <c r="F10" s="124">
        <f>'Monthly Data'!BK10</f>
        <v>145.6</v>
      </c>
      <c r="G10" s="127">
        <f>'Monthly Data'!BM10</f>
        <v>9</v>
      </c>
      <c r="H10" s="127">
        <f>'Monthly Data'!BP10</f>
        <v>0</v>
      </c>
      <c r="I10" s="127">
        <f>'Monthly Data'!BV10</f>
        <v>1</v>
      </c>
      <c r="J10" s="127">
        <f>'Monthly Data'!CB10</f>
        <v>1</v>
      </c>
      <c r="K10" s="127">
        <f>'Monthly Data'!CC10</f>
        <v>30</v>
      </c>
      <c r="M10" s="127">
        <f>'GS &lt; 50 OLS Model'!$B$5</f>
        <v>-2510760.1679547098</v>
      </c>
      <c r="N10" s="127">
        <f ca="1">'GS &lt; 50 OLS Model'!$B$6*D10</f>
        <v>132476.16984072464</v>
      </c>
      <c r="O10" s="127">
        <f ca="1">'GS &lt; 50 OLS Model'!$B$7*E10</f>
        <v>1970951.936108568</v>
      </c>
      <c r="P10" s="124">
        <f>'GS &lt; 50 OLS Model'!$B$8*F10</f>
        <v>5960860.6591135198</v>
      </c>
      <c r="Q10" s="127">
        <f>'GS &lt; 50 OLS Model'!$B$9*G10</f>
        <v>-184433.89774191388</v>
      </c>
      <c r="R10" s="127">
        <f>'GS &lt; 50 OLS Model'!$B$10*H10</f>
        <v>0</v>
      </c>
      <c r="S10" s="127">
        <f>'GS &lt; 50 OLS Model'!$B$11*I10</f>
        <v>697390.17362184904</v>
      </c>
      <c r="T10" s="127">
        <f>'GS &lt; 50 OLS Model'!$B$12*J10</f>
        <v>-782960.312499544</v>
      </c>
      <c r="U10" s="127">
        <f>'GS &lt; 50 OLS Model'!$B$13*K10</f>
        <v>13776537.46314018</v>
      </c>
      <c r="V10" s="127">
        <f t="shared" ca="1" si="2"/>
        <v>19060062.023628674</v>
      </c>
    </row>
    <row r="11" spans="1:22">
      <c r="A11" s="128">
        <f>'Monthly Data'!A11</f>
        <v>40087</v>
      </c>
      <c r="B11" s="127">
        <f t="shared" si="1"/>
        <v>2009</v>
      </c>
      <c r="C11" s="127">
        <f ca="1">'Monthly Data'!J11</f>
        <v>17337285.180696879</v>
      </c>
      <c r="D11" s="144">
        <f ca="1">Weather!L78</f>
        <v>158.93676691729343</v>
      </c>
      <c r="E11" s="144">
        <f ca="1">Weather!M78</f>
        <v>16.916090225563948</v>
      </c>
      <c r="F11" s="124">
        <f>'Monthly Data'!BK11</f>
        <v>146.30000000000001</v>
      </c>
      <c r="G11" s="127">
        <f>'Monthly Data'!BM11</f>
        <v>10</v>
      </c>
      <c r="H11" s="127">
        <f>'Monthly Data'!BP11</f>
        <v>0</v>
      </c>
      <c r="I11" s="127">
        <f>'Monthly Data'!BV11</f>
        <v>0</v>
      </c>
      <c r="J11" s="127">
        <f>'Monthly Data'!CB11</f>
        <v>1</v>
      </c>
      <c r="K11" s="127">
        <f>'Monthly Data'!CC11</f>
        <v>31</v>
      </c>
      <c r="M11" s="127">
        <f>'GS &lt; 50 OLS Model'!$B$5</f>
        <v>-2510760.1679547098</v>
      </c>
      <c r="N11" s="127">
        <f ca="1">'GS &lt; 50 OLS Model'!$B$6*D11</f>
        <v>692363.08769963507</v>
      </c>
      <c r="O11" s="127">
        <f ca="1">'GS &lt; 50 OLS Model'!$B$7*E11</f>
        <v>401679.2929311379</v>
      </c>
      <c r="P11" s="124">
        <f>'GS &lt; 50 OLS Model'!$B$8*F11</f>
        <v>5989518.6430515656</v>
      </c>
      <c r="Q11" s="127">
        <f>'GS &lt; 50 OLS Model'!$B$9*G11</f>
        <v>-204926.55304657097</v>
      </c>
      <c r="R11" s="127">
        <f>'GS &lt; 50 OLS Model'!$B$10*H11</f>
        <v>0</v>
      </c>
      <c r="S11" s="127">
        <f>'GS &lt; 50 OLS Model'!$B$11*I11</f>
        <v>0</v>
      </c>
      <c r="T11" s="127">
        <f>'GS &lt; 50 OLS Model'!$B$12*J11</f>
        <v>-782960.312499544</v>
      </c>
      <c r="U11" s="127">
        <f>'GS &lt; 50 OLS Model'!$B$13*K11</f>
        <v>14235755.378578186</v>
      </c>
      <c r="V11" s="127">
        <f t="shared" ca="1" si="2"/>
        <v>17820669.368759699</v>
      </c>
    </row>
    <row r="12" spans="1:22">
      <c r="A12" s="128">
        <f>'Monthly Data'!A12</f>
        <v>40118</v>
      </c>
      <c r="B12" s="127">
        <f t="shared" si="1"/>
        <v>2009</v>
      </c>
      <c r="C12" s="127">
        <f ca="1">'Monthly Data'!J12</f>
        <v>17481165.503934875</v>
      </c>
      <c r="D12" s="144">
        <f ca="1">Weather!L79</f>
        <v>375.92533834586447</v>
      </c>
      <c r="E12" s="144">
        <f ca="1">Weather!M79</f>
        <v>8.120300751879661E-2</v>
      </c>
      <c r="F12" s="124">
        <f>'Monthly Data'!BK12</f>
        <v>146.4</v>
      </c>
      <c r="G12" s="127">
        <f>'Monthly Data'!BM12</f>
        <v>11</v>
      </c>
      <c r="H12" s="127">
        <f>'Monthly Data'!BP12</f>
        <v>0</v>
      </c>
      <c r="I12" s="127">
        <f>'Monthly Data'!BV12</f>
        <v>0</v>
      </c>
      <c r="J12" s="127">
        <f>'Monthly Data'!CB12</f>
        <v>1</v>
      </c>
      <c r="K12" s="127">
        <f>'Monthly Data'!CC12</f>
        <v>30</v>
      </c>
      <c r="M12" s="127">
        <f>'GS &lt; 50 OLS Model'!$B$5</f>
        <v>-2510760.1679547098</v>
      </c>
      <c r="N12" s="127">
        <f ca="1">'GS &lt; 50 OLS Model'!$B$6*D12</f>
        <v>1637612.4483337079</v>
      </c>
      <c r="O12" s="127">
        <f ca="1">'GS &lt; 50 OLS Model'!$B$7*E12</f>
        <v>1928.1977223519268</v>
      </c>
      <c r="P12" s="124">
        <f>'GS &lt; 50 OLS Model'!$B$8*F12</f>
        <v>5993612.640757001</v>
      </c>
      <c r="Q12" s="127">
        <f>'GS &lt; 50 OLS Model'!$B$9*G12</f>
        <v>-225419.2083512281</v>
      </c>
      <c r="R12" s="127">
        <f>'GS &lt; 50 OLS Model'!$B$10*H12</f>
        <v>0</v>
      </c>
      <c r="S12" s="127">
        <f>'GS &lt; 50 OLS Model'!$B$11*I12</f>
        <v>0</v>
      </c>
      <c r="T12" s="127">
        <f>'GS &lt; 50 OLS Model'!$B$12*J12</f>
        <v>-782960.312499544</v>
      </c>
      <c r="U12" s="127">
        <f>'GS &lt; 50 OLS Model'!$B$13*K12</f>
        <v>13776537.46314018</v>
      </c>
      <c r="V12" s="127">
        <f t="shared" ca="1" si="2"/>
        <v>17890551.061147757</v>
      </c>
    </row>
    <row r="13" spans="1:22">
      <c r="A13" s="128">
        <f>'Monthly Data'!A13</f>
        <v>40148</v>
      </c>
      <c r="B13" s="127">
        <f t="shared" si="1"/>
        <v>2009</v>
      </c>
      <c r="C13" s="127">
        <f ca="1">'Monthly Data'!J13</f>
        <v>19459671.383054875</v>
      </c>
      <c r="D13" s="144">
        <f ca="1">Weather!L80</f>
        <v>548.76120300751859</v>
      </c>
      <c r="E13" s="144">
        <f ca="1">Weather!M80</f>
        <v>0</v>
      </c>
      <c r="F13" s="124">
        <f>'Monthly Data'!BK13</f>
        <v>147.1</v>
      </c>
      <c r="G13" s="127">
        <f>'Monthly Data'!BM13</f>
        <v>12</v>
      </c>
      <c r="H13" s="127">
        <f>'Monthly Data'!BP13</f>
        <v>0</v>
      </c>
      <c r="I13" s="127">
        <f>'Monthly Data'!BV13</f>
        <v>0</v>
      </c>
      <c r="J13" s="127">
        <f>'Monthly Data'!CB13</f>
        <v>0</v>
      </c>
      <c r="K13" s="127">
        <f>'Monthly Data'!CC13</f>
        <v>31</v>
      </c>
      <c r="M13" s="127">
        <f>'GS &lt; 50 OLS Model'!$B$5</f>
        <v>-2510760.1679547098</v>
      </c>
      <c r="N13" s="127">
        <f ca="1">'GS &lt; 50 OLS Model'!$B$6*D13</f>
        <v>2390523.0255612521</v>
      </c>
      <c r="O13" s="127">
        <f ca="1">'GS &lt; 50 OLS Model'!$B$7*E13</f>
        <v>0</v>
      </c>
      <c r="P13" s="124">
        <f>'GS &lt; 50 OLS Model'!$B$8*F13</f>
        <v>6022270.6246950459</v>
      </c>
      <c r="Q13" s="127">
        <f>'GS &lt; 50 OLS Model'!$B$9*G13</f>
        <v>-245911.86365588519</v>
      </c>
      <c r="R13" s="127">
        <f>'GS &lt; 50 OLS Model'!$B$10*H13</f>
        <v>0</v>
      </c>
      <c r="S13" s="127">
        <f>'GS &lt; 50 OLS Model'!$B$11*I13</f>
        <v>0</v>
      </c>
      <c r="T13" s="127">
        <f>'GS &lt; 50 OLS Model'!$B$12*J13</f>
        <v>0</v>
      </c>
      <c r="U13" s="127">
        <f>'GS &lt; 50 OLS Model'!$B$13*K13</f>
        <v>14235755.378578186</v>
      </c>
      <c r="V13" s="127">
        <f t="shared" ca="1" si="2"/>
        <v>19891876.997223891</v>
      </c>
    </row>
    <row r="14" spans="1:22">
      <c r="A14" s="128">
        <f>'Monthly Data'!A14</f>
        <v>40179</v>
      </c>
      <c r="B14" s="127">
        <f t="shared" si="1"/>
        <v>2010</v>
      </c>
      <c r="C14" s="127">
        <f ca="1">'Monthly Data'!J14</f>
        <v>20364989.12032054</v>
      </c>
      <c r="D14" s="127">
        <f t="shared" ref="D14:E17" ca="1" si="3">D2</f>
        <v>665.14879699248104</v>
      </c>
      <c r="E14" s="127">
        <f t="shared" ca="1" si="3"/>
        <v>0</v>
      </c>
      <c r="F14" s="124">
        <f>'Monthly Data'!BK14</f>
        <v>146.9</v>
      </c>
      <c r="G14" s="127">
        <f>'Monthly Data'!BM14</f>
        <v>13</v>
      </c>
      <c r="H14" s="127">
        <f>'Monthly Data'!BP14</f>
        <v>0</v>
      </c>
      <c r="I14" s="127">
        <f>'Monthly Data'!BV14</f>
        <v>0</v>
      </c>
      <c r="J14" s="127">
        <f>'Monthly Data'!CB14</f>
        <v>0</v>
      </c>
      <c r="K14" s="127">
        <f>'Monthly Data'!CC14</f>
        <v>31</v>
      </c>
      <c r="M14" s="127">
        <f>'GS &lt; 50 OLS Model'!$B$5</f>
        <v>-2510760.1679547098</v>
      </c>
      <c r="N14" s="127">
        <f ca="1">'GS &lt; 50 OLS Model'!$B$6*D14</f>
        <v>2897532.6716256719</v>
      </c>
      <c r="O14" s="127">
        <f ca="1">'GS &lt; 50 OLS Model'!$B$7*E14</f>
        <v>0</v>
      </c>
      <c r="P14" s="124">
        <f>'GS &lt; 50 OLS Model'!$B$8*F14</f>
        <v>6014082.629284176</v>
      </c>
      <c r="Q14" s="127">
        <f>'GS &lt; 50 OLS Model'!$B$9*G14</f>
        <v>-266404.51896054228</v>
      </c>
      <c r="R14" s="127">
        <f>'GS &lt; 50 OLS Model'!$B$10*H14</f>
        <v>0</v>
      </c>
      <c r="S14" s="127">
        <f>'GS &lt; 50 OLS Model'!$B$11*I14</f>
        <v>0</v>
      </c>
      <c r="T14" s="127">
        <f>'GS &lt; 50 OLS Model'!$B$12*J14</f>
        <v>0</v>
      </c>
      <c r="U14" s="127">
        <f>'GS &lt; 50 OLS Model'!$B$13*K14</f>
        <v>14235755.378578186</v>
      </c>
      <c r="V14" s="127">
        <f t="shared" ca="1" si="2"/>
        <v>20370205.992572781</v>
      </c>
    </row>
    <row r="15" spans="1:22">
      <c r="A15" s="128">
        <f>'Monthly Data'!A15</f>
        <v>40210</v>
      </c>
      <c r="B15" s="127">
        <f t="shared" si="1"/>
        <v>2010</v>
      </c>
      <c r="C15" s="127">
        <f ca="1">'Monthly Data'!J15</f>
        <v>18205145.489051539</v>
      </c>
      <c r="D15" s="127">
        <f t="shared" ca="1" si="3"/>
        <v>611.17548872180487</v>
      </c>
      <c r="E15" s="127">
        <f t="shared" ca="1" si="3"/>
        <v>0</v>
      </c>
      <c r="F15" s="124">
        <f>'Monthly Data'!BK15</f>
        <v>147.6</v>
      </c>
      <c r="G15" s="127">
        <f>'Monthly Data'!BM15</f>
        <v>14</v>
      </c>
      <c r="H15" s="127">
        <f>'Monthly Data'!BP15</f>
        <v>0</v>
      </c>
      <c r="I15" s="127">
        <f>'Monthly Data'!BV15</f>
        <v>0</v>
      </c>
      <c r="J15" s="127">
        <f>'Monthly Data'!CB15</f>
        <v>0</v>
      </c>
      <c r="K15" s="127">
        <f>'Monthly Data'!CC15</f>
        <v>28</v>
      </c>
      <c r="M15" s="127">
        <f>'GS &lt; 50 OLS Model'!$B$5</f>
        <v>-2510760.1679547098</v>
      </c>
      <c r="N15" s="127">
        <f ca="1">'GS &lt; 50 OLS Model'!$B$6*D15</f>
        <v>2662413.2144198036</v>
      </c>
      <c r="O15" s="127">
        <f ca="1">'GS &lt; 50 OLS Model'!$B$7*E15</f>
        <v>0</v>
      </c>
      <c r="P15" s="124">
        <f>'GS &lt; 50 OLS Model'!$B$8*F15</f>
        <v>6042740.6132222218</v>
      </c>
      <c r="Q15" s="127">
        <f>'GS &lt; 50 OLS Model'!$B$9*G15</f>
        <v>-286897.1742651994</v>
      </c>
      <c r="R15" s="127">
        <f>'GS &lt; 50 OLS Model'!$B$10*H15</f>
        <v>0</v>
      </c>
      <c r="S15" s="127">
        <f>'GS &lt; 50 OLS Model'!$B$11*I15</f>
        <v>0</v>
      </c>
      <c r="T15" s="127">
        <f>'GS &lt; 50 OLS Model'!$B$12*J15</f>
        <v>0</v>
      </c>
      <c r="U15" s="127">
        <f>'GS &lt; 50 OLS Model'!$B$13*K15</f>
        <v>12858101.632264167</v>
      </c>
      <c r="V15" s="127">
        <f t="shared" ca="1" si="2"/>
        <v>18765598.117686283</v>
      </c>
    </row>
    <row r="16" spans="1:22">
      <c r="A16" s="128">
        <f>'Monthly Data'!A16</f>
        <v>40238</v>
      </c>
      <c r="B16" s="127">
        <f t="shared" si="1"/>
        <v>2010</v>
      </c>
      <c r="C16" s="127">
        <f ca="1">'Monthly Data'!J16</f>
        <v>18513709.375034541</v>
      </c>
      <c r="D16" s="127">
        <f t="shared" ca="1" si="3"/>
        <v>458.46436090225569</v>
      </c>
      <c r="E16" s="127">
        <f t="shared" ca="1" si="3"/>
        <v>0.45218045112781802</v>
      </c>
      <c r="F16" s="124">
        <f>'Monthly Data'!BK16</f>
        <v>147.4</v>
      </c>
      <c r="G16" s="127">
        <f>'Monthly Data'!BM16</f>
        <v>15</v>
      </c>
      <c r="H16" s="127">
        <f>'Monthly Data'!BP16</f>
        <v>1</v>
      </c>
      <c r="I16" s="127">
        <f>'Monthly Data'!BV16</f>
        <v>0</v>
      </c>
      <c r="J16" s="127">
        <f>'Monthly Data'!CB16</f>
        <v>1</v>
      </c>
      <c r="K16" s="127">
        <f>'Monthly Data'!CC16</f>
        <v>31</v>
      </c>
      <c r="M16" s="127">
        <f>'GS &lt; 50 OLS Model'!$B$5</f>
        <v>-2510760.1679547098</v>
      </c>
      <c r="N16" s="127">
        <f ca="1">'GS &lt; 50 OLS Model'!$B$6*D16</f>
        <v>1997170.3632281933</v>
      </c>
      <c r="O16" s="127">
        <f ca="1">'GS &lt; 50 OLS Model'!$B$7*E16</f>
        <v>10737.204724281946</v>
      </c>
      <c r="P16" s="124">
        <f>'GS &lt; 50 OLS Model'!$B$8*F16</f>
        <v>6034552.617811352</v>
      </c>
      <c r="Q16" s="127">
        <f>'GS &lt; 50 OLS Model'!$B$9*G16</f>
        <v>-307389.82956985646</v>
      </c>
      <c r="R16" s="127">
        <f>'GS &lt; 50 OLS Model'!$B$10*H16</f>
        <v>419453.43275174301</v>
      </c>
      <c r="S16" s="127">
        <f>'GS &lt; 50 OLS Model'!$B$11*I16</f>
        <v>0</v>
      </c>
      <c r="T16" s="127">
        <f>'GS &lt; 50 OLS Model'!$B$12*J16</f>
        <v>-782960.312499544</v>
      </c>
      <c r="U16" s="127">
        <f>'GS &lt; 50 OLS Model'!$B$13*K16</f>
        <v>14235755.378578186</v>
      </c>
      <c r="V16" s="127">
        <f t="shared" ca="1" si="2"/>
        <v>19096558.687069647</v>
      </c>
    </row>
    <row r="17" spans="1:22">
      <c r="A17" s="128">
        <f>'Monthly Data'!A17</f>
        <v>40269</v>
      </c>
      <c r="B17" s="127">
        <f t="shared" si="1"/>
        <v>2010</v>
      </c>
      <c r="C17" s="127">
        <f ca="1">'Monthly Data'!J17</f>
        <v>16824162.846801538</v>
      </c>
      <c r="D17" s="127">
        <f t="shared" ca="1" si="3"/>
        <v>254.29052631578941</v>
      </c>
      <c r="E17" s="127">
        <f t="shared" ca="1" si="3"/>
        <v>0.50947368421054762</v>
      </c>
      <c r="F17" s="124">
        <f>'Monthly Data'!BK17</f>
        <v>149</v>
      </c>
      <c r="G17" s="127">
        <f>'Monthly Data'!BM17</f>
        <v>16</v>
      </c>
      <c r="H17" s="127">
        <f>'Monthly Data'!BP17</f>
        <v>0</v>
      </c>
      <c r="I17" s="127">
        <f>'Monthly Data'!BV17</f>
        <v>0</v>
      </c>
      <c r="J17" s="127">
        <f>'Monthly Data'!CB17</f>
        <v>1</v>
      </c>
      <c r="K17" s="127">
        <f>'Monthly Data'!CC17</f>
        <v>30</v>
      </c>
      <c r="M17" s="127">
        <f>'GS &lt; 50 OLS Model'!$B$5</f>
        <v>-2510760.1679547098</v>
      </c>
      <c r="N17" s="127">
        <f ca="1">'GS &lt; 50 OLS Model'!$B$6*D17</f>
        <v>1107744.7804407841</v>
      </c>
      <c r="O17" s="127">
        <f ca="1">'GS &lt; 50 OLS Model'!$B$7*E17</f>
        <v>12097.655339497465</v>
      </c>
      <c r="P17" s="124">
        <f>'GS &lt; 50 OLS Model'!$B$8*F17</f>
        <v>6100056.5810983134</v>
      </c>
      <c r="Q17" s="127">
        <f>'GS &lt; 50 OLS Model'!$B$9*G17</f>
        <v>-327882.48487451358</v>
      </c>
      <c r="R17" s="127">
        <f>'GS &lt; 50 OLS Model'!$B$10*H17</f>
        <v>0</v>
      </c>
      <c r="S17" s="127">
        <f>'GS &lt; 50 OLS Model'!$B$11*I17</f>
        <v>0</v>
      </c>
      <c r="T17" s="127">
        <f>'GS &lt; 50 OLS Model'!$B$12*J17</f>
        <v>-782960.312499544</v>
      </c>
      <c r="U17" s="127">
        <f>'GS &lt; 50 OLS Model'!$B$13*K17</f>
        <v>13776537.46314018</v>
      </c>
      <c r="V17" s="127">
        <f t="shared" ca="1" si="2"/>
        <v>17374833.514690008</v>
      </c>
    </row>
    <row r="18" spans="1:22">
      <c r="A18" s="128">
        <f>'Monthly Data'!A18</f>
        <v>40299</v>
      </c>
      <c r="B18" s="127">
        <f t="shared" si="1"/>
        <v>2010</v>
      </c>
      <c r="C18" s="127">
        <f ca="1">'Monthly Data'!J18</f>
        <v>18405787.843161542</v>
      </c>
      <c r="D18" s="127">
        <f t="shared" ref="D18:E33" ca="1" si="4">D6</f>
        <v>102.64150375939857</v>
      </c>
      <c r="E18" s="127">
        <f t="shared" ca="1" si="4"/>
        <v>56.062781954887214</v>
      </c>
      <c r="F18" s="124">
        <f>'Monthly Data'!BK18</f>
        <v>149.6</v>
      </c>
      <c r="G18" s="127">
        <f>'Monthly Data'!BM18</f>
        <v>17</v>
      </c>
      <c r="H18" s="127">
        <f>'Monthly Data'!BP18</f>
        <v>0</v>
      </c>
      <c r="I18" s="127">
        <f>'Monthly Data'!BV18</f>
        <v>0</v>
      </c>
      <c r="J18" s="127">
        <f>'Monthly Data'!CB18</f>
        <v>1</v>
      </c>
      <c r="K18" s="127">
        <f>'Monthly Data'!CC18</f>
        <v>31</v>
      </c>
      <c r="M18" s="127">
        <f>'GS &lt; 50 OLS Model'!$B$5</f>
        <v>-2510760.1679547098</v>
      </c>
      <c r="N18" s="127">
        <f ca="1">'GS &lt; 50 OLS Model'!$B$6*D18</f>
        <v>447128.69053119334</v>
      </c>
      <c r="O18" s="127">
        <f ca="1">'GS &lt; 50 OLS Model'!$B$7*E18</f>
        <v>1331233.0636165608</v>
      </c>
      <c r="P18" s="124">
        <f>'GS &lt; 50 OLS Model'!$B$8*F18</f>
        <v>6124620.5673309239</v>
      </c>
      <c r="Q18" s="127">
        <f>'GS &lt; 50 OLS Model'!$B$9*G18</f>
        <v>-348375.1401791707</v>
      </c>
      <c r="R18" s="127">
        <f>'GS &lt; 50 OLS Model'!$B$10*H18</f>
        <v>0</v>
      </c>
      <c r="S18" s="127">
        <f>'GS &lt; 50 OLS Model'!$B$11*I18</f>
        <v>0</v>
      </c>
      <c r="T18" s="127">
        <f>'GS &lt; 50 OLS Model'!$B$12*J18</f>
        <v>-782960.312499544</v>
      </c>
      <c r="U18" s="127">
        <f>'GS &lt; 50 OLS Model'!$B$13*K18</f>
        <v>14235755.378578186</v>
      </c>
      <c r="V18" s="127">
        <f t="shared" ca="1" si="2"/>
        <v>18496642.079423442</v>
      </c>
    </row>
    <row r="19" spans="1:22">
      <c r="A19" s="128">
        <f>'Monthly Data'!A19</f>
        <v>40330</v>
      </c>
      <c r="B19" s="127">
        <f t="shared" si="1"/>
        <v>2010</v>
      </c>
      <c r="C19" s="127">
        <f ca="1">'Monthly Data'!J19</f>
        <v>20461415.969543539</v>
      </c>
      <c r="D19" s="127">
        <f t="shared" ca="1" si="4"/>
        <v>0.39669172932326546</v>
      </c>
      <c r="E19" s="127">
        <f t="shared" ca="1" si="4"/>
        <v>116.89315789473682</v>
      </c>
      <c r="F19" s="124">
        <f>'Monthly Data'!BK19</f>
        <v>150.5</v>
      </c>
      <c r="G19" s="127">
        <f>'Monthly Data'!BM19</f>
        <v>18</v>
      </c>
      <c r="H19" s="127">
        <f>'Monthly Data'!BP19</f>
        <v>0</v>
      </c>
      <c r="I19" s="127">
        <f>'Monthly Data'!BV19</f>
        <v>0</v>
      </c>
      <c r="J19" s="127">
        <f>'Monthly Data'!CB19</f>
        <v>0</v>
      </c>
      <c r="K19" s="127">
        <f>'Monthly Data'!CC19</f>
        <v>30</v>
      </c>
      <c r="M19" s="127">
        <f>'GS &lt; 50 OLS Model'!$B$5</f>
        <v>-2510760.1679547098</v>
      </c>
      <c r="N19" s="127">
        <f ca="1">'GS &lt; 50 OLS Model'!$B$6*D19</f>
        <v>1728.0753591904077</v>
      </c>
      <c r="O19" s="127">
        <f ca="1">'GS &lt; 50 OLS Model'!$B$7*E19</f>
        <v>2775674.5433225781</v>
      </c>
      <c r="P19" s="124">
        <f>'GS &lt; 50 OLS Model'!$B$8*F19</f>
        <v>6161466.5466798404</v>
      </c>
      <c r="Q19" s="127">
        <f>'GS &lt; 50 OLS Model'!$B$9*G19</f>
        <v>-368867.79548382777</v>
      </c>
      <c r="R19" s="127">
        <f>'GS &lt; 50 OLS Model'!$B$10*H19</f>
        <v>0</v>
      </c>
      <c r="S19" s="127">
        <f>'GS &lt; 50 OLS Model'!$B$11*I19</f>
        <v>0</v>
      </c>
      <c r="T19" s="127">
        <f>'GS &lt; 50 OLS Model'!$B$12*J19</f>
        <v>0</v>
      </c>
      <c r="U19" s="127">
        <f>'GS &lt; 50 OLS Model'!$B$13*K19</f>
        <v>13776537.46314018</v>
      </c>
      <c r="V19" s="127">
        <f t="shared" ca="1" si="2"/>
        <v>19835778.665063251</v>
      </c>
    </row>
    <row r="20" spans="1:22">
      <c r="A20" s="128">
        <f>'Monthly Data'!A20</f>
        <v>40360</v>
      </c>
      <c r="B20" s="127">
        <f t="shared" si="1"/>
        <v>2010</v>
      </c>
      <c r="C20" s="127">
        <f ca="1">'Monthly Data'!J20</f>
        <v>22795593.036033537</v>
      </c>
      <c r="D20" s="127">
        <f t="shared" ca="1" si="4"/>
        <v>0.58105263157894704</v>
      </c>
      <c r="E20" s="127">
        <f t="shared" ca="1" si="4"/>
        <v>186.96526315789481</v>
      </c>
      <c r="F20" s="124">
        <f>'Monthly Data'!BK20</f>
        <v>148.69999999999999</v>
      </c>
      <c r="G20" s="127">
        <f>'Monthly Data'!BM20</f>
        <v>19</v>
      </c>
      <c r="H20" s="127">
        <f>'Monthly Data'!BP20</f>
        <v>0</v>
      </c>
      <c r="I20" s="127">
        <f>'Monthly Data'!BV20</f>
        <v>0</v>
      </c>
      <c r="J20" s="127">
        <f>'Monthly Data'!CB20</f>
        <v>0</v>
      </c>
      <c r="K20" s="127">
        <f>'Monthly Data'!CC20</f>
        <v>31</v>
      </c>
      <c r="M20" s="127">
        <f>'GS &lt; 50 OLS Model'!$B$5</f>
        <v>-2510760.1679547098</v>
      </c>
      <c r="N20" s="127">
        <f ca="1">'GS &lt; 50 OLS Model'!$B$6*D20</f>
        <v>2531.1915041366383</v>
      </c>
      <c r="O20" s="127">
        <f ca="1">'GS &lt; 50 OLS Model'!$B$7*E20</f>
        <v>4439564.5628831247</v>
      </c>
      <c r="P20" s="124">
        <f>'GS &lt; 50 OLS Model'!$B$8*F20</f>
        <v>6087774.5879820073</v>
      </c>
      <c r="Q20" s="127">
        <f>'GS &lt; 50 OLS Model'!$B$9*G20</f>
        <v>-389360.45078848489</v>
      </c>
      <c r="R20" s="127">
        <f>'GS &lt; 50 OLS Model'!$B$10*H20</f>
        <v>0</v>
      </c>
      <c r="S20" s="127">
        <f>'GS &lt; 50 OLS Model'!$B$11*I20</f>
        <v>0</v>
      </c>
      <c r="T20" s="127">
        <f>'GS &lt; 50 OLS Model'!$B$12*J20</f>
        <v>0</v>
      </c>
      <c r="U20" s="127">
        <f>'GS &lt; 50 OLS Model'!$B$13*K20</f>
        <v>14235755.378578186</v>
      </c>
      <c r="V20" s="127">
        <f t="shared" ca="1" si="2"/>
        <v>21865505.102204259</v>
      </c>
    </row>
    <row r="21" spans="1:22">
      <c r="A21" s="128">
        <f>'Monthly Data'!A21</f>
        <v>40391</v>
      </c>
      <c r="B21" s="127">
        <f t="shared" si="1"/>
        <v>2010</v>
      </c>
      <c r="C21" s="127">
        <f ca="1">'Monthly Data'!J21</f>
        <v>22116079.594250541</v>
      </c>
      <c r="D21" s="127">
        <f t="shared" ca="1" si="4"/>
        <v>1.6660902255639058</v>
      </c>
      <c r="E21" s="127">
        <f t="shared" ca="1" si="4"/>
        <v>167.43443609022574</v>
      </c>
      <c r="F21" s="124">
        <f>'Monthly Data'!BK21</f>
        <v>148</v>
      </c>
      <c r="G21" s="127">
        <f>'Monthly Data'!BM21</f>
        <v>20</v>
      </c>
      <c r="H21" s="127">
        <f>'Monthly Data'!BP21</f>
        <v>0</v>
      </c>
      <c r="I21" s="127">
        <f>'Monthly Data'!BV21</f>
        <v>0</v>
      </c>
      <c r="J21" s="127">
        <f>'Monthly Data'!CB21</f>
        <v>0</v>
      </c>
      <c r="K21" s="127">
        <f>'Monthly Data'!CC21</f>
        <v>31</v>
      </c>
      <c r="M21" s="127">
        <f>'GS &lt; 50 OLS Model'!$B$5</f>
        <v>-2510760.1679547098</v>
      </c>
      <c r="N21" s="127">
        <f ca="1">'GS &lt; 50 OLS Model'!$B$6*D21</f>
        <v>7257.8510015739739</v>
      </c>
      <c r="O21" s="127">
        <f ca="1">'GS &lt; 50 OLS Model'!$B$7*E21</f>
        <v>3975797.3032922582</v>
      </c>
      <c r="P21" s="124">
        <f>'GS &lt; 50 OLS Model'!$B$8*F21</f>
        <v>6059116.6040439624</v>
      </c>
      <c r="Q21" s="127">
        <f>'GS &lt; 50 OLS Model'!$B$9*G21</f>
        <v>-409853.10609314195</v>
      </c>
      <c r="R21" s="127">
        <f>'GS &lt; 50 OLS Model'!$B$10*H21</f>
        <v>0</v>
      </c>
      <c r="S21" s="127">
        <f>'GS &lt; 50 OLS Model'!$B$11*I21</f>
        <v>0</v>
      </c>
      <c r="T21" s="127">
        <f>'GS &lt; 50 OLS Model'!$B$12*J21</f>
        <v>0</v>
      </c>
      <c r="U21" s="127">
        <f>'GS &lt; 50 OLS Model'!$B$13*K21</f>
        <v>14235755.378578186</v>
      </c>
      <c r="V21" s="127">
        <f t="shared" ca="1" si="2"/>
        <v>21357313.86286813</v>
      </c>
    </row>
    <row r="22" spans="1:22">
      <c r="A22" s="128">
        <f>'Monthly Data'!A22</f>
        <v>40422</v>
      </c>
      <c r="B22" s="127">
        <f t="shared" si="1"/>
        <v>2010</v>
      </c>
      <c r="C22" s="127">
        <f ca="1">'Monthly Data'!J22</f>
        <v>18334763.226206541</v>
      </c>
      <c r="D22" s="127">
        <f t="shared" ca="1" si="4"/>
        <v>30.410827067669118</v>
      </c>
      <c r="E22" s="127">
        <f t="shared" ca="1" si="4"/>
        <v>83.003533834586506</v>
      </c>
      <c r="F22" s="124">
        <f>'Monthly Data'!BK22</f>
        <v>146.9</v>
      </c>
      <c r="G22" s="127">
        <f>'Monthly Data'!BM22</f>
        <v>21</v>
      </c>
      <c r="H22" s="127">
        <f>'Monthly Data'!BP22</f>
        <v>0</v>
      </c>
      <c r="I22" s="127">
        <f>'Monthly Data'!BV22</f>
        <v>1</v>
      </c>
      <c r="J22" s="127">
        <f>'Monthly Data'!CB22</f>
        <v>1</v>
      </c>
      <c r="K22" s="127">
        <f>'Monthly Data'!CC22</f>
        <v>30</v>
      </c>
      <c r="M22" s="127">
        <f>'GS &lt; 50 OLS Model'!$B$5</f>
        <v>-2510760.1679547098</v>
      </c>
      <c r="N22" s="127">
        <f ca="1">'GS &lt; 50 OLS Model'!$B$6*D22</f>
        <v>132476.16984072464</v>
      </c>
      <c r="O22" s="127">
        <f ca="1">'GS &lt; 50 OLS Model'!$B$7*E22</f>
        <v>1970951.936108568</v>
      </c>
      <c r="P22" s="124">
        <f>'GS &lt; 50 OLS Model'!$B$8*F22</f>
        <v>6014082.629284176</v>
      </c>
      <c r="Q22" s="127">
        <f>'GS &lt; 50 OLS Model'!$B$9*G22</f>
        <v>-430345.76139779907</v>
      </c>
      <c r="R22" s="127">
        <f>'GS &lt; 50 OLS Model'!$B$10*H22</f>
        <v>0</v>
      </c>
      <c r="S22" s="127">
        <f>'GS &lt; 50 OLS Model'!$B$11*I22</f>
        <v>697390.17362184904</v>
      </c>
      <c r="T22" s="127">
        <f>'GS &lt; 50 OLS Model'!$B$12*J22</f>
        <v>-782960.312499544</v>
      </c>
      <c r="U22" s="127">
        <f>'GS &lt; 50 OLS Model'!$B$13*K22</f>
        <v>13776537.46314018</v>
      </c>
      <c r="V22" s="127">
        <f t="shared" ca="1" si="2"/>
        <v>18867372.130143445</v>
      </c>
    </row>
    <row r="23" spans="1:22">
      <c r="A23" s="128">
        <f>'Monthly Data'!A23</f>
        <v>40452</v>
      </c>
      <c r="B23" s="127">
        <f t="shared" si="1"/>
        <v>2010</v>
      </c>
      <c r="C23" s="127">
        <f ca="1">'Monthly Data'!J23</f>
        <v>17072567.952336539</v>
      </c>
      <c r="D23" s="127">
        <f t="shared" ca="1" si="4"/>
        <v>158.93676691729343</v>
      </c>
      <c r="E23" s="127">
        <f t="shared" ca="1" si="4"/>
        <v>16.916090225563948</v>
      </c>
      <c r="F23" s="124">
        <f>'Monthly Data'!BK23</f>
        <v>146.4</v>
      </c>
      <c r="G23" s="127">
        <f>'Monthly Data'!BM23</f>
        <v>22</v>
      </c>
      <c r="H23" s="127">
        <f>'Monthly Data'!BP23</f>
        <v>0</v>
      </c>
      <c r="I23" s="127">
        <f>'Monthly Data'!BV23</f>
        <v>0</v>
      </c>
      <c r="J23" s="127">
        <f>'Monthly Data'!CB23</f>
        <v>1</v>
      </c>
      <c r="K23" s="127">
        <f>'Monthly Data'!CC23</f>
        <v>31</v>
      </c>
      <c r="M23" s="127">
        <f>'GS &lt; 50 OLS Model'!$B$5</f>
        <v>-2510760.1679547098</v>
      </c>
      <c r="N23" s="127">
        <f ca="1">'GS &lt; 50 OLS Model'!$B$6*D23</f>
        <v>692363.08769963507</v>
      </c>
      <c r="O23" s="127">
        <f ca="1">'GS &lt; 50 OLS Model'!$B$7*E23</f>
        <v>401679.2929311379</v>
      </c>
      <c r="P23" s="124">
        <f>'GS &lt; 50 OLS Model'!$B$8*F23</f>
        <v>5993612.640757001</v>
      </c>
      <c r="Q23" s="127">
        <f>'GS &lt; 50 OLS Model'!$B$9*G23</f>
        <v>-450838.41670245619</v>
      </c>
      <c r="R23" s="127">
        <f>'GS &lt; 50 OLS Model'!$B$10*H23</f>
        <v>0</v>
      </c>
      <c r="S23" s="127">
        <f>'GS &lt; 50 OLS Model'!$B$11*I23</f>
        <v>0</v>
      </c>
      <c r="T23" s="127">
        <f>'GS &lt; 50 OLS Model'!$B$12*J23</f>
        <v>-782960.312499544</v>
      </c>
      <c r="U23" s="127">
        <f>'GS &lt; 50 OLS Model'!$B$13*K23</f>
        <v>14235755.378578186</v>
      </c>
      <c r="V23" s="127">
        <f t="shared" ca="1" si="2"/>
        <v>17578851.502809249</v>
      </c>
    </row>
    <row r="24" spans="1:22">
      <c r="A24" s="128">
        <f>'Monthly Data'!A24</f>
        <v>40483</v>
      </c>
      <c r="B24" s="127">
        <f t="shared" si="1"/>
        <v>2010</v>
      </c>
      <c r="C24" s="127">
        <f ca="1">'Monthly Data'!J24</f>
        <v>17395857.750683539</v>
      </c>
      <c r="D24" s="127">
        <f t="shared" ca="1" si="4"/>
        <v>375.92533834586447</v>
      </c>
      <c r="E24" s="127">
        <f t="shared" ca="1" si="4"/>
        <v>8.120300751879661E-2</v>
      </c>
      <c r="F24" s="124">
        <f>'Monthly Data'!BK24</f>
        <v>145.4</v>
      </c>
      <c r="G24" s="127">
        <f>'Monthly Data'!BM24</f>
        <v>23</v>
      </c>
      <c r="H24" s="127">
        <f>'Monthly Data'!BP24</f>
        <v>0</v>
      </c>
      <c r="I24" s="127">
        <f>'Monthly Data'!BV24</f>
        <v>0</v>
      </c>
      <c r="J24" s="127">
        <f>'Monthly Data'!CB24</f>
        <v>1</v>
      </c>
      <c r="K24" s="127">
        <f>'Monthly Data'!CC24</f>
        <v>30</v>
      </c>
      <c r="M24" s="127">
        <f>'GS &lt; 50 OLS Model'!$B$5</f>
        <v>-2510760.1679547098</v>
      </c>
      <c r="N24" s="127">
        <f ca="1">'GS &lt; 50 OLS Model'!$B$6*D24</f>
        <v>1637612.4483337079</v>
      </c>
      <c r="O24" s="127">
        <f ca="1">'GS &lt; 50 OLS Model'!$B$7*E24</f>
        <v>1928.1977223519268</v>
      </c>
      <c r="P24" s="124">
        <f>'GS &lt; 50 OLS Model'!$B$8*F24</f>
        <v>5952672.66370265</v>
      </c>
      <c r="Q24" s="127">
        <f>'GS &lt; 50 OLS Model'!$B$9*G24</f>
        <v>-471331.07200711325</v>
      </c>
      <c r="R24" s="127">
        <f>'GS &lt; 50 OLS Model'!$B$10*H24</f>
        <v>0</v>
      </c>
      <c r="S24" s="127">
        <f>'GS &lt; 50 OLS Model'!$B$11*I24</f>
        <v>0</v>
      </c>
      <c r="T24" s="127">
        <f>'GS &lt; 50 OLS Model'!$B$12*J24</f>
        <v>-782960.312499544</v>
      </c>
      <c r="U24" s="127">
        <f>'GS &lt; 50 OLS Model'!$B$13*K24</f>
        <v>13776537.46314018</v>
      </c>
      <c r="V24" s="127">
        <f t="shared" ca="1" si="2"/>
        <v>17603699.220437523</v>
      </c>
    </row>
    <row r="25" spans="1:22">
      <c r="A25" s="128">
        <f>'Monthly Data'!A25</f>
        <v>40513</v>
      </c>
      <c r="B25" s="127">
        <f t="shared" si="1"/>
        <v>2010</v>
      </c>
      <c r="C25" s="127">
        <f ca="1">'Monthly Data'!J25</f>
        <v>19655364.768977538</v>
      </c>
      <c r="D25" s="127">
        <f t="shared" ca="1" si="4"/>
        <v>548.76120300751859</v>
      </c>
      <c r="E25" s="127">
        <f t="shared" ca="1" si="4"/>
        <v>0</v>
      </c>
      <c r="F25" s="124">
        <f>'Monthly Data'!BK25</f>
        <v>145.30000000000001</v>
      </c>
      <c r="G25" s="127">
        <f>'Monthly Data'!BM25</f>
        <v>24</v>
      </c>
      <c r="H25" s="127">
        <f>'Monthly Data'!BP25</f>
        <v>0</v>
      </c>
      <c r="I25" s="127">
        <f>'Monthly Data'!BV25</f>
        <v>0</v>
      </c>
      <c r="J25" s="127">
        <f>'Monthly Data'!CB25</f>
        <v>0</v>
      </c>
      <c r="K25" s="127">
        <f>'Monthly Data'!CC25</f>
        <v>31</v>
      </c>
      <c r="M25" s="127">
        <f>'GS &lt; 50 OLS Model'!$B$5</f>
        <v>-2510760.1679547098</v>
      </c>
      <c r="N25" s="127">
        <f ca="1">'GS &lt; 50 OLS Model'!$B$6*D25</f>
        <v>2390523.0255612521</v>
      </c>
      <c r="O25" s="127">
        <f ca="1">'GS &lt; 50 OLS Model'!$B$7*E25</f>
        <v>0</v>
      </c>
      <c r="P25" s="124">
        <f>'GS &lt; 50 OLS Model'!$B$8*F25</f>
        <v>5948578.6659972146</v>
      </c>
      <c r="Q25" s="127">
        <f>'GS &lt; 50 OLS Model'!$B$9*G25</f>
        <v>-491823.72731177037</v>
      </c>
      <c r="R25" s="127">
        <f>'GS &lt; 50 OLS Model'!$B$10*H25</f>
        <v>0</v>
      </c>
      <c r="S25" s="127">
        <f>'GS &lt; 50 OLS Model'!$B$11*I25</f>
        <v>0</v>
      </c>
      <c r="T25" s="127">
        <f>'GS &lt; 50 OLS Model'!$B$12*J25</f>
        <v>0</v>
      </c>
      <c r="U25" s="127">
        <f>'GS &lt; 50 OLS Model'!$B$13*K25</f>
        <v>14235755.378578186</v>
      </c>
      <c r="V25" s="127">
        <f t="shared" ca="1" si="2"/>
        <v>19572273.174870171</v>
      </c>
    </row>
    <row r="26" spans="1:22">
      <c r="A26" s="128">
        <f>'Monthly Data'!A26</f>
        <v>40544</v>
      </c>
      <c r="B26" s="127">
        <f t="shared" si="1"/>
        <v>2011</v>
      </c>
      <c r="C26" s="127">
        <f ca="1">'Monthly Data'!J26</f>
        <v>20433168.712788858</v>
      </c>
      <c r="D26" s="127">
        <f t="shared" ca="1" si="4"/>
        <v>665.14879699248104</v>
      </c>
      <c r="E26" s="127">
        <f t="shared" ca="1" si="4"/>
        <v>0</v>
      </c>
      <c r="F26" s="124">
        <f>'Monthly Data'!BK26</f>
        <v>148.9</v>
      </c>
      <c r="G26" s="127">
        <f>'Monthly Data'!BM26</f>
        <v>25</v>
      </c>
      <c r="H26" s="127">
        <f>'Monthly Data'!BP26</f>
        <v>0</v>
      </c>
      <c r="I26" s="127">
        <f>'Monthly Data'!BV26</f>
        <v>0</v>
      </c>
      <c r="J26" s="127">
        <f>'Monthly Data'!CB26</f>
        <v>0</v>
      </c>
      <c r="K26" s="127">
        <f>'Monthly Data'!CC26</f>
        <v>31</v>
      </c>
      <c r="M26" s="127">
        <f>'GS &lt; 50 OLS Model'!$B$5</f>
        <v>-2510760.1679547098</v>
      </c>
      <c r="N26" s="127">
        <f ca="1">'GS &lt; 50 OLS Model'!$B$6*D26</f>
        <v>2897532.6716256719</v>
      </c>
      <c r="O26" s="127">
        <f ca="1">'GS &lt; 50 OLS Model'!$B$7*E26</f>
        <v>0</v>
      </c>
      <c r="P26" s="124">
        <f>'GS &lt; 50 OLS Model'!$B$8*F26</f>
        <v>6095962.583392879</v>
      </c>
      <c r="Q26" s="127">
        <f>'GS &lt; 50 OLS Model'!$B$9*G26</f>
        <v>-512316.38261642749</v>
      </c>
      <c r="R26" s="127">
        <f>'GS &lt; 50 OLS Model'!$B$10*H26</f>
        <v>0</v>
      </c>
      <c r="S26" s="127">
        <f>'GS &lt; 50 OLS Model'!$B$11*I26</f>
        <v>0</v>
      </c>
      <c r="T26" s="127">
        <f>'GS &lt; 50 OLS Model'!$B$12*J26</f>
        <v>0</v>
      </c>
      <c r="U26" s="127">
        <f>'GS &lt; 50 OLS Model'!$B$13*K26</f>
        <v>14235755.378578186</v>
      </c>
      <c r="V26" s="127">
        <f t="shared" ca="1" si="2"/>
        <v>20206174.083025601</v>
      </c>
    </row>
    <row r="27" spans="1:22">
      <c r="A27" s="128">
        <f>'Monthly Data'!A27</f>
        <v>40575</v>
      </c>
      <c r="B27" s="127">
        <f t="shared" si="1"/>
        <v>2011</v>
      </c>
      <c r="C27" s="127">
        <f ca="1">'Monthly Data'!J27</f>
        <v>18248985.66093586</v>
      </c>
      <c r="D27" s="127">
        <f t="shared" ca="1" si="4"/>
        <v>611.17548872180487</v>
      </c>
      <c r="E27" s="127">
        <f t="shared" ca="1" si="4"/>
        <v>0</v>
      </c>
      <c r="F27" s="124">
        <f>'Monthly Data'!BK27</f>
        <v>148.69999999999999</v>
      </c>
      <c r="G27" s="127">
        <f>'Monthly Data'!BM27</f>
        <v>26</v>
      </c>
      <c r="H27" s="127">
        <f>'Monthly Data'!BP27</f>
        <v>0</v>
      </c>
      <c r="I27" s="127">
        <f>'Monthly Data'!BV27</f>
        <v>0</v>
      </c>
      <c r="J27" s="127">
        <f>'Monthly Data'!CB27</f>
        <v>0</v>
      </c>
      <c r="K27" s="127">
        <f>'Monthly Data'!CC27</f>
        <v>28</v>
      </c>
      <c r="M27" s="127">
        <f>'GS &lt; 50 OLS Model'!$B$5</f>
        <v>-2510760.1679547098</v>
      </c>
      <c r="N27" s="127">
        <f ca="1">'GS &lt; 50 OLS Model'!$B$6*D27</f>
        <v>2662413.2144198036</v>
      </c>
      <c r="O27" s="127">
        <f ca="1">'GS &lt; 50 OLS Model'!$B$7*E27</f>
        <v>0</v>
      </c>
      <c r="P27" s="124">
        <f>'GS &lt; 50 OLS Model'!$B$8*F27</f>
        <v>6087774.5879820073</v>
      </c>
      <c r="Q27" s="127">
        <f>'GS &lt; 50 OLS Model'!$B$9*G27</f>
        <v>-532809.03792108456</v>
      </c>
      <c r="R27" s="127">
        <f>'GS &lt; 50 OLS Model'!$B$10*H27</f>
        <v>0</v>
      </c>
      <c r="S27" s="127">
        <f>'GS &lt; 50 OLS Model'!$B$11*I27</f>
        <v>0</v>
      </c>
      <c r="T27" s="127">
        <f>'GS &lt; 50 OLS Model'!$B$12*J27</f>
        <v>0</v>
      </c>
      <c r="U27" s="127">
        <f>'GS &lt; 50 OLS Model'!$B$13*K27</f>
        <v>12858101.632264167</v>
      </c>
      <c r="V27" s="127">
        <f t="shared" ca="1" si="2"/>
        <v>18564720.228790186</v>
      </c>
    </row>
    <row r="28" spans="1:22">
      <c r="A28" s="128">
        <f>'Monthly Data'!A28</f>
        <v>40603</v>
      </c>
      <c r="B28" s="127">
        <f t="shared" si="1"/>
        <v>2011</v>
      </c>
      <c r="C28" s="127">
        <f ca="1">'Monthly Data'!J28</f>
        <v>18891983.127054855</v>
      </c>
      <c r="D28" s="127">
        <f t="shared" ca="1" si="4"/>
        <v>458.46436090225569</v>
      </c>
      <c r="E28" s="127">
        <f t="shared" ca="1" si="4"/>
        <v>0.45218045112781802</v>
      </c>
      <c r="F28" s="124">
        <f>'Monthly Data'!BK28</f>
        <v>149.1</v>
      </c>
      <c r="G28" s="127">
        <f>'Monthly Data'!BM28</f>
        <v>27</v>
      </c>
      <c r="H28" s="127">
        <f>'Monthly Data'!BP28</f>
        <v>1</v>
      </c>
      <c r="I28" s="127">
        <f>'Monthly Data'!BV28</f>
        <v>0</v>
      </c>
      <c r="J28" s="127">
        <f>'Monthly Data'!CB28</f>
        <v>1</v>
      </c>
      <c r="K28" s="127">
        <f>'Monthly Data'!CC28</f>
        <v>31</v>
      </c>
      <c r="M28" s="127">
        <f>'GS &lt; 50 OLS Model'!$B$5</f>
        <v>-2510760.1679547098</v>
      </c>
      <c r="N28" s="127">
        <f ca="1">'GS &lt; 50 OLS Model'!$B$6*D28</f>
        <v>1997170.3632281933</v>
      </c>
      <c r="O28" s="127">
        <f ca="1">'GS &lt; 50 OLS Model'!$B$7*E28</f>
        <v>10737.204724281946</v>
      </c>
      <c r="P28" s="124">
        <f>'GS &lt; 50 OLS Model'!$B$8*F28</f>
        <v>6104150.5788037479</v>
      </c>
      <c r="Q28" s="127">
        <f>'GS &lt; 50 OLS Model'!$B$9*G28</f>
        <v>-553301.69322574162</v>
      </c>
      <c r="R28" s="127">
        <f>'GS &lt; 50 OLS Model'!$B$10*H28</f>
        <v>419453.43275174301</v>
      </c>
      <c r="S28" s="127">
        <f>'GS &lt; 50 OLS Model'!$B$11*I28</f>
        <v>0</v>
      </c>
      <c r="T28" s="127">
        <f>'GS &lt; 50 OLS Model'!$B$12*J28</f>
        <v>-782960.312499544</v>
      </c>
      <c r="U28" s="127">
        <f>'GS &lt; 50 OLS Model'!$B$13*K28</f>
        <v>14235755.378578186</v>
      </c>
      <c r="V28" s="127">
        <f t="shared" ca="1" si="2"/>
        <v>18920244.784406155</v>
      </c>
    </row>
    <row r="29" spans="1:22">
      <c r="A29" s="128">
        <f>'Monthly Data'!A29</f>
        <v>40634</v>
      </c>
      <c r="B29" s="127">
        <f t="shared" si="1"/>
        <v>2011</v>
      </c>
      <c r="C29" s="127">
        <f ca="1">'Monthly Data'!J29</f>
        <v>17089616.625273857</v>
      </c>
      <c r="D29" s="127">
        <f t="shared" ca="1" si="4"/>
        <v>254.29052631578941</v>
      </c>
      <c r="E29" s="127">
        <f t="shared" ca="1" si="4"/>
        <v>0.50947368421054762</v>
      </c>
      <c r="F29" s="124">
        <f>'Monthly Data'!BK29</f>
        <v>146.30000000000001</v>
      </c>
      <c r="G29" s="127">
        <f>'Monthly Data'!BM29</f>
        <v>28</v>
      </c>
      <c r="H29" s="127">
        <f>'Monthly Data'!BP29</f>
        <v>0</v>
      </c>
      <c r="I29" s="127">
        <f>'Monthly Data'!BV29</f>
        <v>0</v>
      </c>
      <c r="J29" s="127">
        <f>'Monthly Data'!CB29</f>
        <v>1</v>
      </c>
      <c r="K29" s="127">
        <f>'Monthly Data'!CC29</f>
        <v>30</v>
      </c>
      <c r="M29" s="127">
        <f>'GS &lt; 50 OLS Model'!$B$5</f>
        <v>-2510760.1679547098</v>
      </c>
      <c r="N29" s="127">
        <f ca="1">'GS &lt; 50 OLS Model'!$B$6*D29</f>
        <v>1107744.7804407841</v>
      </c>
      <c r="O29" s="127">
        <f ca="1">'GS &lt; 50 OLS Model'!$B$7*E29</f>
        <v>12097.655339497465</v>
      </c>
      <c r="P29" s="124">
        <f>'GS &lt; 50 OLS Model'!$B$8*F29</f>
        <v>5989518.6430515656</v>
      </c>
      <c r="Q29" s="127">
        <f>'GS &lt; 50 OLS Model'!$B$9*G29</f>
        <v>-573794.3485303988</v>
      </c>
      <c r="R29" s="127">
        <f>'GS &lt; 50 OLS Model'!$B$10*H29</f>
        <v>0</v>
      </c>
      <c r="S29" s="127">
        <f>'GS &lt; 50 OLS Model'!$B$11*I29</f>
        <v>0</v>
      </c>
      <c r="T29" s="127">
        <f>'GS &lt; 50 OLS Model'!$B$12*J29</f>
        <v>-782960.312499544</v>
      </c>
      <c r="U29" s="127">
        <f>'GS &lt; 50 OLS Model'!$B$13*K29</f>
        <v>13776537.46314018</v>
      </c>
      <c r="V29" s="127">
        <f t="shared" ca="1" si="2"/>
        <v>17018383.712987375</v>
      </c>
    </row>
    <row r="30" spans="1:22">
      <c r="A30" s="128">
        <f>'Monthly Data'!A30</f>
        <v>40664</v>
      </c>
      <c r="B30" s="127">
        <f t="shared" si="1"/>
        <v>2011</v>
      </c>
      <c r="C30" s="127">
        <f ca="1">'Monthly Data'!J30</f>
        <v>17878369.437173858</v>
      </c>
      <c r="D30" s="127">
        <f t="shared" ca="1" si="4"/>
        <v>102.64150375939857</v>
      </c>
      <c r="E30" s="127">
        <f t="shared" ca="1" si="4"/>
        <v>56.062781954887214</v>
      </c>
      <c r="F30" s="124">
        <f>'Monthly Data'!BK30</f>
        <v>146.9</v>
      </c>
      <c r="G30" s="127">
        <f>'Monthly Data'!BM30</f>
        <v>29</v>
      </c>
      <c r="H30" s="127">
        <f>'Monthly Data'!BP30</f>
        <v>0</v>
      </c>
      <c r="I30" s="127">
        <f>'Monthly Data'!BV30</f>
        <v>0</v>
      </c>
      <c r="J30" s="127">
        <f>'Monthly Data'!CB30</f>
        <v>1</v>
      </c>
      <c r="K30" s="127">
        <f>'Monthly Data'!CC30</f>
        <v>31</v>
      </c>
      <c r="M30" s="127">
        <f>'GS &lt; 50 OLS Model'!$B$5</f>
        <v>-2510760.1679547098</v>
      </c>
      <c r="N30" s="127">
        <f ca="1">'GS &lt; 50 OLS Model'!$B$6*D30</f>
        <v>447128.69053119334</v>
      </c>
      <c r="O30" s="127">
        <f ca="1">'GS &lt; 50 OLS Model'!$B$7*E30</f>
        <v>1331233.0636165608</v>
      </c>
      <c r="P30" s="124">
        <f>'GS &lt; 50 OLS Model'!$B$8*F30</f>
        <v>6014082.629284176</v>
      </c>
      <c r="Q30" s="127">
        <f>'GS &lt; 50 OLS Model'!$B$9*G30</f>
        <v>-594287.00383505586</v>
      </c>
      <c r="R30" s="127">
        <f>'GS &lt; 50 OLS Model'!$B$10*H30</f>
        <v>0</v>
      </c>
      <c r="S30" s="127">
        <f>'GS &lt; 50 OLS Model'!$B$11*I30</f>
        <v>0</v>
      </c>
      <c r="T30" s="127">
        <f>'GS &lt; 50 OLS Model'!$B$12*J30</f>
        <v>-782960.312499544</v>
      </c>
      <c r="U30" s="127">
        <f>'GS &lt; 50 OLS Model'!$B$13*K30</f>
        <v>14235755.378578186</v>
      </c>
      <c r="V30" s="127">
        <f t="shared" ca="1" si="2"/>
        <v>18140192.277720805</v>
      </c>
    </row>
    <row r="31" spans="1:22">
      <c r="A31" s="128">
        <f>'Monthly Data'!A31</f>
        <v>40695</v>
      </c>
      <c r="B31" s="127">
        <f t="shared" si="1"/>
        <v>2011</v>
      </c>
      <c r="C31" s="127">
        <f ca="1">'Monthly Data'!J31</f>
        <v>19789305.953011855</v>
      </c>
      <c r="D31" s="127">
        <f t="shared" ca="1" si="4"/>
        <v>0.39669172932326546</v>
      </c>
      <c r="E31" s="127">
        <f t="shared" ca="1" si="4"/>
        <v>116.89315789473682</v>
      </c>
      <c r="F31" s="124">
        <f>'Monthly Data'!BK31</f>
        <v>147.1</v>
      </c>
      <c r="G31" s="127">
        <f>'Monthly Data'!BM31</f>
        <v>30</v>
      </c>
      <c r="H31" s="127">
        <f>'Monthly Data'!BP31</f>
        <v>0</v>
      </c>
      <c r="I31" s="127">
        <f>'Monthly Data'!BV31</f>
        <v>0</v>
      </c>
      <c r="J31" s="127">
        <f>'Monthly Data'!CB31</f>
        <v>0</v>
      </c>
      <c r="K31" s="127">
        <f>'Monthly Data'!CC31</f>
        <v>30</v>
      </c>
      <c r="M31" s="127">
        <f>'GS &lt; 50 OLS Model'!$B$5</f>
        <v>-2510760.1679547098</v>
      </c>
      <c r="N31" s="127">
        <f ca="1">'GS &lt; 50 OLS Model'!$B$6*D31</f>
        <v>1728.0753591904077</v>
      </c>
      <c r="O31" s="127">
        <f ca="1">'GS &lt; 50 OLS Model'!$B$7*E31</f>
        <v>2775674.5433225781</v>
      </c>
      <c r="P31" s="124">
        <f>'GS &lt; 50 OLS Model'!$B$8*F31</f>
        <v>6022270.6246950459</v>
      </c>
      <c r="Q31" s="127">
        <f>'GS &lt; 50 OLS Model'!$B$9*G31</f>
        <v>-614779.65913971292</v>
      </c>
      <c r="R31" s="127">
        <f>'GS &lt; 50 OLS Model'!$B$10*H31</f>
        <v>0</v>
      </c>
      <c r="S31" s="127">
        <f>'GS &lt; 50 OLS Model'!$B$11*I31</f>
        <v>0</v>
      </c>
      <c r="T31" s="127">
        <f>'GS &lt; 50 OLS Model'!$B$12*J31</f>
        <v>0</v>
      </c>
      <c r="U31" s="127">
        <f>'GS &lt; 50 OLS Model'!$B$13*K31</f>
        <v>13776537.46314018</v>
      </c>
      <c r="V31" s="127">
        <f t="shared" ca="1" si="2"/>
        <v>19450670.879422572</v>
      </c>
    </row>
    <row r="32" spans="1:22">
      <c r="A32" s="128">
        <f>'Monthly Data'!A32</f>
        <v>40725</v>
      </c>
      <c r="B32" s="127">
        <f t="shared" si="1"/>
        <v>2011</v>
      </c>
      <c r="C32" s="127">
        <f ca="1">'Monthly Data'!J32</f>
        <v>22703572.420684855</v>
      </c>
      <c r="D32" s="127">
        <f t="shared" ca="1" si="4"/>
        <v>0.58105263157894704</v>
      </c>
      <c r="E32" s="127">
        <f t="shared" ca="1" si="4"/>
        <v>186.96526315789481</v>
      </c>
      <c r="F32" s="124">
        <f>'Monthly Data'!BK32</f>
        <v>148</v>
      </c>
      <c r="G32" s="127">
        <f>'Monthly Data'!BM32</f>
        <v>31</v>
      </c>
      <c r="H32" s="127">
        <f>'Monthly Data'!BP32</f>
        <v>0</v>
      </c>
      <c r="I32" s="127">
        <f>'Monthly Data'!BV32</f>
        <v>0</v>
      </c>
      <c r="J32" s="127">
        <f>'Monthly Data'!CB32</f>
        <v>0</v>
      </c>
      <c r="K32" s="127">
        <f>'Monthly Data'!CC32</f>
        <v>31</v>
      </c>
      <c r="M32" s="127">
        <f>'GS &lt; 50 OLS Model'!$B$5</f>
        <v>-2510760.1679547098</v>
      </c>
      <c r="N32" s="127">
        <f ca="1">'GS &lt; 50 OLS Model'!$B$6*D32</f>
        <v>2531.1915041366383</v>
      </c>
      <c r="O32" s="127">
        <f ca="1">'GS &lt; 50 OLS Model'!$B$7*E32</f>
        <v>4439564.5628831247</v>
      </c>
      <c r="P32" s="124">
        <f>'GS &lt; 50 OLS Model'!$B$8*F32</f>
        <v>6059116.6040439624</v>
      </c>
      <c r="Q32" s="127">
        <f>'GS &lt; 50 OLS Model'!$B$9*G32</f>
        <v>-635272.3144443701</v>
      </c>
      <c r="R32" s="127">
        <f>'GS &lt; 50 OLS Model'!$B$10*H32</f>
        <v>0</v>
      </c>
      <c r="S32" s="127">
        <f>'GS &lt; 50 OLS Model'!$B$11*I32</f>
        <v>0</v>
      </c>
      <c r="T32" s="127">
        <f>'GS &lt; 50 OLS Model'!$B$12*J32</f>
        <v>0</v>
      </c>
      <c r="U32" s="127">
        <f>'GS &lt; 50 OLS Model'!$B$13*K32</f>
        <v>14235755.378578186</v>
      </c>
      <c r="V32" s="127">
        <f t="shared" ca="1" si="2"/>
        <v>21590935.25461033</v>
      </c>
    </row>
    <row r="33" spans="1:22">
      <c r="A33" s="128">
        <f>'Monthly Data'!A33</f>
        <v>40756</v>
      </c>
      <c r="B33" s="127">
        <f t="shared" si="1"/>
        <v>2011</v>
      </c>
      <c r="C33" s="127">
        <f ca="1">'Monthly Data'!J33</f>
        <v>21542109.43368886</v>
      </c>
      <c r="D33" s="127">
        <f t="shared" ca="1" si="4"/>
        <v>1.6660902255639058</v>
      </c>
      <c r="E33" s="127">
        <f t="shared" ca="1" si="4"/>
        <v>167.43443609022574</v>
      </c>
      <c r="F33" s="124">
        <f>'Monthly Data'!BK33</f>
        <v>147.9</v>
      </c>
      <c r="G33" s="127">
        <f>'Monthly Data'!BM33</f>
        <v>32</v>
      </c>
      <c r="H33" s="127">
        <f>'Monthly Data'!BP33</f>
        <v>0</v>
      </c>
      <c r="I33" s="127">
        <f>'Monthly Data'!BV33</f>
        <v>0</v>
      </c>
      <c r="J33" s="127">
        <f>'Monthly Data'!CB33</f>
        <v>0</v>
      </c>
      <c r="K33" s="127">
        <f>'Monthly Data'!CC33</f>
        <v>31</v>
      </c>
      <c r="M33" s="127">
        <f>'GS &lt; 50 OLS Model'!$B$5</f>
        <v>-2510760.1679547098</v>
      </c>
      <c r="N33" s="127">
        <f ca="1">'GS &lt; 50 OLS Model'!$B$6*D33</f>
        <v>7257.8510015739739</v>
      </c>
      <c r="O33" s="127">
        <f ca="1">'GS &lt; 50 OLS Model'!$B$7*E33</f>
        <v>3975797.3032922582</v>
      </c>
      <c r="P33" s="124">
        <f>'GS &lt; 50 OLS Model'!$B$8*F33</f>
        <v>6055022.6063385271</v>
      </c>
      <c r="Q33" s="127">
        <f>'GS &lt; 50 OLS Model'!$B$9*G33</f>
        <v>-655764.96974902716</v>
      </c>
      <c r="R33" s="127">
        <f>'GS &lt; 50 OLS Model'!$B$10*H33</f>
        <v>0</v>
      </c>
      <c r="S33" s="127">
        <f>'GS &lt; 50 OLS Model'!$B$11*I33</f>
        <v>0</v>
      </c>
      <c r="T33" s="127">
        <f>'GS &lt; 50 OLS Model'!$B$12*J33</f>
        <v>0</v>
      </c>
      <c r="U33" s="127">
        <f>'GS &lt; 50 OLS Model'!$B$13*K33</f>
        <v>14235755.378578186</v>
      </c>
      <c r="V33" s="127">
        <f t="shared" ca="1" si="2"/>
        <v>21107308.001506809</v>
      </c>
    </row>
    <row r="34" spans="1:22">
      <c r="A34" s="128">
        <f>'Monthly Data'!A34</f>
        <v>40787</v>
      </c>
      <c r="B34" s="127">
        <f t="shared" si="1"/>
        <v>2011</v>
      </c>
      <c r="C34" s="127">
        <f ca="1">'Monthly Data'!J34</f>
        <v>18050834.514007859</v>
      </c>
      <c r="D34" s="127">
        <f t="shared" ref="D34:E49" ca="1" si="5">D22</f>
        <v>30.410827067669118</v>
      </c>
      <c r="E34" s="127">
        <f t="shared" ca="1" si="5"/>
        <v>83.003533834586506</v>
      </c>
      <c r="F34" s="124">
        <f>'Monthly Data'!BK34</f>
        <v>146</v>
      </c>
      <c r="G34" s="127">
        <f>'Monthly Data'!BM34</f>
        <v>33</v>
      </c>
      <c r="H34" s="127">
        <f>'Monthly Data'!BP34</f>
        <v>0</v>
      </c>
      <c r="I34" s="127">
        <f>'Monthly Data'!BV34</f>
        <v>1</v>
      </c>
      <c r="J34" s="127">
        <f>'Monthly Data'!CB34</f>
        <v>1</v>
      </c>
      <c r="K34" s="127">
        <f>'Monthly Data'!CC34</f>
        <v>30</v>
      </c>
      <c r="M34" s="127">
        <f>'GS &lt; 50 OLS Model'!$B$5</f>
        <v>-2510760.1679547098</v>
      </c>
      <c r="N34" s="127">
        <f ca="1">'GS &lt; 50 OLS Model'!$B$6*D34</f>
        <v>132476.16984072464</v>
      </c>
      <c r="O34" s="127">
        <f ca="1">'GS &lt; 50 OLS Model'!$B$7*E34</f>
        <v>1970951.936108568</v>
      </c>
      <c r="P34" s="124">
        <f>'GS &lt; 50 OLS Model'!$B$8*F34</f>
        <v>5977236.6499352604</v>
      </c>
      <c r="Q34" s="127">
        <f>'GS &lt; 50 OLS Model'!$B$9*G34</f>
        <v>-676257.62505368423</v>
      </c>
      <c r="R34" s="127">
        <f>'GS &lt; 50 OLS Model'!$B$10*H34</f>
        <v>0</v>
      </c>
      <c r="S34" s="127">
        <f>'GS &lt; 50 OLS Model'!$B$11*I34</f>
        <v>697390.17362184904</v>
      </c>
      <c r="T34" s="127">
        <f>'GS &lt; 50 OLS Model'!$B$12*J34</f>
        <v>-782960.312499544</v>
      </c>
      <c r="U34" s="127">
        <f>'GS &lt; 50 OLS Model'!$B$13*K34</f>
        <v>13776537.46314018</v>
      </c>
      <c r="V34" s="127">
        <f t="shared" ca="1" si="2"/>
        <v>18584614.287138645</v>
      </c>
    </row>
    <row r="35" spans="1:22">
      <c r="A35" s="128">
        <f>'Monthly Data'!A35</f>
        <v>40817</v>
      </c>
      <c r="B35" s="127">
        <f t="shared" si="1"/>
        <v>2011</v>
      </c>
      <c r="C35" s="127">
        <f ca="1">'Monthly Data'!J35</f>
        <v>17206685.452281859</v>
      </c>
      <c r="D35" s="127">
        <f t="shared" ca="1" si="5"/>
        <v>158.93676691729343</v>
      </c>
      <c r="E35" s="127">
        <f t="shared" ca="1" si="5"/>
        <v>16.916090225563948</v>
      </c>
      <c r="F35" s="124">
        <f>'Monthly Data'!BK35</f>
        <v>146</v>
      </c>
      <c r="G35" s="127">
        <f>'Monthly Data'!BM35</f>
        <v>34</v>
      </c>
      <c r="H35" s="127">
        <f>'Monthly Data'!BP35</f>
        <v>0</v>
      </c>
      <c r="I35" s="127">
        <f>'Monthly Data'!BV35</f>
        <v>0</v>
      </c>
      <c r="J35" s="127">
        <f>'Monthly Data'!CB35</f>
        <v>1</v>
      </c>
      <c r="K35" s="127">
        <f>'Monthly Data'!CC35</f>
        <v>31</v>
      </c>
      <c r="M35" s="127">
        <f>'GS &lt; 50 OLS Model'!$B$5</f>
        <v>-2510760.1679547098</v>
      </c>
      <c r="N35" s="127">
        <f ca="1">'GS &lt; 50 OLS Model'!$B$6*D35</f>
        <v>692363.08769963507</v>
      </c>
      <c r="O35" s="127">
        <f ca="1">'GS &lt; 50 OLS Model'!$B$7*E35</f>
        <v>401679.2929311379</v>
      </c>
      <c r="P35" s="124">
        <f>'GS &lt; 50 OLS Model'!$B$8*F35</f>
        <v>5977236.6499352604</v>
      </c>
      <c r="Q35" s="127">
        <f>'GS &lt; 50 OLS Model'!$B$9*G35</f>
        <v>-696750.28035834141</v>
      </c>
      <c r="R35" s="127">
        <f>'GS &lt; 50 OLS Model'!$B$10*H35</f>
        <v>0</v>
      </c>
      <c r="S35" s="127">
        <f>'GS &lt; 50 OLS Model'!$B$11*I35</f>
        <v>0</v>
      </c>
      <c r="T35" s="127">
        <f>'GS &lt; 50 OLS Model'!$B$12*J35</f>
        <v>-782960.312499544</v>
      </c>
      <c r="U35" s="127">
        <f>'GS &lt; 50 OLS Model'!$B$13*K35</f>
        <v>14235755.378578186</v>
      </c>
      <c r="V35" s="127">
        <f t="shared" ca="1" si="2"/>
        <v>17316563.648331624</v>
      </c>
    </row>
    <row r="36" spans="1:22">
      <c r="A36" s="128">
        <f>'Monthly Data'!A36</f>
        <v>40848</v>
      </c>
      <c r="B36" s="127">
        <f t="shared" si="1"/>
        <v>2011</v>
      </c>
      <c r="C36" s="127">
        <f ca="1">'Monthly Data'!J36</f>
        <v>17348028.408182859</v>
      </c>
      <c r="D36" s="127">
        <f t="shared" ca="1" si="5"/>
        <v>375.92533834586447</v>
      </c>
      <c r="E36" s="127">
        <f t="shared" ca="1" si="5"/>
        <v>8.120300751879661E-2</v>
      </c>
      <c r="F36" s="124">
        <f>'Monthly Data'!BK36</f>
        <v>147.30000000000001</v>
      </c>
      <c r="G36" s="127">
        <f>'Monthly Data'!BM36</f>
        <v>35</v>
      </c>
      <c r="H36" s="127">
        <f>'Monthly Data'!BP36</f>
        <v>0</v>
      </c>
      <c r="I36" s="127">
        <f>'Monthly Data'!BV36</f>
        <v>0</v>
      </c>
      <c r="J36" s="127">
        <f>'Monthly Data'!CB36</f>
        <v>1</v>
      </c>
      <c r="K36" s="127">
        <f>'Monthly Data'!CC36</f>
        <v>30</v>
      </c>
      <c r="M36" s="127">
        <f>'GS &lt; 50 OLS Model'!$B$5</f>
        <v>-2510760.1679547098</v>
      </c>
      <c r="N36" s="127">
        <f ca="1">'GS &lt; 50 OLS Model'!$B$6*D36</f>
        <v>1637612.4483337079</v>
      </c>
      <c r="O36" s="127">
        <f ca="1">'GS &lt; 50 OLS Model'!$B$7*E36</f>
        <v>1928.1977223519268</v>
      </c>
      <c r="P36" s="124">
        <f>'GS &lt; 50 OLS Model'!$B$8*F36</f>
        <v>6030458.6201059166</v>
      </c>
      <c r="Q36" s="127">
        <f>'GS &lt; 50 OLS Model'!$B$9*G36</f>
        <v>-717242.93566299847</v>
      </c>
      <c r="R36" s="127">
        <f>'GS &lt; 50 OLS Model'!$B$10*H36</f>
        <v>0</v>
      </c>
      <c r="S36" s="127">
        <f>'GS &lt; 50 OLS Model'!$B$11*I36</f>
        <v>0</v>
      </c>
      <c r="T36" s="127">
        <f>'GS &lt; 50 OLS Model'!$B$12*J36</f>
        <v>-782960.312499544</v>
      </c>
      <c r="U36" s="127">
        <f>'GS &lt; 50 OLS Model'!$B$13*K36</f>
        <v>13776537.46314018</v>
      </c>
      <c r="V36" s="127">
        <f t="shared" ca="1" si="2"/>
        <v>17435573.313184906</v>
      </c>
    </row>
    <row r="37" spans="1:22">
      <c r="A37" s="128">
        <f>'Monthly Data'!A37</f>
        <v>40878</v>
      </c>
      <c r="B37" s="127">
        <f t="shared" si="1"/>
        <v>2011</v>
      </c>
      <c r="C37" s="127">
        <f ca="1">'Monthly Data'!J37</f>
        <v>18974962.525991857</v>
      </c>
      <c r="D37" s="127">
        <f t="shared" ca="1" si="5"/>
        <v>548.76120300751859</v>
      </c>
      <c r="E37" s="127">
        <f t="shared" ca="1" si="5"/>
        <v>0</v>
      </c>
      <c r="F37" s="124">
        <f>'Monthly Data'!BK37</f>
        <v>149.30000000000001</v>
      </c>
      <c r="G37" s="127">
        <f>'Monthly Data'!BM37</f>
        <v>36</v>
      </c>
      <c r="H37" s="127">
        <f>'Monthly Data'!BP37</f>
        <v>0</v>
      </c>
      <c r="I37" s="127">
        <f>'Monthly Data'!BV37</f>
        <v>0</v>
      </c>
      <c r="J37" s="127">
        <f>'Monthly Data'!CB37</f>
        <v>0</v>
      </c>
      <c r="K37" s="127">
        <f>'Monthly Data'!CC37</f>
        <v>31</v>
      </c>
      <c r="M37" s="127">
        <f>'GS &lt; 50 OLS Model'!$B$5</f>
        <v>-2510760.1679547098</v>
      </c>
      <c r="N37" s="127">
        <f ca="1">'GS &lt; 50 OLS Model'!$B$6*D37</f>
        <v>2390523.0255612521</v>
      </c>
      <c r="O37" s="127">
        <f ca="1">'GS &lt; 50 OLS Model'!$B$7*E37</f>
        <v>0</v>
      </c>
      <c r="P37" s="124">
        <f>'GS &lt; 50 OLS Model'!$B$8*F37</f>
        <v>6112338.5742146196</v>
      </c>
      <c r="Q37" s="127">
        <f>'GS &lt; 50 OLS Model'!$B$9*G37</f>
        <v>-737735.59096765553</v>
      </c>
      <c r="R37" s="127">
        <f>'GS &lt; 50 OLS Model'!$B$10*H37</f>
        <v>0</v>
      </c>
      <c r="S37" s="127">
        <f>'GS &lt; 50 OLS Model'!$B$11*I37</f>
        <v>0</v>
      </c>
      <c r="T37" s="127">
        <f>'GS &lt; 50 OLS Model'!$B$12*J37</f>
        <v>0</v>
      </c>
      <c r="U37" s="127">
        <f>'GS &lt; 50 OLS Model'!$B$13*K37</f>
        <v>14235755.378578186</v>
      </c>
      <c r="V37" s="127">
        <f t="shared" ca="1" si="2"/>
        <v>19490121.219431691</v>
      </c>
    </row>
    <row r="38" spans="1:22">
      <c r="A38" s="128">
        <f>'Monthly Data'!A38</f>
        <v>40909</v>
      </c>
      <c r="B38" s="127">
        <f t="shared" si="1"/>
        <v>2012</v>
      </c>
      <c r="C38" s="127">
        <f ca="1">'Monthly Data'!J38</f>
        <v>19511148.082728777</v>
      </c>
      <c r="D38" s="127">
        <f t="shared" ca="1" si="5"/>
        <v>665.14879699248104</v>
      </c>
      <c r="E38" s="127">
        <f t="shared" ca="1" si="5"/>
        <v>0</v>
      </c>
      <c r="F38" s="124">
        <f>'Monthly Data'!BK38</f>
        <v>149.5</v>
      </c>
      <c r="G38" s="127">
        <f>'Monthly Data'!BM38</f>
        <v>37</v>
      </c>
      <c r="H38" s="127">
        <f>'Monthly Data'!BP38</f>
        <v>0</v>
      </c>
      <c r="I38" s="127">
        <f>'Monthly Data'!BV38</f>
        <v>0</v>
      </c>
      <c r="J38" s="127">
        <f>'Monthly Data'!CB38</f>
        <v>0</v>
      </c>
      <c r="K38" s="127">
        <f>'Monthly Data'!CC38</f>
        <v>31</v>
      </c>
      <c r="M38" s="127">
        <f>'GS &lt; 50 OLS Model'!$B$5</f>
        <v>-2510760.1679547098</v>
      </c>
      <c r="N38" s="127">
        <f ca="1">'GS &lt; 50 OLS Model'!$B$6*D38</f>
        <v>2897532.6716256719</v>
      </c>
      <c r="O38" s="127">
        <f ca="1">'GS &lt; 50 OLS Model'!$B$7*E38</f>
        <v>0</v>
      </c>
      <c r="P38" s="124">
        <f>'GS &lt; 50 OLS Model'!$B$8*F38</f>
        <v>6120526.5696254894</v>
      </c>
      <c r="Q38" s="127">
        <f>'GS &lt; 50 OLS Model'!$B$9*G38</f>
        <v>-758228.24627231271</v>
      </c>
      <c r="R38" s="127">
        <f>'GS &lt; 50 OLS Model'!$B$10*H38</f>
        <v>0</v>
      </c>
      <c r="S38" s="127">
        <f>'GS &lt; 50 OLS Model'!$B$11*I38</f>
        <v>0</v>
      </c>
      <c r="T38" s="127">
        <f>'GS &lt; 50 OLS Model'!$B$12*J38</f>
        <v>0</v>
      </c>
      <c r="U38" s="127">
        <f>'GS &lt; 50 OLS Model'!$B$13*K38</f>
        <v>14235755.378578186</v>
      </c>
      <c r="V38" s="127">
        <f t="shared" ca="1" si="2"/>
        <v>19984826.205602325</v>
      </c>
    </row>
    <row r="39" spans="1:22">
      <c r="A39" s="128">
        <f>'Monthly Data'!A39</f>
        <v>40940</v>
      </c>
      <c r="B39" s="127">
        <f t="shared" si="1"/>
        <v>2012</v>
      </c>
      <c r="C39" s="127">
        <f ca="1">'Monthly Data'!J39</f>
        <v>18256163.68848278</v>
      </c>
      <c r="D39" s="127">
        <f t="shared" ca="1" si="5"/>
        <v>611.17548872180487</v>
      </c>
      <c r="E39" s="127">
        <f t="shared" ca="1" si="5"/>
        <v>0</v>
      </c>
      <c r="F39" s="124">
        <f>'Monthly Data'!BK39</f>
        <v>150.19999999999999</v>
      </c>
      <c r="G39" s="127">
        <f>'Monthly Data'!BM39</f>
        <v>38</v>
      </c>
      <c r="H39" s="127">
        <f>'Monthly Data'!BP39</f>
        <v>0</v>
      </c>
      <c r="I39" s="127">
        <f>'Monthly Data'!BV39</f>
        <v>0</v>
      </c>
      <c r="J39" s="127">
        <f>'Monthly Data'!CB39</f>
        <v>0</v>
      </c>
      <c r="K39" s="127">
        <f>'Monthly Data'!CC39</f>
        <v>29</v>
      </c>
      <c r="M39" s="127">
        <f>'GS &lt; 50 OLS Model'!$B$5</f>
        <v>-2510760.1679547098</v>
      </c>
      <c r="N39" s="127">
        <f ca="1">'GS &lt; 50 OLS Model'!$B$6*D39</f>
        <v>2662413.2144198036</v>
      </c>
      <c r="O39" s="127">
        <f ca="1">'GS &lt; 50 OLS Model'!$B$7*E39</f>
        <v>0</v>
      </c>
      <c r="P39" s="124">
        <f>'GS &lt; 50 OLS Model'!$B$8*F39</f>
        <v>6149184.5535635343</v>
      </c>
      <c r="Q39" s="127">
        <f>'GS &lt; 50 OLS Model'!$B$9*G39</f>
        <v>-778720.90157696977</v>
      </c>
      <c r="R39" s="127">
        <f>'GS &lt; 50 OLS Model'!$B$10*H39</f>
        <v>0</v>
      </c>
      <c r="S39" s="127">
        <f>'GS &lt; 50 OLS Model'!$B$11*I39</f>
        <v>0</v>
      </c>
      <c r="T39" s="127">
        <f>'GS &lt; 50 OLS Model'!$B$12*J39</f>
        <v>0</v>
      </c>
      <c r="U39" s="127">
        <f>'GS &lt; 50 OLS Model'!$B$13*K39</f>
        <v>13317319.547702175</v>
      </c>
      <c r="V39" s="127">
        <f t="shared" ca="1" si="2"/>
        <v>18839436.246153831</v>
      </c>
    </row>
    <row r="40" spans="1:22">
      <c r="A40" s="128">
        <f>'Monthly Data'!A40</f>
        <v>40969</v>
      </c>
      <c r="B40" s="127">
        <f t="shared" si="1"/>
        <v>2012</v>
      </c>
      <c r="C40" s="127">
        <f ca="1">'Monthly Data'!J40</f>
        <v>18096668.85844278</v>
      </c>
      <c r="D40" s="127">
        <f t="shared" ca="1" si="5"/>
        <v>458.46436090225569</v>
      </c>
      <c r="E40" s="127">
        <f t="shared" ca="1" si="5"/>
        <v>0.45218045112781802</v>
      </c>
      <c r="F40" s="124">
        <f>'Monthly Data'!BK40</f>
        <v>151.80000000000001</v>
      </c>
      <c r="G40" s="127">
        <f>'Monthly Data'!BM40</f>
        <v>39</v>
      </c>
      <c r="H40" s="127">
        <f>'Monthly Data'!BP40</f>
        <v>1</v>
      </c>
      <c r="I40" s="127">
        <f>'Monthly Data'!BV40</f>
        <v>0</v>
      </c>
      <c r="J40" s="127">
        <f>'Monthly Data'!CB40</f>
        <v>1</v>
      </c>
      <c r="K40" s="127">
        <f>'Monthly Data'!CC40</f>
        <v>31</v>
      </c>
      <c r="M40" s="127">
        <f>'GS &lt; 50 OLS Model'!$B$5</f>
        <v>-2510760.1679547098</v>
      </c>
      <c r="N40" s="127">
        <f ca="1">'GS &lt; 50 OLS Model'!$B$6*D40</f>
        <v>1997170.3632281933</v>
      </c>
      <c r="O40" s="127">
        <f ca="1">'GS &lt; 50 OLS Model'!$B$7*E40</f>
        <v>10737.204724281946</v>
      </c>
      <c r="P40" s="124">
        <f>'GS &lt; 50 OLS Model'!$B$8*F40</f>
        <v>6214688.5168504966</v>
      </c>
      <c r="Q40" s="127">
        <f>'GS &lt; 50 OLS Model'!$B$9*G40</f>
        <v>-799213.55688162684</v>
      </c>
      <c r="R40" s="127">
        <f>'GS &lt; 50 OLS Model'!$B$10*H40</f>
        <v>419453.43275174301</v>
      </c>
      <c r="S40" s="127">
        <f>'GS &lt; 50 OLS Model'!$B$11*I40</f>
        <v>0</v>
      </c>
      <c r="T40" s="127">
        <f>'GS &lt; 50 OLS Model'!$B$12*J40</f>
        <v>-782960.312499544</v>
      </c>
      <c r="U40" s="127">
        <f>'GS &lt; 50 OLS Model'!$B$13*K40</f>
        <v>14235755.378578186</v>
      </c>
      <c r="V40" s="127">
        <f t="shared" ca="1" si="2"/>
        <v>18784870.858797021</v>
      </c>
    </row>
    <row r="41" spans="1:22">
      <c r="A41" s="128">
        <f>'Monthly Data'!A41</f>
        <v>41000</v>
      </c>
      <c r="B41" s="127">
        <f t="shared" si="1"/>
        <v>2012</v>
      </c>
      <c r="C41" s="127">
        <f ca="1">'Monthly Data'!J41</f>
        <v>16541459.767637776</v>
      </c>
      <c r="D41" s="127">
        <f t="shared" ca="1" si="5"/>
        <v>254.29052631578941</v>
      </c>
      <c r="E41" s="127">
        <f t="shared" ca="1" si="5"/>
        <v>0.50947368421054762</v>
      </c>
      <c r="F41" s="124">
        <f>'Monthly Data'!BK41</f>
        <v>152.5</v>
      </c>
      <c r="G41" s="127">
        <f>'Monthly Data'!BM41</f>
        <v>40</v>
      </c>
      <c r="H41" s="127">
        <f>'Monthly Data'!BP41</f>
        <v>0</v>
      </c>
      <c r="I41" s="127">
        <f>'Monthly Data'!BV41</f>
        <v>0</v>
      </c>
      <c r="J41" s="127">
        <f>'Monthly Data'!CB41</f>
        <v>1</v>
      </c>
      <c r="K41" s="127">
        <f>'Monthly Data'!CC41</f>
        <v>30</v>
      </c>
      <c r="M41" s="127">
        <f>'GS &lt; 50 OLS Model'!$B$5</f>
        <v>-2510760.1679547098</v>
      </c>
      <c r="N41" s="127">
        <f ca="1">'GS &lt; 50 OLS Model'!$B$6*D41</f>
        <v>1107744.7804407841</v>
      </c>
      <c r="O41" s="127">
        <f ca="1">'GS &lt; 50 OLS Model'!$B$7*E41</f>
        <v>12097.655339497465</v>
      </c>
      <c r="P41" s="124">
        <f>'GS &lt; 50 OLS Model'!$B$8*F41</f>
        <v>6243346.5007885424</v>
      </c>
      <c r="Q41" s="127">
        <f>'GS &lt; 50 OLS Model'!$B$9*G41</f>
        <v>-819706.2121862839</v>
      </c>
      <c r="R41" s="127">
        <f>'GS &lt; 50 OLS Model'!$B$10*H41</f>
        <v>0</v>
      </c>
      <c r="S41" s="127">
        <f>'GS &lt; 50 OLS Model'!$B$11*I41</f>
        <v>0</v>
      </c>
      <c r="T41" s="127">
        <f>'GS &lt; 50 OLS Model'!$B$12*J41</f>
        <v>-782960.312499544</v>
      </c>
      <c r="U41" s="127">
        <f>'GS &lt; 50 OLS Model'!$B$13*K41</f>
        <v>13776537.46314018</v>
      </c>
      <c r="V41" s="127">
        <f t="shared" ca="1" si="2"/>
        <v>17026299.707068466</v>
      </c>
    </row>
    <row r="42" spans="1:22">
      <c r="A42" s="128">
        <f>'Monthly Data'!A42</f>
        <v>41030</v>
      </c>
      <c r="B42" s="127">
        <f t="shared" si="1"/>
        <v>2012</v>
      </c>
      <c r="C42" s="127">
        <f ca="1">'Monthly Data'!J42</f>
        <v>18171949.748051777</v>
      </c>
      <c r="D42" s="127">
        <f t="shared" ca="1" si="5"/>
        <v>102.64150375939857</v>
      </c>
      <c r="E42" s="127">
        <f t="shared" ca="1" si="5"/>
        <v>56.062781954887214</v>
      </c>
      <c r="F42" s="124">
        <f>'Monthly Data'!BK42</f>
        <v>152.69999999999999</v>
      </c>
      <c r="G42" s="127">
        <f>'Monthly Data'!BM42</f>
        <v>41</v>
      </c>
      <c r="H42" s="127">
        <f>'Monthly Data'!BP42</f>
        <v>0</v>
      </c>
      <c r="I42" s="127">
        <f>'Monthly Data'!BV42</f>
        <v>0</v>
      </c>
      <c r="J42" s="127">
        <f>'Monthly Data'!CB42</f>
        <v>1</v>
      </c>
      <c r="K42" s="127">
        <f>'Monthly Data'!CC42</f>
        <v>31</v>
      </c>
      <c r="M42" s="127">
        <f>'GS &lt; 50 OLS Model'!$B$5</f>
        <v>-2510760.1679547098</v>
      </c>
      <c r="N42" s="127">
        <f ca="1">'GS &lt; 50 OLS Model'!$B$6*D42</f>
        <v>447128.69053119334</v>
      </c>
      <c r="O42" s="127">
        <f ca="1">'GS &lt; 50 OLS Model'!$B$7*E42</f>
        <v>1331233.0636165608</v>
      </c>
      <c r="P42" s="124">
        <f>'GS &lt; 50 OLS Model'!$B$8*F42</f>
        <v>6251534.4961994123</v>
      </c>
      <c r="Q42" s="127">
        <f>'GS &lt; 50 OLS Model'!$B$9*G42</f>
        <v>-840198.86749094108</v>
      </c>
      <c r="R42" s="127">
        <f>'GS &lt; 50 OLS Model'!$B$10*H42</f>
        <v>0</v>
      </c>
      <c r="S42" s="127">
        <f>'GS &lt; 50 OLS Model'!$B$11*I42</f>
        <v>0</v>
      </c>
      <c r="T42" s="127">
        <f>'GS &lt; 50 OLS Model'!$B$12*J42</f>
        <v>-782960.312499544</v>
      </c>
      <c r="U42" s="127">
        <f>'GS &lt; 50 OLS Model'!$B$13*K42</f>
        <v>14235755.378578186</v>
      </c>
      <c r="V42" s="127">
        <f t="shared" ca="1" si="2"/>
        <v>18131732.280980159</v>
      </c>
    </row>
    <row r="43" spans="1:22">
      <c r="A43" s="128">
        <f>'Monthly Data'!A43</f>
        <v>41061</v>
      </c>
      <c r="B43" s="127">
        <f t="shared" si="1"/>
        <v>2012</v>
      </c>
      <c r="C43" s="127">
        <f ca="1">'Monthly Data'!J43</f>
        <v>20403300.909939777</v>
      </c>
      <c r="D43" s="127">
        <f t="shared" ca="1" si="5"/>
        <v>0.39669172932326546</v>
      </c>
      <c r="E43" s="127">
        <f t="shared" ca="1" si="5"/>
        <v>116.89315789473682</v>
      </c>
      <c r="F43" s="124">
        <f>'Monthly Data'!BK43</f>
        <v>152.6</v>
      </c>
      <c r="G43" s="127">
        <f>'Monthly Data'!BM43</f>
        <v>42</v>
      </c>
      <c r="H43" s="127">
        <f>'Monthly Data'!BP43</f>
        <v>0</v>
      </c>
      <c r="I43" s="127">
        <f>'Monthly Data'!BV43</f>
        <v>0</v>
      </c>
      <c r="J43" s="127">
        <f>'Monthly Data'!CB43</f>
        <v>0</v>
      </c>
      <c r="K43" s="127">
        <f>'Monthly Data'!CC43</f>
        <v>30</v>
      </c>
      <c r="M43" s="127">
        <f>'GS &lt; 50 OLS Model'!$B$5</f>
        <v>-2510760.1679547098</v>
      </c>
      <c r="N43" s="127">
        <f ca="1">'GS &lt; 50 OLS Model'!$B$6*D43</f>
        <v>1728.0753591904077</v>
      </c>
      <c r="O43" s="127">
        <f ca="1">'GS &lt; 50 OLS Model'!$B$7*E43</f>
        <v>2775674.5433225781</v>
      </c>
      <c r="P43" s="124">
        <f>'GS &lt; 50 OLS Model'!$B$8*F43</f>
        <v>6247440.4984939769</v>
      </c>
      <c r="Q43" s="127">
        <f>'GS &lt; 50 OLS Model'!$B$9*G43</f>
        <v>-860691.52279559814</v>
      </c>
      <c r="R43" s="127">
        <f>'GS &lt; 50 OLS Model'!$B$10*H43</f>
        <v>0</v>
      </c>
      <c r="S43" s="127">
        <f>'GS &lt; 50 OLS Model'!$B$11*I43</f>
        <v>0</v>
      </c>
      <c r="T43" s="127">
        <f>'GS &lt; 50 OLS Model'!$B$12*J43</f>
        <v>0</v>
      </c>
      <c r="U43" s="127">
        <f>'GS &lt; 50 OLS Model'!$B$13*K43</f>
        <v>13776537.46314018</v>
      </c>
      <c r="V43" s="127">
        <f t="shared" ca="1" si="2"/>
        <v>19429928.889565617</v>
      </c>
    </row>
    <row r="44" spans="1:22">
      <c r="A44" s="128">
        <f>'Monthly Data'!A44</f>
        <v>41091</v>
      </c>
      <c r="B44" s="127">
        <f t="shared" si="1"/>
        <v>2012</v>
      </c>
      <c r="C44" s="127">
        <f ca="1">'Monthly Data'!J44</f>
        <v>22861363.392034773</v>
      </c>
      <c r="D44" s="127">
        <f t="shared" ca="1" si="5"/>
        <v>0.58105263157894704</v>
      </c>
      <c r="E44" s="127">
        <f t="shared" ca="1" si="5"/>
        <v>186.96526315789481</v>
      </c>
      <c r="F44" s="124">
        <f>'Monthly Data'!BK44</f>
        <v>153.80000000000001</v>
      </c>
      <c r="G44" s="127">
        <f>'Monthly Data'!BM44</f>
        <v>43</v>
      </c>
      <c r="H44" s="127">
        <f>'Monthly Data'!BP44</f>
        <v>0</v>
      </c>
      <c r="I44" s="127">
        <f>'Monthly Data'!BV44</f>
        <v>0</v>
      </c>
      <c r="J44" s="127">
        <f>'Monthly Data'!CB44</f>
        <v>0</v>
      </c>
      <c r="K44" s="127">
        <f>'Monthly Data'!CC44</f>
        <v>31</v>
      </c>
      <c r="M44" s="127">
        <f>'GS &lt; 50 OLS Model'!$B$5</f>
        <v>-2510760.1679547098</v>
      </c>
      <c r="N44" s="127">
        <f ca="1">'GS &lt; 50 OLS Model'!$B$6*D44</f>
        <v>2531.1915041366383</v>
      </c>
      <c r="O44" s="127">
        <f ca="1">'GS &lt; 50 OLS Model'!$B$7*E44</f>
        <v>4439564.5628831247</v>
      </c>
      <c r="P44" s="124">
        <f>'GS &lt; 50 OLS Model'!$B$8*F44</f>
        <v>6296568.4709591996</v>
      </c>
      <c r="Q44" s="127">
        <f>'GS &lt; 50 OLS Model'!$B$9*G44</f>
        <v>-881184.1781002552</v>
      </c>
      <c r="R44" s="127">
        <f>'GS &lt; 50 OLS Model'!$B$10*H44</f>
        <v>0</v>
      </c>
      <c r="S44" s="127">
        <f>'GS &lt; 50 OLS Model'!$B$11*I44</f>
        <v>0</v>
      </c>
      <c r="T44" s="127">
        <f>'GS &lt; 50 OLS Model'!$B$12*J44</f>
        <v>0</v>
      </c>
      <c r="U44" s="127">
        <f>'GS &lt; 50 OLS Model'!$B$13*K44</f>
        <v>14235755.378578186</v>
      </c>
      <c r="V44" s="127">
        <f t="shared" ca="1" si="2"/>
        <v>21582475.257869683</v>
      </c>
    </row>
    <row r="45" spans="1:22">
      <c r="A45" s="128">
        <f>'Monthly Data'!A45</f>
        <v>41122</v>
      </c>
      <c r="B45" s="127">
        <f t="shared" si="1"/>
        <v>2012</v>
      </c>
      <c r="C45" s="127">
        <f ca="1">'Monthly Data'!J45</f>
        <v>21118978.986886777</v>
      </c>
      <c r="D45" s="127">
        <f t="shared" ca="1" si="5"/>
        <v>1.6660902255639058</v>
      </c>
      <c r="E45" s="127">
        <f t="shared" ca="1" si="5"/>
        <v>167.43443609022574</v>
      </c>
      <c r="F45" s="124">
        <f>'Monthly Data'!BK45</f>
        <v>154.5</v>
      </c>
      <c r="G45" s="127">
        <f>'Monthly Data'!BM45</f>
        <v>44</v>
      </c>
      <c r="H45" s="127">
        <f>'Monthly Data'!BP45</f>
        <v>0</v>
      </c>
      <c r="I45" s="127">
        <f>'Monthly Data'!BV45</f>
        <v>0</v>
      </c>
      <c r="J45" s="127">
        <f>'Monthly Data'!CB45</f>
        <v>0</v>
      </c>
      <c r="K45" s="127">
        <f>'Monthly Data'!CC45</f>
        <v>31</v>
      </c>
      <c r="M45" s="127">
        <f>'GS &lt; 50 OLS Model'!$B$5</f>
        <v>-2510760.1679547098</v>
      </c>
      <c r="N45" s="127">
        <f ca="1">'GS &lt; 50 OLS Model'!$B$6*D45</f>
        <v>7257.8510015739739</v>
      </c>
      <c r="O45" s="127">
        <f ca="1">'GS &lt; 50 OLS Model'!$B$7*E45</f>
        <v>3975797.3032922582</v>
      </c>
      <c r="P45" s="124">
        <f>'GS &lt; 50 OLS Model'!$B$8*F45</f>
        <v>6325226.4548972445</v>
      </c>
      <c r="Q45" s="127">
        <f>'GS &lt; 50 OLS Model'!$B$9*G45</f>
        <v>-901676.83340491238</v>
      </c>
      <c r="R45" s="127">
        <f>'GS &lt; 50 OLS Model'!$B$10*H45</f>
        <v>0</v>
      </c>
      <c r="S45" s="127">
        <f>'GS &lt; 50 OLS Model'!$B$11*I45</f>
        <v>0</v>
      </c>
      <c r="T45" s="127">
        <f>'GS &lt; 50 OLS Model'!$B$12*J45</f>
        <v>0</v>
      </c>
      <c r="U45" s="127">
        <f>'GS &lt; 50 OLS Model'!$B$13*K45</f>
        <v>14235755.378578186</v>
      </c>
      <c r="V45" s="127">
        <f t="shared" ca="1" si="2"/>
        <v>21131599.986409642</v>
      </c>
    </row>
    <row r="46" spans="1:22">
      <c r="A46" s="128">
        <f>'Monthly Data'!A46</f>
        <v>41153</v>
      </c>
      <c r="B46" s="127">
        <f t="shared" si="1"/>
        <v>2012</v>
      </c>
      <c r="C46" s="127">
        <f ca="1">'Monthly Data'!J46</f>
        <v>18170205.46941378</v>
      </c>
      <c r="D46" s="127">
        <f t="shared" ca="1" si="5"/>
        <v>30.410827067669118</v>
      </c>
      <c r="E46" s="127">
        <f t="shared" ca="1" si="5"/>
        <v>83.003533834586506</v>
      </c>
      <c r="F46" s="124">
        <f>'Monthly Data'!BK46</f>
        <v>155.1</v>
      </c>
      <c r="G46" s="127">
        <f>'Monthly Data'!BM46</f>
        <v>45</v>
      </c>
      <c r="H46" s="127">
        <f>'Monthly Data'!BP46</f>
        <v>0</v>
      </c>
      <c r="I46" s="127">
        <f>'Monthly Data'!BV46</f>
        <v>1</v>
      </c>
      <c r="J46" s="127">
        <f>'Monthly Data'!CB46</f>
        <v>1</v>
      </c>
      <c r="K46" s="127">
        <f>'Monthly Data'!CC46</f>
        <v>30</v>
      </c>
      <c r="M46" s="127">
        <f>'GS &lt; 50 OLS Model'!$B$5</f>
        <v>-2510760.1679547098</v>
      </c>
      <c r="N46" s="127">
        <f ca="1">'GS &lt; 50 OLS Model'!$B$6*D46</f>
        <v>132476.16984072464</v>
      </c>
      <c r="O46" s="127">
        <f ca="1">'GS &lt; 50 OLS Model'!$B$7*E46</f>
        <v>1970951.936108568</v>
      </c>
      <c r="P46" s="124">
        <f>'GS &lt; 50 OLS Model'!$B$8*F46</f>
        <v>6349790.4411298549</v>
      </c>
      <c r="Q46" s="127">
        <f>'GS &lt; 50 OLS Model'!$B$9*G46</f>
        <v>-922169.48870956944</v>
      </c>
      <c r="R46" s="127">
        <f>'GS &lt; 50 OLS Model'!$B$10*H46</f>
        <v>0</v>
      </c>
      <c r="S46" s="127">
        <f>'GS &lt; 50 OLS Model'!$B$11*I46</f>
        <v>697390.17362184904</v>
      </c>
      <c r="T46" s="127">
        <f>'GS &lt; 50 OLS Model'!$B$12*J46</f>
        <v>-782960.312499544</v>
      </c>
      <c r="U46" s="127">
        <f>'GS &lt; 50 OLS Model'!$B$13*K46</f>
        <v>13776537.46314018</v>
      </c>
      <c r="V46" s="127">
        <f t="shared" ca="1" si="2"/>
        <v>18711256.214677352</v>
      </c>
    </row>
    <row r="47" spans="1:22">
      <c r="A47" s="128">
        <f>'Monthly Data'!A47</f>
        <v>41183</v>
      </c>
      <c r="B47" s="127">
        <f t="shared" si="1"/>
        <v>2012</v>
      </c>
      <c r="C47" s="127">
        <f ca="1">'Monthly Data'!J47</f>
        <v>17220595.803868778</v>
      </c>
      <c r="D47" s="127">
        <f t="shared" ca="1" si="5"/>
        <v>158.93676691729343</v>
      </c>
      <c r="E47" s="127">
        <f t="shared" ca="1" si="5"/>
        <v>16.916090225563948</v>
      </c>
      <c r="F47" s="124">
        <f>'Monthly Data'!BK47</f>
        <v>154.30000000000001</v>
      </c>
      <c r="G47" s="127">
        <f>'Monthly Data'!BM47</f>
        <v>46</v>
      </c>
      <c r="H47" s="127">
        <f>'Monthly Data'!BP47</f>
        <v>0</v>
      </c>
      <c r="I47" s="127">
        <f>'Monthly Data'!BV47</f>
        <v>0</v>
      </c>
      <c r="J47" s="127">
        <f>'Monthly Data'!CB47</f>
        <v>1</v>
      </c>
      <c r="K47" s="127">
        <f>'Monthly Data'!CC47</f>
        <v>31</v>
      </c>
      <c r="M47" s="127">
        <f>'GS &lt; 50 OLS Model'!$B$5</f>
        <v>-2510760.1679547098</v>
      </c>
      <c r="N47" s="127">
        <f ca="1">'GS &lt; 50 OLS Model'!$B$6*D47</f>
        <v>692363.08769963507</v>
      </c>
      <c r="O47" s="127">
        <f ca="1">'GS &lt; 50 OLS Model'!$B$7*E47</f>
        <v>401679.2929311379</v>
      </c>
      <c r="P47" s="124">
        <f>'GS &lt; 50 OLS Model'!$B$8*F47</f>
        <v>6317038.4594863746</v>
      </c>
      <c r="Q47" s="127">
        <f>'GS &lt; 50 OLS Model'!$B$9*G47</f>
        <v>-942662.14401422651</v>
      </c>
      <c r="R47" s="127">
        <f>'GS &lt; 50 OLS Model'!$B$10*H47</f>
        <v>0</v>
      </c>
      <c r="S47" s="127">
        <f>'GS &lt; 50 OLS Model'!$B$11*I47</f>
        <v>0</v>
      </c>
      <c r="T47" s="127">
        <f>'GS &lt; 50 OLS Model'!$B$12*J47</f>
        <v>-782960.312499544</v>
      </c>
      <c r="U47" s="127">
        <f>'GS &lt; 50 OLS Model'!$B$13*K47</f>
        <v>14235755.378578186</v>
      </c>
      <c r="V47" s="127">
        <f t="shared" ca="1" si="2"/>
        <v>17410453.594226852</v>
      </c>
    </row>
    <row r="48" spans="1:22">
      <c r="A48" s="128">
        <f>'Monthly Data'!A48</f>
        <v>41214</v>
      </c>
      <c r="B48" s="127">
        <f t="shared" si="1"/>
        <v>2012</v>
      </c>
      <c r="C48" s="127">
        <f ca="1">'Monthly Data'!J48</f>
        <v>17668478.376731779</v>
      </c>
      <c r="D48" s="127">
        <f t="shared" ca="1" si="5"/>
        <v>375.92533834586447</v>
      </c>
      <c r="E48" s="127">
        <f t="shared" ca="1" si="5"/>
        <v>8.120300751879661E-2</v>
      </c>
      <c r="F48" s="124">
        <f>'Monthly Data'!BK48</f>
        <v>153.80000000000001</v>
      </c>
      <c r="G48" s="127">
        <f>'Monthly Data'!BM48</f>
        <v>47</v>
      </c>
      <c r="H48" s="127">
        <f>'Monthly Data'!BP48</f>
        <v>0</v>
      </c>
      <c r="I48" s="127">
        <f>'Monthly Data'!BV48</f>
        <v>0</v>
      </c>
      <c r="J48" s="127">
        <f>'Monthly Data'!CB48</f>
        <v>1</v>
      </c>
      <c r="K48" s="127">
        <f>'Monthly Data'!CC48</f>
        <v>30</v>
      </c>
      <c r="M48" s="127">
        <f>'GS &lt; 50 OLS Model'!$B$5</f>
        <v>-2510760.1679547098</v>
      </c>
      <c r="N48" s="127">
        <f ca="1">'GS &lt; 50 OLS Model'!$B$6*D48</f>
        <v>1637612.4483337079</v>
      </c>
      <c r="O48" s="127">
        <f ca="1">'GS &lt; 50 OLS Model'!$B$7*E48</f>
        <v>1928.1977223519268</v>
      </c>
      <c r="P48" s="124">
        <f>'GS &lt; 50 OLS Model'!$B$8*F48</f>
        <v>6296568.4709591996</v>
      </c>
      <c r="Q48" s="127">
        <f>'GS &lt; 50 OLS Model'!$B$9*G48</f>
        <v>-963154.79931888368</v>
      </c>
      <c r="R48" s="127">
        <f>'GS &lt; 50 OLS Model'!$B$10*H48</f>
        <v>0</v>
      </c>
      <c r="S48" s="127">
        <f>'GS &lt; 50 OLS Model'!$B$11*I48</f>
        <v>0</v>
      </c>
      <c r="T48" s="127">
        <f>'GS &lt; 50 OLS Model'!$B$12*J48</f>
        <v>-782960.312499544</v>
      </c>
      <c r="U48" s="127">
        <f>'GS &lt; 50 OLS Model'!$B$13*K48</f>
        <v>13776537.46314018</v>
      </c>
      <c r="V48" s="127">
        <f t="shared" ca="1" si="2"/>
        <v>17455771.300382301</v>
      </c>
    </row>
    <row r="49" spans="1:22">
      <c r="A49" s="128">
        <f>'Monthly Data'!A49</f>
        <v>41244</v>
      </c>
      <c r="B49" s="127">
        <f t="shared" si="1"/>
        <v>2012</v>
      </c>
      <c r="C49" s="127">
        <f ca="1">'Monthly Data'!J49</f>
        <v>19040828.537305772</v>
      </c>
      <c r="D49" s="127">
        <f t="shared" ca="1" si="5"/>
        <v>548.76120300751859</v>
      </c>
      <c r="E49" s="127">
        <f t="shared" ca="1" si="5"/>
        <v>0</v>
      </c>
      <c r="F49" s="124">
        <f>'Monthly Data'!BK49</f>
        <v>152.9</v>
      </c>
      <c r="G49" s="127">
        <f>'Monthly Data'!BM49</f>
        <v>48</v>
      </c>
      <c r="H49" s="127">
        <f>'Monthly Data'!BP49</f>
        <v>0</v>
      </c>
      <c r="I49" s="127">
        <f>'Monthly Data'!BV49</f>
        <v>0</v>
      </c>
      <c r="J49" s="127">
        <f>'Monthly Data'!CB49</f>
        <v>0</v>
      </c>
      <c r="K49" s="127">
        <f>'Monthly Data'!CC49</f>
        <v>31</v>
      </c>
      <c r="M49" s="127">
        <f>'GS &lt; 50 OLS Model'!$B$5</f>
        <v>-2510760.1679547098</v>
      </c>
      <c r="N49" s="127">
        <f ca="1">'GS &lt; 50 OLS Model'!$B$6*D49</f>
        <v>2390523.0255612521</v>
      </c>
      <c r="O49" s="127">
        <f ca="1">'GS &lt; 50 OLS Model'!$B$7*E49</f>
        <v>0</v>
      </c>
      <c r="P49" s="124">
        <f>'GS &lt; 50 OLS Model'!$B$8*F49</f>
        <v>6259722.491610283</v>
      </c>
      <c r="Q49" s="127">
        <f>'GS &lt; 50 OLS Model'!$B$9*G49</f>
        <v>-983647.45462354075</v>
      </c>
      <c r="R49" s="127">
        <f>'GS &lt; 50 OLS Model'!$B$10*H49</f>
        <v>0</v>
      </c>
      <c r="S49" s="127">
        <f>'GS &lt; 50 OLS Model'!$B$11*I49</f>
        <v>0</v>
      </c>
      <c r="T49" s="127">
        <f>'GS &lt; 50 OLS Model'!$B$12*J49</f>
        <v>0</v>
      </c>
      <c r="U49" s="127">
        <f>'GS &lt; 50 OLS Model'!$B$13*K49</f>
        <v>14235755.378578186</v>
      </c>
      <c r="V49" s="127">
        <f t="shared" ca="1" si="2"/>
        <v>19391593.27317147</v>
      </c>
    </row>
    <row r="50" spans="1:22">
      <c r="A50" s="128">
        <f>'Monthly Data'!A50</f>
        <v>41275</v>
      </c>
      <c r="B50" s="127">
        <f t="shared" si="1"/>
        <v>2013</v>
      </c>
      <c r="C50" s="127">
        <f ca="1">'Monthly Data'!J50</f>
        <v>19918645.038127154</v>
      </c>
      <c r="D50" s="127">
        <f t="shared" ref="D50:E65" ca="1" si="6">D38</f>
        <v>665.14879699248104</v>
      </c>
      <c r="E50" s="127">
        <f t="shared" ca="1" si="6"/>
        <v>0</v>
      </c>
      <c r="F50" s="124">
        <f>'Monthly Data'!BK50</f>
        <v>151.4</v>
      </c>
      <c r="G50" s="127">
        <f>'Monthly Data'!BM50</f>
        <v>49</v>
      </c>
      <c r="H50" s="127">
        <f>'Monthly Data'!BP50</f>
        <v>0</v>
      </c>
      <c r="I50" s="127">
        <f>'Monthly Data'!BV50</f>
        <v>0</v>
      </c>
      <c r="J50" s="127">
        <f>'Monthly Data'!CB50</f>
        <v>0</v>
      </c>
      <c r="K50" s="127">
        <f>'Monthly Data'!CC50</f>
        <v>31</v>
      </c>
      <c r="M50" s="127">
        <f>'GS &lt; 50 OLS Model'!$B$5</f>
        <v>-2510760.1679547098</v>
      </c>
      <c r="N50" s="127">
        <f ca="1">'GS &lt; 50 OLS Model'!$B$6*D50</f>
        <v>2897532.6716256719</v>
      </c>
      <c r="O50" s="127">
        <f ca="1">'GS &lt; 50 OLS Model'!$B$7*E50</f>
        <v>0</v>
      </c>
      <c r="P50" s="124">
        <f>'GS &lt; 50 OLS Model'!$B$8*F50</f>
        <v>6198312.5260287561</v>
      </c>
      <c r="Q50" s="127">
        <f>'GS &lt; 50 OLS Model'!$B$9*G50</f>
        <v>-1004140.1099281978</v>
      </c>
      <c r="R50" s="127">
        <f>'GS &lt; 50 OLS Model'!$B$10*H50</f>
        <v>0</v>
      </c>
      <c r="S50" s="127">
        <f>'GS &lt; 50 OLS Model'!$B$11*I50</f>
        <v>0</v>
      </c>
      <c r="T50" s="127">
        <f>'GS &lt; 50 OLS Model'!$B$12*J50</f>
        <v>0</v>
      </c>
      <c r="U50" s="127">
        <f>'GS &lt; 50 OLS Model'!$B$13*K50</f>
        <v>14235755.378578186</v>
      </c>
      <c r="V50" s="127">
        <f t="shared" ca="1" si="2"/>
        <v>19816700.298349708</v>
      </c>
    </row>
    <row r="51" spans="1:22">
      <c r="A51" s="128">
        <f>'Monthly Data'!A51</f>
        <v>41306</v>
      </c>
      <c r="B51" s="127">
        <f t="shared" si="1"/>
        <v>2013</v>
      </c>
      <c r="C51" s="127">
        <f ca="1">'Monthly Data'!J51</f>
        <v>18479022.427723158</v>
      </c>
      <c r="D51" s="127">
        <f t="shared" ca="1" si="6"/>
        <v>611.17548872180487</v>
      </c>
      <c r="E51" s="127">
        <f t="shared" ca="1" si="6"/>
        <v>0</v>
      </c>
      <c r="F51" s="124">
        <f>'Monthly Data'!BK51</f>
        <v>151.9</v>
      </c>
      <c r="G51" s="127">
        <f>'Monthly Data'!BM51</f>
        <v>50</v>
      </c>
      <c r="H51" s="127">
        <f>'Monthly Data'!BP51</f>
        <v>0</v>
      </c>
      <c r="I51" s="127">
        <f>'Monthly Data'!BV51</f>
        <v>0</v>
      </c>
      <c r="J51" s="127">
        <f>'Monthly Data'!CB51</f>
        <v>0</v>
      </c>
      <c r="K51" s="127">
        <f>'Monthly Data'!CC51</f>
        <v>28</v>
      </c>
      <c r="M51" s="127">
        <f>'GS &lt; 50 OLS Model'!$B$5</f>
        <v>-2510760.1679547098</v>
      </c>
      <c r="N51" s="127">
        <f ca="1">'GS &lt; 50 OLS Model'!$B$6*D51</f>
        <v>2662413.2144198036</v>
      </c>
      <c r="O51" s="127">
        <f ca="1">'GS &lt; 50 OLS Model'!$B$7*E51</f>
        <v>0</v>
      </c>
      <c r="P51" s="124">
        <f>'GS &lt; 50 OLS Model'!$B$8*F51</f>
        <v>6218782.514555932</v>
      </c>
      <c r="Q51" s="127">
        <f>'GS &lt; 50 OLS Model'!$B$9*G51</f>
        <v>-1024632.765232855</v>
      </c>
      <c r="R51" s="127">
        <f>'GS &lt; 50 OLS Model'!$B$10*H51</f>
        <v>0</v>
      </c>
      <c r="S51" s="127">
        <f>'GS &lt; 50 OLS Model'!$B$11*I51</f>
        <v>0</v>
      </c>
      <c r="T51" s="127">
        <f>'GS &lt; 50 OLS Model'!$B$12*J51</f>
        <v>0</v>
      </c>
      <c r="U51" s="127">
        <f>'GS &lt; 50 OLS Model'!$B$13*K51</f>
        <v>12858101.632264167</v>
      </c>
      <c r="V51" s="127">
        <f t="shared" ca="1" si="2"/>
        <v>18203904.428052336</v>
      </c>
    </row>
    <row r="52" spans="1:22">
      <c r="A52" s="128">
        <f>'Monthly Data'!A52</f>
        <v>41334</v>
      </c>
      <c r="B52" s="127">
        <f t="shared" si="1"/>
        <v>2013</v>
      </c>
      <c r="C52" s="127">
        <f ca="1">'Monthly Data'!J52</f>
        <v>19344536.573703159</v>
      </c>
      <c r="D52" s="127">
        <f t="shared" ca="1" si="6"/>
        <v>458.46436090225569</v>
      </c>
      <c r="E52" s="127">
        <f t="shared" ca="1" si="6"/>
        <v>0.45218045112781802</v>
      </c>
      <c r="F52" s="124">
        <f>'Monthly Data'!BK52</f>
        <v>152.4</v>
      </c>
      <c r="G52" s="127">
        <f>'Monthly Data'!BM52</f>
        <v>51</v>
      </c>
      <c r="H52" s="127">
        <f>'Monthly Data'!BP52</f>
        <v>1</v>
      </c>
      <c r="I52" s="127">
        <f>'Monthly Data'!BV52</f>
        <v>0</v>
      </c>
      <c r="J52" s="127">
        <f>'Monthly Data'!CB52</f>
        <v>1</v>
      </c>
      <c r="K52" s="127">
        <f>'Monthly Data'!CC52</f>
        <v>31</v>
      </c>
      <c r="M52" s="127">
        <f>'GS &lt; 50 OLS Model'!$B$5</f>
        <v>-2510760.1679547098</v>
      </c>
      <c r="N52" s="127">
        <f ca="1">'GS &lt; 50 OLS Model'!$B$6*D52</f>
        <v>1997170.3632281933</v>
      </c>
      <c r="O52" s="127">
        <f ca="1">'GS &lt; 50 OLS Model'!$B$7*E52</f>
        <v>10737.204724281946</v>
      </c>
      <c r="P52" s="124">
        <f>'GS &lt; 50 OLS Model'!$B$8*F52</f>
        <v>6239252.5030831071</v>
      </c>
      <c r="Q52" s="127">
        <f>'GS &lt; 50 OLS Model'!$B$9*G52</f>
        <v>-1045125.4205375121</v>
      </c>
      <c r="R52" s="127">
        <f>'GS &lt; 50 OLS Model'!$B$10*H52</f>
        <v>419453.43275174301</v>
      </c>
      <c r="S52" s="127">
        <f>'GS &lt; 50 OLS Model'!$B$11*I52</f>
        <v>0</v>
      </c>
      <c r="T52" s="127">
        <f>'GS &lt; 50 OLS Model'!$B$12*J52</f>
        <v>-782960.312499544</v>
      </c>
      <c r="U52" s="127">
        <f>'GS &lt; 50 OLS Model'!$B$13*K52</f>
        <v>14235755.378578186</v>
      </c>
      <c r="V52" s="127">
        <f t="shared" ca="1" si="2"/>
        <v>18563522.981373746</v>
      </c>
    </row>
    <row r="53" spans="1:22">
      <c r="A53" s="128">
        <f>'Monthly Data'!A53</f>
        <v>41365</v>
      </c>
      <c r="B53" s="127">
        <f t="shared" si="1"/>
        <v>2013</v>
      </c>
      <c r="C53" s="127">
        <f ca="1">'Monthly Data'!J53</f>
        <v>17496135.743099157</v>
      </c>
      <c r="D53" s="127">
        <f t="shared" ca="1" si="6"/>
        <v>254.29052631578941</v>
      </c>
      <c r="E53" s="127">
        <f t="shared" ca="1" si="6"/>
        <v>0.50947368421054762</v>
      </c>
      <c r="F53" s="124">
        <f>'Monthly Data'!BK53</f>
        <v>154.4</v>
      </c>
      <c r="G53" s="127">
        <f>'Monthly Data'!BM53</f>
        <v>52</v>
      </c>
      <c r="H53" s="127">
        <f>'Monthly Data'!BP53</f>
        <v>0</v>
      </c>
      <c r="I53" s="127">
        <f>'Monthly Data'!BV53</f>
        <v>0</v>
      </c>
      <c r="J53" s="127">
        <f>'Monthly Data'!CB53</f>
        <v>1</v>
      </c>
      <c r="K53" s="127">
        <f>'Monthly Data'!CC53</f>
        <v>30</v>
      </c>
      <c r="M53" s="127">
        <f>'GS &lt; 50 OLS Model'!$B$5</f>
        <v>-2510760.1679547098</v>
      </c>
      <c r="N53" s="127">
        <f ca="1">'GS &lt; 50 OLS Model'!$B$6*D53</f>
        <v>1107744.7804407841</v>
      </c>
      <c r="O53" s="127">
        <f ca="1">'GS &lt; 50 OLS Model'!$B$7*E53</f>
        <v>12097.655339497465</v>
      </c>
      <c r="P53" s="124">
        <f>'GS &lt; 50 OLS Model'!$B$8*F53</f>
        <v>6321132.45719181</v>
      </c>
      <c r="Q53" s="127">
        <f>'GS &lt; 50 OLS Model'!$B$9*G53</f>
        <v>-1065618.0758421691</v>
      </c>
      <c r="R53" s="127">
        <f>'GS &lt; 50 OLS Model'!$B$10*H53</f>
        <v>0</v>
      </c>
      <c r="S53" s="127">
        <f>'GS &lt; 50 OLS Model'!$B$11*I53</f>
        <v>0</v>
      </c>
      <c r="T53" s="127">
        <f>'GS &lt; 50 OLS Model'!$B$12*J53</f>
        <v>-782960.312499544</v>
      </c>
      <c r="U53" s="127">
        <f>'GS &lt; 50 OLS Model'!$B$13*K53</f>
        <v>13776537.46314018</v>
      </c>
      <c r="V53" s="127">
        <f t="shared" ca="1" si="2"/>
        <v>16858173.799815848</v>
      </c>
    </row>
    <row r="54" spans="1:22">
      <c r="A54" s="128">
        <f>'Monthly Data'!A54</f>
        <v>41395</v>
      </c>
      <c r="B54" s="127">
        <f t="shared" ref="B54:B109" si="7">YEAR(A54)</f>
        <v>2013</v>
      </c>
      <c r="C54" s="127">
        <f ca="1">'Monthly Data'!J54</f>
        <v>18053028.241128158</v>
      </c>
      <c r="D54" s="127">
        <f t="shared" ca="1" si="6"/>
        <v>102.64150375939857</v>
      </c>
      <c r="E54" s="127">
        <f t="shared" ca="1" si="6"/>
        <v>56.062781954887214</v>
      </c>
      <c r="F54" s="124">
        <f>'Monthly Data'!BK54</f>
        <v>155.30000000000001</v>
      </c>
      <c r="G54" s="127">
        <f>'Monthly Data'!BM54</f>
        <v>53</v>
      </c>
      <c r="H54" s="127">
        <f>'Monthly Data'!BP54</f>
        <v>0</v>
      </c>
      <c r="I54" s="127">
        <f>'Monthly Data'!BV54</f>
        <v>0</v>
      </c>
      <c r="J54" s="127">
        <f>'Monthly Data'!CB54</f>
        <v>1</v>
      </c>
      <c r="K54" s="127">
        <f>'Monthly Data'!CC54</f>
        <v>31</v>
      </c>
      <c r="M54" s="127">
        <f>'GS &lt; 50 OLS Model'!$B$5</f>
        <v>-2510760.1679547098</v>
      </c>
      <c r="N54" s="127">
        <f ca="1">'GS &lt; 50 OLS Model'!$B$6*D54</f>
        <v>447128.69053119334</v>
      </c>
      <c r="O54" s="127">
        <f ca="1">'GS &lt; 50 OLS Model'!$B$7*E54</f>
        <v>1331233.0636165608</v>
      </c>
      <c r="P54" s="124">
        <f>'GS &lt; 50 OLS Model'!$B$8*F54</f>
        <v>6357978.4365407256</v>
      </c>
      <c r="Q54" s="127">
        <f>'GS &lt; 50 OLS Model'!$B$9*G54</f>
        <v>-1086110.7311468262</v>
      </c>
      <c r="R54" s="127">
        <f>'GS &lt; 50 OLS Model'!$B$10*H54</f>
        <v>0</v>
      </c>
      <c r="S54" s="127">
        <f>'GS &lt; 50 OLS Model'!$B$11*I54</f>
        <v>0</v>
      </c>
      <c r="T54" s="127">
        <f>'GS &lt; 50 OLS Model'!$B$12*J54</f>
        <v>-782960.312499544</v>
      </c>
      <c r="U54" s="127">
        <f>'GS &lt; 50 OLS Model'!$B$13*K54</f>
        <v>14235755.378578186</v>
      </c>
      <c r="V54" s="127">
        <f t="shared" ref="V54:V109" ca="1" si="8">SUM(M54:U54)</f>
        <v>17992264.357665587</v>
      </c>
    </row>
    <row r="55" spans="1:22">
      <c r="A55" s="128">
        <f>'Monthly Data'!A55</f>
        <v>41426</v>
      </c>
      <c r="B55" s="127">
        <f t="shared" si="7"/>
        <v>2013</v>
      </c>
      <c r="C55" s="127">
        <f ca="1">'Monthly Data'!J55</f>
        <v>19266723.806833159</v>
      </c>
      <c r="D55" s="127">
        <f t="shared" ca="1" si="6"/>
        <v>0.39669172932326546</v>
      </c>
      <c r="E55" s="127">
        <f t="shared" ca="1" si="6"/>
        <v>116.89315789473682</v>
      </c>
      <c r="F55" s="124">
        <f>'Monthly Data'!BK55</f>
        <v>156.1</v>
      </c>
      <c r="G55" s="127">
        <f>'Monthly Data'!BM55</f>
        <v>54</v>
      </c>
      <c r="H55" s="127">
        <f>'Monthly Data'!BP55</f>
        <v>0</v>
      </c>
      <c r="I55" s="127">
        <f>'Monthly Data'!BV55</f>
        <v>0</v>
      </c>
      <c r="J55" s="127">
        <f>'Monthly Data'!CB55</f>
        <v>0</v>
      </c>
      <c r="K55" s="127">
        <f>'Monthly Data'!CC55</f>
        <v>30</v>
      </c>
      <c r="M55" s="127">
        <f>'GS &lt; 50 OLS Model'!$B$5</f>
        <v>-2510760.1679547098</v>
      </c>
      <c r="N55" s="127">
        <f ca="1">'GS &lt; 50 OLS Model'!$B$6*D55</f>
        <v>1728.0753591904077</v>
      </c>
      <c r="O55" s="127">
        <f ca="1">'GS &lt; 50 OLS Model'!$B$7*E55</f>
        <v>2775674.5433225781</v>
      </c>
      <c r="P55" s="124">
        <f>'GS &lt; 50 OLS Model'!$B$8*F55</f>
        <v>6390730.4181842059</v>
      </c>
      <c r="Q55" s="127">
        <f>'GS &lt; 50 OLS Model'!$B$9*G55</f>
        <v>-1106603.3864514832</v>
      </c>
      <c r="R55" s="127">
        <f>'GS &lt; 50 OLS Model'!$B$10*H55</f>
        <v>0</v>
      </c>
      <c r="S55" s="127">
        <f>'GS &lt; 50 OLS Model'!$B$11*I55</f>
        <v>0</v>
      </c>
      <c r="T55" s="127">
        <f>'GS &lt; 50 OLS Model'!$B$12*J55</f>
        <v>0</v>
      </c>
      <c r="U55" s="127">
        <f>'GS &lt; 50 OLS Model'!$B$13*K55</f>
        <v>13776537.46314018</v>
      </c>
      <c r="V55" s="127">
        <f t="shared" ca="1" si="8"/>
        <v>19327306.945599962</v>
      </c>
    </row>
    <row r="56" spans="1:22">
      <c r="A56" s="128">
        <f>'Monthly Data'!A56</f>
        <v>41456</v>
      </c>
      <c r="B56" s="127">
        <f t="shared" si="7"/>
        <v>2013</v>
      </c>
      <c r="C56" s="127">
        <f ca="1">'Monthly Data'!J56</f>
        <v>21311982.975834161</v>
      </c>
      <c r="D56" s="127">
        <f t="shared" ca="1" si="6"/>
        <v>0.58105263157894704</v>
      </c>
      <c r="E56" s="127">
        <f t="shared" ca="1" si="6"/>
        <v>186.96526315789481</v>
      </c>
      <c r="F56" s="124">
        <f>'Monthly Data'!BK56</f>
        <v>156</v>
      </c>
      <c r="G56" s="127">
        <f>'Monthly Data'!BM56</f>
        <v>55</v>
      </c>
      <c r="H56" s="127">
        <f>'Monthly Data'!BP56</f>
        <v>0</v>
      </c>
      <c r="I56" s="127">
        <f>'Monthly Data'!BV56</f>
        <v>0</v>
      </c>
      <c r="J56" s="127">
        <f>'Monthly Data'!CB56</f>
        <v>0</v>
      </c>
      <c r="K56" s="127">
        <f>'Monthly Data'!CC56</f>
        <v>31</v>
      </c>
      <c r="M56" s="127">
        <f>'GS &lt; 50 OLS Model'!$B$5</f>
        <v>-2510760.1679547098</v>
      </c>
      <c r="N56" s="127">
        <f ca="1">'GS &lt; 50 OLS Model'!$B$6*D56</f>
        <v>2531.1915041366383</v>
      </c>
      <c r="O56" s="127">
        <f ca="1">'GS &lt; 50 OLS Model'!$B$7*E56</f>
        <v>4439564.5628831247</v>
      </c>
      <c r="P56" s="124">
        <f>'GS &lt; 50 OLS Model'!$B$8*F56</f>
        <v>6386636.4204787714</v>
      </c>
      <c r="Q56" s="127">
        <f>'GS &lt; 50 OLS Model'!$B$9*G56</f>
        <v>-1127096.0417561405</v>
      </c>
      <c r="R56" s="127">
        <f>'GS &lt; 50 OLS Model'!$B$10*H56</f>
        <v>0</v>
      </c>
      <c r="S56" s="127">
        <f>'GS &lt; 50 OLS Model'!$B$11*I56</f>
        <v>0</v>
      </c>
      <c r="T56" s="127">
        <f>'GS &lt; 50 OLS Model'!$B$12*J56</f>
        <v>0</v>
      </c>
      <c r="U56" s="127">
        <f>'GS &lt; 50 OLS Model'!$B$13*K56</f>
        <v>14235755.378578186</v>
      </c>
      <c r="V56" s="127">
        <f t="shared" ca="1" si="8"/>
        <v>21426631.34373337</v>
      </c>
    </row>
    <row r="57" spans="1:22">
      <c r="A57" s="128">
        <f>'Monthly Data'!A57</f>
        <v>41487</v>
      </c>
      <c r="B57" s="127">
        <f t="shared" si="7"/>
        <v>2013</v>
      </c>
      <c r="C57" s="127">
        <f ca="1">'Monthly Data'!J57</f>
        <v>20411785.122910541</v>
      </c>
      <c r="D57" s="127">
        <f t="shared" ca="1" si="6"/>
        <v>1.6660902255639058</v>
      </c>
      <c r="E57" s="127">
        <f t="shared" ca="1" si="6"/>
        <v>167.43443609022574</v>
      </c>
      <c r="F57" s="124">
        <f>'Monthly Data'!BK57</f>
        <v>155.80000000000001</v>
      </c>
      <c r="G57" s="127">
        <f>'Monthly Data'!BM57</f>
        <v>56</v>
      </c>
      <c r="H57" s="127">
        <f>'Monthly Data'!BP57</f>
        <v>0</v>
      </c>
      <c r="I57" s="127">
        <f>'Monthly Data'!BV57</f>
        <v>0</v>
      </c>
      <c r="J57" s="127">
        <f>'Monthly Data'!CB57</f>
        <v>0</v>
      </c>
      <c r="K57" s="127">
        <f>'Monthly Data'!CC57</f>
        <v>31</v>
      </c>
      <c r="M57" s="127">
        <f>'GS &lt; 50 OLS Model'!$B$5</f>
        <v>-2510760.1679547098</v>
      </c>
      <c r="N57" s="127">
        <f ca="1">'GS &lt; 50 OLS Model'!$B$6*D57</f>
        <v>7257.8510015739739</v>
      </c>
      <c r="O57" s="127">
        <f ca="1">'GS &lt; 50 OLS Model'!$B$7*E57</f>
        <v>3975797.3032922582</v>
      </c>
      <c r="P57" s="124">
        <f>'GS &lt; 50 OLS Model'!$B$8*F57</f>
        <v>6378448.4250679016</v>
      </c>
      <c r="Q57" s="127">
        <f>'GS &lt; 50 OLS Model'!$B$9*G57</f>
        <v>-1147588.6970607976</v>
      </c>
      <c r="R57" s="127">
        <f>'GS &lt; 50 OLS Model'!$B$10*H57</f>
        <v>0</v>
      </c>
      <c r="S57" s="127">
        <f>'GS &lt; 50 OLS Model'!$B$11*I57</f>
        <v>0</v>
      </c>
      <c r="T57" s="127">
        <f>'GS &lt; 50 OLS Model'!$B$12*J57</f>
        <v>0</v>
      </c>
      <c r="U57" s="127">
        <f>'GS &lt; 50 OLS Model'!$B$13*K57</f>
        <v>14235755.378578186</v>
      </c>
      <c r="V57" s="127">
        <f t="shared" ca="1" si="8"/>
        <v>20938910.092924412</v>
      </c>
    </row>
    <row r="58" spans="1:22">
      <c r="A58" s="128">
        <f>'Monthly Data'!A58</f>
        <v>41518</v>
      </c>
      <c r="B58" s="127">
        <f t="shared" si="7"/>
        <v>2013</v>
      </c>
      <c r="C58" s="127">
        <f ca="1">'Monthly Data'!J58</f>
        <v>18727336.210364576</v>
      </c>
      <c r="D58" s="127">
        <f t="shared" ca="1" si="6"/>
        <v>30.410827067669118</v>
      </c>
      <c r="E58" s="127">
        <f t="shared" ca="1" si="6"/>
        <v>83.003533834586506</v>
      </c>
      <c r="F58" s="124">
        <f>'Monthly Data'!BK58</f>
        <v>154</v>
      </c>
      <c r="G58" s="127">
        <f>'Monthly Data'!BM58</f>
        <v>57</v>
      </c>
      <c r="H58" s="127">
        <f>'Monthly Data'!BP58</f>
        <v>0</v>
      </c>
      <c r="I58" s="127">
        <f>'Monthly Data'!BV58</f>
        <v>1</v>
      </c>
      <c r="J58" s="127">
        <f>'Monthly Data'!CB58</f>
        <v>1</v>
      </c>
      <c r="K58" s="127">
        <f>'Monthly Data'!CC58</f>
        <v>30</v>
      </c>
      <c r="M58" s="127">
        <f>'GS &lt; 50 OLS Model'!$B$5</f>
        <v>-2510760.1679547098</v>
      </c>
      <c r="N58" s="127">
        <f ca="1">'GS &lt; 50 OLS Model'!$B$6*D58</f>
        <v>132476.16984072464</v>
      </c>
      <c r="O58" s="127">
        <f ca="1">'GS &lt; 50 OLS Model'!$B$7*E58</f>
        <v>1970951.936108568</v>
      </c>
      <c r="P58" s="124">
        <f>'GS &lt; 50 OLS Model'!$B$8*F58</f>
        <v>6304756.4663700685</v>
      </c>
      <c r="Q58" s="127">
        <f>'GS &lt; 50 OLS Model'!$B$9*G58</f>
        <v>-1168081.3523654547</v>
      </c>
      <c r="R58" s="127">
        <f>'GS &lt; 50 OLS Model'!$B$10*H58</f>
        <v>0</v>
      </c>
      <c r="S58" s="127">
        <f>'GS &lt; 50 OLS Model'!$B$11*I58</f>
        <v>697390.17362184904</v>
      </c>
      <c r="T58" s="127">
        <f>'GS &lt; 50 OLS Model'!$B$12*J58</f>
        <v>-782960.312499544</v>
      </c>
      <c r="U58" s="127">
        <f>'GS &lt; 50 OLS Model'!$B$13*K58</f>
        <v>13776537.46314018</v>
      </c>
      <c r="V58" s="127">
        <f t="shared" ca="1" si="8"/>
        <v>18420310.376261681</v>
      </c>
    </row>
    <row r="59" spans="1:22">
      <c r="A59" s="128">
        <f>'Monthly Data'!A59</f>
        <v>41548</v>
      </c>
      <c r="B59" s="127">
        <f t="shared" si="7"/>
        <v>2013</v>
      </c>
      <c r="C59" s="127">
        <f ca="1">'Monthly Data'!J59</f>
        <v>17638387.428440351</v>
      </c>
      <c r="D59" s="127">
        <f t="shared" ca="1" si="6"/>
        <v>158.93676691729343</v>
      </c>
      <c r="E59" s="127">
        <f t="shared" ca="1" si="6"/>
        <v>16.916090225563948</v>
      </c>
      <c r="F59" s="124">
        <f>'Monthly Data'!BK59</f>
        <v>154.5</v>
      </c>
      <c r="G59" s="127">
        <f>'Monthly Data'!BM59</f>
        <v>58</v>
      </c>
      <c r="H59" s="127">
        <f>'Monthly Data'!BP59</f>
        <v>0</v>
      </c>
      <c r="I59" s="127">
        <f>'Monthly Data'!BV59</f>
        <v>0</v>
      </c>
      <c r="J59" s="127">
        <f>'Monthly Data'!CB59</f>
        <v>1</v>
      </c>
      <c r="K59" s="127">
        <f>'Monthly Data'!CC59</f>
        <v>31</v>
      </c>
      <c r="M59" s="127">
        <f>'GS &lt; 50 OLS Model'!$B$5</f>
        <v>-2510760.1679547098</v>
      </c>
      <c r="N59" s="127">
        <f ca="1">'GS &lt; 50 OLS Model'!$B$6*D59</f>
        <v>692363.08769963507</v>
      </c>
      <c r="O59" s="127">
        <f ca="1">'GS &lt; 50 OLS Model'!$B$7*E59</f>
        <v>401679.2929311379</v>
      </c>
      <c r="P59" s="124">
        <f>'GS &lt; 50 OLS Model'!$B$8*F59</f>
        <v>6325226.4548972445</v>
      </c>
      <c r="Q59" s="127">
        <f>'GS &lt; 50 OLS Model'!$B$9*G59</f>
        <v>-1188574.0076701117</v>
      </c>
      <c r="R59" s="127">
        <f>'GS &lt; 50 OLS Model'!$B$10*H59</f>
        <v>0</v>
      </c>
      <c r="S59" s="127">
        <f>'GS &lt; 50 OLS Model'!$B$11*I59</f>
        <v>0</v>
      </c>
      <c r="T59" s="127">
        <f>'GS &lt; 50 OLS Model'!$B$12*J59</f>
        <v>-782960.312499544</v>
      </c>
      <c r="U59" s="127">
        <f>'GS &lt; 50 OLS Model'!$B$13*K59</f>
        <v>14235755.378578186</v>
      </c>
      <c r="V59" s="127">
        <f t="shared" ca="1" si="8"/>
        <v>17172729.725981839</v>
      </c>
    </row>
    <row r="60" spans="1:22">
      <c r="A60" s="128">
        <f>'Monthly Data'!A60</f>
        <v>41579</v>
      </c>
      <c r="B60" s="127">
        <f t="shared" si="7"/>
        <v>2013</v>
      </c>
      <c r="C60" s="127">
        <f ca="1">'Monthly Data'!J60</f>
        <v>18020884.044720925</v>
      </c>
      <c r="D60" s="127">
        <f t="shared" ca="1" si="6"/>
        <v>375.92533834586447</v>
      </c>
      <c r="E60" s="127">
        <f t="shared" ca="1" si="6"/>
        <v>8.120300751879661E-2</v>
      </c>
      <c r="F60" s="124">
        <f>'Monthly Data'!BK60</f>
        <v>155</v>
      </c>
      <c r="G60" s="127">
        <f>'Monthly Data'!BM60</f>
        <v>59</v>
      </c>
      <c r="H60" s="127">
        <f>'Monthly Data'!BP60</f>
        <v>0</v>
      </c>
      <c r="I60" s="127">
        <f>'Monthly Data'!BV60</f>
        <v>0</v>
      </c>
      <c r="J60" s="127">
        <f>'Monthly Data'!CB60</f>
        <v>1</v>
      </c>
      <c r="K60" s="127">
        <f>'Monthly Data'!CC60</f>
        <v>30</v>
      </c>
      <c r="M60" s="127">
        <f>'GS &lt; 50 OLS Model'!$B$5</f>
        <v>-2510760.1679547098</v>
      </c>
      <c r="N60" s="127">
        <f ca="1">'GS &lt; 50 OLS Model'!$B$6*D60</f>
        <v>1637612.4483337079</v>
      </c>
      <c r="O60" s="127">
        <f ca="1">'GS &lt; 50 OLS Model'!$B$7*E60</f>
        <v>1928.1977223519268</v>
      </c>
      <c r="P60" s="124">
        <f>'GS &lt; 50 OLS Model'!$B$8*F60</f>
        <v>6345696.4434244204</v>
      </c>
      <c r="Q60" s="127">
        <f>'GS &lt; 50 OLS Model'!$B$9*G60</f>
        <v>-1209066.6629747688</v>
      </c>
      <c r="R60" s="127">
        <f>'GS &lt; 50 OLS Model'!$B$10*H60</f>
        <v>0</v>
      </c>
      <c r="S60" s="127">
        <f>'GS &lt; 50 OLS Model'!$B$11*I60</f>
        <v>0</v>
      </c>
      <c r="T60" s="127">
        <f>'GS &lt; 50 OLS Model'!$B$12*J60</f>
        <v>-782960.312499544</v>
      </c>
      <c r="U60" s="127">
        <f>'GS &lt; 50 OLS Model'!$B$13*K60</f>
        <v>13776537.46314018</v>
      </c>
      <c r="V60" s="127">
        <f t="shared" ca="1" si="8"/>
        <v>17258987.409191638</v>
      </c>
    </row>
    <row r="61" spans="1:22">
      <c r="A61" s="128">
        <f>'Monthly Data'!A61</f>
        <v>41609</v>
      </c>
      <c r="B61" s="127">
        <f t="shared" si="7"/>
        <v>2013</v>
      </c>
      <c r="C61" s="127">
        <f ca="1">'Monthly Data'!J61</f>
        <v>20066633.254348345</v>
      </c>
      <c r="D61" s="127">
        <f t="shared" ca="1" si="6"/>
        <v>548.76120300751859</v>
      </c>
      <c r="E61" s="127">
        <f t="shared" ca="1" si="6"/>
        <v>0</v>
      </c>
      <c r="F61" s="124">
        <f>'Monthly Data'!BK61</f>
        <v>157</v>
      </c>
      <c r="G61" s="127">
        <f>'Monthly Data'!BM61</f>
        <v>60</v>
      </c>
      <c r="H61" s="127">
        <f>'Monthly Data'!BP61</f>
        <v>0</v>
      </c>
      <c r="I61" s="127">
        <f>'Monthly Data'!BV61</f>
        <v>0</v>
      </c>
      <c r="J61" s="127">
        <f>'Monthly Data'!CB61</f>
        <v>0</v>
      </c>
      <c r="K61" s="127">
        <f>'Monthly Data'!CC61</f>
        <v>31</v>
      </c>
      <c r="M61" s="127">
        <f>'GS &lt; 50 OLS Model'!$B$5</f>
        <v>-2510760.1679547098</v>
      </c>
      <c r="N61" s="127">
        <f ca="1">'GS &lt; 50 OLS Model'!$B$6*D61</f>
        <v>2390523.0255612521</v>
      </c>
      <c r="O61" s="127">
        <f ca="1">'GS &lt; 50 OLS Model'!$B$7*E61</f>
        <v>0</v>
      </c>
      <c r="P61" s="124">
        <f>'GS &lt; 50 OLS Model'!$B$8*F61</f>
        <v>6427576.3975331225</v>
      </c>
      <c r="Q61" s="127">
        <f>'GS &lt; 50 OLS Model'!$B$9*G61</f>
        <v>-1229559.3182794258</v>
      </c>
      <c r="R61" s="127">
        <f>'GS &lt; 50 OLS Model'!$B$10*H61</f>
        <v>0</v>
      </c>
      <c r="S61" s="127">
        <f>'GS &lt; 50 OLS Model'!$B$11*I61</f>
        <v>0</v>
      </c>
      <c r="T61" s="127">
        <f>'GS &lt; 50 OLS Model'!$B$12*J61</f>
        <v>0</v>
      </c>
      <c r="U61" s="127">
        <f>'GS &lt; 50 OLS Model'!$B$13*K61</f>
        <v>14235755.378578186</v>
      </c>
      <c r="V61" s="127">
        <f t="shared" ca="1" si="8"/>
        <v>19313535.315438427</v>
      </c>
    </row>
    <row r="62" spans="1:22">
      <c r="A62" s="128">
        <f>'Monthly Data'!A62</f>
        <v>41640</v>
      </c>
      <c r="B62" s="127">
        <f t="shared" si="7"/>
        <v>2014</v>
      </c>
      <c r="C62" s="127">
        <f ca="1">'Monthly Data'!J62</f>
        <v>21303777.783872336</v>
      </c>
      <c r="D62" s="127">
        <f t="shared" ca="1" si="6"/>
        <v>665.14879699248104</v>
      </c>
      <c r="E62" s="127">
        <f t="shared" ca="1" si="6"/>
        <v>0</v>
      </c>
      <c r="F62" s="124">
        <f>'Monthly Data'!BK62</f>
        <v>157.6</v>
      </c>
      <c r="G62" s="127">
        <f>'Monthly Data'!BM62</f>
        <v>61</v>
      </c>
      <c r="H62" s="127">
        <f>'Monthly Data'!BP62</f>
        <v>0</v>
      </c>
      <c r="I62" s="127">
        <f>'Monthly Data'!BV62</f>
        <v>0</v>
      </c>
      <c r="J62" s="127">
        <f>'Monthly Data'!CB62</f>
        <v>0</v>
      </c>
      <c r="K62" s="127">
        <f>'Monthly Data'!CC62</f>
        <v>31</v>
      </c>
      <c r="M62" s="127">
        <f>'GS &lt; 50 OLS Model'!$B$5</f>
        <v>-2510760.1679547098</v>
      </c>
      <c r="N62" s="127">
        <f ca="1">'GS &lt; 50 OLS Model'!$B$6*D62</f>
        <v>2897532.6716256719</v>
      </c>
      <c r="O62" s="127">
        <f ca="1">'GS &lt; 50 OLS Model'!$B$7*E62</f>
        <v>0</v>
      </c>
      <c r="P62" s="124">
        <f>'GS &lt; 50 OLS Model'!$B$8*F62</f>
        <v>6452140.3837657329</v>
      </c>
      <c r="Q62" s="127">
        <f>'GS &lt; 50 OLS Model'!$B$9*G62</f>
        <v>-1250051.9735840831</v>
      </c>
      <c r="R62" s="127">
        <f>'GS &lt; 50 OLS Model'!$B$10*H62</f>
        <v>0</v>
      </c>
      <c r="S62" s="127">
        <f>'GS &lt; 50 OLS Model'!$B$11*I62</f>
        <v>0</v>
      </c>
      <c r="T62" s="127">
        <f>'GS &lt; 50 OLS Model'!$B$12*J62</f>
        <v>0</v>
      </c>
      <c r="U62" s="127">
        <f>'GS &lt; 50 OLS Model'!$B$13*K62</f>
        <v>14235755.378578186</v>
      </c>
      <c r="V62" s="127">
        <f t="shared" ca="1" si="8"/>
        <v>19824616.292430799</v>
      </c>
    </row>
    <row r="63" spans="1:22">
      <c r="A63" s="128">
        <f>'Monthly Data'!A63</f>
        <v>41671</v>
      </c>
      <c r="B63" s="127">
        <f t="shared" si="7"/>
        <v>2014</v>
      </c>
      <c r="C63" s="127">
        <f ca="1">'Monthly Data'!J63</f>
        <v>19099984.13925432</v>
      </c>
      <c r="D63" s="127">
        <f t="shared" ca="1" si="6"/>
        <v>611.17548872180487</v>
      </c>
      <c r="E63" s="127">
        <f t="shared" ca="1" si="6"/>
        <v>0</v>
      </c>
      <c r="F63" s="124">
        <f>'Monthly Data'!BK63</f>
        <v>156.4</v>
      </c>
      <c r="G63" s="127">
        <f>'Monthly Data'!BM63</f>
        <v>62</v>
      </c>
      <c r="H63" s="127">
        <f>'Monthly Data'!BP63</f>
        <v>0</v>
      </c>
      <c r="I63" s="127">
        <f>'Monthly Data'!BV63</f>
        <v>0</v>
      </c>
      <c r="J63" s="127">
        <f>'Monthly Data'!CB63</f>
        <v>0</v>
      </c>
      <c r="K63" s="127">
        <f>'Monthly Data'!CC63</f>
        <v>28</v>
      </c>
      <c r="M63" s="127">
        <f>'GS &lt; 50 OLS Model'!$B$5</f>
        <v>-2510760.1679547098</v>
      </c>
      <c r="N63" s="127">
        <f ca="1">'GS &lt; 50 OLS Model'!$B$6*D63</f>
        <v>2662413.2144198036</v>
      </c>
      <c r="O63" s="127">
        <f ca="1">'GS &lt; 50 OLS Model'!$B$7*E63</f>
        <v>0</v>
      </c>
      <c r="P63" s="124">
        <f>'GS &lt; 50 OLS Model'!$B$8*F63</f>
        <v>6403012.411300512</v>
      </c>
      <c r="Q63" s="127">
        <f>'GS &lt; 50 OLS Model'!$B$9*G63</f>
        <v>-1270544.6288887402</v>
      </c>
      <c r="R63" s="127">
        <f>'GS &lt; 50 OLS Model'!$B$10*H63</f>
        <v>0</v>
      </c>
      <c r="S63" s="127">
        <f>'GS &lt; 50 OLS Model'!$B$11*I63</f>
        <v>0</v>
      </c>
      <c r="T63" s="127">
        <f>'GS &lt; 50 OLS Model'!$B$12*J63</f>
        <v>0</v>
      </c>
      <c r="U63" s="127">
        <f>'GS &lt; 50 OLS Model'!$B$13*K63</f>
        <v>12858101.632264167</v>
      </c>
      <c r="V63" s="127">
        <f t="shared" ca="1" si="8"/>
        <v>18142222.461141031</v>
      </c>
    </row>
    <row r="64" spans="1:22">
      <c r="A64" s="128">
        <f>'Monthly Data'!A64</f>
        <v>41699</v>
      </c>
      <c r="B64" s="127">
        <f t="shared" si="7"/>
        <v>2014</v>
      </c>
      <c r="C64" s="127">
        <f ca="1">'Monthly Data'!J64</f>
        <v>19585691.607345648</v>
      </c>
      <c r="D64" s="127">
        <f t="shared" ca="1" si="6"/>
        <v>458.46436090225569</v>
      </c>
      <c r="E64" s="127">
        <f t="shared" ca="1" si="6"/>
        <v>0.45218045112781802</v>
      </c>
      <c r="F64" s="124">
        <f>'Monthly Data'!BK64</f>
        <v>155.30000000000001</v>
      </c>
      <c r="G64" s="127">
        <f>'Monthly Data'!BM64</f>
        <v>63</v>
      </c>
      <c r="H64" s="127">
        <f>'Monthly Data'!BP64</f>
        <v>1</v>
      </c>
      <c r="I64" s="127">
        <f>'Monthly Data'!BV64</f>
        <v>0</v>
      </c>
      <c r="J64" s="127">
        <f>'Monthly Data'!CB64</f>
        <v>1</v>
      </c>
      <c r="K64" s="127">
        <f>'Monthly Data'!CC64</f>
        <v>31</v>
      </c>
      <c r="M64" s="127">
        <f>'GS &lt; 50 OLS Model'!$B$5</f>
        <v>-2510760.1679547098</v>
      </c>
      <c r="N64" s="127">
        <f ca="1">'GS &lt; 50 OLS Model'!$B$6*D64</f>
        <v>1997170.3632281933</v>
      </c>
      <c r="O64" s="127">
        <f ca="1">'GS &lt; 50 OLS Model'!$B$7*E64</f>
        <v>10737.204724281946</v>
      </c>
      <c r="P64" s="124">
        <f>'GS &lt; 50 OLS Model'!$B$8*F64</f>
        <v>6357978.4365407256</v>
      </c>
      <c r="Q64" s="127">
        <f>'GS &lt; 50 OLS Model'!$B$9*G64</f>
        <v>-1291037.2841933973</v>
      </c>
      <c r="R64" s="127">
        <f>'GS &lt; 50 OLS Model'!$B$10*H64</f>
        <v>419453.43275174301</v>
      </c>
      <c r="S64" s="127">
        <f>'GS &lt; 50 OLS Model'!$B$11*I64</f>
        <v>0</v>
      </c>
      <c r="T64" s="127">
        <f>'GS &lt; 50 OLS Model'!$B$12*J64</f>
        <v>-782960.312499544</v>
      </c>
      <c r="U64" s="127">
        <f>'GS &lt; 50 OLS Model'!$B$13*K64</f>
        <v>14235755.378578186</v>
      </c>
      <c r="V64" s="127">
        <f t="shared" ca="1" si="8"/>
        <v>18436337.051175479</v>
      </c>
    </row>
    <row r="65" spans="1:22">
      <c r="A65" s="128">
        <f>'Monthly Data'!A65</f>
        <v>41730</v>
      </c>
      <c r="B65" s="127">
        <f t="shared" si="7"/>
        <v>2014</v>
      </c>
      <c r="C65" s="127">
        <f ca="1">'Monthly Data'!J65</f>
        <v>16922663.676998418</v>
      </c>
      <c r="D65" s="127">
        <f t="shared" ca="1" si="6"/>
        <v>254.29052631578941</v>
      </c>
      <c r="E65" s="127">
        <f t="shared" ca="1" si="6"/>
        <v>0.50947368421054762</v>
      </c>
      <c r="F65" s="124">
        <f>'Monthly Data'!BK65</f>
        <v>152.9</v>
      </c>
      <c r="G65" s="127">
        <f>'Monthly Data'!BM65</f>
        <v>64</v>
      </c>
      <c r="H65" s="127">
        <f>'Monthly Data'!BP65</f>
        <v>0</v>
      </c>
      <c r="I65" s="127">
        <f>'Monthly Data'!BV65</f>
        <v>0</v>
      </c>
      <c r="J65" s="127">
        <f>'Monthly Data'!CB65</f>
        <v>1</v>
      </c>
      <c r="K65" s="127">
        <f>'Monthly Data'!CC65</f>
        <v>30</v>
      </c>
      <c r="M65" s="127">
        <f>'GS &lt; 50 OLS Model'!$B$5</f>
        <v>-2510760.1679547098</v>
      </c>
      <c r="N65" s="127">
        <f ca="1">'GS &lt; 50 OLS Model'!$B$6*D65</f>
        <v>1107744.7804407841</v>
      </c>
      <c r="O65" s="127">
        <f ca="1">'GS &lt; 50 OLS Model'!$B$7*E65</f>
        <v>12097.655339497465</v>
      </c>
      <c r="P65" s="124">
        <f>'GS &lt; 50 OLS Model'!$B$8*F65</f>
        <v>6259722.491610283</v>
      </c>
      <c r="Q65" s="127">
        <f>'GS &lt; 50 OLS Model'!$B$9*G65</f>
        <v>-1311529.9394980543</v>
      </c>
      <c r="R65" s="127">
        <f>'GS &lt; 50 OLS Model'!$B$10*H65</f>
        <v>0</v>
      </c>
      <c r="S65" s="127">
        <f>'GS &lt; 50 OLS Model'!$B$11*I65</f>
        <v>0</v>
      </c>
      <c r="T65" s="127">
        <f>'GS &lt; 50 OLS Model'!$B$12*J65</f>
        <v>-782960.312499544</v>
      </c>
      <c r="U65" s="127">
        <f>'GS &lt; 50 OLS Model'!$B$13*K65</f>
        <v>13776537.46314018</v>
      </c>
      <c r="V65" s="127">
        <f t="shared" ca="1" si="8"/>
        <v>16550851.970578436</v>
      </c>
    </row>
    <row r="66" spans="1:22">
      <c r="A66" s="128">
        <f>'Monthly Data'!A66</f>
        <v>41760</v>
      </c>
      <c r="B66" s="127">
        <f t="shared" si="7"/>
        <v>2014</v>
      </c>
      <c r="C66" s="127">
        <f ca="1">'Monthly Data'!J66</f>
        <v>17613446.724568356</v>
      </c>
      <c r="D66" s="127">
        <f t="shared" ref="D66:E81" ca="1" si="9">D54</f>
        <v>102.64150375939857</v>
      </c>
      <c r="E66" s="127">
        <f t="shared" ca="1" si="9"/>
        <v>56.062781954887214</v>
      </c>
      <c r="F66" s="124">
        <f>'Monthly Data'!BK66</f>
        <v>152.1</v>
      </c>
      <c r="G66" s="127">
        <f>'Monthly Data'!BM66</f>
        <v>65</v>
      </c>
      <c r="H66" s="127">
        <f>'Monthly Data'!BP66</f>
        <v>0</v>
      </c>
      <c r="I66" s="127">
        <f>'Monthly Data'!BV66</f>
        <v>0</v>
      </c>
      <c r="J66" s="127">
        <f>'Monthly Data'!CB66</f>
        <v>1</v>
      </c>
      <c r="K66" s="127">
        <f>'Monthly Data'!CC66</f>
        <v>31</v>
      </c>
      <c r="M66" s="127">
        <f>'GS &lt; 50 OLS Model'!$B$5</f>
        <v>-2510760.1679547098</v>
      </c>
      <c r="N66" s="127">
        <f ca="1">'GS &lt; 50 OLS Model'!$B$6*D66</f>
        <v>447128.69053119334</v>
      </c>
      <c r="O66" s="127">
        <f ca="1">'GS &lt; 50 OLS Model'!$B$7*E66</f>
        <v>1331233.0636165608</v>
      </c>
      <c r="P66" s="124">
        <f>'GS &lt; 50 OLS Model'!$B$8*F66</f>
        <v>6226970.5099668019</v>
      </c>
      <c r="Q66" s="127">
        <f>'GS &lt; 50 OLS Model'!$B$9*G66</f>
        <v>-1332022.5948027114</v>
      </c>
      <c r="R66" s="127">
        <f>'GS &lt; 50 OLS Model'!$B$10*H66</f>
        <v>0</v>
      </c>
      <c r="S66" s="127">
        <f>'GS &lt; 50 OLS Model'!$B$11*I66</f>
        <v>0</v>
      </c>
      <c r="T66" s="127">
        <f>'GS &lt; 50 OLS Model'!$B$12*J66</f>
        <v>-782960.312499544</v>
      </c>
      <c r="U66" s="127">
        <f>'GS &lt; 50 OLS Model'!$B$13*K66</f>
        <v>14235755.378578186</v>
      </c>
      <c r="V66" s="127">
        <f t="shared" ca="1" si="8"/>
        <v>17615344.567435775</v>
      </c>
    </row>
    <row r="67" spans="1:22">
      <c r="A67" s="128">
        <f>'Monthly Data'!A67</f>
        <v>41791</v>
      </c>
      <c r="B67" s="127">
        <f t="shared" si="7"/>
        <v>2014</v>
      </c>
      <c r="C67" s="127">
        <f ca="1">'Monthly Data'!J67</f>
        <v>18970931.054170139</v>
      </c>
      <c r="D67" s="127">
        <f t="shared" ca="1" si="9"/>
        <v>0.39669172932326546</v>
      </c>
      <c r="E67" s="127">
        <f t="shared" ca="1" si="9"/>
        <v>116.89315789473682</v>
      </c>
      <c r="F67" s="124">
        <f>'Monthly Data'!BK67</f>
        <v>150.80000000000001</v>
      </c>
      <c r="G67" s="127">
        <f>'Monthly Data'!BM67</f>
        <v>66</v>
      </c>
      <c r="H67" s="127">
        <f>'Monthly Data'!BP67</f>
        <v>0</v>
      </c>
      <c r="I67" s="127">
        <f>'Monthly Data'!BV67</f>
        <v>0</v>
      </c>
      <c r="J67" s="127">
        <f>'Monthly Data'!CB67</f>
        <v>0</v>
      </c>
      <c r="K67" s="127">
        <f>'Monthly Data'!CC67</f>
        <v>30</v>
      </c>
      <c r="M67" s="127">
        <f>'GS &lt; 50 OLS Model'!$B$5</f>
        <v>-2510760.1679547098</v>
      </c>
      <c r="N67" s="127">
        <f ca="1">'GS &lt; 50 OLS Model'!$B$6*D67</f>
        <v>1728.0753591904077</v>
      </c>
      <c r="O67" s="127">
        <f ca="1">'GS &lt; 50 OLS Model'!$B$7*E67</f>
        <v>2775674.5433225781</v>
      </c>
      <c r="P67" s="124">
        <f>'GS &lt; 50 OLS Model'!$B$8*F67</f>
        <v>6173748.5397961456</v>
      </c>
      <c r="Q67" s="127">
        <f>'GS &lt; 50 OLS Model'!$B$9*G67</f>
        <v>-1352515.2501073685</v>
      </c>
      <c r="R67" s="127">
        <f>'GS &lt; 50 OLS Model'!$B$10*H67</f>
        <v>0</v>
      </c>
      <c r="S67" s="127">
        <f>'GS &lt; 50 OLS Model'!$B$11*I67</f>
        <v>0</v>
      </c>
      <c r="T67" s="127">
        <f>'GS &lt; 50 OLS Model'!$B$12*J67</f>
        <v>0</v>
      </c>
      <c r="U67" s="127">
        <f>'GS &lt; 50 OLS Model'!$B$13*K67</f>
        <v>13776537.46314018</v>
      </c>
      <c r="V67" s="127">
        <f t="shared" ca="1" si="8"/>
        <v>18864413.203556016</v>
      </c>
    </row>
    <row r="68" spans="1:22">
      <c r="A68" s="128">
        <f>'Monthly Data'!A68</f>
        <v>41821</v>
      </c>
      <c r="B68" s="127">
        <f t="shared" si="7"/>
        <v>2014</v>
      </c>
      <c r="C68" s="127">
        <f ca="1">'Monthly Data'!J68</f>
        <v>19855708.900343191</v>
      </c>
      <c r="D68" s="127">
        <f t="shared" ca="1" si="9"/>
        <v>0.58105263157894704</v>
      </c>
      <c r="E68" s="127">
        <f t="shared" ca="1" si="9"/>
        <v>186.96526315789481</v>
      </c>
      <c r="F68" s="124">
        <f>'Monthly Data'!BK68</f>
        <v>152.1</v>
      </c>
      <c r="G68" s="127">
        <f>'Monthly Data'!BM68</f>
        <v>67</v>
      </c>
      <c r="H68" s="127">
        <f>'Monthly Data'!BP68</f>
        <v>0</v>
      </c>
      <c r="I68" s="127">
        <f>'Monthly Data'!BV68</f>
        <v>0</v>
      </c>
      <c r="J68" s="127">
        <f>'Monthly Data'!CB68</f>
        <v>0</v>
      </c>
      <c r="K68" s="127">
        <f>'Monthly Data'!CC68</f>
        <v>31</v>
      </c>
      <c r="M68" s="127">
        <f>'GS &lt; 50 OLS Model'!$B$5</f>
        <v>-2510760.1679547098</v>
      </c>
      <c r="N68" s="127">
        <f ca="1">'GS &lt; 50 OLS Model'!$B$6*D68</f>
        <v>2531.1915041366383</v>
      </c>
      <c r="O68" s="127">
        <f ca="1">'GS &lt; 50 OLS Model'!$B$7*E68</f>
        <v>4439564.5628831247</v>
      </c>
      <c r="P68" s="124">
        <f>'GS &lt; 50 OLS Model'!$B$8*F68</f>
        <v>6226970.5099668019</v>
      </c>
      <c r="Q68" s="127">
        <f>'GS &lt; 50 OLS Model'!$B$9*G68</f>
        <v>-1373007.9054120255</v>
      </c>
      <c r="R68" s="127">
        <f>'GS &lt; 50 OLS Model'!$B$10*H68</f>
        <v>0</v>
      </c>
      <c r="S68" s="127">
        <f>'GS &lt; 50 OLS Model'!$B$11*I68</f>
        <v>0</v>
      </c>
      <c r="T68" s="127">
        <f>'GS &lt; 50 OLS Model'!$B$12*J68</f>
        <v>0</v>
      </c>
      <c r="U68" s="127">
        <f>'GS &lt; 50 OLS Model'!$B$13*K68</f>
        <v>14235755.378578186</v>
      </c>
      <c r="V68" s="127">
        <f t="shared" ca="1" si="8"/>
        <v>21021053.569565512</v>
      </c>
    </row>
    <row r="69" spans="1:22">
      <c r="A69" s="128">
        <f>'Monthly Data'!A69</f>
        <v>41852</v>
      </c>
      <c r="B69" s="127">
        <f t="shared" si="7"/>
        <v>2014</v>
      </c>
      <c r="C69" s="127">
        <f ca="1">'Monthly Data'!J69</f>
        <v>19611045.207169671</v>
      </c>
      <c r="D69" s="127">
        <f t="shared" ca="1" si="9"/>
        <v>1.6660902255639058</v>
      </c>
      <c r="E69" s="127">
        <f t="shared" ca="1" si="9"/>
        <v>167.43443609022574</v>
      </c>
      <c r="F69" s="124">
        <f>'Monthly Data'!BK69</f>
        <v>153.30000000000001</v>
      </c>
      <c r="G69" s="127">
        <f>'Monthly Data'!BM69</f>
        <v>68</v>
      </c>
      <c r="H69" s="127">
        <f>'Monthly Data'!BP69</f>
        <v>0</v>
      </c>
      <c r="I69" s="127">
        <f>'Monthly Data'!BV69</f>
        <v>0</v>
      </c>
      <c r="J69" s="127">
        <f>'Monthly Data'!CB69</f>
        <v>0</v>
      </c>
      <c r="K69" s="127">
        <f>'Monthly Data'!CC69</f>
        <v>31</v>
      </c>
      <c r="M69" s="127">
        <f>'GS &lt; 50 OLS Model'!$B$5</f>
        <v>-2510760.1679547098</v>
      </c>
      <c r="N69" s="127">
        <f ca="1">'GS &lt; 50 OLS Model'!$B$6*D69</f>
        <v>7257.8510015739739</v>
      </c>
      <c r="O69" s="127">
        <f ca="1">'GS &lt; 50 OLS Model'!$B$7*E69</f>
        <v>3975797.3032922582</v>
      </c>
      <c r="P69" s="124">
        <f>'GS &lt; 50 OLS Model'!$B$8*F69</f>
        <v>6276098.4824320236</v>
      </c>
      <c r="Q69" s="127">
        <f>'GS &lt; 50 OLS Model'!$B$9*G69</f>
        <v>-1393500.5607166828</v>
      </c>
      <c r="R69" s="127">
        <f>'GS &lt; 50 OLS Model'!$B$10*H69</f>
        <v>0</v>
      </c>
      <c r="S69" s="127">
        <f>'GS &lt; 50 OLS Model'!$B$11*I69</f>
        <v>0</v>
      </c>
      <c r="T69" s="127">
        <f>'GS &lt; 50 OLS Model'!$B$12*J69</f>
        <v>0</v>
      </c>
      <c r="U69" s="127">
        <f>'GS &lt; 50 OLS Model'!$B$13*K69</f>
        <v>14235755.378578186</v>
      </c>
      <c r="V69" s="127">
        <f t="shared" ca="1" si="8"/>
        <v>20590648.28663265</v>
      </c>
    </row>
    <row r="70" spans="1:22">
      <c r="A70" s="128">
        <f>'Monthly Data'!A70</f>
        <v>41883</v>
      </c>
      <c r="B70" s="127">
        <f t="shared" si="7"/>
        <v>2014</v>
      </c>
      <c r="C70" s="127">
        <f ca="1">'Monthly Data'!J70</f>
        <v>17643769.2377556</v>
      </c>
      <c r="D70" s="127">
        <f t="shared" ca="1" si="9"/>
        <v>30.410827067669118</v>
      </c>
      <c r="E70" s="127">
        <f t="shared" ca="1" si="9"/>
        <v>83.003533834586506</v>
      </c>
      <c r="F70" s="124">
        <f>'Monthly Data'!BK70</f>
        <v>155.30000000000001</v>
      </c>
      <c r="G70" s="127">
        <f>'Monthly Data'!BM70</f>
        <v>69</v>
      </c>
      <c r="H70" s="127">
        <f>'Monthly Data'!BP70</f>
        <v>0</v>
      </c>
      <c r="I70" s="127">
        <f>'Monthly Data'!BV70</f>
        <v>1</v>
      </c>
      <c r="J70" s="127">
        <f>'Monthly Data'!CB70</f>
        <v>1</v>
      </c>
      <c r="K70" s="127">
        <f>'Monthly Data'!CC70</f>
        <v>30</v>
      </c>
      <c r="M70" s="127">
        <f>'GS &lt; 50 OLS Model'!$B$5</f>
        <v>-2510760.1679547098</v>
      </c>
      <c r="N70" s="127">
        <f ca="1">'GS &lt; 50 OLS Model'!$B$6*D70</f>
        <v>132476.16984072464</v>
      </c>
      <c r="O70" s="127">
        <f ca="1">'GS &lt; 50 OLS Model'!$B$7*E70</f>
        <v>1970951.936108568</v>
      </c>
      <c r="P70" s="124">
        <f>'GS &lt; 50 OLS Model'!$B$8*F70</f>
        <v>6357978.4365407256</v>
      </c>
      <c r="Q70" s="127">
        <f>'GS &lt; 50 OLS Model'!$B$9*G70</f>
        <v>-1413993.2160213399</v>
      </c>
      <c r="R70" s="127">
        <f>'GS &lt; 50 OLS Model'!$B$10*H70</f>
        <v>0</v>
      </c>
      <c r="S70" s="127">
        <f>'GS &lt; 50 OLS Model'!$B$11*I70</f>
        <v>697390.17362184904</v>
      </c>
      <c r="T70" s="127">
        <f>'GS &lt; 50 OLS Model'!$B$12*J70</f>
        <v>-782960.312499544</v>
      </c>
      <c r="U70" s="127">
        <f>'GS &lt; 50 OLS Model'!$B$13*K70</f>
        <v>13776537.46314018</v>
      </c>
      <c r="V70" s="127">
        <f t="shared" ca="1" si="8"/>
        <v>18227620.482776456</v>
      </c>
    </row>
    <row r="71" spans="1:22">
      <c r="A71" s="128">
        <f>'Monthly Data'!A71</f>
        <v>41913</v>
      </c>
      <c r="B71" s="127">
        <f t="shared" si="7"/>
        <v>2014</v>
      </c>
      <c r="C71" s="127">
        <f ca="1">'Monthly Data'!J71</f>
        <v>16849179.511326332</v>
      </c>
      <c r="D71" s="127">
        <f t="shared" ca="1" si="9"/>
        <v>158.93676691729343</v>
      </c>
      <c r="E71" s="127">
        <f t="shared" ca="1" si="9"/>
        <v>16.916090225563948</v>
      </c>
      <c r="F71" s="124">
        <f>'Monthly Data'!BK71</f>
        <v>156.9</v>
      </c>
      <c r="G71" s="127">
        <f>'Monthly Data'!BM71</f>
        <v>70</v>
      </c>
      <c r="H71" s="127">
        <f>'Monthly Data'!BP71</f>
        <v>0</v>
      </c>
      <c r="I71" s="127">
        <f>'Monthly Data'!BV71</f>
        <v>0</v>
      </c>
      <c r="J71" s="127">
        <f>'Monthly Data'!CB71</f>
        <v>1</v>
      </c>
      <c r="K71" s="127">
        <f>'Monthly Data'!CC71</f>
        <v>31</v>
      </c>
      <c r="M71" s="127">
        <f>'GS &lt; 50 OLS Model'!$B$5</f>
        <v>-2510760.1679547098</v>
      </c>
      <c r="N71" s="127">
        <f ca="1">'GS &lt; 50 OLS Model'!$B$6*D71</f>
        <v>692363.08769963507</v>
      </c>
      <c r="O71" s="127">
        <f ca="1">'GS &lt; 50 OLS Model'!$B$7*E71</f>
        <v>401679.2929311379</v>
      </c>
      <c r="P71" s="124">
        <f>'GS &lt; 50 OLS Model'!$B$8*F71</f>
        <v>6423482.3998276871</v>
      </c>
      <c r="Q71" s="127">
        <f>'GS &lt; 50 OLS Model'!$B$9*G71</f>
        <v>-1434485.8713259969</v>
      </c>
      <c r="R71" s="127">
        <f>'GS &lt; 50 OLS Model'!$B$10*H71</f>
        <v>0</v>
      </c>
      <c r="S71" s="127">
        <f>'GS &lt; 50 OLS Model'!$B$11*I71</f>
        <v>0</v>
      </c>
      <c r="T71" s="127">
        <f>'GS &lt; 50 OLS Model'!$B$12*J71</f>
        <v>-782960.312499544</v>
      </c>
      <c r="U71" s="127">
        <f>'GS &lt; 50 OLS Model'!$B$13*K71</f>
        <v>14235755.378578186</v>
      </c>
      <c r="V71" s="127">
        <f t="shared" ca="1" si="8"/>
        <v>17025073.807256397</v>
      </c>
    </row>
    <row r="72" spans="1:22">
      <c r="A72" s="128">
        <f>'Monthly Data'!A72</f>
        <v>41944</v>
      </c>
      <c r="B72" s="127">
        <f t="shared" si="7"/>
        <v>2014</v>
      </c>
      <c r="C72" s="127">
        <f ca="1">'Monthly Data'!J72</f>
        <v>17791302.050130848</v>
      </c>
      <c r="D72" s="127">
        <f t="shared" ca="1" si="9"/>
        <v>375.92533834586447</v>
      </c>
      <c r="E72" s="127">
        <f t="shared" ca="1" si="9"/>
        <v>8.120300751879661E-2</v>
      </c>
      <c r="F72" s="124">
        <f>'Monthly Data'!BK72</f>
        <v>157.9</v>
      </c>
      <c r="G72" s="127">
        <f>'Monthly Data'!BM72</f>
        <v>71</v>
      </c>
      <c r="H72" s="127">
        <f>'Monthly Data'!BP72</f>
        <v>0</v>
      </c>
      <c r="I72" s="127">
        <f>'Monthly Data'!BV72</f>
        <v>0</v>
      </c>
      <c r="J72" s="127">
        <f>'Monthly Data'!CB72</f>
        <v>1</v>
      </c>
      <c r="K72" s="127">
        <f>'Monthly Data'!CC72</f>
        <v>30</v>
      </c>
      <c r="M72" s="127">
        <f>'GS &lt; 50 OLS Model'!$B$5</f>
        <v>-2510760.1679547098</v>
      </c>
      <c r="N72" s="127">
        <f ca="1">'GS &lt; 50 OLS Model'!$B$6*D72</f>
        <v>1637612.4483337079</v>
      </c>
      <c r="O72" s="127">
        <f ca="1">'GS &lt; 50 OLS Model'!$B$7*E72</f>
        <v>1928.1977223519268</v>
      </c>
      <c r="P72" s="124">
        <f>'GS &lt; 50 OLS Model'!$B$8*F72</f>
        <v>6464422.3768820381</v>
      </c>
      <c r="Q72" s="127">
        <f>'GS &lt; 50 OLS Model'!$B$9*G72</f>
        <v>-1454978.526630654</v>
      </c>
      <c r="R72" s="127">
        <f>'GS &lt; 50 OLS Model'!$B$10*H72</f>
        <v>0</v>
      </c>
      <c r="S72" s="127">
        <f>'GS &lt; 50 OLS Model'!$B$11*I72</f>
        <v>0</v>
      </c>
      <c r="T72" s="127">
        <f>'GS &lt; 50 OLS Model'!$B$12*J72</f>
        <v>-782960.312499544</v>
      </c>
      <c r="U72" s="127">
        <f>'GS &lt; 50 OLS Model'!$B$13*K72</f>
        <v>13776537.46314018</v>
      </c>
      <c r="V72" s="127">
        <f t="shared" ca="1" si="8"/>
        <v>17131801.478993371</v>
      </c>
    </row>
    <row r="73" spans="1:22">
      <c r="A73" s="128">
        <f>'Monthly Data'!A73</f>
        <v>41974</v>
      </c>
      <c r="B73" s="127">
        <f t="shared" si="7"/>
        <v>2014</v>
      </c>
      <c r="C73" s="127">
        <f ca="1">'Monthly Data'!J73</f>
        <v>19279930.467506785</v>
      </c>
      <c r="D73" s="127">
        <f t="shared" ca="1" si="9"/>
        <v>548.76120300751859</v>
      </c>
      <c r="E73" s="127">
        <f t="shared" ca="1" si="9"/>
        <v>0</v>
      </c>
      <c r="F73" s="124">
        <f>'Monthly Data'!BK73</f>
        <v>159.9</v>
      </c>
      <c r="G73" s="127">
        <f>'Monthly Data'!BM73</f>
        <v>72</v>
      </c>
      <c r="H73" s="127">
        <f>'Monthly Data'!BP73</f>
        <v>0</v>
      </c>
      <c r="I73" s="127">
        <f>'Monthly Data'!BV73</f>
        <v>0</v>
      </c>
      <c r="J73" s="127">
        <f>'Monthly Data'!CB73</f>
        <v>0</v>
      </c>
      <c r="K73" s="127">
        <f>'Monthly Data'!CC73</f>
        <v>31</v>
      </c>
      <c r="M73" s="127">
        <f>'GS &lt; 50 OLS Model'!$B$5</f>
        <v>-2510760.1679547098</v>
      </c>
      <c r="N73" s="127">
        <f ca="1">'GS &lt; 50 OLS Model'!$B$6*D73</f>
        <v>2390523.0255612521</v>
      </c>
      <c r="O73" s="127">
        <f ca="1">'GS &lt; 50 OLS Model'!$B$7*E73</f>
        <v>0</v>
      </c>
      <c r="P73" s="124">
        <f>'GS &lt; 50 OLS Model'!$B$8*F73</f>
        <v>6546302.330990741</v>
      </c>
      <c r="Q73" s="127">
        <f>'GS &lt; 50 OLS Model'!$B$9*G73</f>
        <v>-1475471.1819353111</v>
      </c>
      <c r="R73" s="127">
        <f>'GS &lt; 50 OLS Model'!$B$10*H73</f>
        <v>0</v>
      </c>
      <c r="S73" s="127">
        <f>'GS &lt; 50 OLS Model'!$B$11*I73</f>
        <v>0</v>
      </c>
      <c r="T73" s="127">
        <f>'GS &lt; 50 OLS Model'!$B$12*J73</f>
        <v>0</v>
      </c>
      <c r="U73" s="127">
        <f>'GS &lt; 50 OLS Model'!$B$13*K73</f>
        <v>14235755.378578186</v>
      </c>
      <c r="V73" s="127">
        <f t="shared" ca="1" si="8"/>
        <v>19186349.38524016</v>
      </c>
    </row>
    <row r="74" spans="1:22">
      <c r="A74" s="128">
        <f>'Monthly Data'!A74</f>
        <v>42005</v>
      </c>
      <c r="B74" s="127">
        <f t="shared" si="7"/>
        <v>2015</v>
      </c>
      <c r="C74" s="127">
        <f ca="1">'Monthly Data'!J74</f>
        <v>20206900.384172045</v>
      </c>
      <c r="D74" s="127">
        <f t="shared" ca="1" si="9"/>
        <v>665.14879699248104</v>
      </c>
      <c r="E74" s="127">
        <f t="shared" ca="1" si="9"/>
        <v>0</v>
      </c>
      <c r="F74" s="124">
        <f>'Monthly Data'!BK74</f>
        <v>160.4</v>
      </c>
      <c r="G74" s="127">
        <f>'Monthly Data'!BM74</f>
        <v>73</v>
      </c>
      <c r="H74" s="127">
        <f>'Monthly Data'!BP74</f>
        <v>0</v>
      </c>
      <c r="I74" s="127">
        <f>'Monthly Data'!BV74</f>
        <v>0</v>
      </c>
      <c r="J74" s="127">
        <f>'Monthly Data'!CB74</f>
        <v>0</v>
      </c>
      <c r="K74" s="127">
        <f>'Monthly Data'!CC74</f>
        <v>31</v>
      </c>
      <c r="M74" s="127">
        <f>'GS &lt; 50 OLS Model'!$B$5</f>
        <v>-2510760.1679547098</v>
      </c>
      <c r="N74" s="127">
        <f ca="1">'GS &lt; 50 OLS Model'!$B$6*D74</f>
        <v>2897532.6716256719</v>
      </c>
      <c r="O74" s="127">
        <f ca="1">'GS &lt; 50 OLS Model'!$B$7*E74</f>
        <v>0</v>
      </c>
      <c r="P74" s="124">
        <f>'GS &lt; 50 OLS Model'!$B$8*F74</f>
        <v>6566772.3195179161</v>
      </c>
      <c r="Q74" s="127">
        <f>'GS &lt; 50 OLS Model'!$B$9*G74</f>
        <v>-1495963.8372399681</v>
      </c>
      <c r="R74" s="127">
        <f>'GS &lt; 50 OLS Model'!$B$10*H74</f>
        <v>0</v>
      </c>
      <c r="S74" s="127">
        <f>'GS &lt; 50 OLS Model'!$B$11*I74</f>
        <v>0</v>
      </c>
      <c r="T74" s="127">
        <f>'GS &lt; 50 OLS Model'!$B$12*J74</f>
        <v>0</v>
      </c>
      <c r="U74" s="127">
        <f>'GS &lt; 50 OLS Model'!$B$13*K74</f>
        <v>14235755.378578186</v>
      </c>
      <c r="V74" s="127">
        <f t="shared" ca="1" si="8"/>
        <v>19693336.364527099</v>
      </c>
    </row>
    <row r="75" spans="1:22">
      <c r="A75" s="128">
        <f>'Monthly Data'!A75</f>
        <v>42036</v>
      </c>
      <c r="B75" s="127">
        <f t="shared" si="7"/>
        <v>2015</v>
      </c>
      <c r="C75" s="127">
        <f ca="1">'Monthly Data'!J75</f>
        <v>18912952.911405765</v>
      </c>
      <c r="D75" s="127">
        <f t="shared" ca="1" si="9"/>
        <v>611.17548872180487</v>
      </c>
      <c r="E75" s="127">
        <f t="shared" ca="1" si="9"/>
        <v>0</v>
      </c>
      <c r="F75" s="124">
        <f>'Monthly Data'!BK75</f>
        <v>161.69999999999999</v>
      </c>
      <c r="G75" s="127">
        <f>'Monthly Data'!BM75</f>
        <v>74</v>
      </c>
      <c r="H75" s="127">
        <f>'Monthly Data'!BP75</f>
        <v>0</v>
      </c>
      <c r="I75" s="127">
        <f>'Monthly Data'!BV75</f>
        <v>0</v>
      </c>
      <c r="J75" s="127">
        <f>'Monthly Data'!CB75</f>
        <v>0</v>
      </c>
      <c r="K75" s="127">
        <f>'Monthly Data'!CC75</f>
        <v>28</v>
      </c>
      <c r="M75" s="127">
        <f>'GS &lt; 50 OLS Model'!$B$5</f>
        <v>-2510760.1679547098</v>
      </c>
      <c r="N75" s="127">
        <f ca="1">'GS &lt; 50 OLS Model'!$B$6*D75</f>
        <v>2662413.2144198036</v>
      </c>
      <c r="O75" s="127">
        <f ca="1">'GS &lt; 50 OLS Model'!$B$7*E75</f>
        <v>0</v>
      </c>
      <c r="P75" s="124">
        <f>'GS &lt; 50 OLS Model'!$B$8*F75</f>
        <v>6619994.2896885723</v>
      </c>
      <c r="Q75" s="127">
        <f>'GS &lt; 50 OLS Model'!$B$9*G75</f>
        <v>-1516456.4925446254</v>
      </c>
      <c r="R75" s="127">
        <f>'GS &lt; 50 OLS Model'!$B$10*H75</f>
        <v>0</v>
      </c>
      <c r="S75" s="127">
        <f>'GS &lt; 50 OLS Model'!$B$11*I75</f>
        <v>0</v>
      </c>
      <c r="T75" s="127">
        <f>'GS &lt; 50 OLS Model'!$B$12*J75</f>
        <v>0</v>
      </c>
      <c r="U75" s="127">
        <f>'GS &lt; 50 OLS Model'!$B$13*K75</f>
        <v>12858101.632264167</v>
      </c>
      <c r="V75" s="127">
        <f t="shared" ca="1" si="8"/>
        <v>18113292.47587321</v>
      </c>
    </row>
    <row r="76" spans="1:22">
      <c r="A76" s="128">
        <f>'Monthly Data'!A76</f>
        <v>42064</v>
      </c>
      <c r="B76" s="127">
        <f t="shared" si="7"/>
        <v>2015</v>
      </c>
      <c r="C76" s="127">
        <f ca="1">'Monthly Data'!J76</f>
        <v>19087194.693129994</v>
      </c>
      <c r="D76" s="127">
        <f t="shared" ca="1" si="9"/>
        <v>458.46436090225569</v>
      </c>
      <c r="E76" s="127">
        <f t="shared" ca="1" si="9"/>
        <v>0.45218045112781802</v>
      </c>
      <c r="F76" s="124">
        <f>'Monthly Data'!BK76</f>
        <v>160.5</v>
      </c>
      <c r="G76" s="127">
        <f>'Monthly Data'!BM76</f>
        <v>75</v>
      </c>
      <c r="H76" s="127">
        <f>'Monthly Data'!BP76</f>
        <v>1</v>
      </c>
      <c r="I76" s="127">
        <f>'Monthly Data'!BV76</f>
        <v>0</v>
      </c>
      <c r="J76" s="127">
        <f>'Monthly Data'!CB76</f>
        <v>1</v>
      </c>
      <c r="K76" s="127">
        <f>'Monthly Data'!CC76</f>
        <v>31</v>
      </c>
      <c r="M76" s="127">
        <f>'GS &lt; 50 OLS Model'!$B$5</f>
        <v>-2510760.1679547098</v>
      </c>
      <c r="N76" s="127">
        <f ca="1">'GS &lt; 50 OLS Model'!$B$6*D76</f>
        <v>1997170.3632281933</v>
      </c>
      <c r="O76" s="127">
        <f ca="1">'GS &lt; 50 OLS Model'!$B$7*E76</f>
        <v>10737.204724281946</v>
      </c>
      <c r="P76" s="124">
        <f>'GS &lt; 50 OLS Model'!$B$8*F76</f>
        <v>6570866.3172233514</v>
      </c>
      <c r="Q76" s="127">
        <f>'GS &lt; 50 OLS Model'!$B$9*G76</f>
        <v>-1536949.1478492825</v>
      </c>
      <c r="R76" s="127">
        <f>'GS &lt; 50 OLS Model'!$B$10*H76</f>
        <v>419453.43275174301</v>
      </c>
      <c r="S76" s="127">
        <f>'GS &lt; 50 OLS Model'!$B$11*I76</f>
        <v>0</v>
      </c>
      <c r="T76" s="127">
        <f>'GS &lt; 50 OLS Model'!$B$12*J76</f>
        <v>-782960.312499544</v>
      </c>
      <c r="U76" s="127">
        <f>'GS &lt; 50 OLS Model'!$B$13*K76</f>
        <v>14235755.378578186</v>
      </c>
      <c r="V76" s="127">
        <f t="shared" ca="1" si="8"/>
        <v>18403313.06820222</v>
      </c>
    </row>
    <row r="77" spans="1:22">
      <c r="A77" s="128">
        <f>'Monthly Data'!A77</f>
        <v>42095</v>
      </c>
      <c r="B77" s="127">
        <f t="shared" si="7"/>
        <v>2015</v>
      </c>
      <c r="C77" s="127">
        <f ca="1">'Monthly Data'!J77</f>
        <v>16822886.277402826</v>
      </c>
      <c r="D77" s="127">
        <f t="shared" ca="1" si="9"/>
        <v>254.29052631578941</v>
      </c>
      <c r="E77" s="127">
        <f t="shared" ca="1" si="9"/>
        <v>0.50947368421054762</v>
      </c>
      <c r="F77" s="124">
        <f>'Monthly Data'!BK77</f>
        <v>160.19999999999999</v>
      </c>
      <c r="G77" s="127">
        <f>'Monthly Data'!BM77</f>
        <v>76</v>
      </c>
      <c r="H77" s="127">
        <f>'Monthly Data'!BP77</f>
        <v>0</v>
      </c>
      <c r="I77" s="127">
        <f>'Monthly Data'!BV77</f>
        <v>0</v>
      </c>
      <c r="J77" s="127">
        <f>'Monthly Data'!CB77</f>
        <v>1</v>
      </c>
      <c r="K77" s="127">
        <f>'Monthly Data'!CC77</f>
        <v>30</v>
      </c>
      <c r="M77" s="127">
        <f>'GS &lt; 50 OLS Model'!$B$5</f>
        <v>-2510760.1679547098</v>
      </c>
      <c r="N77" s="127">
        <f ca="1">'GS &lt; 50 OLS Model'!$B$6*D77</f>
        <v>1107744.7804407841</v>
      </c>
      <c r="O77" s="127">
        <f ca="1">'GS &lt; 50 OLS Model'!$B$7*E77</f>
        <v>12097.655339497465</v>
      </c>
      <c r="P77" s="124">
        <f>'GS &lt; 50 OLS Model'!$B$8*F77</f>
        <v>6558584.3241070453</v>
      </c>
      <c r="Q77" s="127">
        <f>'GS &lt; 50 OLS Model'!$B$9*G77</f>
        <v>-1557441.8031539395</v>
      </c>
      <c r="R77" s="127">
        <f>'GS &lt; 50 OLS Model'!$B$10*H77</f>
        <v>0</v>
      </c>
      <c r="S77" s="127">
        <f>'GS &lt; 50 OLS Model'!$B$11*I77</f>
        <v>0</v>
      </c>
      <c r="T77" s="127">
        <f>'GS &lt; 50 OLS Model'!$B$12*J77</f>
        <v>-782960.312499544</v>
      </c>
      <c r="U77" s="127">
        <f>'GS &lt; 50 OLS Model'!$B$13*K77</f>
        <v>13776537.46314018</v>
      </c>
      <c r="V77" s="127">
        <f t="shared" ca="1" si="8"/>
        <v>16603801.939419314</v>
      </c>
    </row>
    <row r="78" spans="1:22">
      <c r="A78" s="128">
        <f>'Monthly Data'!A78</f>
        <v>42125</v>
      </c>
      <c r="B78" s="127">
        <f t="shared" si="7"/>
        <v>2015</v>
      </c>
      <c r="C78" s="127">
        <f ca="1">'Monthly Data'!J78</f>
        <v>17571335.804700233</v>
      </c>
      <c r="D78" s="127">
        <f t="shared" ca="1" si="9"/>
        <v>102.64150375939857</v>
      </c>
      <c r="E78" s="127">
        <f t="shared" ca="1" si="9"/>
        <v>56.062781954887214</v>
      </c>
      <c r="F78" s="124">
        <f>'Monthly Data'!BK78</f>
        <v>160.80000000000001</v>
      </c>
      <c r="G78" s="127">
        <f>'Monthly Data'!BM78</f>
        <v>77</v>
      </c>
      <c r="H78" s="127">
        <f>'Monthly Data'!BP78</f>
        <v>0</v>
      </c>
      <c r="I78" s="127">
        <f>'Monthly Data'!BV78</f>
        <v>0</v>
      </c>
      <c r="J78" s="127">
        <f>'Monthly Data'!CB78</f>
        <v>1</v>
      </c>
      <c r="K78" s="127">
        <f>'Monthly Data'!CC78</f>
        <v>31</v>
      </c>
      <c r="M78" s="127">
        <f>'GS &lt; 50 OLS Model'!$B$5</f>
        <v>-2510760.1679547098</v>
      </c>
      <c r="N78" s="127">
        <f ca="1">'GS &lt; 50 OLS Model'!$B$6*D78</f>
        <v>447128.69053119334</v>
      </c>
      <c r="O78" s="127">
        <f ca="1">'GS &lt; 50 OLS Model'!$B$7*E78</f>
        <v>1331233.0636165608</v>
      </c>
      <c r="P78" s="124">
        <f>'GS &lt; 50 OLS Model'!$B$8*F78</f>
        <v>6583148.3103396567</v>
      </c>
      <c r="Q78" s="127">
        <f>'GS &lt; 50 OLS Model'!$B$9*G78</f>
        <v>-1577934.4584585966</v>
      </c>
      <c r="R78" s="127">
        <f>'GS &lt; 50 OLS Model'!$B$10*H78</f>
        <v>0</v>
      </c>
      <c r="S78" s="127">
        <f>'GS &lt; 50 OLS Model'!$B$11*I78</f>
        <v>0</v>
      </c>
      <c r="T78" s="127">
        <f>'GS &lt; 50 OLS Model'!$B$12*J78</f>
        <v>-782960.312499544</v>
      </c>
      <c r="U78" s="127">
        <f>'GS &lt; 50 OLS Model'!$B$13*K78</f>
        <v>14235755.378578186</v>
      </c>
      <c r="V78" s="127">
        <f t="shared" ca="1" si="8"/>
        <v>17725610.504152745</v>
      </c>
    </row>
    <row r="79" spans="1:22">
      <c r="A79" s="128">
        <f>'Monthly Data'!A79</f>
        <v>42156</v>
      </c>
      <c r="B79" s="127">
        <f t="shared" si="7"/>
        <v>2015</v>
      </c>
      <c r="C79" s="127">
        <f ca="1">'Monthly Data'!J79</f>
        <v>18388369.415220134</v>
      </c>
      <c r="D79" s="127">
        <f t="shared" ca="1" si="9"/>
        <v>0.39669172932326546</v>
      </c>
      <c r="E79" s="127">
        <f t="shared" ca="1" si="9"/>
        <v>116.89315789473682</v>
      </c>
      <c r="F79" s="124">
        <f>'Monthly Data'!BK79</f>
        <v>163</v>
      </c>
      <c r="G79" s="127">
        <f>'Monthly Data'!BM79</f>
        <v>78</v>
      </c>
      <c r="H79" s="127">
        <f>'Monthly Data'!BP79</f>
        <v>0</v>
      </c>
      <c r="I79" s="127">
        <f>'Monthly Data'!BV79</f>
        <v>0</v>
      </c>
      <c r="J79" s="127">
        <f>'Monthly Data'!CB79</f>
        <v>0</v>
      </c>
      <c r="K79" s="127">
        <f>'Monthly Data'!CC79</f>
        <v>30</v>
      </c>
      <c r="M79" s="127">
        <f>'GS &lt; 50 OLS Model'!$B$5</f>
        <v>-2510760.1679547098</v>
      </c>
      <c r="N79" s="127">
        <f ca="1">'GS &lt; 50 OLS Model'!$B$6*D79</f>
        <v>1728.0753591904077</v>
      </c>
      <c r="O79" s="127">
        <f ca="1">'GS &lt; 50 OLS Model'!$B$7*E79</f>
        <v>2775674.5433225781</v>
      </c>
      <c r="P79" s="124">
        <f>'GS &lt; 50 OLS Model'!$B$8*F79</f>
        <v>6673216.2598592285</v>
      </c>
      <c r="Q79" s="127">
        <f>'GS &lt; 50 OLS Model'!$B$9*G79</f>
        <v>-1598427.1137632537</v>
      </c>
      <c r="R79" s="127">
        <f>'GS &lt; 50 OLS Model'!$B$10*H79</f>
        <v>0</v>
      </c>
      <c r="S79" s="127">
        <f>'GS &lt; 50 OLS Model'!$B$11*I79</f>
        <v>0</v>
      </c>
      <c r="T79" s="127">
        <f>'GS &lt; 50 OLS Model'!$B$12*J79</f>
        <v>0</v>
      </c>
      <c r="U79" s="127">
        <f>'GS &lt; 50 OLS Model'!$B$13*K79</f>
        <v>13776537.46314018</v>
      </c>
      <c r="V79" s="127">
        <f t="shared" ca="1" si="8"/>
        <v>19117969.059963211</v>
      </c>
    </row>
    <row r="80" spans="1:22">
      <c r="A80" s="128">
        <f>'Monthly Data'!A80</f>
        <v>42186</v>
      </c>
      <c r="B80" s="127">
        <f t="shared" si="7"/>
        <v>2015</v>
      </c>
      <c r="C80" s="127">
        <f ca="1">'Monthly Data'!J80</f>
        <v>20279519.473623894</v>
      </c>
      <c r="D80" s="127">
        <f t="shared" ca="1" si="9"/>
        <v>0.58105263157894704</v>
      </c>
      <c r="E80" s="127">
        <f t="shared" ca="1" si="9"/>
        <v>186.96526315789481</v>
      </c>
      <c r="F80" s="124">
        <f>'Monthly Data'!BK80</f>
        <v>162.19999999999999</v>
      </c>
      <c r="G80" s="127">
        <f>'Monthly Data'!BM80</f>
        <v>79</v>
      </c>
      <c r="H80" s="127">
        <f>'Monthly Data'!BP80</f>
        <v>0</v>
      </c>
      <c r="I80" s="127">
        <f>'Monthly Data'!BV80</f>
        <v>0</v>
      </c>
      <c r="J80" s="127">
        <f>'Monthly Data'!CB80</f>
        <v>0</v>
      </c>
      <c r="K80" s="127">
        <f>'Monthly Data'!CC80</f>
        <v>31</v>
      </c>
      <c r="M80" s="127">
        <f>'GS &lt; 50 OLS Model'!$B$5</f>
        <v>-2510760.1679547098</v>
      </c>
      <c r="N80" s="127">
        <f ca="1">'GS &lt; 50 OLS Model'!$B$6*D80</f>
        <v>2531.1915041366383</v>
      </c>
      <c r="O80" s="127">
        <f ca="1">'GS &lt; 50 OLS Model'!$B$7*E80</f>
        <v>4439564.5628831247</v>
      </c>
      <c r="P80" s="124">
        <f>'GS &lt; 50 OLS Model'!$B$8*F80</f>
        <v>6640464.2782157473</v>
      </c>
      <c r="Q80" s="127">
        <f>'GS &lt; 50 OLS Model'!$B$9*G80</f>
        <v>-1618919.7690679107</v>
      </c>
      <c r="R80" s="127">
        <f>'GS &lt; 50 OLS Model'!$B$10*H80</f>
        <v>0</v>
      </c>
      <c r="S80" s="127">
        <f>'GS &lt; 50 OLS Model'!$B$11*I80</f>
        <v>0</v>
      </c>
      <c r="T80" s="127">
        <f>'GS &lt; 50 OLS Model'!$B$12*J80</f>
        <v>0</v>
      </c>
      <c r="U80" s="127">
        <f>'GS &lt; 50 OLS Model'!$B$13*K80</f>
        <v>14235755.378578186</v>
      </c>
      <c r="V80" s="127">
        <f t="shared" ca="1" si="8"/>
        <v>21188635.474158574</v>
      </c>
    </row>
    <row r="81" spans="1:22">
      <c r="A81" s="128">
        <f>'Monthly Data'!A81</f>
        <v>42217</v>
      </c>
      <c r="B81" s="127">
        <f t="shared" si="7"/>
        <v>2015</v>
      </c>
      <c r="C81" s="127">
        <f ca="1">'Monthly Data'!J81</f>
        <v>20702927.092459753</v>
      </c>
      <c r="D81" s="127">
        <f t="shared" ca="1" si="9"/>
        <v>1.6660902255639058</v>
      </c>
      <c r="E81" s="127">
        <f t="shared" ca="1" si="9"/>
        <v>167.43443609022574</v>
      </c>
      <c r="F81" s="124">
        <f>'Monthly Data'!BK81</f>
        <v>158.69999999999999</v>
      </c>
      <c r="G81" s="127">
        <f>'Monthly Data'!BM81</f>
        <v>80</v>
      </c>
      <c r="H81" s="127">
        <f>'Monthly Data'!BP81</f>
        <v>0</v>
      </c>
      <c r="I81" s="127">
        <f>'Monthly Data'!BV81</f>
        <v>0</v>
      </c>
      <c r="J81" s="127">
        <f>'Monthly Data'!CB81</f>
        <v>0</v>
      </c>
      <c r="K81" s="127">
        <f>'Monthly Data'!CC81</f>
        <v>31</v>
      </c>
      <c r="M81" s="127">
        <f>'GS &lt; 50 OLS Model'!$B$5</f>
        <v>-2510760.1679547098</v>
      </c>
      <c r="N81" s="127">
        <f ca="1">'GS &lt; 50 OLS Model'!$B$6*D81</f>
        <v>7257.8510015739739</v>
      </c>
      <c r="O81" s="127">
        <f ca="1">'GS &lt; 50 OLS Model'!$B$7*E81</f>
        <v>3975797.3032922582</v>
      </c>
      <c r="P81" s="124">
        <f>'GS &lt; 50 OLS Model'!$B$8*F81</f>
        <v>6497174.3585255183</v>
      </c>
      <c r="Q81" s="127">
        <f>'GS &lt; 50 OLS Model'!$B$9*G81</f>
        <v>-1639412.4243725678</v>
      </c>
      <c r="R81" s="127">
        <f>'GS &lt; 50 OLS Model'!$B$10*H81</f>
        <v>0</v>
      </c>
      <c r="S81" s="127">
        <f>'GS &lt; 50 OLS Model'!$B$11*I81</f>
        <v>0</v>
      </c>
      <c r="T81" s="127">
        <f>'GS &lt; 50 OLS Model'!$B$12*J81</f>
        <v>0</v>
      </c>
      <c r="U81" s="127">
        <f>'GS &lt; 50 OLS Model'!$B$13*K81</f>
        <v>14235755.378578186</v>
      </c>
      <c r="V81" s="127">
        <f t="shared" ca="1" si="8"/>
        <v>20565812.299070258</v>
      </c>
    </row>
    <row r="82" spans="1:22">
      <c r="A82" s="128">
        <f>'Monthly Data'!A82</f>
        <v>42248</v>
      </c>
      <c r="B82" s="127">
        <f t="shared" si="7"/>
        <v>2015</v>
      </c>
      <c r="C82" s="127">
        <f ca="1">'Monthly Data'!J82</f>
        <v>18321540.160444587</v>
      </c>
      <c r="D82" s="127">
        <f t="shared" ref="D82:E97" ca="1" si="10">D70</f>
        <v>30.410827067669118</v>
      </c>
      <c r="E82" s="127">
        <f t="shared" ca="1" si="10"/>
        <v>83.003533834586506</v>
      </c>
      <c r="F82" s="124">
        <f>'Monthly Data'!BK82</f>
        <v>155.5</v>
      </c>
      <c r="G82" s="127">
        <f>'Monthly Data'!BM82</f>
        <v>81</v>
      </c>
      <c r="H82" s="127">
        <f>'Monthly Data'!BP82</f>
        <v>0</v>
      </c>
      <c r="I82" s="127">
        <f>'Monthly Data'!BV82</f>
        <v>1</v>
      </c>
      <c r="J82" s="127">
        <f>'Monthly Data'!CB82</f>
        <v>1</v>
      </c>
      <c r="K82" s="127">
        <f>'Monthly Data'!CC82</f>
        <v>30</v>
      </c>
      <c r="M82" s="127">
        <f>'GS &lt; 50 OLS Model'!$B$5</f>
        <v>-2510760.1679547098</v>
      </c>
      <c r="N82" s="127">
        <f ca="1">'GS &lt; 50 OLS Model'!$B$6*D82</f>
        <v>132476.16984072464</v>
      </c>
      <c r="O82" s="127">
        <f ca="1">'GS &lt; 50 OLS Model'!$B$7*E82</f>
        <v>1970951.936108568</v>
      </c>
      <c r="P82" s="124">
        <f>'GS &lt; 50 OLS Model'!$B$8*F82</f>
        <v>6366166.4319515955</v>
      </c>
      <c r="Q82" s="127">
        <f>'GS &lt; 50 OLS Model'!$B$9*G82</f>
        <v>-1659905.0796772251</v>
      </c>
      <c r="R82" s="127">
        <f>'GS &lt; 50 OLS Model'!$B$10*H82</f>
        <v>0</v>
      </c>
      <c r="S82" s="127">
        <f>'GS &lt; 50 OLS Model'!$B$11*I82</f>
        <v>697390.17362184904</v>
      </c>
      <c r="T82" s="127">
        <f>'GS &lt; 50 OLS Model'!$B$12*J82</f>
        <v>-782960.312499544</v>
      </c>
      <c r="U82" s="127">
        <f>'GS &lt; 50 OLS Model'!$B$13*K82</f>
        <v>13776537.46314018</v>
      </c>
      <c r="V82" s="127">
        <f t="shared" ca="1" si="8"/>
        <v>17989896.614531439</v>
      </c>
    </row>
    <row r="83" spans="1:22">
      <c r="A83" s="128">
        <f>'Monthly Data'!A83</f>
        <v>42278</v>
      </c>
      <c r="B83" s="127">
        <f t="shared" si="7"/>
        <v>2015</v>
      </c>
      <c r="C83" s="127">
        <f ca="1">'Monthly Data'!J83</f>
        <v>16809498.477666974</v>
      </c>
      <c r="D83" s="127">
        <f t="shared" ca="1" si="10"/>
        <v>158.93676691729343</v>
      </c>
      <c r="E83" s="127">
        <f t="shared" ca="1" si="10"/>
        <v>16.916090225563948</v>
      </c>
      <c r="F83" s="124">
        <f>'Monthly Data'!BK83</f>
        <v>153.9</v>
      </c>
      <c r="G83" s="127">
        <f>'Monthly Data'!BM83</f>
        <v>82</v>
      </c>
      <c r="H83" s="127">
        <f>'Monthly Data'!BP83</f>
        <v>0</v>
      </c>
      <c r="I83" s="127">
        <f>'Monthly Data'!BV83</f>
        <v>0</v>
      </c>
      <c r="J83" s="127">
        <f>'Monthly Data'!CB83</f>
        <v>1</v>
      </c>
      <c r="K83" s="127">
        <f>'Monthly Data'!CC83</f>
        <v>31</v>
      </c>
      <c r="M83" s="127">
        <f>'GS &lt; 50 OLS Model'!$B$5</f>
        <v>-2510760.1679547098</v>
      </c>
      <c r="N83" s="127">
        <f ca="1">'GS &lt; 50 OLS Model'!$B$6*D83</f>
        <v>692363.08769963507</v>
      </c>
      <c r="O83" s="127">
        <f ca="1">'GS &lt; 50 OLS Model'!$B$7*E83</f>
        <v>401679.2929311379</v>
      </c>
      <c r="P83" s="124">
        <f>'GS &lt; 50 OLS Model'!$B$8*F83</f>
        <v>6300662.468664634</v>
      </c>
      <c r="Q83" s="127">
        <f>'GS &lt; 50 OLS Model'!$B$9*G83</f>
        <v>-1680397.7349818822</v>
      </c>
      <c r="R83" s="127">
        <f>'GS &lt; 50 OLS Model'!$B$10*H83</f>
        <v>0</v>
      </c>
      <c r="S83" s="127">
        <f>'GS &lt; 50 OLS Model'!$B$11*I83</f>
        <v>0</v>
      </c>
      <c r="T83" s="127">
        <f>'GS &lt; 50 OLS Model'!$B$12*J83</f>
        <v>-782960.312499544</v>
      </c>
      <c r="U83" s="127">
        <f>'GS &lt; 50 OLS Model'!$B$13*K83</f>
        <v>14235755.378578186</v>
      </c>
      <c r="V83" s="127">
        <f t="shared" ca="1" si="8"/>
        <v>16656342.012437457</v>
      </c>
    </row>
    <row r="84" spans="1:22">
      <c r="A84" s="128">
        <f>'Monthly Data'!A84</f>
        <v>42309</v>
      </c>
      <c r="B84" s="127">
        <f t="shared" si="7"/>
        <v>2015</v>
      </c>
      <c r="C84" s="127">
        <f ca="1">'Monthly Data'!J84</f>
        <v>16699458.042118514</v>
      </c>
      <c r="D84" s="127">
        <f t="shared" ca="1" si="10"/>
        <v>375.92533834586447</v>
      </c>
      <c r="E84" s="127">
        <f t="shared" ca="1" si="10"/>
        <v>8.120300751879661E-2</v>
      </c>
      <c r="F84" s="124">
        <f>'Monthly Data'!BK84</f>
        <v>154.19999999999999</v>
      </c>
      <c r="G84" s="127">
        <f>'Monthly Data'!BM84</f>
        <v>83</v>
      </c>
      <c r="H84" s="127">
        <f>'Monthly Data'!BP84</f>
        <v>0</v>
      </c>
      <c r="I84" s="127">
        <f>'Monthly Data'!BV84</f>
        <v>0</v>
      </c>
      <c r="J84" s="127">
        <f>'Monthly Data'!CB84</f>
        <v>1</v>
      </c>
      <c r="K84" s="127">
        <f>'Monthly Data'!CC84</f>
        <v>30</v>
      </c>
      <c r="M84" s="127">
        <f>'GS &lt; 50 OLS Model'!$B$5</f>
        <v>-2510760.1679547098</v>
      </c>
      <c r="N84" s="127">
        <f ca="1">'GS &lt; 50 OLS Model'!$B$6*D84</f>
        <v>1637612.4483337079</v>
      </c>
      <c r="O84" s="127">
        <f ca="1">'GS &lt; 50 OLS Model'!$B$7*E84</f>
        <v>1928.1977223519268</v>
      </c>
      <c r="P84" s="124">
        <f>'GS &lt; 50 OLS Model'!$B$8*F84</f>
        <v>6312944.4617809383</v>
      </c>
      <c r="Q84" s="127">
        <f>'GS &lt; 50 OLS Model'!$B$9*G84</f>
        <v>-1700890.3902865392</v>
      </c>
      <c r="R84" s="127">
        <f>'GS &lt; 50 OLS Model'!$B$10*H84</f>
        <v>0</v>
      </c>
      <c r="S84" s="127">
        <f>'GS &lt; 50 OLS Model'!$B$11*I84</f>
        <v>0</v>
      </c>
      <c r="T84" s="127">
        <f>'GS &lt; 50 OLS Model'!$B$12*J84</f>
        <v>-782960.312499544</v>
      </c>
      <c r="U84" s="127">
        <f>'GS &lt; 50 OLS Model'!$B$13*K84</f>
        <v>13776537.46314018</v>
      </c>
      <c r="V84" s="127">
        <f t="shared" ca="1" si="8"/>
        <v>16734411.700236384</v>
      </c>
    </row>
    <row r="85" spans="1:22">
      <c r="A85" s="128">
        <f>'Monthly Data'!A85</f>
        <v>42339</v>
      </c>
      <c r="B85" s="127">
        <f t="shared" si="7"/>
        <v>2015</v>
      </c>
      <c r="C85" s="127">
        <f ca="1">'Monthly Data'!J85</f>
        <v>18067085.348473221</v>
      </c>
      <c r="D85" s="127">
        <f t="shared" ca="1" si="10"/>
        <v>548.76120300751859</v>
      </c>
      <c r="E85" s="127">
        <f t="shared" ca="1" si="10"/>
        <v>0</v>
      </c>
      <c r="F85" s="124">
        <f>'Monthly Data'!BK85</f>
        <v>154.4</v>
      </c>
      <c r="G85" s="127">
        <f>'Monthly Data'!BM85</f>
        <v>84</v>
      </c>
      <c r="H85" s="127">
        <f>'Monthly Data'!BP85</f>
        <v>0</v>
      </c>
      <c r="I85" s="127">
        <f>'Monthly Data'!BV85</f>
        <v>0</v>
      </c>
      <c r="J85" s="127">
        <f>'Monthly Data'!CB85</f>
        <v>0</v>
      </c>
      <c r="K85" s="127">
        <f>'Monthly Data'!CC85</f>
        <v>31</v>
      </c>
      <c r="M85" s="127">
        <f>'GS &lt; 50 OLS Model'!$B$5</f>
        <v>-2510760.1679547098</v>
      </c>
      <c r="N85" s="127">
        <f ca="1">'GS &lt; 50 OLS Model'!$B$6*D85</f>
        <v>2390523.0255612521</v>
      </c>
      <c r="O85" s="127">
        <f ca="1">'GS &lt; 50 OLS Model'!$B$7*E85</f>
        <v>0</v>
      </c>
      <c r="P85" s="124">
        <f>'GS &lt; 50 OLS Model'!$B$8*F85</f>
        <v>6321132.45719181</v>
      </c>
      <c r="Q85" s="127">
        <f>'GS &lt; 50 OLS Model'!$B$9*G85</f>
        <v>-1721383.0455911963</v>
      </c>
      <c r="R85" s="127">
        <f>'GS &lt; 50 OLS Model'!$B$10*H85</f>
        <v>0</v>
      </c>
      <c r="S85" s="127">
        <f>'GS &lt; 50 OLS Model'!$B$11*I85</f>
        <v>0</v>
      </c>
      <c r="T85" s="127">
        <f>'GS &lt; 50 OLS Model'!$B$12*J85</f>
        <v>0</v>
      </c>
      <c r="U85" s="127">
        <f>'GS &lt; 50 OLS Model'!$B$13*K85</f>
        <v>14235755.378578186</v>
      </c>
      <c r="V85" s="127">
        <f t="shared" ca="1" si="8"/>
        <v>18715267.647785343</v>
      </c>
    </row>
    <row r="86" spans="1:22">
      <c r="A86" s="128">
        <f>'Monthly Data'!A86</f>
        <v>42370</v>
      </c>
      <c r="B86" s="127">
        <f t="shared" si="7"/>
        <v>2016</v>
      </c>
      <c r="C86" s="127">
        <f ca="1">'Monthly Data'!J86</f>
        <v>19133061.760733683</v>
      </c>
      <c r="D86" s="127">
        <f t="shared" ca="1" si="10"/>
        <v>665.14879699248104</v>
      </c>
      <c r="E86" s="127">
        <f t="shared" ca="1" si="10"/>
        <v>0</v>
      </c>
      <c r="F86" s="124">
        <f>'Monthly Data'!BK86</f>
        <v>156.19999999999999</v>
      </c>
      <c r="G86" s="127">
        <f>'Monthly Data'!BM86</f>
        <v>85</v>
      </c>
      <c r="H86" s="127">
        <f>'Monthly Data'!BP86</f>
        <v>0</v>
      </c>
      <c r="I86" s="127">
        <f>'Monthly Data'!BV86</f>
        <v>0</v>
      </c>
      <c r="J86" s="127">
        <f>'Monthly Data'!CB86</f>
        <v>0</v>
      </c>
      <c r="K86" s="127">
        <f>'Monthly Data'!CC86</f>
        <v>31</v>
      </c>
      <c r="M86" s="127">
        <f>'GS &lt; 50 OLS Model'!$B$5</f>
        <v>-2510760.1679547098</v>
      </c>
      <c r="N86" s="127">
        <f ca="1">'GS &lt; 50 OLS Model'!$B$6*D86</f>
        <v>2897532.6716256719</v>
      </c>
      <c r="O86" s="127">
        <f ca="1">'GS &lt; 50 OLS Model'!$B$7*E86</f>
        <v>0</v>
      </c>
      <c r="P86" s="124">
        <f>'GS &lt; 50 OLS Model'!$B$8*F86</f>
        <v>6394824.4158896413</v>
      </c>
      <c r="Q86" s="127">
        <f>'GS &lt; 50 OLS Model'!$B$9*G86</f>
        <v>-1741875.7008958533</v>
      </c>
      <c r="R86" s="127">
        <f>'GS &lt; 50 OLS Model'!$B$10*H86</f>
        <v>0</v>
      </c>
      <c r="S86" s="127">
        <f>'GS &lt; 50 OLS Model'!$B$11*I86</f>
        <v>0</v>
      </c>
      <c r="T86" s="127">
        <f>'GS &lt; 50 OLS Model'!$B$12*J86</f>
        <v>0</v>
      </c>
      <c r="U86" s="127">
        <f>'GS &lt; 50 OLS Model'!$B$13*K86</f>
        <v>14235755.378578186</v>
      </c>
      <c r="V86" s="127">
        <f t="shared" ca="1" si="8"/>
        <v>19275476.597242936</v>
      </c>
    </row>
    <row r="87" spans="1:22">
      <c r="A87" s="128">
        <f>'Monthly Data'!A87</f>
        <v>42401</v>
      </c>
      <c r="B87" s="127">
        <f t="shared" si="7"/>
        <v>2016</v>
      </c>
      <c r="C87" s="127">
        <f ca="1">'Monthly Data'!J87</f>
        <v>18058710.330862306</v>
      </c>
      <c r="D87" s="127">
        <f t="shared" ca="1" si="10"/>
        <v>611.17548872180487</v>
      </c>
      <c r="E87" s="127">
        <f t="shared" ca="1" si="10"/>
        <v>0</v>
      </c>
      <c r="F87" s="124">
        <f>'Monthly Data'!BK87</f>
        <v>158.5</v>
      </c>
      <c r="G87" s="127">
        <f>'Monthly Data'!BM87</f>
        <v>86</v>
      </c>
      <c r="H87" s="127">
        <f>'Monthly Data'!BP87</f>
        <v>0</v>
      </c>
      <c r="I87" s="127">
        <f>'Monthly Data'!BV87</f>
        <v>0</v>
      </c>
      <c r="J87" s="127">
        <f>'Monthly Data'!CB87</f>
        <v>0</v>
      </c>
      <c r="K87" s="127">
        <f>'Monthly Data'!CC87</f>
        <v>29</v>
      </c>
      <c r="M87" s="127">
        <f>'GS &lt; 50 OLS Model'!$B$5</f>
        <v>-2510760.1679547098</v>
      </c>
      <c r="N87" s="127">
        <f ca="1">'GS &lt; 50 OLS Model'!$B$6*D87</f>
        <v>2662413.2144198036</v>
      </c>
      <c r="O87" s="127">
        <f ca="1">'GS &lt; 50 OLS Model'!$B$7*E87</f>
        <v>0</v>
      </c>
      <c r="P87" s="124">
        <f>'GS &lt; 50 OLS Model'!$B$8*F87</f>
        <v>6488986.3631146485</v>
      </c>
      <c r="Q87" s="127">
        <f>'GS &lt; 50 OLS Model'!$B$9*G87</f>
        <v>-1762368.3562005104</v>
      </c>
      <c r="R87" s="127">
        <f>'GS &lt; 50 OLS Model'!$B$10*H87</f>
        <v>0</v>
      </c>
      <c r="S87" s="127">
        <f>'GS &lt; 50 OLS Model'!$B$11*I87</f>
        <v>0</v>
      </c>
      <c r="T87" s="127">
        <f>'GS &lt; 50 OLS Model'!$B$12*J87</f>
        <v>0</v>
      </c>
      <c r="U87" s="127">
        <f>'GS &lt; 50 OLS Model'!$B$13*K87</f>
        <v>13317319.547702175</v>
      </c>
      <c r="V87" s="127">
        <f t="shared" ca="1" si="8"/>
        <v>18195590.601081409</v>
      </c>
    </row>
    <row r="88" spans="1:22">
      <c r="A88" s="128">
        <f>'Monthly Data'!A88</f>
        <v>42430</v>
      </c>
      <c r="B88" s="127">
        <f t="shared" si="7"/>
        <v>2016</v>
      </c>
      <c r="C88" s="127">
        <f ca="1">'Monthly Data'!J88</f>
        <v>17926685.621340387</v>
      </c>
      <c r="D88" s="127">
        <f t="shared" ca="1" si="10"/>
        <v>458.46436090225569</v>
      </c>
      <c r="E88" s="127">
        <f t="shared" ca="1" si="10"/>
        <v>0.45218045112781802</v>
      </c>
      <c r="F88" s="124">
        <f>'Monthly Data'!BK88</f>
        <v>161</v>
      </c>
      <c r="G88" s="127">
        <f>'Monthly Data'!BM88</f>
        <v>87</v>
      </c>
      <c r="H88" s="127">
        <f>'Monthly Data'!BP88</f>
        <v>1</v>
      </c>
      <c r="I88" s="127">
        <f>'Monthly Data'!BV88</f>
        <v>0</v>
      </c>
      <c r="J88" s="127">
        <f>'Monthly Data'!CB88</f>
        <v>1</v>
      </c>
      <c r="K88" s="127">
        <f>'Monthly Data'!CC88</f>
        <v>31</v>
      </c>
      <c r="M88" s="127">
        <f>'GS &lt; 50 OLS Model'!$B$5</f>
        <v>-2510760.1679547098</v>
      </c>
      <c r="N88" s="127">
        <f ca="1">'GS &lt; 50 OLS Model'!$B$6*D88</f>
        <v>1997170.3632281933</v>
      </c>
      <c r="O88" s="127">
        <f ca="1">'GS &lt; 50 OLS Model'!$B$7*E88</f>
        <v>10737.204724281946</v>
      </c>
      <c r="P88" s="124">
        <f>'GS &lt; 50 OLS Model'!$B$8*F88</f>
        <v>6591336.3057505265</v>
      </c>
      <c r="Q88" s="127">
        <f>'GS &lt; 50 OLS Model'!$B$9*G88</f>
        <v>-1782861.0115051677</v>
      </c>
      <c r="R88" s="127">
        <f>'GS &lt; 50 OLS Model'!$B$10*H88</f>
        <v>419453.43275174301</v>
      </c>
      <c r="S88" s="127">
        <f>'GS &lt; 50 OLS Model'!$B$11*I88</f>
        <v>0</v>
      </c>
      <c r="T88" s="127">
        <f>'GS &lt; 50 OLS Model'!$B$12*J88</f>
        <v>-782960.312499544</v>
      </c>
      <c r="U88" s="127">
        <f>'GS &lt; 50 OLS Model'!$B$13*K88</f>
        <v>14235755.378578186</v>
      </c>
      <c r="V88" s="127">
        <f t="shared" ca="1" si="8"/>
        <v>18177871.193073507</v>
      </c>
    </row>
    <row r="89" spans="1:22">
      <c r="A89" s="128">
        <f>'Monthly Data'!A89</f>
        <v>42461</v>
      </c>
      <c r="B89" s="127">
        <f t="shared" si="7"/>
        <v>2016</v>
      </c>
      <c r="C89" s="127">
        <f ca="1">'Monthly Data'!J89</f>
        <v>16527168.639966492</v>
      </c>
      <c r="D89" s="127">
        <f t="shared" ca="1" si="10"/>
        <v>254.29052631578941</v>
      </c>
      <c r="E89" s="127">
        <f t="shared" ca="1" si="10"/>
        <v>0.50947368421054762</v>
      </c>
      <c r="F89" s="124">
        <f>'Monthly Data'!BK89</f>
        <v>163.1</v>
      </c>
      <c r="G89" s="127">
        <f>'Monthly Data'!BM89</f>
        <v>88</v>
      </c>
      <c r="H89" s="127">
        <f>'Monthly Data'!BP89</f>
        <v>0</v>
      </c>
      <c r="I89" s="127">
        <f>'Monthly Data'!BV89</f>
        <v>0</v>
      </c>
      <c r="J89" s="127">
        <f>'Monthly Data'!CB89</f>
        <v>1</v>
      </c>
      <c r="K89" s="127">
        <f>'Monthly Data'!CC89</f>
        <v>30</v>
      </c>
      <c r="M89" s="127">
        <f>'GS &lt; 50 OLS Model'!$B$5</f>
        <v>-2510760.1679547098</v>
      </c>
      <c r="N89" s="127">
        <f ca="1">'GS &lt; 50 OLS Model'!$B$6*D89</f>
        <v>1107744.7804407841</v>
      </c>
      <c r="O89" s="127">
        <f ca="1">'GS &lt; 50 OLS Model'!$B$7*E89</f>
        <v>12097.655339497465</v>
      </c>
      <c r="P89" s="124">
        <f>'GS &lt; 50 OLS Model'!$B$8*F89</f>
        <v>6677310.2575646639</v>
      </c>
      <c r="Q89" s="127">
        <f>'GS &lt; 50 OLS Model'!$B$9*G89</f>
        <v>-1803353.6668098248</v>
      </c>
      <c r="R89" s="127">
        <f>'GS &lt; 50 OLS Model'!$B$10*H89</f>
        <v>0</v>
      </c>
      <c r="S89" s="127">
        <f>'GS &lt; 50 OLS Model'!$B$11*I89</f>
        <v>0</v>
      </c>
      <c r="T89" s="127">
        <f>'GS &lt; 50 OLS Model'!$B$12*J89</f>
        <v>-782960.312499544</v>
      </c>
      <c r="U89" s="127">
        <f>'GS &lt; 50 OLS Model'!$B$13*K89</f>
        <v>13776537.46314018</v>
      </c>
      <c r="V89" s="127">
        <f t="shared" ca="1" si="8"/>
        <v>16476616.009221047</v>
      </c>
    </row>
    <row r="90" spans="1:22">
      <c r="A90" s="128">
        <f>'Monthly Data'!A90</f>
        <v>42491</v>
      </c>
      <c r="B90" s="127">
        <f t="shared" si="7"/>
        <v>2016</v>
      </c>
      <c r="C90" s="127">
        <f ca="1">'Monthly Data'!J90</f>
        <v>17576723.658702593</v>
      </c>
      <c r="D90" s="127">
        <f t="shared" ca="1" si="10"/>
        <v>102.64150375939857</v>
      </c>
      <c r="E90" s="127">
        <f t="shared" ca="1" si="10"/>
        <v>56.062781954887214</v>
      </c>
      <c r="F90" s="124">
        <f>'Monthly Data'!BK90</f>
        <v>164.8</v>
      </c>
      <c r="G90" s="127">
        <f>'Monthly Data'!BM90</f>
        <v>89</v>
      </c>
      <c r="H90" s="127">
        <f>'Monthly Data'!BP90</f>
        <v>0</v>
      </c>
      <c r="I90" s="127">
        <f>'Monthly Data'!BV90</f>
        <v>0</v>
      </c>
      <c r="J90" s="127">
        <f>'Monthly Data'!CB90</f>
        <v>1</v>
      </c>
      <c r="K90" s="127">
        <f>'Monthly Data'!CC90</f>
        <v>31</v>
      </c>
      <c r="M90" s="127">
        <f>'GS &lt; 50 OLS Model'!$B$5</f>
        <v>-2510760.1679547098</v>
      </c>
      <c r="N90" s="127">
        <f ca="1">'GS &lt; 50 OLS Model'!$B$6*D90</f>
        <v>447128.69053119334</v>
      </c>
      <c r="O90" s="127">
        <f ca="1">'GS &lt; 50 OLS Model'!$B$7*E90</f>
        <v>1331233.0636165608</v>
      </c>
      <c r="P90" s="124">
        <f>'GS &lt; 50 OLS Model'!$B$8*F90</f>
        <v>6746908.2185570616</v>
      </c>
      <c r="Q90" s="127">
        <f>'GS &lt; 50 OLS Model'!$B$9*G90</f>
        <v>-1823846.3221144818</v>
      </c>
      <c r="R90" s="127">
        <f>'GS &lt; 50 OLS Model'!$B$10*H90</f>
        <v>0</v>
      </c>
      <c r="S90" s="127">
        <f>'GS &lt; 50 OLS Model'!$B$11*I90</f>
        <v>0</v>
      </c>
      <c r="T90" s="127">
        <f>'GS &lt; 50 OLS Model'!$B$12*J90</f>
        <v>-782960.312499544</v>
      </c>
      <c r="U90" s="127">
        <f>'GS &lt; 50 OLS Model'!$B$13*K90</f>
        <v>14235755.378578186</v>
      </c>
      <c r="V90" s="127">
        <f t="shared" ca="1" si="8"/>
        <v>17643458.548714265</v>
      </c>
    </row>
    <row r="91" spans="1:22">
      <c r="A91" s="128">
        <f>'Monthly Data'!A91</f>
        <v>42522</v>
      </c>
      <c r="B91" s="127">
        <f t="shared" si="7"/>
        <v>2016</v>
      </c>
      <c r="C91" s="127">
        <f ca="1">'Monthly Data'!J91</f>
        <v>19532905.229509365</v>
      </c>
      <c r="D91" s="127">
        <f t="shared" ca="1" si="10"/>
        <v>0.39669172932326546</v>
      </c>
      <c r="E91" s="127">
        <f t="shared" ca="1" si="10"/>
        <v>116.89315789473682</v>
      </c>
      <c r="F91" s="124">
        <f>'Monthly Data'!BK91</f>
        <v>166.3</v>
      </c>
      <c r="G91" s="127">
        <f>'Monthly Data'!BM91</f>
        <v>90</v>
      </c>
      <c r="H91" s="127">
        <f>'Monthly Data'!BP91</f>
        <v>0</v>
      </c>
      <c r="I91" s="127">
        <f>'Monthly Data'!BV91</f>
        <v>0</v>
      </c>
      <c r="J91" s="127">
        <f>'Monthly Data'!CB91</f>
        <v>0</v>
      </c>
      <c r="K91" s="127">
        <f>'Monthly Data'!CC91</f>
        <v>30</v>
      </c>
      <c r="M91" s="127">
        <f>'GS &lt; 50 OLS Model'!$B$5</f>
        <v>-2510760.1679547098</v>
      </c>
      <c r="N91" s="127">
        <f ca="1">'GS &lt; 50 OLS Model'!$B$6*D91</f>
        <v>1728.0753591904077</v>
      </c>
      <c r="O91" s="127">
        <f ca="1">'GS &lt; 50 OLS Model'!$B$7*E91</f>
        <v>2775674.5433225781</v>
      </c>
      <c r="P91" s="124">
        <f>'GS &lt; 50 OLS Model'!$B$8*F91</f>
        <v>6808318.1841385877</v>
      </c>
      <c r="Q91" s="127">
        <f>'GS &lt; 50 OLS Model'!$B$9*G91</f>
        <v>-1844338.9774191389</v>
      </c>
      <c r="R91" s="127">
        <f>'GS &lt; 50 OLS Model'!$B$10*H91</f>
        <v>0</v>
      </c>
      <c r="S91" s="127">
        <f>'GS &lt; 50 OLS Model'!$B$11*I91</f>
        <v>0</v>
      </c>
      <c r="T91" s="127">
        <f>'GS &lt; 50 OLS Model'!$B$12*J91</f>
        <v>0</v>
      </c>
      <c r="U91" s="127">
        <f>'GS &lt; 50 OLS Model'!$B$13*K91</f>
        <v>13776537.46314018</v>
      </c>
      <c r="V91" s="127">
        <f t="shared" ca="1" si="8"/>
        <v>19007159.120586686</v>
      </c>
    </row>
    <row r="92" spans="1:22">
      <c r="A92" s="128">
        <f>'Monthly Data'!A92</f>
        <v>42552</v>
      </c>
      <c r="B92" s="127">
        <f t="shared" si="7"/>
        <v>2016</v>
      </c>
      <c r="C92" s="127">
        <f ca="1">'Monthly Data'!J92</f>
        <v>21956762.489117898</v>
      </c>
      <c r="D92" s="127">
        <f t="shared" ca="1" si="10"/>
        <v>0.58105263157894704</v>
      </c>
      <c r="E92" s="127">
        <f t="shared" ca="1" si="10"/>
        <v>186.96526315789481</v>
      </c>
      <c r="F92" s="124">
        <f>'Monthly Data'!BK92</f>
        <v>167.5</v>
      </c>
      <c r="G92" s="127">
        <f>'Monthly Data'!BM92</f>
        <v>91</v>
      </c>
      <c r="H92" s="127">
        <f>'Monthly Data'!BP92</f>
        <v>0</v>
      </c>
      <c r="I92" s="127">
        <f>'Monthly Data'!BV92</f>
        <v>0</v>
      </c>
      <c r="J92" s="127">
        <f>'Monthly Data'!CB92</f>
        <v>0</v>
      </c>
      <c r="K92" s="127">
        <f>'Monthly Data'!CC92</f>
        <v>31</v>
      </c>
      <c r="M92" s="127">
        <f>'GS &lt; 50 OLS Model'!$B$5</f>
        <v>-2510760.1679547098</v>
      </c>
      <c r="N92" s="127">
        <f ca="1">'GS &lt; 50 OLS Model'!$B$6*D92</f>
        <v>2531.1915041366383</v>
      </c>
      <c r="O92" s="127">
        <f ca="1">'GS &lt; 50 OLS Model'!$B$7*E92</f>
        <v>4439564.5628831247</v>
      </c>
      <c r="P92" s="124">
        <f>'GS &lt; 50 OLS Model'!$B$8*F92</f>
        <v>6857446.1566038085</v>
      </c>
      <c r="Q92" s="127">
        <f>'GS &lt; 50 OLS Model'!$B$9*G92</f>
        <v>-1864831.6327237959</v>
      </c>
      <c r="R92" s="127">
        <f>'GS &lt; 50 OLS Model'!$B$10*H92</f>
        <v>0</v>
      </c>
      <c r="S92" s="127">
        <f>'GS &lt; 50 OLS Model'!$B$11*I92</f>
        <v>0</v>
      </c>
      <c r="T92" s="127">
        <f>'GS &lt; 50 OLS Model'!$B$12*J92</f>
        <v>0</v>
      </c>
      <c r="U92" s="127">
        <f>'GS &lt; 50 OLS Model'!$B$13*K92</f>
        <v>14235755.378578186</v>
      </c>
      <c r="V92" s="127">
        <f t="shared" ca="1" si="8"/>
        <v>21159705.488890748</v>
      </c>
    </row>
    <row r="93" spans="1:22">
      <c r="A93" s="128">
        <f>'Monthly Data'!A93</f>
        <v>42583</v>
      </c>
      <c r="B93" s="127">
        <f t="shared" si="7"/>
        <v>2016</v>
      </c>
      <c r="C93" s="127">
        <f ca="1">'Monthly Data'!J93</f>
        <v>21900969.806323256</v>
      </c>
      <c r="D93" s="127">
        <f t="shared" ca="1" si="10"/>
        <v>1.6660902255639058</v>
      </c>
      <c r="E93" s="127">
        <f t="shared" ca="1" si="10"/>
        <v>167.43443609022574</v>
      </c>
      <c r="F93" s="124">
        <f>'Monthly Data'!BK93</f>
        <v>167.9</v>
      </c>
      <c r="G93" s="127">
        <f>'Monthly Data'!BM93</f>
        <v>92</v>
      </c>
      <c r="H93" s="127">
        <f>'Monthly Data'!BP93</f>
        <v>0</v>
      </c>
      <c r="I93" s="127">
        <f>'Monthly Data'!BV93</f>
        <v>0</v>
      </c>
      <c r="J93" s="127">
        <f>'Monthly Data'!CB93</f>
        <v>0</v>
      </c>
      <c r="K93" s="127">
        <f>'Monthly Data'!CC93</f>
        <v>31</v>
      </c>
      <c r="M93" s="127">
        <f>'GS &lt; 50 OLS Model'!$B$5</f>
        <v>-2510760.1679547098</v>
      </c>
      <c r="N93" s="127">
        <f ca="1">'GS &lt; 50 OLS Model'!$B$6*D93</f>
        <v>7257.8510015739739</v>
      </c>
      <c r="O93" s="127">
        <f ca="1">'GS &lt; 50 OLS Model'!$B$7*E93</f>
        <v>3975797.3032922582</v>
      </c>
      <c r="P93" s="124">
        <f>'GS &lt; 50 OLS Model'!$B$8*F93</f>
        <v>6873822.1474255491</v>
      </c>
      <c r="Q93" s="127">
        <f>'GS &lt; 50 OLS Model'!$B$9*G93</f>
        <v>-1885324.288028453</v>
      </c>
      <c r="R93" s="127">
        <f>'GS &lt; 50 OLS Model'!$B$10*H93</f>
        <v>0</v>
      </c>
      <c r="S93" s="127">
        <f>'GS &lt; 50 OLS Model'!$B$11*I93</f>
        <v>0</v>
      </c>
      <c r="T93" s="127">
        <f>'GS &lt; 50 OLS Model'!$B$12*J93</f>
        <v>0</v>
      </c>
      <c r="U93" s="127">
        <f>'GS &lt; 50 OLS Model'!$B$13*K93</f>
        <v>14235755.378578186</v>
      </c>
      <c r="V93" s="127">
        <f t="shared" ca="1" si="8"/>
        <v>20696548.224314407</v>
      </c>
    </row>
    <row r="94" spans="1:22">
      <c r="A94" s="128">
        <f>'Monthly Data'!A94</f>
        <v>42614</v>
      </c>
      <c r="B94" s="127">
        <f t="shared" si="7"/>
        <v>2016</v>
      </c>
      <c r="C94" s="127">
        <f ca="1">'Monthly Data'!J94</f>
        <v>18789309.137700778</v>
      </c>
      <c r="D94" s="127">
        <f t="shared" ca="1" si="10"/>
        <v>30.410827067669118</v>
      </c>
      <c r="E94" s="127">
        <f t="shared" ca="1" si="10"/>
        <v>83.003533834586506</v>
      </c>
      <c r="F94" s="124">
        <f>'Monthly Data'!BK94</f>
        <v>167.5</v>
      </c>
      <c r="G94" s="127">
        <f>'Monthly Data'!BM94</f>
        <v>93</v>
      </c>
      <c r="H94" s="127">
        <f>'Monthly Data'!BP94</f>
        <v>0</v>
      </c>
      <c r="I94" s="127">
        <f>'Monthly Data'!BV94</f>
        <v>1</v>
      </c>
      <c r="J94" s="127">
        <f>'Monthly Data'!CB94</f>
        <v>1</v>
      </c>
      <c r="K94" s="127">
        <f>'Monthly Data'!CC94</f>
        <v>30</v>
      </c>
      <c r="M94" s="127">
        <f>'GS &lt; 50 OLS Model'!$B$5</f>
        <v>-2510760.1679547098</v>
      </c>
      <c r="N94" s="127">
        <f ca="1">'GS &lt; 50 OLS Model'!$B$6*D94</f>
        <v>132476.16984072464</v>
      </c>
      <c r="O94" s="127">
        <f ca="1">'GS &lt; 50 OLS Model'!$B$7*E94</f>
        <v>1970951.936108568</v>
      </c>
      <c r="P94" s="124">
        <f>'GS &lt; 50 OLS Model'!$B$8*F94</f>
        <v>6857446.1566038085</v>
      </c>
      <c r="Q94" s="127">
        <f>'GS &lt; 50 OLS Model'!$B$9*G94</f>
        <v>-1905816.9433331103</v>
      </c>
      <c r="R94" s="127">
        <f>'GS &lt; 50 OLS Model'!$B$10*H94</f>
        <v>0</v>
      </c>
      <c r="S94" s="127">
        <f>'GS &lt; 50 OLS Model'!$B$11*I94</f>
        <v>697390.17362184904</v>
      </c>
      <c r="T94" s="127">
        <f>'GS &lt; 50 OLS Model'!$B$12*J94</f>
        <v>-782960.312499544</v>
      </c>
      <c r="U94" s="127">
        <f>'GS &lt; 50 OLS Model'!$B$13*K94</f>
        <v>13776537.46314018</v>
      </c>
      <c r="V94" s="127">
        <f t="shared" ca="1" si="8"/>
        <v>18235264.475527767</v>
      </c>
    </row>
    <row r="95" spans="1:22">
      <c r="A95" s="128">
        <f>'Monthly Data'!A95</f>
        <v>42644</v>
      </c>
      <c r="B95" s="127">
        <f t="shared" si="7"/>
        <v>2016</v>
      </c>
      <c r="C95" s="127">
        <f ca="1">'Monthly Data'!J95</f>
        <v>16955472.071180869</v>
      </c>
      <c r="D95" s="127">
        <f t="shared" ca="1" si="10"/>
        <v>158.93676691729343</v>
      </c>
      <c r="E95" s="127">
        <f t="shared" ca="1" si="10"/>
        <v>16.916090225563948</v>
      </c>
      <c r="F95" s="124">
        <f>'Monthly Data'!BK95</f>
        <v>166.4</v>
      </c>
      <c r="G95" s="127">
        <f>'Monthly Data'!BM95</f>
        <v>94</v>
      </c>
      <c r="H95" s="127">
        <f>'Monthly Data'!BP95</f>
        <v>0</v>
      </c>
      <c r="I95" s="127">
        <f>'Monthly Data'!BV95</f>
        <v>0</v>
      </c>
      <c r="J95" s="127">
        <f>'Monthly Data'!CB95</f>
        <v>1</v>
      </c>
      <c r="K95" s="127">
        <f>'Monthly Data'!CC95</f>
        <v>31</v>
      </c>
      <c r="M95" s="127">
        <f>'GS &lt; 50 OLS Model'!$B$5</f>
        <v>-2510760.1679547098</v>
      </c>
      <c r="N95" s="127">
        <f ca="1">'GS &lt; 50 OLS Model'!$B$6*D95</f>
        <v>692363.08769963507</v>
      </c>
      <c r="O95" s="127">
        <f ca="1">'GS &lt; 50 OLS Model'!$B$7*E95</f>
        <v>401679.2929311379</v>
      </c>
      <c r="P95" s="124">
        <f>'GS &lt; 50 OLS Model'!$B$8*F95</f>
        <v>6812412.1818440231</v>
      </c>
      <c r="Q95" s="127">
        <f>'GS &lt; 50 OLS Model'!$B$9*G95</f>
        <v>-1926309.5986377674</v>
      </c>
      <c r="R95" s="127">
        <f>'GS &lt; 50 OLS Model'!$B$10*H95</f>
        <v>0</v>
      </c>
      <c r="S95" s="127">
        <f>'GS &lt; 50 OLS Model'!$B$11*I95</f>
        <v>0</v>
      </c>
      <c r="T95" s="127">
        <f>'GS &lt; 50 OLS Model'!$B$12*J95</f>
        <v>-782960.312499544</v>
      </c>
      <c r="U95" s="127">
        <f>'GS &lt; 50 OLS Model'!$B$13*K95</f>
        <v>14235755.378578186</v>
      </c>
      <c r="V95" s="127">
        <f t="shared" ca="1" si="8"/>
        <v>16922179.861960962</v>
      </c>
    </row>
    <row r="96" spans="1:22">
      <c r="A96" s="128">
        <f>'Monthly Data'!A96</f>
        <v>42675</v>
      </c>
      <c r="B96" s="127">
        <f t="shared" si="7"/>
        <v>2016</v>
      </c>
      <c r="C96" s="127">
        <f ca="1">'Monthly Data'!J96</f>
        <v>16751612.589217924</v>
      </c>
      <c r="D96" s="127">
        <f t="shared" ca="1" si="10"/>
        <v>375.92533834586447</v>
      </c>
      <c r="E96" s="127">
        <f t="shared" ca="1" si="10"/>
        <v>8.120300751879661E-2</v>
      </c>
      <c r="F96" s="124">
        <f>'Monthly Data'!BK96</f>
        <v>163.9</v>
      </c>
      <c r="G96" s="127">
        <f>'Monthly Data'!BM96</f>
        <v>95</v>
      </c>
      <c r="H96" s="127">
        <f>'Monthly Data'!BP96</f>
        <v>0</v>
      </c>
      <c r="I96" s="127">
        <f>'Monthly Data'!BV96</f>
        <v>0</v>
      </c>
      <c r="J96" s="127">
        <f>'Monthly Data'!CB96</f>
        <v>1</v>
      </c>
      <c r="K96" s="127">
        <f>'Monthly Data'!CC96</f>
        <v>30</v>
      </c>
      <c r="M96" s="127">
        <f>'GS &lt; 50 OLS Model'!$B$5</f>
        <v>-2510760.1679547098</v>
      </c>
      <c r="N96" s="127">
        <f ca="1">'GS &lt; 50 OLS Model'!$B$6*D96</f>
        <v>1637612.4483337079</v>
      </c>
      <c r="O96" s="127">
        <f ca="1">'GS &lt; 50 OLS Model'!$B$7*E96</f>
        <v>1928.1977223519268</v>
      </c>
      <c r="P96" s="124">
        <f>'GS &lt; 50 OLS Model'!$B$8*F96</f>
        <v>6710062.2392081451</v>
      </c>
      <c r="Q96" s="127">
        <f>'GS &lt; 50 OLS Model'!$B$9*G96</f>
        <v>-1946802.2539424244</v>
      </c>
      <c r="R96" s="127">
        <f>'GS &lt; 50 OLS Model'!$B$10*H96</f>
        <v>0</v>
      </c>
      <c r="S96" s="127">
        <f>'GS &lt; 50 OLS Model'!$B$11*I96</f>
        <v>0</v>
      </c>
      <c r="T96" s="127">
        <f>'GS &lt; 50 OLS Model'!$B$12*J96</f>
        <v>-782960.312499544</v>
      </c>
      <c r="U96" s="127">
        <f>'GS &lt; 50 OLS Model'!$B$13*K96</f>
        <v>13776537.46314018</v>
      </c>
      <c r="V96" s="127">
        <f t="shared" ca="1" si="8"/>
        <v>16885617.614007708</v>
      </c>
    </row>
    <row r="97" spans="1:22">
      <c r="A97" s="128">
        <f>'Monthly Data'!A97</f>
        <v>42705</v>
      </c>
      <c r="B97" s="127">
        <f t="shared" si="7"/>
        <v>2016</v>
      </c>
      <c r="C97" s="127">
        <f ca="1">'Monthly Data'!J97</f>
        <v>18774069.716664497</v>
      </c>
      <c r="D97" s="127">
        <f t="shared" ca="1" si="10"/>
        <v>548.76120300751859</v>
      </c>
      <c r="E97" s="127">
        <f t="shared" ca="1" si="10"/>
        <v>0</v>
      </c>
      <c r="F97" s="124">
        <f>'Monthly Data'!BK97</f>
        <v>161.80000000000001</v>
      </c>
      <c r="G97" s="127">
        <f>'Monthly Data'!BM97</f>
        <v>96</v>
      </c>
      <c r="H97" s="127">
        <f>'Monthly Data'!BP97</f>
        <v>0</v>
      </c>
      <c r="I97" s="127">
        <f>'Monthly Data'!BV97</f>
        <v>0</v>
      </c>
      <c r="J97" s="127">
        <f>'Monthly Data'!CB97</f>
        <v>0</v>
      </c>
      <c r="K97" s="127">
        <f>'Monthly Data'!CC97</f>
        <v>31</v>
      </c>
      <c r="M97" s="127">
        <f>'GS &lt; 50 OLS Model'!$B$5</f>
        <v>-2510760.1679547098</v>
      </c>
      <c r="N97" s="127">
        <f ca="1">'GS &lt; 50 OLS Model'!$B$6*D97</f>
        <v>2390523.0255612521</v>
      </c>
      <c r="O97" s="127">
        <f ca="1">'GS &lt; 50 OLS Model'!$B$7*E97</f>
        <v>0</v>
      </c>
      <c r="P97" s="124">
        <f>'GS &lt; 50 OLS Model'!$B$8*F97</f>
        <v>6624088.2873940077</v>
      </c>
      <c r="Q97" s="127">
        <f>'GS &lt; 50 OLS Model'!$B$9*G97</f>
        <v>-1967294.9092470815</v>
      </c>
      <c r="R97" s="127">
        <f>'GS &lt; 50 OLS Model'!$B$10*H97</f>
        <v>0</v>
      </c>
      <c r="S97" s="127">
        <f>'GS &lt; 50 OLS Model'!$B$11*I97</f>
        <v>0</v>
      </c>
      <c r="T97" s="127">
        <f>'GS &lt; 50 OLS Model'!$B$12*J97</f>
        <v>0</v>
      </c>
      <c r="U97" s="127">
        <f>'GS &lt; 50 OLS Model'!$B$13*K97</f>
        <v>14235755.378578186</v>
      </c>
      <c r="V97" s="127">
        <f t="shared" ca="1" si="8"/>
        <v>18772311.614331655</v>
      </c>
    </row>
    <row r="98" spans="1:22">
      <c r="A98" s="128">
        <v>42736</v>
      </c>
      <c r="B98" s="127">
        <f t="shared" si="7"/>
        <v>2017</v>
      </c>
      <c r="C98" s="127">
        <f ca="1">'Monthly Data'!J98</f>
        <v>18732513.136596769</v>
      </c>
      <c r="D98" s="127">
        <f t="shared" ref="D98:E109" ca="1" si="11">D86</f>
        <v>665.14879699248104</v>
      </c>
      <c r="E98" s="127">
        <f t="shared" ca="1" si="11"/>
        <v>0</v>
      </c>
      <c r="F98" s="124">
        <f>'Monthly Data'!BK98</f>
        <v>162</v>
      </c>
      <c r="G98" s="127">
        <f>G97+1</f>
        <v>97</v>
      </c>
      <c r="H98" s="127">
        <f>H86</f>
        <v>0</v>
      </c>
      <c r="I98" s="127">
        <f t="shared" ref="I98:J98" si="12">I86</f>
        <v>0</v>
      </c>
      <c r="J98" s="127">
        <f t="shared" si="12"/>
        <v>0</v>
      </c>
      <c r="K98" s="127">
        <f>K50</f>
        <v>31</v>
      </c>
      <c r="M98" s="127">
        <f>'GS &lt; 50 OLS Model'!$B$5</f>
        <v>-2510760.1679547098</v>
      </c>
      <c r="N98" s="127">
        <f ca="1">'GS &lt; 50 OLS Model'!$B$6*D98</f>
        <v>2897532.6716256719</v>
      </c>
      <c r="O98" s="127">
        <f ca="1">'GS &lt; 50 OLS Model'!$B$7*E98</f>
        <v>0</v>
      </c>
      <c r="P98" s="124">
        <f>'GS &lt; 50 OLS Model'!$B$8*F98</f>
        <v>6632276.2828048775</v>
      </c>
      <c r="Q98" s="127">
        <f>'GS &lt; 50 OLS Model'!$B$9*G98</f>
        <v>-1987787.5645517386</v>
      </c>
      <c r="R98" s="127">
        <f>'GS &lt; 50 OLS Model'!$B$10*H98</f>
        <v>0</v>
      </c>
      <c r="S98" s="127">
        <f>'GS &lt; 50 OLS Model'!$B$11*I98</f>
        <v>0</v>
      </c>
      <c r="T98" s="127">
        <f>'GS &lt; 50 OLS Model'!$B$12*J98</f>
        <v>0</v>
      </c>
      <c r="U98" s="127">
        <f>'GS &lt; 50 OLS Model'!$B$13*K98</f>
        <v>14235755.378578186</v>
      </c>
      <c r="V98" s="127">
        <f t="shared" ca="1" si="8"/>
        <v>19267016.600502286</v>
      </c>
    </row>
    <row r="99" spans="1:22">
      <c r="A99" s="128">
        <v>42767</v>
      </c>
      <c r="B99" s="127">
        <f t="shared" si="7"/>
        <v>2017</v>
      </c>
      <c r="C99" s="127">
        <f ca="1">'Monthly Data'!J99</f>
        <v>16467205.256596768</v>
      </c>
      <c r="D99" s="127">
        <f t="shared" ca="1" si="11"/>
        <v>611.17548872180487</v>
      </c>
      <c r="E99" s="127">
        <f t="shared" ca="1" si="11"/>
        <v>0</v>
      </c>
      <c r="F99" s="124">
        <f>'Monthly Data'!BK99</f>
        <v>161.19999999999999</v>
      </c>
      <c r="G99" s="127">
        <f t="shared" ref="G99:G145" si="13">G98+1</f>
        <v>98</v>
      </c>
      <c r="H99" s="127">
        <f t="shared" ref="H99:J109" si="14">H87</f>
        <v>0</v>
      </c>
      <c r="I99" s="127">
        <f t="shared" si="14"/>
        <v>0</v>
      </c>
      <c r="J99" s="127">
        <f t="shared" si="14"/>
        <v>0</v>
      </c>
      <c r="K99" s="127">
        <f t="shared" ref="K99:K145" si="15">K51</f>
        <v>28</v>
      </c>
      <c r="M99" s="127">
        <f>'GS &lt; 50 OLS Model'!$B$5</f>
        <v>-2510760.1679547098</v>
      </c>
      <c r="N99" s="127">
        <f ca="1">'GS &lt; 50 OLS Model'!$B$6*D99</f>
        <v>2662413.2144198036</v>
      </c>
      <c r="O99" s="127">
        <f ca="1">'GS &lt; 50 OLS Model'!$B$7*E99</f>
        <v>0</v>
      </c>
      <c r="P99" s="124">
        <f>'GS &lt; 50 OLS Model'!$B$8*F99</f>
        <v>6599524.3011613963</v>
      </c>
      <c r="Q99" s="127">
        <f>'GS &lt; 50 OLS Model'!$B$9*G99</f>
        <v>-2008280.2198563956</v>
      </c>
      <c r="R99" s="127">
        <f>'GS &lt; 50 OLS Model'!$B$10*H99</f>
        <v>0</v>
      </c>
      <c r="S99" s="127">
        <f>'GS &lt; 50 OLS Model'!$B$11*I99</f>
        <v>0</v>
      </c>
      <c r="T99" s="127">
        <f>'GS &lt; 50 OLS Model'!$B$12*J99</f>
        <v>0</v>
      </c>
      <c r="U99" s="127">
        <f>'GS &lt; 50 OLS Model'!$B$13*K99</f>
        <v>12858101.632264167</v>
      </c>
      <c r="V99" s="127">
        <f t="shared" ca="1" si="8"/>
        <v>17600998.760034263</v>
      </c>
    </row>
    <row r="100" spans="1:22">
      <c r="A100" s="128">
        <v>42795</v>
      </c>
      <c r="B100" s="127">
        <f t="shared" si="7"/>
        <v>2017</v>
      </c>
      <c r="C100" s="127">
        <f ca="1">'Monthly Data'!J100</f>
        <v>17473640.656596765</v>
      </c>
      <c r="D100" s="127">
        <f t="shared" ca="1" si="11"/>
        <v>458.46436090225569</v>
      </c>
      <c r="E100" s="127">
        <f t="shared" ca="1" si="11"/>
        <v>0.45218045112781802</v>
      </c>
      <c r="F100" s="124">
        <f>'Monthly Data'!BK100</f>
        <v>161.30000000000001</v>
      </c>
      <c r="G100" s="127">
        <f t="shared" si="13"/>
        <v>99</v>
      </c>
      <c r="H100" s="127">
        <f t="shared" si="14"/>
        <v>1</v>
      </c>
      <c r="I100" s="127">
        <f t="shared" si="14"/>
        <v>0</v>
      </c>
      <c r="J100" s="127">
        <f t="shared" si="14"/>
        <v>1</v>
      </c>
      <c r="K100" s="127">
        <f t="shared" si="15"/>
        <v>31</v>
      </c>
      <c r="M100" s="127">
        <f>'GS &lt; 50 OLS Model'!$B$5</f>
        <v>-2510760.1679547098</v>
      </c>
      <c r="N100" s="127">
        <f ca="1">'GS &lt; 50 OLS Model'!$B$6*D100</f>
        <v>1997170.3632281933</v>
      </c>
      <c r="O100" s="127">
        <f ca="1">'GS &lt; 50 OLS Model'!$B$7*E100</f>
        <v>10737.204724281946</v>
      </c>
      <c r="P100" s="124">
        <f>'GS &lt; 50 OLS Model'!$B$8*F100</f>
        <v>6603618.2988668326</v>
      </c>
      <c r="Q100" s="127">
        <f>'GS &lt; 50 OLS Model'!$B$9*G100</f>
        <v>-2028772.8751610527</v>
      </c>
      <c r="R100" s="127">
        <f>'GS &lt; 50 OLS Model'!$B$10*H100</f>
        <v>419453.43275174301</v>
      </c>
      <c r="S100" s="127">
        <f>'GS &lt; 50 OLS Model'!$B$11*I100</f>
        <v>0</v>
      </c>
      <c r="T100" s="127">
        <f>'GS &lt; 50 OLS Model'!$B$12*J100</f>
        <v>-782960.312499544</v>
      </c>
      <c r="U100" s="127">
        <f>'GS &lt; 50 OLS Model'!$B$13*K100</f>
        <v>14235755.378578186</v>
      </c>
      <c r="V100" s="127">
        <f t="shared" ca="1" si="8"/>
        <v>17944241.322533932</v>
      </c>
    </row>
    <row r="101" spans="1:22">
      <c r="A101" s="128">
        <v>42826</v>
      </c>
      <c r="B101" s="127">
        <f t="shared" si="7"/>
        <v>2017</v>
      </c>
      <c r="C101" s="127">
        <f ca="1">'Monthly Data'!J101</f>
        <v>15740126.976596767</v>
      </c>
      <c r="D101" s="127">
        <f t="shared" ca="1" si="11"/>
        <v>254.29052631578941</v>
      </c>
      <c r="E101" s="127">
        <f t="shared" ca="1" si="11"/>
        <v>0.50947368421054762</v>
      </c>
      <c r="F101" s="124">
        <f>'Monthly Data'!BK101</f>
        <v>160.19999999999999</v>
      </c>
      <c r="G101" s="127">
        <f t="shared" si="13"/>
        <v>100</v>
      </c>
      <c r="H101" s="127">
        <f t="shared" si="14"/>
        <v>0</v>
      </c>
      <c r="I101" s="127">
        <f t="shared" si="14"/>
        <v>0</v>
      </c>
      <c r="J101" s="127">
        <f t="shared" si="14"/>
        <v>1</v>
      </c>
      <c r="K101" s="127">
        <f t="shared" si="15"/>
        <v>30</v>
      </c>
      <c r="M101" s="127">
        <f>'GS &lt; 50 OLS Model'!$B$5</f>
        <v>-2510760.1679547098</v>
      </c>
      <c r="N101" s="127">
        <f ca="1">'GS &lt; 50 OLS Model'!$B$6*D101</f>
        <v>1107744.7804407841</v>
      </c>
      <c r="O101" s="127">
        <f ca="1">'GS &lt; 50 OLS Model'!$B$7*E101</f>
        <v>12097.655339497465</v>
      </c>
      <c r="P101" s="124">
        <f>'GS &lt; 50 OLS Model'!$B$8*F101</f>
        <v>6558584.3241070453</v>
      </c>
      <c r="Q101" s="127">
        <f>'GS &lt; 50 OLS Model'!$B$9*G101</f>
        <v>-2049265.53046571</v>
      </c>
      <c r="R101" s="127">
        <f>'GS &lt; 50 OLS Model'!$B$10*H101</f>
        <v>0</v>
      </c>
      <c r="S101" s="127">
        <f>'GS &lt; 50 OLS Model'!$B$11*I101</f>
        <v>0</v>
      </c>
      <c r="T101" s="127">
        <f>'GS &lt; 50 OLS Model'!$B$12*J101</f>
        <v>-782960.312499544</v>
      </c>
      <c r="U101" s="127">
        <f>'GS &lt; 50 OLS Model'!$B$13*K101</f>
        <v>13776537.46314018</v>
      </c>
      <c r="V101" s="127">
        <f t="shared" ca="1" si="8"/>
        <v>16111978.212107543</v>
      </c>
    </row>
    <row r="102" spans="1:22">
      <c r="A102" s="128">
        <v>42856</v>
      </c>
      <c r="B102" s="127">
        <f t="shared" si="7"/>
        <v>2017</v>
      </c>
      <c r="C102" s="127">
        <f ca="1">'Monthly Data'!J102</f>
        <v>16539773.226596767</v>
      </c>
      <c r="D102" s="127">
        <f t="shared" ca="1" si="11"/>
        <v>102.64150375939857</v>
      </c>
      <c r="E102" s="127">
        <f t="shared" ca="1" si="11"/>
        <v>56.062781954887214</v>
      </c>
      <c r="F102" s="124">
        <f>'Monthly Data'!BK102</f>
        <v>160</v>
      </c>
      <c r="G102" s="127">
        <f t="shared" si="13"/>
        <v>101</v>
      </c>
      <c r="H102" s="127">
        <f t="shared" si="14"/>
        <v>0</v>
      </c>
      <c r="I102" s="127">
        <f t="shared" si="14"/>
        <v>0</v>
      </c>
      <c r="J102" s="127">
        <f t="shared" si="14"/>
        <v>1</v>
      </c>
      <c r="K102" s="127">
        <f t="shared" si="15"/>
        <v>31</v>
      </c>
      <c r="M102" s="127">
        <f>'GS &lt; 50 OLS Model'!$B$5</f>
        <v>-2510760.1679547098</v>
      </c>
      <c r="N102" s="127">
        <f ca="1">'GS &lt; 50 OLS Model'!$B$6*D102</f>
        <v>447128.69053119334</v>
      </c>
      <c r="O102" s="127">
        <f ca="1">'GS &lt; 50 OLS Model'!$B$7*E102</f>
        <v>1331233.0636165608</v>
      </c>
      <c r="P102" s="124">
        <f>'GS &lt; 50 OLS Model'!$B$8*F102</f>
        <v>6550396.3286961755</v>
      </c>
      <c r="Q102" s="127">
        <f>'GS &lt; 50 OLS Model'!$B$9*G102</f>
        <v>-2069758.185770367</v>
      </c>
      <c r="R102" s="127">
        <f>'GS &lt; 50 OLS Model'!$B$10*H102</f>
        <v>0</v>
      </c>
      <c r="S102" s="127">
        <f>'GS &lt; 50 OLS Model'!$B$11*I102</f>
        <v>0</v>
      </c>
      <c r="T102" s="127">
        <f>'GS &lt; 50 OLS Model'!$B$12*J102</f>
        <v>-782960.312499544</v>
      </c>
      <c r="U102" s="127">
        <f>'GS &lt; 50 OLS Model'!$B$13*K102</f>
        <v>14235755.378578186</v>
      </c>
      <c r="V102" s="127">
        <f t="shared" ca="1" si="8"/>
        <v>17201034.795197494</v>
      </c>
    </row>
    <row r="103" spans="1:22">
      <c r="A103" s="128">
        <v>42887</v>
      </c>
      <c r="B103" s="127">
        <f t="shared" si="7"/>
        <v>2017</v>
      </c>
      <c r="C103" s="127">
        <f ca="1">'Monthly Data'!J103</f>
        <v>18287536.646596767</v>
      </c>
      <c r="D103" s="127">
        <f t="shared" ca="1" si="11"/>
        <v>0.39669172932326546</v>
      </c>
      <c r="E103" s="127">
        <f t="shared" ca="1" si="11"/>
        <v>116.89315789473682</v>
      </c>
      <c r="F103" s="124">
        <f>'Monthly Data'!BK103</f>
        <v>160.5</v>
      </c>
      <c r="G103" s="127">
        <f t="shared" si="13"/>
        <v>102</v>
      </c>
      <c r="H103" s="127">
        <f t="shared" si="14"/>
        <v>0</v>
      </c>
      <c r="I103" s="127">
        <f t="shared" si="14"/>
        <v>0</v>
      </c>
      <c r="J103" s="127">
        <f t="shared" si="14"/>
        <v>0</v>
      </c>
      <c r="K103" s="127">
        <f t="shared" si="15"/>
        <v>30</v>
      </c>
      <c r="M103" s="127">
        <f>'GS &lt; 50 OLS Model'!$B$5</f>
        <v>-2510760.1679547098</v>
      </c>
      <c r="N103" s="127">
        <f ca="1">'GS &lt; 50 OLS Model'!$B$6*D103</f>
        <v>1728.0753591904077</v>
      </c>
      <c r="O103" s="127">
        <f ca="1">'GS &lt; 50 OLS Model'!$B$7*E103</f>
        <v>2775674.5433225781</v>
      </c>
      <c r="P103" s="124">
        <f>'GS &lt; 50 OLS Model'!$B$8*F103</f>
        <v>6570866.3172233514</v>
      </c>
      <c r="Q103" s="127">
        <f>'GS &lt; 50 OLS Model'!$B$9*G103</f>
        <v>-2090250.8410750241</v>
      </c>
      <c r="R103" s="127">
        <f>'GS &lt; 50 OLS Model'!$B$10*H103</f>
        <v>0</v>
      </c>
      <c r="S103" s="127">
        <f>'GS &lt; 50 OLS Model'!$B$11*I103</f>
        <v>0</v>
      </c>
      <c r="T103" s="127">
        <f>'GS &lt; 50 OLS Model'!$B$12*J103</f>
        <v>0</v>
      </c>
      <c r="U103" s="127">
        <f>'GS &lt; 50 OLS Model'!$B$13*K103</f>
        <v>13776537.46314018</v>
      </c>
      <c r="V103" s="127">
        <f t="shared" ca="1" si="8"/>
        <v>18523795.390015565</v>
      </c>
    </row>
    <row r="104" spans="1:22">
      <c r="A104" s="128">
        <v>42917</v>
      </c>
      <c r="B104" s="127">
        <f t="shared" si="7"/>
        <v>2017</v>
      </c>
      <c r="C104" s="127">
        <f ca="1">'Monthly Data'!J104</f>
        <v>20148670.466596767</v>
      </c>
      <c r="D104" s="127">
        <f t="shared" ca="1" si="11"/>
        <v>0.58105263157894704</v>
      </c>
      <c r="E104" s="127">
        <f t="shared" ca="1" si="11"/>
        <v>186.96526315789481</v>
      </c>
      <c r="F104" s="124">
        <f>'Monthly Data'!BK104</f>
        <v>160.5</v>
      </c>
      <c r="G104" s="127">
        <f t="shared" si="13"/>
        <v>103</v>
      </c>
      <c r="H104" s="127">
        <f t="shared" si="14"/>
        <v>0</v>
      </c>
      <c r="I104" s="127">
        <f t="shared" si="14"/>
        <v>0</v>
      </c>
      <c r="J104" s="127">
        <f t="shared" si="14"/>
        <v>0</v>
      </c>
      <c r="K104" s="127">
        <f t="shared" si="15"/>
        <v>31</v>
      </c>
      <c r="M104" s="127">
        <f>'GS &lt; 50 OLS Model'!$B$5</f>
        <v>-2510760.1679547098</v>
      </c>
      <c r="N104" s="127">
        <f ca="1">'GS &lt; 50 OLS Model'!$B$6*D104</f>
        <v>2531.1915041366383</v>
      </c>
      <c r="O104" s="127">
        <f ca="1">'GS &lt; 50 OLS Model'!$B$7*E104</f>
        <v>4439564.5628831247</v>
      </c>
      <c r="P104" s="124">
        <f>'GS &lt; 50 OLS Model'!$B$8*F104</f>
        <v>6570866.3172233514</v>
      </c>
      <c r="Q104" s="127">
        <f>'GS &lt; 50 OLS Model'!$B$9*G104</f>
        <v>-2110743.4963796814</v>
      </c>
      <c r="R104" s="127">
        <f>'GS &lt; 50 OLS Model'!$B$10*H104</f>
        <v>0</v>
      </c>
      <c r="S104" s="127">
        <f>'GS &lt; 50 OLS Model'!$B$11*I104</f>
        <v>0</v>
      </c>
      <c r="T104" s="127">
        <f>'GS &lt; 50 OLS Model'!$B$12*J104</f>
        <v>0</v>
      </c>
      <c r="U104" s="127">
        <f>'GS &lt; 50 OLS Model'!$B$13*K104</f>
        <v>14235755.378578186</v>
      </c>
      <c r="V104" s="127">
        <f t="shared" ca="1" si="8"/>
        <v>20627213.785854407</v>
      </c>
    </row>
    <row r="105" spans="1:22">
      <c r="A105" s="128">
        <v>42948</v>
      </c>
      <c r="B105" s="127">
        <f t="shared" si="7"/>
        <v>2017</v>
      </c>
      <c r="C105" s="127">
        <f ca="1">'Monthly Data'!J105</f>
        <v>19087552.926596768</v>
      </c>
      <c r="D105" s="127">
        <f t="shared" ca="1" si="11"/>
        <v>1.6660902255639058</v>
      </c>
      <c r="E105" s="127">
        <f t="shared" ca="1" si="11"/>
        <v>167.43443609022574</v>
      </c>
      <c r="F105" s="124">
        <f>'Monthly Data'!BK105</f>
        <v>163.69999999999999</v>
      </c>
      <c r="G105" s="127">
        <f t="shared" si="13"/>
        <v>104</v>
      </c>
      <c r="H105" s="127">
        <f t="shared" si="14"/>
        <v>0</v>
      </c>
      <c r="I105" s="127">
        <f t="shared" si="14"/>
        <v>0</v>
      </c>
      <c r="J105" s="127">
        <f t="shared" si="14"/>
        <v>0</v>
      </c>
      <c r="K105" s="127">
        <f t="shared" si="15"/>
        <v>31</v>
      </c>
      <c r="M105" s="127">
        <f>'GS &lt; 50 OLS Model'!$B$5</f>
        <v>-2510760.1679547098</v>
      </c>
      <c r="N105" s="127">
        <f ca="1">'GS &lt; 50 OLS Model'!$B$6*D105</f>
        <v>7257.8510015739739</v>
      </c>
      <c r="O105" s="127">
        <f ca="1">'GS &lt; 50 OLS Model'!$B$7*E105</f>
        <v>3975797.3032922582</v>
      </c>
      <c r="P105" s="124">
        <f>'GS &lt; 50 OLS Model'!$B$8*F105</f>
        <v>6701874.2437972743</v>
      </c>
      <c r="Q105" s="127">
        <f>'GS &lt; 50 OLS Model'!$B$9*G105</f>
        <v>-2131236.1516843382</v>
      </c>
      <c r="R105" s="127">
        <f>'GS &lt; 50 OLS Model'!$B$10*H105</f>
        <v>0</v>
      </c>
      <c r="S105" s="127">
        <f>'GS &lt; 50 OLS Model'!$B$11*I105</f>
        <v>0</v>
      </c>
      <c r="T105" s="127">
        <f>'GS &lt; 50 OLS Model'!$B$12*J105</f>
        <v>0</v>
      </c>
      <c r="U105" s="127">
        <f>'GS &lt; 50 OLS Model'!$B$13*K105</f>
        <v>14235755.378578186</v>
      </c>
      <c r="V105" s="127">
        <f t="shared" ca="1" si="8"/>
        <v>20278688.457030244</v>
      </c>
    </row>
    <row r="106" spans="1:22">
      <c r="A106" s="128">
        <v>42979</v>
      </c>
      <c r="B106" s="127">
        <f t="shared" si="7"/>
        <v>2017</v>
      </c>
      <c r="C106" s="127">
        <f ca="1">'Monthly Data'!J106</f>
        <v>17404207.736596767</v>
      </c>
      <c r="D106" s="127">
        <f t="shared" ca="1" si="11"/>
        <v>30.410827067669118</v>
      </c>
      <c r="E106" s="127">
        <f t="shared" ca="1" si="11"/>
        <v>83.003533834586506</v>
      </c>
      <c r="F106" s="124">
        <f>'Monthly Data'!BK106</f>
        <v>164.7</v>
      </c>
      <c r="G106" s="127">
        <f t="shared" si="13"/>
        <v>105</v>
      </c>
      <c r="H106" s="127">
        <f t="shared" si="14"/>
        <v>0</v>
      </c>
      <c r="I106" s="127">
        <f t="shared" si="14"/>
        <v>1</v>
      </c>
      <c r="J106" s="127">
        <f t="shared" si="14"/>
        <v>1</v>
      </c>
      <c r="K106" s="127">
        <f t="shared" si="15"/>
        <v>30</v>
      </c>
      <c r="M106" s="127">
        <f>'GS &lt; 50 OLS Model'!$B$5</f>
        <v>-2510760.1679547098</v>
      </c>
      <c r="N106" s="127">
        <f ca="1">'GS &lt; 50 OLS Model'!$B$6*D106</f>
        <v>132476.16984072464</v>
      </c>
      <c r="O106" s="127">
        <f ca="1">'GS &lt; 50 OLS Model'!$B$7*E106</f>
        <v>1970951.936108568</v>
      </c>
      <c r="P106" s="124">
        <f>'GS &lt; 50 OLS Model'!$B$8*F106</f>
        <v>6742814.2208516253</v>
      </c>
      <c r="Q106" s="127">
        <f>'GS &lt; 50 OLS Model'!$B$9*G106</f>
        <v>-2151728.8069889955</v>
      </c>
      <c r="R106" s="127">
        <f>'GS &lt; 50 OLS Model'!$B$10*H106</f>
        <v>0</v>
      </c>
      <c r="S106" s="127">
        <f>'GS &lt; 50 OLS Model'!$B$11*I106</f>
        <v>697390.17362184904</v>
      </c>
      <c r="T106" s="127">
        <f>'GS &lt; 50 OLS Model'!$B$12*J106</f>
        <v>-782960.312499544</v>
      </c>
      <c r="U106" s="127">
        <f>'GS &lt; 50 OLS Model'!$B$13*K106</f>
        <v>13776537.46314018</v>
      </c>
      <c r="V106" s="127">
        <f t="shared" ca="1" si="8"/>
        <v>17874720.676119696</v>
      </c>
    </row>
    <row r="107" spans="1:22">
      <c r="A107" s="128">
        <v>43009</v>
      </c>
      <c r="B107" s="127">
        <f t="shared" si="7"/>
        <v>2017</v>
      </c>
      <c r="C107" s="127">
        <f ca="1">'Monthly Data'!J107</f>
        <v>16833839.906596765</v>
      </c>
      <c r="D107" s="127">
        <f t="shared" ca="1" si="11"/>
        <v>158.93676691729343</v>
      </c>
      <c r="E107" s="127">
        <f t="shared" ca="1" si="11"/>
        <v>16.916090225563948</v>
      </c>
      <c r="F107" s="124">
        <f>'Monthly Data'!BK107</f>
        <v>162.1</v>
      </c>
      <c r="G107" s="127">
        <f t="shared" si="13"/>
        <v>106</v>
      </c>
      <c r="H107" s="127">
        <f t="shared" si="14"/>
        <v>0</v>
      </c>
      <c r="I107" s="127">
        <f t="shared" si="14"/>
        <v>0</v>
      </c>
      <c r="J107" s="127">
        <f t="shared" si="14"/>
        <v>1</v>
      </c>
      <c r="K107" s="127">
        <f t="shared" si="15"/>
        <v>31</v>
      </c>
      <c r="M107" s="127">
        <f>'GS &lt; 50 OLS Model'!$B$5</f>
        <v>-2510760.1679547098</v>
      </c>
      <c r="N107" s="127">
        <f ca="1">'GS &lt; 50 OLS Model'!$B$6*D107</f>
        <v>692363.08769963507</v>
      </c>
      <c r="O107" s="127">
        <f ca="1">'GS &lt; 50 OLS Model'!$B$7*E107</f>
        <v>401679.2929311379</v>
      </c>
      <c r="P107" s="124">
        <f>'GS &lt; 50 OLS Model'!$B$8*F107</f>
        <v>6636370.2805103129</v>
      </c>
      <c r="Q107" s="127">
        <f>'GS &lt; 50 OLS Model'!$B$9*G107</f>
        <v>-2172221.4622936524</v>
      </c>
      <c r="R107" s="127">
        <f>'GS &lt; 50 OLS Model'!$B$10*H107</f>
        <v>0</v>
      </c>
      <c r="S107" s="127">
        <f>'GS &lt; 50 OLS Model'!$B$11*I107</f>
        <v>0</v>
      </c>
      <c r="T107" s="127">
        <f>'GS &lt; 50 OLS Model'!$B$12*J107</f>
        <v>-782960.312499544</v>
      </c>
      <c r="U107" s="127">
        <f>'GS &lt; 50 OLS Model'!$B$13*K107</f>
        <v>14235755.378578186</v>
      </c>
      <c r="V107" s="127">
        <f t="shared" ca="1" si="8"/>
        <v>16500226.096971367</v>
      </c>
    </row>
    <row r="108" spans="1:22">
      <c r="A108" s="128">
        <v>43040</v>
      </c>
      <c r="B108" s="127">
        <f t="shared" si="7"/>
        <v>2017</v>
      </c>
      <c r="C108" s="127">
        <f ca="1">'Monthly Data'!J108</f>
        <v>16525687.126596767</v>
      </c>
      <c r="D108" s="127">
        <f t="shared" ca="1" si="11"/>
        <v>375.92533834586447</v>
      </c>
      <c r="E108" s="127">
        <f t="shared" ca="1" si="11"/>
        <v>8.120300751879661E-2</v>
      </c>
      <c r="F108" s="124">
        <f>'Monthly Data'!BK108</f>
        <v>162.9</v>
      </c>
      <c r="G108" s="127">
        <f t="shared" si="13"/>
        <v>107</v>
      </c>
      <c r="H108" s="127">
        <f t="shared" si="14"/>
        <v>0</v>
      </c>
      <c r="I108" s="127">
        <f t="shared" si="14"/>
        <v>0</v>
      </c>
      <c r="J108" s="127">
        <f t="shared" si="14"/>
        <v>1</v>
      </c>
      <c r="K108" s="127">
        <f t="shared" si="15"/>
        <v>30</v>
      </c>
      <c r="M108" s="127">
        <f>'GS &lt; 50 OLS Model'!$B$5</f>
        <v>-2510760.1679547098</v>
      </c>
      <c r="N108" s="127">
        <f ca="1">'GS &lt; 50 OLS Model'!$B$6*D108</f>
        <v>1637612.4483337079</v>
      </c>
      <c r="O108" s="127">
        <f ca="1">'GS &lt; 50 OLS Model'!$B$7*E108</f>
        <v>1928.1977223519268</v>
      </c>
      <c r="P108" s="124">
        <f>'GS &lt; 50 OLS Model'!$B$8*F108</f>
        <v>6669122.2621537941</v>
      </c>
      <c r="Q108" s="127">
        <f>'GS &lt; 50 OLS Model'!$B$9*G108</f>
        <v>-2192714.1175983096</v>
      </c>
      <c r="R108" s="127">
        <f>'GS &lt; 50 OLS Model'!$B$10*H108</f>
        <v>0</v>
      </c>
      <c r="S108" s="127">
        <f>'GS &lt; 50 OLS Model'!$B$11*I108</f>
        <v>0</v>
      </c>
      <c r="T108" s="127">
        <f>'GS &lt; 50 OLS Model'!$B$12*J108</f>
        <v>-782960.312499544</v>
      </c>
      <c r="U108" s="127">
        <f>'GS &lt; 50 OLS Model'!$B$13*K108</f>
        <v>13776537.46314018</v>
      </c>
      <c r="V108" s="127">
        <f t="shared" ca="1" si="8"/>
        <v>16598765.77329747</v>
      </c>
    </row>
    <row r="109" spans="1:22">
      <c r="A109" s="128">
        <v>43070</v>
      </c>
      <c r="B109" s="127">
        <f t="shared" si="7"/>
        <v>2017</v>
      </c>
      <c r="C109" s="127">
        <f ca="1">'Monthly Data'!J109</f>
        <v>18537220.016596768</v>
      </c>
      <c r="D109" s="127">
        <f t="shared" ca="1" si="11"/>
        <v>548.76120300751859</v>
      </c>
      <c r="E109" s="127">
        <f t="shared" ca="1" si="11"/>
        <v>0</v>
      </c>
      <c r="F109" s="124">
        <f>'Monthly Data'!BK109</f>
        <v>163.9</v>
      </c>
      <c r="G109" s="127">
        <f t="shared" si="13"/>
        <v>108</v>
      </c>
      <c r="H109" s="127">
        <f t="shared" si="14"/>
        <v>0</v>
      </c>
      <c r="I109" s="127">
        <f t="shared" si="14"/>
        <v>0</v>
      </c>
      <c r="J109" s="127">
        <f t="shared" si="14"/>
        <v>0</v>
      </c>
      <c r="K109" s="127">
        <f t="shared" si="15"/>
        <v>31</v>
      </c>
      <c r="M109" s="127">
        <f>'GS &lt; 50 OLS Model'!$B$5</f>
        <v>-2510760.1679547098</v>
      </c>
      <c r="N109" s="127">
        <f ca="1">'GS &lt; 50 OLS Model'!$B$6*D109</f>
        <v>2390523.0255612521</v>
      </c>
      <c r="O109" s="127">
        <f ca="1">'GS &lt; 50 OLS Model'!$B$7*E109</f>
        <v>0</v>
      </c>
      <c r="P109" s="124">
        <f>'GS &lt; 50 OLS Model'!$B$8*F109</f>
        <v>6710062.2392081451</v>
      </c>
      <c r="Q109" s="127">
        <f>'GS &lt; 50 OLS Model'!$B$9*G109</f>
        <v>-2213206.7729029665</v>
      </c>
      <c r="R109" s="127">
        <f>'GS &lt; 50 OLS Model'!$B$10*H109</f>
        <v>0</v>
      </c>
      <c r="S109" s="127">
        <f>'GS &lt; 50 OLS Model'!$B$11*I109</f>
        <v>0</v>
      </c>
      <c r="T109" s="127">
        <f>'GS &lt; 50 OLS Model'!$B$12*J109</f>
        <v>0</v>
      </c>
      <c r="U109" s="127">
        <f>'GS &lt; 50 OLS Model'!$B$13*K109</f>
        <v>14235755.378578186</v>
      </c>
      <c r="V109" s="127">
        <f t="shared" ca="1" si="8"/>
        <v>18612373.702489905</v>
      </c>
    </row>
    <row r="110" spans="1:22">
      <c r="A110" s="128">
        <v>43101</v>
      </c>
      <c r="B110" s="186">
        <f t="shared" ref="B110:B121" si="16">YEAR(A110)</f>
        <v>2018</v>
      </c>
      <c r="C110" s="186">
        <f ca="1">'Monthly Data'!J110</f>
        <v>19001303.515027311</v>
      </c>
      <c r="D110" s="186">
        <f t="shared" ref="D110:E110" ca="1" si="17">D98</f>
        <v>665.14879699248104</v>
      </c>
      <c r="E110" s="186">
        <f t="shared" ca="1" si="17"/>
        <v>0</v>
      </c>
      <c r="F110" s="124">
        <f>'Monthly Data'!BK110</f>
        <v>165.3963481436397</v>
      </c>
      <c r="G110" s="186">
        <f t="shared" si="13"/>
        <v>109</v>
      </c>
      <c r="H110" s="186">
        <f t="shared" ref="H110:J110" si="18">H98</f>
        <v>0</v>
      </c>
      <c r="I110" s="186">
        <f t="shared" si="18"/>
        <v>0</v>
      </c>
      <c r="J110" s="186">
        <f t="shared" si="18"/>
        <v>0</v>
      </c>
      <c r="K110" s="186">
        <f t="shared" si="15"/>
        <v>31</v>
      </c>
      <c r="L110" s="186"/>
      <c r="M110" s="186">
        <f>'GS &lt; 50 OLS Model'!$B$5</f>
        <v>-2510760.1679547098</v>
      </c>
      <c r="N110" s="186">
        <f ca="1">'GS &lt; 50 OLS Model'!$B$6*D110</f>
        <v>2897532.6716256719</v>
      </c>
      <c r="O110" s="186">
        <f ca="1">'GS &lt; 50 OLS Model'!$B$7*E110</f>
        <v>0</v>
      </c>
      <c r="P110" s="124">
        <f>'GS &lt; 50 OLS Model'!$B$8*F110</f>
        <v>6771322.6978740748</v>
      </c>
      <c r="Q110" s="186">
        <f>'GS &lt; 50 OLS Model'!$B$9*G110</f>
        <v>-2233699.4282076238</v>
      </c>
      <c r="R110" s="186">
        <f>'GS &lt; 50 OLS Model'!$B$10*H110</f>
        <v>0</v>
      </c>
      <c r="S110" s="186">
        <f>'GS &lt; 50 OLS Model'!$B$11*I110</f>
        <v>0</v>
      </c>
      <c r="T110" s="186">
        <f>'GS &lt; 50 OLS Model'!$B$12*J110</f>
        <v>0</v>
      </c>
      <c r="U110" s="186">
        <f>'GS &lt; 50 OLS Model'!$B$13*K110</f>
        <v>14235755.378578186</v>
      </c>
      <c r="V110" s="186">
        <f t="shared" ref="V110:V121" ca="1" si="19">SUM(M110:U110)</f>
        <v>19160151.151915599</v>
      </c>
    </row>
    <row r="111" spans="1:22">
      <c r="A111" s="128">
        <v>43132</v>
      </c>
      <c r="B111" s="186">
        <f t="shared" si="16"/>
        <v>2018</v>
      </c>
      <c r="C111" s="186">
        <f ca="1">'Monthly Data'!J111</f>
        <v>16610806.131532103</v>
      </c>
      <c r="D111" s="186">
        <f t="shared" ref="D111:E111" ca="1" si="20">D99</f>
        <v>611.17548872180487</v>
      </c>
      <c r="E111" s="186">
        <f t="shared" ca="1" si="20"/>
        <v>0</v>
      </c>
      <c r="F111" s="124">
        <f>'Monthly Data'!BK111</f>
        <v>161.90486914181378</v>
      </c>
      <c r="G111" s="186">
        <f t="shared" si="13"/>
        <v>110</v>
      </c>
      <c r="H111" s="186">
        <f t="shared" ref="H111:J111" si="21">H99</f>
        <v>0</v>
      </c>
      <c r="I111" s="186">
        <f t="shared" si="21"/>
        <v>0</v>
      </c>
      <c r="J111" s="186">
        <f t="shared" si="21"/>
        <v>0</v>
      </c>
      <c r="K111" s="186">
        <f t="shared" si="15"/>
        <v>28</v>
      </c>
      <c r="L111" s="186"/>
      <c r="M111" s="186">
        <f>'GS &lt; 50 OLS Model'!$B$5</f>
        <v>-2510760.1679547098</v>
      </c>
      <c r="N111" s="186">
        <f ca="1">'GS &lt; 50 OLS Model'!$B$6*D111</f>
        <v>2662413.2144198036</v>
      </c>
      <c r="O111" s="186">
        <f ca="1">'GS &lt; 50 OLS Model'!$B$7*E111</f>
        <v>0</v>
      </c>
      <c r="P111" s="124">
        <f>'GS &lt; 50 OLS Model'!$B$8*F111</f>
        <v>6628381.6276535727</v>
      </c>
      <c r="Q111" s="186">
        <f>'GS &lt; 50 OLS Model'!$B$9*G111</f>
        <v>-2254192.0835122811</v>
      </c>
      <c r="R111" s="186">
        <f>'GS &lt; 50 OLS Model'!$B$10*H111</f>
        <v>0</v>
      </c>
      <c r="S111" s="186">
        <f>'GS &lt; 50 OLS Model'!$B$11*I111</f>
        <v>0</v>
      </c>
      <c r="T111" s="186">
        <f>'GS &lt; 50 OLS Model'!$B$12*J111</f>
        <v>0</v>
      </c>
      <c r="U111" s="186">
        <f>'GS &lt; 50 OLS Model'!$B$13*K111</f>
        <v>12858101.632264167</v>
      </c>
      <c r="V111" s="186">
        <f t="shared" ca="1" si="19"/>
        <v>17383944.222870551</v>
      </c>
    </row>
    <row r="112" spans="1:22">
      <c r="A112" s="128">
        <v>43160</v>
      </c>
      <c r="B112" s="186">
        <f t="shared" si="16"/>
        <v>2018</v>
      </c>
      <c r="C112" s="186">
        <f ca="1">'Monthly Data'!J112</f>
        <v>17318740.120735005</v>
      </c>
      <c r="D112" s="186">
        <f t="shared" ref="D112:E112" ca="1" si="22">D100</f>
        <v>458.46436090225569</v>
      </c>
      <c r="E112" s="186">
        <f t="shared" ca="1" si="22"/>
        <v>0.45218045112781802</v>
      </c>
      <c r="F112" s="124">
        <f>'Monthly Data'!BK112</f>
        <v>160.5082775410834</v>
      </c>
      <c r="G112" s="186">
        <f t="shared" si="13"/>
        <v>111</v>
      </c>
      <c r="H112" s="186">
        <f t="shared" ref="H112:J112" si="23">H100</f>
        <v>1</v>
      </c>
      <c r="I112" s="186">
        <f t="shared" si="23"/>
        <v>0</v>
      </c>
      <c r="J112" s="186">
        <f t="shared" si="23"/>
        <v>1</v>
      </c>
      <c r="K112" s="186">
        <f t="shared" si="15"/>
        <v>31</v>
      </c>
      <c r="L112" s="186"/>
      <c r="M112" s="186">
        <f>'GS &lt; 50 OLS Model'!$B$5</f>
        <v>-2510760.1679547098</v>
      </c>
      <c r="N112" s="186">
        <f ca="1">'GS &lt; 50 OLS Model'!$B$6*D112</f>
        <v>1997170.3632281933</v>
      </c>
      <c r="O112" s="186">
        <f ca="1">'GS &lt; 50 OLS Model'!$B$7*E112</f>
        <v>10737.204724281946</v>
      </c>
      <c r="P112" s="124">
        <f>'GS &lt; 50 OLS Model'!$B$8*F112</f>
        <v>6571205.1995653715</v>
      </c>
      <c r="Q112" s="186">
        <f>'GS &lt; 50 OLS Model'!$B$9*G112</f>
        <v>-2274684.7388169379</v>
      </c>
      <c r="R112" s="186">
        <f>'GS &lt; 50 OLS Model'!$B$10*H112</f>
        <v>419453.43275174301</v>
      </c>
      <c r="S112" s="186">
        <f>'GS &lt; 50 OLS Model'!$B$11*I112</f>
        <v>0</v>
      </c>
      <c r="T112" s="186">
        <f>'GS &lt; 50 OLS Model'!$B$12*J112</f>
        <v>-782960.312499544</v>
      </c>
      <c r="U112" s="186">
        <f>'GS &lt; 50 OLS Model'!$B$13*K112</f>
        <v>14235755.378578186</v>
      </c>
      <c r="V112" s="186">
        <f t="shared" ca="1" si="19"/>
        <v>17665916.359576583</v>
      </c>
    </row>
    <row r="113" spans="1:22">
      <c r="A113" s="128">
        <v>43191</v>
      </c>
      <c r="B113" s="186">
        <f t="shared" si="16"/>
        <v>2018</v>
      </c>
      <c r="C113" s="186">
        <f ca="1">'Monthly Data'!J113</f>
        <v>16017226.272302017</v>
      </c>
      <c r="D113" s="186">
        <f t="shared" ref="D113:E113" ca="1" si="24">D101</f>
        <v>254.29052631578941</v>
      </c>
      <c r="E113" s="186">
        <f t="shared" ca="1" si="24"/>
        <v>0.50947368421054762</v>
      </c>
      <c r="F113" s="124">
        <f>'Monthly Data'!BK113</f>
        <v>161.50584297017653</v>
      </c>
      <c r="G113" s="186">
        <f t="shared" si="13"/>
        <v>112</v>
      </c>
      <c r="H113" s="186">
        <f t="shared" ref="H113:J113" si="25">H101</f>
        <v>0</v>
      </c>
      <c r="I113" s="186">
        <f t="shared" si="25"/>
        <v>0</v>
      </c>
      <c r="J113" s="186">
        <f t="shared" si="25"/>
        <v>1</v>
      </c>
      <c r="K113" s="186">
        <f t="shared" si="15"/>
        <v>30</v>
      </c>
      <c r="L113" s="186"/>
      <c r="M113" s="186">
        <f>'GS &lt; 50 OLS Model'!$B$5</f>
        <v>-2510760.1679547098</v>
      </c>
      <c r="N113" s="186">
        <f ca="1">'GS &lt; 50 OLS Model'!$B$6*D113</f>
        <v>1107744.7804407841</v>
      </c>
      <c r="O113" s="186">
        <f ca="1">'GS &lt; 50 OLS Model'!$B$7*E113</f>
        <v>12097.655339497465</v>
      </c>
      <c r="P113" s="124">
        <f>'GS &lt; 50 OLS Model'!$B$8*F113</f>
        <v>6612045.5053426586</v>
      </c>
      <c r="Q113" s="186">
        <f>'GS &lt; 50 OLS Model'!$B$9*G113</f>
        <v>-2295177.3941215952</v>
      </c>
      <c r="R113" s="186">
        <f>'GS &lt; 50 OLS Model'!$B$10*H113</f>
        <v>0</v>
      </c>
      <c r="S113" s="186">
        <f>'GS &lt; 50 OLS Model'!$B$11*I113</f>
        <v>0</v>
      </c>
      <c r="T113" s="186">
        <f>'GS &lt; 50 OLS Model'!$B$12*J113</f>
        <v>-782960.312499544</v>
      </c>
      <c r="U113" s="186">
        <f>'GS &lt; 50 OLS Model'!$B$13*K113</f>
        <v>13776537.46314018</v>
      </c>
      <c r="V113" s="186">
        <f t="shared" ca="1" si="19"/>
        <v>15919527.529687271</v>
      </c>
    </row>
    <row r="114" spans="1:22">
      <c r="A114" s="128">
        <v>43221</v>
      </c>
      <c r="B114" s="186">
        <f t="shared" si="16"/>
        <v>2018</v>
      </c>
      <c r="C114" s="186">
        <f ca="1">'Monthly Data'!J114</f>
        <v>16921821.134000421</v>
      </c>
      <c r="D114" s="186">
        <f t="shared" ref="D114:E114" ca="1" si="26">D102</f>
        <v>102.64150375939857</v>
      </c>
      <c r="E114" s="186">
        <f t="shared" ca="1" si="26"/>
        <v>56.062781954887214</v>
      </c>
      <c r="F114" s="124">
        <f>'Monthly Data'!BK114</f>
        <v>162.90243457090693</v>
      </c>
      <c r="G114" s="186">
        <f t="shared" si="13"/>
        <v>113</v>
      </c>
      <c r="H114" s="186">
        <f t="shared" ref="H114:J114" si="27">H102</f>
        <v>0</v>
      </c>
      <c r="I114" s="186">
        <f t="shared" si="27"/>
        <v>0</v>
      </c>
      <c r="J114" s="186">
        <f t="shared" si="27"/>
        <v>1</v>
      </c>
      <c r="K114" s="186">
        <f t="shared" si="15"/>
        <v>31</v>
      </c>
      <c r="L114" s="186"/>
      <c r="M114" s="186">
        <f>'GS &lt; 50 OLS Model'!$B$5</f>
        <v>-2510760.1679547098</v>
      </c>
      <c r="N114" s="186">
        <f ca="1">'GS &lt; 50 OLS Model'!$B$6*D114</f>
        <v>447128.69053119334</v>
      </c>
      <c r="O114" s="186">
        <f ca="1">'GS &lt; 50 OLS Model'!$B$7*E114</f>
        <v>1331233.0636165608</v>
      </c>
      <c r="P114" s="124">
        <f>'GS &lt; 50 OLS Model'!$B$8*F114</f>
        <v>6669221.9334308608</v>
      </c>
      <c r="Q114" s="186">
        <f>'GS &lt; 50 OLS Model'!$B$9*G114</f>
        <v>-2315670.049426252</v>
      </c>
      <c r="R114" s="186">
        <f>'GS &lt; 50 OLS Model'!$B$10*H114</f>
        <v>0</v>
      </c>
      <c r="S114" s="186">
        <f>'GS &lt; 50 OLS Model'!$B$11*I114</f>
        <v>0</v>
      </c>
      <c r="T114" s="186">
        <f>'GS &lt; 50 OLS Model'!$B$12*J114</f>
        <v>-782960.312499544</v>
      </c>
      <c r="U114" s="186">
        <f>'GS &lt; 50 OLS Model'!$B$13*K114</f>
        <v>14235755.378578186</v>
      </c>
      <c r="V114" s="186">
        <f t="shared" ca="1" si="19"/>
        <v>17073948.536276296</v>
      </c>
    </row>
    <row r="115" spans="1:22">
      <c r="A115" s="128">
        <v>43252</v>
      </c>
      <c r="B115" s="186">
        <f t="shared" si="16"/>
        <v>2018</v>
      </c>
      <c r="C115" s="186">
        <f ca="1">'Monthly Data'!J115</f>
        <v>18917894.230369061</v>
      </c>
      <c r="D115" s="186">
        <f t="shared" ref="D115:E115" ca="1" si="28">D103</f>
        <v>0.39669172932326546</v>
      </c>
      <c r="E115" s="186">
        <f t="shared" ca="1" si="28"/>
        <v>116.89315789473682</v>
      </c>
      <c r="F115" s="124">
        <f>'Monthly Data'!BK115</f>
        <v>163.80024345709072</v>
      </c>
      <c r="G115" s="186">
        <f t="shared" si="13"/>
        <v>114</v>
      </c>
      <c r="H115" s="186">
        <f t="shared" ref="H115:J115" si="29">H103</f>
        <v>0</v>
      </c>
      <c r="I115" s="186">
        <f t="shared" si="29"/>
        <v>0</v>
      </c>
      <c r="J115" s="186">
        <f t="shared" si="29"/>
        <v>0</v>
      </c>
      <c r="K115" s="186">
        <f t="shared" si="15"/>
        <v>30</v>
      </c>
      <c r="L115" s="186"/>
      <c r="M115" s="186">
        <f>'GS &lt; 50 OLS Model'!$B$5</f>
        <v>-2510760.1679547098</v>
      </c>
      <c r="N115" s="186">
        <f ca="1">'GS &lt; 50 OLS Model'!$B$6*D115</f>
        <v>1728.0753591904077</v>
      </c>
      <c r="O115" s="186">
        <f ca="1">'GS &lt; 50 OLS Model'!$B$7*E115</f>
        <v>2775674.5433225781</v>
      </c>
      <c r="P115" s="124">
        <f>'GS &lt; 50 OLS Model'!$B$8*F115</f>
        <v>6705978.2086304175</v>
      </c>
      <c r="Q115" s="186">
        <f>'GS &lt; 50 OLS Model'!$B$9*G115</f>
        <v>-2336162.7047309093</v>
      </c>
      <c r="R115" s="186">
        <f>'GS &lt; 50 OLS Model'!$B$10*H115</f>
        <v>0</v>
      </c>
      <c r="S115" s="186">
        <f>'GS &lt; 50 OLS Model'!$B$11*I115</f>
        <v>0</v>
      </c>
      <c r="T115" s="186">
        <f>'GS &lt; 50 OLS Model'!$B$12*J115</f>
        <v>0</v>
      </c>
      <c r="U115" s="186">
        <f>'GS &lt; 50 OLS Model'!$B$13*K115</f>
        <v>13776537.46314018</v>
      </c>
      <c r="V115" s="186">
        <f t="shared" ca="1" si="19"/>
        <v>18412995.417766746</v>
      </c>
    </row>
    <row r="116" spans="1:22">
      <c r="A116" s="128">
        <v>43282</v>
      </c>
      <c r="B116" s="186">
        <f t="shared" si="16"/>
        <v>2018</v>
      </c>
      <c r="C116" s="186">
        <f ca="1">'Monthly Data'!J116</f>
        <v>20639533.873314146</v>
      </c>
      <c r="D116" s="186">
        <f t="shared" ref="D116:E116" ca="1" si="30">D104</f>
        <v>0.58105263157894704</v>
      </c>
      <c r="E116" s="186">
        <f t="shared" ca="1" si="30"/>
        <v>186.96526315789481</v>
      </c>
      <c r="F116" s="124">
        <f>'Monthly Data'!BK116</f>
        <v>163.20170419963483</v>
      </c>
      <c r="G116" s="186">
        <f t="shared" si="13"/>
        <v>115</v>
      </c>
      <c r="H116" s="186">
        <f t="shared" ref="H116:J116" si="31">H104</f>
        <v>0</v>
      </c>
      <c r="I116" s="186">
        <f t="shared" si="31"/>
        <v>0</v>
      </c>
      <c r="J116" s="186">
        <f t="shared" si="31"/>
        <v>0</v>
      </c>
      <c r="K116" s="186">
        <f t="shared" si="15"/>
        <v>31</v>
      </c>
      <c r="L116" s="186"/>
      <c r="M116" s="186">
        <f>'GS &lt; 50 OLS Model'!$B$5</f>
        <v>-2510760.1679547098</v>
      </c>
      <c r="N116" s="186">
        <f ca="1">'GS &lt; 50 OLS Model'!$B$6*D116</f>
        <v>2531.1915041366383</v>
      </c>
      <c r="O116" s="186">
        <f ca="1">'GS &lt; 50 OLS Model'!$B$7*E116</f>
        <v>4439564.5628831247</v>
      </c>
      <c r="P116" s="124">
        <f>'GS &lt; 50 OLS Model'!$B$8*F116</f>
        <v>6681474.0251640454</v>
      </c>
      <c r="Q116" s="186">
        <f>'GS &lt; 50 OLS Model'!$B$9*G116</f>
        <v>-2356655.3600355661</v>
      </c>
      <c r="R116" s="186">
        <f>'GS &lt; 50 OLS Model'!$B$10*H116</f>
        <v>0</v>
      </c>
      <c r="S116" s="186">
        <f>'GS &lt; 50 OLS Model'!$B$11*I116</f>
        <v>0</v>
      </c>
      <c r="T116" s="186">
        <f>'GS &lt; 50 OLS Model'!$B$12*J116</f>
        <v>0</v>
      </c>
      <c r="U116" s="186">
        <f>'GS &lt; 50 OLS Model'!$B$13*K116</f>
        <v>14235755.378578186</v>
      </c>
      <c r="V116" s="186">
        <f t="shared" ca="1" si="19"/>
        <v>20491909.630139217</v>
      </c>
    </row>
    <row r="117" spans="1:22">
      <c r="A117" s="128">
        <v>43313</v>
      </c>
      <c r="B117" s="186">
        <f t="shared" si="16"/>
        <v>2018</v>
      </c>
      <c r="C117" s="186">
        <f ca="1">'Monthly Data'!J117</f>
        <v>20163539.185281534</v>
      </c>
      <c r="D117" s="186">
        <f t="shared" ref="D117:E117" ca="1" si="32">D105</f>
        <v>1.6660902255639058</v>
      </c>
      <c r="E117" s="186">
        <f t="shared" ca="1" si="32"/>
        <v>167.43443609022574</v>
      </c>
      <c r="F117" s="124">
        <f>'Monthly Data'!BK117</f>
        <v>162.90243457090691</v>
      </c>
      <c r="G117" s="186">
        <f t="shared" si="13"/>
        <v>116</v>
      </c>
      <c r="H117" s="186">
        <f t="shared" ref="H117:J117" si="33">H105</f>
        <v>0</v>
      </c>
      <c r="I117" s="186">
        <f t="shared" si="33"/>
        <v>0</v>
      </c>
      <c r="J117" s="186">
        <f t="shared" si="33"/>
        <v>0</v>
      </c>
      <c r="K117" s="186">
        <f t="shared" si="15"/>
        <v>31</v>
      </c>
      <c r="L117" s="186"/>
      <c r="M117" s="186">
        <f>'GS &lt; 50 OLS Model'!$B$5</f>
        <v>-2510760.1679547098</v>
      </c>
      <c r="N117" s="186">
        <f ca="1">'GS &lt; 50 OLS Model'!$B$6*D117</f>
        <v>7257.8510015739739</v>
      </c>
      <c r="O117" s="186">
        <f ca="1">'GS &lt; 50 OLS Model'!$B$7*E117</f>
        <v>3975797.3032922582</v>
      </c>
      <c r="P117" s="124">
        <f>'GS &lt; 50 OLS Model'!$B$8*F117</f>
        <v>6669221.9334308598</v>
      </c>
      <c r="Q117" s="186">
        <f>'GS &lt; 50 OLS Model'!$B$9*G117</f>
        <v>-2377148.0153402234</v>
      </c>
      <c r="R117" s="186">
        <f>'GS &lt; 50 OLS Model'!$B$10*H117</f>
        <v>0</v>
      </c>
      <c r="S117" s="186">
        <f>'GS &lt; 50 OLS Model'!$B$11*I117</f>
        <v>0</v>
      </c>
      <c r="T117" s="186">
        <f>'GS &lt; 50 OLS Model'!$B$12*J117</f>
        <v>0</v>
      </c>
      <c r="U117" s="186">
        <f>'GS &lt; 50 OLS Model'!$B$13*K117</f>
        <v>14235755.378578186</v>
      </c>
      <c r="V117" s="186">
        <f t="shared" ca="1" si="19"/>
        <v>20000124.283007942</v>
      </c>
    </row>
    <row r="118" spans="1:22">
      <c r="A118" s="128">
        <v>43344</v>
      </c>
      <c r="B118" s="186">
        <f t="shared" si="16"/>
        <v>2018</v>
      </c>
      <c r="C118" s="186">
        <f ca="1">'Monthly Data'!J118</f>
        <v>17735720.163342077</v>
      </c>
      <c r="D118" s="186">
        <f t="shared" ref="D118:E118" ca="1" si="34">D106</f>
        <v>30.410827067669118</v>
      </c>
      <c r="E118" s="186">
        <f t="shared" ca="1" si="34"/>
        <v>83.003533834586506</v>
      </c>
      <c r="F118" s="124">
        <f>'Monthly Data'!BK118</f>
        <v>163.30146074254412</v>
      </c>
      <c r="G118" s="186">
        <f t="shared" si="13"/>
        <v>117</v>
      </c>
      <c r="H118" s="186">
        <f t="shared" ref="H118:J118" si="35">H106</f>
        <v>0</v>
      </c>
      <c r="I118" s="186">
        <f t="shared" si="35"/>
        <v>1</v>
      </c>
      <c r="J118" s="186">
        <f t="shared" si="35"/>
        <v>1</v>
      </c>
      <c r="K118" s="186">
        <f t="shared" si="15"/>
        <v>30</v>
      </c>
      <c r="L118" s="186"/>
      <c r="M118" s="186">
        <f>'GS &lt; 50 OLS Model'!$B$5</f>
        <v>-2510760.1679547098</v>
      </c>
      <c r="N118" s="186">
        <f ca="1">'GS &lt; 50 OLS Model'!$B$6*D118</f>
        <v>132476.16984072464</v>
      </c>
      <c r="O118" s="186">
        <f ca="1">'GS &lt; 50 OLS Model'!$B$7*E118</f>
        <v>1970951.936108568</v>
      </c>
      <c r="P118" s="124">
        <f>'GS &lt; 50 OLS Model'!$B$8*F118</f>
        <v>6685558.055741773</v>
      </c>
      <c r="Q118" s="186">
        <f>'GS &lt; 50 OLS Model'!$B$9*G118</f>
        <v>-2397640.6706448807</v>
      </c>
      <c r="R118" s="186">
        <f>'GS &lt; 50 OLS Model'!$B$10*H118</f>
        <v>0</v>
      </c>
      <c r="S118" s="186">
        <f>'GS &lt; 50 OLS Model'!$B$11*I118</f>
        <v>697390.17362184904</v>
      </c>
      <c r="T118" s="186">
        <f>'GS &lt; 50 OLS Model'!$B$12*J118</f>
        <v>-782960.312499544</v>
      </c>
      <c r="U118" s="186">
        <f>'GS &lt; 50 OLS Model'!$B$13*K118</f>
        <v>13776537.46314018</v>
      </c>
      <c r="V118" s="186">
        <f t="shared" ca="1" si="19"/>
        <v>17571552.647353958</v>
      </c>
    </row>
    <row r="119" spans="1:22">
      <c r="A119" s="128">
        <v>43374</v>
      </c>
      <c r="B119" s="186">
        <f t="shared" si="16"/>
        <v>2018</v>
      </c>
      <c r="C119" s="186">
        <f ca="1">'Monthly Data'!J119</f>
        <v>16132772.491475061</v>
      </c>
      <c r="D119" s="186">
        <f t="shared" ref="D119:E119" ca="1" si="36">D107</f>
        <v>158.93676691729343</v>
      </c>
      <c r="E119" s="186">
        <f t="shared" ca="1" si="36"/>
        <v>16.916090225563948</v>
      </c>
      <c r="F119" s="124">
        <f>'Monthly Data'!BK119</f>
        <v>164.59829580036518</v>
      </c>
      <c r="G119" s="186">
        <f t="shared" si="13"/>
        <v>118</v>
      </c>
      <c r="H119" s="186">
        <f t="shared" ref="H119:J119" si="37">H107</f>
        <v>0</v>
      </c>
      <c r="I119" s="186">
        <f t="shared" si="37"/>
        <v>0</v>
      </c>
      <c r="J119" s="186">
        <f t="shared" si="37"/>
        <v>1</v>
      </c>
      <c r="K119" s="186">
        <f t="shared" si="15"/>
        <v>31</v>
      </c>
      <c r="L119" s="186"/>
      <c r="M119" s="186">
        <f>'GS &lt; 50 OLS Model'!$B$5</f>
        <v>-2510760.1679547098</v>
      </c>
      <c r="N119" s="186">
        <f ca="1">'GS &lt; 50 OLS Model'!$B$6*D119</f>
        <v>692363.08769963507</v>
      </c>
      <c r="O119" s="186">
        <f ca="1">'GS &lt; 50 OLS Model'!$B$7*E119</f>
        <v>401679.2929311379</v>
      </c>
      <c r="P119" s="124">
        <f>'GS &lt; 50 OLS Model'!$B$8*F119</f>
        <v>6738650.4532522447</v>
      </c>
      <c r="Q119" s="186">
        <f>'GS &lt; 50 OLS Model'!$B$9*G119</f>
        <v>-2418133.3259495376</v>
      </c>
      <c r="R119" s="186">
        <f>'GS &lt; 50 OLS Model'!$B$10*H119</f>
        <v>0</v>
      </c>
      <c r="S119" s="186">
        <f>'GS &lt; 50 OLS Model'!$B$11*I119</f>
        <v>0</v>
      </c>
      <c r="T119" s="186">
        <f>'GS &lt; 50 OLS Model'!$B$12*J119</f>
        <v>-782960.312499544</v>
      </c>
      <c r="U119" s="186">
        <f>'GS &lt; 50 OLS Model'!$B$13*K119</f>
        <v>14235755.378578186</v>
      </c>
      <c r="V119" s="186">
        <f t="shared" ca="1" si="19"/>
        <v>16356594.406057412</v>
      </c>
    </row>
    <row r="120" spans="1:22">
      <c r="A120" s="128">
        <v>43405</v>
      </c>
      <c r="B120" s="186">
        <f t="shared" si="16"/>
        <v>2018</v>
      </c>
      <c r="C120" s="186">
        <f ca="1">'Monthly Data'!J120</f>
        <v>16564637.253296278</v>
      </c>
      <c r="D120" s="186">
        <f t="shared" ref="D120:E120" ca="1" si="38">D108</f>
        <v>375.92533834586447</v>
      </c>
      <c r="E120" s="186">
        <f t="shared" ca="1" si="38"/>
        <v>8.120300751879661E-2</v>
      </c>
      <c r="F120" s="124">
        <f>'Monthly Data'!BK120</f>
        <v>167.49123554473525</v>
      </c>
      <c r="G120" s="186">
        <f t="shared" si="13"/>
        <v>119</v>
      </c>
      <c r="H120" s="186">
        <f t="shared" ref="H120:J120" si="39">H108</f>
        <v>0</v>
      </c>
      <c r="I120" s="186">
        <f t="shared" si="39"/>
        <v>0</v>
      </c>
      <c r="J120" s="186">
        <f t="shared" si="39"/>
        <v>1</v>
      </c>
      <c r="K120" s="186">
        <f t="shared" si="15"/>
        <v>30</v>
      </c>
      <c r="L120" s="186"/>
      <c r="M120" s="186">
        <f>'GS &lt; 50 OLS Model'!$B$5</f>
        <v>-2510760.1679547098</v>
      </c>
      <c r="N120" s="186">
        <f ca="1">'GS &lt; 50 OLS Model'!$B$6*D120</f>
        <v>1637612.4483337079</v>
      </c>
      <c r="O120" s="186">
        <f ca="1">'GS &lt; 50 OLS Model'!$B$7*E120</f>
        <v>1928.1977223519268</v>
      </c>
      <c r="P120" s="124">
        <f>'GS &lt; 50 OLS Model'!$B$8*F120</f>
        <v>6857087.3400063757</v>
      </c>
      <c r="Q120" s="186">
        <f>'GS &lt; 50 OLS Model'!$B$9*G120</f>
        <v>-2438625.9812541949</v>
      </c>
      <c r="R120" s="186">
        <f>'GS &lt; 50 OLS Model'!$B$10*H120</f>
        <v>0</v>
      </c>
      <c r="S120" s="186">
        <f>'GS &lt; 50 OLS Model'!$B$11*I120</f>
        <v>0</v>
      </c>
      <c r="T120" s="186">
        <f>'GS &lt; 50 OLS Model'!$B$12*J120</f>
        <v>-782960.312499544</v>
      </c>
      <c r="U120" s="186">
        <f>'GS &lt; 50 OLS Model'!$B$13*K120</f>
        <v>13776537.46314018</v>
      </c>
      <c r="V120" s="186">
        <f t="shared" ca="1" si="19"/>
        <v>16540818.987494167</v>
      </c>
    </row>
    <row r="121" spans="1:22">
      <c r="A121" s="128">
        <v>43435</v>
      </c>
      <c r="B121" s="186">
        <f t="shared" si="16"/>
        <v>2018</v>
      </c>
      <c r="C121" s="186">
        <f ca="1">'Monthly Data'!J121</f>
        <v>17253745.033177346</v>
      </c>
      <c r="D121" s="186">
        <f t="shared" ref="D121:E121" ca="1" si="40">D109</f>
        <v>548.76120300751859</v>
      </c>
      <c r="E121" s="186">
        <f t="shared" ca="1" si="40"/>
        <v>0</v>
      </c>
      <c r="F121" s="124">
        <f>'Monthly Data'!BK121</f>
        <v>168.68831405964698</v>
      </c>
      <c r="G121" s="186">
        <f t="shared" si="13"/>
        <v>120</v>
      </c>
      <c r="H121" s="186">
        <f t="shared" ref="H121:J121" si="41">H109</f>
        <v>0</v>
      </c>
      <c r="I121" s="186">
        <f t="shared" si="41"/>
        <v>0</v>
      </c>
      <c r="J121" s="186">
        <f t="shared" si="41"/>
        <v>0</v>
      </c>
      <c r="K121" s="186">
        <f t="shared" si="15"/>
        <v>31</v>
      </c>
      <c r="L121" s="186"/>
      <c r="M121" s="186">
        <f>'GS &lt; 50 OLS Model'!$B$5</f>
        <v>-2510760.1679547098</v>
      </c>
      <c r="N121" s="186">
        <f ca="1">'GS &lt; 50 OLS Model'!$B$6*D121</f>
        <v>2390523.0255612521</v>
      </c>
      <c r="O121" s="186">
        <f ca="1">'GS &lt; 50 OLS Model'!$B$7*E121</f>
        <v>0</v>
      </c>
      <c r="P121" s="124">
        <f>'GS &lt; 50 OLS Model'!$B$8*F121</f>
        <v>6906095.7069391189</v>
      </c>
      <c r="Q121" s="186">
        <f>'GS &lt; 50 OLS Model'!$B$9*G121</f>
        <v>-2459118.6365588517</v>
      </c>
      <c r="R121" s="186">
        <f>'GS &lt; 50 OLS Model'!$B$10*H121</f>
        <v>0</v>
      </c>
      <c r="S121" s="186">
        <f>'GS &lt; 50 OLS Model'!$B$11*I121</f>
        <v>0</v>
      </c>
      <c r="T121" s="186">
        <f>'GS &lt; 50 OLS Model'!$B$12*J121</f>
        <v>0</v>
      </c>
      <c r="U121" s="186">
        <f>'GS &lt; 50 OLS Model'!$B$13*K121</f>
        <v>14235755.378578186</v>
      </c>
      <c r="V121" s="186">
        <f t="shared" ca="1" si="19"/>
        <v>18562495.306564994</v>
      </c>
    </row>
    <row r="122" spans="1:22">
      <c r="A122" s="128">
        <v>43466</v>
      </c>
      <c r="B122" s="127">
        <f t="shared" ref="B122:B145" si="42">YEAR(A122)</f>
        <v>2019</v>
      </c>
      <c r="D122" s="127">
        <f t="shared" ref="D122:E129" ca="1" si="43">D110</f>
        <v>665.14879699248104</v>
      </c>
      <c r="E122" s="127">
        <f t="shared" ca="1" si="43"/>
        <v>0</v>
      </c>
      <c r="F122" s="124">
        <f>F110*(1+Employment!$L$4)</f>
        <v>169.43201903834449</v>
      </c>
      <c r="G122" s="127">
        <f t="shared" si="13"/>
        <v>121</v>
      </c>
      <c r="H122" s="127">
        <f t="shared" ref="H122:J130" si="44">H110</f>
        <v>0</v>
      </c>
      <c r="I122" s="127">
        <f t="shared" si="44"/>
        <v>0</v>
      </c>
      <c r="J122" s="127">
        <f t="shared" si="44"/>
        <v>0</v>
      </c>
      <c r="K122" s="127">
        <f t="shared" si="15"/>
        <v>31</v>
      </c>
      <c r="M122" s="127">
        <f>'GS &lt; 50 OLS Model'!$B$5</f>
        <v>-2510760.1679547098</v>
      </c>
      <c r="N122" s="127">
        <f ca="1">'GS &lt; 50 OLS Model'!$B$6*D122</f>
        <v>2897532.6716256719</v>
      </c>
      <c r="O122" s="127">
        <f ca="1">'GS &lt; 50 OLS Model'!$B$7*E122</f>
        <v>0</v>
      </c>
      <c r="P122" s="124">
        <f>'GS &lt; 50 OLS Model'!$B$8*F122</f>
        <v>6936542.9717022013</v>
      </c>
      <c r="Q122" s="127">
        <f>'GS &lt; 50 OLS Model'!$B$9*G122</f>
        <v>-2479611.291863509</v>
      </c>
      <c r="R122" s="127">
        <f>'GS &lt; 50 OLS Model'!$B$10*H122</f>
        <v>0</v>
      </c>
      <c r="S122" s="127">
        <f>'GS &lt; 50 OLS Model'!$B$11*I122</f>
        <v>0</v>
      </c>
      <c r="T122" s="127">
        <f>'GS &lt; 50 OLS Model'!$B$12*J122</f>
        <v>0</v>
      </c>
      <c r="U122" s="127">
        <f>'GS &lt; 50 OLS Model'!$B$13*K122</f>
        <v>14235755.378578186</v>
      </c>
      <c r="V122" s="127">
        <f t="shared" ref="V122:V133" ca="1" si="45">SUM(M122:U122)</f>
        <v>19079459.562087841</v>
      </c>
    </row>
    <row r="123" spans="1:22">
      <c r="A123" s="128">
        <v>43497</v>
      </c>
      <c r="B123" s="127">
        <f t="shared" si="42"/>
        <v>2019</v>
      </c>
      <c r="D123" s="127">
        <f t="shared" ca="1" si="43"/>
        <v>611.17548872180487</v>
      </c>
      <c r="E123" s="127">
        <f t="shared" ca="1" si="43"/>
        <v>0</v>
      </c>
      <c r="F123" s="124">
        <f>F111*(1+Employment!$L$4)</f>
        <v>165.85534794887403</v>
      </c>
      <c r="G123" s="127">
        <f t="shared" si="13"/>
        <v>122</v>
      </c>
      <c r="H123" s="127">
        <f t="shared" si="44"/>
        <v>0</v>
      </c>
      <c r="I123" s="127">
        <f t="shared" si="44"/>
        <v>0</v>
      </c>
      <c r="J123" s="127">
        <f t="shared" si="44"/>
        <v>0</v>
      </c>
      <c r="K123" s="127">
        <f t="shared" si="15"/>
        <v>28</v>
      </c>
      <c r="M123" s="127">
        <f>'GS &lt; 50 OLS Model'!$B$5</f>
        <v>-2510760.1679547098</v>
      </c>
      <c r="N123" s="127">
        <f ca="1">'GS &lt; 50 OLS Model'!$B$6*D123</f>
        <v>2662413.2144198036</v>
      </c>
      <c r="O123" s="127">
        <f ca="1">'GS &lt; 50 OLS Model'!$B$7*E123</f>
        <v>0</v>
      </c>
      <c r="P123" s="124">
        <f>'GS &lt; 50 OLS Model'!$B$8*F123</f>
        <v>6790114.1393683199</v>
      </c>
      <c r="Q123" s="127">
        <f>'GS &lt; 50 OLS Model'!$B$9*G123</f>
        <v>-2500103.9471681663</v>
      </c>
      <c r="R123" s="127">
        <f>'GS &lt; 50 OLS Model'!$B$10*H123</f>
        <v>0</v>
      </c>
      <c r="S123" s="127">
        <f>'GS &lt; 50 OLS Model'!$B$11*I123</f>
        <v>0</v>
      </c>
      <c r="T123" s="127">
        <f>'GS &lt; 50 OLS Model'!$B$12*J123</f>
        <v>0</v>
      </c>
      <c r="U123" s="127">
        <f>'GS &lt; 50 OLS Model'!$B$13*K123</f>
        <v>12858101.632264167</v>
      </c>
      <c r="V123" s="127">
        <f t="shared" ca="1" si="45"/>
        <v>17299764.870929413</v>
      </c>
    </row>
    <row r="124" spans="1:22">
      <c r="A124" s="128">
        <v>43525</v>
      </c>
      <c r="B124" s="127">
        <f t="shared" si="42"/>
        <v>2019</v>
      </c>
      <c r="D124" s="127">
        <f t="shared" ca="1" si="43"/>
        <v>458.46436090225569</v>
      </c>
      <c r="E124" s="127">
        <f t="shared" ca="1" si="43"/>
        <v>0.45218045112781802</v>
      </c>
      <c r="F124" s="124">
        <f>F112*(1+Employment!$L$4)</f>
        <v>164.42467951308583</v>
      </c>
      <c r="G124" s="127">
        <f t="shared" si="13"/>
        <v>123</v>
      </c>
      <c r="H124" s="127">
        <f t="shared" si="44"/>
        <v>1</v>
      </c>
      <c r="I124" s="127">
        <f t="shared" si="44"/>
        <v>0</v>
      </c>
      <c r="J124" s="127">
        <f t="shared" si="44"/>
        <v>1</v>
      </c>
      <c r="K124" s="127">
        <f t="shared" si="15"/>
        <v>31</v>
      </c>
      <c r="M124" s="127">
        <f>'GS &lt; 50 OLS Model'!$B$5</f>
        <v>-2510760.1679547098</v>
      </c>
      <c r="N124" s="127">
        <f ca="1">'GS &lt; 50 OLS Model'!$B$6*D124</f>
        <v>1997170.3632281933</v>
      </c>
      <c r="O124" s="127">
        <f ca="1">'GS &lt; 50 OLS Model'!$B$7*E124</f>
        <v>10737.204724281946</v>
      </c>
      <c r="P124" s="124">
        <f>'GS &lt; 50 OLS Model'!$B$8*F124</f>
        <v>6731542.6064347671</v>
      </c>
      <c r="Q124" s="127">
        <f>'GS &lt; 50 OLS Model'!$B$9*G124</f>
        <v>-2520596.6024728231</v>
      </c>
      <c r="R124" s="127">
        <f>'GS &lt; 50 OLS Model'!$B$10*H124</f>
        <v>419453.43275174301</v>
      </c>
      <c r="S124" s="127">
        <f>'GS &lt; 50 OLS Model'!$B$11*I124</f>
        <v>0</v>
      </c>
      <c r="T124" s="127">
        <f>'GS &lt; 50 OLS Model'!$B$12*J124</f>
        <v>-782960.312499544</v>
      </c>
      <c r="U124" s="127">
        <f>'GS &lt; 50 OLS Model'!$B$13*K124</f>
        <v>14235755.378578186</v>
      </c>
      <c r="V124" s="127">
        <f t="shared" ca="1" si="45"/>
        <v>17580341.902790096</v>
      </c>
    </row>
    <row r="125" spans="1:22">
      <c r="A125" s="128">
        <v>43556</v>
      </c>
      <c r="B125" s="127">
        <f t="shared" si="42"/>
        <v>2019</v>
      </c>
      <c r="D125" s="127">
        <f t="shared" ca="1" si="43"/>
        <v>254.29052631578941</v>
      </c>
      <c r="E125" s="127">
        <f t="shared" ca="1" si="43"/>
        <v>0.50947368421054762</v>
      </c>
      <c r="F125" s="124">
        <f>F113*(1+Employment!$L$4)</f>
        <v>165.44658553864883</v>
      </c>
      <c r="G125" s="127">
        <f t="shared" si="13"/>
        <v>124</v>
      </c>
      <c r="H125" s="127">
        <f t="shared" si="44"/>
        <v>0</v>
      </c>
      <c r="I125" s="127">
        <f t="shared" si="44"/>
        <v>0</v>
      </c>
      <c r="J125" s="127">
        <f t="shared" si="44"/>
        <v>1</v>
      </c>
      <c r="K125" s="127">
        <f t="shared" si="15"/>
        <v>30</v>
      </c>
      <c r="M125" s="127">
        <f>'GS &lt; 50 OLS Model'!$B$5</f>
        <v>-2510760.1679547098</v>
      </c>
      <c r="N125" s="127">
        <f ca="1">'GS &lt; 50 OLS Model'!$B$6*D125</f>
        <v>1107744.7804407841</v>
      </c>
      <c r="O125" s="127">
        <f ca="1">'GS &lt; 50 OLS Model'!$B$7*E125</f>
        <v>12097.655339497465</v>
      </c>
      <c r="P125" s="124">
        <f>'GS &lt; 50 OLS Model'!$B$8*F125</f>
        <v>6773379.4156730194</v>
      </c>
      <c r="Q125" s="127">
        <f>'GS &lt; 50 OLS Model'!$B$9*G125</f>
        <v>-2541089.2577774804</v>
      </c>
      <c r="R125" s="127">
        <f>'GS &lt; 50 OLS Model'!$B$10*H125</f>
        <v>0</v>
      </c>
      <c r="S125" s="127">
        <f>'GS &lt; 50 OLS Model'!$B$11*I125</f>
        <v>0</v>
      </c>
      <c r="T125" s="127">
        <f>'GS &lt; 50 OLS Model'!$B$12*J125</f>
        <v>-782960.312499544</v>
      </c>
      <c r="U125" s="127">
        <f>'GS &lt; 50 OLS Model'!$B$13*K125</f>
        <v>13776537.46314018</v>
      </c>
      <c r="V125" s="127">
        <f t="shared" ca="1" si="45"/>
        <v>15834949.576361747</v>
      </c>
    </row>
    <row r="126" spans="1:22">
      <c r="A126" s="128">
        <v>43586</v>
      </c>
      <c r="B126" s="127">
        <f t="shared" si="42"/>
        <v>2019</v>
      </c>
      <c r="D126" s="127">
        <f t="shared" ca="1" si="43"/>
        <v>102.64150375939857</v>
      </c>
      <c r="E126" s="127">
        <f t="shared" ca="1" si="43"/>
        <v>56.062781954887214</v>
      </c>
      <c r="F126" s="124">
        <f>F114*(1+Employment!$L$4)</f>
        <v>166.87725397443705</v>
      </c>
      <c r="G126" s="127">
        <f t="shared" si="13"/>
        <v>125</v>
      </c>
      <c r="H126" s="127">
        <f t="shared" si="44"/>
        <v>0</v>
      </c>
      <c r="I126" s="127">
        <f t="shared" si="44"/>
        <v>0</v>
      </c>
      <c r="J126" s="127">
        <f t="shared" si="44"/>
        <v>1</v>
      </c>
      <c r="K126" s="127">
        <f t="shared" si="15"/>
        <v>31</v>
      </c>
      <c r="M126" s="127">
        <f>'GS &lt; 50 OLS Model'!$B$5</f>
        <v>-2510760.1679547098</v>
      </c>
      <c r="N126" s="127">
        <f ca="1">'GS &lt; 50 OLS Model'!$B$6*D126</f>
        <v>447128.69053119334</v>
      </c>
      <c r="O126" s="127">
        <f ca="1">'GS &lt; 50 OLS Model'!$B$7*E126</f>
        <v>1331233.0636165608</v>
      </c>
      <c r="P126" s="124">
        <f>'GS &lt; 50 OLS Model'!$B$8*F126</f>
        <v>6831950.948606573</v>
      </c>
      <c r="Q126" s="127">
        <f>'GS &lt; 50 OLS Model'!$B$9*G126</f>
        <v>-2561581.9130821372</v>
      </c>
      <c r="R126" s="127">
        <f>'GS &lt; 50 OLS Model'!$B$10*H126</f>
        <v>0</v>
      </c>
      <c r="S126" s="127">
        <f>'GS &lt; 50 OLS Model'!$B$11*I126</f>
        <v>0</v>
      </c>
      <c r="T126" s="127">
        <f>'GS &lt; 50 OLS Model'!$B$12*J126</f>
        <v>-782960.312499544</v>
      </c>
      <c r="U126" s="127">
        <f>'GS &lt; 50 OLS Model'!$B$13*K126</f>
        <v>14235755.378578186</v>
      </c>
      <c r="V126" s="127">
        <f t="shared" ca="1" si="45"/>
        <v>16990765.687796123</v>
      </c>
    </row>
    <row r="127" spans="1:22">
      <c r="A127" s="128">
        <v>43617</v>
      </c>
      <c r="B127" s="127">
        <f t="shared" si="42"/>
        <v>2019</v>
      </c>
      <c r="D127" s="127">
        <f t="shared" ca="1" si="43"/>
        <v>0.39669172932326546</v>
      </c>
      <c r="E127" s="127">
        <f t="shared" ca="1" si="43"/>
        <v>116.89315789473682</v>
      </c>
      <c r="F127" s="124">
        <f>F115*(1+Employment!$L$4)</f>
        <v>167.79696939744372</v>
      </c>
      <c r="G127" s="127">
        <f t="shared" si="13"/>
        <v>126</v>
      </c>
      <c r="H127" s="127">
        <f t="shared" si="44"/>
        <v>0</v>
      </c>
      <c r="I127" s="127">
        <f t="shared" si="44"/>
        <v>0</v>
      </c>
      <c r="J127" s="127">
        <f t="shared" si="44"/>
        <v>0</v>
      </c>
      <c r="K127" s="127">
        <f t="shared" si="15"/>
        <v>30</v>
      </c>
      <c r="M127" s="127">
        <f>'GS &lt; 50 OLS Model'!$B$5</f>
        <v>-2510760.1679547098</v>
      </c>
      <c r="N127" s="127">
        <f ca="1">'GS &lt; 50 OLS Model'!$B$6*D127</f>
        <v>1728.0753591904077</v>
      </c>
      <c r="O127" s="127">
        <f ca="1">'GS &lt; 50 OLS Model'!$B$7*E127</f>
        <v>2775674.5433225781</v>
      </c>
      <c r="P127" s="124">
        <f>'GS &lt; 50 OLS Model'!$B$8*F127</f>
        <v>6869604.0769209992</v>
      </c>
      <c r="Q127" s="127">
        <f>'GS &lt; 50 OLS Model'!$B$9*G127</f>
        <v>-2582074.5683867945</v>
      </c>
      <c r="R127" s="127">
        <f>'GS &lt; 50 OLS Model'!$B$10*H127</f>
        <v>0</v>
      </c>
      <c r="S127" s="127">
        <f>'GS &lt; 50 OLS Model'!$B$11*I127</f>
        <v>0</v>
      </c>
      <c r="T127" s="127">
        <f>'GS &lt; 50 OLS Model'!$B$12*J127</f>
        <v>0</v>
      </c>
      <c r="U127" s="127">
        <f>'GS &lt; 50 OLS Model'!$B$13*K127</f>
        <v>13776537.46314018</v>
      </c>
      <c r="V127" s="127">
        <f t="shared" ca="1" si="45"/>
        <v>18330709.422401443</v>
      </c>
    </row>
    <row r="128" spans="1:22">
      <c r="A128" s="128">
        <v>43647</v>
      </c>
      <c r="B128" s="127">
        <f t="shared" si="42"/>
        <v>2019</v>
      </c>
      <c r="D128" s="127">
        <f t="shared" ca="1" si="43"/>
        <v>0.58105263157894704</v>
      </c>
      <c r="E128" s="127">
        <f t="shared" ca="1" si="43"/>
        <v>186.96526315789481</v>
      </c>
      <c r="F128" s="124">
        <f>F116*(1+Employment!$L$4)</f>
        <v>167.18382578210591</v>
      </c>
      <c r="G128" s="127">
        <f t="shared" si="13"/>
        <v>127</v>
      </c>
      <c r="H128" s="127">
        <f t="shared" si="44"/>
        <v>0</v>
      </c>
      <c r="I128" s="127">
        <f t="shared" si="44"/>
        <v>0</v>
      </c>
      <c r="J128" s="127">
        <f t="shared" si="44"/>
        <v>0</v>
      </c>
      <c r="K128" s="127">
        <f t="shared" si="15"/>
        <v>31</v>
      </c>
      <c r="M128" s="127">
        <f>'GS &lt; 50 OLS Model'!$B$5</f>
        <v>-2510760.1679547098</v>
      </c>
      <c r="N128" s="127">
        <f ca="1">'GS &lt; 50 OLS Model'!$B$6*D128</f>
        <v>2531.1915041366383</v>
      </c>
      <c r="O128" s="127">
        <f ca="1">'GS &lt; 50 OLS Model'!$B$7*E128</f>
        <v>4439564.5628831247</v>
      </c>
      <c r="P128" s="124">
        <f>'GS &lt; 50 OLS Model'!$B$8*F128</f>
        <v>6844501.9913780475</v>
      </c>
      <c r="Q128" s="127">
        <f>'GS &lt; 50 OLS Model'!$B$9*G128</f>
        <v>-2602567.2236914514</v>
      </c>
      <c r="R128" s="127">
        <f>'GS &lt; 50 OLS Model'!$B$10*H128</f>
        <v>0</v>
      </c>
      <c r="S128" s="127">
        <f>'GS &lt; 50 OLS Model'!$B$11*I128</f>
        <v>0</v>
      </c>
      <c r="T128" s="127">
        <f>'GS &lt; 50 OLS Model'!$B$12*J128</f>
        <v>0</v>
      </c>
      <c r="U128" s="127">
        <f>'GS &lt; 50 OLS Model'!$B$13*K128</f>
        <v>14235755.378578186</v>
      </c>
      <c r="V128" s="127">
        <f t="shared" ca="1" si="45"/>
        <v>20409025.732697334</v>
      </c>
    </row>
    <row r="129" spans="1:22">
      <c r="A129" s="128">
        <v>43678</v>
      </c>
      <c r="B129" s="127">
        <f t="shared" si="42"/>
        <v>2019</v>
      </c>
      <c r="D129" s="127">
        <f t="shared" ca="1" si="43"/>
        <v>1.6660902255639058</v>
      </c>
      <c r="E129" s="127">
        <f t="shared" ca="1" si="43"/>
        <v>167.43443609022574</v>
      </c>
      <c r="F129" s="124">
        <f>F117*(1+Employment!$L$4)</f>
        <v>166.87725397443702</v>
      </c>
      <c r="G129" s="127">
        <f t="shared" si="13"/>
        <v>128</v>
      </c>
      <c r="H129" s="127">
        <f t="shared" si="44"/>
        <v>0</v>
      </c>
      <c r="I129" s="127">
        <f t="shared" si="44"/>
        <v>0</v>
      </c>
      <c r="J129" s="127">
        <f t="shared" si="44"/>
        <v>0</v>
      </c>
      <c r="K129" s="127">
        <f t="shared" si="15"/>
        <v>31</v>
      </c>
      <c r="M129" s="127">
        <f>'GS &lt; 50 OLS Model'!$B$5</f>
        <v>-2510760.1679547098</v>
      </c>
      <c r="N129" s="127">
        <f ca="1">'GS &lt; 50 OLS Model'!$B$6*D129</f>
        <v>7257.8510015739739</v>
      </c>
      <c r="O129" s="127">
        <f ca="1">'GS &lt; 50 OLS Model'!$B$7*E129</f>
        <v>3975797.3032922582</v>
      </c>
      <c r="P129" s="124">
        <f>'GS &lt; 50 OLS Model'!$B$8*F129</f>
        <v>6831950.9486065721</v>
      </c>
      <c r="Q129" s="127">
        <f>'GS &lt; 50 OLS Model'!$B$9*G129</f>
        <v>-2623059.8789961087</v>
      </c>
      <c r="R129" s="127">
        <f>'GS &lt; 50 OLS Model'!$B$10*H129</f>
        <v>0</v>
      </c>
      <c r="S129" s="127">
        <f>'GS &lt; 50 OLS Model'!$B$11*I129</f>
        <v>0</v>
      </c>
      <c r="T129" s="127">
        <f>'GS &lt; 50 OLS Model'!$B$12*J129</f>
        <v>0</v>
      </c>
      <c r="U129" s="127">
        <f>'GS &lt; 50 OLS Model'!$B$13*K129</f>
        <v>14235755.378578186</v>
      </c>
      <c r="V129" s="127">
        <f t="shared" ca="1" si="45"/>
        <v>19916941.434527773</v>
      </c>
    </row>
    <row r="130" spans="1:22">
      <c r="A130" s="128">
        <v>43709</v>
      </c>
      <c r="B130" s="127">
        <f t="shared" si="42"/>
        <v>2019</v>
      </c>
      <c r="D130" s="127">
        <f t="shared" ref="D130:E145" ca="1" si="46">D118</f>
        <v>30.410827067669118</v>
      </c>
      <c r="E130" s="127">
        <f t="shared" ca="1" si="46"/>
        <v>83.003533834586506</v>
      </c>
      <c r="F130" s="124">
        <f>F118*(1+Employment!$L$4)</f>
        <v>167.28601638466219</v>
      </c>
      <c r="G130" s="127">
        <f t="shared" si="13"/>
        <v>129</v>
      </c>
      <c r="H130" s="127">
        <f t="shared" si="44"/>
        <v>0</v>
      </c>
      <c r="I130" s="127">
        <f t="shared" si="44"/>
        <v>1</v>
      </c>
      <c r="J130" s="127">
        <f t="shared" si="44"/>
        <v>1</v>
      </c>
      <c r="K130" s="127">
        <f t="shared" si="15"/>
        <v>30</v>
      </c>
      <c r="M130" s="127">
        <f>'GS &lt; 50 OLS Model'!$B$5</f>
        <v>-2510760.1679547098</v>
      </c>
      <c r="N130" s="127">
        <f ca="1">'GS &lt; 50 OLS Model'!$B$6*D130</f>
        <v>132476.16984072464</v>
      </c>
      <c r="O130" s="127">
        <f ca="1">'GS &lt; 50 OLS Model'!$B$7*E130</f>
        <v>1970951.936108568</v>
      </c>
      <c r="P130" s="124">
        <f>'GS &lt; 50 OLS Model'!$B$8*F130</f>
        <v>6848685.6723018717</v>
      </c>
      <c r="Q130" s="127">
        <f>'GS &lt; 50 OLS Model'!$B$9*G130</f>
        <v>-2643552.534300766</v>
      </c>
      <c r="R130" s="127">
        <f>'GS &lt; 50 OLS Model'!$B$10*H130</f>
        <v>0</v>
      </c>
      <c r="S130" s="127">
        <f>'GS &lt; 50 OLS Model'!$B$11*I130</f>
        <v>697390.17362184904</v>
      </c>
      <c r="T130" s="127">
        <f>'GS &lt; 50 OLS Model'!$B$12*J130</f>
        <v>-782960.312499544</v>
      </c>
      <c r="U130" s="127">
        <f>'GS &lt; 50 OLS Model'!$B$13*K130</f>
        <v>13776537.46314018</v>
      </c>
      <c r="V130" s="127">
        <f t="shared" ca="1" si="45"/>
        <v>17488768.400258172</v>
      </c>
    </row>
    <row r="131" spans="1:22">
      <c r="A131" s="128">
        <v>43739</v>
      </c>
      <c r="B131" s="127">
        <f t="shared" si="42"/>
        <v>2019</v>
      </c>
      <c r="D131" s="127">
        <f t="shared" ca="1" si="46"/>
        <v>158.93676691729343</v>
      </c>
      <c r="E131" s="127">
        <f t="shared" ca="1" si="46"/>
        <v>16.916090225563948</v>
      </c>
      <c r="F131" s="124">
        <f>F119*(1+Employment!$L$4)</f>
        <v>168.61449421789408</v>
      </c>
      <c r="G131" s="127">
        <f t="shared" si="13"/>
        <v>130</v>
      </c>
      <c r="H131" s="127">
        <f t="shared" ref="H131:J145" si="47">H119</f>
        <v>0</v>
      </c>
      <c r="I131" s="127">
        <f t="shared" si="47"/>
        <v>0</v>
      </c>
      <c r="J131" s="127">
        <f t="shared" si="47"/>
        <v>1</v>
      </c>
      <c r="K131" s="127">
        <f t="shared" si="15"/>
        <v>31</v>
      </c>
      <c r="M131" s="127">
        <f>'GS &lt; 50 OLS Model'!$B$5</f>
        <v>-2510760.1679547098</v>
      </c>
      <c r="N131" s="127">
        <f ca="1">'GS &lt; 50 OLS Model'!$B$6*D131</f>
        <v>692363.08769963507</v>
      </c>
      <c r="O131" s="127">
        <f ca="1">'GS &lt; 50 OLS Model'!$B$7*E131</f>
        <v>401679.2929311379</v>
      </c>
      <c r="P131" s="124">
        <f>'GS &lt; 50 OLS Model'!$B$8*F131</f>
        <v>6903073.5243115993</v>
      </c>
      <c r="Q131" s="127">
        <f>'GS &lt; 50 OLS Model'!$B$9*G131</f>
        <v>-2664045.1896054228</v>
      </c>
      <c r="R131" s="127">
        <f>'GS &lt; 50 OLS Model'!$B$10*H131</f>
        <v>0</v>
      </c>
      <c r="S131" s="127">
        <f>'GS &lt; 50 OLS Model'!$B$11*I131</f>
        <v>0</v>
      </c>
      <c r="T131" s="127">
        <f>'GS &lt; 50 OLS Model'!$B$12*J131</f>
        <v>-782960.312499544</v>
      </c>
      <c r="U131" s="127">
        <f>'GS &lt; 50 OLS Model'!$B$13*K131</f>
        <v>14235755.378578186</v>
      </c>
      <c r="V131" s="127">
        <f t="shared" ca="1" si="45"/>
        <v>16275105.613460882</v>
      </c>
    </row>
    <row r="132" spans="1:22">
      <c r="A132" s="128">
        <v>43770</v>
      </c>
      <c r="B132" s="127">
        <f t="shared" si="42"/>
        <v>2019</v>
      </c>
      <c r="D132" s="127">
        <f t="shared" ca="1" si="46"/>
        <v>375.92533834586447</v>
      </c>
      <c r="E132" s="127">
        <f t="shared" ca="1" si="46"/>
        <v>8.120300751879661E-2</v>
      </c>
      <c r="F132" s="124">
        <f>F120*(1+Employment!$L$4)</f>
        <v>171.57802169202679</v>
      </c>
      <c r="G132" s="127">
        <f t="shared" si="13"/>
        <v>131</v>
      </c>
      <c r="H132" s="127">
        <f t="shared" si="47"/>
        <v>0</v>
      </c>
      <c r="I132" s="127">
        <f t="shared" si="47"/>
        <v>0</v>
      </c>
      <c r="J132" s="127">
        <f t="shared" si="47"/>
        <v>1</v>
      </c>
      <c r="K132" s="127">
        <f t="shared" si="15"/>
        <v>30</v>
      </c>
      <c r="M132" s="127">
        <f>'GS &lt; 50 OLS Model'!$B$5</f>
        <v>-2510760.1679547098</v>
      </c>
      <c r="N132" s="127">
        <f ca="1">'GS &lt; 50 OLS Model'!$B$6*D132</f>
        <v>1637612.4483337079</v>
      </c>
      <c r="O132" s="127">
        <f ca="1">'GS &lt; 50 OLS Model'!$B$7*E132</f>
        <v>1928.1977223519268</v>
      </c>
      <c r="P132" s="124">
        <f>'GS &lt; 50 OLS Model'!$B$8*F132</f>
        <v>7024400.2711025318</v>
      </c>
      <c r="Q132" s="127">
        <f>'GS &lt; 50 OLS Model'!$B$9*G132</f>
        <v>-2684537.8449100801</v>
      </c>
      <c r="R132" s="127">
        <f>'GS &lt; 50 OLS Model'!$B$10*H132</f>
        <v>0</v>
      </c>
      <c r="S132" s="127">
        <f>'GS &lt; 50 OLS Model'!$B$11*I132</f>
        <v>0</v>
      </c>
      <c r="T132" s="127">
        <f>'GS &lt; 50 OLS Model'!$B$12*J132</f>
        <v>-782960.312499544</v>
      </c>
      <c r="U132" s="127">
        <f>'GS &lt; 50 OLS Model'!$B$13*K132</f>
        <v>13776537.46314018</v>
      </c>
      <c r="V132" s="127">
        <f t="shared" ca="1" si="45"/>
        <v>16462220.054934438</v>
      </c>
    </row>
    <row r="133" spans="1:22">
      <c r="A133" s="128">
        <v>43800</v>
      </c>
      <c r="B133" s="127">
        <f t="shared" si="42"/>
        <v>2019</v>
      </c>
      <c r="D133" s="127">
        <f t="shared" ca="1" si="46"/>
        <v>548.76120300751859</v>
      </c>
      <c r="E133" s="127">
        <f t="shared" ca="1" si="46"/>
        <v>0</v>
      </c>
      <c r="F133" s="124">
        <f>F121*(1+Employment!$L$4)</f>
        <v>172.80430892270238</v>
      </c>
      <c r="G133" s="127">
        <f t="shared" si="13"/>
        <v>132</v>
      </c>
      <c r="H133" s="127">
        <f t="shared" si="47"/>
        <v>0</v>
      </c>
      <c r="I133" s="127">
        <f t="shared" si="47"/>
        <v>0</v>
      </c>
      <c r="J133" s="127">
        <f t="shared" si="47"/>
        <v>0</v>
      </c>
      <c r="K133" s="127">
        <f t="shared" si="15"/>
        <v>31</v>
      </c>
      <c r="M133" s="127">
        <f>'GS &lt; 50 OLS Model'!$B$5</f>
        <v>-2510760.1679547098</v>
      </c>
      <c r="N133" s="127">
        <f ca="1">'GS &lt; 50 OLS Model'!$B$6*D133</f>
        <v>2390523.0255612521</v>
      </c>
      <c r="O133" s="127">
        <f ca="1">'GS &lt; 50 OLS Model'!$B$7*E133</f>
        <v>0</v>
      </c>
      <c r="P133" s="124">
        <f>'GS &lt; 50 OLS Model'!$B$8*F133</f>
        <v>7074604.4421884334</v>
      </c>
      <c r="Q133" s="127">
        <f>'GS &lt; 50 OLS Model'!$B$9*G133</f>
        <v>-2705030.5002147369</v>
      </c>
      <c r="R133" s="127">
        <f>'GS &lt; 50 OLS Model'!$B$10*H133</f>
        <v>0</v>
      </c>
      <c r="S133" s="127">
        <f>'GS &lt; 50 OLS Model'!$B$11*I133</f>
        <v>0</v>
      </c>
      <c r="T133" s="127">
        <f>'GS &lt; 50 OLS Model'!$B$12*J133</f>
        <v>0</v>
      </c>
      <c r="U133" s="127">
        <f>'GS &lt; 50 OLS Model'!$B$13*K133</f>
        <v>14235755.378578186</v>
      </c>
      <c r="V133" s="127">
        <f t="shared" ca="1" si="45"/>
        <v>18485092.178158425</v>
      </c>
    </row>
    <row r="134" spans="1:22">
      <c r="A134" s="128">
        <v>43831</v>
      </c>
      <c r="B134" s="127">
        <f t="shared" si="42"/>
        <v>2020</v>
      </c>
      <c r="D134" s="127">
        <f t="shared" ca="1" si="46"/>
        <v>665.14879699248104</v>
      </c>
      <c r="E134" s="127">
        <f t="shared" ca="1" si="46"/>
        <v>0</v>
      </c>
      <c r="F134" s="124">
        <f>F122*(1+Employment!$L$5)</f>
        <v>171.19411203634326</v>
      </c>
      <c r="G134" s="127">
        <f t="shared" si="13"/>
        <v>133</v>
      </c>
      <c r="H134" s="127">
        <f t="shared" si="47"/>
        <v>0</v>
      </c>
      <c r="I134" s="127">
        <f t="shared" si="47"/>
        <v>0</v>
      </c>
      <c r="J134" s="127">
        <f t="shared" si="47"/>
        <v>0</v>
      </c>
      <c r="K134" s="127">
        <f t="shared" si="15"/>
        <v>31</v>
      </c>
      <c r="M134" s="127">
        <f>'GS &lt; 50 OLS Model'!$B$5</f>
        <v>-2510760.1679547098</v>
      </c>
      <c r="N134" s="127">
        <f ca="1">'GS &lt; 50 OLS Model'!$B$6*D134</f>
        <v>2897532.6716256719</v>
      </c>
      <c r="O134" s="127">
        <f ca="1">'GS &lt; 50 OLS Model'!$B$7*E134</f>
        <v>0</v>
      </c>
      <c r="P134" s="124">
        <f>'GS &lt; 50 OLS Model'!$B$8*F134</f>
        <v>7008683.0186079042</v>
      </c>
      <c r="Q134" s="127">
        <f>'GS &lt; 50 OLS Model'!$B$9*G134</f>
        <v>-2725523.1555193942</v>
      </c>
      <c r="R134" s="127">
        <f>'GS &lt; 50 OLS Model'!$B$10*H134</f>
        <v>0</v>
      </c>
      <c r="S134" s="127">
        <f>'GS &lt; 50 OLS Model'!$B$11*I134</f>
        <v>0</v>
      </c>
      <c r="T134" s="127">
        <f>'GS &lt; 50 OLS Model'!$B$12*J134</f>
        <v>0</v>
      </c>
      <c r="U134" s="127">
        <f>'GS &lt; 50 OLS Model'!$B$13*K134</f>
        <v>14235755.378578186</v>
      </c>
      <c r="V134" s="127">
        <f t="shared" ref="V134:V145" ca="1" si="48">SUM(M134:U134)</f>
        <v>18905687.745337658</v>
      </c>
    </row>
    <row r="135" spans="1:22">
      <c r="A135" s="128">
        <v>43862</v>
      </c>
      <c r="B135" s="127">
        <f t="shared" si="42"/>
        <v>2020</v>
      </c>
      <c r="D135" s="127">
        <f t="shared" ca="1" si="46"/>
        <v>611.17548872180487</v>
      </c>
      <c r="E135" s="127">
        <f t="shared" ca="1" si="46"/>
        <v>0</v>
      </c>
      <c r="F135" s="124">
        <f>F123*(1+Employment!$L$5)</f>
        <v>167.58024356754231</v>
      </c>
      <c r="G135" s="127">
        <f t="shared" si="13"/>
        <v>134</v>
      </c>
      <c r="H135" s="127">
        <f t="shared" si="47"/>
        <v>0</v>
      </c>
      <c r="I135" s="127">
        <f t="shared" si="47"/>
        <v>0</v>
      </c>
      <c r="J135" s="127">
        <f t="shared" si="47"/>
        <v>0</v>
      </c>
      <c r="K135" s="127">
        <f t="shared" si="15"/>
        <v>29</v>
      </c>
      <c r="M135" s="127">
        <f>'GS &lt; 50 OLS Model'!$B$5</f>
        <v>-2510760.1679547098</v>
      </c>
      <c r="N135" s="127">
        <f ca="1">'GS &lt; 50 OLS Model'!$B$6*D135</f>
        <v>2662413.2144198036</v>
      </c>
      <c r="O135" s="127">
        <f ca="1">'GS &lt; 50 OLS Model'!$B$7*E135</f>
        <v>0</v>
      </c>
      <c r="P135" s="124">
        <f>'GS &lt; 50 OLS Model'!$B$8*F135</f>
        <v>6860731.3264177497</v>
      </c>
      <c r="Q135" s="127">
        <f>'GS &lt; 50 OLS Model'!$B$9*G135</f>
        <v>-2746015.810824051</v>
      </c>
      <c r="R135" s="127">
        <f>'GS &lt; 50 OLS Model'!$B$10*H135</f>
        <v>0</v>
      </c>
      <c r="S135" s="127">
        <f>'GS &lt; 50 OLS Model'!$B$11*I135</f>
        <v>0</v>
      </c>
      <c r="T135" s="127">
        <f>'GS &lt; 50 OLS Model'!$B$12*J135</f>
        <v>0</v>
      </c>
      <c r="U135" s="127">
        <f>'GS &lt; 50 OLS Model'!$B$13*K135</f>
        <v>13317319.547702175</v>
      </c>
      <c r="V135" s="127">
        <f t="shared" ca="1" si="48"/>
        <v>17583688.109760966</v>
      </c>
    </row>
    <row r="136" spans="1:22">
      <c r="A136" s="128">
        <v>43891</v>
      </c>
      <c r="B136" s="127">
        <f t="shared" si="42"/>
        <v>2020</v>
      </c>
      <c r="D136" s="127">
        <f t="shared" ca="1" si="46"/>
        <v>458.46436090225569</v>
      </c>
      <c r="E136" s="127">
        <f t="shared" ca="1" si="46"/>
        <v>0.45218045112781802</v>
      </c>
      <c r="F136" s="124">
        <f>F124*(1+Employment!$L$5)</f>
        <v>166.13469618002193</v>
      </c>
      <c r="G136" s="127">
        <f t="shared" si="13"/>
        <v>135</v>
      </c>
      <c r="H136" s="127">
        <f t="shared" si="47"/>
        <v>1</v>
      </c>
      <c r="I136" s="127">
        <f t="shared" si="47"/>
        <v>0</v>
      </c>
      <c r="J136" s="127">
        <f t="shared" si="47"/>
        <v>1</v>
      </c>
      <c r="K136" s="127">
        <f t="shared" si="15"/>
        <v>31</v>
      </c>
      <c r="M136" s="127">
        <f>'GS &lt; 50 OLS Model'!$B$5</f>
        <v>-2510760.1679547098</v>
      </c>
      <c r="N136" s="127">
        <f ca="1">'GS &lt; 50 OLS Model'!$B$6*D136</f>
        <v>1997170.3632281933</v>
      </c>
      <c r="O136" s="127">
        <f ca="1">'GS &lt; 50 OLS Model'!$B$7*E136</f>
        <v>10737.204724281946</v>
      </c>
      <c r="P136" s="124">
        <f>'GS &lt; 50 OLS Model'!$B$8*F136</f>
        <v>6801550.6495416891</v>
      </c>
      <c r="Q136" s="127">
        <f>'GS &lt; 50 OLS Model'!$B$9*G136</f>
        <v>-2766508.4661287083</v>
      </c>
      <c r="R136" s="127">
        <f>'GS &lt; 50 OLS Model'!$B$10*H136</f>
        <v>419453.43275174301</v>
      </c>
      <c r="S136" s="127">
        <f>'GS &lt; 50 OLS Model'!$B$11*I136</f>
        <v>0</v>
      </c>
      <c r="T136" s="127">
        <f>'GS &lt; 50 OLS Model'!$B$12*J136</f>
        <v>-782960.312499544</v>
      </c>
      <c r="U136" s="127">
        <f>'GS &lt; 50 OLS Model'!$B$13*K136</f>
        <v>14235755.378578186</v>
      </c>
      <c r="V136" s="127">
        <f t="shared" ca="1" si="48"/>
        <v>17404438.082241133</v>
      </c>
    </row>
    <row r="137" spans="1:22">
      <c r="A137" s="128">
        <v>43922</v>
      </c>
      <c r="B137" s="127">
        <f t="shared" si="42"/>
        <v>2020</v>
      </c>
      <c r="D137" s="127">
        <f t="shared" ca="1" si="46"/>
        <v>254.29052631578941</v>
      </c>
      <c r="E137" s="127">
        <f t="shared" ca="1" si="46"/>
        <v>0.50947368421054762</v>
      </c>
      <c r="F137" s="124">
        <f>F125*(1+Employment!$L$5)</f>
        <v>167.16723002825077</v>
      </c>
      <c r="G137" s="127">
        <f t="shared" si="13"/>
        <v>136</v>
      </c>
      <c r="H137" s="127">
        <f t="shared" si="47"/>
        <v>0</v>
      </c>
      <c r="I137" s="127">
        <f t="shared" si="47"/>
        <v>0</v>
      </c>
      <c r="J137" s="127">
        <f t="shared" si="47"/>
        <v>1</v>
      </c>
      <c r="K137" s="127">
        <f t="shared" si="15"/>
        <v>30</v>
      </c>
      <c r="M137" s="127">
        <f>'GS &lt; 50 OLS Model'!$B$5</f>
        <v>-2510760.1679547098</v>
      </c>
      <c r="N137" s="127">
        <f ca="1">'GS &lt; 50 OLS Model'!$B$6*D137</f>
        <v>1107744.7804407841</v>
      </c>
      <c r="O137" s="127">
        <f ca="1">'GS &lt; 50 OLS Model'!$B$7*E137</f>
        <v>12097.655339497465</v>
      </c>
      <c r="P137" s="124">
        <f>'GS &lt; 50 OLS Model'!$B$8*F137</f>
        <v>6843822.5615960183</v>
      </c>
      <c r="Q137" s="127">
        <f>'GS &lt; 50 OLS Model'!$B$9*G137</f>
        <v>-2787001.1214333656</v>
      </c>
      <c r="R137" s="127">
        <f>'GS &lt; 50 OLS Model'!$B$10*H137</f>
        <v>0</v>
      </c>
      <c r="S137" s="127">
        <f>'GS &lt; 50 OLS Model'!$B$11*I137</f>
        <v>0</v>
      </c>
      <c r="T137" s="127">
        <f>'GS &lt; 50 OLS Model'!$B$12*J137</f>
        <v>-782960.312499544</v>
      </c>
      <c r="U137" s="127">
        <f>'GS &lt; 50 OLS Model'!$B$13*K137</f>
        <v>13776537.46314018</v>
      </c>
      <c r="V137" s="127">
        <f t="shared" ca="1" si="48"/>
        <v>15659480.858628862</v>
      </c>
    </row>
    <row r="138" spans="1:22">
      <c r="A138" s="128">
        <v>43952</v>
      </c>
      <c r="B138" s="127">
        <f t="shared" si="42"/>
        <v>2020</v>
      </c>
      <c r="D138" s="127">
        <f t="shared" ca="1" si="46"/>
        <v>102.64150375939857</v>
      </c>
      <c r="E138" s="127">
        <f t="shared" ca="1" si="46"/>
        <v>56.062781954887214</v>
      </c>
      <c r="F138" s="124">
        <f>F126*(1+Employment!$L$5)</f>
        <v>168.61277741577121</v>
      </c>
      <c r="G138" s="127">
        <f t="shared" si="13"/>
        <v>137</v>
      </c>
      <c r="H138" s="127">
        <f t="shared" si="47"/>
        <v>0</v>
      </c>
      <c r="I138" s="127">
        <f t="shared" si="47"/>
        <v>0</v>
      </c>
      <c r="J138" s="127">
        <f t="shared" si="47"/>
        <v>1</v>
      </c>
      <c r="K138" s="127">
        <f t="shared" si="15"/>
        <v>31</v>
      </c>
      <c r="M138" s="127">
        <f>'GS &lt; 50 OLS Model'!$B$5</f>
        <v>-2510760.1679547098</v>
      </c>
      <c r="N138" s="127">
        <f ca="1">'GS &lt; 50 OLS Model'!$B$6*D138</f>
        <v>447128.69053119334</v>
      </c>
      <c r="O138" s="127">
        <f ca="1">'GS &lt; 50 OLS Model'!$B$7*E138</f>
        <v>1331233.0636165608</v>
      </c>
      <c r="P138" s="124">
        <f>'GS &lt; 50 OLS Model'!$B$8*F138</f>
        <v>6903003.2384720817</v>
      </c>
      <c r="Q138" s="127">
        <f>'GS &lt; 50 OLS Model'!$B$9*G138</f>
        <v>-2807493.7767380225</v>
      </c>
      <c r="R138" s="127">
        <f>'GS &lt; 50 OLS Model'!$B$10*H138</f>
        <v>0</v>
      </c>
      <c r="S138" s="127">
        <f>'GS &lt; 50 OLS Model'!$B$11*I138</f>
        <v>0</v>
      </c>
      <c r="T138" s="127">
        <f>'GS &lt; 50 OLS Model'!$B$12*J138</f>
        <v>-782960.312499544</v>
      </c>
      <c r="U138" s="127">
        <f>'GS &lt; 50 OLS Model'!$B$13*K138</f>
        <v>14235755.378578186</v>
      </c>
      <c r="V138" s="127">
        <f t="shared" ca="1" si="48"/>
        <v>16815906.114005744</v>
      </c>
    </row>
    <row r="139" spans="1:22">
      <c r="A139" s="128">
        <v>43983</v>
      </c>
      <c r="B139" s="127">
        <f t="shared" si="42"/>
        <v>2020</v>
      </c>
      <c r="D139" s="127">
        <f t="shared" ca="1" si="46"/>
        <v>0.39669172932326546</v>
      </c>
      <c r="E139" s="127">
        <f t="shared" ca="1" si="46"/>
        <v>116.89315789473682</v>
      </c>
      <c r="F139" s="124">
        <f>F127*(1+Employment!$L$5)</f>
        <v>169.54205787917712</v>
      </c>
      <c r="G139" s="127">
        <f t="shared" si="13"/>
        <v>138</v>
      </c>
      <c r="H139" s="127">
        <f t="shared" si="47"/>
        <v>0</v>
      </c>
      <c r="I139" s="127">
        <f t="shared" si="47"/>
        <v>0</v>
      </c>
      <c r="J139" s="127">
        <f t="shared" si="47"/>
        <v>0</v>
      </c>
      <c r="K139" s="127">
        <f t="shared" si="15"/>
        <v>30</v>
      </c>
      <c r="M139" s="127">
        <f>'GS &lt; 50 OLS Model'!$B$5</f>
        <v>-2510760.1679547098</v>
      </c>
      <c r="N139" s="127">
        <f ca="1">'GS &lt; 50 OLS Model'!$B$6*D139</f>
        <v>1728.0753591904077</v>
      </c>
      <c r="O139" s="127">
        <f ca="1">'GS &lt; 50 OLS Model'!$B$7*E139</f>
        <v>2775674.5433225781</v>
      </c>
      <c r="P139" s="124">
        <f>'GS &lt; 50 OLS Model'!$B$8*F139</f>
        <v>6941047.9593209773</v>
      </c>
      <c r="Q139" s="127">
        <f>'GS &lt; 50 OLS Model'!$B$9*G139</f>
        <v>-2827986.4320426797</v>
      </c>
      <c r="R139" s="127">
        <f>'GS &lt; 50 OLS Model'!$B$10*H139</f>
        <v>0</v>
      </c>
      <c r="S139" s="127">
        <f>'GS &lt; 50 OLS Model'!$B$11*I139</f>
        <v>0</v>
      </c>
      <c r="T139" s="127">
        <f>'GS &lt; 50 OLS Model'!$B$12*J139</f>
        <v>0</v>
      </c>
      <c r="U139" s="127">
        <f>'GS &lt; 50 OLS Model'!$B$13*K139</f>
        <v>13776537.46314018</v>
      </c>
      <c r="V139" s="127">
        <f t="shared" ca="1" si="48"/>
        <v>18156241.441145536</v>
      </c>
    </row>
    <row r="140" spans="1:22">
      <c r="A140" s="128">
        <v>44013</v>
      </c>
      <c r="B140" s="127">
        <f t="shared" si="42"/>
        <v>2020</v>
      </c>
      <c r="D140" s="127">
        <f t="shared" ca="1" si="46"/>
        <v>0.58105263157894704</v>
      </c>
      <c r="E140" s="127">
        <f t="shared" ca="1" si="46"/>
        <v>186.96526315789481</v>
      </c>
      <c r="F140" s="124">
        <f>F128*(1+Employment!$L$5)</f>
        <v>168.9225375702398</v>
      </c>
      <c r="G140" s="127">
        <f t="shared" si="13"/>
        <v>139</v>
      </c>
      <c r="H140" s="127">
        <f t="shared" si="47"/>
        <v>0</v>
      </c>
      <c r="I140" s="127">
        <f t="shared" si="47"/>
        <v>0</v>
      </c>
      <c r="J140" s="127">
        <f t="shared" si="47"/>
        <v>0</v>
      </c>
      <c r="K140" s="127">
        <f t="shared" si="15"/>
        <v>31</v>
      </c>
      <c r="M140" s="127">
        <f>'GS &lt; 50 OLS Model'!$B$5</f>
        <v>-2510760.1679547098</v>
      </c>
      <c r="N140" s="127">
        <f ca="1">'GS &lt; 50 OLS Model'!$B$6*D140</f>
        <v>2531.1915041366383</v>
      </c>
      <c r="O140" s="127">
        <f ca="1">'GS &lt; 50 OLS Model'!$B$7*E140</f>
        <v>4439564.5628831247</v>
      </c>
      <c r="P140" s="124">
        <f>'GS &lt; 50 OLS Model'!$B$8*F140</f>
        <v>6915684.8120883787</v>
      </c>
      <c r="Q140" s="127">
        <f>'GS &lt; 50 OLS Model'!$B$9*G140</f>
        <v>-2848479.0873473366</v>
      </c>
      <c r="R140" s="127">
        <f>'GS &lt; 50 OLS Model'!$B$10*H140</f>
        <v>0</v>
      </c>
      <c r="S140" s="127">
        <f>'GS &lt; 50 OLS Model'!$B$11*I140</f>
        <v>0</v>
      </c>
      <c r="T140" s="127">
        <f>'GS &lt; 50 OLS Model'!$B$12*J140</f>
        <v>0</v>
      </c>
      <c r="U140" s="127">
        <f>'GS &lt; 50 OLS Model'!$B$13*K140</f>
        <v>14235755.378578186</v>
      </c>
      <c r="V140" s="127">
        <f t="shared" ca="1" si="48"/>
        <v>20234296.689751782</v>
      </c>
    </row>
    <row r="141" spans="1:22">
      <c r="A141" s="128">
        <v>44044</v>
      </c>
      <c r="B141" s="127">
        <f t="shared" si="42"/>
        <v>2020</v>
      </c>
      <c r="D141" s="127">
        <f t="shared" ca="1" si="46"/>
        <v>1.6660902255639058</v>
      </c>
      <c r="E141" s="127">
        <f t="shared" ca="1" si="46"/>
        <v>167.43443609022574</v>
      </c>
      <c r="F141" s="124">
        <f>F129*(1+Employment!$L$5)</f>
        <v>168.61277741577118</v>
      </c>
      <c r="G141" s="127">
        <f t="shared" si="13"/>
        <v>140</v>
      </c>
      <c r="H141" s="127">
        <f t="shared" si="47"/>
        <v>0</v>
      </c>
      <c r="I141" s="127">
        <f t="shared" si="47"/>
        <v>0</v>
      </c>
      <c r="J141" s="127">
        <f t="shared" si="47"/>
        <v>0</v>
      </c>
      <c r="K141" s="127">
        <f t="shared" si="15"/>
        <v>31</v>
      </c>
      <c r="M141" s="127">
        <f>'GS &lt; 50 OLS Model'!$B$5</f>
        <v>-2510760.1679547098</v>
      </c>
      <c r="N141" s="127">
        <f ca="1">'GS &lt; 50 OLS Model'!$B$6*D141</f>
        <v>7257.8510015739739</v>
      </c>
      <c r="O141" s="127">
        <f ca="1">'GS &lt; 50 OLS Model'!$B$7*E141</f>
        <v>3975797.3032922582</v>
      </c>
      <c r="P141" s="124">
        <f>'GS &lt; 50 OLS Model'!$B$8*F141</f>
        <v>6903003.2384720808</v>
      </c>
      <c r="Q141" s="127">
        <f>'GS &lt; 50 OLS Model'!$B$9*G141</f>
        <v>-2868971.7426519939</v>
      </c>
      <c r="R141" s="127">
        <f>'GS &lt; 50 OLS Model'!$B$10*H141</f>
        <v>0</v>
      </c>
      <c r="S141" s="127">
        <f>'GS &lt; 50 OLS Model'!$B$11*I141</f>
        <v>0</v>
      </c>
      <c r="T141" s="127">
        <f>'GS &lt; 50 OLS Model'!$B$12*J141</f>
        <v>0</v>
      </c>
      <c r="U141" s="127">
        <f>'GS &lt; 50 OLS Model'!$B$13*K141</f>
        <v>14235755.378578186</v>
      </c>
      <c r="V141" s="127">
        <f t="shared" ca="1" si="48"/>
        <v>19742081.860737398</v>
      </c>
    </row>
    <row r="142" spans="1:22">
      <c r="A142" s="128">
        <v>44075</v>
      </c>
      <c r="B142" s="127">
        <f t="shared" si="42"/>
        <v>2020</v>
      </c>
      <c r="D142" s="127">
        <f t="shared" ca="1" si="46"/>
        <v>30.410827067669118</v>
      </c>
      <c r="E142" s="127">
        <f t="shared" ca="1" si="46"/>
        <v>83.003533834586506</v>
      </c>
      <c r="F142" s="124">
        <f>F130*(1+Employment!$L$5)</f>
        <v>169.02579095506266</v>
      </c>
      <c r="G142" s="127">
        <f t="shared" si="13"/>
        <v>141</v>
      </c>
      <c r="H142" s="127">
        <f t="shared" si="47"/>
        <v>0</v>
      </c>
      <c r="I142" s="127">
        <f t="shared" si="47"/>
        <v>1</v>
      </c>
      <c r="J142" s="127">
        <f t="shared" si="47"/>
        <v>1</v>
      </c>
      <c r="K142" s="127">
        <f t="shared" si="15"/>
        <v>30</v>
      </c>
      <c r="M142" s="127">
        <f>'GS &lt; 50 OLS Model'!$B$5</f>
        <v>-2510760.1679547098</v>
      </c>
      <c r="N142" s="127">
        <f ca="1">'GS &lt; 50 OLS Model'!$B$6*D142</f>
        <v>132476.16984072464</v>
      </c>
      <c r="O142" s="127">
        <f ca="1">'GS &lt; 50 OLS Model'!$B$7*E142</f>
        <v>1970951.936108568</v>
      </c>
      <c r="P142" s="124">
        <f>'GS &lt; 50 OLS Model'!$B$8*F142</f>
        <v>6919912.0032938104</v>
      </c>
      <c r="Q142" s="127">
        <f>'GS &lt; 50 OLS Model'!$B$9*G142</f>
        <v>-2889464.3979566512</v>
      </c>
      <c r="R142" s="127">
        <f>'GS &lt; 50 OLS Model'!$B$10*H142</f>
        <v>0</v>
      </c>
      <c r="S142" s="127">
        <f>'GS &lt; 50 OLS Model'!$B$11*I142</f>
        <v>697390.17362184904</v>
      </c>
      <c r="T142" s="127">
        <f>'GS &lt; 50 OLS Model'!$B$12*J142</f>
        <v>-782960.312499544</v>
      </c>
      <c r="U142" s="127">
        <f>'GS &lt; 50 OLS Model'!$B$13*K142</f>
        <v>13776537.46314018</v>
      </c>
      <c r="V142" s="127">
        <f t="shared" ca="1" si="48"/>
        <v>17314082.867594227</v>
      </c>
    </row>
    <row r="143" spans="1:22">
      <c r="A143" s="128">
        <v>44105</v>
      </c>
      <c r="B143" s="127">
        <f t="shared" si="42"/>
        <v>2020</v>
      </c>
      <c r="D143" s="127">
        <f t="shared" ca="1" si="46"/>
        <v>158.93676691729343</v>
      </c>
      <c r="E143" s="127">
        <f t="shared" ca="1" si="46"/>
        <v>16.916090225563948</v>
      </c>
      <c r="F143" s="124">
        <f>F131*(1+Employment!$L$5)</f>
        <v>170.36808495776017</v>
      </c>
      <c r="G143" s="127">
        <f t="shared" si="13"/>
        <v>142</v>
      </c>
      <c r="H143" s="127">
        <f t="shared" si="47"/>
        <v>0</v>
      </c>
      <c r="I143" s="127">
        <f t="shared" si="47"/>
        <v>0</v>
      </c>
      <c r="J143" s="127">
        <f t="shared" si="47"/>
        <v>1</v>
      </c>
      <c r="K143" s="127">
        <f t="shared" si="15"/>
        <v>31</v>
      </c>
      <c r="M143" s="127">
        <f>'GS &lt; 50 OLS Model'!$B$5</f>
        <v>-2510760.1679547098</v>
      </c>
      <c r="N143" s="127">
        <f ca="1">'GS &lt; 50 OLS Model'!$B$6*D143</f>
        <v>692363.08769963507</v>
      </c>
      <c r="O143" s="127">
        <f ca="1">'GS &lt; 50 OLS Model'!$B$7*E143</f>
        <v>401679.2929311379</v>
      </c>
      <c r="P143" s="124">
        <f>'GS &lt; 50 OLS Model'!$B$8*F143</f>
        <v>6974865.4889644394</v>
      </c>
      <c r="Q143" s="127">
        <f>'GS &lt; 50 OLS Model'!$B$9*G143</f>
        <v>-2909957.053261308</v>
      </c>
      <c r="R143" s="127">
        <f>'GS &lt; 50 OLS Model'!$B$10*H143</f>
        <v>0</v>
      </c>
      <c r="S143" s="127">
        <f>'GS &lt; 50 OLS Model'!$B$11*I143</f>
        <v>0</v>
      </c>
      <c r="T143" s="127">
        <f>'GS &lt; 50 OLS Model'!$B$12*J143</f>
        <v>-782960.312499544</v>
      </c>
      <c r="U143" s="127">
        <f>'GS &lt; 50 OLS Model'!$B$13*K143</f>
        <v>14235755.378578186</v>
      </c>
      <c r="V143" s="127">
        <f t="shared" ca="1" si="48"/>
        <v>16100985.714457836</v>
      </c>
    </row>
    <row r="144" spans="1:22">
      <c r="A144" s="128">
        <v>44136</v>
      </c>
      <c r="B144" s="127">
        <f t="shared" si="42"/>
        <v>2020</v>
      </c>
      <c r="D144" s="127">
        <f t="shared" ca="1" si="46"/>
        <v>375.92533834586447</v>
      </c>
      <c r="E144" s="127">
        <f t="shared" ca="1" si="46"/>
        <v>8.120300751879661E-2</v>
      </c>
      <c r="F144" s="124">
        <f>F132*(1+Employment!$L$5)</f>
        <v>173.36243311762388</v>
      </c>
      <c r="G144" s="127">
        <f t="shared" si="13"/>
        <v>143</v>
      </c>
      <c r="H144" s="127">
        <f t="shared" si="47"/>
        <v>0</v>
      </c>
      <c r="I144" s="127">
        <f t="shared" si="47"/>
        <v>0</v>
      </c>
      <c r="J144" s="127">
        <f t="shared" si="47"/>
        <v>1</v>
      </c>
      <c r="K144" s="127">
        <f t="shared" si="15"/>
        <v>30</v>
      </c>
      <c r="M144" s="127">
        <f>'GS &lt; 50 OLS Model'!$B$5</f>
        <v>-2510760.1679547098</v>
      </c>
      <c r="N144" s="127">
        <f ca="1">'GS &lt; 50 OLS Model'!$B$6*D144</f>
        <v>1637612.4483337079</v>
      </c>
      <c r="O144" s="127">
        <f ca="1">'GS &lt; 50 OLS Model'!$B$7*E144</f>
        <v>1928.1977223519268</v>
      </c>
      <c r="P144" s="124">
        <f>'GS &lt; 50 OLS Model'!$B$8*F144</f>
        <v>7097454.033921998</v>
      </c>
      <c r="Q144" s="127">
        <f>'GS &lt; 50 OLS Model'!$B$9*G144</f>
        <v>-2930449.7085659653</v>
      </c>
      <c r="R144" s="127">
        <f>'GS &lt; 50 OLS Model'!$B$10*H144</f>
        <v>0</v>
      </c>
      <c r="S144" s="127">
        <f>'GS &lt; 50 OLS Model'!$B$11*I144</f>
        <v>0</v>
      </c>
      <c r="T144" s="127">
        <f>'GS &lt; 50 OLS Model'!$B$12*J144</f>
        <v>-782960.312499544</v>
      </c>
      <c r="U144" s="127">
        <f>'GS &lt; 50 OLS Model'!$B$13*K144</f>
        <v>13776537.46314018</v>
      </c>
      <c r="V144" s="127">
        <f t="shared" ca="1" si="48"/>
        <v>16289361.95409802</v>
      </c>
    </row>
    <row r="145" spans="1:22">
      <c r="A145" s="128">
        <v>44166</v>
      </c>
      <c r="B145" s="127">
        <f t="shared" si="42"/>
        <v>2020</v>
      </c>
      <c r="D145" s="127">
        <f t="shared" ca="1" si="46"/>
        <v>548.76120300751859</v>
      </c>
      <c r="E145" s="127">
        <f t="shared" ca="1" si="46"/>
        <v>0</v>
      </c>
      <c r="F145" s="124">
        <f>F133*(1+Employment!$L$5)</f>
        <v>174.60147373549847</v>
      </c>
      <c r="G145" s="127">
        <f t="shared" si="13"/>
        <v>144</v>
      </c>
      <c r="H145" s="127">
        <f t="shared" si="47"/>
        <v>0</v>
      </c>
      <c r="I145" s="127">
        <f t="shared" si="47"/>
        <v>0</v>
      </c>
      <c r="J145" s="127">
        <f t="shared" si="47"/>
        <v>0</v>
      </c>
      <c r="K145" s="127">
        <f t="shared" si="15"/>
        <v>31</v>
      </c>
      <c r="M145" s="127">
        <f>'GS &lt; 50 OLS Model'!$B$5</f>
        <v>-2510760.1679547098</v>
      </c>
      <c r="N145" s="127">
        <f ca="1">'GS &lt; 50 OLS Model'!$B$6*D145</f>
        <v>2390523.0255612521</v>
      </c>
      <c r="O145" s="127">
        <f ca="1">'GS &lt; 50 OLS Model'!$B$7*E145</f>
        <v>0</v>
      </c>
      <c r="P145" s="124">
        <f>'GS &lt; 50 OLS Model'!$B$8*F145</f>
        <v>7148180.3283871934</v>
      </c>
      <c r="Q145" s="127">
        <f>'GS &lt; 50 OLS Model'!$B$9*G145</f>
        <v>-2950942.3638706221</v>
      </c>
      <c r="R145" s="127">
        <f>'GS &lt; 50 OLS Model'!$B$10*H145</f>
        <v>0</v>
      </c>
      <c r="S145" s="127">
        <f>'GS &lt; 50 OLS Model'!$B$11*I145</f>
        <v>0</v>
      </c>
      <c r="T145" s="127">
        <f>'GS &lt; 50 OLS Model'!$B$12*J145</f>
        <v>0</v>
      </c>
      <c r="U145" s="127">
        <f>'GS &lt; 50 OLS Model'!$B$13*K145</f>
        <v>14235755.378578186</v>
      </c>
      <c r="V145" s="127">
        <f t="shared" ca="1" si="48"/>
        <v>18312756.2007013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CEE3F-5B5D-4CF7-87A4-13A192CAEFF5}">
  <dimension ref="A1:AB145"/>
  <sheetViews>
    <sheetView topLeftCell="O127" workbookViewId="0">
      <selection activeCell="AB35" sqref="AB35"/>
    </sheetView>
  </sheetViews>
  <sheetFormatPr defaultRowHeight="12.75"/>
  <cols>
    <col min="1" max="1" width="10.33203125" style="127" bestFit="1" customWidth="1"/>
    <col min="2" max="2" width="5" style="127" bestFit="1" customWidth="1"/>
    <col min="3" max="3" width="18.6640625" style="127" bestFit="1" customWidth="1"/>
    <col min="4" max="4" width="6.6640625" style="127" customWidth="1"/>
    <col min="5" max="5" width="6" style="127" bestFit="1" customWidth="1"/>
    <col min="6" max="6" width="9" style="127" bestFit="1" customWidth="1"/>
    <col min="7" max="7" width="3.83203125" style="127" bestFit="1" customWidth="1"/>
    <col min="8" max="8" width="10.1640625" style="127" bestFit="1" customWidth="1"/>
    <col min="9" max="9" width="4.33203125" style="127" bestFit="1" customWidth="1"/>
    <col min="10" max="10" width="5.33203125" style="127" bestFit="1" customWidth="1"/>
    <col min="11" max="15" width="9.33203125" style="127"/>
    <col min="16" max="16" width="12.6640625" style="127" bestFit="1" customWidth="1"/>
    <col min="17" max="18" width="12" style="127" bestFit="1" customWidth="1"/>
    <col min="19" max="20" width="12.6640625" style="127" bestFit="1" customWidth="1"/>
    <col min="21" max="22" width="12" style="127" bestFit="1" customWidth="1"/>
    <col min="23" max="23" width="12.6640625" style="127" bestFit="1" customWidth="1"/>
    <col min="24" max="27" width="12.6640625" style="127" customWidth="1"/>
    <col min="28" max="28" width="12" style="127" bestFit="1" customWidth="1"/>
    <col min="29" max="16384" width="9.33203125" style="127"/>
  </cols>
  <sheetData>
    <row r="1" spans="1:28">
      <c r="A1" s="127" t="s">
        <v>123</v>
      </c>
      <c r="B1" s="127" t="s">
        <v>124</v>
      </c>
      <c r="C1" s="127" t="str">
        <f>'Monthly Data'!O1</f>
        <v>GS_gt_50_NO_CDM</v>
      </c>
      <c r="D1" s="127" t="str">
        <f>'Monthly Data'!BH1</f>
        <v>HDD</v>
      </c>
      <c r="E1" s="127" t="str">
        <f>'Monthly Data'!BI1</f>
        <v>CDD</v>
      </c>
      <c r="F1" s="127" t="str">
        <f>'Monthly Data'!BL1</f>
        <v>Ont_GDP</v>
      </c>
      <c r="G1" s="127" t="str">
        <f>'Monthly Data'!BM1</f>
        <v>Trend</v>
      </c>
      <c r="H1" s="127" t="str">
        <f>'Monthly Data'!BQ1</f>
        <v>Apr</v>
      </c>
      <c r="I1" s="127" t="str">
        <f>'Monthly Data'!BS1</f>
        <v>Jun</v>
      </c>
      <c r="J1" s="127" t="str">
        <f>'Monthly Data'!BU1</f>
        <v>Aug</v>
      </c>
      <c r="K1" s="127" t="str">
        <f>'Monthly Data'!BV1</f>
        <v>Sept</v>
      </c>
      <c r="L1" s="127" t="str">
        <f>'Monthly Data'!BW1</f>
        <v>Oct</v>
      </c>
      <c r="M1" s="127" t="str">
        <f>'Monthly Data'!CC1</f>
        <v>Month Days</v>
      </c>
      <c r="N1" s="127" t="str">
        <f>'Monthly Data'!CD1</f>
        <v>Peak Days</v>
      </c>
      <c r="P1" s="127" t="s">
        <v>91</v>
      </c>
      <c r="Q1" s="127" t="str">
        <f t="shared" ref="Q1:AA1" si="0">D1</f>
        <v>HDD</v>
      </c>
      <c r="R1" s="127" t="str">
        <f t="shared" si="0"/>
        <v>CDD</v>
      </c>
      <c r="S1" s="127" t="str">
        <f t="shared" si="0"/>
        <v>Ont_GDP</v>
      </c>
      <c r="T1" s="127" t="str">
        <f t="shared" si="0"/>
        <v>Trend</v>
      </c>
      <c r="U1" s="127" t="str">
        <f t="shared" si="0"/>
        <v>Apr</v>
      </c>
      <c r="V1" s="127" t="str">
        <f t="shared" si="0"/>
        <v>Jun</v>
      </c>
      <c r="W1" s="127" t="str">
        <f t="shared" si="0"/>
        <v>Aug</v>
      </c>
      <c r="X1" s="127" t="str">
        <f t="shared" si="0"/>
        <v>Sept</v>
      </c>
      <c r="Y1" s="127" t="str">
        <f t="shared" si="0"/>
        <v>Oct</v>
      </c>
      <c r="Z1" s="127" t="str">
        <f t="shared" si="0"/>
        <v>Month Days</v>
      </c>
      <c r="AA1" s="127" t="str">
        <f t="shared" si="0"/>
        <v>Peak Days</v>
      </c>
      <c r="AB1" s="127" t="s">
        <v>125</v>
      </c>
    </row>
    <row r="2" spans="1:28">
      <c r="A2" s="128">
        <f>'Monthly Data'!A2</f>
        <v>39814</v>
      </c>
      <c r="B2" s="127">
        <f t="shared" ref="B2:B53" si="1">YEAR(A2)</f>
        <v>2009</v>
      </c>
      <c r="C2" s="127">
        <f ca="1">'Monthly Data'!O2</f>
        <v>85381791.869069844</v>
      </c>
      <c r="D2" s="144">
        <f ca="1">Weather!L69</f>
        <v>665.14879699248104</v>
      </c>
      <c r="E2" s="144">
        <f ca="1">Weather!M69</f>
        <v>0</v>
      </c>
      <c r="F2" s="127">
        <f>'Monthly Data'!BL2</f>
        <v>539388</v>
      </c>
      <c r="G2" s="127">
        <f>'Monthly Data'!BM2</f>
        <v>1</v>
      </c>
      <c r="H2" s="127">
        <f>'Monthly Data'!BQ2</f>
        <v>0</v>
      </c>
      <c r="I2" s="127">
        <f>'Monthly Data'!BS2</f>
        <v>0</v>
      </c>
      <c r="J2" s="127">
        <f>'Monthly Data'!BU2</f>
        <v>0</v>
      </c>
      <c r="K2" s="127">
        <f>'Monthly Data'!BV2</f>
        <v>0</v>
      </c>
      <c r="L2" s="127">
        <f>'Monthly Data'!BW2</f>
        <v>0</v>
      </c>
      <c r="M2" s="127">
        <f>'Monthly Data'!CC2</f>
        <v>31</v>
      </c>
      <c r="N2" s="127">
        <f>'Monthly Data'!CD2</f>
        <v>21</v>
      </c>
      <c r="P2" s="127">
        <f>'GS &gt; 50 OLS Model'!$B$5</f>
        <v>-8508488.8174217809</v>
      </c>
      <c r="Q2" s="127">
        <f ca="1">'GS &gt; 50 OLS Model'!$B$6*D2</f>
        <v>16127087.113571094</v>
      </c>
      <c r="R2" s="127">
        <f ca="1">'GS &gt; 50 OLS Model'!$B$7*E2</f>
        <v>0</v>
      </c>
      <c r="S2" s="186">
        <f>'GS &gt; 50 OLS Model'!$B$8*F2</f>
        <v>28244636.365604453</v>
      </c>
      <c r="T2" s="127">
        <v>0</v>
      </c>
      <c r="U2" s="127">
        <f>'GS &gt; 50 OLS Model'!$B$9*H2</f>
        <v>0</v>
      </c>
      <c r="V2" s="127">
        <f>'GS &gt; 50 OLS Model'!$B$10*I2</f>
        <v>0</v>
      </c>
      <c r="W2" s="127">
        <f>'GS &gt; 50 OLS Model'!$B$11*J2</f>
        <v>0</v>
      </c>
      <c r="X2" s="127">
        <f>'GS &gt; 50 OLS Model'!$B$12*K2</f>
        <v>0</v>
      </c>
      <c r="Y2" s="127">
        <v>0</v>
      </c>
      <c r="Z2" s="127">
        <f>'GS &gt; 50 OLS Model'!$B$13*M2</f>
        <v>34669572.13485463</v>
      </c>
      <c r="AA2" s="127">
        <f>'GS &gt; 50 OLS Model'!$B$14*N2</f>
        <v>13737248.956340911</v>
      </c>
      <c r="AB2" s="127">
        <f t="shared" ref="AB2:AB53" ca="1" si="2">SUM(P2:AA2)</f>
        <v>84270055.752949297</v>
      </c>
    </row>
    <row r="3" spans="1:28">
      <c r="A3" s="128">
        <f>'Monthly Data'!A3</f>
        <v>39845</v>
      </c>
      <c r="B3" s="127">
        <f t="shared" si="1"/>
        <v>2009</v>
      </c>
      <c r="C3" s="127">
        <f ca="1">'Monthly Data'!O3</f>
        <v>77417193.552256852</v>
      </c>
      <c r="D3" s="144">
        <f ca="1">Weather!L70</f>
        <v>611.17548872180487</v>
      </c>
      <c r="E3" s="144">
        <f ca="1">Weather!M70</f>
        <v>0</v>
      </c>
      <c r="F3" s="127">
        <f>'Monthly Data'!BL3</f>
        <v>539388</v>
      </c>
      <c r="G3" s="127">
        <f>'Monthly Data'!BM3</f>
        <v>2</v>
      </c>
      <c r="H3" s="127">
        <f>'Monthly Data'!BQ3</f>
        <v>0</v>
      </c>
      <c r="I3" s="127">
        <f>'Monthly Data'!BS3</f>
        <v>0</v>
      </c>
      <c r="J3" s="127">
        <f>'Monthly Data'!BU3</f>
        <v>0</v>
      </c>
      <c r="K3" s="127">
        <f>'Monthly Data'!BV3</f>
        <v>0</v>
      </c>
      <c r="L3" s="127">
        <f>'Monthly Data'!BW3</f>
        <v>0</v>
      </c>
      <c r="M3" s="127">
        <f>'Monthly Data'!CC3</f>
        <v>28</v>
      </c>
      <c r="N3" s="127">
        <f>'Monthly Data'!CD3</f>
        <v>19</v>
      </c>
      <c r="P3" s="127">
        <f>'GS &gt; 50 OLS Model'!$B$5</f>
        <v>-8508488.8174217809</v>
      </c>
      <c r="Q3" s="186">
        <f ca="1">'GS &gt; 50 OLS Model'!$B$6*D3</f>
        <v>14818459.257331191</v>
      </c>
      <c r="R3" s="186">
        <f ca="1">'GS &gt; 50 OLS Model'!$B$7*E3</f>
        <v>0</v>
      </c>
      <c r="S3" s="186">
        <f>'GS &gt; 50 OLS Model'!$B$8*F3</f>
        <v>28244636.365604453</v>
      </c>
      <c r="T3" s="186">
        <v>0</v>
      </c>
      <c r="U3" s="186">
        <f>'GS &gt; 50 OLS Model'!$B$9*H3</f>
        <v>0</v>
      </c>
      <c r="V3" s="186">
        <f>'GS &gt; 50 OLS Model'!$B$10*I3</f>
        <v>0</v>
      </c>
      <c r="W3" s="186">
        <f>'GS &gt; 50 OLS Model'!$B$11*J3</f>
        <v>0</v>
      </c>
      <c r="X3" s="186">
        <f>'GS &gt; 50 OLS Model'!$B$12*K3</f>
        <v>0</v>
      </c>
      <c r="Y3" s="186">
        <v>0</v>
      </c>
      <c r="Z3" s="186">
        <f>'GS &gt; 50 OLS Model'!$B$13*M3</f>
        <v>31314452.250836439</v>
      </c>
      <c r="AA3" s="186">
        <f>'GS &gt; 50 OLS Model'!$B$14*N3</f>
        <v>12428939.531927491</v>
      </c>
      <c r="AB3" s="127">
        <f t="shared" ca="1" si="2"/>
        <v>78297998.588277787</v>
      </c>
    </row>
    <row r="4" spans="1:28">
      <c r="A4" s="128">
        <f>'Monthly Data'!A4</f>
        <v>39873</v>
      </c>
      <c r="B4" s="127">
        <f t="shared" si="1"/>
        <v>2009</v>
      </c>
      <c r="C4" s="127">
        <f ca="1">'Monthly Data'!O4</f>
        <v>79227713.989697844</v>
      </c>
      <c r="D4" s="144">
        <f ca="1">Weather!L71</f>
        <v>458.46436090225569</v>
      </c>
      <c r="E4" s="144">
        <f ca="1">Weather!M71</f>
        <v>0.45218045112781802</v>
      </c>
      <c r="F4" s="127">
        <f>'Monthly Data'!BL4</f>
        <v>539388</v>
      </c>
      <c r="G4" s="127">
        <f>'Monthly Data'!BM4</f>
        <v>3</v>
      </c>
      <c r="H4" s="127">
        <f>'Monthly Data'!BQ4</f>
        <v>0</v>
      </c>
      <c r="I4" s="127">
        <f>'Monthly Data'!BS4</f>
        <v>0</v>
      </c>
      <c r="J4" s="127">
        <f>'Monthly Data'!BU4</f>
        <v>0</v>
      </c>
      <c r="K4" s="127">
        <f>'Monthly Data'!BV4</f>
        <v>0</v>
      </c>
      <c r="L4" s="127">
        <f>'Monthly Data'!BW4</f>
        <v>0</v>
      </c>
      <c r="M4" s="127">
        <f>'Monthly Data'!CC4</f>
        <v>31</v>
      </c>
      <c r="N4" s="127">
        <f>'Monthly Data'!CD4</f>
        <v>22</v>
      </c>
      <c r="P4" s="127">
        <f>'GS &gt; 50 OLS Model'!$B$5</f>
        <v>-8508488.8174217809</v>
      </c>
      <c r="Q4" s="186">
        <f ca="1">'GS &gt; 50 OLS Model'!$B$6*D4</f>
        <v>11115850.64901193</v>
      </c>
      <c r="R4" s="186">
        <f ca="1">'GS &gt; 50 OLS Model'!$B$7*E4</f>
        <v>32280.080351483153</v>
      </c>
      <c r="S4" s="186">
        <f>'GS &gt; 50 OLS Model'!$B$8*F4</f>
        <v>28244636.365604453</v>
      </c>
      <c r="T4" s="186">
        <v>0</v>
      </c>
      <c r="U4" s="186">
        <f>'GS &gt; 50 OLS Model'!$B$9*H4</f>
        <v>0</v>
      </c>
      <c r="V4" s="186">
        <f>'GS &gt; 50 OLS Model'!$B$10*I4</f>
        <v>0</v>
      </c>
      <c r="W4" s="186">
        <f>'GS &gt; 50 OLS Model'!$B$11*J4</f>
        <v>0</v>
      </c>
      <c r="X4" s="186">
        <f>'GS &gt; 50 OLS Model'!$B$12*K4</f>
        <v>0</v>
      </c>
      <c r="Y4" s="186">
        <v>0</v>
      </c>
      <c r="Z4" s="186">
        <f>'GS &gt; 50 OLS Model'!$B$13*M4</f>
        <v>34669572.13485463</v>
      </c>
      <c r="AA4" s="186">
        <f>'GS &gt; 50 OLS Model'!$B$14*N4</f>
        <v>14391403.668547621</v>
      </c>
      <c r="AB4" s="127">
        <f t="shared" ca="1" si="2"/>
        <v>79945254.080948338</v>
      </c>
    </row>
    <row r="5" spans="1:28">
      <c r="A5" s="128">
        <f>'Monthly Data'!A5</f>
        <v>39904</v>
      </c>
      <c r="B5" s="127">
        <f t="shared" si="1"/>
        <v>2009</v>
      </c>
      <c r="C5" s="127">
        <f ca="1">'Monthly Data'!O5</f>
        <v>71027811.664813846</v>
      </c>
      <c r="D5" s="144">
        <f ca="1">Weather!L72</f>
        <v>254.29052631578941</v>
      </c>
      <c r="E5" s="144">
        <f ca="1">Weather!M72</f>
        <v>0.50947368421054762</v>
      </c>
      <c r="F5" s="127">
        <f>'Monthly Data'!BL5</f>
        <v>539388</v>
      </c>
      <c r="G5" s="127">
        <f>'Monthly Data'!BM5</f>
        <v>4</v>
      </c>
      <c r="H5" s="127">
        <f>'Monthly Data'!BQ5</f>
        <v>1</v>
      </c>
      <c r="I5" s="127">
        <f>'Monthly Data'!BS5</f>
        <v>0</v>
      </c>
      <c r="J5" s="127">
        <f>'Monthly Data'!BU5</f>
        <v>0</v>
      </c>
      <c r="K5" s="127">
        <f>'Monthly Data'!BV5</f>
        <v>0</v>
      </c>
      <c r="L5" s="127">
        <f>'Monthly Data'!BW5</f>
        <v>0</v>
      </c>
      <c r="M5" s="127">
        <f>'Monthly Data'!CC5</f>
        <v>30</v>
      </c>
      <c r="N5" s="127">
        <f>'Monthly Data'!CD5</f>
        <v>20</v>
      </c>
      <c r="P5" s="127">
        <f>'GS &gt; 50 OLS Model'!$B$5</f>
        <v>-8508488.8174217809</v>
      </c>
      <c r="Q5" s="186">
        <f ca="1">'GS &gt; 50 OLS Model'!$B$6*D5</f>
        <v>6165485.8109845407</v>
      </c>
      <c r="R5" s="186">
        <f ca="1">'GS &gt; 50 OLS Model'!$B$7*E5</f>
        <v>36370.107160236068</v>
      </c>
      <c r="S5" s="186">
        <f>'GS &gt; 50 OLS Model'!$B$8*F5</f>
        <v>28244636.365604453</v>
      </c>
      <c r="T5" s="186">
        <v>0</v>
      </c>
      <c r="U5" s="186">
        <f>'GS &gt; 50 OLS Model'!$B$9*H5</f>
        <v>-1670359.8066300801</v>
      </c>
      <c r="V5" s="186">
        <f>'GS &gt; 50 OLS Model'!$B$10*I5</f>
        <v>0</v>
      </c>
      <c r="W5" s="186">
        <f>'GS &gt; 50 OLS Model'!$B$11*J5</f>
        <v>0</v>
      </c>
      <c r="X5" s="186">
        <f>'GS &gt; 50 OLS Model'!$B$12*K5</f>
        <v>0</v>
      </c>
      <c r="Y5" s="186">
        <v>0</v>
      </c>
      <c r="Z5" s="186">
        <f>'GS &gt; 50 OLS Model'!$B$13*M5</f>
        <v>33551198.840181898</v>
      </c>
      <c r="AA5" s="186">
        <f>'GS &gt; 50 OLS Model'!$B$14*N5</f>
        <v>13083094.244134201</v>
      </c>
      <c r="AB5" s="127">
        <f t="shared" ca="1" si="2"/>
        <v>70901936.744013473</v>
      </c>
    </row>
    <row r="6" spans="1:28">
      <c r="A6" s="128">
        <f>'Monthly Data'!A6</f>
        <v>39934</v>
      </c>
      <c r="B6" s="127">
        <f t="shared" si="1"/>
        <v>2009</v>
      </c>
      <c r="C6" s="127">
        <f ca="1">'Monthly Data'!O6</f>
        <v>68182291.644476846</v>
      </c>
      <c r="D6" s="144">
        <f ca="1">Weather!L73</f>
        <v>102.64150375939857</v>
      </c>
      <c r="E6" s="144">
        <f ca="1">Weather!M73</f>
        <v>56.062781954887214</v>
      </c>
      <c r="F6" s="127">
        <f>'Monthly Data'!BL6</f>
        <v>539388</v>
      </c>
      <c r="G6" s="127">
        <f>'Monthly Data'!BM6</f>
        <v>5</v>
      </c>
      <c r="H6" s="127">
        <f>'Monthly Data'!BQ6</f>
        <v>0</v>
      </c>
      <c r="I6" s="127">
        <f>'Monthly Data'!BS6</f>
        <v>0</v>
      </c>
      <c r="J6" s="127">
        <f>'Monthly Data'!BU6</f>
        <v>0</v>
      </c>
      <c r="K6" s="127">
        <f>'Monthly Data'!BV6</f>
        <v>0</v>
      </c>
      <c r="L6" s="127">
        <f>'Monthly Data'!BW6</f>
        <v>0</v>
      </c>
      <c r="M6" s="127">
        <f>'Monthly Data'!CC6</f>
        <v>31</v>
      </c>
      <c r="N6" s="127">
        <f>'Monthly Data'!CD6</f>
        <v>20</v>
      </c>
      <c r="P6" s="127">
        <f>'GS &gt; 50 OLS Model'!$B$5</f>
        <v>-8508488.8174217809</v>
      </c>
      <c r="Q6" s="186">
        <f ca="1">'GS &gt; 50 OLS Model'!$B$6*D6</f>
        <v>2488628.8302412247</v>
      </c>
      <c r="R6" s="186">
        <f ca="1">'GS &gt; 50 OLS Model'!$B$7*E6</f>
        <v>4002187.8471696409</v>
      </c>
      <c r="S6" s="186">
        <f>'GS &gt; 50 OLS Model'!$B$8*F6</f>
        <v>28244636.365604453</v>
      </c>
      <c r="T6" s="186">
        <v>0</v>
      </c>
      <c r="U6" s="186">
        <f>'GS &gt; 50 OLS Model'!$B$9*H6</f>
        <v>0</v>
      </c>
      <c r="V6" s="186">
        <f>'GS &gt; 50 OLS Model'!$B$10*I6</f>
        <v>0</v>
      </c>
      <c r="W6" s="186">
        <f>'GS &gt; 50 OLS Model'!$B$11*J6</f>
        <v>0</v>
      </c>
      <c r="X6" s="186">
        <f>'GS &gt; 50 OLS Model'!$B$12*K6</f>
        <v>0</v>
      </c>
      <c r="Y6" s="186">
        <v>0</v>
      </c>
      <c r="Z6" s="186">
        <f>'GS &gt; 50 OLS Model'!$B$13*M6</f>
        <v>34669572.13485463</v>
      </c>
      <c r="AA6" s="186">
        <f>'GS &gt; 50 OLS Model'!$B$14*N6</f>
        <v>13083094.244134201</v>
      </c>
      <c r="AB6" s="127">
        <f t="shared" ca="1" si="2"/>
        <v>73979630.604582369</v>
      </c>
    </row>
    <row r="7" spans="1:28">
      <c r="A7" s="128">
        <f>'Monthly Data'!A7</f>
        <v>39965</v>
      </c>
      <c r="B7" s="127">
        <f t="shared" si="1"/>
        <v>2009</v>
      </c>
      <c r="C7" s="127">
        <f ca="1">'Monthly Data'!O7</f>
        <v>70571023.231205851</v>
      </c>
      <c r="D7" s="144">
        <f ca="1">Weather!L74</f>
        <v>0.39669172932326546</v>
      </c>
      <c r="E7" s="144">
        <f ca="1">Weather!M74</f>
        <v>116.89315789473682</v>
      </c>
      <c r="F7" s="127">
        <f>'Monthly Data'!BL7</f>
        <v>539388</v>
      </c>
      <c r="G7" s="127">
        <f>'Monthly Data'!BM7</f>
        <v>6</v>
      </c>
      <c r="H7" s="127">
        <f>'Monthly Data'!BQ7</f>
        <v>0</v>
      </c>
      <c r="I7" s="127">
        <f>'Monthly Data'!BS7</f>
        <v>1</v>
      </c>
      <c r="J7" s="127">
        <f>'Monthly Data'!BU7</f>
        <v>0</v>
      </c>
      <c r="K7" s="127">
        <f>'Monthly Data'!BV7</f>
        <v>0</v>
      </c>
      <c r="L7" s="127">
        <f>'Monthly Data'!BW7</f>
        <v>0</v>
      </c>
      <c r="M7" s="127">
        <f>'Monthly Data'!CC7</f>
        <v>30</v>
      </c>
      <c r="N7" s="127">
        <f>'Monthly Data'!CD7</f>
        <v>22</v>
      </c>
      <c r="P7" s="127">
        <f>'GS &gt; 50 OLS Model'!$B$5</f>
        <v>-8508488.8174217809</v>
      </c>
      <c r="Q7" s="186">
        <f ca="1">'GS &gt; 50 OLS Model'!$B$6*D7</f>
        <v>9618.1216969137586</v>
      </c>
      <c r="R7" s="186">
        <f ca="1">'GS &gt; 50 OLS Model'!$B$7*E7</f>
        <v>8344722.8202134408</v>
      </c>
      <c r="S7" s="186">
        <f>'GS &gt; 50 OLS Model'!$B$8*F7</f>
        <v>28244636.365604453</v>
      </c>
      <c r="T7" s="186">
        <v>0</v>
      </c>
      <c r="U7" s="186">
        <f>'GS &gt; 50 OLS Model'!$B$9*H7</f>
        <v>0</v>
      </c>
      <c r="V7" s="186">
        <f>'GS &gt; 50 OLS Model'!$B$10*I7</f>
        <v>1244451.2383117899</v>
      </c>
      <c r="W7" s="186">
        <f>'GS &gt; 50 OLS Model'!$B$11*J7</f>
        <v>0</v>
      </c>
      <c r="X7" s="186">
        <f>'GS &gt; 50 OLS Model'!$B$12*K7</f>
        <v>0</v>
      </c>
      <c r="Y7" s="186">
        <v>0</v>
      </c>
      <c r="Z7" s="186">
        <f>'GS &gt; 50 OLS Model'!$B$13*M7</f>
        <v>33551198.840181898</v>
      </c>
      <c r="AA7" s="186">
        <f>'GS &gt; 50 OLS Model'!$B$14*N7</f>
        <v>14391403.668547621</v>
      </c>
      <c r="AB7" s="127">
        <f t="shared" ca="1" si="2"/>
        <v>77277542.237134337</v>
      </c>
    </row>
    <row r="8" spans="1:28">
      <c r="A8" s="128">
        <f>'Monthly Data'!A8</f>
        <v>39995</v>
      </c>
      <c r="B8" s="127">
        <f t="shared" si="1"/>
        <v>2009</v>
      </c>
      <c r="C8" s="127">
        <f ca="1">'Monthly Data'!O8</f>
        <v>74557299.569310844</v>
      </c>
      <c r="D8" s="144">
        <f ca="1">Weather!L75</f>
        <v>0.58105263157894704</v>
      </c>
      <c r="E8" s="144">
        <f ca="1">Weather!M75</f>
        <v>186.96526315789481</v>
      </c>
      <c r="F8" s="127">
        <f>'Monthly Data'!BL8</f>
        <v>539388</v>
      </c>
      <c r="G8" s="127">
        <f>'Monthly Data'!BM8</f>
        <v>7</v>
      </c>
      <c r="H8" s="127">
        <f>'Monthly Data'!BQ8</f>
        <v>0</v>
      </c>
      <c r="I8" s="127">
        <f>'Monthly Data'!BS8</f>
        <v>0</v>
      </c>
      <c r="J8" s="127">
        <f>'Monthly Data'!BU8</f>
        <v>0</v>
      </c>
      <c r="K8" s="127">
        <f>'Monthly Data'!BV8</f>
        <v>0</v>
      </c>
      <c r="L8" s="127">
        <f>'Monthly Data'!BW8</f>
        <v>0</v>
      </c>
      <c r="M8" s="127">
        <f>'Monthly Data'!CC8</f>
        <v>31</v>
      </c>
      <c r="N8" s="127">
        <f>'Monthly Data'!CD8</f>
        <v>22</v>
      </c>
      <c r="P8" s="127">
        <f>'GS &gt; 50 OLS Model'!$B$5</f>
        <v>-8508488.8174217809</v>
      </c>
      <c r="Q8" s="186">
        <f ca="1">'GS &gt; 50 OLS Model'!$B$6*D8</f>
        <v>14088.105472660634</v>
      </c>
      <c r="R8" s="186">
        <f ca="1">'GS &gt; 50 OLS Model'!$B$7*E8</f>
        <v>13347002.734461535</v>
      </c>
      <c r="S8" s="186">
        <f>'GS &gt; 50 OLS Model'!$B$8*F8</f>
        <v>28244636.365604453</v>
      </c>
      <c r="T8" s="186">
        <v>0</v>
      </c>
      <c r="U8" s="186">
        <f>'GS &gt; 50 OLS Model'!$B$9*H8</f>
        <v>0</v>
      </c>
      <c r="V8" s="186">
        <f>'GS &gt; 50 OLS Model'!$B$10*I8</f>
        <v>0</v>
      </c>
      <c r="W8" s="186">
        <f>'GS &gt; 50 OLS Model'!$B$11*J8</f>
        <v>0</v>
      </c>
      <c r="X8" s="186">
        <f>'GS &gt; 50 OLS Model'!$B$12*K8</f>
        <v>0</v>
      </c>
      <c r="Y8" s="186">
        <v>0</v>
      </c>
      <c r="Z8" s="186">
        <f>'GS &gt; 50 OLS Model'!$B$13*M8</f>
        <v>34669572.13485463</v>
      </c>
      <c r="AA8" s="186">
        <f>'GS &gt; 50 OLS Model'!$B$14*N8</f>
        <v>14391403.668547621</v>
      </c>
      <c r="AB8" s="127">
        <f t="shared" ca="1" si="2"/>
        <v>82158214.191519111</v>
      </c>
    </row>
    <row r="9" spans="1:28">
      <c r="A9" s="128">
        <f>'Monthly Data'!A9</f>
        <v>40026</v>
      </c>
      <c r="B9" s="127">
        <f t="shared" si="1"/>
        <v>2009</v>
      </c>
      <c r="C9" s="127">
        <f ca="1">'Monthly Data'!O9</f>
        <v>79205277.562828839</v>
      </c>
      <c r="D9" s="144">
        <f ca="1">Weather!L76</f>
        <v>1.6660902255639058</v>
      </c>
      <c r="E9" s="144">
        <f ca="1">Weather!M76</f>
        <v>167.43443609022574</v>
      </c>
      <c r="F9" s="127">
        <f>'Monthly Data'!BL9</f>
        <v>539388</v>
      </c>
      <c r="G9" s="127">
        <f>'Monthly Data'!BM9</f>
        <v>8</v>
      </c>
      <c r="H9" s="127">
        <f>'Monthly Data'!BQ9</f>
        <v>0</v>
      </c>
      <c r="I9" s="127">
        <f>'Monthly Data'!BS9</f>
        <v>0</v>
      </c>
      <c r="J9" s="127">
        <f>'Monthly Data'!BU9</f>
        <v>1</v>
      </c>
      <c r="K9" s="127">
        <f>'Monthly Data'!BV9</f>
        <v>0</v>
      </c>
      <c r="L9" s="127">
        <f>'Monthly Data'!BW9</f>
        <v>0</v>
      </c>
      <c r="M9" s="127">
        <f>'Monthly Data'!CC9</f>
        <v>31</v>
      </c>
      <c r="N9" s="127">
        <f>'Monthly Data'!CD9</f>
        <v>20</v>
      </c>
      <c r="P9" s="127">
        <f>'GS &gt; 50 OLS Model'!$B$5</f>
        <v>-8508488.8174217809</v>
      </c>
      <c r="Q9" s="186">
        <f ca="1">'GS &gt; 50 OLS Model'!$B$6*D9</f>
        <v>40395.746528039141</v>
      </c>
      <c r="R9" s="186">
        <f ca="1">'GS &gt; 50 OLS Model'!$B$7*E9</f>
        <v>11952743.72679588</v>
      </c>
      <c r="S9" s="186">
        <f>'GS &gt; 50 OLS Model'!$B$8*F9</f>
        <v>28244636.365604453</v>
      </c>
      <c r="T9" s="186">
        <v>0</v>
      </c>
      <c r="U9" s="186">
        <f>'GS &gt; 50 OLS Model'!$B$9*H9</f>
        <v>0</v>
      </c>
      <c r="V9" s="186">
        <f>'GS &gt; 50 OLS Model'!$B$10*I9</f>
        <v>0</v>
      </c>
      <c r="W9" s="186">
        <f>'GS &gt; 50 OLS Model'!$B$11*J9</f>
        <v>2505717.0713192602</v>
      </c>
      <c r="X9" s="186">
        <f>'GS &gt; 50 OLS Model'!$B$12*K9</f>
        <v>0</v>
      </c>
      <c r="Y9" s="186">
        <v>0</v>
      </c>
      <c r="Z9" s="186">
        <f>'GS &gt; 50 OLS Model'!$B$13*M9</f>
        <v>34669572.13485463</v>
      </c>
      <c r="AA9" s="186">
        <f>'GS &gt; 50 OLS Model'!$B$14*N9</f>
        <v>13083094.244134201</v>
      </c>
      <c r="AB9" s="127">
        <f t="shared" ca="1" si="2"/>
        <v>81987670.471814677</v>
      </c>
    </row>
    <row r="10" spans="1:28">
      <c r="A10" s="128">
        <f>'Monthly Data'!A10</f>
        <v>40057</v>
      </c>
      <c r="B10" s="127">
        <f t="shared" si="1"/>
        <v>2009</v>
      </c>
      <c r="C10" s="127">
        <f ca="1">'Monthly Data'!O10</f>
        <v>75059365.060484841</v>
      </c>
      <c r="D10" s="144">
        <f ca="1">Weather!L77</f>
        <v>30.410827067669118</v>
      </c>
      <c r="E10" s="144">
        <f ca="1">Weather!M77</f>
        <v>83.003533834586506</v>
      </c>
      <c r="F10" s="127">
        <f>'Monthly Data'!BL10</f>
        <v>539388</v>
      </c>
      <c r="G10" s="127">
        <f>'Monthly Data'!BM10</f>
        <v>9</v>
      </c>
      <c r="H10" s="127">
        <f>'Monthly Data'!BQ10</f>
        <v>0</v>
      </c>
      <c r="I10" s="127">
        <f>'Monthly Data'!BS10</f>
        <v>0</v>
      </c>
      <c r="J10" s="127">
        <f>'Monthly Data'!BU10</f>
        <v>0</v>
      </c>
      <c r="K10" s="127">
        <f>'Monthly Data'!BV10</f>
        <v>1</v>
      </c>
      <c r="L10" s="127">
        <f>'Monthly Data'!BW10</f>
        <v>0</v>
      </c>
      <c r="M10" s="127">
        <f>'Monthly Data'!CC10</f>
        <v>30</v>
      </c>
      <c r="N10" s="127">
        <f>'Monthly Data'!CD10</f>
        <v>21</v>
      </c>
      <c r="P10" s="127">
        <f>'GS &gt; 50 OLS Model'!$B$5</f>
        <v>-8508488.8174217809</v>
      </c>
      <c r="Q10" s="186">
        <f ca="1">'GS &gt; 50 OLS Model'!$B$6*D10</f>
        <v>737335.85557637212</v>
      </c>
      <c r="R10" s="186">
        <f ca="1">'GS &gt; 50 OLS Model'!$B$7*E10</f>
        <v>5925423.6554338057</v>
      </c>
      <c r="S10" s="186">
        <f>'GS &gt; 50 OLS Model'!$B$8*F10</f>
        <v>28244636.365604453</v>
      </c>
      <c r="T10" s="186">
        <v>0</v>
      </c>
      <c r="U10" s="186">
        <f>'GS &gt; 50 OLS Model'!$B$9*H10</f>
        <v>0</v>
      </c>
      <c r="V10" s="186">
        <f>'GS &gt; 50 OLS Model'!$B$10*I10</f>
        <v>0</v>
      </c>
      <c r="W10" s="186">
        <f>'GS &gt; 50 OLS Model'!$B$11*J10</f>
        <v>0</v>
      </c>
      <c r="X10" s="186">
        <f>'GS &gt; 50 OLS Model'!$B$12*K10</f>
        <v>2345350.8919449002</v>
      </c>
      <c r="Y10" s="186">
        <v>0</v>
      </c>
      <c r="Z10" s="186">
        <f>'GS &gt; 50 OLS Model'!$B$13*M10</f>
        <v>33551198.840181898</v>
      </c>
      <c r="AA10" s="186">
        <f>'GS &gt; 50 OLS Model'!$B$14*N10</f>
        <v>13737248.956340911</v>
      </c>
      <c r="AB10" s="127">
        <f t="shared" ca="1" si="2"/>
        <v>76032705.747660562</v>
      </c>
    </row>
    <row r="11" spans="1:28">
      <c r="A11" s="128">
        <f>'Monthly Data'!A11</f>
        <v>40087</v>
      </c>
      <c r="B11" s="127">
        <f t="shared" si="1"/>
        <v>2009</v>
      </c>
      <c r="C11" s="127">
        <f ca="1">'Monthly Data'!O11</f>
        <v>74478609.626164854</v>
      </c>
      <c r="D11" s="144">
        <f ca="1">Weather!L78</f>
        <v>158.93676691729343</v>
      </c>
      <c r="E11" s="144">
        <f ca="1">Weather!M78</f>
        <v>16.916090225563948</v>
      </c>
      <c r="F11" s="127">
        <f>'Monthly Data'!BL11</f>
        <v>539388</v>
      </c>
      <c r="G11" s="127">
        <f>'Monthly Data'!BM11</f>
        <v>10</v>
      </c>
      <c r="H11" s="127">
        <f>'Monthly Data'!BQ11</f>
        <v>0</v>
      </c>
      <c r="I11" s="127">
        <f>'Monthly Data'!BS11</f>
        <v>0</v>
      </c>
      <c r="J11" s="127">
        <f>'Monthly Data'!BU11</f>
        <v>0</v>
      </c>
      <c r="K11" s="127">
        <f>'Monthly Data'!BV11</f>
        <v>0</v>
      </c>
      <c r="L11" s="127">
        <f>'Monthly Data'!BW11</f>
        <v>1</v>
      </c>
      <c r="M11" s="127">
        <f>'Monthly Data'!CC11</f>
        <v>31</v>
      </c>
      <c r="N11" s="127">
        <f>'Monthly Data'!CD11</f>
        <v>21</v>
      </c>
      <c r="P11" s="127">
        <f>'GS &gt; 50 OLS Model'!$B$5</f>
        <v>-8508488.8174217809</v>
      </c>
      <c r="Q11" s="186">
        <f ca="1">'GS &gt; 50 OLS Model'!$B$6*D11</f>
        <v>3853554.4185213498</v>
      </c>
      <c r="R11" s="186">
        <f ca="1">'GS &gt; 50 OLS Model'!$B$7*E11</f>
        <v>1207599.2014961967</v>
      </c>
      <c r="S11" s="186">
        <f>'GS &gt; 50 OLS Model'!$B$8*F11</f>
        <v>28244636.365604453</v>
      </c>
      <c r="T11" s="186">
        <v>0</v>
      </c>
      <c r="U11" s="186">
        <f>'GS &gt; 50 OLS Model'!$B$9*H11</f>
        <v>0</v>
      </c>
      <c r="V11" s="186">
        <f>'GS &gt; 50 OLS Model'!$B$10*I11</f>
        <v>0</v>
      </c>
      <c r="W11" s="186">
        <f>'GS &gt; 50 OLS Model'!$B$11*J11</f>
        <v>0</v>
      </c>
      <c r="X11" s="186">
        <f>'GS &gt; 50 OLS Model'!$B$12*K11</f>
        <v>0</v>
      </c>
      <c r="Y11" s="186">
        <v>0</v>
      </c>
      <c r="Z11" s="186">
        <f>'GS &gt; 50 OLS Model'!$B$13*M11</f>
        <v>34669572.13485463</v>
      </c>
      <c r="AA11" s="186">
        <f>'GS &gt; 50 OLS Model'!$B$14*N11</f>
        <v>13737248.956340911</v>
      </c>
      <c r="AB11" s="127">
        <f t="shared" ca="1" si="2"/>
        <v>73204122.259395763</v>
      </c>
    </row>
    <row r="12" spans="1:28">
      <c r="A12" s="128">
        <f>'Monthly Data'!A12</f>
        <v>40118</v>
      </c>
      <c r="B12" s="127">
        <f t="shared" si="1"/>
        <v>2009</v>
      </c>
      <c r="C12" s="127">
        <f ca="1">'Monthly Data'!O12</f>
        <v>74097028.329366833</v>
      </c>
      <c r="D12" s="144">
        <f ca="1">Weather!L79</f>
        <v>375.92533834586447</v>
      </c>
      <c r="E12" s="144">
        <f ca="1">Weather!M79</f>
        <v>8.120300751879661E-2</v>
      </c>
      <c r="F12" s="127">
        <f>'Monthly Data'!BL12</f>
        <v>539388</v>
      </c>
      <c r="G12" s="127">
        <f>'Monthly Data'!BM12</f>
        <v>11</v>
      </c>
      <c r="H12" s="127">
        <f>'Monthly Data'!BQ12</f>
        <v>0</v>
      </c>
      <c r="I12" s="127">
        <f>'Monthly Data'!BS12</f>
        <v>0</v>
      </c>
      <c r="J12" s="127">
        <f>'Monthly Data'!BU12</f>
        <v>0</v>
      </c>
      <c r="K12" s="127">
        <f>'Monthly Data'!BV12</f>
        <v>0</v>
      </c>
      <c r="L12" s="127">
        <f>'Monthly Data'!BW12</f>
        <v>0</v>
      </c>
      <c r="M12" s="127">
        <f>'Monthly Data'!CC12</f>
        <v>30</v>
      </c>
      <c r="N12" s="127">
        <f>'Monthly Data'!CD12</f>
        <v>21</v>
      </c>
      <c r="P12" s="127">
        <f>'GS &gt; 50 OLS Model'!$B$5</f>
        <v>-8508488.8174217809</v>
      </c>
      <c r="Q12" s="186">
        <f ca="1">'GS &gt; 50 OLS Model'!$B$6*D12</f>
        <v>9114623.234853385</v>
      </c>
      <c r="R12" s="186">
        <f ca="1">'GS &gt; 50 OLS Model'!$B$7*E12</f>
        <v>5796.8883903561291</v>
      </c>
      <c r="S12" s="186">
        <f>'GS &gt; 50 OLS Model'!$B$8*F12</f>
        <v>28244636.365604453</v>
      </c>
      <c r="T12" s="186">
        <v>0</v>
      </c>
      <c r="U12" s="186">
        <f>'GS &gt; 50 OLS Model'!$B$9*H12</f>
        <v>0</v>
      </c>
      <c r="V12" s="186">
        <f>'GS &gt; 50 OLS Model'!$B$10*I12</f>
        <v>0</v>
      </c>
      <c r="W12" s="186">
        <f>'GS &gt; 50 OLS Model'!$B$11*J12</f>
        <v>0</v>
      </c>
      <c r="X12" s="186">
        <f>'GS &gt; 50 OLS Model'!$B$12*K12</f>
        <v>0</v>
      </c>
      <c r="Y12" s="186">
        <v>0</v>
      </c>
      <c r="Z12" s="186">
        <f>'GS &gt; 50 OLS Model'!$B$13*M12</f>
        <v>33551198.840181898</v>
      </c>
      <c r="AA12" s="186">
        <f>'GS &gt; 50 OLS Model'!$B$14*N12</f>
        <v>13737248.956340911</v>
      </c>
      <c r="AB12" s="127">
        <f t="shared" ca="1" si="2"/>
        <v>76145015.467949226</v>
      </c>
    </row>
    <row r="13" spans="1:28">
      <c r="A13" s="128">
        <f>'Monthly Data'!A13</f>
        <v>40148</v>
      </c>
      <c r="B13" s="127">
        <f t="shared" si="1"/>
        <v>2009</v>
      </c>
      <c r="C13" s="127">
        <f ca="1">'Monthly Data'!O13</f>
        <v>80736283.954950839</v>
      </c>
      <c r="D13" s="144">
        <f ca="1">Weather!L80</f>
        <v>548.76120300751859</v>
      </c>
      <c r="E13" s="144">
        <f ca="1">Weather!M80</f>
        <v>0</v>
      </c>
      <c r="F13" s="127">
        <f>'Monthly Data'!BL13</f>
        <v>539388</v>
      </c>
      <c r="G13" s="127">
        <f>'Monthly Data'!BM13</f>
        <v>12</v>
      </c>
      <c r="H13" s="127">
        <f>'Monthly Data'!BQ13</f>
        <v>0</v>
      </c>
      <c r="I13" s="127">
        <f>'Monthly Data'!BS13</f>
        <v>0</v>
      </c>
      <c r="J13" s="127">
        <f>'Monthly Data'!BU13</f>
        <v>0</v>
      </c>
      <c r="K13" s="127">
        <f>'Monthly Data'!BV13</f>
        <v>0</v>
      </c>
      <c r="L13" s="127">
        <f>'Monthly Data'!BW13</f>
        <v>0</v>
      </c>
      <c r="M13" s="127">
        <f>'Monthly Data'!CC13</f>
        <v>31</v>
      </c>
      <c r="N13" s="127">
        <f>'Monthly Data'!CD13</f>
        <v>21</v>
      </c>
      <c r="P13" s="127">
        <f>'GS &gt; 50 OLS Model'!$B$5</f>
        <v>-8508488.8174217809</v>
      </c>
      <c r="Q13" s="186">
        <f ca="1">'GS &gt; 50 OLS Model'!$B$6*D13</f>
        <v>13305172.865779633</v>
      </c>
      <c r="R13" s="186">
        <f ca="1">'GS &gt; 50 OLS Model'!$B$7*E13</f>
        <v>0</v>
      </c>
      <c r="S13" s="186">
        <f>'GS &gt; 50 OLS Model'!$B$8*F13</f>
        <v>28244636.365604453</v>
      </c>
      <c r="T13" s="186">
        <v>0</v>
      </c>
      <c r="U13" s="186">
        <f>'GS &gt; 50 OLS Model'!$B$9*H13</f>
        <v>0</v>
      </c>
      <c r="V13" s="186">
        <f>'GS &gt; 50 OLS Model'!$B$10*I13</f>
        <v>0</v>
      </c>
      <c r="W13" s="186">
        <f>'GS &gt; 50 OLS Model'!$B$11*J13</f>
        <v>0</v>
      </c>
      <c r="X13" s="186">
        <f>'GS &gt; 50 OLS Model'!$B$12*K13</f>
        <v>0</v>
      </c>
      <c r="Y13" s="186">
        <v>0</v>
      </c>
      <c r="Z13" s="186">
        <f>'GS &gt; 50 OLS Model'!$B$13*M13</f>
        <v>34669572.13485463</v>
      </c>
      <c r="AA13" s="186">
        <f>'GS &gt; 50 OLS Model'!$B$14*N13</f>
        <v>13737248.956340911</v>
      </c>
      <c r="AB13" s="127">
        <f t="shared" ca="1" si="2"/>
        <v>81448141.505157843</v>
      </c>
    </row>
    <row r="14" spans="1:28">
      <c r="A14" s="128">
        <f>'Monthly Data'!A14</f>
        <v>40179</v>
      </c>
      <c r="B14" s="127">
        <f t="shared" si="1"/>
        <v>2010</v>
      </c>
      <c r="C14" s="127">
        <f ca="1">'Monthly Data'!O14</f>
        <v>85427036.528221235</v>
      </c>
      <c r="D14" s="127">
        <f t="shared" ref="D14:E17" ca="1" si="3">D2</f>
        <v>665.14879699248104</v>
      </c>
      <c r="E14" s="127">
        <f t="shared" ca="1" si="3"/>
        <v>0</v>
      </c>
      <c r="F14" s="127">
        <f>'Monthly Data'!BL14</f>
        <v>555907.5</v>
      </c>
      <c r="G14" s="127">
        <f>'Monthly Data'!BM14</f>
        <v>13</v>
      </c>
      <c r="H14" s="127">
        <f>'Monthly Data'!BQ14</f>
        <v>0</v>
      </c>
      <c r="I14" s="127">
        <f>'Monthly Data'!BS14</f>
        <v>0</v>
      </c>
      <c r="J14" s="127">
        <f>'Monthly Data'!BU14</f>
        <v>0</v>
      </c>
      <c r="K14" s="127">
        <f>'Monthly Data'!BV14</f>
        <v>0</v>
      </c>
      <c r="L14" s="127">
        <f>'Monthly Data'!BW14</f>
        <v>0</v>
      </c>
      <c r="M14" s="127">
        <f>'Monthly Data'!CC14</f>
        <v>31</v>
      </c>
      <c r="N14" s="127">
        <f>'Monthly Data'!CD14</f>
        <v>20</v>
      </c>
      <c r="P14" s="127">
        <f>'GS &gt; 50 OLS Model'!$B$5</f>
        <v>-8508488.8174217809</v>
      </c>
      <c r="Q14" s="186">
        <f ca="1">'GS &gt; 50 OLS Model'!$B$6*D14</f>
        <v>16127087.113571094</v>
      </c>
      <c r="R14" s="186">
        <f ca="1">'GS &gt; 50 OLS Model'!$B$7*E14</f>
        <v>0</v>
      </c>
      <c r="S14" s="186">
        <f>'GS &gt; 50 OLS Model'!$B$8*F14</f>
        <v>29109667.234740593</v>
      </c>
      <c r="T14" s="186">
        <v>0</v>
      </c>
      <c r="U14" s="186">
        <f>'GS &gt; 50 OLS Model'!$B$9*H14</f>
        <v>0</v>
      </c>
      <c r="V14" s="186">
        <f>'GS &gt; 50 OLS Model'!$B$10*I14</f>
        <v>0</v>
      </c>
      <c r="W14" s="186">
        <f>'GS &gt; 50 OLS Model'!$B$11*J14</f>
        <v>0</v>
      </c>
      <c r="X14" s="186">
        <f>'GS &gt; 50 OLS Model'!$B$12*K14</f>
        <v>0</v>
      </c>
      <c r="Y14" s="186">
        <v>0</v>
      </c>
      <c r="Z14" s="186">
        <f>'GS &gt; 50 OLS Model'!$B$13*M14</f>
        <v>34669572.13485463</v>
      </c>
      <c r="AA14" s="186">
        <f>'GS &gt; 50 OLS Model'!$B$14*N14</f>
        <v>13083094.244134201</v>
      </c>
      <c r="AB14" s="127">
        <f t="shared" ca="1" si="2"/>
        <v>84480931.909878746</v>
      </c>
    </row>
    <row r="15" spans="1:28">
      <c r="A15" s="128">
        <f>'Monthly Data'!A15</f>
        <v>40210</v>
      </c>
      <c r="B15" s="127">
        <f t="shared" si="1"/>
        <v>2010</v>
      </c>
      <c r="C15" s="127">
        <f ca="1">'Monthly Data'!O15</f>
        <v>77459286.107347235</v>
      </c>
      <c r="D15" s="127">
        <f t="shared" ca="1" si="3"/>
        <v>611.17548872180487</v>
      </c>
      <c r="E15" s="127">
        <f t="shared" ca="1" si="3"/>
        <v>0</v>
      </c>
      <c r="F15" s="127">
        <f>'Monthly Data'!BL15</f>
        <v>555907.5</v>
      </c>
      <c r="G15" s="127">
        <f>'Monthly Data'!BM15</f>
        <v>14</v>
      </c>
      <c r="H15" s="127">
        <f>'Monthly Data'!BQ15</f>
        <v>0</v>
      </c>
      <c r="I15" s="127">
        <f>'Monthly Data'!BS15</f>
        <v>0</v>
      </c>
      <c r="J15" s="127">
        <f>'Monthly Data'!BU15</f>
        <v>0</v>
      </c>
      <c r="K15" s="127">
        <f>'Monthly Data'!BV15</f>
        <v>0</v>
      </c>
      <c r="L15" s="127">
        <f>'Monthly Data'!BW15</f>
        <v>0</v>
      </c>
      <c r="M15" s="127">
        <f>'Monthly Data'!CC15</f>
        <v>28</v>
      </c>
      <c r="N15" s="127">
        <f>'Monthly Data'!CD15</f>
        <v>19</v>
      </c>
      <c r="P15" s="127">
        <f>'GS &gt; 50 OLS Model'!$B$5</f>
        <v>-8508488.8174217809</v>
      </c>
      <c r="Q15" s="186">
        <f ca="1">'GS &gt; 50 OLS Model'!$B$6*D15</f>
        <v>14818459.257331191</v>
      </c>
      <c r="R15" s="186">
        <f ca="1">'GS &gt; 50 OLS Model'!$B$7*E15</f>
        <v>0</v>
      </c>
      <c r="S15" s="186">
        <f>'GS &gt; 50 OLS Model'!$B$8*F15</f>
        <v>29109667.234740593</v>
      </c>
      <c r="T15" s="186">
        <v>0</v>
      </c>
      <c r="U15" s="186">
        <f>'GS &gt; 50 OLS Model'!$B$9*H15</f>
        <v>0</v>
      </c>
      <c r="V15" s="186">
        <f>'GS &gt; 50 OLS Model'!$B$10*I15</f>
        <v>0</v>
      </c>
      <c r="W15" s="186">
        <f>'GS &gt; 50 OLS Model'!$B$11*J15</f>
        <v>0</v>
      </c>
      <c r="X15" s="186">
        <f>'GS &gt; 50 OLS Model'!$B$12*K15</f>
        <v>0</v>
      </c>
      <c r="Y15" s="186">
        <v>0</v>
      </c>
      <c r="Z15" s="186">
        <f>'GS &gt; 50 OLS Model'!$B$13*M15</f>
        <v>31314452.250836439</v>
      </c>
      <c r="AA15" s="186">
        <f>'GS &gt; 50 OLS Model'!$B$14*N15</f>
        <v>12428939.531927491</v>
      </c>
      <c r="AB15" s="127">
        <f t="shared" ca="1" si="2"/>
        <v>79163029.457413927</v>
      </c>
    </row>
    <row r="16" spans="1:28">
      <c r="A16" s="128">
        <f>'Monthly Data'!A16</f>
        <v>40238</v>
      </c>
      <c r="B16" s="127">
        <f t="shared" si="1"/>
        <v>2010</v>
      </c>
      <c r="C16" s="127">
        <f ca="1">'Monthly Data'!O16</f>
        <v>79469302.564392224</v>
      </c>
      <c r="D16" s="127">
        <f t="shared" ca="1" si="3"/>
        <v>458.46436090225569</v>
      </c>
      <c r="E16" s="127">
        <f t="shared" ca="1" si="3"/>
        <v>0.45218045112781802</v>
      </c>
      <c r="F16" s="127">
        <f>'Monthly Data'!BL16</f>
        <v>555907.5</v>
      </c>
      <c r="G16" s="127">
        <f>'Monthly Data'!BM16</f>
        <v>15</v>
      </c>
      <c r="H16" s="127">
        <f>'Monthly Data'!BQ16</f>
        <v>0</v>
      </c>
      <c r="I16" s="127">
        <f>'Monthly Data'!BS16</f>
        <v>0</v>
      </c>
      <c r="J16" s="127">
        <f>'Monthly Data'!BU16</f>
        <v>0</v>
      </c>
      <c r="K16" s="127">
        <f>'Monthly Data'!BV16</f>
        <v>0</v>
      </c>
      <c r="L16" s="127">
        <f>'Monthly Data'!BW16</f>
        <v>0</v>
      </c>
      <c r="M16" s="127">
        <f>'Monthly Data'!CC16</f>
        <v>31</v>
      </c>
      <c r="N16" s="127">
        <f>'Monthly Data'!CD16</f>
        <v>23</v>
      </c>
      <c r="P16" s="127">
        <f>'GS &gt; 50 OLS Model'!$B$5</f>
        <v>-8508488.8174217809</v>
      </c>
      <c r="Q16" s="186">
        <f ca="1">'GS &gt; 50 OLS Model'!$B$6*D16</f>
        <v>11115850.64901193</v>
      </c>
      <c r="R16" s="186">
        <f ca="1">'GS &gt; 50 OLS Model'!$B$7*E16</f>
        <v>32280.080351483153</v>
      </c>
      <c r="S16" s="186">
        <f>'GS &gt; 50 OLS Model'!$B$8*F16</f>
        <v>29109667.234740593</v>
      </c>
      <c r="T16" s="186">
        <v>0</v>
      </c>
      <c r="U16" s="186">
        <f>'GS &gt; 50 OLS Model'!$B$9*H16</f>
        <v>0</v>
      </c>
      <c r="V16" s="186">
        <f>'GS &gt; 50 OLS Model'!$B$10*I16</f>
        <v>0</v>
      </c>
      <c r="W16" s="186">
        <f>'GS &gt; 50 OLS Model'!$B$11*J16</f>
        <v>0</v>
      </c>
      <c r="X16" s="186">
        <f>'GS &gt; 50 OLS Model'!$B$12*K16</f>
        <v>0</v>
      </c>
      <c r="Y16" s="186">
        <v>0</v>
      </c>
      <c r="Z16" s="186">
        <f>'GS &gt; 50 OLS Model'!$B$13*M16</f>
        <v>34669572.13485463</v>
      </c>
      <c r="AA16" s="186">
        <f>'GS &gt; 50 OLS Model'!$B$14*N16</f>
        <v>15045558.380754331</v>
      </c>
      <c r="AB16" s="127">
        <f t="shared" ca="1" si="2"/>
        <v>81464439.662291184</v>
      </c>
    </row>
    <row r="17" spans="1:28">
      <c r="A17" s="128">
        <f>'Monthly Data'!A17</f>
        <v>40269</v>
      </c>
      <c r="B17" s="127">
        <f t="shared" si="1"/>
        <v>2010</v>
      </c>
      <c r="C17" s="127">
        <f ca="1">'Monthly Data'!O17</f>
        <v>71033086.461556241</v>
      </c>
      <c r="D17" s="127">
        <f t="shared" ca="1" si="3"/>
        <v>254.29052631578941</v>
      </c>
      <c r="E17" s="127">
        <f t="shared" ca="1" si="3"/>
        <v>0.50947368421054762</v>
      </c>
      <c r="F17" s="127">
        <f>'Monthly Data'!BL17</f>
        <v>555907.5</v>
      </c>
      <c r="G17" s="127">
        <f>'Monthly Data'!BM17</f>
        <v>16</v>
      </c>
      <c r="H17" s="127">
        <f>'Monthly Data'!BQ17</f>
        <v>1</v>
      </c>
      <c r="I17" s="127">
        <f>'Monthly Data'!BS17</f>
        <v>0</v>
      </c>
      <c r="J17" s="127">
        <f>'Monthly Data'!BU17</f>
        <v>0</v>
      </c>
      <c r="K17" s="127">
        <f>'Monthly Data'!BV17</f>
        <v>0</v>
      </c>
      <c r="L17" s="127">
        <f>'Monthly Data'!BW17</f>
        <v>0</v>
      </c>
      <c r="M17" s="127">
        <f>'Monthly Data'!CC17</f>
        <v>30</v>
      </c>
      <c r="N17" s="127">
        <f>'Monthly Data'!CD17</f>
        <v>20</v>
      </c>
      <c r="P17" s="127">
        <f>'GS &gt; 50 OLS Model'!$B$5</f>
        <v>-8508488.8174217809</v>
      </c>
      <c r="Q17" s="186">
        <f ca="1">'GS &gt; 50 OLS Model'!$B$6*D17</f>
        <v>6165485.8109845407</v>
      </c>
      <c r="R17" s="186">
        <f ca="1">'GS &gt; 50 OLS Model'!$B$7*E17</f>
        <v>36370.107160236068</v>
      </c>
      <c r="S17" s="186">
        <f>'GS &gt; 50 OLS Model'!$B$8*F17</f>
        <v>29109667.234740593</v>
      </c>
      <c r="T17" s="186">
        <v>0</v>
      </c>
      <c r="U17" s="186">
        <f>'GS &gt; 50 OLS Model'!$B$9*H17</f>
        <v>-1670359.8066300801</v>
      </c>
      <c r="V17" s="186">
        <f>'GS &gt; 50 OLS Model'!$B$10*I17</f>
        <v>0</v>
      </c>
      <c r="W17" s="186">
        <f>'GS &gt; 50 OLS Model'!$B$11*J17</f>
        <v>0</v>
      </c>
      <c r="X17" s="186">
        <f>'GS &gt; 50 OLS Model'!$B$12*K17</f>
        <v>0</v>
      </c>
      <c r="Y17" s="186">
        <v>0</v>
      </c>
      <c r="Z17" s="186">
        <f>'GS &gt; 50 OLS Model'!$B$13*M17</f>
        <v>33551198.840181898</v>
      </c>
      <c r="AA17" s="186">
        <f>'GS &gt; 50 OLS Model'!$B$14*N17</f>
        <v>13083094.244134201</v>
      </c>
      <c r="AB17" s="127">
        <f t="shared" ca="1" si="2"/>
        <v>71766967.613149613</v>
      </c>
    </row>
    <row r="18" spans="1:28">
      <c r="A18" s="128">
        <f>'Monthly Data'!A18</f>
        <v>40299</v>
      </c>
      <c r="B18" s="127">
        <f t="shared" si="1"/>
        <v>2010</v>
      </c>
      <c r="C18" s="127">
        <f ca="1">'Monthly Data'!O18</f>
        <v>75509222.108001232</v>
      </c>
      <c r="D18" s="127">
        <f t="shared" ref="D18:E33" ca="1" si="4">D6</f>
        <v>102.64150375939857</v>
      </c>
      <c r="E18" s="127">
        <f t="shared" ca="1" si="4"/>
        <v>56.062781954887214</v>
      </c>
      <c r="F18" s="127">
        <f>'Monthly Data'!BL18</f>
        <v>555907.5</v>
      </c>
      <c r="G18" s="127">
        <f>'Monthly Data'!BM18</f>
        <v>17</v>
      </c>
      <c r="H18" s="127">
        <f>'Monthly Data'!BQ18</f>
        <v>0</v>
      </c>
      <c r="I18" s="127">
        <f>'Monthly Data'!BS18</f>
        <v>0</v>
      </c>
      <c r="J18" s="127">
        <f>'Monthly Data'!BU18</f>
        <v>0</v>
      </c>
      <c r="K18" s="127">
        <f>'Monthly Data'!BV18</f>
        <v>0</v>
      </c>
      <c r="L18" s="127">
        <f>'Monthly Data'!BW18</f>
        <v>0</v>
      </c>
      <c r="M18" s="127">
        <f>'Monthly Data'!CC18</f>
        <v>31</v>
      </c>
      <c r="N18" s="127">
        <f>'Monthly Data'!CD18</f>
        <v>20</v>
      </c>
      <c r="P18" s="127">
        <f>'GS &gt; 50 OLS Model'!$B$5</f>
        <v>-8508488.8174217809</v>
      </c>
      <c r="Q18" s="186">
        <f ca="1">'GS &gt; 50 OLS Model'!$B$6*D18</f>
        <v>2488628.8302412247</v>
      </c>
      <c r="R18" s="186">
        <f ca="1">'GS &gt; 50 OLS Model'!$B$7*E18</f>
        <v>4002187.8471696409</v>
      </c>
      <c r="S18" s="186">
        <f>'GS &gt; 50 OLS Model'!$B$8*F18</f>
        <v>29109667.234740593</v>
      </c>
      <c r="T18" s="186">
        <v>0</v>
      </c>
      <c r="U18" s="186">
        <f>'GS &gt; 50 OLS Model'!$B$9*H18</f>
        <v>0</v>
      </c>
      <c r="V18" s="186">
        <f>'GS &gt; 50 OLS Model'!$B$10*I18</f>
        <v>0</v>
      </c>
      <c r="W18" s="186">
        <f>'GS &gt; 50 OLS Model'!$B$11*J18</f>
        <v>0</v>
      </c>
      <c r="X18" s="186">
        <f>'GS &gt; 50 OLS Model'!$B$12*K18</f>
        <v>0</v>
      </c>
      <c r="Y18" s="186">
        <v>0</v>
      </c>
      <c r="Z18" s="186">
        <f>'GS &gt; 50 OLS Model'!$B$13*M18</f>
        <v>34669572.13485463</v>
      </c>
      <c r="AA18" s="186">
        <f>'GS &gt; 50 OLS Model'!$B$14*N18</f>
        <v>13083094.244134201</v>
      </c>
      <c r="AB18" s="127">
        <f t="shared" ca="1" si="2"/>
        <v>74844661.473718509</v>
      </c>
    </row>
    <row r="19" spans="1:28">
      <c r="A19" s="128">
        <f>'Monthly Data'!A19</f>
        <v>40330</v>
      </c>
      <c r="B19" s="127">
        <f t="shared" si="1"/>
        <v>2010</v>
      </c>
      <c r="C19" s="127">
        <f ca="1">'Monthly Data'!O19</f>
        <v>81034423.714442238</v>
      </c>
      <c r="D19" s="127">
        <f t="shared" ca="1" si="4"/>
        <v>0.39669172932326546</v>
      </c>
      <c r="E19" s="127">
        <f t="shared" ca="1" si="4"/>
        <v>116.89315789473682</v>
      </c>
      <c r="F19" s="127">
        <f>'Monthly Data'!BL19</f>
        <v>555907.5</v>
      </c>
      <c r="G19" s="127">
        <f>'Monthly Data'!BM19</f>
        <v>18</v>
      </c>
      <c r="H19" s="127">
        <f>'Monthly Data'!BQ19</f>
        <v>0</v>
      </c>
      <c r="I19" s="127">
        <f>'Monthly Data'!BS19</f>
        <v>1</v>
      </c>
      <c r="J19" s="127">
        <f>'Monthly Data'!BU19</f>
        <v>0</v>
      </c>
      <c r="K19" s="127">
        <f>'Monthly Data'!BV19</f>
        <v>0</v>
      </c>
      <c r="L19" s="127">
        <f>'Monthly Data'!BW19</f>
        <v>0</v>
      </c>
      <c r="M19" s="127">
        <f>'Monthly Data'!CC19</f>
        <v>30</v>
      </c>
      <c r="N19" s="127">
        <f>'Monthly Data'!CD19</f>
        <v>22</v>
      </c>
      <c r="P19" s="127">
        <f>'GS &gt; 50 OLS Model'!$B$5</f>
        <v>-8508488.8174217809</v>
      </c>
      <c r="Q19" s="186">
        <f ca="1">'GS &gt; 50 OLS Model'!$B$6*D19</f>
        <v>9618.1216969137586</v>
      </c>
      <c r="R19" s="186">
        <f ca="1">'GS &gt; 50 OLS Model'!$B$7*E19</f>
        <v>8344722.8202134408</v>
      </c>
      <c r="S19" s="186">
        <f>'GS &gt; 50 OLS Model'!$B$8*F19</f>
        <v>29109667.234740593</v>
      </c>
      <c r="T19" s="186">
        <v>0</v>
      </c>
      <c r="U19" s="186">
        <f>'GS &gt; 50 OLS Model'!$B$9*H19</f>
        <v>0</v>
      </c>
      <c r="V19" s="186">
        <f>'GS &gt; 50 OLS Model'!$B$10*I19</f>
        <v>1244451.2383117899</v>
      </c>
      <c r="W19" s="186">
        <f>'GS &gt; 50 OLS Model'!$B$11*J19</f>
        <v>0</v>
      </c>
      <c r="X19" s="186">
        <f>'GS &gt; 50 OLS Model'!$B$12*K19</f>
        <v>0</v>
      </c>
      <c r="Y19" s="186">
        <v>0</v>
      </c>
      <c r="Z19" s="186">
        <f>'GS &gt; 50 OLS Model'!$B$13*M19</f>
        <v>33551198.840181898</v>
      </c>
      <c r="AA19" s="186">
        <f>'GS &gt; 50 OLS Model'!$B$14*N19</f>
        <v>14391403.668547621</v>
      </c>
      <c r="AB19" s="127">
        <f t="shared" ca="1" si="2"/>
        <v>78142573.106270477</v>
      </c>
    </row>
    <row r="20" spans="1:28">
      <c r="A20" s="128">
        <f>'Monthly Data'!A20</f>
        <v>40360</v>
      </c>
      <c r="B20" s="127">
        <f t="shared" si="1"/>
        <v>2010</v>
      </c>
      <c r="C20" s="127">
        <f ca="1">'Monthly Data'!O20</f>
        <v>85939810.851727232</v>
      </c>
      <c r="D20" s="127">
        <f t="shared" ca="1" si="4"/>
        <v>0.58105263157894704</v>
      </c>
      <c r="E20" s="127">
        <f t="shared" ca="1" si="4"/>
        <v>186.96526315789481</v>
      </c>
      <c r="F20" s="127">
        <f>'Monthly Data'!BL20</f>
        <v>555907.5</v>
      </c>
      <c r="G20" s="127">
        <f>'Monthly Data'!BM20</f>
        <v>19</v>
      </c>
      <c r="H20" s="127">
        <f>'Monthly Data'!BQ20</f>
        <v>0</v>
      </c>
      <c r="I20" s="127">
        <f>'Monthly Data'!BS20</f>
        <v>0</v>
      </c>
      <c r="J20" s="127">
        <f>'Monthly Data'!BU20</f>
        <v>0</v>
      </c>
      <c r="K20" s="127">
        <f>'Monthly Data'!BV20</f>
        <v>0</v>
      </c>
      <c r="L20" s="127">
        <f>'Monthly Data'!BW20</f>
        <v>0</v>
      </c>
      <c r="M20" s="127">
        <f>'Monthly Data'!CC20</f>
        <v>31</v>
      </c>
      <c r="N20" s="127">
        <f>'Monthly Data'!CD20</f>
        <v>21</v>
      </c>
      <c r="P20" s="127">
        <f>'GS &gt; 50 OLS Model'!$B$5</f>
        <v>-8508488.8174217809</v>
      </c>
      <c r="Q20" s="186">
        <f ca="1">'GS &gt; 50 OLS Model'!$B$6*D20</f>
        <v>14088.105472660634</v>
      </c>
      <c r="R20" s="186">
        <f ca="1">'GS &gt; 50 OLS Model'!$B$7*E20</f>
        <v>13347002.734461535</v>
      </c>
      <c r="S20" s="186">
        <f>'GS &gt; 50 OLS Model'!$B$8*F20</f>
        <v>29109667.234740593</v>
      </c>
      <c r="T20" s="186">
        <v>0</v>
      </c>
      <c r="U20" s="186">
        <f>'GS &gt; 50 OLS Model'!$B$9*H20</f>
        <v>0</v>
      </c>
      <c r="V20" s="186">
        <f>'GS &gt; 50 OLS Model'!$B$10*I20</f>
        <v>0</v>
      </c>
      <c r="W20" s="186">
        <f>'GS &gt; 50 OLS Model'!$B$11*J20</f>
        <v>0</v>
      </c>
      <c r="X20" s="186">
        <f>'GS &gt; 50 OLS Model'!$B$12*K20</f>
        <v>0</v>
      </c>
      <c r="Y20" s="186">
        <v>0</v>
      </c>
      <c r="Z20" s="186">
        <f>'GS &gt; 50 OLS Model'!$B$13*M20</f>
        <v>34669572.13485463</v>
      </c>
      <c r="AA20" s="186">
        <f>'GS &gt; 50 OLS Model'!$B$14*N20</f>
        <v>13737248.956340911</v>
      </c>
      <c r="AB20" s="127">
        <f t="shared" ca="1" si="2"/>
        <v>82369090.348448545</v>
      </c>
    </row>
    <row r="21" spans="1:28">
      <c r="A21" s="128">
        <f>'Monthly Data'!A21</f>
        <v>40391</v>
      </c>
      <c r="B21" s="127">
        <f t="shared" si="1"/>
        <v>2010</v>
      </c>
      <c r="C21" s="127">
        <f ca="1">'Monthly Data'!O21</f>
        <v>86205660.129896238</v>
      </c>
      <c r="D21" s="127">
        <f t="shared" ca="1" si="4"/>
        <v>1.6660902255639058</v>
      </c>
      <c r="E21" s="127">
        <f t="shared" ca="1" si="4"/>
        <v>167.43443609022574</v>
      </c>
      <c r="F21" s="127">
        <f>'Monthly Data'!BL21</f>
        <v>555907.5</v>
      </c>
      <c r="G21" s="127">
        <f>'Monthly Data'!BM21</f>
        <v>20</v>
      </c>
      <c r="H21" s="127">
        <f>'Monthly Data'!BQ21</f>
        <v>0</v>
      </c>
      <c r="I21" s="127">
        <f>'Monthly Data'!BS21</f>
        <v>0</v>
      </c>
      <c r="J21" s="127">
        <f>'Monthly Data'!BU21</f>
        <v>1</v>
      </c>
      <c r="K21" s="127">
        <f>'Monthly Data'!BV21</f>
        <v>0</v>
      </c>
      <c r="L21" s="127">
        <f>'Monthly Data'!BW21</f>
        <v>0</v>
      </c>
      <c r="M21" s="127">
        <f>'Monthly Data'!CC21</f>
        <v>31</v>
      </c>
      <c r="N21" s="127">
        <f>'Monthly Data'!CD21</f>
        <v>21</v>
      </c>
      <c r="P21" s="127">
        <f>'GS &gt; 50 OLS Model'!$B$5</f>
        <v>-8508488.8174217809</v>
      </c>
      <c r="Q21" s="186">
        <f ca="1">'GS &gt; 50 OLS Model'!$B$6*D21</f>
        <v>40395.746528039141</v>
      </c>
      <c r="R21" s="186">
        <f ca="1">'GS &gt; 50 OLS Model'!$B$7*E21</f>
        <v>11952743.72679588</v>
      </c>
      <c r="S21" s="186">
        <f>'GS &gt; 50 OLS Model'!$B$8*F21</f>
        <v>29109667.234740593</v>
      </c>
      <c r="T21" s="186">
        <v>0</v>
      </c>
      <c r="U21" s="186">
        <f>'GS &gt; 50 OLS Model'!$B$9*H21</f>
        <v>0</v>
      </c>
      <c r="V21" s="186">
        <f>'GS &gt; 50 OLS Model'!$B$10*I21</f>
        <v>0</v>
      </c>
      <c r="W21" s="186">
        <f>'GS &gt; 50 OLS Model'!$B$11*J21</f>
        <v>2505717.0713192602</v>
      </c>
      <c r="X21" s="186">
        <f>'GS &gt; 50 OLS Model'!$B$12*K21</f>
        <v>0</v>
      </c>
      <c r="Y21" s="186">
        <v>0</v>
      </c>
      <c r="Z21" s="186">
        <f>'GS &gt; 50 OLS Model'!$B$13*M21</f>
        <v>34669572.13485463</v>
      </c>
      <c r="AA21" s="186">
        <f>'GS &gt; 50 OLS Model'!$B$14*N21</f>
        <v>13737248.956340911</v>
      </c>
      <c r="AB21" s="127">
        <f t="shared" ca="1" si="2"/>
        <v>83506856.053157538</v>
      </c>
    </row>
    <row r="22" spans="1:28">
      <c r="A22" s="128">
        <f>'Monthly Data'!A22</f>
        <v>40422</v>
      </c>
      <c r="B22" s="127">
        <f t="shared" si="1"/>
        <v>2010</v>
      </c>
      <c r="C22" s="127">
        <f ca="1">'Monthly Data'!O22</f>
        <v>75144375.415312231</v>
      </c>
      <c r="D22" s="127">
        <f t="shared" ca="1" si="4"/>
        <v>30.410827067669118</v>
      </c>
      <c r="E22" s="127">
        <f t="shared" ca="1" si="4"/>
        <v>83.003533834586506</v>
      </c>
      <c r="F22" s="127">
        <f>'Monthly Data'!BL22</f>
        <v>555907.5</v>
      </c>
      <c r="G22" s="127">
        <f>'Monthly Data'!BM22</f>
        <v>21</v>
      </c>
      <c r="H22" s="127">
        <f>'Monthly Data'!BQ22</f>
        <v>0</v>
      </c>
      <c r="I22" s="127">
        <f>'Monthly Data'!BS22</f>
        <v>0</v>
      </c>
      <c r="J22" s="127">
        <f>'Monthly Data'!BU22</f>
        <v>0</v>
      </c>
      <c r="K22" s="127">
        <f>'Monthly Data'!BV22</f>
        <v>1</v>
      </c>
      <c r="L22" s="127">
        <f>'Monthly Data'!BW22</f>
        <v>0</v>
      </c>
      <c r="M22" s="127">
        <f>'Monthly Data'!CC22</f>
        <v>30</v>
      </c>
      <c r="N22" s="127">
        <f>'Monthly Data'!CD22</f>
        <v>21</v>
      </c>
      <c r="P22" s="127">
        <f>'GS &gt; 50 OLS Model'!$B$5</f>
        <v>-8508488.8174217809</v>
      </c>
      <c r="Q22" s="186">
        <f ca="1">'GS &gt; 50 OLS Model'!$B$6*D22</f>
        <v>737335.85557637212</v>
      </c>
      <c r="R22" s="186">
        <f ca="1">'GS &gt; 50 OLS Model'!$B$7*E22</f>
        <v>5925423.6554338057</v>
      </c>
      <c r="S22" s="186">
        <f>'GS &gt; 50 OLS Model'!$B$8*F22</f>
        <v>29109667.234740593</v>
      </c>
      <c r="T22" s="186">
        <v>0</v>
      </c>
      <c r="U22" s="186">
        <f>'GS &gt; 50 OLS Model'!$B$9*H22</f>
        <v>0</v>
      </c>
      <c r="V22" s="186">
        <f>'GS &gt; 50 OLS Model'!$B$10*I22</f>
        <v>0</v>
      </c>
      <c r="W22" s="186">
        <f>'GS &gt; 50 OLS Model'!$B$11*J22</f>
        <v>0</v>
      </c>
      <c r="X22" s="186">
        <f>'GS &gt; 50 OLS Model'!$B$12*K22</f>
        <v>2345350.8919449002</v>
      </c>
      <c r="Y22" s="186">
        <v>0</v>
      </c>
      <c r="Z22" s="186">
        <f>'GS &gt; 50 OLS Model'!$B$13*M22</f>
        <v>33551198.840181898</v>
      </c>
      <c r="AA22" s="186">
        <f>'GS &gt; 50 OLS Model'!$B$14*N22</f>
        <v>13737248.956340911</v>
      </c>
      <c r="AB22" s="127">
        <f t="shared" ca="1" si="2"/>
        <v>76897736.616796702</v>
      </c>
    </row>
    <row r="23" spans="1:28">
      <c r="A23" s="128">
        <f>'Monthly Data'!A23</f>
        <v>40452</v>
      </c>
      <c r="B23" s="127">
        <f t="shared" si="1"/>
        <v>2010</v>
      </c>
      <c r="C23" s="127">
        <f ca="1">'Monthly Data'!O23</f>
        <v>73712701.595507234</v>
      </c>
      <c r="D23" s="127">
        <f t="shared" ca="1" si="4"/>
        <v>158.93676691729343</v>
      </c>
      <c r="E23" s="127">
        <f t="shared" ca="1" si="4"/>
        <v>16.916090225563948</v>
      </c>
      <c r="F23" s="127">
        <f>'Monthly Data'!BL23</f>
        <v>555907.5</v>
      </c>
      <c r="G23" s="127">
        <f>'Monthly Data'!BM23</f>
        <v>22</v>
      </c>
      <c r="H23" s="127">
        <f>'Monthly Data'!BQ23</f>
        <v>0</v>
      </c>
      <c r="I23" s="127">
        <f>'Monthly Data'!BS23</f>
        <v>0</v>
      </c>
      <c r="J23" s="127">
        <f>'Monthly Data'!BU23</f>
        <v>0</v>
      </c>
      <c r="K23" s="127">
        <f>'Monthly Data'!BV23</f>
        <v>0</v>
      </c>
      <c r="L23" s="127">
        <f>'Monthly Data'!BW23</f>
        <v>1</v>
      </c>
      <c r="M23" s="127">
        <f>'Monthly Data'!CC23</f>
        <v>31</v>
      </c>
      <c r="N23" s="127">
        <f>'Monthly Data'!CD23</f>
        <v>20</v>
      </c>
      <c r="P23" s="127">
        <f>'GS &gt; 50 OLS Model'!$B$5</f>
        <v>-8508488.8174217809</v>
      </c>
      <c r="Q23" s="186">
        <f ca="1">'GS &gt; 50 OLS Model'!$B$6*D23</f>
        <v>3853554.4185213498</v>
      </c>
      <c r="R23" s="186">
        <f ca="1">'GS &gt; 50 OLS Model'!$B$7*E23</f>
        <v>1207599.2014961967</v>
      </c>
      <c r="S23" s="186">
        <f>'GS &gt; 50 OLS Model'!$B$8*F23</f>
        <v>29109667.234740593</v>
      </c>
      <c r="T23" s="186">
        <v>0</v>
      </c>
      <c r="U23" s="186">
        <f>'GS &gt; 50 OLS Model'!$B$9*H23</f>
        <v>0</v>
      </c>
      <c r="V23" s="186">
        <f>'GS &gt; 50 OLS Model'!$B$10*I23</f>
        <v>0</v>
      </c>
      <c r="W23" s="186">
        <f>'GS &gt; 50 OLS Model'!$B$11*J23</f>
        <v>0</v>
      </c>
      <c r="X23" s="186">
        <f>'GS &gt; 50 OLS Model'!$B$12*K23</f>
        <v>0</v>
      </c>
      <c r="Y23" s="186">
        <v>0</v>
      </c>
      <c r="Z23" s="186">
        <f>'GS &gt; 50 OLS Model'!$B$13*M23</f>
        <v>34669572.13485463</v>
      </c>
      <c r="AA23" s="186">
        <f>'GS &gt; 50 OLS Model'!$B$14*N23</f>
        <v>13083094.244134201</v>
      </c>
      <c r="AB23" s="127">
        <f t="shared" ca="1" si="2"/>
        <v>73414998.416325182</v>
      </c>
    </row>
    <row r="24" spans="1:28">
      <c r="A24" s="128">
        <f>'Monthly Data'!A24</f>
        <v>40483</v>
      </c>
      <c r="B24" s="127">
        <f t="shared" si="1"/>
        <v>2010</v>
      </c>
      <c r="C24" s="127">
        <f ca="1">'Monthly Data'!O24</f>
        <v>76223861.515962228</v>
      </c>
      <c r="D24" s="127">
        <f t="shared" ca="1" si="4"/>
        <v>375.92533834586447</v>
      </c>
      <c r="E24" s="127">
        <f t="shared" ca="1" si="4"/>
        <v>8.120300751879661E-2</v>
      </c>
      <c r="F24" s="127">
        <f>'Monthly Data'!BL24</f>
        <v>555907.5</v>
      </c>
      <c r="G24" s="127">
        <f>'Monthly Data'!BM24</f>
        <v>23</v>
      </c>
      <c r="H24" s="127">
        <f>'Monthly Data'!BQ24</f>
        <v>0</v>
      </c>
      <c r="I24" s="127">
        <f>'Monthly Data'!BS24</f>
        <v>0</v>
      </c>
      <c r="J24" s="127">
        <f>'Monthly Data'!BU24</f>
        <v>0</v>
      </c>
      <c r="K24" s="127">
        <f>'Monthly Data'!BV24</f>
        <v>0</v>
      </c>
      <c r="L24" s="127">
        <f>'Monthly Data'!BW24</f>
        <v>0</v>
      </c>
      <c r="M24" s="127">
        <f>'Monthly Data'!CC24</f>
        <v>30</v>
      </c>
      <c r="N24" s="127">
        <f>'Monthly Data'!CD24</f>
        <v>22</v>
      </c>
      <c r="P24" s="127">
        <f>'GS &gt; 50 OLS Model'!$B$5</f>
        <v>-8508488.8174217809</v>
      </c>
      <c r="Q24" s="186">
        <f ca="1">'GS &gt; 50 OLS Model'!$B$6*D24</f>
        <v>9114623.234853385</v>
      </c>
      <c r="R24" s="186">
        <f ca="1">'GS &gt; 50 OLS Model'!$B$7*E24</f>
        <v>5796.8883903561291</v>
      </c>
      <c r="S24" s="186">
        <f>'GS &gt; 50 OLS Model'!$B$8*F24</f>
        <v>29109667.234740593</v>
      </c>
      <c r="T24" s="186">
        <v>0</v>
      </c>
      <c r="U24" s="186">
        <f>'GS &gt; 50 OLS Model'!$B$9*H24</f>
        <v>0</v>
      </c>
      <c r="V24" s="186">
        <f>'GS &gt; 50 OLS Model'!$B$10*I24</f>
        <v>0</v>
      </c>
      <c r="W24" s="186">
        <f>'GS &gt; 50 OLS Model'!$B$11*J24</f>
        <v>0</v>
      </c>
      <c r="X24" s="186">
        <f>'GS &gt; 50 OLS Model'!$B$12*K24</f>
        <v>0</v>
      </c>
      <c r="Y24" s="186">
        <v>0</v>
      </c>
      <c r="Z24" s="186">
        <f>'GS &gt; 50 OLS Model'!$B$13*M24</f>
        <v>33551198.840181898</v>
      </c>
      <c r="AA24" s="186">
        <f>'GS &gt; 50 OLS Model'!$B$14*N24</f>
        <v>14391403.668547621</v>
      </c>
      <c r="AB24" s="127">
        <f t="shared" ca="1" si="2"/>
        <v>77664201.049292073</v>
      </c>
    </row>
    <row r="25" spans="1:28">
      <c r="A25" s="128">
        <f>'Monthly Data'!A25</f>
        <v>40513</v>
      </c>
      <c r="B25" s="127">
        <f t="shared" si="1"/>
        <v>2010</v>
      </c>
      <c r="C25" s="127">
        <f ca="1">'Monthly Data'!O25</f>
        <v>82782031.24842824</v>
      </c>
      <c r="D25" s="127">
        <f t="shared" ca="1" si="4"/>
        <v>548.76120300751859</v>
      </c>
      <c r="E25" s="127">
        <f t="shared" ca="1" si="4"/>
        <v>0</v>
      </c>
      <c r="F25" s="127">
        <f>'Monthly Data'!BL25</f>
        <v>555907.5</v>
      </c>
      <c r="G25" s="127">
        <f>'Monthly Data'!BM25</f>
        <v>24</v>
      </c>
      <c r="H25" s="127">
        <f>'Monthly Data'!BQ25</f>
        <v>0</v>
      </c>
      <c r="I25" s="127">
        <f>'Monthly Data'!BS25</f>
        <v>0</v>
      </c>
      <c r="J25" s="127">
        <f>'Monthly Data'!BU25</f>
        <v>0</v>
      </c>
      <c r="K25" s="127">
        <f>'Monthly Data'!BV25</f>
        <v>0</v>
      </c>
      <c r="L25" s="127">
        <f>'Monthly Data'!BW25</f>
        <v>0</v>
      </c>
      <c r="M25" s="127">
        <f>'Monthly Data'!CC25</f>
        <v>31</v>
      </c>
      <c r="N25" s="127">
        <f>'Monthly Data'!CD25</f>
        <v>21</v>
      </c>
      <c r="P25" s="127">
        <f>'GS &gt; 50 OLS Model'!$B$5</f>
        <v>-8508488.8174217809</v>
      </c>
      <c r="Q25" s="186">
        <f ca="1">'GS &gt; 50 OLS Model'!$B$6*D25</f>
        <v>13305172.865779633</v>
      </c>
      <c r="R25" s="186">
        <f ca="1">'GS &gt; 50 OLS Model'!$B$7*E25</f>
        <v>0</v>
      </c>
      <c r="S25" s="186">
        <f>'GS &gt; 50 OLS Model'!$B$8*F25</f>
        <v>29109667.234740593</v>
      </c>
      <c r="T25" s="186">
        <v>0</v>
      </c>
      <c r="U25" s="186">
        <f>'GS &gt; 50 OLS Model'!$B$9*H25</f>
        <v>0</v>
      </c>
      <c r="V25" s="186">
        <f>'GS &gt; 50 OLS Model'!$B$10*I25</f>
        <v>0</v>
      </c>
      <c r="W25" s="186">
        <f>'GS &gt; 50 OLS Model'!$B$11*J25</f>
        <v>0</v>
      </c>
      <c r="X25" s="186">
        <f>'GS &gt; 50 OLS Model'!$B$12*K25</f>
        <v>0</v>
      </c>
      <c r="Y25" s="186">
        <v>0</v>
      </c>
      <c r="Z25" s="186">
        <f>'GS &gt; 50 OLS Model'!$B$13*M25</f>
        <v>34669572.13485463</v>
      </c>
      <c r="AA25" s="186">
        <f>'GS &gt; 50 OLS Model'!$B$14*N25</f>
        <v>13737248.956340911</v>
      </c>
      <c r="AB25" s="127">
        <f t="shared" ca="1" si="2"/>
        <v>82313172.374293983</v>
      </c>
    </row>
    <row r="26" spans="1:28">
      <c r="A26" s="128">
        <f>'Monthly Data'!A26</f>
        <v>40544</v>
      </c>
      <c r="B26" s="127">
        <f t="shared" si="1"/>
        <v>2011</v>
      </c>
      <c r="C26" s="127">
        <f ca="1">'Monthly Data'!O26</f>
        <v>87926514.089346617</v>
      </c>
      <c r="D26" s="127">
        <f t="shared" ca="1" si="4"/>
        <v>665.14879699248104</v>
      </c>
      <c r="E26" s="127">
        <f t="shared" ca="1" si="4"/>
        <v>0</v>
      </c>
      <c r="F26" s="127">
        <f>'Monthly Data'!BL26</f>
        <v>570633.30000000005</v>
      </c>
      <c r="G26" s="127">
        <f>'Monthly Data'!BM26</f>
        <v>25</v>
      </c>
      <c r="H26" s="127">
        <f>'Monthly Data'!BQ26</f>
        <v>0</v>
      </c>
      <c r="I26" s="127">
        <f>'Monthly Data'!BS26</f>
        <v>0</v>
      </c>
      <c r="J26" s="127">
        <f>'Monthly Data'!BU26</f>
        <v>0</v>
      </c>
      <c r="K26" s="127">
        <f>'Monthly Data'!BV26</f>
        <v>0</v>
      </c>
      <c r="L26" s="127">
        <f>'Monthly Data'!BW26</f>
        <v>0</v>
      </c>
      <c r="M26" s="127">
        <f>'Monthly Data'!CC26</f>
        <v>31</v>
      </c>
      <c r="N26" s="127">
        <f>'Monthly Data'!CD26</f>
        <v>20</v>
      </c>
      <c r="P26" s="127">
        <f>'GS &gt; 50 OLS Model'!$B$5</f>
        <v>-8508488.8174217809</v>
      </c>
      <c r="Q26" s="186">
        <f ca="1">'GS &gt; 50 OLS Model'!$B$6*D26</f>
        <v>16127087.113571094</v>
      </c>
      <c r="R26" s="186">
        <f ca="1">'GS &gt; 50 OLS Model'!$B$7*E26</f>
        <v>0</v>
      </c>
      <c r="S26" s="186">
        <f>'GS &gt; 50 OLS Model'!$B$8*F26</f>
        <v>29880772.387603872</v>
      </c>
      <c r="T26" s="186">
        <v>0</v>
      </c>
      <c r="U26" s="186">
        <f>'GS &gt; 50 OLS Model'!$B$9*H26</f>
        <v>0</v>
      </c>
      <c r="V26" s="186">
        <f>'GS &gt; 50 OLS Model'!$B$10*I26</f>
        <v>0</v>
      </c>
      <c r="W26" s="186">
        <f>'GS &gt; 50 OLS Model'!$B$11*J26</f>
        <v>0</v>
      </c>
      <c r="X26" s="186">
        <f>'GS &gt; 50 OLS Model'!$B$12*K26</f>
        <v>0</v>
      </c>
      <c r="Y26" s="186">
        <v>0</v>
      </c>
      <c r="Z26" s="186">
        <f>'GS &gt; 50 OLS Model'!$B$13*M26</f>
        <v>34669572.13485463</v>
      </c>
      <c r="AA26" s="186">
        <f>'GS &gt; 50 OLS Model'!$B$14*N26</f>
        <v>13083094.244134201</v>
      </c>
      <c r="AB26" s="127">
        <f t="shared" ca="1" si="2"/>
        <v>85252037.06274201</v>
      </c>
    </row>
    <row r="27" spans="1:28">
      <c r="A27" s="128">
        <f>'Monthly Data'!A27</f>
        <v>40575</v>
      </c>
      <c r="B27" s="127">
        <f t="shared" si="1"/>
        <v>2011</v>
      </c>
      <c r="C27" s="127">
        <f ca="1">'Monthly Data'!O27</f>
        <v>79445566.339861631</v>
      </c>
      <c r="D27" s="127">
        <f t="shared" ca="1" si="4"/>
        <v>611.17548872180487</v>
      </c>
      <c r="E27" s="127">
        <f t="shared" ca="1" si="4"/>
        <v>0</v>
      </c>
      <c r="F27" s="127">
        <f>'Monthly Data'!BL27</f>
        <v>570633.30000000005</v>
      </c>
      <c r="G27" s="127">
        <f>'Monthly Data'!BM27</f>
        <v>26</v>
      </c>
      <c r="H27" s="127">
        <f>'Monthly Data'!BQ27</f>
        <v>0</v>
      </c>
      <c r="I27" s="127">
        <f>'Monthly Data'!BS27</f>
        <v>0</v>
      </c>
      <c r="J27" s="127">
        <f>'Monthly Data'!BU27</f>
        <v>0</v>
      </c>
      <c r="K27" s="127">
        <f>'Monthly Data'!BV27</f>
        <v>0</v>
      </c>
      <c r="L27" s="127">
        <f>'Monthly Data'!BW27</f>
        <v>0</v>
      </c>
      <c r="M27" s="127">
        <f>'Monthly Data'!CC27</f>
        <v>28</v>
      </c>
      <c r="N27" s="127">
        <f>'Monthly Data'!CD27</f>
        <v>19</v>
      </c>
      <c r="P27" s="127">
        <f>'GS &gt; 50 OLS Model'!$B$5</f>
        <v>-8508488.8174217809</v>
      </c>
      <c r="Q27" s="186">
        <f ca="1">'GS &gt; 50 OLS Model'!$B$6*D27</f>
        <v>14818459.257331191</v>
      </c>
      <c r="R27" s="186">
        <f ca="1">'GS &gt; 50 OLS Model'!$B$7*E27</f>
        <v>0</v>
      </c>
      <c r="S27" s="186">
        <f>'GS &gt; 50 OLS Model'!$B$8*F27</f>
        <v>29880772.387603872</v>
      </c>
      <c r="T27" s="186">
        <v>0</v>
      </c>
      <c r="U27" s="186">
        <f>'GS &gt; 50 OLS Model'!$B$9*H27</f>
        <v>0</v>
      </c>
      <c r="V27" s="186">
        <f>'GS &gt; 50 OLS Model'!$B$10*I27</f>
        <v>0</v>
      </c>
      <c r="W27" s="186">
        <f>'GS &gt; 50 OLS Model'!$B$11*J27</f>
        <v>0</v>
      </c>
      <c r="X27" s="186">
        <f>'GS &gt; 50 OLS Model'!$B$12*K27</f>
        <v>0</v>
      </c>
      <c r="Y27" s="186">
        <v>0</v>
      </c>
      <c r="Z27" s="186">
        <f>'GS &gt; 50 OLS Model'!$B$13*M27</f>
        <v>31314452.250836439</v>
      </c>
      <c r="AA27" s="186">
        <f>'GS &gt; 50 OLS Model'!$B$14*N27</f>
        <v>12428939.531927491</v>
      </c>
      <c r="AB27" s="127">
        <f t="shared" ca="1" si="2"/>
        <v>79934134.610277206</v>
      </c>
    </row>
    <row r="28" spans="1:28">
      <c r="A28" s="128">
        <f>'Monthly Data'!A28</f>
        <v>40603</v>
      </c>
      <c r="B28" s="127">
        <f t="shared" si="1"/>
        <v>2011</v>
      </c>
      <c r="C28" s="127">
        <f ca="1">'Monthly Data'!O28</f>
        <v>83484642.099464625</v>
      </c>
      <c r="D28" s="127">
        <f t="shared" ca="1" si="4"/>
        <v>458.46436090225569</v>
      </c>
      <c r="E28" s="127">
        <f t="shared" ca="1" si="4"/>
        <v>0.45218045112781802</v>
      </c>
      <c r="F28" s="127">
        <f>'Monthly Data'!BL28</f>
        <v>570633.30000000005</v>
      </c>
      <c r="G28" s="127">
        <f>'Monthly Data'!BM28</f>
        <v>27</v>
      </c>
      <c r="H28" s="127">
        <f>'Monthly Data'!BQ28</f>
        <v>0</v>
      </c>
      <c r="I28" s="127">
        <f>'Monthly Data'!BS28</f>
        <v>0</v>
      </c>
      <c r="J28" s="127">
        <f>'Monthly Data'!BU28</f>
        <v>0</v>
      </c>
      <c r="K28" s="127">
        <f>'Monthly Data'!BV28</f>
        <v>0</v>
      </c>
      <c r="L28" s="127">
        <f>'Monthly Data'!BW28</f>
        <v>0</v>
      </c>
      <c r="M28" s="127">
        <f>'Monthly Data'!CC28</f>
        <v>31</v>
      </c>
      <c r="N28" s="127">
        <f>'Monthly Data'!CD28</f>
        <v>23</v>
      </c>
      <c r="P28" s="127">
        <f>'GS &gt; 50 OLS Model'!$B$5</f>
        <v>-8508488.8174217809</v>
      </c>
      <c r="Q28" s="186">
        <f ca="1">'GS &gt; 50 OLS Model'!$B$6*D28</f>
        <v>11115850.64901193</v>
      </c>
      <c r="R28" s="186">
        <f ca="1">'GS &gt; 50 OLS Model'!$B$7*E28</f>
        <v>32280.080351483153</v>
      </c>
      <c r="S28" s="186">
        <f>'GS &gt; 50 OLS Model'!$B$8*F28</f>
        <v>29880772.387603872</v>
      </c>
      <c r="T28" s="186">
        <v>0</v>
      </c>
      <c r="U28" s="186">
        <f>'GS &gt; 50 OLS Model'!$B$9*H28</f>
        <v>0</v>
      </c>
      <c r="V28" s="186">
        <f>'GS &gt; 50 OLS Model'!$B$10*I28</f>
        <v>0</v>
      </c>
      <c r="W28" s="186">
        <f>'GS &gt; 50 OLS Model'!$B$11*J28</f>
        <v>0</v>
      </c>
      <c r="X28" s="186">
        <f>'GS &gt; 50 OLS Model'!$B$12*K28</f>
        <v>0</v>
      </c>
      <c r="Y28" s="186">
        <v>0</v>
      </c>
      <c r="Z28" s="186">
        <f>'GS &gt; 50 OLS Model'!$B$13*M28</f>
        <v>34669572.13485463</v>
      </c>
      <c r="AA28" s="186">
        <f>'GS &gt; 50 OLS Model'!$B$14*N28</f>
        <v>15045558.380754331</v>
      </c>
      <c r="AB28" s="127">
        <f t="shared" ca="1" si="2"/>
        <v>82235544.815154478</v>
      </c>
    </row>
    <row r="29" spans="1:28">
      <c r="A29" s="128">
        <f>'Monthly Data'!A29</f>
        <v>40634</v>
      </c>
      <c r="B29" s="127">
        <f t="shared" si="1"/>
        <v>2011</v>
      </c>
      <c r="C29" s="127">
        <f ca="1">'Monthly Data'!O29</f>
        <v>73145108.283973634</v>
      </c>
      <c r="D29" s="127">
        <f t="shared" ca="1" si="4"/>
        <v>254.29052631578941</v>
      </c>
      <c r="E29" s="127">
        <f t="shared" ca="1" si="4"/>
        <v>0.50947368421054762</v>
      </c>
      <c r="F29" s="127">
        <f>'Monthly Data'!BL29</f>
        <v>570633.30000000005</v>
      </c>
      <c r="G29" s="127">
        <f>'Monthly Data'!BM29</f>
        <v>28</v>
      </c>
      <c r="H29" s="127">
        <f>'Monthly Data'!BQ29</f>
        <v>1</v>
      </c>
      <c r="I29" s="127">
        <f>'Monthly Data'!BS29</f>
        <v>0</v>
      </c>
      <c r="J29" s="127">
        <f>'Monthly Data'!BU29</f>
        <v>0</v>
      </c>
      <c r="K29" s="127">
        <f>'Monthly Data'!BV29</f>
        <v>0</v>
      </c>
      <c r="L29" s="127">
        <f>'Monthly Data'!BW29</f>
        <v>0</v>
      </c>
      <c r="M29" s="127">
        <f>'Monthly Data'!CC29</f>
        <v>30</v>
      </c>
      <c r="N29" s="127">
        <f>'Monthly Data'!CD29</f>
        <v>19</v>
      </c>
      <c r="P29" s="127">
        <f>'GS &gt; 50 OLS Model'!$B$5</f>
        <v>-8508488.8174217809</v>
      </c>
      <c r="Q29" s="186">
        <f ca="1">'GS &gt; 50 OLS Model'!$B$6*D29</f>
        <v>6165485.8109845407</v>
      </c>
      <c r="R29" s="186">
        <f ca="1">'GS &gt; 50 OLS Model'!$B$7*E29</f>
        <v>36370.107160236068</v>
      </c>
      <c r="S29" s="186">
        <f>'GS &gt; 50 OLS Model'!$B$8*F29</f>
        <v>29880772.387603872</v>
      </c>
      <c r="T29" s="186">
        <v>0</v>
      </c>
      <c r="U29" s="186">
        <f>'GS &gt; 50 OLS Model'!$B$9*H29</f>
        <v>-1670359.8066300801</v>
      </c>
      <c r="V29" s="186">
        <f>'GS &gt; 50 OLS Model'!$B$10*I29</f>
        <v>0</v>
      </c>
      <c r="W29" s="186">
        <f>'GS &gt; 50 OLS Model'!$B$11*J29</f>
        <v>0</v>
      </c>
      <c r="X29" s="186">
        <f>'GS &gt; 50 OLS Model'!$B$12*K29</f>
        <v>0</v>
      </c>
      <c r="Y29" s="186">
        <v>0</v>
      </c>
      <c r="Z29" s="186">
        <f>'GS &gt; 50 OLS Model'!$B$13*M29</f>
        <v>33551198.840181898</v>
      </c>
      <c r="AA29" s="186">
        <f>'GS &gt; 50 OLS Model'!$B$14*N29</f>
        <v>12428939.531927491</v>
      </c>
      <c r="AB29" s="127">
        <f t="shared" ca="1" si="2"/>
        <v>71883918.053806186</v>
      </c>
    </row>
    <row r="30" spans="1:28">
      <c r="A30" s="128">
        <f>'Monthly Data'!A30</f>
        <v>40664</v>
      </c>
      <c r="B30" s="127">
        <f t="shared" si="1"/>
        <v>2011</v>
      </c>
      <c r="C30" s="127">
        <f ca="1">'Monthly Data'!O30</f>
        <v>74301939.895448625</v>
      </c>
      <c r="D30" s="127">
        <f t="shared" ca="1" si="4"/>
        <v>102.64150375939857</v>
      </c>
      <c r="E30" s="127">
        <f t="shared" ca="1" si="4"/>
        <v>56.062781954887214</v>
      </c>
      <c r="F30" s="127">
        <f>'Monthly Data'!BL30</f>
        <v>570633.30000000005</v>
      </c>
      <c r="G30" s="127">
        <f>'Monthly Data'!BM30</f>
        <v>29</v>
      </c>
      <c r="H30" s="127">
        <f>'Monthly Data'!BQ30</f>
        <v>0</v>
      </c>
      <c r="I30" s="127">
        <f>'Monthly Data'!BS30</f>
        <v>0</v>
      </c>
      <c r="J30" s="127">
        <f>'Monthly Data'!BU30</f>
        <v>0</v>
      </c>
      <c r="K30" s="127">
        <f>'Monthly Data'!BV30</f>
        <v>0</v>
      </c>
      <c r="L30" s="127">
        <f>'Monthly Data'!BW30</f>
        <v>0</v>
      </c>
      <c r="M30" s="127">
        <f>'Monthly Data'!CC30</f>
        <v>31</v>
      </c>
      <c r="N30" s="127">
        <f>'Monthly Data'!CD30</f>
        <v>21</v>
      </c>
      <c r="P30" s="127">
        <f>'GS &gt; 50 OLS Model'!$B$5</f>
        <v>-8508488.8174217809</v>
      </c>
      <c r="Q30" s="186">
        <f ca="1">'GS &gt; 50 OLS Model'!$B$6*D30</f>
        <v>2488628.8302412247</v>
      </c>
      <c r="R30" s="186">
        <f ca="1">'GS &gt; 50 OLS Model'!$B$7*E30</f>
        <v>4002187.8471696409</v>
      </c>
      <c r="S30" s="186">
        <f>'GS &gt; 50 OLS Model'!$B$8*F30</f>
        <v>29880772.387603872</v>
      </c>
      <c r="T30" s="186">
        <v>0</v>
      </c>
      <c r="U30" s="186">
        <f>'GS &gt; 50 OLS Model'!$B$9*H30</f>
        <v>0</v>
      </c>
      <c r="V30" s="186">
        <f>'GS &gt; 50 OLS Model'!$B$10*I30</f>
        <v>0</v>
      </c>
      <c r="W30" s="186">
        <f>'GS &gt; 50 OLS Model'!$B$11*J30</f>
        <v>0</v>
      </c>
      <c r="X30" s="186">
        <f>'GS &gt; 50 OLS Model'!$B$12*K30</f>
        <v>0</v>
      </c>
      <c r="Y30" s="186">
        <v>0</v>
      </c>
      <c r="Z30" s="186">
        <f>'GS &gt; 50 OLS Model'!$B$13*M30</f>
        <v>34669572.13485463</v>
      </c>
      <c r="AA30" s="186">
        <f>'GS &gt; 50 OLS Model'!$B$14*N30</f>
        <v>13737248.956340911</v>
      </c>
      <c r="AB30" s="127">
        <f t="shared" ca="1" si="2"/>
        <v>76269921.338788494</v>
      </c>
    </row>
    <row r="31" spans="1:28">
      <c r="A31" s="128">
        <f>'Monthly Data'!A31</f>
        <v>40695</v>
      </c>
      <c r="B31" s="127">
        <f t="shared" si="1"/>
        <v>2011</v>
      </c>
      <c r="C31" s="127">
        <f ca="1">'Monthly Data'!O31</f>
        <v>79491543.190818623</v>
      </c>
      <c r="D31" s="127">
        <f t="shared" ca="1" si="4"/>
        <v>0.39669172932326546</v>
      </c>
      <c r="E31" s="127">
        <f t="shared" ca="1" si="4"/>
        <v>116.89315789473682</v>
      </c>
      <c r="F31" s="127">
        <f>'Monthly Data'!BL31</f>
        <v>570633.30000000005</v>
      </c>
      <c r="G31" s="127">
        <f>'Monthly Data'!BM31</f>
        <v>30</v>
      </c>
      <c r="H31" s="127">
        <f>'Monthly Data'!BQ31</f>
        <v>0</v>
      </c>
      <c r="I31" s="127">
        <f>'Monthly Data'!BS31</f>
        <v>1</v>
      </c>
      <c r="J31" s="127">
        <f>'Monthly Data'!BU31</f>
        <v>0</v>
      </c>
      <c r="K31" s="127">
        <f>'Monthly Data'!BV31</f>
        <v>0</v>
      </c>
      <c r="L31" s="127">
        <f>'Monthly Data'!BW31</f>
        <v>0</v>
      </c>
      <c r="M31" s="127">
        <f>'Monthly Data'!CC31</f>
        <v>30</v>
      </c>
      <c r="N31" s="127">
        <f>'Monthly Data'!CD31</f>
        <v>22</v>
      </c>
      <c r="P31" s="127">
        <f>'GS &gt; 50 OLS Model'!$B$5</f>
        <v>-8508488.8174217809</v>
      </c>
      <c r="Q31" s="186">
        <f ca="1">'GS &gt; 50 OLS Model'!$B$6*D31</f>
        <v>9618.1216969137586</v>
      </c>
      <c r="R31" s="186">
        <f ca="1">'GS &gt; 50 OLS Model'!$B$7*E31</f>
        <v>8344722.8202134408</v>
      </c>
      <c r="S31" s="186">
        <f>'GS &gt; 50 OLS Model'!$B$8*F31</f>
        <v>29880772.387603872</v>
      </c>
      <c r="T31" s="186">
        <v>0</v>
      </c>
      <c r="U31" s="186">
        <f>'GS &gt; 50 OLS Model'!$B$9*H31</f>
        <v>0</v>
      </c>
      <c r="V31" s="186">
        <f>'GS &gt; 50 OLS Model'!$B$10*I31</f>
        <v>1244451.2383117899</v>
      </c>
      <c r="W31" s="186">
        <f>'GS &gt; 50 OLS Model'!$B$11*J31</f>
        <v>0</v>
      </c>
      <c r="X31" s="186">
        <f>'GS &gt; 50 OLS Model'!$B$12*K31</f>
        <v>0</v>
      </c>
      <c r="Y31" s="186">
        <v>0</v>
      </c>
      <c r="Z31" s="186">
        <f>'GS &gt; 50 OLS Model'!$B$13*M31</f>
        <v>33551198.840181898</v>
      </c>
      <c r="AA31" s="186">
        <f>'GS &gt; 50 OLS Model'!$B$14*N31</f>
        <v>14391403.668547621</v>
      </c>
      <c r="AB31" s="127">
        <f t="shared" ca="1" si="2"/>
        <v>78913678.259133756</v>
      </c>
    </row>
    <row r="32" spans="1:28">
      <c r="A32" s="128">
        <f>'Monthly Data'!A32</f>
        <v>40725</v>
      </c>
      <c r="B32" s="127">
        <f t="shared" si="1"/>
        <v>2011</v>
      </c>
      <c r="C32" s="127">
        <f ca="1">'Monthly Data'!O32</f>
        <v>85669531.856941611</v>
      </c>
      <c r="D32" s="127">
        <f t="shared" ca="1" si="4"/>
        <v>0.58105263157894704</v>
      </c>
      <c r="E32" s="127">
        <f t="shared" ca="1" si="4"/>
        <v>186.96526315789481</v>
      </c>
      <c r="F32" s="127">
        <f>'Monthly Data'!BL32</f>
        <v>570633.30000000005</v>
      </c>
      <c r="G32" s="127">
        <f>'Monthly Data'!BM32</f>
        <v>31</v>
      </c>
      <c r="H32" s="127">
        <f>'Monthly Data'!BQ32</f>
        <v>0</v>
      </c>
      <c r="I32" s="127">
        <f>'Monthly Data'!BS32</f>
        <v>0</v>
      </c>
      <c r="J32" s="127">
        <f>'Monthly Data'!BU32</f>
        <v>0</v>
      </c>
      <c r="K32" s="127">
        <f>'Monthly Data'!BV32</f>
        <v>0</v>
      </c>
      <c r="L32" s="127">
        <f>'Monthly Data'!BW32</f>
        <v>0</v>
      </c>
      <c r="M32" s="127">
        <f>'Monthly Data'!CC32</f>
        <v>31</v>
      </c>
      <c r="N32" s="127">
        <f>'Monthly Data'!CD32</f>
        <v>20</v>
      </c>
      <c r="P32" s="127">
        <f>'GS &gt; 50 OLS Model'!$B$5</f>
        <v>-8508488.8174217809</v>
      </c>
      <c r="Q32" s="186">
        <f ca="1">'GS &gt; 50 OLS Model'!$B$6*D32</f>
        <v>14088.105472660634</v>
      </c>
      <c r="R32" s="186">
        <f ca="1">'GS &gt; 50 OLS Model'!$B$7*E32</f>
        <v>13347002.734461535</v>
      </c>
      <c r="S32" s="186">
        <f>'GS &gt; 50 OLS Model'!$B$8*F32</f>
        <v>29880772.387603872</v>
      </c>
      <c r="T32" s="186">
        <v>0</v>
      </c>
      <c r="U32" s="186">
        <f>'GS &gt; 50 OLS Model'!$B$9*H32</f>
        <v>0</v>
      </c>
      <c r="V32" s="186">
        <f>'GS &gt; 50 OLS Model'!$B$10*I32</f>
        <v>0</v>
      </c>
      <c r="W32" s="186">
        <f>'GS &gt; 50 OLS Model'!$B$11*J32</f>
        <v>0</v>
      </c>
      <c r="X32" s="186">
        <f>'GS &gt; 50 OLS Model'!$B$12*K32</f>
        <v>0</v>
      </c>
      <c r="Y32" s="186">
        <v>0</v>
      </c>
      <c r="Z32" s="186">
        <f>'GS &gt; 50 OLS Model'!$B$13*M32</f>
        <v>34669572.13485463</v>
      </c>
      <c r="AA32" s="186">
        <f>'GS &gt; 50 OLS Model'!$B$14*N32</f>
        <v>13083094.244134201</v>
      </c>
      <c r="AB32" s="127">
        <f t="shared" ca="1" si="2"/>
        <v>82486040.789105117</v>
      </c>
    </row>
    <row r="33" spans="1:28">
      <c r="A33" s="128">
        <f>'Monthly Data'!A33</f>
        <v>40756</v>
      </c>
      <c r="B33" s="127">
        <f t="shared" si="1"/>
        <v>2011</v>
      </c>
      <c r="C33" s="127">
        <f ca="1">'Monthly Data'!O33</f>
        <v>85461087.222262934</v>
      </c>
      <c r="D33" s="127">
        <f t="shared" ca="1" si="4"/>
        <v>1.6660902255639058</v>
      </c>
      <c r="E33" s="127">
        <f t="shared" ca="1" si="4"/>
        <v>167.43443609022574</v>
      </c>
      <c r="F33" s="127">
        <f>'Monthly Data'!BL33</f>
        <v>570633.30000000005</v>
      </c>
      <c r="G33" s="127">
        <f>'Monthly Data'!BM33</f>
        <v>32</v>
      </c>
      <c r="H33" s="127">
        <f>'Monthly Data'!BQ33</f>
        <v>0</v>
      </c>
      <c r="I33" s="127">
        <f>'Monthly Data'!BS33</f>
        <v>0</v>
      </c>
      <c r="J33" s="127">
        <f>'Monthly Data'!BU33</f>
        <v>1</v>
      </c>
      <c r="K33" s="127">
        <f>'Monthly Data'!BV33</f>
        <v>0</v>
      </c>
      <c r="L33" s="127">
        <f>'Monthly Data'!BW33</f>
        <v>0</v>
      </c>
      <c r="M33" s="127">
        <f>'Monthly Data'!CC33</f>
        <v>31</v>
      </c>
      <c r="N33" s="127">
        <f>'Monthly Data'!CD33</f>
        <v>22</v>
      </c>
      <c r="P33" s="127">
        <f>'GS &gt; 50 OLS Model'!$B$5</f>
        <v>-8508488.8174217809</v>
      </c>
      <c r="Q33" s="186">
        <f ca="1">'GS &gt; 50 OLS Model'!$B$6*D33</f>
        <v>40395.746528039141</v>
      </c>
      <c r="R33" s="186">
        <f ca="1">'GS &gt; 50 OLS Model'!$B$7*E33</f>
        <v>11952743.72679588</v>
      </c>
      <c r="S33" s="186">
        <f>'GS &gt; 50 OLS Model'!$B$8*F33</f>
        <v>29880772.387603872</v>
      </c>
      <c r="T33" s="186">
        <v>0</v>
      </c>
      <c r="U33" s="186">
        <f>'GS &gt; 50 OLS Model'!$B$9*H33</f>
        <v>0</v>
      </c>
      <c r="V33" s="186">
        <f>'GS &gt; 50 OLS Model'!$B$10*I33</f>
        <v>0</v>
      </c>
      <c r="W33" s="186">
        <f>'GS &gt; 50 OLS Model'!$B$11*J33</f>
        <v>2505717.0713192602</v>
      </c>
      <c r="X33" s="186">
        <f>'GS &gt; 50 OLS Model'!$B$12*K33</f>
        <v>0</v>
      </c>
      <c r="Y33" s="186">
        <v>0</v>
      </c>
      <c r="Z33" s="186">
        <f>'GS &gt; 50 OLS Model'!$B$13*M33</f>
        <v>34669572.13485463</v>
      </c>
      <c r="AA33" s="186">
        <f>'GS &gt; 50 OLS Model'!$B$14*N33</f>
        <v>14391403.668547621</v>
      </c>
      <c r="AB33" s="127">
        <f t="shared" ca="1" si="2"/>
        <v>84932115.918227509</v>
      </c>
    </row>
    <row r="34" spans="1:28">
      <c r="A34" s="128">
        <f>'Monthly Data'!A34</f>
        <v>40787</v>
      </c>
      <c r="B34" s="127">
        <f t="shared" si="1"/>
        <v>2011</v>
      </c>
      <c r="C34" s="127">
        <f ca="1">'Monthly Data'!O34</f>
        <v>75648608.630284414</v>
      </c>
      <c r="D34" s="127">
        <f t="shared" ref="D34:E49" ca="1" si="5">D22</f>
        <v>30.410827067669118</v>
      </c>
      <c r="E34" s="127">
        <f t="shared" ca="1" si="5"/>
        <v>83.003533834586506</v>
      </c>
      <c r="F34" s="127">
        <f>'Monthly Data'!BL34</f>
        <v>570633.30000000005</v>
      </c>
      <c r="G34" s="127">
        <f>'Monthly Data'!BM34</f>
        <v>33</v>
      </c>
      <c r="H34" s="127">
        <f>'Monthly Data'!BQ34</f>
        <v>0</v>
      </c>
      <c r="I34" s="127">
        <f>'Monthly Data'!BS34</f>
        <v>0</v>
      </c>
      <c r="J34" s="127">
        <f>'Monthly Data'!BU34</f>
        <v>0</v>
      </c>
      <c r="K34" s="127">
        <f>'Monthly Data'!BV34</f>
        <v>1</v>
      </c>
      <c r="L34" s="127">
        <f>'Monthly Data'!BW34</f>
        <v>0</v>
      </c>
      <c r="M34" s="127">
        <f>'Monthly Data'!CC34</f>
        <v>30</v>
      </c>
      <c r="N34" s="127">
        <f>'Monthly Data'!CD34</f>
        <v>21</v>
      </c>
      <c r="P34" s="127">
        <f>'GS &gt; 50 OLS Model'!$B$5</f>
        <v>-8508488.8174217809</v>
      </c>
      <c r="Q34" s="186">
        <f ca="1">'GS &gt; 50 OLS Model'!$B$6*D34</f>
        <v>737335.85557637212</v>
      </c>
      <c r="R34" s="186">
        <f ca="1">'GS &gt; 50 OLS Model'!$B$7*E34</f>
        <v>5925423.6554338057</v>
      </c>
      <c r="S34" s="186">
        <f>'GS &gt; 50 OLS Model'!$B$8*F34</f>
        <v>29880772.387603872</v>
      </c>
      <c r="T34" s="186">
        <v>0</v>
      </c>
      <c r="U34" s="186">
        <f>'GS &gt; 50 OLS Model'!$B$9*H34</f>
        <v>0</v>
      </c>
      <c r="V34" s="186">
        <f>'GS &gt; 50 OLS Model'!$B$10*I34</f>
        <v>0</v>
      </c>
      <c r="W34" s="186">
        <f>'GS &gt; 50 OLS Model'!$B$11*J34</f>
        <v>0</v>
      </c>
      <c r="X34" s="186">
        <f>'GS &gt; 50 OLS Model'!$B$12*K34</f>
        <v>2345350.8919449002</v>
      </c>
      <c r="Y34" s="186">
        <v>0</v>
      </c>
      <c r="Z34" s="186">
        <f>'GS &gt; 50 OLS Model'!$B$13*M34</f>
        <v>33551198.840181898</v>
      </c>
      <c r="AA34" s="186">
        <f>'GS &gt; 50 OLS Model'!$B$14*N34</f>
        <v>13737248.956340911</v>
      </c>
      <c r="AB34" s="127">
        <f t="shared" ca="1" si="2"/>
        <v>77668841.769659981</v>
      </c>
    </row>
    <row r="35" spans="1:28">
      <c r="A35" s="128">
        <f>'Monthly Data'!A35</f>
        <v>40817</v>
      </c>
      <c r="B35" s="127">
        <f t="shared" si="1"/>
        <v>2011</v>
      </c>
      <c r="C35" s="127">
        <f ca="1">'Monthly Data'!O35</f>
        <v>74971165.15079917</v>
      </c>
      <c r="D35" s="127">
        <f t="shared" ca="1" si="5"/>
        <v>158.93676691729343</v>
      </c>
      <c r="E35" s="127">
        <f t="shared" ca="1" si="5"/>
        <v>16.916090225563948</v>
      </c>
      <c r="F35" s="127">
        <f>'Monthly Data'!BL35</f>
        <v>570633.30000000005</v>
      </c>
      <c r="G35" s="127">
        <f>'Monthly Data'!BM35</f>
        <v>34</v>
      </c>
      <c r="H35" s="127">
        <f>'Monthly Data'!BQ35</f>
        <v>0</v>
      </c>
      <c r="I35" s="127">
        <f>'Monthly Data'!BS35</f>
        <v>0</v>
      </c>
      <c r="J35" s="127">
        <f>'Monthly Data'!BU35</f>
        <v>0</v>
      </c>
      <c r="K35" s="127">
        <f>'Monthly Data'!BV35</f>
        <v>0</v>
      </c>
      <c r="L35" s="127">
        <f>'Monthly Data'!BW35</f>
        <v>1</v>
      </c>
      <c r="M35" s="127">
        <f>'Monthly Data'!CC35</f>
        <v>31</v>
      </c>
      <c r="N35" s="127">
        <f>'Monthly Data'!CD35</f>
        <v>20</v>
      </c>
      <c r="P35" s="127">
        <f>'GS &gt; 50 OLS Model'!$B$5</f>
        <v>-8508488.8174217809</v>
      </c>
      <c r="Q35" s="186">
        <f ca="1">'GS &gt; 50 OLS Model'!$B$6*D35</f>
        <v>3853554.4185213498</v>
      </c>
      <c r="R35" s="186">
        <f ca="1">'GS &gt; 50 OLS Model'!$B$7*E35</f>
        <v>1207599.2014961967</v>
      </c>
      <c r="S35" s="186">
        <f>'GS &gt; 50 OLS Model'!$B$8*F35</f>
        <v>29880772.387603872</v>
      </c>
      <c r="T35" s="186">
        <v>0</v>
      </c>
      <c r="U35" s="186">
        <f>'GS &gt; 50 OLS Model'!$B$9*H35</f>
        <v>0</v>
      </c>
      <c r="V35" s="186">
        <f>'GS &gt; 50 OLS Model'!$B$10*I35</f>
        <v>0</v>
      </c>
      <c r="W35" s="186">
        <f>'GS &gt; 50 OLS Model'!$B$11*J35</f>
        <v>0</v>
      </c>
      <c r="X35" s="186">
        <f>'GS &gt; 50 OLS Model'!$B$12*K35</f>
        <v>0</v>
      </c>
      <c r="Y35" s="186">
        <v>0</v>
      </c>
      <c r="Z35" s="186">
        <f>'GS &gt; 50 OLS Model'!$B$13*M35</f>
        <v>34669572.13485463</v>
      </c>
      <c r="AA35" s="186">
        <f>'GS &gt; 50 OLS Model'!$B$14*N35</f>
        <v>13083094.244134201</v>
      </c>
      <c r="AB35" s="127">
        <f t="shared" ca="1" si="2"/>
        <v>74186103.569188461</v>
      </c>
    </row>
    <row r="36" spans="1:28">
      <c r="A36" s="128">
        <f>'Monthly Data'!A36</f>
        <v>40848</v>
      </c>
      <c r="B36" s="127">
        <f t="shared" si="1"/>
        <v>2011</v>
      </c>
      <c r="C36" s="127">
        <f ca="1">'Monthly Data'!O36</f>
        <v>75882976.979724109</v>
      </c>
      <c r="D36" s="127">
        <f t="shared" ca="1" si="5"/>
        <v>375.92533834586447</v>
      </c>
      <c r="E36" s="127">
        <f t="shared" ca="1" si="5"/>
        <v>8.120300751879661E-2</v>
      </c>
      <c r="F36" s="127">
        <f>'Monthly Data'!BL36</f>
        <v>570633.30000000005</v>
      </c>
      <c r="G36" s="127">
        <f>'Monthly Data'!BM36</f>
        <v>35</v>
      </c>
      <c r="H36" s="127">
        <f>'Monthly Data'!BQ36</f>
        <v>0</v>
      </c>
      <c r="I36" s="127">
        <f>'Monthly Data'!BS36</f>
        <v>0</v>
      </c>
      <c r="J36" s="127">
        <f>'Monthly Data'!BU36</f>
        <v>0</v>
      </c>
      <c r="K36" s="127">
        <f>'Monthly Data'!BV36</f>
        <v>0</v>
      </c>
      <c r="L36" s="127">
        <f>'Monthly Data'!BW36</f>
        <v>0</v>
      </c>
      <c r="M36" s="127">
        <f>'Monthly Data'!CC36</f>
        <v>30</v>
      </c>
      <c r="N36" s="127">
        <f>'Monthly Data'!CD36</f>
        <v>22</v>
      </c>
      <c r="P36" s="127">
        <f>'GS &gt; 50 OLS Model'!$B$5</f>
        <v>-8508488.8174217809</v>
      </c>
      <c r="Q36" s="186">
        <f ca="1">'GS &gt; 50 OLS Model'!$B$6*D36</f>
        <v>9114623.234853385</v>
      </c>
      <c r="R36" s="186">
        <f ca="1">'GS &gt; 50 OLS Model'!$B$7*E36</f>
        <v>5796.8883903561291</v>
      </c>
      <c r="S36" s="186">
        <f>'GS &gt; 50 OLS Model'!$B$8*F36</f>
        <v>29880772.387603872</v>
      </c>
      <c r="T36" s="186">
        <v>0</v>
      </c>
      <c r="U36" s="186">
        <f>'GS &gt; 50 OLS Model'!$B$9*H36</f>
        <v>0</v>
      </c>
      <c r="V36" s="186">
        <f>'GS &gt; 50 OLS Model'!$B$10*I36</f>
        <v>0</v>
      </c>
      <c r="W36" s="186">
        <f>'GS &gt; 50 OLS Model'!$B$11*J36</f>
        <v>0</v>
      </c>
      <c r="X36" s="186">
        <f>'GS &gt; 50 OLS Model'!$B$12*K36</f>
        <v>0</v>
      </c>
      <c r="Y36" s="186">
        <v>0</v>
      </c>
      <c r="Z36" s="186">
        <f>'GS &gt; 50 OLS Model'!$B$13*M36</f>
        <v>33551198.840181898</v>
      </c>
      <c r="AA36" s="186">
        <f>'GS &gt; 50 OLS Model'!$B$14*N36</f>
        <v>14391403.668547621</v>
      </c>
      <c r="AB36" s="127">
        <f t="shared" ca="1" si="2"/>
        <v>78435306.202155352</v>
      </c>
    </row>
    <row r="37" spans="1:28">
      <c r="A37" s="128">
        <f>'Monthly Data'!A37</f>
        <v>40878</v>
      </c>
      <c r="B37" s="127">
        <f t="shared" si="1"/>
        <v>2011</v>
      </c>
      <c r="C37" s="127">
        <f ca="1">'Monthly Data'!O37</f>
        <v>79287692.662937596</v>
      </c>
      <c r="D37" s="127">
        <f t="shared" ca="1" si="5"/>
        <v>548.76120300751859</v>
      </c>
      <c r="E37" s="127">
        <f t="shared" ca="1" si="5"/>
        <v>0</v>
      </c>
      <c r="F37" s="127">
        <f>'Monthly Data'!BL37</f>
        <v>570633.30000000005</v>
      </c>
      <c r="G37" s="127">
        <f>'Monthly Data'!BM37</f>
        <v>36</v>
      </c>
      <c r="H37" s="127">
        <f>'Monthly Data'!BQ37</f>
        <v>0</v>
      </c>
      <c r="I37" s="127">
        <f>'Monthly Data'!BS37</f>
        <v>0</v>
      </c>
      <c r="J37" s="127">
        <f>'Monthly Data'!BU37</f>
        <v>0</v>
      </c>
      <c r="K37" s="127">
        <f>'Monthly Data'!BV37</f>
        <v>0</v>
      </c>
      <c r="L37" s="127">
        <f>'Monthly Data'!BW37</f>
        <v>0</v>
      </c>
      <c r="M37" s="127">
        <f>'Monthly Data'!CC37</f>
        <v>31</v>
      </c>
      <c r="N37" s="127">
        <f>'Monthly Data'!CD37</f>
        <v>20</v>
      </c>
      <c r="P37" s="127">
        <f>'GS &gt; 50 OLS Model'!$B$5</f>
        <v>-8508488.8174217809</v>
      </c>
      <c r="Q37" s="186">
        <f ca="1">'GS &gt; 50 OLS Model'!$B$6*D37</f>
        <v>13305172.865779633</v>
      </c>
      <c r="R37" s="186">
        <f ca="1">'GS &gt; 50 OLS Model'!$B$7*E37</f>
        <v>0</v>
      </c>
      <c r="S37" s="186">
        <f>'GS &gt; 50 OLS Model'!$B$8*F37</f>
        <v>29880772.387603872</v>
      </c>
      <c r="T37" s="186">
        <v>0</v>
      </c>
      <c r="U37" s="186">
        <f>'GS &gt; 50 OLS Model'!$B$9*H37</f>
        <v>0</v>
      </c>
      <c r="V37" s="186">
        <f>'GS &gt; 50 OLS Model'!$B$10*I37</f>
        <v>0</v>
      </c>
      <c r="W37" s="186">
        <f>'GS &gt; 50 OLS Model'!$B$11*J37</f>
        <v>0</v>
      </c>
      <c r="X37" s="186">
        <f>'GS &gt; 50 OLS Model'!$B$12*K37</f>
        <v>0</v>
      </c>
      <c r="Y37" s="186">
        <v>0</v>
      </c>
      <c r="Z37" s="186">
        <f>'GS &gt; 50 OLS Model'!$B$13*M37</f>
        <v>34669572.13485463</v>
      </c>
      <c r="AA37" s="186">
        <f>'GS &gt; 50 OLS Model'!$B$14*N37</f>
        <v>13083094.244134201</v>
      </c>
      <c r="AB37" s="127">
        <f t="shared" ca="1" si="2"/>
        <v>82430122.814950556</v>
      </c>
    </row>
    <row r="38" spans="1:28">
      <c r="A38" s="128">
        <f>'Monthly Data'!A38</f>
        <v>40909</v>
      </c>
      <c r="B38" s="127">
        <f t="shared" si="1"/>
        <v>2012</v>
      </c>
      <c r="C38" s="127">
        <f ca="1">'Monthly Data'!O38</f>
        <v>83627865.943462819</v>
      </c>
      <c r="D38" s="127">
        <f t="shared" ca="1" si="5"/>
        <v>665.14879699248104</v>
      </c>
      <c r="E38" s="127">
        <f t="shared" ca="1" si="5"/>
        <v>0</v>
      </c>
      <c r="F38" s="127">
        <f>'Monthly Data'!BL38</f>
        <v>578793.9</v>
      </c>
      <c r="G38" s="127">
        <f>'Monthly Data'!BM38</f>
        <v>37</v>
      </c>
      <c r="H38" s="127">
        <f>'Monthly Data'!BQ38</f>
        <v>0</v>
      </c>
      <c r="I38" s="127">
        <f>'Monthly Data'!BS38</f>
        <v>0</v>
      </c>
      <c r="J38" s="127">
        <f>'Monthly Data'!BU38</f>
        <v>0</v>
      </c>
      <c r="K38" s="127">
        <f>'Monthly Data'!BV38</f>
        <v>0</v>
      </c>
      <c r="L38" s="127">
        <f>'Monthly Data'!BW38</f>
        <v>0</v>
      </c>
      <c r="M38" s="127">
        <f>'Monthly Data'!CC38</f>
        <v>31</v>
      </c>
      <c r="N38" s="127">
        <f>'Monthly Data'!CD38</f>
        <v>21</v>
      </c>
      <c r="P38" s="127">
        <f>'GS &gt; 50 OLS Model'!$B$5</f>
        <v>-8508488.8174217809</v>
      </c>
      <c r="Q38" s="186">
        <f ca="1">'GS &gt; 50 OLS Model'!$B$6*D38</f>
        <v>16127087.113571094</v>
      </c>
      <c r="R38" s="186">
        <f ca="1">'GS &gt; 50 OLS Model'!$B$7*E38</f>
        <v>0</v>
      </c>
      <c r="S38" s="186">
        <f>'GS &gt; 50 OLS Model'!$B$8*F38</f>
        <v>30308095.908937588</v>
      </c>
      <c r="T38" s="186">
        <v>0</v>
      </c>
      <c r="U38" s="186">
        <f>'GS &gt; 50 OLS Model'!$B$9*H38</f>
        <v>0</v>
      </c>
      <c r="V38" s="186">
        <f>'GS &gt; 50 OLS Model'!$B$10*I38</f>
        <v>0</v>
      </c>
      <c r="W38" s="186">
        <f>'GS &gt; 50 OLS Model'!$B$11*J38</f>
        <v>0</v>
      </c>
      <c r="X38" s="186">
        <f>'GS &gt; 50 OLS Model'!$B$12*K38</f>
        <v>0</v>
      </c>
      <c r="Y38" s="186">
        <v>0</v>
      </c>
      <c r="Z38" s="186">
        <f>'GS &gt; 50 OLS Model'!$B$13*M38</f>
        <v>34669572.13485463</v>
      </c>
      <c r="AA38" s="186">
        <f>'GS &gt; 50 OLS Model'!$B$14*N38</f>
        <v>13737248.956340911</v>
      </c>
      <c r="AB38" s="127">
        <f t="shared" ca="1" si="2"/>
        <v>86333515.29628244</v>
      </c>
    </row>
    <row r="39" spans="1:28">
      <c r="A39" s="128">
        <f>'Monthly Data'!A39</f>
        <v>40940</v>
      </c>
      <c r="B39" s="127">
        <f t="shared" si="1"/>
        <v>2012</v>
      </c>
      <c r="C39" s="127">
        <f ca="1">'Monthly Data'!O39</f>
        <v>78960983.658556581</v>
      </c>
      <c r="D39" s="127">
        <f t="shared" ca="1" si="5"/>
        <v>611.17548872180487</v>
      </c>
      <c r="E39" s="127">
        <f t="shared" ca="1" si="5"/>
        <v>0</v>
      </c>
      <c r="F39" s="127">
        <f>'Monthly Data'!BL39</f>
        <v>578793.9</v>
      </c>
      <c r="G39" s="127">
        <f>'Monthly Data'!BM39</f>
        <v>38</v>
      </c>
      <c r="H39" s="127">
        <f>'Monthly Data'!BQ39</f>
        <v>0</v>
      </c>
      <c r="I39" s="127">
        <f>'Monthly Data'!BS39</f>
        <v>0</v>
      </c>
      <c r="J39" s="127">
        <f>'Monthly Data'!BU39</f>
        <v>0</v>
      </c>
      <c r="K39" s="127">
        <f>'Monthly Data'!BV39</f>
        <v>0</v>
      </c>
      <c r="L39" s="127">
        <f>'Monthly Data'!BW39</f>
        <v>0</v>
      </c>
      <c r="M39" s="127">
        <f>'Monthly Data'!CC39</f>
        <v>29</v>
      </c>
      <c r="N39" s="127">
        <f>'Monthly Data'!CD39</f>
        <v>20</v>
      </c>
      <c r="P39" s="127">
        <f>'GS &gt; 50 OLS Model'!$B$5</f>
        <v>-8508488.8174217809</v>
      </c>
      <c r="Q39" s="186">
        <f ca="1">'GS &gt; 50 OLS Model'!$B$6*D39</f>
        <v>14818459.257331191</v>
      </c>
      <c r="R39" s="186">
        <f ca="1">'GS &gt; 50 OLS Model'!$B$7*E39</f>
        <v>0</v>
      </c>
      <c r="S39" s="186">
        <f>'GS &gt; 50 OLS Model'!$B$8*F39</f>
        <v>30308095.908937588</v>
      </c>
      <c r="T39" s="186">
        <v>0</v>
      </c>
      <c r="U39" s="186">
        <f>'GS &gt; 50 OLS Model'!$B$9*H39</f>
        <v>0</v>
      </c>
      <c r="V39" s="186">
        <f>'GS &gt; 50 OLS Model'!$B$10*I39</f>
        <v>0</v>
      </c>
      <c r="W39" s="186">
        <f>'GS &gt; 50 OLS Model'!$B$11*J39</f>
        <v>0</v>
      </c>
      <c r="X39" s="186">
        <f>'GS &gt; 50 OLS Model'!$B$12*K39</f>
        <v>0</v>
      </c>
      <c r="Y39" s="186">
        <v>0</v>
      </c>
      <c r="Z39" s="186">
        <f>'GS &gt; 50 OLS Model'!$B$13*M39</f>
        <v>32432825.545509167</v>
      </c>
      <c r="AA39" s="186">
        <f>'GS &gt; 50 OLS Model'!$B$14*N39</f>
        <v>13083094.244134201</v>
      </c>
      <c r="AB39" s="127">
        <f t="shared" ca="1" si="2"/>
        <v>82133986.138490364</v>
      </c>
    </row>
    <row r="40" spans="1:28">
      <c r="A40" s="128">
        <f>'Monthly Data'!A40</f>
        <v>40969</v>
      </c>
      <c r="B40" s="127">
        <f t="shared" si="1"/>
        <v>2012</v>
      </c>
      <c r="C40" s="127">
        <f ca="1">'Monthly Data'!O40</f>
        <v>78967146.21412468</v>
      </c>
      <c r="D40" s="127">
        <f t="shared" ca="1" si="5"/>
        <v>458.46436090225569</v>
      </c>
      <c r="E40" s="127">
        <f t="shared" ca="1" si="5"/>
        <v>0.45218045112781802</v>
      </c>
      <c r="F40" s="127">
        <f>'Monthly Data'!BL40</f>
        <v>578793.9</v>
      </c>
      <c r="G40" s="127">
        <f>'Monthly Data'!BM40</f>
        <v>39</v>
      </c>
      <c r="H40" s="127">
        <f>'Monthly Data'!BQ40</f>
        <v>0</v>
      </c>
      <c r="I40" s="127">
        <f>'Monthly Data'!BS40</f>
        <v>0</v>
      </c>
      <c r="J40" s="127">
        <f>'Monthly Data'!BU40</f>
        <v>0</v>
      </c>
      <c r="K40" s="127">
        <f>'Monthly Data'!BV40</f>
        <v>0</v>
      </c>
      <c r="L40" s="127">
        <f>'Monthly Data'!BW40</f>
        <v>0</v>
      </c>
      <c r="M40" s="127">
        <f>'Monthly Data'!CC40</f>
        <v>31</v>
      </c>
      <c r="N40" s="127">
        <f>'Monthly Data'!CD40</f>
        <v>22</v>
      </c>
      <c r="P40" s="127">
        <f>'GS &gt; 50 OLS Model'!$B$5</f>
        <v>-8508488.8174217809</v>
      </c>
      <c r="Q40" s="186">
        <f ca="1">'GS &gt; 50 OLS Model'!$B$6*D40</f>
        <v>11115850.64901193</v>
      </c>
      <c r="R40" s="186">
        <f ca="1">'GS &gt; 50 OLS Model'!$B$7*E40</f>
        <v>32280.080351483153</v>
      </c>
      <c r="S40" s="186">
        <f>'GS &gt; 50 OLS Model'!$B$8*F40</f>
        <v>30308095.908937588</v>
      </c>
      <c r="T40" s="186">
        <v>0</v>
      </c>
      <c r="U40" s="186">
        <f>'GS &gt; 50 OLS Model'!$B$9*H40</f>
        <v>0</v>
      </c>
      <c r="V40" s="186">
        <f>'GS &gt; 50 OLS Model'!$B$10*I40</f>
        <v>0</v>
      </c>
      <c r="W40" s="186">
        <f>'GS &gt; 50 OLS Model'!$B$11*J40</f>
        <v>0</v>
      </c>
      <c r="X40" s="186">
        <f>'GS &gt; 50 OLS Model'!$B$12*K40</f>
        <v>0</v>
      </c>
      <c r="Y40" s="186">
        <v>0</v>
      </c>
      <c r="Z40" s="186">
        <f>'GS &gt; 50 OLS Model'!$B$13*M40</f>
        <v>34669572.13485463</v>
      </c>
      <c r="AA40" s="186">
        <f>'GS &gt; 50 OLS Model'!$B$14*N40</f>
        <v>14391403.668547621</v>
      </c>
      <c r="AB40" s="127">
        <f t="shared" ca="1" si="2"/>
        <v>82008713.624281466</v>
      </c>
    </row>
    <row r="41" spans="1:28">
      <c r="A41" s="128">
        <f>'Monthly Data'!A41</f>
        <v>41000</v>
      </c>
      <c r="B41" s="127">
        <f t="shared" si="1"/>
        <v>2012</v>
      </c>
      <c r="C41" s="127">
        <f ca="1">'Monthly Data'!O41</f>
        <v>70404346.904171199</v>
      </c>
      <c r="D41" s="127">
        <f t="shared" ca="1" si="5"/>
        <v>254.29052631578941</v>
      </c>
      <c r="E41" s="127">
        <f t="shared" ca="1" si="5"/>
        <v>0.50947368421054762</v>
      </c>
      <c r="F41" s="127">
        <f>'Monthly Data'!BL41</f>
        <v>578793.9</v>
      </c>
      <c r="G41" s="127">
        <f>'Monthly Data'!BM41</f>
        <v>40</v>
      </c>
      <c r="H41" s="127">
        <f>'Monthly Data'!BQ41</f>
        <v>1</v>
      </c>
      <c r="I41" s="127">
        <f>'Monthly Data'!BS41</f>
        <v>0</v>
      </c>
      <c r="J41" s="127">
        <f>'Monthly Data'!BU41</f>
        <v>0</v>
      </c>
      <c r="K41" s="127">
        <f>'Monthly Data'!BV41</f>
        <v>0</v>
      </c>
      <c r="L41" s="127">
        <f>'Monthly Data'!BW41</f>
        <v>0</v>
      </c>
      <c r="M41" s="127">
        <f>'Monthly Data'!CC41</f>
        <v>30</v>
      </c>
      <c r="N41" s="127">
        <f>'Monthly Data'!CD41</f>
        <v>19</v>
      </c>
      <c r="P41" s="127">
        <f>'GS &gt; 50 OLS Model'!$B$5</f>
        <v>-8508488.8174217809</v>
      </c>
      <c r="Q41" s="186">
        <f ca="1">'GS &gt; 50 OLS Model'!$B$6*D41</f>
        <v>6165485.8109845407</v>
      </c>
      <c r="R41" s="186">
        <f ca="1">'GS &gt; 50 OLS Model'!$B$7*E41</f>
        <v>36370.107160236068</v>
      </c>
      <c r="S41" s="186">
        <f>'GS &gt; 50 OLS Model'!$B$8*F41</f>
        <v>30308095.908937588</v>
      </c>
      <c r="T41" s="186">
        <v>0</v>
      </c>
      <c r="U41" s="186">
        <f>'GS &gt; 50 OLS Model'!$B$9*H41</f>
        <v>-1670359.8066300801</v>
      </c>
      <c r="V41" s="186">
        <f>'GS &gt; 50 OLS Model'!$B$10*I41</f>
        <v>0</v>
      </c>
      <c r="W41" s="186">
        <f>'GS &gt; 50 OLS Model'!$B$11*J41</f>
        <v>0</v>
      </c>
      <c r="X41" s="186">
        <f>'GS &gt; 50 OLS Model'!$B$12*K41</f>
        <v>0</v>
      </c>
      <c r="Y41" s="186">
        <v>0</v>
      </c>
      <c r="Z41" s="186">
        <f>'GS &gt; 50 OLS Model'!$B$13*M41</f>
        <v>33551198.840181898</v>
      </c>
      <c r="AA41" s="186">
        <f>'GS &gt; 50 OLS Model'!$B$14*N41</f>
        <v>12428939.531927491</v>
      </c>
      <c r="AB41" s="127">
        <f t="shared" ca="1" si="2"/>
        <v>72311241.575139895</v>
      </c>
    </row>
    <row r="42" spans="1:28">
      <c r="A42" s="128">
        <f>'Monthly Data'!A42</f>
        <v>41030</v>
      </c>
      <c r="B42" s="127">
        <f t="shared" si="1"/>
        <v>2012</v>
      </c>
      <c r="C42" s="127">
        <f ca="1">'Monthly Data'!O42</f>
        <v>76707141.256383926</v>
      </c>
      <c r="D42" s="127">
        <f t="shared" ca="1" si="5"/>
        <v>102.64150375939857</v>
      </c>
      <c r="E42" s="127">
        <f t="shared" ca="1" si="5"/>
        <v>56.062781954887214</v>
      </c>
      <c r="F42" s="127">
        <f>'Monthly Data'!BL42</f>
        <v>578793.9</v>
      </c>
      <c r="G42" s="127">
        <f>'Monthly Data'!BM42</f>
        <v>41</v>
      </c>
      <c r="H42" s="127">
        <f>'Monthly Data'!BQ42</f>
        <v>0</v>
      </c>
      <c r="I42" s="127">
        <f>'Monthly Data'!BS42</f>
        <v>0</v>
      </c>
      <c r="J42" s="127">
        <f>'Monthly Data'!BU42</f>
        <v>0</v>
      </c>
      <c r="K42" s="127">
        <f>'Monthly Data'!BV42</f>
        <v>0</v>
      </c>
      <c r="L42" s="127">
        <f>'Monthly Data'!BW42</f>
        <v>0</v>
      </c>
      <c r="M42" s="127">
        <f>'Monthly Data'!CC42</f>
        <v>31</v>
      </c>
      <c r="N42" s="127">
        <f>'Monthly Data'!CD42</f>
        <v>22</v>
      </c>
      <c r="P42" s="127">
        <f>'GS &gt; 50 OLS Model'!$B$5</f>
        <v>-8508488.8174217809</v>
      </c>
      <c r="Q42" s="186">
        <f ca="1">'GS &gt; 50 OLS Model'!$B$6*D42</f>
        <v>2488628.8302412247</v>
      </c>
      <c r="R42" s="186">
        <f ca="1">'GS &gt; 50 OLS Model'!$B$7*E42</f>
        <v>4002187.8471696409</v>
      </c>
      <c r="S42" s="186">
        <f>'GS &gt; 50 OLS Model'!$B$8*F42</f>
        <v>30308095.908937588</v>
      </c>
      <c r="T42" s="186">
        <v>0</v>
      </c>
      <c r="U42" s="186">
        <f>'GS &gt; 50 OLS Model'!$B$9*H42</f>
        <v>0</v>
      </c>
      <c r="V42" s="186">
        <f>'GS &gt; 50 OLS Model'!$B$10*I42</f>
        <v>0</v>
      </c>
      <c r="W42" s="186">
        <f>'GS &gt; 50 OLS Model'!$B$11*J42</f>
        <v>0</v>
      </c>
      <c r="X42" s="186">
        <f>'GS &gt; 50 OLS Model'!$B$12*K42</f>
        <v>0</v>
      </c>
      <c r="Y42" s="186">
        <v>0</v>
      </c>
      <c r="Z42" s="186">
        <f>'GS &gt; 50 OLS Model'!$B$13*M42</f>
        <v>34669572.13485463</v>
      </c>
      <c r="AA42" s="186">
        <f>'GS &gt; 50 OLS Model'!$B$14*N42</f>
        <v>14391403.668547621</v>
      </c>
      <c r="AB42" s="127">
        <f t="shared" ca="1" si="2"/>
        <v>77351399.572328925</v>
      </c>
    </row>
    <row r="43" spans="1:28">
      <c r="A43" s="128">
        <f>'Monthly Data'!A43</f>
        <v>41061</v>
      </c>
      <c r="B43" s="127">
        <f t="shared" si="1"/>
        <v>2012</v>
      </c>
      <c r="C43" s="127">
        <f ca="1">'Monthly Data'!O43</f>
        <v>81073916.050987154</v>
      </c>
      <c r="D43" s="127">
        <f t="shared" ca="1" si="5"/>
        <v>0.39669172932326546</v>
      </c>
      <c r="E43" s="127">
        <f t="shared" ca="1" si="5"/>
        <v>116.89315789473682</v>
      </c>
      <c r="F43" s="127">
        <f>'Monthly Data'!BL43</f>
        <v>578793.9</v>
      </c>
      <c r="G43" s="127">
        <f>'Monthly Data'!BM43</f>
        <v>42</v>
      </c>
      <c r="H43" s="127">
        <f>'Monthly Data'!BQ43</f>
        <v>0</v>
      </c>
      <c r="I43" s="127">
        <f>'Monthly Data'!BS43</f>
        <v>1</v>
      </c>
      <c r="J43" s="127">
        <f>'Monthly Data'!BU43</f>
        <v>0</v>
      </c>
      <c r="K43" s="127">
        <f>'Monthly Data'!BV43</f>
        <v>0</v>
      </c>
      <c r="L43" s="127">
        <f>'Monthly Data'!BW43</f>
        <v>0</v>
      </c>
      <c r="M43" s="127">
        <f>'Monthly Data'!CC43</f>
        <v>30</v>
      </c>
      <c r="N43" s="127">
        <f>'Monthly Data'!CD43</f>
        <v>21</v>
      </c>
      <c r="P43" s="127">
        <f>'GS &gt; 50 OLS Model'!$B$5</f>
        <v>-8508488.8174217809</v>
      </c>
      <c r="Q43" s="186">
        <f ca="1">'GS &gt; 50 OLS Model'!$B$6*D43</f>
        <v>9618.1216969137586</v>
      </c>
      <c r="R43" s="186">
        <f ca="1">'GS &gt; 50 OLS Model'!$B$7*E43</f>
        <v>8344722.8202134408</v>
      </c>
      <c r="S43" s="186">
        <f>'GS &gt; 50 OLS Model'!$B$8*F43</f>
        <v>30308095.908937588</v>
      </c>
      <c r="T43" s="186">
        <v>0</v>
      </c>
      <c r="U43" s="186">
        <f>'GS &gt; 50 OLS Model'!$B$9*H43</f>
        <v>0</v>
      </c>
      <c r="V43" s="186">
        <f>'GS &gt; 50 OLS Model'!$B$10*I43</f>
        <v>1244451.2383117899</v>
      </c>
      <c r="W43" s="186">
        <f>'GS &gt; 50 OLS Model'!$B$11*J43</f>
        <v>0</v>
      </c>
      <c r="X43" s="186">
        <f>'GS &gt; 50 OLS Model'!$B$12*K43</f>
        <v>0</v>
      </c>
      <c r="Y43" s="186">
        <v>0</v>
      </c>
      <c r="Z43" s="186">
        <f>'GS &gt; 50 OLS Model'!$B$13*M43</f>
        <v>33551198.840181898</v>
      </c>
      <c r="AA43" s="186">
        <f>'GS &gt; 50 OLS Model'!$B$14*N43</f>
        <v>13737248.956340911</v>
      </c>
      <c r="AB43" s="127">
        <f t="shared" ca="1" si="2"/>
        <v>78686847.068260759</v>
      </c>
    </row>
    <row r="44" spans="1:28">
      <c r="A44" s="128">
        <f>'Monthly Data'!A44</f>
        <v>41091</v>
      </c>
      <c r="B44" s="127">
        <f t="shared" si="1"/>
        <v>2012</v>
      </c>
      <c r="C44" s="127">
        <f ca="1">'Monthly Data'!O44</f>
        <v>86497634.17916283</v>
      </c>
      <c r="D44" s="127">
        <f t="shared" ca="1" si="5"/>
        <v>0.58105263157894704</v>
      </c>
      <c r="E44" s="127">
        <f t="shared" ca="1" si="5"/>
        <v>186.96526315789481</v>
      </c>
      <c r="F44" s="127">
        <f>'Monthly Data'!BL44</f>
        <v>578793.9</v>
      </c>
      <c r="G44" s="127">
        <f>'Monthly Data'!BM44</f>
        <v>43</v>
      </c>
      <c r="H44" s="127">
        <f>'Monthly Data'!BQ44</f>
        <v>0</v>
      </c>
      <c r="I44" s="127">
        <f>'Monthly Data'!BS44</f>
        <v>0</v>
      </c>
      <c r="J44" s="127">
        <f>'Monthly Data'!BU44</f>
        <v>0</v>
      </c>
      <c r="K44" s="127">
        <f>'Monthly Data'!BV44</f>
        <v>0</v>
      </c>
      <c r="L44" s="127">
        <f>'Monthly Data'!BW44</f>
        <v>0</v>
      </c>
      <c r="M44" s="127">
        <f>'Monthly Data'!CC44</f>
        <v>31</v>
      </c>
      <c r="N44" s="127">
        <f>'Monthly Data'!CD44</f>
        <v>21</v>
      </c>
      <c r="P44" s="127">
        <f>'GS &gt; 50 OLS Model'!$B$5</f>
        <v>-8508488.8174217809</v>
      </c>
      <c r="Q44" s="186">
        <f ca="1">'GS &gt; 50 OLS Model'!$B$6*D44</f>
        <v>14088.105472660634</v>
      </c>
      <c r="R44" s="186">
        <f ca="1">'GS &gt; 50 OLS Model'!$B$7*E44</f>
        <v>13347002.734461535</v>
      </c>
      <c r="S44" s="186">
        <f>'GS &gt; 50 OLS Model'!$B$8*F44</f>
        <v>30308095.908937588</v>
      </c>
      <c r="T44" s="186">
        <v>0</v>
      </c>
      <c r="U44" s="186">
        <f>'GS &gt; 50 OLS Model'!$B$9*H44</f>
        <v>0</v>
      </c>
      <c r="V44" s="186">
        <f>'GS &gt; 50 OLS Model'!$B$10*I44</f>
        <v>0</v>
      </c>
      <c r="W44" s="186">
        <f>'GS &gt; 50 OLS Model'!$B$11*J44</f>
        <v>0</v>
      </c>
      <c r="X44" s="186">
        <f>'GS &gt; 50 OLS Model'!$B$12*K44</f>
        <v>0</v>
      </c>
      <c r="Y44" s="186">
        <v>0</v>
      </c>
      <c r="Z44" s="186">
        <f>'GS &gt; 50 OLS Model'!$B$13*M44</f>
        <v>34669572.13485463</v>
      </c>
      <c r="AA44" s="186">
        <f>'GS &gt; 50 OLS Model'!$B$14*N44</f>
        <v>13737248.956340911</v>
      </c>
      <c r="AB44" s="127">
        <f t="shared" ca="1" si="2"/>
        <v>83567519.022645533</v>
      </c>
    </row>
    <row r="45" spans="1:28">
      <c r="A45" s="128">
        <f>'Monthly Data'!A45</f>
        <v>41122</v>
      </c>
      <c r="B45" s="127">
        <f t="shared" si="1"/>
        <v>2012</v>
      </c>
      <c r="C45" s="127">
        <f ca="1">'Monthly Data'!O45</f>
        <v>84955144.682128251</v>
      </c>
      <c r="D45" s="127">
        <f t="shared" ca="1" si="5"/>
        <v>1.6660902255639058</v>
      </c>
      <c r="E45" s="127">
        <f t="shared" ca="1" si="5"/>
        <v>167.43443609022574</v>
      </c>
      <c r="F45" s="127">
        <f>'Monthly Data'!BL45</f>
        <v>578793.9</v>
      </c>
      <c r="G45" s="127">
        <f>'Monthly Data'!BM45</f>
        <v>44</v>
      </c>
      <c r="H45" s="127">
        <f>'Monthly Data'!BQ45</f>
        <v>0</v>
      </c>
      <c r="I45" s="127">
        <f>'Monthly Data'!BS45</f>
        <v>0</v>
      </c>
      <c r="J45" s="127">
        <f>'Monthly Data'!BU45</f>
        <v>1</v>
      </c>
      <c r="K45" s="127">
        <f>'Monthly Data'!BV45</f>
        <v>0</v>
      </c>
      <c r="L45" s="127">
        <f>'Monthly Data'!BW45</f>
        <v>0</v>
      </c>
      <c r="M45" s="127">
        <f>'Monthly Data'!CC45</f>
        <v>31</v>
      </c>
      <c r="N45" s="127">
        <f>'Monthly Data'!CD45</f>
        <v>22</v>
      </c>
      <c r="P45" s="127">
        <f>'GS &gt; 50 OLS Model'!$B$5</f>
        <v>-8508488.8174217809</v>
      </c>
      <c r="Q45" s="186">
        <f ca="1">'GS &gt; 50 OLS Model'!$B$6*D45</f>
        <v>40395.746528039141</v>
      </c>
      <c r="R45" s="186">
        <f ca="1">'GS &gt; 50 OLS Model'!$B$7*E45</f>
        <v>11952743.72679588</v>
      </c>
      <c r="S45" s="186">
        <f>'GS &gt; 50 OLS Model'!$B$8*F45</f>
        <v>30308095.908937588</v>
      </c>
      <c r="T45" s="186">
        <v>0</v>
      </c>
      <c r="U45" s="186">
        <f>'GS &gt; 50 OLS Model'!$B$9*H45</f>
        <v>0</v>
      </c>
      <c r="V45" s="186">
        <f>'GS &gt; 50 OLS Model'!$B$10*I45</f>
        <v>0</v>
      </c>
      <c r="W45" s="186">
        <f>'GS &gt; 50 OLS Model'!$B$11*J45</f>
        <v>2505717.0713192602</v>
      </c>
      <c r="X45" s="186">
        <f>'GS &gt; 50 OLS Model'!$B$12*K45</f>
        <v>0</v>
      </c>
      <c r="Y45" s="186">
        <v>0</v>
      </c>
      <c r="Z45" s="186">
        <f>'GS &gt; 50 OLS Model'!$B$13*M45</f>
        <v>34669572.13485463</v>
      </c>
      <c r="AA45" s="186">
        <f>'GS &gt; 50 OLS Model'!$B$14*N45</f>
        <v>14391403.668547621</v>
      </c>
      <c r="AB45" s="127">
        <f t="shared" ca="1" si="2"/>
        <v>85359439.439561233</v>
      </c>
    </row>
    <row r="46" spans="1:28">
      <c r="A46" s="128">
        <f>'Monthly Data'!A46</f>
        <v>41153</v>
      </c>
      <c r="B46" s="127">
        <f t="shared" si="1"/>
        <v>2012</v>
      </c>
      <c r="C46" s="127">
        <f ca="1">'Monthly Data'!O46</f>
        <v>75637873.117112935</v>
      </c>
      <c r="D46" s="127">
        <f t="shared" ca="1" si="5"/>
        <v>30.410827067669118</v>
      </c>
      <c r="E46" s="127">
        <f t="shared" ca="1" si="5"/>
        <v>83.003533834586506</v>
      </c>
      <c r="F46" s="127">
        <f>'Monthly Data'!BL46</f>
        <v>578793.9</v>
      </c>
      <c r="G46" s="127">
        <f>'Monthly Data'!BM46</f>
        <v>45</v>
      </c>
      <c r="H46" s="127">
        <f>'Monthly Data'!BQ46</f>
        <v>0</v>
      </c>
      <c r="I46" s="127">
        <f>'Monthly Data'!BS46</f>
        <v>0</v>
      </c>
      <c r="J46" s="127">
        <f>'Monthly Data'!BU46</f>
        <v>0</v>
      </c>
      <c r="K46" s="127">
        <f>'Monthly Data'!BV46</f>
        <v>1</v>
      </c>
      <c r="L46" s="127">
        <f>'Monthly Data'!BW46</f>
        <v>0</v>
      </c>
      <c r="M46" s="127">
        <f>'Monthly Data'!CC46</f>
        <v>30</v>
      </c>
      <c r="N46" s="127">
        <f>'Monthly Data'!CD46</f>
        <v>19</v>
      </c>
      <c r="P46" s="127">
        <f>'GS &gt; 50 OLS Model'!$B$5</f>
        <v>-8508488.8174217809</v>
      </c>
      <c r="Q46" s="186">
        <f ca="1">'GS &gt; 50 OLS Model'!$B$6*D46</f>
        <v>737335.85557637212</v>
      </c>
      <c r="R46" s="186">
        <f ca="1">'GS &gt; 50 OLS Model'!$B$7*E46</f>
        <v>5925423.6554338057</v>
      </c>
      <c r="S46" s="186">
        <f>'GS &gt; 50 OLS Model'!$B$8*F46</f>
        <v>30308095.908937588</v>
      </c>
      <c r="T46" s="186">
        <v>0</v>
      </c>
      <c r="U46" s="186">
        <f>'GS &gt; 50 OLS Model'!$B$9*H46</f>
        <v>0</v>
      </c>
      <c r="V46" s="186">
        <f>'GS &gt; 50 OLS Model'!$B$10*I46</f>
        <v>0</v>
      </c>
      <c r="W46" s="186">
        <f>'GS &gt; 50 OLS Model'!$B$11*J46</f>
        <v>0</v>
      </c>
      <c r="X46" s="186">
        <f>'GS &gt; 50 OLS Model'!$B$12*K46</f>
        <v>2345350.8919449002</v>
      </c>
      <c r="Y46" s="186">
        <v>0</v>
      </c>
      <c r="Z46" s="186">
        <f>'GS &gt; 50 OLS Model'!$B$13*M46</f>
        <v>33551198.840181898</v>
      </c>
      <c r="AA46" s="186">
        <f>'GS &gt; 50 OLS Model'!$B$14*N46</f>
        <v>12428939.531927491</v>
      </c>
      <c r="AB46" s="127">
        <f t="shared" ca="1" si="2"/>
        <v>76787855.866580278</v>
      </c>
    </row>
    <row r="47" spans="1:28">
      <c r="A47" s="128">
        <f>'Monthly Data'!A47</f>
        <v>41183</v>
      </c>
      <c r="B47" s="127">
        <f t="shared" si="1"/>
        <v>2012</v>
      </c>
      <c r="C47" s="127">
        <f ca="1">'Monthly Data'!O47</f>
        <v>75854816.158008024</v>
      </c>
      <c r="D47" s="127">
        <f t="shared" ca="1" si="5"/>
        <v>158.93676691729343</v>
      </c>
      <c r="E47" s="127">
        <f t="shared" ca="1" si="5"/>
        <v>16.916090225563948</v>
      </c>
      <c r="F47" s="127">
        <f>'Monthly Data'!BL47</f>
        <v>578793.9</v>
      </c>
      <c r="G47" s="127">
        <f>'Monthly Data'!BM47</f>
        <v>46</v>
      </c>
      <c r="H47" s="127">
        <f>'Monthly Data'!BQ47</f>
        <v>0</v>
      </c>
      <c r="I47" s="127">
        <f>'Monthly Data'!BS47</f>
        <v>0</v>
      </c>
      <c r="J47" s="127">
        <f>'Monthly Data'!BU47</f>
        <v>0</v>
      </c>
      <c r="K47" s="127">
        <f>'Monthly Data'!BV47</f>
        <v>0</v>
      </c>
      <c r="L47" s="127">
        <f>'Monthly Data'!BW47</f>
        <v>1</v>
      </c>
      <c r="M47" s="127">
        <f>'Monthly Data'!CC47</f>
        <v>31</v>
      </c>
      <c r="N47" s="127">
        <f>'Monthly Data'!CD47</f>
        <v>22</v>
      </c>
      <c r="P47" s="127">
        <f>'GS &gt; 50 OLS Model'!$B$5</f>
        <v>-8508488.8174217809</v>
      </c>
      <c r="Q47" s="186">
        <f ca="1">'GS &gt; 50 OLS Model'!$B$6*D47</f>
        <v>3853554.4185213498</v>
      </c>
      <c r="R47" s="186">
        <f ca="1">'GS &gt; 50 OLS Model'!$B$7*E47</f>
        <v>1207599.2014961967</v>
      </c>
      <c r="S47" s="186">
        <f>'GS &gt; 50 OLS Model'!$B$8*F47</f>
        <v>30308095.908937588</v>
      </c>
      <c r="T47" s="186">
        <v>0</v>
      </c>
      <c r="U47" s="186">
        <f>'GS &gt; 50 OLS Model'!$B$9*H47</f>
        <v>0</v>
      </c>
      <c r="V47" s="186">
        <f>'GS &gt; 50 OLS Model'!$B$10*I47</f>
        <v>0</v>
      </c>
      <c r="W47" s="186">
        <f>'GS &gt; 50 OLS Model'!$B$11*J47</f>
        <v>0</v>
      </c>
      <c r="X47" s="186">
        <f>'GS &gt; 50 OLS Model'!$B$12*K47</f>
        <v>0</v>
      </c>
      <c r="Y47" s="186">
        <v>0</v>
      </c>
      <c r="Z47" s="186">
        <f>'GS &gt; 50 OLS Model'!$B$13*M47</f>
        <v>34669572.13485463</v>
      </c>
      <c r="AA47" s="186">
        <f>'GS &gt; 50 OLS Model'!$B$14*N47</f>
        <v>14391403.668547621</v>
      </c>
      <c r="AB47" s="127">
        <f t="shared" ca="1" si="2"/>
        <v>75921736.514935598</v>
      </c>
    </row>
    <row r="48" spans="1:28">
      <c r="A48" s="128">
        <f>'Monthly Data'!A48</f>
        <v>41214</v>
      </c>
      <c r="B48" s="127">
        <f t="shared" si="1"/>
        <v>2012</v>
      </c>
      <c r="C48" s="127">
        <f ca="1">'Monthly Data'!O48</f>
        <v>76825179.447514161</v>
      </c>
      <c r="D48" s="127">
        <f t="shared" ca="1" si="5"/>
        <v>375.92533834586447</v>
      </c>
      <c r="E48" s="127">
        <f t="shared" ca="1" si="5"/>
        <v>8.120300751879661E-2</v>
      </c>
      <c r="F48" s="127">
        <f>'Monthly Data'!BL48</f>
        <v>578793.9</v>
      </c>
      <c r="G48" s="127">
        <f>'Monthly Data'!BM48</f>
        <v>47</v>
      </c>
      <c r="H48" s="127">
        <f>'Monthly Data'!BQ48</f>
        <v>0</v>
      </c>
      <c r="I48" s="127">
        <f>'Monthly Data'!BS48</f>
        <v>0</v>
      </c>
      <c r="J48" s="127">
        <f>'Monthly Data'!BU48</f>
        <v>0</v>
      </c>
      <c r="K48" s="127">
        <f>'Monthly Data'!BV48</f>
        <v>0</v>
      </c>
      <c r="L48" s="127">
        <f>'Monthly Data'!BW48</f>
        <v>0</v>
      </c>
      <c r="M48" s="127">
        <f>'Monthly Data'!CC48</f>
        <v>30</v>
      </c>
      <c r="N48" s="127">
        <f>'Monthly Data'!CD48</f>
        <v>22</v>
      </c>
      <c r="P48" s="127">
        <f>'GS &gt; 50 OLS Model'!$B$5</f>
        <v>-8508488.8174217809</v>
      </c>
      <c r="Q48" s="186">
        <f ca="1">'GS &gt; 50 OLS Model'!$B$6*D48</f>
        <v>9114623.234853385</v>
      </c>
      <c r="R48" s="186">
        <f ca="1">'GS &gt; 50 OLS Model'!$B$7*E48</f>
        <v>5796.8883903561291</v>
      </c>
      <c r="S48" s="186">
        <f>'GS &gt; 50 OLS Model'!$B$8*F48</f>
        <v>30308095.908937588</v>
      </c>
      <c r="T48" s="186">
        <v>0</v>
      </c>
      <c r="U48" s="186">
        <f>'GS &gt; 50 OLS Model'!$B$9*H48</f>
        <v>0</v>
      </c>
      <c r="V48" s="186">
        <f>'GS &gt; 50 OLS Model'!$B$10*I48</f>
        <v>0</v>
      </c>
      <c r="W48" s="186">
        <f>'GS &gt; 50 OLS Model'!$B$11*J48</f>
        <v>0</v>
      </c>
      <c r="X48" s="186">
        <f>'GS &gt; 50 OLS Model'!$B$12*K48</f>
        <v>0</v>
      </c>
      <c r="Y48" s="186">
        <v>0</v>
      </c>
      <c r="Z48" s="186">
        <f>'GS &gt; 50 OLS Model'!$B$13*M48</f>
        <v>33551198.840181898</v>
      </c>
      <c r="AA48" s="186">
        <f>'GS &gt; 50 OLS Model'!$B$14*N48</f>
        <v>14391403.668547621</v>
      </c>
      <c r="AB48" s="127">
        <f t="shared" ca="1" si="2"/>
        <v>78862629.723489061</v>
      </c>
    </row>
    <row r="49" spans="1:28">
      <c r="A49" s="128">
        <f>'Monthly Data'!A49</f>
        <v>41244</v>
      </c>
      <c r="B49" s="127">
        <f t="shared" si="1"/>
        <v>2012</v>
      </c>
      <c r="C49" s="127">
        <f ca="1">'Monthly Data'!O49</f>
        <v>78089232.601768956</v>
      </c>
      <c r="D49" s="127">
        <f t="shared" ca="1" si="5"/>
        <v>548.76120300751859</v>
      </c>
      <c r="E49" s="127">
        <f t="shared" ca="1" si="5"/>
        <v>0</v>
      </c>
      <c r="F49" s="127">
        <f>'Monthly Data'!BL49</f>
        <v>578793.9</v>
      </c>
      <c r="G49" s="127">
        <f>'Monthly Data'!BM49</f>
        <v>48</v>
      </c>
      <c r="H49" s="127">
        <f>'Monthly Data'!BQ49</f>
        <v>0</v>
      </c>
      <c r="I49" s="127">
        <f>'Monthly Data'!BS49</f>
        <v>0</v>
      </c>
      <c r="J49" s="127">
        <f>'Monthly Data'!BU49</f>
        <v>0</v>
      </c>
      <c r="K49" s="127">
        <f>'Monthly Data'!BV49</f>
        <v>0</v>
      </c>
      <c r="L49" s="127">
        <f>'Monthly Data'!BW49</f>
        <v>0</v>
      </c>
      <c r="M49" s="127">
        <f>'Monthly Data'!CC49</f>
        <v>31</v>
      </c>
      <c r="N49" s="127">
        <f>'Monthly Data'!CD49</f>
        <v>19</v>
      </c>
      <c r="P49" s="127">
        <f>'GS &gt; 50 OLS Model'!$B$5</f>
        <v>-8508488.8174217809</v>
      </c>
      <c r="Q49" s="186">
        <f ca="1">'GS &gt; 50 OLS Model'!$B$6*D49</f>
        <v>13305172.865779633</v>
      </c>
      <c r="R49" s="186">
        <f ca="1">'GS &gt; 50 OLS Model'!$B$7*E49</f>
        <v>0</v>
      </c>
      <c r="S49" s="186">
        <f>'GS &gt; 50 OLS Model'!$B$8*F49</f>
        <v>30308095.908937588</v>
      </c>
      <c r="T49" s="186">
        <v>0</v>
      </c>
      <c r="U49" s="186">
        <f>'GS &gt; 50 OLS Model'!$B$9*H49</f>
        <v>0</v>
      </c>
      <c r="V49" s="186">
        <f>'GS &gt; 50 OLS Model'!$B$10*I49</f>
        <v>0</v>
      </c>
      <c r="W49" s="186">
        <f>'GS &gt; 50 OLS Model'!$B$11*J49</f>
        <v>0</v>
      </c>
      <c r="X49" s="186">
        <f>'GS &gt; 50 OLS Model'!$B$12*K49</f>
        <v>0</v>
      </c>
      <c r="Y49" s="186">
        <v>0</v>
      </c>
      <c r="Z49" s="186">
        <f>'GS &gt; 50 OLS Model'!$B$13*M49</f>
        <v>34669572.13485463</v>
      </c>
      <c r="AA49" s="186">
        <f>'GS &gt; 50 OLS Model'!$B$14*N49</f>
        <v>12428939.531927491</v>
      </c>
      <c r="AB49" s="127">
        <f t="shared" ca="1" si="2"/>
        <v>82203291.624077559</v>
      </c>
    </row>
    <row r="50" spans="1:28">
      <c r="A50" s="128">
        <f>'Monthly Data'!A50</f>
        <v>41275</v>
      </c>
      <c r="B50" s="127">
        <f t="shared" si="1"/>
        <v>2013</v>
      </c>
      <c r="C50" s="127">
        <f ca="1">'Monthly Data'!O50</f>
        <v>86172794.297903538</v>
      </c>
      <c r="D50" s="127">
        <f t="shared" ref="D50:E65" ca="1" si="6">D38</f>
        <v>665.14879699248104</v>
      </c>
      <c r="E50" s="127">
        <f t="shared" ca="1" si="6"/>
        <v>0</v>
      </c>
      <c r="F50" s="127">
        <f>'Monthly Data'!BL50</f>
        <v>586913</v>
      </c>
      <c r="G50" s="127">
        <f>'Monthly Data'!BM50</f>
        <v>49</v>
      </c>
      <c r="H50" s="127">
        <f>'Monthly Data'!BQ50</f>
        <v>0</v>
      </c>
      <c r="I50" s="127">
        <f>'Monthly Data'!BS50</f>
        <v>0</v>
      </c>
      <c r="J50" s="127">
        <f>'Monthly Data'!BU50</f>
        <v>0</v>
      </c>
      <c r="K50" s="127">
        <f>'Monthly Data'!BV50</f>
        <v>0</v>
      </c>
      <c r="L50" s="127">
        <f>'Monthly Data'!BW50</f>
        <v>0</v>
      </c>
      <c r="M50" s="127">
        <f>'Monthly Data'!CC50</f>
        <v>31</v>
      </c>
      <c r="N50" s="127">
        <f>'Monthly Data'!CD50</f>
        <v>22</v>
      </c>
      <c r="P50" s="127">
        <f>'GS &gt; 50 OLS Model'!$B$5</f>
        <v>-8508488.8174217809</v>
      </c>
      <c r="Q50" s="186">
        <f ca="1">'GS &gt; 50 OLS Model'!$B$6*D50</f>
        <v>16127087.113571094</v>
      </c>
      <c r="R50" s="186">
        <f ca="1">'GS &gt; 50 OLS Model'!$B$7*E50</f>
        <v>0</v>
      </c>
      <c r="S50" s="186">
        <f>'GS &gt; 50 OLS Model'!$B$8*F50</f>
        <v>30733246.314797524</v>
      </c>
      <c r="T50" s="186">
        <v>0</v>
      </c>
      <c r="U50" s="186">
        <f>'GS &gt; 50 OLS Model'!$B$9*H50</f>
        <v>0</v>
      </c>
      <c r="V50" s="186">
        <f>'GS &gt; 50 OLS Model'!$B$10*I50</f>
        <v>0</v>
      </c>
      <c r="W50" s="186">
        <f>'GS &gt; 50 OLS Model'!$B$11*J50</f>
        <v>0</v>
      </c>
      <c r="X50" s="186">
        <f>'GS &gt; 50 OLS Model'!$B$12*K50</f>
        <v>0</v>
      </c>
      <c r="Y50" s="186">
        <v>0</v>
      </c>
      <c r="Z50" s="186">
        <f>'GS &gt; 50 OLS Model'!$B$13*M50</f>
        <v>34669572.13485463</v>
      </c>
      <c r="AA50" s="186">
        <f>'GS &gt; 50 OLS Model'!$B$14*N50</f>
        <v>14391403.668547621</v>
      </c>
      <c r="AB50" s="127">
        <f t="shared" ca="1" si="2"/>
        <v>87412820.414349079</v>
      </c>
    </row>
    <row r="51" spans="1:28">
      <c r="A51" s="128">
        <f>'Monthly Data'!A51</f>
        <v>41306</v>
      </c>
      <c r="B51" s="127">
        <f t="shared" si="1"/>
        <v>2013</v>
      </c>
      <c r="C51" s="127">
        <f ca="1">'Monthly Data'!O51</f>
        <v>80116229.569861323</v>
      </c>
      <c r="D51" s="127">
        <f t="shared" ca="1" si="6"/>
        <v>611.17548872180487</v>
      </c>
      <c r="E51" s="127">
        <f t="shared" ca="1" si="6"/>
        <v>0</v>
      </c>
      <c r="F51" s="127">
        <f>'Monthly Data'!BL51</f>
        <v>586913</v>
      </c>
      <c r="G51" s="127">
        <f>'Monthly Data'!BM51</f>
        <v>50</v>
      </c>
      <c r="H51" s="127">
        <f>'Monthly Data'!BQ51</f>
        <v>0</v>
      </c>
      <c r="I51" s="127">
        <f>'Monthly Data'!BS51</f>
        <v>0</v>
      </c>
      <c r="J51" s="127">
        <f>'Monthly Data'!BU51</f>
        <v>0</v>
      </c>
      <c r="K51" s="127">
        <f>'Monthly Data'!BV51</f>
        <v>0</v>
      </c>
      <c r="L51" s="127">
        <f>'Monthly Data'!BW51</f>
        <v>0</v>
      </c>
      <c r="M51" s="127">
        <f>'Monthly Data'!CC51</f>
        <v>28</v>
      </c>
      <c r="N51" s="127">
        <f>'Monthly Data'!CD51</f>
        <v>19</v>
      </c>
      <c r="P51" s="127">
        <f>'GS &gt; 50 OLS Model'!$B$5</f>
        <v>-8508488.8174217809</v>
      </c>
      <c r="Q51" s="186">
        <f ca="1">'GS &gt; 50 OLS Model'!$B$6*D51</f>
        <v>14818459.257331191</v>
      </c>
      <c r="R51" s="186">
        <f ca="1">'GS &gt; 50 OLS Model'!$B$7*E51</f>
        <v>0</v>
      </c>
      <c r="S51" s="186">
        <f>'GS &gt; 50 OLS Model'!$B$8*F51</f>
        <v>30733246.314797524</v>
      </c>
      <c r="T51" s="186">
        <v>0</v>
      </c>
      <c r="U51" s="186">
        <f>'GS &gt; 50 OLS Model'!$B$9*H51</f>
        <v>0</v>
      </c>
      <c r="V51" s="186">
        <f>'GS &gt; 50 OLS Model'!$B$10*I51</f>
        <v>0</v>
      </c>
      <c r="W51" s="186">
        <f>'GS &gt; 50 OLS Model'!$B$11*J51</f>
        <v>0</v>
      </c>
      <c r="X51" s="186">
        <f>'GS &gt; 50 OLS Model'!$B$12*K51</f>
        <v>0</v>
      </c>
      <c r="Y51" s="186">
        <v>0</v>
      </c>
      <c r="Z51" s="186">
        <f>'GS &gt; 50 OLS Model'!$B$13*M51</f>
        <v>31314452.250836439</v>
      </c>
      <c r="AA51" s="186">
        <f>'GS &gt; 50 OLS Model'!$B$14*N51</f>
        <v>12428939.531927491</v>
      </c>
      <c r="AB51" s="127">
        <f t="shared" ca="1" si="2"/>
        <v>80786608.537470877</v>
      </c>
    </row>
    <row r="52" spans="1:28">
      <c r="A52" s="128">
        <f>'Monthly Data'!A52</f>
        <v>41334</v>
      </c>
      <c r="B52" s="127">
        <f t="shared" si="1"/>
        <v>2013</v>
      </c>
      <c r="C52" s="127">
        <f ca="1">'Monthly Data'!O52</f>
        <v>83295056.131635845</v>
      </c>
      <c r="D52" s="127">
        <f t="shared" ca="1" si="6"/>
        <v>458.46436090225569</v>
      </c>
      <c r="E52" s="127">
        <f t="shared" ca="1" si="6"/>
        <v>0.45218045112781802</v>
      </c>
      <c r="F52" s="127">
        <f>'Monthly Data'!BL52</f>
        <v>586913</v>
      </c>
      <c r="G52" s="127">
        <f>'Monthly Data'!BM52</f>
        <v>51</v>
      </c>
      <c r="H52" s="127">
        <f>'Monthly Data'!BQ52</f>
        <v>0</v>
      </c>
      <c r="I52" s="127">
        <f>'Monthly Data'!BS52</f>
        <v>0</v>
      </c>
      <c r="J52" s="127">
        <f>'Monthly Data'!BU52</f>
        <v>0</v>
      </c>
      <c r="K52" s="127">
        <f>'Monthly Data'!BV52</f>
        <v>0</v>
      </c>
      <c r="L52" s="127">
        <f>'Monthly Data'!BW52</f>
        <v>0</v>
      </c>
      <c r="M52" s="127">
        <f>'Monthly Data'!CC52</f>
        <v>31</v>
      </c>
      <c r="N52" s="127">
        <f>'Monthly Data'!CD52</f>
        <v>19</v>
      </c>
      <c r="P52" s="127">
        <f>'GS &gt; 50 OLS Model'!$B$5</f>
        <v>-8508488.8174217809</v>
      </c>
      <c r="Q52" s="186">
        <f ca="1">'GS &gt; 50 OLS Model'!$B$6*D52</f>
        <v>11115850.64901193</v>
      </c>
      <c r="R52" s="186">
        <f ca="1">'GS &gt; 50 OLS Model'!$B$7*E52</f>
        <v>32280.080351483153</v>
      </c>
      <c r="S52" s="186">
        <f>'GS &gt; 50 OLS Model'!$B$8*F52</f>
        <v>30733246.314797524</v>
      </c>
      <c r="T52" s="186">
        <v>0</v>
      </c>
      <c r="U52" s="186">
        <f>'GS &gt; 50 OLS Model'!$B$9*H52</f>
        <v>0</v>
      </c>
      <c r="V52" s="186">
        <f>'GS &gt; 50 OLS Model'!$B$10*I52</f>
        <v>0</v>
      </c>
      <c r="W52" s="186">
        <f>'GS &gt; 50 OLS Model'!$B$11*J52</f>
        <v>0</v>
      </c>
      <c r="X52" s="186">
        <f>'GS &gt; 50 OLS Model'!$B$12*K52</f>
        <v>0</v>
      </c>
      <c r="Y52" s="186">
        <v>0</v>
      </c>
      <c r="Z52" s="186">
        <f>'GS &gt; 50 OLS Model'!$B$13*M52</f>
        <v>34669572.13485463</v>
      </c>
      <c r="AA52" s="186">
        <f>'GS &gt; 50 OLS Model'!$B$14*N52</f>
        <v>12428939.531927491</v>
      </c>
      <c r="AB52" s="127">
        <f t="shared" ca="1" si="2"/>
        <v>80471399.893521279</v>
      </c>
    </row>
    <row r="53" spans="1:28">
      <c r="A53" s="128">
        <f>'Monthly Data'!A53</f>
        <v>41365</v>
      </c>
      <c r="B53" s="127">
        <f t="shared" si="1"/>
        <v>2013</v>
      </c>
      <c r="C53" s="127">
        <f ca="1">'Monthly Data'!O53</f>
        <v>75368667.834339544</v>
      </c>
      <c r="D53" s="127">
        <f t="shared" ca="1" si="6"/>
        <v>254.29052631578941</v>
      </c>
      <c r="E53" s="127">
        <f t="shared" ca="1" si="6"/>
        <v>0.50947368421054762</v>
      </c>
      <c r="F53" s="127">
        <f>'Monthly Data'!BL53</f>
        <v>586913</v>
      </c>
      <c r="G53" s="127">
        <f>'Monthly Data'!BM53</f>
        <v>52</v>
      </c>
      <c r="H53" s="127">
        <f>'Monthly Data'!BQ53</f>
        <v>1</v>
      </c>
      <c r="I53" s="127">
        <f>'Monthly Data'!BS53</f>
        <v>0</v>
      </c>
      <c r="J53" s="127">
        <f>'Monthly Data'!BU53</f>
        <v>0</v>
      </c>
      <c r="K53" s="127">
        <f>'Monthly Data'!BV53</f>
        <v>0</v>
      </c>
      <c r="L53" s="127">
        <f>'Monthly Data'!BW53</f>
        <v>0</v>
      </c>
      <c r="M53" s="127">
        <f>'Monthly Data'!CC53</f>
        <v>30</v>
      </c>
      <c r="N53" s="127">
        <f>'Monthly Data'!CD53</f>
        <v>22</v>
      </c>
      <c r="P53" s="127">
        <f>'GS &gt; 50 OLS Model'!$B$5</f>
        <v>-8508488.8174217809</v>
      </c>
      <c r="Q53" s="186">
        <f ca="1">'GS &gt; 50 OLS Model'!$B$6*D53</f>
        <v>6165485.8109845407</v>
      </c>
      <c r="R53" s="186">
        <f ca="1">'GS &gt; 50 OLS Model'!$B$7*E53</f>
        <v>36370.107160236068</v>
      </c>
      <c r="S53" s="186">
        <f>'GS &gt; 50 OLS Model'!$B$8*F53</f>
        <v>30733246.314797524</v>
      </c>
      <c r="T53" s="186">
        <v>0</v>
      </c>
      <c r="U53" s="186">
        <f>'GS &gt; 50 OLS Model'!$B$9*H53</f>
        <v>-1670359.8066300801</v>
      </c>
      <c r="V53" s="186">
        <f>'GS &gt; 50 OLS Model'!$B$10*I53</f>
        <v>0</v>
      </c>
      <c r="W53" s="186">
        <f>'GS &gt; 50 OLS Model'!$B$11*J53</f>
        <v>0</v>
      </c>
      <c r="X53" s="186">
        <f>'GS &gt; 50 OLS Model'!$B$12*K53</f>
        <v>0</v>
      </c>
      <c r="Y53" s="186">
        <v>0</v>
      </c>
      <c r="Z53" s="186">
        <f>'GS &gt; 50 OLS Model'!$B$13*M53</f>
        <v>33551198.840181898</v>
      </c>
      <c r="AA53" s="186">
        <f>'GS &gt; 50 OLS Model'!$B$14*N53</f>
        <v>14391403.668547621</v>
      </c>
      <c r="AB53" s="127">
        <f t="shared" ca="1" si="2"/>
        <v>74698856.117619962</v>
      </c>
    </row>
    <row r="54" spans="1:28">
      <c r="A54" s="128">
        <f>'Monthly Data'!A54</f>
        <v>41395</v>
      </c>
      <c r="B54" s="127">
        <f t="shared" ref="B54:B109" si="7">YEAR(A54)</f>
        <v>2013</v>
      </c>
      <c r="C54" s="127">
        <f ca="1">'Monthly Data'!O54</f>
        <v>76645979.128271654</v>
      </c>
      <c r="D54" s="127">
        <f t="shared" ca="1" si="6"/>
        <v>102.64150375939857</v>
      </c>
      <c r="E54" s="127">
        <f t="shared" ca="1" si="6"/>
        <v>56.062781954887214</v>
      </c>
      <c r="F54" s="127">
        <f>'Monthly Data'!BL54</f>
        <v>586913</v>
      </c>
      <c r="G54" s="127">
        <f>'Monthly Data'!BM54</f>
        <v>53</v>
      </c>
      <c r="H54" s="127">
        <f>'Monthly Data'!BQ54</f>
        <v>0</v>
      </c>
      <c r="I54" s="127">
        <f>'Monthly Data'!BS54</f>
        <v>0</v>
      </c>
      <c r="J54" s="127">
        <f>'Monthly Data'!BU54</f>
        <v>0</v>
      </c>
      <c r="K54" s="127">
        <f>'Monthly Data'!BV54</f>
        <v>0</v>
      </c>
      <c r="L54" s="127">
        <f>'Monthly Data'!BW54</f>
        <v>0</v>
      </c>
      <c r="M54" s="127">
        <f>'Monthly Data'!CC54</f>
        <v>31</v>
      </c>
      <c r="N54" s="127">
        <f>'Monthly Data'!CD54</f>
        <v>22</v>
      </c>
      <c r="P54" s="127">
        <f>'GS &gt; 50 OLS Model'!$B$5</f>
        <v>-8508488.8174217809</v>
      </c>
      <c r="Q54" s="186">
        <f ca="1">'GS &gt; 50 OLS Model'!$B$6*D54</f>
        <v>2488628.8302412247</v>
      </c>
      <c r="R54" s="186">
        <f ca="1">'GS &gt; 50 OLS Model'!$B$7*E54</f>
        <v>4002187.8471696409</v>
      </c>
      <c r="S54" s="186">
        <f>'GS &gt; 50 OLS Model'!$B$8*F54</f>
        <v>30733246.314797524</v>
      </c>
      <c r="T54" s="186">
        <v>0</v>
      </c>
      <c r="U54" s="186">
        <f>'GS &gt; 50 OLS Model'!$B$9*H54</f>
        <v>0</v>
      </c>
      <c r="V54" s="186">
        <f>'GS &gt; 50 OLS Model'!$B$10*I54</f>
        <v>0</v>
      </c>
      <c r="W54" s="186">
        <f>'GS &gt; 50 OLS Model'!$B$11*J54</f>
        <v>0</v>
      </c>
      <c r="X54" s="186">
        <f>'GS &gt; 50 OLS Model'!$B$12*K54</f>
        <v>0</v>
      </c>
      <c r="Y54" s="186">
        <v>0</v>
      </c>
      <c r="Z54" s="186">
        <f>'GS &gt; 50 OLS Model'!$B$13*M54</f>
        <v>34669572.13485463</v>
      </c>
      <c r="AA54" s="186">
        <f>'GS &gt; 50 OLS Model'!$B$14*N54</f>
        <v>14391403.668547621</v>
      </c>
      <c r="AB54" s="127">
        <f t="shared" ref="AB54:AB107" ca="1" si="8">SUM(P54:AA54)</f>
        <v>77776549.978188857</v>
      </c>
    </row>
    <row r="55" spans="1:28">
      <c r="A55" s="128">
        <f>'Monthly Data'!A55</f>
        <v>41426</v>
      </c>
      <c r="B55" s="127">
        <f t="shared" si="7"/>
        <v>2013</v>
      </c>
      <c r="C55" s="127">
        <f ca="1">'Monthly Data'!O55</f>
        <v>77950659.403683424</v>
      </c>
      <c r="D55" s="127">
        <f t="shared" ca="1" si="6"/>
        <v>0.39669172932326546</v>
      </c>
      <c r="E55" s="127">
        <f t="shared" ca="1" si="6"/>
        <v>116.89315789473682</v>
      </c>
      <c r="F55" s="127">
        <f>'Monthly Data'!BL55</f>
        <v>586913</v>
      </c>
      <c r="G55" s="127">
        <f>'Monthly Data'!BM55</f>
        <v>54</v>
      </c>
      <c r="H55" s="127">
        <f>'Monthly Data'!BQ55</f>
        <v>0</v>
      </c>
      <c r="I55" s="127">
        <f>'Monthly Data'!BS55</f>
        <v>1</v>
      </c>
      <c r="J55" s="127">
        <f>'Monthly Data'!BU55</f>
        <v>0</v>
      </c>
      <c r="K55" s="127">
        <f>'Monthly Data'!BV55</f>
        <v>0</v>
      </c>
      <c r="L55" s="127">
        <f>'Monthly Data'!BW55</f>
        <v>0</v>
      </c>
      <c r="M55" s="127">
        <f>'Monthly Data'!CC55</f>
        <v>30</v>
      </c>
      <c r="N55" s="127">
        <f>'Monthly Data'!CD55</f>
        <v>20</v>
      </c>
      <c r="P55" s="127">
        <f>'GS &gt; 50 OLS Model'!$B$5</f>
        <v>-8508488.8174217809</v>
      </c>
      <c r="Q55" s="186">
        <f ca="1">'GS &gt; 50 OLS Model'!$B$6*D55</f>
        <v>9618.1216969137586</v>
      </c>
      <c r="R55" s="186">
        <f ca="1">'GS &gt; 50 OLS Model'!$B$7*E55</f>
        <v>8344722.8202134408</v>
      </c>
      <c r="S55" s="186">
        <f>'GS &gt; 50 OLS Model'!$B$8*F55</f>
        <v>30733246.314797524</v>
      </c>
      <c r="T55" s="186">
        <v>0</v>
      </c>
      <c r="U55" s="186">
        <f>'GS &gt; 50 OLS Model'!$B$9*H55</f>
        <v>0</v>
      </c>
      <c r="V55" s="186">
        <f>'GS &gt; 50 OLS Model'!$B$10*I55</f>
        <v>1244451.2383117899</v>
      </c>
      <c r="W55" s="186">
        <f>'GS &gt; 50 OLS Model'!$B$11*J55</f>
        <v>0</v>
      </c>
      <c r="X55" s="186">
        <f>'GS &gt; 50 OLS Model'!$B$12*K55</f>
        <v>0</v>
      </c>
      <c r="Y55" s="186">
        <v>0</v>
      </c>
      <c r="Z55" s="186">
        <f>'GS &gt; 50 OLS Model'!$B$13*M55</f>
        <v>33551198.840181898</v>
      </c>
      <c r="AA55" s="186">
        <f>'GS &gt; 50 OLS Model'!$B$14*N55</f>
        <v>13083094.244134201</v>
      </c>
      <c r="AB55" s="127">
        <f t="shared" ca="1" si="8"/>
        <v>78457842.761913985</v>
      </c>
    </row>
    <row r="56" spans="1:28">
      <c r="A56" s="128">
        <f>'Monthly Data'!A56</f>
        <v>41456</v>
      </c>
      <c r="B56" s="127">
        <f t="shared" si="7"/>
        <v>2013</v>
      </c>
      <c r="C56" s="127">
        <f ca="1">'Monthly Data'!O56</f>
        <v>82611806.230879351</v>
      </c>
      <c r="D56" s="127">
        <f t="shared" ca="1" si="6"/>
        <v>0.58105263157894704</v>
      </c>
      <c r="E56" s="127">
        <f t="shared" ca="1" si="6"/>
        <v>186.96526315789481</v>
      </c>
      <c r="F56" s="127">
        <f>'Monthly Data'!BL56</f>
        <v>586913</v>
      </c>
      <c r="G56" s="127">
        <f>'Monthly Data'!BM56</f>
        <v>55</v>
      </c>
      <c r="H56" s="127">
        <f>'Monthly Data'!BQ56</f>
        <v>0</v>
      </c>
      <c r="I56" s="127">
        <f>'Monthly Data'!BS56</f>
        <v>0</v>
      </c>
      <c r="J56" s="127">
        <f>'Monthly Data'!BU56</f>
        <v>0</v>
      </c>
      <c r="K56" s="127">
        <f>'Monthly Data'!BV56</f>
        <v>0</v>
      </c>
      <c r="L56" s="127">
        <f>'Monthly Data'!BW56</f>
        <v>0</v>
      </c>
      <c r="M56" s="127">
        <f>'Monthly Data'!CC56</f>
        <v>31</v>
      </c>
      <c r="N56" s="127">
        <f>'Monthly Data'!CD56</f>
        <v>22</v>
      </c>
      <c r="P56" s="127">
        <f>'GS &gt; 50 OLS Model'!$B$5</f>
        <v>-8508488.8174217809</v>
      </c>
      <c r="Q56" s="186">
        <f ca="1">'GS &gt; 50 OLS Model'!$B$6*D56</f>
        <v>14088.105472660634</v>
      </c>
      <c r="R56" s="186">
        <f ca="1">'GS &gt; 50 OLS Model'!$B$7*E56</f>
        <v>13347002.734461535</v>
      </c>
      <c r="S56" s="186">
        <f>'GS &gt; 50 OLS Model'!$B$8*F56</f>
        <v>30733246.314797524</v>
      </c>
      <c r="T56" s="186">
        <v>0</v>
      </c>
      <c r="U56" s="186">
        <f>'GS &gt; 50 OLS Model'!$B$9*H56</f>
        <v>0</v>
      </c>
      <c r="V56" s="186">
        <f>'GS &gt; 50 OLS Model'!$B$10*I56</f>
        <v>0</v>
      </c>
      <c r="W56" s="186">
        <f>'GS &gt; 50 OLS Model'!$B$11*J56</f>
        <v>0</v>
      </c>
      <c r="X56" s="186">
        <f>'GS &gt; 50 OLS Model'!$B$12*K56</f>
        <v>0</v>
      </c>
      <c r="Y56" s="186">
        <v>0</v>
      </c>
      <c r="Z56" s="186">
        <f>'GS &gt; 50 OLS Model'!$B$13*M56</f>
        <v>34669572.13485463</v>
      </c>
      <c r="AA56" s="186">
        <f>'GS &gt; 50 OLS Model'!$B$14*N56</f>
        <v>14391403.668547621</v>
      </c>
      <c r="AB56" s="127">
        <f t="shared" ca="1" si="8"/>
        <v>84646824.140712187</v>
      </c>
    </row>
    <row r="57" spans="1:28">
      <c r="A57" s="128">
        <f>'Monthly Data'!A57</f>
        <v>41487</v>
      </c>
      <c r="B57" s="127">
        <f t="shared" si="7"/>
        <v>2013</v>
      </c>
      <c r="C57" s="127">
        <f ca="1">'Monthly Data'!O57</f>
        <v>81402470.109881312</v>
      </c>
      <c r="D57" s="127">
        <f t="shared" ca="1" si="6"/>
        <v>1.6660902255639058</v>
      </c>
      <c r="E57" s="127">
        <f t="shared" ca="1" si="6"/>
        <v>167.43443609022574</v>
      </c>
      <c r="F57" s="127">
        <f>'Monthly Data'!BL57</f>
        <v>586913</v>
      </c>
      <c r="G57" s="127">
        <f>'Monthly Data'!BM57</f>
        <v>56</v>
      </c>
      <c r="H57" s="127">
        <f>'Monthly Data'!BQ57</f>
        <v>0</v>
      </c>
      <c r="I57" s="127">
        <f>'Monthly Data'!BS57</f>
        <v>0</v>
      </c>
      <c r="J57" s="127">
        <f>'Monthly Data'!BU57</f>
        <v>1</v>
      </c>
      <c r="K57" s="127">
        <f>'Monthly Data'!BV57</f>
        <v>0</v>
      </c>
      <c r="L57" s="127">
        <f>'Monthly Data'!BW57</f>
        <v>0</v>
      </c>
      <c r="M57" s="127">
        <f>'Monthly Data'!CC57</f>
        <v>31</v>
      </c>
      <c r="N57" s="127">
        <f>'Monthly Data'!CD57</f>
        <v>21</v>
      </c>
      <c r="P57" s="127">
        <f>'GS &gt; 50 OLS Model'!$B$5</f>
        <v>-8508488.8174217809</v>
      </c>
      <c r="Q57" s="186">
        <f ca="1">'GS &gt; 50 OLS Model'!$B$6*D57</f>
        <v>40395.746528039141</v>
      </c>
      <c r="R57" s="186">
        <f ca="1">'GS &gt; 50 OLS Model'!$B$7*E57</f>
        <v>11952743.72679588</v>
      </c>
      <c r="S57" s="186">
        <f>'GS &gt; 50 OLS Model'!$B$8*F57</f>
        <v>30733246.314797524</v>
      </c>
      <c r="T57" s="186">
        <v>0</v>
      </c>
      <c r="U57" s="186">
        <f>'GS &gt; 50 OLS Model'!$B$9*H57</f>
        <v>0</v>
      </c>
      <c r="V57" s="186">
        <f>'GS &gt; 50 OLS Model'!$B$10*I57</f>
        <v>0</v>
      </c>
      <c r="W57" s="186">
        <f>'GS &gt; 50 OLS Model'!$B$11*J57</f>
        <v>2505717.0713192602</v>
      </c>
      <c r="X57" s="186">
        <f>'GS &gt; 50 OLS Model'!$B$12*K57</f>
        <v>0</v>
      </c>
      <c r="Y57" s="186">
        <v>0</v>
      </c>
      <c r="Z57" s="186">
        <f>'GS &gt; 50 OLS Model'!$B$13*M57</f>
        <v>34669572.13485463</v>
      </c>
      <c r="AA57" s="186">
        <f>'GS &gt; 50 OLS Model'!$B$14*N57</f>
        <v>13737248.956340911</v>
      </c>
      <c r="AB57" s="127">
        <f t="shared" ca="1" si="8"/>
        <v>85130435.133214459</v>
      </c>
    </row>
    <row r="58" spans="1:28">
      <c r="A58" s="128">
        <f>'Monthly Data'!A58</f>
        <v>41518</v>
      </c>
      <c r="B58" s="127">
        <f t="shared" si="7"/>
        <v>2013</v>
      </c>
      <c r="C58" s="127">
        <f ca="1">'Monthly Data'!O58</f>
        <v>76153505.586661026</v>
      </c>
      <c r="D58" s="127">
        <f t="shared" ca="1" si="6"/>
        <v>30.410827067669118</v>
      </c>
      <c r="E58" s="127">
        <f t="shared" ca="1" si="6"/>
        <v>83.003533834586506</v>
      </c>
      <c r="F58" s="127">
        <f>'Monthly Data'!BL58</f>
        <v>586913</v>
      </c>
      <c r="G58" s="127">
        <f>'Monthly Data'!BM58</f>
        <v>57</v>
      </c>
      <c r="H58" s="127">
        <f>'Monthly Data'!BQ58</f>
        <v>0</v>
      </c>
      <c r="I58" s="127">
        <f>'Monthly Data'!BS58</f>
        <v>0</v>
      </c>
      <c r="J58" s="127">
        <f>'Monthly Data'!BU58</f>
        <v>0</v>
      </c>
      <c r="K58" s="127">
        <f>'Monthly Data'!BV58</f>
        <v>1</v>
      </c>
      <c r="L58" s="127">
        <f>'Monthly Data'!BW58</f>
        <v>0</v>
      </c>
      <c r="M58" s="127">
        <f>'Monthly Data'!CC58</f>
        <v>30</v>
      </c>
      <c r="N58" s="127">
        <f>'Monthly Data'!CD58</f>
        <v>20</v>
      </c>
      <c r="P58" s="127">
        <f>'GS &gt; 50 OLS Model'!$B$5</f>
        <v>-8508488.8174217809</v>
      </c>
      <c r="Q58" s="186">
        <f ca="1">'GS &gt; 50 OLS Model'!$B$6*D58</f>
        <v>737335.85557637212</v>
      </c>
      <c r="R58" s="186">
        <f ca="1">'GS &gt; 50 OLS Model'!$B$7*E58</f>
        <v>5925423.6554338057</v>
      </c>
      <c r="S58" s="186">
        <f>'GS &gt; 50 OLS Model'!$B$8*F58</f>
        <v>30733246.314797524</v>
      </c>
      <c r="T58" s="186">
        <v>0</v>
      </c>
      <c r="U58" s="186">
        <f>'GS &gt; 50 OLS Model'!$B$9*H58</f>
        <v>0</v>
      </c>
      <c r="V58" s="186">
        <f>'GS &gt; 50 OLS Model'!$B$10*I58</f>
        <v>0</v>
      </c>
      <c r="W58" s="186">
        <f>'GS &gt; 50 OLS Model'!$B$11*J58</f>
        <v>0</v>
      </c>
      <c r="X58" s="186">
        <f>'GS &gt; 50 OLS Model'!$B$12*K58</f>
        <v>2345350.8919449002</v>
      </c>
      <c r="Y58" s="186">
        <v>0</v>
      </c>
      <c r="Z58" s="186">
        <f>'GS &gt; 50 OLS Model'!$B$13*M58</f>
        <v>33551198.840181898</v>
      </c>
      <c r="AA58" s="186">
        <f>'GS &gt; 50 OLS Model'!$B$14*N58</f>
        <v>13083094.244134201</v>
      </c>
      <c r="AB58" s="127">
        <f t="shared" ca="1" si="8"/>
        <v>77867160.984646916</v>
      </c>
    </row>
    <row r="59" spans="1:28">
      <c r="A59" s="128">
        <f>'Monthly Data'!A59</f>
        <v>41548</v>
      </c>
      <c r="B59" s="127">
        <f t="shared" si="7"/>
        <v>2013</v>
      </c>
      <c r="C59" s="127">
        <f ca="1">'Monthly Data'!O59</f>
        <v>77422083.680861652</v>
      </c>
      <c r="D59" s="127">
        <f t="shared" ca="1" si="6"/>
        <v>158.93676691729343</v>
      </c>
      <c r="E59" s="127">
        <f t="shared" ca="1" si="6"/>
        <v>16.916090225563948</v>
      </c>
      <c r="F59" s="127">
        <f>'Monthly Data'!BL59</f>
        <v>586913</v>
      </c>
      <c r="G59" s="127">
        <f>'Monthly Data'!BM59</f>
        <v>58</v>
      </c>
      <c r="H59" s="127">
        <f>'Monthly Data'!BQ59</f>
        <v>0</v>
      </c>
      <c r="I59" s="127">
        <f>'Monthly Data'!BS59</f>
        <v>0</v>
      </c>
      <c r="J59" s="127">
        <f>'Monthly Data'!BU59</f>
        <v>0</v>
      </c>
      <c r="K59" s="127">
        <f>'Monthly Data'!BV59</f>
        <v>0</v>
      </c>
      <c r="L59" s="127">
        <f>'Monthly Data'!BW59</f>
        <v>1</v>
      </c>
      <c r="M59" s="127">
        <f>'Monthly Data'!CC59</f>
        <v>31</v>
      </c>
      <c r="N59" s="127">
        <f>'Monthly Data'!CD59</f>
        <v>22</v>
      </c>
      <c r="P59" s="127">
        <f>'GS &gt; 50 OLS Model'!$B$5</f>
        <v>-8508488.8174217809</v>
      </c>
      <c r="Q59" s="186">
        <f ca="1">'GS &gt; 50 OLS Model'!$B$6*D59</f>
        <v>3853554.4185213498</v>
      </c>
      <c r="R59" s="186">
        <f ca="1">'GS &gt; 50 OLS Model'!$B$7*E59</f>
        <v>1207599.2014961967</v>
      </c>
      <c r="S59" s="186">
        <f>'GS &gt; 50 OLS Model'!$B$8*F59</f>
        <v>30733246.314797524</v>
      </c>
      <c r="T59" s="186">
        <v>0</v>
      </c>
      <c r="U59" s="186">
        <f>'GS &gt; 50 OLS Model'!$B$9*H59</f>
        <v>0</v>
      </c>
      <c r="V59" s="186">
        <f>'GS &gt; 50 OLS Model'!$B$10*I59</f>
        <v>0</v>
      </c>
      <c r="W59" s="186">
        <f>'GS &gt; 50 OLS Model'!$B$11*J59</f>
        <v>0</v>
      </c>
      <c r="X59" s="186">
        <f>'GS &gt; 50 OLS Model'!$B$12*K59</f>
        <v>0</v>
      </c>
      <c r="Y59" s="186">
        <v>0</v>
      </c>
      <c r="Z59" s="186">
        <f>'GS &gt; 50 OLS Model'!$B$13*M59</f>
        <v>34669572.13485463</v>
      </c>
      <c r="AA59" s="186">
        <f>'GS &gt; 50 OLS Model'!$B$14*N59</f>
        <v>14391403.668547621</v>
      </c>
      <c r="AB59" s="127">
        <f t="shared" ca="1" si="8"/>
        <v>76346886.920795545</v>
      </c>
    </row>
    <row r="60" spans="1:28">
      <c r="A60" s="128">
        <f>'Monthly Data'!A60</f>
        <v>41579</v>
      </c>
      <c r="B60" s="127">
        <f t="shared" si="7"/>
        <v>2013</v>
      </c>
      <c r="C60" s="127">
        <f ca="1">'Monthly Data'!O60</f>
        <v>79988549.467103228</v>
      </c>
      <c r="D60" s="127">
        <f t="shared" ca="1" si="6"/>
        <v>375.92533834586447</v>
      </c>
      <c r="E60" s="127">
        <f t="shared" ca="1" si="6"/>
        <v>8.120300751879661E-2</v>
      </c>
      <c r="F60" s="127">
        <f>'Monthly Data'!BL60</f>
        <v>586913</v>
      </c>
      <c r="G60" s="127">
        <f>'Monthly Data'!BM60</f>
        <v>59</v>
      </c>
      <c r="H60" s="127">
        <f>'Monthly Data'!BQ60</f>
        <v>0</v>
      </c>
      <c r="I60" s="127">
        <f>'Monthly Data'!BS60</f>
        <v>0</v>
      </c>
      <c r="J60" s="127">
        <f>'Monthly Data'!BU60</f>
        <v>0</v>
      </c>
      <c r="K60" s="127">
        <f>'Monthly Data'!BV60</f>
        <v>0</v>
      </c>
      <c r="L60" s="127">
        <f>'Monthly Data'!BW60</f>
        <v>0</v>
      </c>
      <c r="M60" s="127">
        <f>'Monthly Data'!CC60</f>
        <v>30</v>
      </c>
      <c r="N60" s="127">
        <f>'Monthly Data'!CD60</f>
        <v>21</v>
      </c>
      <c r="P60" s="127">
        <f>'GS &gt; 50 OLS Model'!$B$5</f>
        <v>-8508488.8174217809</v>
      </c>
      <c r="Q60" s="186">
        <f ca="1">'GS &gt; 50 OLS Model'!$B$6*D60</f>
        <v>9114623.234853385</v>
      </c>
      <c r="R60" s="186">
        <f ca="1">'GS &gt; 50 OLS Model'!$B$7*E60</f>
        <v>5796.8883903561291</v>
      </c>
      <c r="S60" s="186">
        <f>'GS &gt; 50 OLS Model'!$B$8*F60</f>
        <v>30733246.314797524</v>
      </c>
      <c r="T60" s="186">
        <v>0</v>
      </c>
      <c r="U60" s="186">
        <f>'GS &gt; 50 OLS Model'!$B$9*H60</f>
        <v>0</v>
      </c>
      <c r="V60" s="186">
        <f>'GS &gt; 50 OLS Model'!$B$10*I60</f>
        <v>0</v>
      </c>
      <c r="W60" s="186">
        <f>'GS &gt; 50 OLS Model'!$B$11*J60</f>
        <v>0</v>
      </c>
      <c r="X60" s="186">
        <f>'GS &gt; 50 OLS Model'!$B$12*K60</f>
        <v>0</v>
      </c>
      <c r="Y60" s="186">
        <v>0</v>
      </c>
      <c r="Z60" s="186">
        <f>'GS &gt; 50 OLS Model'!$B$13*M60</f>
        <v>33551198.840181898</v>
      </c>
      <c r="AA60" s="186">
        <f>'GS &gt; 50 OLS Model'!$B$14*N60</f>
        <v>13737248.956340911</v>
      </c>
      <c r="AB60" s="127">
        <f t="shared" ca="1" si="8"/>
        <v>78633625.417142287</v>
      </c>
    </row>
    <row r="61" spans="1:28">
      <c r="A61" s="128">
        <f>'Monthly Data'!A61</f>
        <v>41609</v>
      </c>
      <c r="B61" s="127">
        <f t="shared" si="7"/>
        <v>2013</v>
      </c>
      <c r="C61" s="127">
        <f ca="1">'Monthly Data'!O61</f>
        <v>83719004.850571141</v>
      </c>
      <c r="D61" s="127">
        <f t="shared" ca="1" si="6"/>
        <v>548.76120300751859</v>
      </c>
      <c r="E61" s="127">
        <f t="shared" ca="1" si="6"/>
        <v>0</v>
      </c>
      <c r="F61" s="127">
        <f>'Monthly Data'!BL61</f>
        <v>586913</v>
      </c>
      <c r="G61" s="127">
        <f>'Monthly Data'!BM61</f>
        <v>60</v>
      </c>
      <c r="H61" s="127">
        <f>'Monthly Data'!BQ61</f>
        <v>0</v>
      </c>
      <c r="I61" s="127">
        <f>'Monthly Data'!BS61</f>
        <v>0</v>
      </c>
      <c r="J61" s="127">
        <f>'Monthly Data'!BU61</f>
        <v>0</v>
      </c>
      <c r="K61" s="127">
        <f>'Monthly Data'!BV61</f>
        <v>0</v>
      </c>
      <c r="L61" s="127">
        <f>'Monthly Data'!BW61</f>
        <v>0</v>
      </c>
      <c r="M61" s="127">
        <f>'Monthly Data'!CC61</f>
        <v>31</v>
      </c>
      <c r="N61" s="127">
        <f>'Monthly Data'!CD61</f>
        <v>20</v>
      </c>
      <c r="P61" s="127">
        <f>'GS &gt; 50 OLS Model'!$B$5</f>
        <v>-8508488.8174217809</v>
      </c>
      <c r="Q61" s="186">
        <f ca="1">'GS &gt; 50 OLS Model'!$B$6*D61</f>
        <v>13305172.865779633</v>
      </c>
      <c r="R61" s="186">
        <f ca="1">'GS &gt; 50 OLS Model'!$B$7*E61</f>
        <v>0</v>
      </c>
      <c r="S61" s="186">
        <f>'GS &gt; 50 OLS Model'!$B$8*F61</f>
        <v>30733246.314797524</v>
      </c>
      <c r="T61" s="186">
        <v>0</v>
      </c>
      <c r="U61" s="186">
        <f>'GS &gt; 50 OLS Model'!$B$9*H61</f>
        <v>0</v>
      </c>
      <c r="V61" s="186">
        <f>'GS &gt; 50 OLS Model'!$B$10*I61</f>
        <v>0</v>
      </c>
      <c r="W61" s="186">
        <f>'GS &gt; 50 OLS Model'!$B$11*J61</f>
        <v>0</v>
      </c>
      <c r="X61" s="186">
        <f>'GS &gt; 50 OLS Model'!$B$12*K61</f>
        <v>0</v>
      </c>
      <c r="Y61" s="186">
        <v>0</v>
      </c>
      <c r="Z61" s="186">
        <f>'GS &gt; 50 OLS Model'!$B$13*M61</f>
        <v>34669572.13485463</v>
      </c>
      <c r="AA61" s="186">
        <f>'GS &gt; 50 OLS Model'!$B$14*N61</f>
        <v>13083094.244134201</v>
      </c>
      <c r="AB61" s="127">
        <f t="shared" ca="1" si="8"/>
        <v>83282596.742144212</v>
      </c>
    </row>
    <row r="62" spans="1:28">
      <c r="A62" s="128">
        <f>'Monthly Data'!A62</f>
        <v>41640</v>
      </c>
      <c r="B62" s="127">
        <f t="shared" si="7"/>
        <v>2014</v>
      </c>
      <c r="C62" s="127">
        <f ca="1">'Monthly Data'!O62</f>
        <v>96510112.683375672</v>
      </c>
      <c r="D62" s="127">
        <f t="shared" ca="1" si="6"/>
        <v>665.14879699248104</v>
      </c>
      <c r="E62" s="127">
        <f t="shared" ca="1" si="6"/>
        <v>0</v>
      </c>
      <c r="F62" s="127">
        <f>'Monthly Data'!BL62</f>
        <v>601343.5</v>
      </c>
      <c r="G62" s="127">
        <f>'Monthly Data'!BM62</f>
        <v>61</v>
      </c>
      <c r="H62" s="127">
        <f>'Monthly Data'!BQ62</f>
        <v>0</v>
      </c>
      <c r="I62" s="127">
        <f>'Monthly Data'!BS62</f>
        <v>0</v>
      </c>
      <c r="J62" s="127">
        <f>'Monthly Data'!BU62</f>
        <v>0</v>
      </c>
      <c r="K62" s="127">
        <f>'Monthly Data'!BV62</f>
        <v>0</v>
      </c>
      <c r="L62" s="127">
        <f>'Monthly Data'!BW62</f>
        <v>0</v>
      </c>
      <c r="M62" s="127">
        <f>'Monthly Data'!CC62</f>
        <v>31</v>
      </c>
      <c r="N62" s="127">
        <f>'Monthly Data'!CD62</f>
        <v>22</v>
      </c>
      <c r="P62" s="127">
        <f>'GS &gt; 50 OLS Model'!$B$5</f>
        <v>-8508488.8174217809</v>
      </c>
      <c r="Q62" s="186">
        <f ca="1">'GS &gt; 50 OLS Model'!$B$6*D62</f>
        <v>16127087.113571094</v>
      </c>
      <c r="R62" s="186">
        <f ca="1">'GS &gt; 50 OLS Model'!$B$7*E62</f>
        <v>0</v>
      </c>
      <c r="S62" s="186">
        <f>'GS &gt; 50 OLS Model'!$B$8*F62</f>
        <v>31488888.311048564</v>
      </c>
      <c r="T62" s="186">
        <v>0</v>
      </c>
      <c r="U62" s="186">
        <f>'GS &gt; 50 OLS Model'!$B$9*H62</f>
        <v>0</v>
      </c>
      <c r="V62" s="186">
        <f>'GS &gt; 50 OLS Model'!$B$10*I62</f>
        <v>0</v>
      </c>
      <c r="W62" s="186">
        <f>'GS &gt; 50 OLS Model'!$B$11*J62</f>
        <v>0</v>
      </c>
      <c r="X62" s="186">
        <f>'GS &gt; 50 OLS Model'!$B$12*K62</f>
        <v>0</v>
      </c>
      <c r="Y62" s="186">
        <v>0</v>
      </c>
      <c r="Z62" s="186">
        <f>'GS &gt; 50 OLS Model'!$B$13*M62</f>
        <v>34669572.13485463</v>
      </c>
      <c r="AA62" s="186">
        <f>'GS &gt; 50 OLS Model'!$B$14*N62</f>
        <v>14391403.668547621</v>
      </c>
      <c r="AB62" s="127">
        <f t="shared" ca="1" si="8"/>
        <v>88168462.410600126</v>
      </c>
    </row>
    <row r="63" spans="1:28">
      <c r="A63" s="128">
        <f>'Monthly Data'!A63</f>
        <v>41671</v>
      </c>
      <c r="B63" s="127">
        <f t="shared" si="7"/>
        <v>2014</v>
      </c>
      <c r="C63" s="127">
        <f ca="1">'Monthly Data'!O63</f>
        <v>85964089.963368535</v>
      </c>
      <c r="D63" s="127">
        <f t="shared" ca="1" si="6"/>
        <v>611.17548872180487</v>
      </c>
      <c r="E63" s="127">
        <f t="shared" ca="1" si="6"/>
        <v>0</v>
      </c>
      <c r="F63" s="127">
        <f>'Monthly Data'!BL63</f>
        <v>601343.5</v>
      </c>
      <c r="G63" s="127">
        <f>'Monthly Data'!BM63</f>
        <v>62</v>
      </c>
      <c r="H63" s="127">
        <f>'Monthly Data'!BQ63</f>
        <v>0</v>
      </c>
      <c r="I63" s="127">
        <f>'Monthly Data'!BS63</f>
        <v>0</v>
      </c>
      <c r="J63" s="127">
        <f>'Monthly Data'!BU63</f>
        <v>0</v>
      </c>
      <c r="K63" s="127">
        <f>'Monthly Data'!BV63</f>
        <v>0</v>
      </c>
      <c r="L63" s="127">
        <f>'Monthly Data'!BW63</f>
        <v>0</v>
      </c>
      <c r="M63" s="127">
        <f>'Monthly Data'!CC63</f>
        <v>28</v>
      </c>
      <c r="N63" s="127">
        <f>'Monthly Data'!CD63</f>
        <v>19</v>
      </c>
      <c r="P63" s="127">
        <f>'GS &gt; 50 OLS Model'!$B$5</f>
        <v>-8508488.8174217809</v>
      </c>
      <c r="Q63" s="186">
        <f ca="1">'GS &gt; 50 OLS Model'!$B$6*D63</f>
        <v>14818459.257331191</v>
      </c>
      <c r="R63" s="186">
        <f ca="1">'GS &gt; 50 OLS Model'!$B$7*E63</f>
        <v>0</v>
      </c>
      <c r="S63" s="186">
        <f>'GS &gt; 50 OLS Model'!$B$8*F63</f>
        <v>31488888.311048564</v>
      </c>
      <c r="T63" s="186">
        <v>0</v>
      </c>
      <c r="U63" s="186">
        <f>'GS &gt; 50 OLS Model'!$B$9*H63</f>
        <v>0</v>
      </c>
      <c r="V63" s="186">
        <f>'GS &gt; 50 OLS Model'!$B$10*I63</f>
        <v>0</v>
      </c>
      <c r="W63" s="186">
        <f>'GS &gt; 50 OLS Model'!$B$11*J63</f>
        <v>0</v>
      </c>
      <c r="X63" s="186">
        <f>'GS &gt; 50 OLS Model'!$B$12*K63</f>
        <v>0</v>
      </c>
      <c r="Y63" s="186">
        <v>0</v>
      </c>
      <c r="Z63" s="186">
        <f>'GS &gt; 50 OLS Model'!$B$13*M63</f>
        <v>31314452.250836439</v>
      </c>
      <c r="AA63" s="186">
        <f>'GS &gt; 50 OLS Model'!$B$14*N63</f>
        <v>12428939.531927491</v>
      </c>
      <c r="AB63" s="127">
        <f t="shared" ca="1" si="8"/>
        <v>81542250.533721909</v>
      </c>
    </row>
    <row r="64" spans="1:28">
      <c r="A64" s="128">
        <f>'Monthly Data'!A64</f>
        <v>41699</v>
      </c>
      <c r="B64" s="127">
        <f t="shared" si="7"/>
        <v>2014</v>
      </c>
      <c r="C64" s="127">
        <f ca="1">'Monthly Data'!O64</f>
        <v>88422332.078679308</v>
      </c>
      <c r="D64" s="127">
        <f t="shared" ca="1" si="6"/>
        <v>458.46436090225569</v>
      </c>
      <c r="E64" s="127">
        <f t="shared" ca="1" si="6"/>
        <v>0.45218045112781802</v>
      </c>
      <c r="F64" s="127">
        <f>'Monthly Data'!BL64</f>
        <v>601343.5</v>
      </c>
      <c r="G64" s="127">
        <f>'Monthly Data'!BM64</f>
        <v>63</v>
      </c>
      <c r="H64" s="127">
        <f>'Monthly Data'!BQ64</f>
        <v>0</v>
      </c>
      <c r="I64" s="127">
        <f>'Monthly Data'!BS64</f>
        <v>0</v>
      </c>
      <c r="J64" s="127">
        <f>'Monthly Data'!BU64</f>
        <v>0</v>
      </c>
      <c r="K64" s="127">
        <f>'Monthly Data'!BV64</f>
        <v>0</v>
      </c>
      <c r="L64" s="127">
        <f>'Monthly Data'!BW64</f>
        <v>0</v>
      </c>
      <c r="M64" s="127">
        <f>'Monthly Data'!CC64</f>
        <v>31</v>
      </c>
      <c r="N64" s="127">
        <f>'Monthly Data'!CD64</f>
        <v>21</v>
      </c>
      <c r="P64" s="127">
        <f>'GS &gt; 50 OLS Model'!$B$5</f>
        <v>-8508488.8174217809</v>
      </c>
      <c r="Q64" s="186">
        <f ca="1">'GS &gt; 50 OLS Model'!$B$6*D64</f>
        <v>11115850.64901193</v>
      </c>
      <c r="R64" s="186">
        <f ca="1">'GS &gt; 50 OLS Model'!$B$7*E64</f>
        <v>32280.080351483153</v>
      </c>
      <c r="S64" s="186">
        <f>'GS &gt; 50 OLS Model'!$B$8*F64</f>
        <v>31488888.311048564</v>
      </c>
      <c r="T64" s="186">
        <v>0</v>
      </c>
      <c r="U64" s="186">
        <f>'GS &gt; 50 OLS Model'!$B$9*H64</f>
        <v>0</v>
      </c>
      <c r="V64" s="186">
        <f>'GS &gt; 50 OLS Model'!$B$10*I64</f>
        <v>0</v>
      </c>
      <c r="W64" s="186">
        <f>'GS &gt; 50 OLS Model'!$B$11*J64</f>
        <v>0</v>
      </c>
      <c r="X64" s="186">
        <f>'GS &gt; 50 OLS Model'!$B$12*K64</f>
        <v>0</v>
      </c>
      <c r="Y64" s="186">
        <v>0</v>
      </c>
      <c r="Z64" s="186">
        <f>'GS &gt; 50 OLS Model'!$B$13*M64</f>
        <v>34669572.13485463</v>
      </c>
      <c r="AA64" s="186">
        <f>'GS &gt; 50 OLS Model'!$B$14*N64</f>
        <v>13737248.956340911</v>
      </c>
      <c r="AB64" s="127">
        <f t="shared" ca="1" si="8"/>
        <v>82535351.314185739</v>
      </c>
    </row>
    <row r="65" spans="1:28">
      <c r="A65" s="128">
        <f>'Monthly Data'!A65</f>
        <v>41730</v>
      </c>
      <c r="B65" s="127">
        <f t="shared" si="7"/>
        <v>2014</v>
      </c>
      <c r="C65" s="127">
        <f ca="1">'Monthly Data'!O65</f>
        <v>76199788.927618995</v>
      </c>
      <c r="D65" s="127">
        <f t="shared" ca="1" si="6"/>
        <v>254.29052631578941</v>
      </c>
      <c r="E65" s="127">
        <f t="shared" ca="1" si="6"/>
        <v>0.50947368421054762</v>
      </c>
      <c r="F65" s="127">
        <f>'Monthly Data'!BL65</f>
        <v>601343.5</v>
      </c>
      <c r="G65" s="127">
        <f>'Monthly Data'!BM65</f>
        <v>64</v>
      </c>
      <c r="H65" s="127">
        <f>'Monthly Data'!BQ65</f>
        <v>1</v>
      </c>
      <c r="I65" s="127">
        <f>'Monthly Data'!BS65</f>
        <v>0</v>
      </c>
      <c r="J65" s="127">
        <f>'Monthly Data'!BU65</f>
        <v>0</v>
      </c>
      <c r="K65" s="127">
        <f>'Monthly Data'!BV65</f>
        <v>0</v>
      </c>
      <c r="L65" s="127">
        <f>'Monthly Data'!BW65</f>
        <v>0</v>
      </c>
      <c r="M65" s="127">
        <f>'Monthly Data'!CC65</f>
        <v>30</v>
      </c>
      <c r="N65" s="127">
        <f>'Monthly Data'!CD65</f>
        <v>20</v>
      </c>
      <c r="P65" s="127">
        <f>'GS &gt; 50 OLS Model'!$B$5</f>
        <v>-8508488.8174217809</v>
      </c>
      <c r="Q65" s="186">
        <f ca="1">'GS &gt; 50 OLS Model'!$B$6*D65</f>
        <v>6165485.8109845407</v>
      </c>
      <c r="R65" s="186">
        <f ca="1">'GS &gt; 50 OLS Model'!$B$7*E65</f>
        <v>36370.107160236068</v>
      </c>
      <c r="S65" s="186">
        <f>'GS &gt; 50 OLS Model'!$B$8*F65</f>
        <v>31488888.311048564</v>
      </c>
      <c r="T65" s="186">
        <v>0</v>
      </c>
      <c r="U65" s="186">
        <f>'GS &gt; 50 OLS Model'!$B$9*H65</f>
        <v>-1670359.8066300801</v>
      </c>
      <c r="V65" s="186">
        <f>'GS &gt; 50 OLS Model'!$B$10*I65</f>
        <v>0</v>
      </c>
      <c r="W65" s="186">
        <f>'GS &gt; 50 OLS Model'!$B$11*J65</f>
        <v>0</v>
      </c>
      <c r="X65" s="186">
        <f>'GS &gt; 50 OLS Model'!$B$12*K65</f>
        <v>0</v>
      </c>
      <c r="Y65" s="186">
        <v>0</v>
      </c>
      <c r="Z65" s="186">
        <f>'GS &gt; 50 OLS Model'!$B$13*M65</f>
        <v>33551198.840181898</v>
      </c>
      <c r="AA65" s="186">
        <f>'GS &gt; 50 OLS Model'!$B$14*N65</f>
        <v>13083094.244134201</v>
      </c>
      <c r="AB65" s="127">
        <f t="shared" ca="1" si="8"/>
        <v>74146188.68945758</v>
      </c>
    </row>
    <row r="66" spans="1:28">
      <c r="A66" s="128">
        <f>'Monthly Data'!A66</f>
        <v>41760</v>
      </c>
      <c r="B66" s="127">
        <f t="shared" si="7"/>
        <v>2014</v>
      </c>
      <c r="C66" s="127">
        <f ca="1">'Monthly Data'!O66</f>
        <v>78731314.204411477</v>
      </c>
      <c r="D66" s="127">
        <f t="shared" ref="D66:E81" ca="1" si="9">D54</f>
        <v>102.64150375939857</v>
      </c>
      <c r="E66" s="127">
        <f t="shared" ca="1" si="9"/>
        <v>56.062781954887214</v>
      </c>
      <c r="F66" s="127">
        <f>'Monthly Data'!BL66</f>
        <v>601343.5</v>
      </c>
      <c r="G66" s="127">
        <f>'Monthly Data'!BM66</f>
        <v>65</v>
      </c>
      <c r="H66" s="127">
        <f>'Monthly Data'!BQ66</f>
        <v>0</v>
      </c>
      <c r="I66" s="127">
        <f>'Monthly Data'!BS66</f>
        <v>0</v>
      </c>
      <c r="J66" s="127">
        <f>'Monthly Data'!BU66</f>
        <v>0</v>
      </c>
      <c r="K66" s="127">
        <f>'Monthly Data'!BV66</f>
        <v>0</v>
      </c>
      <c r="L66" s="127">
        <f>'Monthly Data'!BW66</f>
        <v>0</v>
      </c>
      <c r="M66" s="127">
        <f>'Monthly Data'!CC66</f>
        <v>31</v>
      </c>
      <c r="N66" s="127">
        <f>'Monthly Data'!CD66</f>
        <v>22</v>
      </c>
      <c r="P66" s="127">
        <f>'GS &gt; 50 OLS Model'!$B$5</f>
        <v>-8508488.8174217809</v>
      </c>
      <c r="Q66" s="186">
        <f ca="1">'GS &gt; 50 OLS Model'!$B$6*D66</f>
        <v>2488628.8302412247</v>
      </c>
      <c r="R66" s="186">
        <f ca="1">'GS &gt; 50 OLS Model'!$B$7*E66</f>
        <v>4002187.8471696409</v>
      </c>
      <c r="S66" s="186">
        <f>'GS &gt; 50 OLS Model'!$B$8*F66</f>
        <v>31488888.311048564</v>
      </c>
      <c r="T66" s="186">
        <v>0</v>
      </c>
      <c r="U66" s="186">
        <f>'GS &gt; 50 OLS Model'!$B$9*H66</f>
        <v>0</v>
      </c>
      <c r="V66" s="186">
        <f>'GS &gt; 50 OLS Model'!$B$10*I66</f>
        <v>0</v>
      </c>
      <c r="W66" s="186">
        <f>'GS &gt; 50 OLS Model'!$B$11*J66</f>
        <v>0</v>
      </c>
      <c r="X66" s="186">
        <f>'GS &gt; 50 OLS Model'!$B$12*K66</f>
        <v>0</v>
      </c>
      <c r="Y66" s="186">
        <v>0</v>
      </c>
      <c r="Z66" s="186">
        <f>'GS &gt; 50 OLS Model'!$B$13*M66</f>
        <v>34669572.13485463</v>
      </c>
      <c r="AA66" s="186">
        <f>'GS &gt; 50 OLS Model'!$B$14*N66</f>
        <v>14391403.668547621</v>
      </c>
      <c r="AB66" s="127">
        <f t="shared" ca="1" si="8"/>
        <v>78532191.974439889</v>
      </c>
    </row>
    <row r="67" spans="1:28">
      <c r="A67" s="128">
        <f>'Monthly Data'!A67</f>
        <v>41791</v>
      </c>
      <c r="B67" s="127">
        <f t="shared" si="7"/>
        <v>2014</v>
      </c>
      <c r="C67" s="127">
        <f ca="1">'Monthly Data'!O67</f>
        <v>82040736.439185008</v>
      </c>
      <c r="D67" s="127">
        <f t="shared" ca="1" si="9"/>
        <v>0.39669172932326546</v>
      </c>
      <c r="E67" s="127">
        <f t="shared" ca="1" si="9"/>
        <v>116.89315789473682</v>
      </c>
      <c r="F67" s="127">
        <f>'Monthly Data'!BL67</f>
        <v>601343.5</v>
      </c>
      <c r="G67" s="127">
        <f>'Monthly Data'!BM67</f>
        <v>66</v>
      </c>
      <c r="H67" s="127">
        <f>'Monthly Data'!BQ67</f>
        <v>0</v>
      </c>
      <c r="I67" s="127">
        <f>'Monthly Data'!BS67</f>
        <v>1</v>
      </c>
      <c r="J67" s="127">
        <f>'Monthly Data'!BU67</f>
        <v>0</v>
      </c>
      <c r="K67" s="127">
        <f>'Monthly Data'!BV67</f>
        <v>0</v>
      </c>
      <c r="L67" s="127">
        <f>'Monthly Data'!BW67</f>
        <v>0</v>
      </c>
      <c r="M67" s="127">
        <f>'Monthly Data'!CC67</f>
        <v>30</v>
      </c>
      <c r="N67" s="127">
        <f>'Monthly Data'!CD67</f>
        <v>21</v>
      </c>
      <c r="P67" s="127">
        <f>'GS &gt; 50 OLS Model'!$B$5</f>
        <v>-8508488.8174217809</v>
      </c>
      <c r="Q67" s="186">
        <f ca="1">'GS &gt; 50 OLS Model'!$B$6*D67</f>
        <v>9618.1216969137586</v>
      </c>
      <c r="R67" s="186">
        <f ca="1">'GS &gt; 50 OLS Model'!$B$7*E67</f>
        <v>8344722.8202134408</v>
      </c>
      <c r="S67" s="186">
        <f>'GS &gt; 50 OLS Model'!$B$8*F67</f>
        <v>31488888.311048564</v>
      </c>
      <c r="T67" s="186">
        <v>0</v>
      </c>
      <c r="U67" s="186">
        <f>'GS &gt; 50 OLS Model'!$B$9*H67</f>
        <v>0</v>
      </c>
      <c r="V67" s="186">
        <f>'GS &gt; 50 OLS Model'!$B$10*I67</f>
        <v>1244451.2383117899</v>
      </c>
      <c r="W67" s="186">
        <f>'GS &gt; 50 OLS Model'!$B$11*J67</f>
        <v>0</v>
      </c>
      <c r="X67" s="186">
        <f>'GS &gt; 50 OLS Model'!$B$12*K67</f>
        <v>0</v>
      </c>
      <c r="Y67" s="186">
        <v>0</v>
      </c>
      <c r="Z67" s="186">
        <f>'GS &gt; 50 OLS Model'!$B$13*M67</f>
        <v>33551198.840181898</v>
      </c>
      <c r="AA67" s="186">
        <f>'GS &gt; 50 OLS Model'!$B$14*N67</f>
        <v>13737248.956340911</v>
      </c>
      <c r="AB67" s="127">
        <f t="shared" ca="1" si="8"/>
        <v>79867639.470371738</v>
      </c>
    </row>
    <row r="68" spans="1:28">
      <c r="A68" s="128">
        <f>'Monthly Data'!A68</f>
        <v>41821</v>
      </c>
      <c r="B68" s="127">
        <f t="shared" si="7"/>
        <v>2014</v>
      </c>
      <c r="C68" s="127">
        <f ca="1">'Monthly Data'!O68</f>
        <v>83536033.436047852</v>
      </c>
      <c r="D68" s="127">
        <f t="shared" ca="1" si="9"/>
        <v>0.58105263157894704</v>
      </c>
      <c r="E68" s="127">
        <f t="shared" ca="1" si="9"/>
        <v>186.96526315789481</v>
      </c>
      <c r="F68" s="127">
        <f>'Monthly Data'!BL68</f>
        <v>601343.5</v>
      </c>
      <c r="G68" s="127">
        <f>'Monthly Data'!BM68</f>
        <v>67</v>
      </c>
      <c r="H68" s="127">
        <f>'Monthly Data'!BQ68</f>
        <v>0</v>
      </c>
      <c r="I68" s="127">
        <f>'Monthly Data'!BS68</f>
        <v>0</v>
      </c>
      <c r="J68" s="127">
        <f>'Monthly Data'!BU68</f>
        <v>0</v>
      </c>
      <c r="K68" s="127">
        <f>'Monthly Data'!BV68</f>
        <v>0</v>
      </c>
      <c r="L68" s="127">
        <f>'Monthly Data'!BW68</f>
        <v>0</v>
      </c>
      <c r="M68" s="127">
        <f>'Monthly Data'!CC68</f>
        <v>31</v>
      </c>
      <c r="N68" s="127">
        <f>'Monthly Data'!CD68</f>
        <v>22</v>
      </c>
      <c r="P68" s="127">
        <f>'GS &gt; 50 OLS Model'!$B$5</f>
        <v>-8508488.8174217809</v>
      </c>
      <c r="Q68" s="186">
        <f ca="1">'GS &gt; 50 OLS Model'!$B$6*D68</f>
        <v>14088.105472660634</v>
      </c>
      <c r="R68" s="186">
        <f ca="1">'GS &gt; 50 OLS Model'!$B$7*E68</f>
        <v>13347002.734461535</v>
      </c>
      <c r="S68" s="186">
        <f>'GS &gt; 50 OLS Model'!$B$8*F68</f>
        <v>31488888.311048564</v>
      </c>
      <c r="T68" s="186">
        <v>0</v>
      </c>
      <c r="U68" s="186">
        <f>'GS &gt; 50 OLS Model'!$B$9*H68</f>
        <v>0</v>
      </c>
      <c r="V68" s="186">
        <f>'GS &gt; 50 OLS Model'!$B$10*I68</f>
        <v>0</v>
      </c>
      <c r="W68" s="186">
        <f>'GS &gt; 50 OLS Model'!$B$11*J68</f>
        <v>0</v>
      </c>
      <c r="X68" s="186">
        <f>'GS &gt; 50 OLS Model'!$B$12*K68</f>
        <v>0</v>
      </c>
      <c r="Y68" s="186">
        <v>0</v>
      </c>
      <c r="Z68" s="186">
        <f>'GS &gt; 50 OLS Model'!$B$13*M68</f>
        <v>34669572.13485463</v>
      </c>
      <c r="AA68" s="186">
        <f>'GS &gt; 50 OLS Model'!$B$14*N68</f>
        <v>14391403.668547621</v>
      </c>
      <c r="AB68" s="127">
        <f t="shared" ca="1" si="8"/>
        <v>85402466.136963233</v>
      </c>
    </row>
    <row r="69" spans="1:28">
      <c r="A69" s="128">
        <f>'Monthly Data'!A69</f>
        <v>41852</v>
      </c>
      <c r="B69" s="127">
        <f t="shared" si="7"/>
        <v>2014</v>
      </c>
      <c r="C69" s="127">
        <f ca="1">'Monthly Data'!O69</f>
        <v>82890715.101407543</v>
      </c>
      <c r="D69" s="127">
        <f t="shared" ca="1" si="9"/>
        <v>1.6660902255639058</v>
      </c>
      <c r="E69" s="127">
        <f t="shared" ca="1" si="9"/>
        <v>167.43443609022574</v>
      </c>
      <c r="F69" s="127">
        <f>'Monthly Data'!BL69</f>
        <v>601343.5</v>
      </c>
      <c r="G69" s="127">
        <f>'Monthly Data'!BM69</f>
        <v>68</v>
      </c>
      <c r="H69" s="127">
        <f>'Monthly Data'!BQ69</f>
        <v>0</v>
      </c>
      <c r="I69" s="127">
        <f>'Monthly Data'!BS69</f>
        <v>0</v>
      </c>
      <c r="J69" s="127">
        <f>'Monthly Data'!BU69</f>
        <v>1</v>
      </c>
      <c r="K69" s="127">
        <f>'Monthly Data'!BV69</f>
        <v>0</v>
      </c>
      <c r="L69" s="127">
        <f>'Monthly Data'!BW69</f>
        <v>0</v>
      </c>
      <c r="M69" s="127">
        <f>'Monthly Data'!CC69</f>
        <v>31</v>
      </c>
      <c r="N69" s="127">
        <f>'Monthly Data'!CD69</f>
        <v>20</v>
      </c>
      <c r="P69" s="127">
        <f>'GS &gt; 50 OLS Model'!$B$5</f>
        <v>-8508488.8174217809</v>
      </c>
      <c r="Q69" s="186">
        <f ca="1">'GS &gt; 50 OLS Model'!$B$6*D69</f>
        <v>40395.746528039141</v>
      </c>
      <c r="R69" s="186">
        <f ca="1">'GS &gt; 50 OLS Model'!$B$7*E69</f>
        <v>11952743.72679588</v>
      </c>
      <c r="S69" s="186">
        <f>'GS &gt; 50 OLS Model'!$B$8*F69</f>
        <v>31488888.311048564</v>
      </c>
      <c r="T69" s="186">
        <v>0</v>
      </c>
      <c r="U69" s="186">
        <f>'GS &gt; 50 OLS Model'!$B$9*H69</f>
        <v>0</v>
      </c>
      <c r="V69" s="186">
        <f>'GS &gt; 50 OLS Model'!$B$10*I69</f>
        <v>0</v>
      </c>
      <c r="W69" s="186">
        <f>'GS &gt; 50 OLS Model'!$B$11*J69</f>
        <v>2505717.0713192602</v>
      </c>
      <c r="X69" s="186">
        <f>'GS &gt; 50 OLS Model'!$B$12*K69</f>
        <v>0</v>
      </c>
      <c r="Y69" s="186">
        <v>0</v>
      </c>
      <c r="Z69" s="186">
        <f>'GS &gt; 50 OLS Model'!$B$13*M69</f>
        <v>34669572.13485463</v>
      </c>
      <c r="AA69" s="186">
        <f>'GS &gt; 50 OLS Model'!$B$14*N69</f>
        <v>13083094.244134201</v>
      </c>
      <c r="AB69" s="127">
        <f t="shared" ca="1" si="8"/>
        <v>85231922.417258784</v>
      </c>
    </row>
    <row r="70" spans="1:28">
      <c r="A70" s="128">
        <f>'Monthly Data'!A70</f>
        <v>41883</v>
      </c>
      <c r="B70" s="127">
        <f t="shared" si="7"/>
        <v>2014</v>
      </c>
      <c r="C70" s="127">
        <f ca="1">'Monthly Data'!O70</f>
        <v>78138961.690904036</v>
      </c>
      <c r="D70" s="127">
        <f t="shared" ca="1" si="9"/>
        <v>30.410827067669118</v>
      </c>
      <c r="E70" s="127">
        <f t="shared" ca="1" si="9"/>
        <v>83.003533834586506</v>
      </c>
      <c r="F70" s="127">
        <f>'Monthly Data'!BL70</f>
        <v>601343.5</v>
      </c>
      <c r="G70" s="127">
        <f>'Monthly Data'!BM70</f>
        <v>69</v>
      </c>
      <c r="H70" s="127">
        <f>'Monthly Data'!BQ70</f>
        <v>0</v>
      </c>
      <c r="I70" s="127">
        <f>'Monthly Data'!BS70</f>
        <v>0</v>
      </c>
      <c r="J70" s="127">
        <f>'Monthly Data'!BU70</f>
        <v>0</v>
      </c>
      <c r="K70" s="127">
        <f>'Monthly Data'!BV70</f>
        <v>1</v>
      </c>
      <c r="L70" s="127">
        <f>'Monthly Data'!BW70</f>
        <v>0</v>
      </c>
      <c r="M70" s="127">
        <f>'Monthly Data'!CC70</f>
        <v>30</v>
      </c>
      <c r="N70" s="127">
        <f>'Monthly Data'!CD70</f>
        <v>21</v>
      </c>
      <c r="P70" s="127">
        <f>'GS &gt; 50 OLS Model'!$B$5</f>
        <v>-8508488.8174217809</v>
      </c>
      <c r="Q70" s="186">
        <f ca="1">'GS &gt; 50 OLS Model'!$B$6*D70</f>
        <v>737335.85557637212</v>
      </c>
      <c r="R70" s="186">
        <f ca="1">'GS &gt; 50 OLS Model'!$B$7*E70</f>
        <v>5925423.6554338057</v>
      </c>
      <c r="S70" s="186">
        <f>'GS &gt; 50 OLS Model'!$B$8*F70</f>
        <v>31488888.311048564</v>
      </c>
      <c r="T70" s="186">
        <v>0</v>
      </c>
      <c r="U70" s="186">
        <f>'GS &gt; 50 OLS Model'!$B$9*H70</f>
        <v>0</v>
      </c>
      <c r="V70" s="186">
        <f>'GS &gt; 50 OLS Model'!$B$10*I70</f>
        <v>0</v>
      </c>
      <c r="W70" s="186">
        <f>'GS &gt; 50 OLS Model'!$B$11*J70</f>
        <v>0</v>
      </c>
      <c r="X70" s="186">
        <f>'GS &gt; 50 OLS Model'!$B$12*K70</f>
        <v>2345350.8919449002</v>
      </c>
      <c r="Y70" s="186">
        <v>0</v>
      </c>
      <c r="Z70" s="186">
        <f>'GS &gt; 50 OLS Model'!$B$13*M70</f>
        <v>33551198.840181898</v>
      </c>
      <c r="AA70" s="186">
        <f>'GS &gt; 50 OLS Model'!$B$14*N70</f>
        <v>13737248.956340911</v>
      </c>
      <c r="AB70" s="127">
        <f t="shared" ca="1" si="8"/>
        <v>79276957.693104669</v>
      </c>
    </row>
    <row r="71" spans="1:28">
      <c r="A71" s="128">
        <f>'Monthly Data'!A71</f>
        <v>41913</v>
      </c>
      <c r="B71" s="127">
        <f t="shared" si="7"/>
        <v>2014</v>
      </c>
      <c r="C71" s="127">
        <f ca="1">'Monthly Data'!O71</f>
        <v>78077874.416335806</v>
      </c>
      <c r="D71" s="127">
        <f t="shared" ca="1" si="9"/>
        <v>158.93676691729343</v>
      </c>
      <c r="E71" s="127">
        <f t="shared" ca="1" si="9"/>
        <v>16.916090225563948</v>
      </c>
      <c r="F71" s="127">
        <f>'Monthly Data'!BL71</f>
        <v>601343.5</v>
      </c>
      <c r="G71" s="127">
        <f>'Monthly Data'!BM71</f>
        <v>70</v>
      </c>
      <c r="H71" s="127">
        <f>'Monthly Data'!BQ71</f>
        <v>0</v>
      </c>
      <c r="I71" s="127">
        <f>'Monthly Data'!BS71</f>
        <v>0</v>
      </c>
      <c r="J71" s="127">
        <f>'Monthly Data'!BU71</f>
        <v>0</v>
      </c>
      <c r="K71" s="127">
        <f>'Monthly Data'!BV71</f>
        <v>0</v>
      </c>
      <c r="L71" s="127">
        <f>'Monthly Data'!BW71</f>
        <v>1</v>
      </c>
      <c r="M71" s="127">
        <f>'Monthly Data'!CC71</f>
        <v>31</v>
      </c>
      <c r="N71" s="127">
        <f>'Monthly Data'!CD71</f>
        <v>22</v>
      </c>
      <c r="P71" s="127">
        <f>'GS &gt; 50 OLS Model'!$B$5</f>
        <v>-8508488.8174217809</v>
      </c>
      <c r="Q71" s="186">
        <f ca="1">'GS &gt; 50 OLS Model'!$B$6*D71</f>
        <v>3853554.4185213498</v>
      </c>
      <c r="R71" s="186">
        <f ca="1">'GS &gt; 50 OLS Model'!$B$7*E71</f>
        <v>1207599.2014961967</v>
      </c>
      <c r="S71" s="186">
        <f>'GS &gt; 50 OLS Model'!$B$8*F71</f>
        <v>31488888.311048564</v>
      </c>
      <c r="T71" s="186">
        <v>0</v>
      </c>
      <c r="U71" s="186">
        <f>'GS &gt; 50 OLS Model'!$B$9*H71</f>
        <v>0</v>
      </c>
      <c r="V71" s="186">
        <f>'GS &gt; 50 OLS Model'!$B$10*I71</f>
        <v>0</v>
      </c>
      <c r="W71" s="186">
        <f>'GS &gt; 50 OLS Model'!$B$11*J71</f>
        <v>0</v>
      </c>
      <c r="X71" s="186">
        <f>'GS &gt; 50 OLS Model'!$B$12*K71</f>
        <v>0</v>
      </c>
      <c r="Y71" s="186">
        <v>0</v>
      </c>
      <c r="Z71" s="186">
        <f>'GS &gt; 50 OLS Model'!$B$13*M71</f>
        <v>34669572.13485463</v>
      </c>
      <c r="AA71" s="186">
        <f>'GS &gt; 50 OLS Model'!$B$14*N71</f>
        <v>14391403.668547621</v>
      </c>
      <c r="AB71" s="127">
        <f t="shared" ca="1" si="8"/>
        <v>77102528.917046577</v>
      </c>
    </row>
    <row r="72" spans="1:28">
      <c r="A72" s="128">
        <f>'Monthly Data'!A72</f>
        <v>41944</v>
      </c>
      <c r="B72" s="127">
        <f t="shared" si="7"/>
        <v>2014</v>
      </c>
      <c r="C72" s="127">
        <f ca="1">'Monthly Data'!O72</f>
        <v>81347157.776762664</v>
      </c>
      <c r="D72" s="127">
        <f t="shared" ca="1" si="9"/>
        <v>375.92533834586447</v>
      </c>
      <c r="E72" s="127">
        <f t="shared" ca="1" si="9"/>
        <v>8.120300751879661E-2</v>
      </c>
      <c r="F72" s="127">
        <f>'Monthly Data'!BL72</f>
        <v>601343.5</v>
      </c>
      <c r="G72" s="127">
        <f>'Monthly Data'!BM72</f>
        <v>71</v>
      </c>
      <c r="H72" s="127">
        <f>'Monthly Data'!BQ72</f>
        <v>0</v>
      </c>
      <c r="I72" s="127">
        <f>'Monthly Data'!BS72</f>
        <v>0</v>
      </c>
      <c r="J72" s="127">
        <f>'Monthly Data'!BU72</f>
        <v>0</v>
      </c>
      <c r="K72" s="127">
        <f>'Monthly Data'!BV72</f>
        <v>0</v>
      </c>
      <c r="L72" s="127">
        <f>'Monthly Data'!BW72</f>
        <v>0</v>
      </c>
      <c r="M72" s="127">
        <f>'Monthly Data'!CC72</f>
        <v>30</v>
      </c>
      <c r="N72" s="127">
        <f>'Monthly Data'!CD72</f>
        <v>20</v>
      </c>
      <c r="P72" s="127">
        <f>'GS &gt; 50 OLS Model'!$B$5</f>
        <v>-8508488.8174217809</v>
      </c>
      <c r="Q72" s="186">
        <f ca="1">'GS &gt; 50 OLS Model'!$B$6*D72</f>
        <v>9114623.234853385</v>
      </c>
      <c r="R72" s="186">
        <f ca="1">'GS &gt; 50 OLS Model'!$B$7*E72</f>
        <v>5796.8883903561291</v>
      </c>
      <c r="S72" s="186">
        <f>'GS &gt; 50 OLS Model'!$B$8*F72</f>
        <v>31488888.311048564</v>
      </c>
      <c r="T72" s="186">
        <v>0</v>
      </c>
      <c r="U72" s="186">
        <f>'GS &gt; 50 OLS Model'!$B$9*H72</f>
        <v>0</v>
      </c>
      <c r="V72" s="186">
        <f>'GS &gt; 50 OLS Model'!$B$10*I72</f>
        <v>0</v>
      </c>
      <c r="W72" s="186">
        <f>'GS &gt; 50 OLS Model'!$B$11*J72</f>
        <v>0</v>
      </c>
      <c r="X72" s="186">
        <f>'GS &gt; 50 OLS Model'!$B$12*K72</f>
        <v>0</v>
      </c>
      <c r="Y72" s="186">
        <v>0</v>
      </c>
      <c r="Z72" s="186">
        <f>'GS &gt; 50 OLS Model'!$B$13*M72</f>
        <v>33551198.840181898</v>
      </c>
      <c r="AA72" s="186">
        <f>'GS &gt; 50 OLS Model'!$B$14*N72</f>
        <v>13083094.244134201</v>
      </c>
      <c r="AB72" s="127">
        <f t="shared" ca="1" si="8"/>
        <v>78735112.701186627</v>
      </c>
    </row>
    <row r="73" spans="1:28">
      <c r="A73" s="128">
        <f>'Monthly Data'!A73</f>
        <v>41974</v>
      </c>
      <c r="B73" s="127">
        <f t="shared" si="7"/>
        <v>2014</v>
      </c>
      <c r="C73" s="127">
        <f ca="1">'Monthly Data'!O73</f>
        <v>84624117.962985575</v>
      </c>
      <c r="D73" s="127">
        <f t="shared" ca="1" si="9"/>
        <v>548.76120300751859</v>
      </c>
      <c r="E73" s="127">
        <f t="shared" ca="1" si="9"/>
        <v>0</v>
      </c>
      <c r="F73" s="127">
        <f>'Monthly Data'!BL73</f>
        <v>601343.5</v>
      </c>
      <c r="G73" s="127">
        <f>'Monthly Data'!BM73</f>
        <v>72</v>
      </c>
      <c r="H73" s="127">
        <f>'Monthly Data'!BQ73</f>
        <v>0</v>
      </c>
      <c r="I73" s="127">
        <f>'Monthly Data'!BS73</f>
        <v>0</v>
      </c>
      <c r="J73" s="127">
        <f>'Monthly Data'!BU73</f>
        <v>0</v>
      </c>
      <c r="K73" s="127">
        <f>'Monthly Data'!BV73</f>
        <v>0</v>
      </c>
      <c r="L73" s="127">
        <f>'Monthly Data'!BW73</f>
        <v>0</v>
      </c>
      <c r="M73" s="127">
        <f>'Monthly Data'!CC73</f>
        <v>31</v>
      </c>
      <c r="N73" s="127">
        <f>'Monthly Data'!CD73</f>
        <v>21</v>
      </c>
      <c r="P73" s="127">
        <f>'GS &gt; 50 OLS Model'!$B$5</f>
        <v>-8508488.8174217809</v>
      </c>
      <c r="Q73" s="186">
        <f ca="1">'GS &gt; 50 OLS Model'!$B$6*D73</f>
        <v>13305172.865779633</v>
      </c>
      <c r="R73" s="186">
        <f ca="1">'GS &gt; 50 OLS Model'!$B$7*E73</f>
        <v>0</v>
      </c>
      <c r="S73" s="186">
        <f>'GS &gt; 50 OLS Model'!$B$8*F73</f>
        <v>31488888.311048564</v>
      </c>
      <c r="T73" s="186">
        <v>0</v>
      </c>
      <c r="U73" s="186">
        <f>'GS &gt; 50 OLS Model'!$B$9*H73</f>
        <v>0</v>
      </c>
      <c r="V73" s="186">
        <f>'GS &gt; 50 OLS Model'!$B$10*I73</f>
        <v>0</v>
      </c>
      <c r="W73" s="186">
        <f>'GS &gt; 50 OLS Model'!$B$11*J73</f>
        <v>0</v>
      </c>
      <c r="X73" s="186">
        <f>'GS &gt; 50 OLS Model'!$B$12*K73</f>
        <v>0</v>
      </c>
      <c r="Y73" s="186">
        <v>0</v>
      </c>
      <c r="Z73" s="186">
        <f>'GS &gt; 50 OLS Model'!$B$13*M73</f>
        <v>34669572.13485463</v>
      </c>
      <c r="AA73" s="186">
        <f>'GS &gt; 50 OLS Model'!$B$14*N73</f>
        <v>13737248.956340911</v>
      </c>
      <c r="AB73" s="127">
        <f t="shared" ca="1" si="8"/>
        <v>84692393.45060195</v>
      </c>
    </row>
    <row r="74" spans="1:28">
      <c r="A74" s="128">
        <f>'Monthly Data'!A74</f>
        <v>42005</v>
      </c>
      <c r="B74" s="127">
        <f t="shared" si="7"/>
        <v>2015</v>
      </c>
      <c r="C74" s="127">
        <f ca="1">'Monthly Data'!O74</f>
        <v>91047914.988406837</v>
      </c>
      <c r="D74" s="127">
        <f t="shared" ca="1" si="9"/>
        <v>665.14879699248104</v>
      </c>
      <c r="E74" s="127">
        <f t="shared" ca="1" si="9"/>
        <v>0</v>
      </c>
      <c r="F74" s="127">
        <f>'Monthly Data'!BL74</f>
        <v>618051.4</v>
      </c>
      <c r="G74" s="127">
        <f>'Monthly Data'!BM74</f>
        <v>73</v>
      </c>
      <c r="H74" s="127">
        <f>'Monthly Data'!BQ74</f>
        <v>0</v>
      </c>
      <c r="I74" s="127">
        <f>'Monthly Data'!BS74</f>
        <v>0</v>
      </c>
      <c r="J74" s="127">
        <f>'Monthly Data'!BU74</f>
        <v>0</v>
      </c>
      <c r="K74" s="127">
        <f>'Monthly Data'!BV74</f>
        <v>0</v>
      </c>
      <c r="L74" s="127">
        <f>'Monthly Data'!BW74</f>
        <v>0</v>
      </c>
      <c r="M74" s="127">
        <f>'Monthly Data'!CC74</f>
        <v>31</v>
      </c>
      <c r="N74" s="127">
        <f>'Monthly Data'!CD74</f>
        <v>21</v>
      </c>
      <c r="P74" s="127">
        <f>'GS &gt; 50 OLS Model'!$B$5</f>
        <v>-8508488.8174217809</v>
      </c>
      <c r="Q74" s="186">
        <f ca="1">'GS &gt; 50 OLS Model'!$B$6*D74</f>
        <v>16127087.113571094</v>
      </c>
      <c r="R74" s="186">
        <f ca="1">'GS &gt; 50 OLS Model'!$B$7*E74</f>
        <v>0</v>
      </c>
      <c r="S74" s="186">
        <f>'GS &gt; 50 OLS Model'!$B$8*F74</f>
        <v>32363784.600793391</v>
      </c>
      <c r="T74" s="186">
        <v>0</v>
      </c>
      <c r="U74" s="186">
        <f>'GS &gt; 50 OLS Model'!$B$9*H74</f>
        <v>0</v>
      </c>
      <c r="V74" s="186">
        <f>'GS &gt; 50 OLS Model'!$B$10*I74</f>
        <v>0</v>
      </c>
      <c r="W74" s="186">
        <f>'GS &gt; 50 OLS Model'!$B$11*J74</f>
        <v>0</v>
      </c>
      <c r="X74" s="186">
        <f>'GS &gt; 50 OLS Model'!$B$12*K74</f>
        <v>0</v>
      </c>
      <c r="Y74" s="186">
        <v>0</v>
      </c>
      <c r="Z74" s="186">
        <f>'GS &gt; 50 OLS Model'!$B$13*M74</f>
        <v>34669572.13485463</v>
      </c>
      <c r="AA74" s="186">
        <f>'GS &gt; 50 OLS Model'!$B$14*N74</f>
        <v>13737248.956340911</v>
      </c>
      <c r="AB74" s="127">
        <f t="shared" ca="1" si="8"/>
        <v>88389203.988138244</v>
      </c>
    </row>
    <row r="75" spans="1:28">
      <c r="A75" s="128">
        <f>'Monthly Data'!A75</f>
        <v>42036</v>
      </c>
      <c r="B75" s="127">
        <f t="shared" si="7"/>
        <v>2015</v>
      </c>
      <c r="C75" s="127">
        <f ca="1">'Monthly Data'!O75</f>
        <v>84953121.000252485</v>
      </c>
      <c r="D75" s="127">
        <f t="shared" ca="1" si="9"/>
        <v>611.17548872180487</v>
      </c>
      <c r="E75" s="127">
        <f t="shared" ca="1" si="9"/>
        <v>0</v>
      </c>
      <c r="F75" s="127">
        <f>'Monthly Data'!BL75</f>
        <v>618051.4</v>
      </c>
      <c r="G75" s="127">
        <f>'Monthly Data'!BM75</f>
        <v>74</v>
      </c>
      <c r="H75" s="127">
        <f>'Monthly Data'!BQ75</f>
        <v>0</v>
      </c>
      <c r="I75" s="127">
        <f>'Monthly Data'!BS75</f>
        <v>0</v>
      </c>
      <c r="J75" s="127">
        <f>'Monthly Data'!BU75</f>
        <v>0</v>
      </c>
      <c r="K75" s="127">
        <f>'Monthly Data'!BV75</f>
        <v>0</v>
      </c>
      <c r="L75" s="127">
        <f>'Monthly Data'!BW75</f>
        <v>0</v>
      </c>
      <c r="M75" s="127">
        <f>'Monthly Data'!CC75</f>
        <v>28</v>
      </c>
      <c r="N75" s="127">
        <f>'Monthly Data'!CD75</f>
        <v>19</v>
      </c>
      <c r="P75" s="127">
        <f>'GS &gt; 50 OLS Model'!$B$5</f>
        <v>-8508488.8174217809</v>
      </c>
      <c r="Q75" s="186">
        <f ca="1">'GS &gt; 50 OLS Model'!$B$6*D75</f>
        <v>14818459.257331191</v>
      </c>
      <c r="R75" s="186">
        <f ca="1">'GS &gt; 50 OLS Model'!$B$7*E75</f>
        <v>0</v>
      </c>
      <c r="S75" s="186">
        <f>'GS &gt; 50 OLS Model'!$B$8*F75</f>
        <v>32363784.600793391</v>
      </c>
      <c r="T75" s="186">
        <v>0</v>
      </c>
      <c r="U75" s="186">
        <f>'GS &gt; 50 OLS Model'!$B$9*H75</f>
        <v>0</v>
      </c>
      <c r="V75" s="186">
        <f>'GS &gt; 50 OLS Model'!$B$10*I75</f>
        <v>0</v>
      </c>
      <c r="W75" s="186">
        <f>'GS &gt; 50 OLS Model'!$B$11*J75</f>
        <v>0</v>
      </c>
      <c r="X75" s="186">
        <f>'GS &gt; 50 OLS Model'!$B$12*K75</f>
        <v>0</v>
      </c>
      <c r="Y75" s="186">
        <v>0</v>
      </c>
      <c r="Z75" s="186">
        <f>'GS &gt; 50 OLS Model'!$B$13*M75</f>
        <v>31314452.250836439</v>
      </c>
      <c r="AA75" s="186">
        <f>'GS &gt; 50 OLS Model'!$B$14*N75</f>
        <v>12428939.531927491</v>
      </c>
      <c r="AB75" s="127">
        <f t="shared" ca="1" si="8"/>
        <v>82417146.823466748</v>
      </c>
    </row>
    <row r="76" spans="1:28">
      <c r="A76" s="128">
        <f>'Monthly Data'!A76</f>
        <v>42064</v>
      </c>
      <c r="B76" s="127">
        <f t="shared" si="7"/>
        <v>2015</v>
      </c>
      <c r="C76" s="127">
        <f ca="1">'Monthly Data'!O76</f>
        <v>85185196.803851202</v>
      </c>
      <c r="D76" s="127">
        <f t="shared" ca="1" si="9"/>
        <v>458.46436090225569</v>
      </c>
      <c r="E76" s="127">
        <f t="shared" ca="1" si="9"/>
        <v>0.45218045112781802</v>
      </c>
      <c r="F76" s="127">
        <f>'Monthly Data'!BL76</f>
        <v>618051.4</v>
      </c>
      <c r="G76" s="127">
        <f>'Monthly Data'!BM76</f>
        <v>75</v>
      </c>
      <c r="H76" s="127">
        <f>'Monthly Data'!BQ76</f>
        <v>0</v>
      </c>
      <c r="I76" s="127">
        <f>'Monthly Data'!BS76</f>
        <v>0</v>
      </c>
      <c r="J76" s="127">
        <f>'Monthly Data'!BU76</f>
        <v>0</v>
      </c>
      <c r="K76" s="127">
        <f>'Monthly Data'!BV76</f>
        <v>0</v>
      </c>
      <c r="L76" s="127">
        <f>'Monthly Data'!BW76</f>
        <v>0</v>
      </c>
      <c r="M76" s="127">
        <f>'Monthly Data'!CC76</f>
        <v>31</v>
      </c>
      <c r="N76" s="127">
        <f>'Monthly Data'!CD76</f>
        <v>22</v>
      </c>
      <c r="P76" s="127">
        <f>'GS &gt; 50 OLS Model'!$B$5</f>
        <v>-8508488.8174217809</v>
      </c>
      <c r="Q76" s="186">
        <f ca="1">'GS &gt; 50 OLS Model'!$B$6*D76</f>
        <v>11115850.64901193</v>
      </c>
      <c r="R76" s="186">
        <f ca="1">'GS &gt; 50 OLS Model'!$B$7*E76</f>
        <v>32280.080351483153</v>
      </c>
      <c r="S76" s="186">
        <f>'GS &gt; 50 OLS Model'!$B$8*F76</f>
        <v>32363784.600793391</v>
      </c>
      <c r="T76" s="186">
        <v>0</v>
      </c>
      <c r="U76" s="186">
        <f>'GS &gt; 50 OLS Model'!$B$9*H76</f>
        <v>0</v>
      </c>
      <c r="V76" s="186">
        <f>'GS &gt; 50 OLS Model'!$B$10*I76</f>
        <v>0</v>
      </c>
      <c r="W76" s="186">
        <f>'GS &gt; 50 OLS Model'!$B$11*J76</f>
        <v>0</v>
      </c>
      <c r="X76" s="186">
        <f>'GS &gt; 50 OLS Model'!$B$12*K76</f>
        <v>0</v>
      </c>
      <c r="Y76" s="186">
        <v>0</v>
      </c>
      <c r="Z76" s="186">
        <f>'GS &gt; 50 OLS Model'!$B$13*M76</f>
        <v>34669572.13485463</v>
      </c>
      <c r="AA76" s="186">
        <f>'GS &gt; 50 OLS Model'!$B$14*N76</f>
        <v>14391403.668547621</v>
      </c>
      <c r="AB76" s="127">
        <f t="shared" ca="1" si="8"/>
        <v>84064402.316137269</v>
      </c>
    </row>
    <row r="77" spans="1:28">
      <c r="A77" s="128">
        <f>'Monthly Data'!A77</f>
        <v>42095</v>
      </c>
      <c r="B77" s="127">
        <f t="shared" si="7"/>
        <v>2015</v>
      </c>
      <c r="C77" s="127">
        <f ca="1">'Monthly Data'!O77</f>
        <v>74690896.334334388</v>
      </c>
      <c r="D77" s="127">
        <f t="shared" ca="1" si="9"/>
        <v>254.29052631578941</v>
      </c>
      <c r="E77" s="127">
        <f t="shared" ca="1" si="9"/>
        <v>0.50947368421054762</v>
      </c>
      <c r="F77" s="127">
        <f>'Monthly Data'!BL77</f>
        <v>618051.4</v>
      </c>
      <c r="G77" s="127">
        <f>'Monthly Data'!BM77</f>
        <v>76</v>
      </c>
      <c r="H77" s="127">
        <f>'Monthly Data'!BQ77</f>
        <v>1</v>
      </c>
      <c r="I77" s="127">
        <f>'Monthly Data'!BS77</f>
        <v>0</v>
      </c>
      <c r="J77" s="127">
        <f>'Monthly Data'!BU77</f>
        <v>0</v>
      </c>
      <c r="K77" s="127">
        <f>'Monthly Data'!BV77</f>
        <v>0</v>
      </c>
      <c r="L77" s="127">
        <f>'Monthly Data'!BW77</f>
        <v>0</v>
      </c>
      <c r="M77" s="127">
        <f>'Monthly Data'!CC77</f>
        <v>30</v>
      </c>
      <c r="N77" s="127">
        <f>'Monthly Data'!CD77</f>
        <v>20</v>
      </c>
      <c r="P77" s="127">
        <f>'GS &gt; 50 OLS Model'!$B$5</f>
        <v>-8508488.8174217809</v>
      </c>
      <c r="Q77" s="186">
        <f ca="1">'GS &gt; 50 OLS Model'!$B$6*D77</f>
        <v>6165485.8109845407</v>
      </c>
      <c r="R77" s="186">
        <f ca="1">'GS &gt; 50 OLS Model'!$B$7*E77</f>
        <v>36370.107160236068</v>
      </c>
      <c r="S77" s="186">
        <f>'GS &gt; 50 OLS Model'!$B$8*F77</f>
        <v>32363784.600793391</v>
      </c>
      <c r="T77" s="186">
        <v>0</v>
      </c>
      <c r="U77" s="186">
        <f>'GS &gt; 50 OLS Model'!$B$9*H77</f>
        <v>-1670359.8066300801</v>
      </c>
      <c r="V77" s="186">
        <f>'GS &gt; 50 OLS Model'!$B$10*I77</f>
        <v>0</v>
      </c>
      <c r="W77" s="186">
        <f>'GS &gt; 50 OLS Model'!$B$11*J77</f>
        <v>0</v>
      </c>
      <c r="X77" s="186">
        <f>'GS &gt; 50 OLS Model'!$B$12*K77</f>
        <v>0</v>
      </c>
      <c r="Y77" s="186">
        <v>0</v>
      </c>
      <c r="Z77" s="186">
        <f>'GS &gt; 50 OLS Model'!$B$13*M77</f>
        <v>33551198.840181898</v>
      </c>
      <c r="AA77" s="186">
        <f>'GS &gt; 50 OLS Model'!$B$14*N77</f>
        <v>13083094.244134201</v>
      </c>
      <c r="AB77" s="127">
        <f t="shared" ca="1" si="8"/>
        <v>75021084.979202405</v>
      </c>
    </row>
    <row r="78" spans="1:28">
      <c r="A78" s="128">
        <f>'Monthly Data'!A78</f>
        <v>42125</v>
      </c>
      <c r="B78" s="127">
        <f t="shared" si="7"/>
        <v>2015</v>
      </c>
      <c r="C78" s="127">
        <f ca="1">'Monthly Data'!O78</f>
        <v>77420119.172960088</v>
      </c>
      <c r="D78" s="127">
        <f t="shared" ca="1" si="9"/>
        <v>102.64150375939857</v>
      </c>
      <c r="E78" s="127">
        <f t="shared" ca="1" si="9"/>
        <v>56.062781954887214</v>
      </c>
      <c r="F78" s="127">
        <f>'Monthly Data'!BL78</f>
        <v>618051.4</v>
      </c>
      <c r="G78" s="127">
        <f>'Monthly Data'!BM78</f>
        <v>77</v>
      </c>
      <c r="H78" s="127">
        <f>'Monthly Data'!BQ78</f>
        <v>0</v>
      </c>
      <c r="I78" s="127">
        <f>'Monthly Data'!BS78</f>
        <v>0</v>
      </c>
      <c r="J78" s="127">
        <f>'Monthly Data'!BU78</f>
        <v>0</v>
      </c>
      <c r="K78" s="127">
        <f>'Monthly Data'!BV78</f>
        <v>0</v>
      </c>
      <c r="L78" s="127">
        <f>'Monthly Data'!BW78</f>
        <v>0</v>
      </c>
      <c r="M78" s="127">
        <f>'Monthly Data'!CC78</f>
        <v>31</v>
      </c>
      <c r="N78" s="127">
        <f>'Monthly Data'!CD78</f>
        <v>20</v>
      </c>
      <c r="P78" s="127">
        <f>'GS &gt; 50 OLS Model'!$B$5</f>
        <v>-8508488.8174217809</v>
      </c>
      <c r="Q78" s="186">
        <f ca="1">'GS &gt; 50 OLS Model'!$B$6*D78</f>
        <v>2488628.8302412247</v>
      </c>
      <c r="R78" s="186">
        <f ca="1">'GS &gt; 50 OLS Model'!$B$7*E78</f>
        <v>4002187.8471696409</v>
      </c>
      <c r="S78" s="186">
        <f>'GS &gt; 50 OLS Model'!$B$8*F78</f>
        <v>32363784.600793391</v>
      </c>
      <c r="T78" s="186">
        <v>0</v>
      </c>
      <c r="U78" s="186">
        <f>'GS &gt; 50 OLS Model'!$B$9*H78</f>
        <v>0</v>
      </c>
      <c r="V78" s="186">
        <f>'GS &gt; 50 OLS Model'!$B$10*I78</f>
        <v>0</v>
      </c>
      <c r="W78" s="186">
        <f>'GS &gt; 50 OLS Model'!$B$11*J78</f>
        <v>0</v>
      </c>
      <c r="X78" s="186">
        <f>'GS &gt; 50 OLS Model'!$B$12*K78</f>
        <v>0</v>
      </c>
      <c r="Y78" s="186">
        <v>0</v>
      </c>
      <c r="Z78" s="186">
        <f>'GS &gt; 50 OLS Model'!$B$13*M78</f>
        <v>34669572.13485463</v>
      </c>
      <c r="AA78" s="186">
        <f>'GS &gt; 50 OLS Model'!$B$14*N78</f>
        <v>13083094.244134201</v>
      </c>
      <c r="AB78" s="127">
        <f t="shared" ca="1" si="8"/>
        <v>78098778.839771301</v>
      </c>
    </row>
    <row r="79" spans="1:28">
      <c r="A79" s="128">
        <f>'Monthly Data'!A79</f>
        <v>42156</v>
      </c>
      <c r="B79" s="127">
        <f t="shared" si="7"/>
        <v>2015</v>
      </c>
      <c r="C79" s="127">
        <f ca="1">'Monthly Data'!O79</f>
        <v>80301286.449218079</v>
      </c>
      <c r="D79" s="127">
        <f t="shared" ca="1" si="9"/>
        <v>0.39669172932326546</v>
      </c>
      <c r="E79" s="127">
        <f t="shared" ca="1" si="9"/>
        <v>116.89315789473682</v>
      </c>
      <c r="F79" s="127">
        <f>'Monthly Data'!BL79</f>
        <v>618051.4</v>
      </c>
      <c r="G79" s="127">
        <f>'Monthly Data'!BM79</f>
        <v>78</v>
      </c>
      <c r="H79" s="127">
        <f>'Monthly Data'!BQ79</f>
        <v>0</v>
      </c>
      <c r="I79" s="127">
        <f>'Monthly Data'!BS79</f>
        <v>1</v>
      </c>
      <c r="J79" s="127">
        <f>'Monthly Data'!BU79</f>
        <v>0</v>
      </c>
      <c r="K79" s="127">
        <f>'Monthly Data'!BV79</f>
        <v>0</v>
      </c>
      <c r="L79" s="127">
        <f>'Monthly Data'!BW79</f>
        <v>0</v>
      </c>
      <c r="M79" s="127">
        <f>'Monthly Data'!CC79</f>
        <v>30</v>
      </c>
      <c r="N79" s="127">
        <f>'Monthly Data'!CD79</f>
        <v>22</v>
      </c>
      <c r="P79" s="127">
        <f>'GS &gt; 50 OLS Model'!$B$5</f>
        <v>-8508488.8174217809</v>
      </c>
      <c r="Q79" s="186">
        <f ca="1">'GS &gt; 50 OLS Model'!$B$6*D79</f>
        <v>9618.1216969137586</v>
      </c>
      <c r="R79" s="186">
        <f ca="1">'GS &gt; 50 OLS Model'!$B$7*E79</f>
        <v>8344722.8202134408</v>
      </c>
      <c r="S79" s="186">
        <f>'GS &gt; 50 OLS Model'!$B$8*F79</f>
        <v>32363784.600793391</v>
      </c>
      <c r="T79" s="186">
        <v>0</v>
      </c>
      <c r="U79" s="186">
        <f>'GS &gt; 50 OLS Model'!$B$9*H79</f>
        <v>0</v>
      </c>
      <c r="V79" s="186">
        <f>'GS &gt; 50 OLS Model'!$B$10*I79</f>
        <v>1244451.2383117899</v>
      </c>
      <c r="W79" s="186">
        <f>'GS &gt; 50 OLS Model'!$B$11*J79</f>
        <v>0</v>
      </c>
      <c r="X79" s="186">
        <f>'GS &gt; 50 OLS Model'!$B$12*K79</f>
        <v>0</v>
      </c>
      <c r="Y79" s="186">
        <v>0</v>
      </c>
      <c r="Z79" s="186">
        <f>'GS &gt; 50 OLS Model'!$B$13*M79</f>
        <v>33551198.840181898</v>
      </c>
      <c r="AA79" s="186">
        <f>'GS &gt; 50 OLS Model'!$B$14*N79</f>
        <v>14391403.668547621</v>
      </c>
      <c r="AB79" s="127">
        <f t="shared" ca="1" si="8"/>
        <v>81396690.472323269</v>
      </c>
    </row>
    <row r="80" spans="1:28">
      <c r="A80" s="128">
        <f>'Monthly Data'!A80</f>
        <v>42186</v>
      </c>
      <c r="B80" s="127">
        <f t="shared" si="7"/>
        <v>2015</v>
      </c>
      <c r="C80" s="127">
        <f ca="1">'Monthly Data'!O80</f>
        <v>84741146.439340681</v>
      </c>
      <c r="D80" s="127">
        <f t="shared" ca="1" si="9"/>
        <v>0.58105263157894704</v>
      </c>
      <c r="E80" s="127">
        <f t="shared" ca="1" si="9"/>
        <v>186.96526315789481</v>
      </c>
      <c r="F80" s="127">
        <f>'Monthly Data'!BL80</f>
        <v>618051.4</v>
      </c>
      <c r="G80" s="127">
        <f>'Monthly Data'!BM80</f>
        <v>79</v>
      </c>
      <c r="H80" s="127">
        <f>'Monthly Data'!BQ80</f>
        <v>0</v>
      </c>
      <c r="I80" s="127">
        <f>'Monthly Data'!BS80</f>
        <v>0</v>
      </c>
      <c r="J80" s="127">
        <f>'Monthly Data'!BU80</f>
        <v>0</v>
      </c>
      <c r="K80" s="127">
        <f>'Monthly Data'!BV80</f>
        <v>0</v>
      </c>
      <c r="L80" s="127">
        <f>'Monthly Data'!BW80</f>
        <v>0</v>
      </c>
      <c r="M80" s="127">
        <f>'Monthly Data'!CC80</f>
        <v>31</v>
      </c>
      <c r="N80" s="127">
        <f>'Monthly Data'!CD80</f>
        <v>22</v>
      </c>
      <c r="P80" s="127">
        <f>'GS &gt; 50 OLS Model'!$B$5</f>
        <v>-8508488.8174217809</v>
      </c>
      <c r="Q80" s="186">
        <f ca="1">'GS &gt; 50 OLS Model'!$B$6*D80</f>
        <v>14088.105472660634</v>
      </c>
      <c r="R80" s="186">
        <f ca="1">'GS &gt; 50 OLS Model'!$B$7*E80</f>
        <v>13347002.734461535</v>
      </c>
      <c r="S80" s="186">
        <f>'GS &gt; 50 OLS Model'!$B$8*F80</f>
        <v>32363784.600793391</v>
      </c>
      <c r="T80" s="186">
        <v>0</v>
      </c>
      <c r="U80" s="186">
        <f>'GS &gt; 50 OLS Model'!$B$9*H80</f>
        <v>0</v>
      </c>
      <c r="V80" s="186">
        <f>'GS &gt; 50 OLS Model'!$B$10*I80</f>
        <v>0</v>
      </c>
      <c r="W80" s="186">
        <f>'GS &gt; 50 OLS Model'!$B$11*J80</f>
        <v>0</v>
      </c>
      <c r="X80" s="186">
        <f>'GS &gt; 50 OLS Model'!$B$12*K80</f>
        <v>0</v>
      </c>
      <c r="Y80" s="186">
        <v>0</v>
      </c>
      <c r="Z80" s="186">
        <f>'GS &gt; 50 OLS Model'!$B$13*M80</f>
        <v>34669572.13485463</v>
      </c>
      <c r="AA80" s="186">
        <f>'GS &gt; 50 OLS Model'!$B$14*N80</f>
        <v>14391403.668547621</v>
      </c>
      <c r="AB80" s="127">
        <f t="shared" ca="1" si="8"/>
        <v>86277362.426708058</v>
      </c>
    </row>
    <row r="81" spans="1:28">
      <c r="A81" s="128">
        <f>'Monthly Data'!A81</f>
        <v>42217</v>
      </c>
      <c r="B81" s="127">
        <f t="shared" si="7"/>
        <v>2015</v>
      </c>
      <c r="C81" s="127">
        <f ca="1">'Monthly Data'!O81</f>
        <v>85831922.046712875</v>
      </c>
      <c r="D81" s="127">
        <f t="shared" ca="1" si="9"/>
        <v>1.6660902255639058</v>
      </c>
      <c r="E81" s="127">
        <f t="shared" ca="1" si="9"/>
        <v>167.43443609022574</v>
      </c>
      <c r="F81" s="127">
        <f>'Monthly Data'!BL81</f>
        <v>618051.4</v>
      </c>
      <c r="G81" s="127">
        <f>'Monthly Data'!BM81</f>
        <v>80</v>
      </c>
      <c r="H81" s="127">
        <f>'Monthly Data'!BQ81</f>
        <v>0</v>
      </c>
      <c r="I81" s="127">
        <f>'Monthly Data'!BS81</f>
        <v>0</v>
      </c>
      <c r="J81" s="127">
        <f>'Monthly Data'!BU81</f>
        <v>1</v>
      </c>
      <c r="K81" s="127">
        <f>'Monthly Data'!BV81</f>
        <v>0</v>
      </c>
      <c r="L81" s="127">
        <f>'Monthly Data'!BW81</f>
        <v>0</v>
      </c>
      <c r="M81" s="127">
        <f>'Monthly Data'!CC81</f>
        <v>31</v>
      </c>
      <c r="N81" s="127">
        <f>'Monthly Data'!CD81</f>
        <v>20</v>
      </c>
      <c r="P81" s="127">
        <f>'GS &gt; 50 OLS Model'!$B$5</f>
        <v>-8508488.8174217809</v>
      </c>
      <c r="Q81" s="186">
        <f ca="1">'GS &gt; 50 OLS Model'!$B$6*D81</f>
        <v>40395.746528039141</v>
      </c>
      <c r="R81" s="186">
        <f ca="1">'GS &gt; 50 OLS Model'!$B$7*E81</f>
        <v>11952743.72679588</v>
      </c>
      <c r="S81" s="186">
        <f>'GS &gt; 50 OLS Model'!$B$8*F81</f>
        <v>32363784.600793391</v>
      </c>
      <c r="T81" s="186">
        <v>0</v>
      </c>
      <c r="U81" s="186">
        <f>'GS &gt; 50 OLS Model'!$B$9*H81</f>
        <v>0</v>
      </c>
      <c r="V81" s="186">
        <f>'GS &gt; 50 OLS Model'!$B$10*I81</f>
        <v>0</v>
      </c>
      <c r="W81" s="186">
        <f>'GS &gt; 50 OLS Model'!$B$11*J81</f>
        <v>2505717.0713192602</v>
      </c>
      <c r="X81" s="186">
        <f>'GS &gt; 50 OLS Model'!$B$12*K81</f>
        <v>0</v>
      </c>
      <c r="Y81" s="186">
        <v>0</v>
      </c>
      <c r="Z81" s="186">
        <f>'GS &gt; 50 OLS Model'!$B$13*M81</f>
        <v>34669572.13485463</v>
      </c>
      <c r="AA81" s="186">
        <f>'GS &gt; 50 OLS Model'!$B$14*N81</f>
        <v>13083094.244134201</v>
      </c>
      <c r="AB81" s="127">
        <f t="shared" ca="1" si="8"/>
        <v>86106818.707003623</v>
      </c>
    </row>
    <row r="82" spans="1:28">
      <c r="A82" s="128">
        <f>'Monthly Data'!A82</f>
        <v>42248</v>
      </c>
      <c r="B82" s="127">
        <f t="shared" si="7"/>
        <v>2015</v>
      </c>
      <c r="C82" s="127">
        <f ca="1">'Monthly Data'!O82</f>
        <v>81721577.513162851</v>
      </c>
      <c r="D82" s="127">
        <f t="shared" ref="D82:E97" ca="1" si="10">D70</f>
        <v>30.410827067669118</v>
      </c>
      <c r="E82" s="127">
        <f t="shared" ca="1" si="10"/>
        <v>83.003533834586506</v>
      </c>
      <c r="F82" s="127">
        <f>'Monthly Data'!BL82</f>
        <v>618051.4</v>
      </c>
      <c r="G82" s="127">
        <f>'Monthly Data'!BM82</f>
        <v>81</v>
      </c>
      <c r="H82" s="127">
        <f>'Monthly Data'!BQ82</f>
        <v>0</v>
      </c>
      <c r="I82" s="127">
        <f>'Monthly Data'!BS82</f>
        <v>0</v>
      </c>
      <c r="J82" s="127">
        <f>'Monthly Data'!BU82</f>
        <v>0</v>
      </c>
      <c r="K82" s="127">
        <f>'Monthly Data'!BV82</f>
        <v>1</v>
      </c>
      <c r="L82" s="127">
        <f>'Monthly Data'!BW82</f>
        <v>0</v>
      </c>
      <c r="M82" s="127">
        <f>'Monthly Data'!CC82</f>
        <v>30</v>
      </c>
      <c r="N82" s="127">
        <f>'Monthly Data'!CD82</f>
        <v>21</v>
      </c>
      <c r="P82" s="127">
        <f>'GS &gt; 50 OLS Model'!$B$5</f>
        <v>-8508488.8174217809</v>
      </c>
      <c r="Q82" s="186">
        <f ca="1">'GS &gt; 50 OLS Model'!$B$6*D82</f>
        <v>737335.85557637212</v>
      </c>
      <c r="R82" s="186">
        <f ca="1">'GS &gt; 50 OLS Model'!$B$7*E82</f>
        <v>5925423.6554338057</v>
      </c>
      <c r="S82" s="186">
        <f>'GS &gt; 50 OLS Model'!$B$8*F82</f>
        <v>32363784.600793391</v>
      </c>
      <c r="T82" s="186">
        <v>0</v>
      </c>
      <c r="U82" s="186">
        <f>'GS &gt; 50 OLS Model'!$B$9*H82</f>
        <v>0</v>
      </c>
      <c r="V82" s="186">
        <f>'GS &gt; 50 OLS Model'!$B$10*I82</f>
        <v>0</v>
      </c>
      <c r="W82" s="186">
        <f>'GS &gt; 50 OLS Model'!$B$11*J82</f>
        <v>0</v>
      </c>
      <c r="X82" s="186">
        <f>'GS &gt; 50 OLS Model'!$B$12*K82</f>
        <v>2345350.8919449002</v>
      </c>
      <c r="Y82" s="186">
        <v>0</v>
      </c>
      <c r="Z82" s="186">
        <f>'GS &gt; 50 OLS Model'!$B$13*M82</f>
        <v>33551198.840181898</v>
      </c>
      <c r="AA82" s="186">
        <f>'GS &gt; 50 OLS Model'!$B$14*N82</f>
        <v>13737248.956340911</v>
      </c>
      <c r="AB82" s="127">
        <f t="shared" ca="1" si="8"/>
        <v>80151853.982849494</v>
      </c>
    </row>
    <row r="83" spans="1:28">
      <c r="A83" s="128">
        <f>'Monthly Data'!A83</f>
        <v>42278</v>
      </c>
      <c r="B83" s="127">
        <f t="shared" si="7"/>
        <v>2015</v>
      </c>
      <c r="C83" s="127">
        <f ca="1">'Monthly Data'!O83</f>
        <v>77593220.91340512</v>
      </c>
      <c r="D83" s="127">
        <f t="shared" ca="1" si="10"/>
        <v>158.93676691729343</v>
      </c>
      <c r="E83" s="127">
        <f t="shared" ca="1" si="10"/>
        <v>16.916090225563948</v>
      </c>
      <c r="F83" s="127">
        <f>'Monthly Data'!BL83</f>
        <v>618051.4</v>
      </c>
      <c r="G83" s="127">
        <f>'Monthly Data'!BM83</f>
        <v>82</v>
      </c>
      <c r="H83" s="127">
        <f>'Monthly Data'!BQ83</f>
        <v>0</v>
      </c>
      <c r="I83" s="127">
        <f>'Monthly Data'!BS83</f>
        <v>0</v>
      </c>
      <c r="J83" s="127">
        <f>'Monthly Data'!BU83</f>
        <v>0</v>
      </c>
      <c r="K83" s="127">
        <f>'Monthly Data'!BV83</f>
        <v>0</v>
      </c>
      <c r="L83" s="127">
        <f>'Monthly Data'!BW83</f>
        <v>1</v>
      </c>
      <c r="M83" s="127">
        <f>'Monthly Data'!CC83</f>
        <v>31</v>
      </c>
      <c r="N83" s="127">
        <f>'Monthly Data'!CD83</f>
        <v>21</v>
      </c>
      <c r="P83" s="127">
        <f>'GS &gt; 50 OLS Model'!$B$5</f>
        <v>-8508488.8174217809</v>
      </c>
      <c r="Q83" s="186">
        <f ca="1">'GS &gt; 50 OLS Model'!$B$6*D83</f>
        <v>3853554.4185213498</v>
      </c>
      <c r="R83" s="186">
        <f ca="1">'GS &gt; 50 OLS Model'!$B$7*E83</f>
        <v>1207599.2014961967</v>
      </c>
      <c r="S83" s="186">
        <f>'GS &gt; 50 OLS Model'!$B$8*F83</f>
        <v>32363784.600793391</v>
      </c>
      <c r="T83" s="186">
        <v>0</v>
      </c>
      <c r="U83" s="186">
        <f>'GS &gt; 50 OLS Model'!$B$9*H83</f>
        <v>0</v>
      </c>
      <c r="V83" s="186">
        <f>'GS &gt; 50 OLS Model'!$B$10*I83</f>
        <v>0</v>
      </c>
      <c r="W83" s="186">
        <f>'GS &gt; 50 OLS Model'!$B$11*J83</f>
        <v>0</v>
      </c>
      <c r="X83" s="186">
        <f>'GS &gt; 50 OLS Model'!$B$12*K83</f>
        <v>0</v>
      </c>
      <c r="Y83" s="186">
        <v>0</v>
      </c>
      <c r="Z83" s="186">
        <f>'GS &gt; 50 OLS Model'!$B$13*M83</f>
        <v>34669572.13485463</v>
      </c>
      <c r="AA83" s="186">
        <f>'GS &gt; 50 OLS Model'!$B$14*N83</f>
        <v>13737248.956340911</v>
      </c>
      <c r="AB83" s="127">
        <f t="shared" ca="1" si="8"/>
        <v>77323270.494584695</v>
      </c>
    </row>
    <row r="84" spans="1:28">
      <c r="A84" s="128">
        <f>'Monthly Data'!A84</f>
        <v>42309</v>
      </c>
      <c r="B84" s="127">
        <f t="shared" si="7"/>
        <v>2015</v>
      </c>
      <c r="C84" s="127">
        <f ca="1">'Monthly Data'!O84</f>
        <v>77813417.982195601</v>
      </c>
      <c r="D84" s="127">
        <f t="shared" ca="1" si="10"/>
        <v>375.92533834586447</v>
      </c>
      <c r="E84" s="127">
        <f t="shared" ca="1" si="10"/>
        <v>8.120300751879661E-2</v>
      </c>
      <c r="F84" s="127">
        <f>'Monthly Data'!BL84</f>
        <v>618051.4</v>
      </c>
      <c r="G84" s="127">
        <f>'Monthly Data'!BM84</f>
        <v>83</v>
      </c>
      <c r="H84" s="127">
        <f>'Monthly Data'!BQ84</f>
        <v>0</v>
      </c>
      <c r="I84" s="127">
        <f>'Monthly Data'!BS84</f>
        <v>0</v>
      </c>
      <c r="J84" s="127">
        <f>'Monthly Data'!BU84</f>
        <v>0</v>
      </c>
      <c r="K84" s="127">
        <f>'Monthly Data'!BV84</f>
        <v>0</v>
      </c>
      <c r="L84" s="127">
        <f>'Monthly Data'!BW84</f>
        <v>0</v>
      </c>
      <c r="M84" s="127">
        <f>'Monthly Data'!CC84</f>
        <v>30</v>
      </c>
      <c r="N84" s="127">
        <f>'Monthly Data'!CD84</f>
        <v>21</v>
      </c>
      <c r="P84" s="127">
        <f>'GS &gt; 50 OLS Model'!$B$5</f>
        <v>-8508488.8174217809</v>
      </c>
      <c r="Q84" s="186">
        <f ca="1">'GS &gt; 50 OLS Model'!$B$6*D84</f>
        <v>9114623.234853385</v>
      </c>
      <c r="R84" s="186">
        <f ca="1">'GS &gt; 50 OLS Model'!$B$7*E84</f>
        <v>5796.8883903561291</v>
      </c>
      <c r="S84" s="186">
        <f>'GS &gt; 50 OLS Model'!$B$8*F84</f>
        <v>32363784.600793391</v>
      </c>
      <c r="T84" s="186">
        <v>0</v>
      </c>
      <c r="U84" s="186">
        <f>'GS &gt; 50 OLS Model'!$B$9*H84</f>
        <v>0</v>
      </c>
      <c r="V84" s="186">
        <f>'GS &gt; 50 OLS Model'!$B$10*I84</f>
        <v>0</v>
      </c>
      <c r="W84" s="186">
        <f>'GS &gt; 50 OLS Model'!$B$11*J84</f>
        <v>0</v>
      </c>
      <c r="X84" s="186">
        <f>'GS &gt; 50 OLS Model'!$B$12*K84</f>
        <v>0</v>
      </c>
      <c r="Y84" s="186">
        <v>0</v>
      </c>
      <c r="Z84" s="186">
        <f>'GS &gt; 50 OLS Model'!$B$13*M84</f>
        <v>33551198.840181898</v>
      </c>
      <c r="AA84" s="186">
        <f>'GS &gt; 50 OLS Model'!$B$14*N84</f>
        <v>13737248.956340911</v>
      </c>
      <c r="AB84" s="127">
        <f t="shared" ca="1" si="8"/>
        <v>80264163.703138158</v>
      </c>
    </row>
    <row r="85" spans="1:28">
      <c r="A85" s="128">
        <f>'Monthly Data'!A85</f>
        <v>42339</v>
      </c>
      <c r="B85" s="127">
        <f t="shared" si="7"/>
        <v>2015</v>
      </c>
      <c r="C85" s="127">
        <f ca="1">'Monthly Data'!O85</f>
        <v>79732634.01091066</v>
      </c>
      <c r="D85" s="127">
        <f t="shared" ca="1" si="10"/>
        <v>548.76120300751859</v>
      </c>
      <c r="E85" s="127">
        <f t="shared" ca="1" si="10"/>
        <v>0</v>
      </c>
      <c r="F85" s="127">
        <f>'Monthly Data'!BL85</f>
        <v>618051.4</v>
      </c>
      <c r="G85" s="127">
        <f>'Monthly Data'!BM85</f>
        <v>84</v>
      </c>
      <c r="H85" s="127">
        <f>'Monthly Data'!BQ85</f>
        <v>0</v>
      </c>
      <c r="I85" s="127">
        <f>'Monthly Data'!BS85</f>
        <v>0</v>
      </c>
      <c r="J85" s="127">
        <f>'Monthly Data'!BU85</f>
        <v>0</v>
      </c>
      <c r="K85" s="127">
        <f>'Monthly Data'!BV85</f>
        <v>0</v>
      </c>
      <c r="L85" s="127">
        <f>'Monthly Data'!BW85</f>
        <v>0</v>
      </c>
      <c r="M85" s="127">
        <f>'Monthly Data'!CC85</f>
        <v>31</v>
      </c>
      <c r="N85" s="127">
        <f>'Monthly Data'!CD85</f>
        <v>21</v>
      </c>
      <c r="P85" s="127">
        <f>'GS &gt; 50 OLS Model'!$B$5</f>
        <v>-8508488.8174217809</v>
      </c>
      <c r="Q85" s="186">
        <f ca="1">'GS &gt; 50 OLS Model'!$B$6*D85</f>
        <v>13305172.865779633</v>
      </c>
      <c r="R85" s="186">
        <f ca="1">'GS &gt; 50 OLS Model'!$B$7*E85</f>
        <v>0</v>
      </c>
      <c r="S85" s="186">
        <f>'GS &gt; 50 OLS Model'!$B$8*F85</f>
        <v>32363784.600793391</v>
      </c>
      <c r="T85" s="186">
        <v>0</v>
      </c>
      <c r="U85" s="186">
        <f>'GS &gt; 50 OLS Model'!$B$9*H85</f>
        <v>0</v>
      </c>
      <c r="V85" s="186">
        <f>'GS &gt; 50 OLS Model'!$B$10*I85</f>
        <v>0</v>
      </c>
      <c r="W85" s="186">
        <f>'GS &gt; 50 OLS Model'!$B$11*J85</f>
        <v>0</v>
      </c>
      <c r="X85" s="186">
        <f>'GS &gt; 50 OLS Model'!$B$12*K85</f>
        <v>0</v>
      </c>
      <c r="Y85" s="186">
        <v>0</v>
      </c>
      <c r="Z85" s="186">
        <f>'GS &gt; 50 OLS Model'!$B$13*M85</f>
        <v>34669572.13485463</v>
      </c>
      <c r="AA85" s="186">
        <f>'GS &gt; 50 OLS Model'!$B$14*N85</f>
        <v>13737248.956340911</v>
      </c>
      <c r="AB85" s="127">
        <f t="shared" ca="1" si="8"/>
        <v>85567289.740346789</v>
      </c>
    </row>
    <row r="86" spans="1:28">
      <c r="A86" s="128">
        <f>'Monthly Data'!A86</f>
        <v>42370</v>
      </c>
      <c r="B86" s="127">
        <f t="shared" si="7"/>
        <v>2016</v>
      </c>
      <c r="C86" s="127">
        <f ca="1">'Monthly Data'!O86</f>
        <v>87340715.811404184</v>
      </c>
      <c r="D86" s="127">
        <f t="shared" ca="1" si="10"/>
        <v>665.14879699248104</v>
      </c>
      <c r="E86" s="127">
        <f t="shared" ca="1" si="10"/>
        <v>0</v>
      </c>
      <c r="F86" s="127">
        <f>'Monthly Data'!BL86</f>
        <v>634257.80000000005</v>
      </c>
      <c r="G86" s="127">
        <f>'Monthly Data'!BM86</f>
        <v>85</v>
      </c>
      <c r="H86" s="127">
        <f>'Monthly Data'!BQ86</f>
        <v>0</v>
      </c>
      <c r="I86" s="127">
        <f>'Monthly Data'!BS86</f>
        <v>0</v>
      </c>
      <c r="J86" s="127">
        <f>'Monthly Data'!BU86</f>
        <v>0</v>
      </c>
      <c r="K86" s="127">
        <f>'Monthly Data'!BV86</f>
        <v>0</v>
      </c>
      <c r="L86" s="127">
        <f>'Monthly Data'!BW86</f>
        <v>0</v>
      </c>
      <c r="M86" s="127">
        <f>'Monthly Data'!CC86</f>
        <v>31</v>
      </c>
      <c r="N86" s="127">
        <f>'Monthly Data'!CD86</f>
        <v>20</v>
      </c>
      <c r="P86" s="127">
        <f>'GS &gt; 50 OLS Model'!$B$5</f>
        <v>-8508488.8174217809</v>
      </c>
      <c r="Q86" s="186">
        <f ca="1">'GS &gt; 50 OLS Model'!$B$6*D86</f>
        <v>16127087.113571094</v>
      </c>
      <c r="R86" s="186">
        <f ca="1">'GS &gt; 50 OLS Model'!$B$7*E86</f>
        <v>0</v>
      </c>
      <c r="S86" s="186">
        <f>'GS &gt; 50 OLS Model'!$B$8*F86</f>
        <v>33212420.230053835</v>
      </c>
      <c r="T86" s="186">
        <v>0</v>
      </c>
      <c r="U86" s="186">
        <f>'GS &gt; 50 OLS Model'!$B$9*H86</f>
        <v>0</v>
      </c>
      <c r="V86" s="186">
        <f>'GS &gt; 50 OLS Model'!$B$10*I86</f>
        <v>0</v>
      </c>
      <c r="W86" s="186">
        <f>'GS &gt; 50 OLS Model'!$B$11*J86</f>
        <v>0</v>
      </c>
      <c r="X86" s="186">
        <f>'GS &gt; 50 OLS Model'!$B$12*K86</f>
        <v>0</v>
      </c>
      <c r="Y86" s="186">
        <v>0</v>
      </c>
      <c r="Z86" s="186">
        <f>'GS &gt; 50 OLS Model'!$B$13*M86</f>
        <v>34669572.13485463</v>
      </c>
      <c r="AA86" s="186">
        <f>'GS &gt; 50 OLS Model'!$B$14*N86</f>
        <v>13083094.244134201</v>
      </c>
      <c r="AB86" s="127">
        <f t="shared" ca="1" si="8"/>
        <v>88583684.905191973</v>
      </c>
    </row>
    <row r="87" spans="1:28">
      <c r="A87" s="128">
        <f>'Monthly Data'!A87</f>
        <v>42401</v>
      </c>
      <c r="B87" s="127">
        <f t="shared" si="7"/>
        <v>2016</v>
      </c>
      <c r="C87" s="127">
        <f ca="1">'Monthly Data'!O87</f>
        <v>83154848.343503043</v>
      </c>
      <c r="D87" s="127">
        <f t="shared" ca="1" si="10"/>
        <v>611.17548872180487</v>
      </c>
      <c r="E87" s="127">
        <f t="shared" ca="1" si="10"/>
        <v>0</v>
      </c>
      <c r="F87" s="127">
        <f>'Monthly Data'!BL87</f>
        <v>634257.80000000005</v>
      </c>
      <c r="G87" s="127">
        <f>'Monthly Data'!BM87</f>
        <v>86</v>
      </c>
      <c r="H87" s="127">
        <f>'Monthly Data'!BQ87</f>
        <v>0</v>
      </c>
      <c r="I87" s="127">
        <f>'Monthly Data'!BS87</f>
        <v>0</v>
      </c>
      <c r="J87" s="127">
        <f>'Monthly Data'!BU87</f>
        <v>0</v>
      </c>
      <c r="K87" s="127">
        <f>'Monthly Data'!BV87</f>
        <v>0</v>
      </c>
      <c r="L87" s="127">
        <f>'Monthly Data'!BW87</f>
        <v>0</v>
      </c>
      <c r="M87" s="127">
        <f>'Monthly Data'!CC87</f>
        <v>29</v>
      </c>
      <c r="N87" s="127">
        <f>'Monthly Data'!CD87</f>
        <v>20</v>
      </c>
      <c r="P87" s="127">
        <f>'GS &gt; 50 OLS Model'!$B$5</f>
        <v>-8508488.8174217809</v>
      </c>
      <c r="Q87" s="186">
        <f ca="1">'GS &gt; 50 OLS Model'!$B$6*D87</f>
        <v>14818459.257331191</v>
      </c>
      <c r="R87" s="186">
        <f ca="1">'GS &gt; 50 OLS Model'!$B$7*E87</f>
        <v>0</v>
      </c>
      <c r="S87" s="186">
        <f>'GS &gt; 50 OLS Model'!$B$8*F87</f>
        <v>33212420.230053835</v>
      </c>
      <c r="T87" s="186">
        <v>0</v>
      </c>
      <c r="U87" s="186">
        <f>'GS &gt; 50 OLS Model'!$B$9*H87</f>
        <v>0</v>
      </c>
      <c r="V87" s="186">
        <f>'GS &gt; 50 OLS Model'!$B$10*I87</f>
        <v>0</v>
      </c>
      <c r="W87" s="186">
        <f>'GS &gt; 50 OLS Model'!$B$11*J87</f>
        <v>0</v>
      </c>
      <c r="X87" s="186">
        <f>'GS &gt; 50 OLS Model'!$B$12*K87</f>
        <v>0</v>
      </c>
      <c r="Y87" s="186">
        <v>0</v>
      </c>
      <c r="Z87" s="186">
        <f>'GS &gt; 50 OLS Model'!$B$13*M87</f>
        <v>32432825.545509167</v>
      </c>
      <c r="AA87" s="186">
        <f>'GS &gt; 50 OLS Model'!$B$14*N87</f>
        <v>13083094.244134201</v>
      </c>
      <c r="AB87" s="127">
        <f t="shared" ca="1" si="8"/>
        <v>85038310.459606603</v>
      </c>
    </row>
    <row r="88" spans="1:28">
      <c r="A88" s="128">
        <f>'Monthly Data'!A88</f>
        <v>42430</v>
      </c>
      <c r="B88" s="127">
        <f t="shared" si="7"/>
        <v>2016</v>
      </c>
      <c r="C88" s="127">
        <f ca="1">'Monthly Data'!O88</f>
        <v>82620214.015487328</v>
      </c>
      <c r="D88" s="127">
        <f t="shared" ca="1" si="10"/>
        <v>458.46436090225569</v>
      </c>
      <c r="E88" s="127">
        <f t="shared" ca="1" si="10"/>
        <v>0.45218045112781802</v>
      </c>
      <c r="F88" s="127">
        <f>'Monthly Data'!BL88</f>
        <v>634257.80000000005</v>
      </c>
      <c r="G88" s="127">
        <f>'Monthly Data'!BM88</f>
        <v>87</v>
      </c>
      <c r="H88" s="127">
        <f>'Monthly Data'!BQ88</f>
        <v>0</v>
      </c>
      <c r="I88" s="127">
        <f>'Monthly Data'!BS88</f>
        <v>0</v>
      </c>
      <c r="J88" s="127">
        <f>'Monthly Data'!BU88</f>
        <v>0</v>
      </c>
      <c r="K88" s="127">
        <f>'Monthly Data'!BV88</f>
        <v>0</v>
      </c>
      <c r="L88" s="127">
        <f>'Monthly Data'!BW88</f>
        <v>0</v>
      </c>
      <c r="M88" s="127">
        <f>'Monthly Data'!CC88</f>
        <v>31</v>
      </c>
      <c r="N88" s="127">
        <f>'Monthly Data'!CD88</f>
        <v>21</v>
      </c>
      <c r="P88" s="127">
        <f>'GS &gt; 50 OLS Model'!$B$5</f>
        <v>-8508488.8174217809</v>
      </c>
      <c r="Q88" s="186">
        <f ca="1">'GS &gt; 50 OLS Model'!$B$6*D88</f>
        <v>11115850.64901193</v>
      </c>
      <c r="R88" s="186">
        <f ca="1">'GS &gt; 50 OLS Model'!$B$7*E88</f>
        <v>32280.080351483153</v>
      </c>
      <c r="S88" s="186">
        <f>'GS &gt; 50 OLS Model'!$B$8*F88</f>
        <v>33212420.230053835</v>
      </c>
      <c r="T88" s="186">
        <v>0</v>
      </c>
      <c r="U88" s="186">
        <f>'GS &gt; 50 OLS Model'!$B$9*H88</f>
        <v>0</v>
      </c>
      <c r="V88" s="186">
        <f>'GS &gt; 50 OLS Model'!$B$10*I88</f>
        <v>0</v>
      </c>
      <c r="W88" s="186">
        <f>'GS &gt; 50 OLS Model'!$B$11*J88</f>
        <v>0</v>
      </c>
      <c r="X88" s="186">
        <f>'GS &gt; 50 OLS Model'!$B$12*K88</f>
        <v>0</v>
      </c>
      <c r="Y88" s="186">
        <v>0</v>
      </c>
      <c r="Z88" s="186">
        <f>'GS &gt; 50 OLS Model'!$B$13*M88</f>
        <v>34669572.13485463</v>
      </c>
      <c r="AA88" s="186">
        <f>'GS &gt; 50 OLS Model'!$B$14*N88</f>
        <v>13737248.956340911</v>
      </c>
      <c r="AB88" s="127">
        <f t="shared" ca="1" si="8"/>
        <v>84258883.233191013</v>
      </c>
    </row>
    <row r="89" spans="1:28">
      <c r="A89" s="128">
        <f>'Monthly Data'!A89</f>
        <v>42461</v>
      </c>
      <c r="B89" s="127">
        <f t="shared" si="7"/>
        <v>2016</v>
      </c>
      <c r="C89" s="127">
        <f ca="1">'Monthly Data'!O89</f>
        <v>76969494.488034636</v>
      </c>
      <c r="D89" s="127">
        <f t="shared" ca="1" si="10"/>
        <v>254.29052631578941</v>
      </c>
      <c r="E89" s="127">
        <f t="shared" ca="1" si="10"/>
        <v>0.50947368421054762</v>
      </c>
      <c r="F89" s="127">
        <f>'Monthly Data'!BL89</f>
        <v>634257.80000000005</v>
      </c>
      <c r="G89" s="127">
        <f>'Monthly Data'!BM89</f>
        <v>88</v>
      </c>
      <c r="H89" s="127">
        <f>'Monthly Data'!BQ89</f>
        <v>1</v>
      </c>
      <c r="I89" s="127">
        <f>'Monthly Data'!BS89</f>
        <v>0</v>
      </c>
      <c r="J89" s="127">
        <f>'Monthly Data'!BU89</f>
        <v>0</v>
      </c>
      <c r="K89" s="127">
        <f>'Monthly Data'!BV89</f>
        <v>0</v>
      </c>
      <c r="L89" s="127">
        <f>'Monthly Data'!BW89</f>
        <v>0</v>
      </c>
      <c r="M89" s="127">
        <f>'Monthly Data'!CC89</f>
        <v>30</v>
      </c>
      <c r="N89" s="127">
        <f>'Monthly Data'!CD89</f>
        <v>21</v>
      </c>
      <c r="P89" s="127">
        <f>'GS &gt; 50 OLS Model'!$B$5</f>
        <v>-8508488.8174217809</v>
      </c>
      <c r="Q89" s="186">
        <f ca="1">'GS &gt; 50 OLS Model'!$B$6*D89</f>
        <v>6165485.8109845407</v>
      </c>
      <c r="R89" s="186">
        <f ca="1">'GS &gt; 50 OLS Model'!$B$7*E89</f>
        <v>36370.107160236068</v>
      </c>
      <c r="S89" s="186">
        <f>'GS &gt; 50 OLS Model'!$B$8*F89</f>
        <v>33212420.230053835</v>
      </c>
      <c r="T89" s="186">
        <v>0</v>
      </c>
      <c r="U89" s="186">
        <f>'GS &gt; 50 OLS Model'!$B$9*H89</f>
        <v>-1670359.8066300801</v>
      </c>
      <c r="V89" s="186">
        <f>'GS &gt; 50 OLS Model'!$B$10*I89</f>
        <v>0</v>
      </c>
      <c r="W89" s="186">
        <f>'GS &gt; 50 OLS Model'!$B$11*J89</f>
        <v>0</v>
      </c>
      <c r="X89" s="186">
        <f>'GS &gt; 50 OLS Model'!$B$12*K89</f>
        <v>0</v>
      </c>
      <c r="Y89" s="186">
        <v>0</v>
      </c>
      <c r="Z89" s="186">
        <f>'GS &gt; 50 OLS Model'!$B$13*M89</f>
        <v>33551198.840181898</v>
      </c>
      <c r="AA89" s="186">
        <f>'GS &gt; 50 OLS Model'!$B$14*N89</f>
        <v>13737248.956340911</v>
      </c>
      <c r="AB89" s="127">
        <f t="shared" ca="1" si="8"/>
        <v>76523875.320669562</v>
      </c>
    </row>
    <row r="90" spans="1:28">
      <c r="A90" s="128">
        <f>'Monthly Data'!A90</f>
        <v>42491</v>
      </c>
      <c r="B90" s="127">
        <f t="shared" si="7"/>
        <v>2016</v>
      </c>
      <c r="C90" s="127">
        <f ca="1">'Monthly Data'!O90</f>
        <v>79885437.080991775</v>
      </c>
      <c r="D90" s="127">
        <f t="shared" ca="1" si="10"/>
        <v>102.64150375939857</v>
      </c>
      <c r="E90" s="127">
        <f t="shared" ca="1" si="10"/>
        <v>56.062781954887214</v>
      </c>
      <c r="F90" s="127">
        <f>'Monthly Data'!BL90</f>
        <v>634257.80000000005</v>
      </c>
      <c r="G90" s="127">
        <f>'Monthly Data'!BM90</f>
        <v>89</v>
      </c>
      <c r="H90" s="127">
        <f>'Monthly Data'!BQ90</f>
        <v>0</v>
      </c>
      <c r="I90" s="127">
        <f>'Monthly Data'!BS90</f>
        <v>0</v>
      </c>
      <c r="J90" s="127">
        <f>'Monthly Data'!BU90</f>
        <v>0</v>
      </c>
      <c r="K90" s="127">
        <f>'Monthly Data'!BV90</f>
        <v>0</v>
      </c>
      <c r="L90" s="127">
        <f>'Monthly Data'!BW90</f>
        <v>0</v>
      </c>
      <c r="M90" s="127">
        <f>'Monthly Data'!CC90</f>
        <v>31</v>
      </c>
      <c r="N90" s="127">
        <f>'Monthly Data'!CD90</f>
        <v>21</v>
      </c>
      <c r="P90" s="127">
        <f>'GS &gt; 50 OLS Model'!$B$5</f>
        <v>-8508488.8174217809</v>
      </c>
      <c r="Q90" s="186">
        <f ca="1">'GS &gt; 50 OLS Model'!$B$6*D90</f>
        <v>2488628.8302412247</v>
      </c>
      <c r="R90" s="186">
        <f ca="1">'GS &gt; 50 OLS Model'!$B$7*E90</f>
        <v>4002187.8471696409</v>
      </c>
      <c r="S90" s="186">
        <f>'GS &gt; 50 OLS Model'!$B$8*F90</f>
        <v>33212420.230053835</v>
      </c>
      <c r="T90" s="186">
        <v>0</v>
      </c>
      <c r="U90" s="186">
        <f>'GS &gt; 50 OLS Model'!$B$9*H90</f>
        <v>0</v>
      </c>
      <c r="V90" s="186">
        <f>'GS &gt; 50 OLS Model'!$B$10*I90</f>
        <v>0</v>
      </c>
      <c r="W90" s="186">
        <f>'GS &gt; 50 OLS Model'!$B$11*J90</f>
        <v>0</v>
      </c>
      <c r="X90" s="186">
        <f>'GS &gt; 50 OLS Model'!$B$12*K90</f>
        <v>0</v>
      </c>
      <c r="Y90" s="186">
        <v>0</v>
      </c>
      <c r="Z90" s="186">
        <f>'GS &gt; 50 OLS Model'!$B$13*M90</f>
        <v>34669572.13485463</v>
      </c>
      <c r="AA90" s="186">
        <f>'GS &gt; 50 OLS Model'!$B$14*N90</f>
        <v>13737248.956340911</v>
      </c>
      <c r="AB90" s="127">
        <f t="shared" ca="1" si="8"/>
        <v>79601569.181238458</v>
      </c>
    </row>
    <row r="91" spans="1:28">
      <c r="A91" s="128">
        <f>'Monthly Data'!A91</f>
        <v>42522</v>
      </c>
      <c r="B91" s="127">
        <f t="shared" si="7"/>
        <v>2016</v>
      </c>
      <c r="C91" s="127">
        <f ca="1">'Monthly Data'!O91</f>
        <v>84108563.980985105</v>
      </c>
      <c r="D91" s="127">
        <f t="shared" ca="1" si="10"/>
        <v>0.39669172932326546</v>
      </c>
      <c r="E91" s="127">
        <f t="shared" ca="1" si="10"/>
        <v>116.89315789473682</v>
      </c>
      <c r="F91" s="127">
        <f>'Monthly Data'!BL91</f>
        <v>634257.80000000005</v>
      </c>
      <c r="G91" s="127">
        <f>'Monthly Data'!BM91</f>
        <v>90</v>
      </c>
      <c r="H91" s="127">
        <f>'Monthly Data'!BQ91</f>
        <v>0</v>
      </c>
      <c r="I91" s="127">
        <f>'Monthly Data'!BS91</f>
        <v>1</v>
      </c>
      <c r="J91" s="127">
        <f>'Monthly Data'!BU91</f>
        <v>0</v>
      </c>
      <c r="K91" s="127">
        <f>'Monthly Data'!BV91</f>
        <v>0</v>
      </c>
      <c r="L91" s="127">
        <f>'Monthly Data'!BW91</f>
        <v>0</v>
      </c>
      <c r="M91" s="127">
        <f>'Monthly Data'!CC91</f>
        <v>30</v>
      </c>
      <c r="N91" s="127">
        <f>'Monthly Data'!CD91</f>
        <v>22</v>
      </c>
      <c r="P91" s="127">
        <f>'GS &gt; 50 OLS Model'!$B$5</f>
        <v>-8508488.8174217809</v>
      </c>
      <c r="Q91" s="186">
        <f ca="1">'GS &gt; 50 OLS Model'!$B$6*D91</f>
        <v>9618.1216969137586</v>
      </c>
      <c r="R91" s="186">
        <f ca="1">'GS &gt; 50 OLS Model'!$B$7*E91</f>
        <v>8344722.8202134408</v>
      </c>
      <c r="S91" s="186">
        <f>'GS &gt; 50 OLS Model'!$B$8*F91</f>
        <v>33212420.230053835</v>
      </c>
      <c r="T91" s="186">
        <v>0</v>
      </c>
      <c r="U91" s="186">
        <f>'GS &gt; 50 OLS Model'!$B$9*H91</f>
        <v>0</v>
      </c>
      <c r="V91" s="186">
        <f>'GS &gt; 50 OLS Model'!$B$10*I91</f>
        <v>1244451.2383117899</v>
      </c>
      <c r="W91" s="186">
        <f>'GS &gt; 50 OLS Model'!$B$11*J91</f>
        <v>0</v>
      </c>
      <c r="X91" s="186">
        <f>'GS &gt; 50 OLS Model'!$B$12*K91</f>
        <v>0</v>
      </c>
      <c r="Y91" s="186">
        <v>0</v>
      </c>
      <c r="Z91" s="186">
        <f>'GS &gt; 50 OLS Model'!$B$13*M91</f>
        <v>33551198.840181898</v>
      </c>
      <c r="AA91" s="186">
        <f>'GS &gt; 50 OLS Model'!$B$14*N91</f>
        <v>14391403.668547621</v>
      </c>
      <c r="AB91" s="127">
        <f t="shared" ca="1" si="8"/>
        <v>82245326.101583719</v>
      </c>
    </row>
    <row r="92" spans="1:28">
      <c r="A92" s="128">
        <f>'Monthly Data'!A92</f>
        <v>42552</v>
      </c>
      <c r="B92" s="127">
        <f t="shared" si="7"/>
        <v>2016</v>
      </c>
      <c r="C92" s="127">
        <f ca="1">'Monthly Data'!O92</f>
        <v>89208055.874293894</v>
      </c>
      <c r="D92" s="127">
        <f t="shared" ca="1" si="10"/>
        <v>0.58105263157894704</v>
      </c>
      <c r="E92" s="127">
        <f t="shared" ca="1" si="10"/>
        <v>186.96526315789481</v>
      </c>
      <c r="F92" s="127">
        <f>'Monthly Data'!BL92</f>
        <v>634257.80000000005</v>
      </c>
      <c r="G92" s="127">
        <f>'Monthly Data'!BM92</f>
        <v>91</v>
      </c>
      <c r="H92" s="127">
        <f>'Monthly Data'!BQ92</f>
        <v>0</v>
      </c>
      <c r="I92" s="127">
        <f>'Monthly Data'!BS92</f>
        <v>0</v>
      </c>
      <c r="J92" s="127">
        <f>'Monthly Data'!BU92</f>
        <v>0</v>
      </c>
      <c r="K92" s="127">
        <f>'Monthly Data'!BV92</f>
        <v>0</v>
      </c>
      <c r="L92" s="127">
        <f>'Monthly Data'!BW92</f>
        <v>0</v>
      </c>
      <c r="M92" s="127">
        <f>'Monthly Data'!CC92</f>
        <v>31</v>
      </c>
      <c r="N92" s="127">
        <f>'Monthly Data'!CD92</f>
        <v>20</v>
      </c>
      <c r="P92" s="127">
        <f>'GS &gt; 50 OLS Model'!$B$5</f>
        <v>-8508488.8174217809</v>
      </c>
      <c r="Q92" s="186">
        <f ca="1">'GS &gt; 50 OLS Model'!$B$6*D92</f>
        <v>14088.105472660634</v>
      </c>
      <c r="R92" s="186">
        <f ca="1">'GS &gt; 50 OLS Model'!$B$7*E92</f>
        <v>13347002.734461535</v>
      </c>
      <c r="S92" s="186">
        <f>'GS &gt; 50 OLS Model'!$B$8*F92</f>
        <v>33212420.230053835</v>
      </c>
      <c r="T92" s="186">
        <v>0</v>
      </c>
      <c r="U92" s="186">
        <f>'GS &gt; 50 OLS Model'!$B$9*H92</f>
        <v>0</v>
      </c>
      <c r="V92" s="186">
        <f>'GS &gt; 50 OLS Model'!$B$10*I92</f>
        <v>0</v>
      </c>
      <c r="W92" s="186">
        <f>'GS &gt; 50 OLS Model'!$B$11*J92</f>
        <v>0</v>
      </c>
      <c r="X92" s="186">
        <f>'GS &gt; 50 OLS Model'!$B$12*K92</f>
        <v>0</v>
      </c>
      <c r="Y92" s="186">
        <v>0</v>
      </c>
      <c r="Z92" s="186">
        <f>'GS &gt; 50 OLS Model'!$B$13*M92</f>
        <v>34669572.13485463</v>
      </c>
      <c r="AA92" s="186">
        <f>'GS &gt; 50 OLS Model'!$B$14*N92</f>
        <v>13083094.244134201</v>
      </c>
      <c r="AB92" s="127">
        <f t="shared" ca="1" si="8"/>
        <v>85817688.63155508</v>
      </c>
    </row>
    <row r="93" spans="1:28">
      <c r="A93" s="128">
        <f>'Monthly Data'!A93</f>
        <v>42583</v>
      </c>
      <c r="B93" s="127">
        <f t="shared" si="7"/>
        <v>2016</v>
      </c>
      <c r="C93" s="127">
        <f ca="1">'Monthly Data'!O93</f>
        <v>92081052.006418362</v>
      </c>
      <c r="D93" s="127">
        <f t="shared" ca="1" si="10"/>
        <v>1.6660902255639058</v>
      </c>
      <c r="E93" s="127">
        <f t="shared" ca="1" si="10"/>
        <v>167.43443609022574</v>
      </c>
      <c r="F93" s="127">
        <f>'Monthly Data'!BL93</f>
        <v>634257.80000000005</v>
      </c>
      <c r="G93" s="127">
        <f>'Monthly Data'!BM93</f>
        <v>92</v>
      </c>
      <c r="H93" s="127">
        <f>'Monthly Data'!BQ93</f>
        <v>0</v>
      </c>
      <c r="I93" s="127">
        <f>'Monthly Data'!BS93</f>
        <v>0</v>
      </c>
      <c r="J93" s="127">
        <f>'Monthly Data'!BU93</f>
        <v>1</v>
      </c>
      <c r="K93" s="127">
        <f>'Monthly Data'!BV93</f>
        <v>0</v>
      </c>
      <c r="L93" s="127">
        <f>'Monthly Data'!BW93</f>
        <v>0</v>
      </c>
      <c r="M93" s="127">
        <f>'Monthly Data'!CC93</f>
        <v>31</v>
      </c>
      <c r="N93" s="127">
        <f>'Monthly Data'!CD93</f>
        <v>22</v>
      </c>
      <c r="P93" s="127">
        <f>'GS &gt; 50 OLS Model'!$B$5</f>
        <v>-8508488.8174217809</v>
      </c>
      <c r="Q93" s="186">
        <f ca="1">'GS &gt; 50 OLS Model'!$B$6*D93</f>
        <v>40395.746528039141</v>
      </c>
      <c r="R93" s="186">
        <f ca="1">'GS &gt; 50 OLS Model'!$B$7*E93</f>
        <v>11952743.72679588</v>
      </c>
      <c r="S93" s="186">
        <f>'GS &gt; 50 OLS Model'!$B$8*F93</f>
        <v>33212420.230053835</v>
      </c>
      <c r="T93" s="186">
        <v>0</v>
      </c>
      <c r="U93" s="186">
        <f>'GS &gt; 50 OLS Model'!$B$9*H93</f>
        <v>0</v>
      </c>
      <c r="V93" s="186">
        <f>'GS &gt; 50 OLS Model'!$B$10*I93</f>
        <v>0</v>
      </c>
      <c r="W93" s="186">
        <f>'GS &gt; 50 OLS Model'!$B$11*J93</f>
        <v>2505717.0713192602</v>
      </c>
      <c r="X93" s="186">
        <f>'GS &gt; 50 OLS Model'!$B$12*K93</f>
        <v>0</v>
      </c>
      <c r="Y93" s="186">
        <v>0</v>
      </c>
      <c r="Z93" s="186">
        <f>'GS &gt; 50 OLS Model'!$B$13*M93</f>
        <v>34669572.13485463</v>
      </c>
      <c r="AA93" s="186">
        <f>'GS &gt; 50 OLS Model'!$B$14*N93</f>
        <v>14391403.668547621</v>
      </c>
      <c r="AB93" s="127">
        <f t="shared" ca="1" si="8"/>
        <v>88263763.760677472</v>
      </c>
    </row>
    <row r="94" spans="1:28">
      <c r="A94" s="128">
        <f>'Monthly Data'!A94</f>
        <v>42614</v>
      </c>
      <c r="B94" s="127">
        <f t="shared" si="7"/>
        <v>2016</v>
      </c>
      <c r="C94" s="127">
        <f ca="1">'Monthly Data'!O94</f>
        <v>82625134.428336576</v>
      </c>
      <c r="D94" s="127">
        <f t="shared" ca="1" si="10"/>
        <v>30.410827067669118</v>
      </c>
      <c r="E94" s="127">
        <f t="shared" ca="1" si="10"/>
        <v>83.003533834586506</v>
      </c>
      <c r="F94" s="127">
        <f>'Monthly Data'!BL94</f>
        <v>634257.80000000005</v>
      </c>
      <c r="G94" s="127">
        <f>'Monthly Data'!BM94</f>
        <v>93</v>
      </c>
      <c r="H94" s="127">
        <f>'Monthly Data'!BQ94</f>
        <v>0</v>
      </c>
      <c r="I94" s="127">
        <f>'Monthly Data'!BS94</f>
        <v>0</v>
      </c>
      <c r="J94" s="127">
        <f>'Monthly Data'!BU94</f>
        <v>0</v>
      </c>
      <c r="K94" s="127">
        <f>'Monthly Data'!BV94</f>
        <v>1</v>
      </c>
      <c r="L94" s="127">
        <f>'Monthly Data'!BW94</f>
        <v>0</v>
      </c>
      <c r="M94" s="127">
        <f>'Monthly Data'!CC94</f>
        <v>30</v>
      </c>
      <c r="N94" s="127">
        <f>'Monthly Data'!CD94</f>
        <v>21</v>
      </c>
      <c r="P94" s="127">
        <f>'GS &gt; 50 OLS Model'!$B$5</f>
        <v>-8508488.8174217809</v>
      </c>
      <c r="Q94" s="186">
        <f ca="1">'GS &gt; 50 OLS Model'!$B$6*D94</f>
        <v>737335.85557637212</v>
      </c>
      <c r="R94" s="186">
        <f ca="1">'GS &gt; 50 OLS Model'!$B$7*E94</f>
        <v>5925423.6554338057</v>
      </c>
      <c r="S94" s="186">
        <f>'GS &gt; 50 OLS Model'!$B$8*F94</f>
        <v>33212420.230053835</v>
      </c>
      <c r="T94" s="186">
        <v>0</v>
      </c>
      <c r="U94" s="186">
        <f>'GS &gt; 50 OLS Model'!$B$9*H94</f>
        <v>0</v>
      </c>
      <c r="V94" s="186">
        <f>'GS &gt; 50 OLS Model'!$B$10*I94</f>
        <v>0</v>
      </c>
      <c r="W94" s="186">
        <f>'GS &gt; 50 OLS Model'!$B$11*J94</f>
        <v>0</v>
      </c>
      <c r="X94" s="186">
        <f>'GS &gt; 50 OLS Model'!$B$12*K94</f>
        <v>2345350.8919449002</v>
      </c>
      <c r="Y94" s="186">
        <v>0</v>
      </c>
      <c r="Z94" s="186">
        <f>'GS &gt; 50 OLS Model'!$B$13*M94</f>
        <v>33551198.840181898</v>
      </c>
      <c r="AA94" s="186">
        <f>'GS &gt; 50 OLS Model'!$B$14*N94</f>
        <v>13737248.956340911</v>
      </c>
      <c r="AB94" s="127">
        <f t="shared" ca="1" si="8"/>
        <v>81000489.612109944</v>
      </c>
    </row>
    <row r="95" spans="1:28">
      <c r="A95" s="128">
        <f>'Monthly Data'!A95</f>
        <v>42644</v>
      </c>
      <c r="B95" s="127">
        <f t="shared" si="7"/>
        <v>2016</v>
      </c>
      <c r="C95" s="127">
        <f ca="1">'Monthly Data'!O95</f>
        <v>79761867.387980133</v>
      </c>
      <c r="D95" s="127">
        <f t="shared" ca="1" si="10"/>
        <v>158.93676691729343</v>
      </c>
      <c r="E95" s="127">
        <f t="shared" ca="1" si="10"/>
        <v>16.916090225563948</v>
      </c>
      <c r="F95" s="127">
        <f>'Monthly Data'!BL95</f>
        <v>634257.80000000005</v>
      </c>
      <c r="G95" s="127">
        <f>'Monthly Data'!BM95</f>
        <v>94</v>
      </c>
      <c r="H95" s="127">
        <f>'Monthly Data'!BQ95</f>
        <v>0</v>
      </c>
      <c r="I95" s="127">
        <f>'Monthly Data'!BS95</f>
        <v>0</v>
      </c>
      <c r="J95" s="127">
        <f>'Monthly Data'!BU95</f>
        <v>0</v>
      </c>
      <c r="K95" s="127">
        <f>'Monthly Data'!BV95</f>
        <v>0</v>
      </c>
      <c r="L95" s="127">
        <f>'Monthly Data'!BW95</f>
        <v>1</v>
      </c>
      <c r="M95" s="127">
        <f>'Monthly Data'!CC95</f>
        <v>31</v>
      </c>
      <c r="N95" s="127">
        <f>'Monthly Data'!CD95</f>
        <v>20</v>
      </c>
      <c r="P95" s="127">
        <f>'GS &gt; 50 OLS Model'!$B$5</f>
        <v>-8508488.8174217809</v>
      </c>
      <c r="Q95" s="186">
        <f ca="1">'GS &gt; 50 OLS Model'!$B$6*D95</f>
        <v>3853554.4185213498</v>
      </c>
      <c r="R95" s="186">
        <f ca="1">'GS &gt; 50 OLS Model'!$B$7*E95</f>
        <v>1207599.2014961967</v>
      </c>
      <c r="S95" s="186">
        <f>'GS &gt; 50 OLS Model'!$B$8*F95</f>
        <v>33212420.230053835</v>
      </c>
      <c r="T95" s="186">
        <v>0</v>
      </c>
      <c r="U95" s="186">
        <f>'GS &gt; 50 OLS Model'!$B$9*H95</f>
        <v>0</v>
      </c>
      <c r="V95" s="186">
        <f>'GS &gt; 50 OLS Model'!$B$10*I95</f>
        <v>0</v>
      </c>
      <c r="W95" s="186">
        <f>'GS &gt; 50 OLS Model'!$B$11*J95</f>
        <v>0</v>
      </c>
      <c r="X95" s="186">
        <f>'GS &gt; 50 OLS Model'!$B$12*K95</f>
        <v>0</v>
      </c>
      <c r="Y95" s="186">
        <v>0</v>
      </c>
      <c r="Z95" s="186">
        <f>'GS &gt; 50 OLS Model'!$B$13*M95</f>
        <v>34669572.13485463</v>
      </c>
      <c r="AA95" s="186">
        <f>'GS &gt; 50 OLS Model'!$B$14*N95</f>
        <v>13083094.244134201</v>
      </c>
      <c r="AB95" s="127">
        <f t="shared" ca="1" si="8"/>
        <v>77517751.411638424</v>
      </c>
    </row>
    <row r="96" spans="1:28">
      <c r="A96" s="128">
        <f>'Monthly Data'!A96</f>
        <v>42675</v>
      </c>
      <c r="B96" s="127">
        <f t="shared" si="7"/>
        <v>2016</v>
      </c>
      <c r="C96" s="127">
        <f ca="1">'Monthly Data'!O96</f>
        <v>79632729.527031347</v>
      </c>
      <c r="D96" s="127">
        <f t="shared" ca="1" si="10"/>
        <v>375.92533834586447</v>
      </c>
      <c r="E96" s="127">
        <f t="shared" ca="1" si="10"/>
        <v>8.120300751879661E-2</v>
      </c>
      <c r="F96" s="127">
        <f>'Monthly Data'!BL96</f>
        <v>634257.80000000005</v>
      </c>
      <c r="G96" s="127">
        <f>'Monthly Data'!BM96</f>
        <v>95</v>
      </c>
      <c r="H96" s="127">
        <f>'Monthly Data'!BQ96</f>
        <v>0</v>
      </c>
      <c r="I96" s="127">
        <f>'Monthly Data'!BS96</f>
        <v>0</v>
      </c>
      <c r="J96" s="127">
        <f>'Monthly Data'!BU96</f>
        <v>0</v>
      </c>
      <c r="K96" s="127">
        <f>'Monthly Data'!BV96</f>
        <v>0</v>
      </c>
      <c r="L96" s="127">
        <f>'Monthly Data'!BW96</f>
        <v>0</v>
      </c>
      <c r="M96" s="127">
        <f>'Monthly Data'!CC96</f>
        <v>30</v>
      </c>
      <c r="N96" s="127">
        <f>'Monthly Data'!CD96</f>
        <v>22</v>
      </c>
      <c r="P96" s="127">
        <f>'GS &gt; 50 OLS Model'!$B$5</f>
        <v>-8508488.8174217809</v>
      </c>
      <c r="Q96" s="186">
        <f ca="1">'GS &gt; 50 OLS Model'!$B$6*D96</f>
        <v>9114623.234853385</v>
      </c>
      <c r="R96" s="186">
        <f ca="1">'GS &gt; 50 OLS Model'!$B$7*E96</f>
        <v>5796.8883903561291</v>
      </c>
      <c r="S96" s="186">
        <f>'GS &gt; 50 OLS Model'!$B$8*F96</f>
        <v>33212420.230053835</v>
      </c>
      <c r="T96" s="186">
        <v>0</v>
      </c>
      <c r="U96" s="186">
        <f>'GS &gt; 50 OLS Model'!$B$9*H96</f>
        <v>0</v>
      </c>
      <c r="V96" s="186">
        <f>'GS &gt; 50 OLS Model'!$B$10*I96</f>
        <v>0</v>
      </c>
      <c r="W96" s="186">
        <f>'GS &gt; 50 OLS Model'!$B$11*J96</f>
        <v>0</v>
      </c>
      <c r="X96" s="186">
        <f>'GS &gt; 50 OLS Model'!$B$12*K96</f>
        <v>0</v>
      </c>
      <c r="Y96" s="186">
        <v>0</v>
      </c>
      <c r="Z96" s="186">
        <f>'GS &gt; 50 OLS Model'!$B$13*M96</f>
        <v>33551198.840181898</v>
      </c>
      <c r="AA96" s="186">
        <f>'GS &gt; 50 OLS Model'!$B$14*N96</f>
        <v>14391403.668547621</v>
      </c>
      <c r="AB96" s="127">
        <f t="shared" ca="1" si="8"/>
        <v>81766954.044605315</v>
      </c>
    </row>
    <row r="97" spans="1:28">
      <c r="A97" s="128">
        <f>'Monthly Data'!A97</f>
        <v>42705</v>
      </c>
      <c r="B97" s="127">
        <f t="shared" si="7"/>
        <v>2016</v>
      </c>
      <c r="C97" s="127">
        <f ca="1">'Monthly Data'!O97</f>
        <v>85703762.977146074</v>
      </c>
      <c r="D97" s="127">
        <f t="shared" ca="1" si="10"/>
        <v>548.76120300751859</v>
      </c>
      <c r="E97" s="127">
        <f t="shared" ca="1" si="10"/>
        <v>0</v>
      </c>
      <c r="F97" s="127">
        <f>'Monthly Data'!BL97</f>
        <v>634257.80000000005</v>
      </c>
      <c r="G97" s="127">
        <f>'Monthly Data'!BM97</f>
        <v>96</v>
      </c>
      <c r="H97" s="127">
        <f>'Monthly Data'!BQ97</f>
        <v>0</v>
      </c>
      <c r="I97" s="127">
        <f>'Monthly Data'!BS97</f>
        <v>0</v>
      </c>
      <c r="J97" s="127">
        <f>'Monthly Data'!BU97</f>
        <v>0</v>
      </c>
      <c r="K97" s="127">
        <f>'Monthly Data'!BV97</f>
        <v>0</v>
      </c>
      <c r="L97" s="127">
        <f>'Monthly Data'!BW97</f>
        <v>0</v>
      </c>
      <c r="M97" s="127">
        <f>'Monthly Data'!CC97</f>
        <v>31</v>
      </c>
      <c r="N97" s="127">
        <f>'Monthly Data'!CD97</f>
        <v>20</v>
      </c>
      <c r="P97" s="127">
        <f>'GS &gt; 50 OLS Model'!$B$5</f>
        <v>-8508488.8174217809</v>
      </c>
      <c r="Q97" s="186">
        <f ca="1">'GS &gt; 50 OLS Model'!$B$6*D97</f>
        <v>13305172.865779633</v>
      </c>
      <c r="R97" s="186">
        <f ca="1">'GS &gt; 50 OLS Model'!$B$7*E97</f>
        <v>0</v>
      </c>
      <c r="S97" s="186">
        <f>'GS &gt; 50 OLS Model'!$B$8*F97</f>
        <v>33212420.230053835</v>
      </c>
      <c r="T97" s="186">
        <v>0</v>
      </c>
      <c r="U97" s="186">
        <f>'GS &gt; 50 OLS Model'!$B$9*H97</f>
        <v>0</v>
      </c>
      <c r="V97" s="186">
        <f>'GS &gt; 50 OLS Model'!$B$10*I97</f>
        <v>0</v>
      </c>
      <c r="W97" s="186">
        <f>'GS &gt; 50 OLS Model'!$B$11*J97</f>
        <v>0</v>
      </c>
      <c r="X97" s="186">
        <f>'GS &gt; 50 OLS Model'!$B$12*K97</f>
        <v>0</v>
      </c>
      <c r="Y97" s="186">
        <v>0</v>
      </c>
      <c r="Z97" s="186">
        <f>'GS &gt; 50 OLS Model'!$B$13*M97</f>
        <v>34669572.13485463</v>
      </c>
      <c r="AA97" s="186">
        <f>'GS &gt; 50 OLS Model'!$B$14*N97</f>
        <v>13083094.244134201</v>
      </c>
      <c r="AB97" s="127">
        <f t="shared" ca="1" si="8"/>
        <v>85761770.657400519</v>
      </c>
    </row>
    <row r="98" spans="1:28">
      <c r="A98" s="128">
        <v>42736</v>
      </c>
      <c r="B98" s="127">
        <f t="shared" si="7"/>
        <v>2017</v>
      </c>
      <c r="C98" s="127">
        <f ca="1">'Monthly Data'!O98</f>
        <v>89452615.289801002</v>
      </c>
      <c r="D98" s="127">
        <f t="shared" ref="D98:E109" ca="1" si="11">D86</f>
        <v>665.14879699248104</v>
      </c>
      <c r="E98" s="127">
        <f t="shared" ca="1" si="11"/>
        <v>0</v>
      </c>
      <c r="F98" s="127">
        <f>'Monthly Data'!BL98</f>
        <v>651932.30000000005</v>
      </c>
      <c r="G98" s="127">
        <f>G97+1</f>
        <v>97</v>
      </c>
      <c r="H98" s="127">
        <f>H86</f>
        <v>0</v>
      </c>
      <c r="I98" s="127">
        <f t="shared" ref="I98:L98" si="12">I86</f>
        <v>0</v>
      </c>
      <c r="J98" s="127">
        <f t="shared" si="12"/>
        <v>0</v>
      </c>
      <c r="K98" s="127">
        <f t="shared" si="12"/>
        <v>0</v>
      </c>
      <c r="L98" s="127">
        <f t="shared" si="12"/>
        <v>0</v>
      </c>
      <c r="M98" s="127">
        <f>M50</f>
        <v>31</v>
      </c>
      <c r="N98" s="127">
        <v>21</v>
      </c>
      <c r="P98" s="127">
        <f>'GS &gt; 50 OLS Model'!$B$5</f>
        <v>-8508488.8174217809</v>
      </c>
      <c r="Q98" s="186">
        <f ca="1">'GS &gt; 50 OLS Model'!$B$6*D98</f>
        <v>16127087.113571094</v>
      </c>
      <c r="R98" s="186">
        <f ca="1">'GS &gt; 50 OLS Model'!$B$7*E98</f>
        <v>0</v>
      </c>
      <c r="S98" s="186">
        <f>'GS &gt; 50 OLS Model'!$B$8*F98</f>
        <v>34137931.782857895</v>
      </c>
      <c r="T98" s="186">
        <v>0</v>
      </c>
      <c r="U98" s="186">
        <f>'GS &gt; 50 OLS Model'!$B$9*H98</f>
        <v>0</v>
      </c>
      <c r="V98" s="186">
        <f>'GS &gt; 50 OLS Model'!$B$10*I98</f>
        <v>0</v>
      </c>
      <c r="W98" s="186">
        <f>'GS &gt; 50 OLS Model'!$B$11*J98</f>
        <v>0</v>
      </c>
      <c r="X98" s="186">
        <f>'GS &gt; 50 OLS Model'!$B$12*K98</f>
        <v>0</v>
      </c>
      <c r="Y98" s="186">
        <v>0</v>
      </c>
      <c r="Z98" s="186">
        <f>'GS &gt; 50 OLS Model'!$B$13*M98</f>
        <v>34669572.13485463</v>
      </c>
      <c r="AA98" s="186">
        <f>'GS &gt; 50 OLS Model'!$B$14*N98</f>
        <v>13737248.956340911</v>
      </c>
      <c r="AB98" s="127">
        <f t="shared" ca="1" si="8"/>
        <v>90163351.170202747</v>
      </c>
    </row>
    <row r="99" spans="1:28">
      <c r="A99" s="128">
        <v>42767</v>
      </c>
      <c r="B99" s="127">
        <f t="shared" si="7"/>
        <v>2017</v>
      </c>
      <c r="C99" s="127">
        <f ca="1">'Monthly Data'!O99</f>
        <v>79369250.509801</v>
      </c>
      <c r="D99" s="127">
        <f t="shared" ca="1" si="11"/>
        <v>611.17548872180487</v>
      </c>
      <c r="E99" s="127">
        <f t="shared" ca="1" si="11"/>
        <v>0</v>
      </c>
      <c r="F99" s="127">
        <f>'Monthly Data'!BL99</f>
        <v>651932.30000000005</v>
      </c>
      <c r="G99" s="127">
        <f t="shared" ref="G99:G145" si="13">G98+1</f>
        <v>98</v>
      </c>
      <c r="H99" s="127">
        <f t="shared" ref="H99:L109" si="14">H87</f>
        <v>0</v>
      </c>
      <c r="I99" s="127">
        <f t="shared" si="14"/>
        <v>0</v>
      </c>
      <c r="J99" s="127">
        <f t="shared" si="14"/>
        <v>0</v>
      </c>
      <c r="K99" s="127">
        <f t="shared" si="14"/>
        <v>0</v>
      </c>
      <c r="L99" s="127">
        <f t="shared" si="14"/>
        <v>0</v>
      </c>
      <c r="M99" s="127">
        <f t="shared" ref="M99:M145" si="15">M51</f>
        <v>28</v>
      </c>
      <c r="N99" s="127">
        <v>19</v>
      </c>
      <c r="P99" s="127">
        <f>'GS &gt; 50 OLS Model'!$B$5</f>
        <v>-8508488.8174217809</v>
      </c>
      <c r="Q99" s="186">
        <f ca="1">'GS &gt; 50 OLS Model'!$B$6*D99</f>
        <v>14818459.257331191</v>
      </c>
      <c r="R99" s="186">
        <f ca="1">'GS &gt; 50 OLS Model'!$B$7*E99</f>
        <v>0</v>
      </c>
      <c r="S99" s="186">
        <f>'GS &gt; 50 OLS Model'!$B$8*F99</f>
        <v>34137931.782857895</v>
      </c>
      <c r="T99" s="186">
        <v>0</v>
      </c>
      <c r="U99" s="186">
        <f>'GS &gt; 50 OLS Model'!$B$9*H99</f>
        <v>0</v>
      </c>
      <c r="V99" s="186">
        <f>'GS &gt; 50 OLS Model'!$B$10*I99</f>
        <v>0</v>
      </c>
      <c r="W99" s="186">
        <f>'GS &gt; 50 OLS Model'!$B$11*J99</f>
        <v>0</v>
      </c>
      <c r="X99" s="186">
        <f>'GS &gt; 50 OLS Model'!$B$12*K99</f>
        <v>0</v>
      </c>
      <c r="Y99" s="186">
        <v>0</v>
      </c>
      <c r="Z99" s="186">
        <f>'GS &gt; 50 OLS Model'!$B$13*M99</f>
        <v>31314452.250836439</v>
      </c>
      <c r="AA99" s="186">
        <f>'GS &gt; 50 OLS Model'!$B$14*N99</f>
        <v>12428939.531927491</v>
      </c>
      <c r="AB99" s="127">
        <f t="shared" ca="1" si="8"/>
        <v>84191294.005531251</v>
      </c>
    </row>
    <row r="100" spans="1:28">
      <c r="A100" s="128">
        <v>42795</v>
      </c>
      <c r="B100" s="127">
        <f t="shared" si="7"/>
        <v>2017</v>
      </c>
      <c r="C100" s="127">
        <f ca="1">'Monthly Data'!O100</f>
        <v>85130613.079801008</v>
      </c>
      <c r="D100" s="127">
        <f t="shared" ca="1" si="11"/>
        <v>458.46436090225569</v>
      </c>
      <c r="E100" s="127">
        <f t="shared" ca="1" si="11"/>
        <v>0.45218045112781802</v>
      </c>
      <c r="F100" s="127">
        <f>'Monthly Data'!BL100</f>
        <v>651932.30000000005</v>
      </c>
      <c r="G100" s="127">
        <f t="shared" si="13"/>
        <v>99</v>
      </c>
      <c r="H100" s="127">
        <f t="shared" si="14"/>
        <v>0</v>
      </c>
      <c r="I100" s="127">
        <f t="shared" si="14"/>
        <v>0</v>
      </c>
      <c r="J100" s="127">
        <f t="shared" si="14"/>
        <v>0</v>
      </c>
      <c r="K100" s="127">
        <f t="shared" si="14"/>
        <v>0</v>
      </c>
      <c r="L100" s="127">
        <f t="shared" si="14"/>
        <v>0</v>
      </c>
      <c r="M100" s="127">
        <f t="shared" si="15"/>
        <v>31</v>
      </c>
      <c r="N100" s="127">
        <v>23</v>
      </c>
      <c r="P100" s="127">
        <f>'GS &gt; 50 OLS Model'!$B$5</f>
        <v>-8508488.8174217809</v>
      </c>
      <c r="Q100" s="186">
        <f ca="1">'GS &gt; 50 OLS Model'!$B$6*D100</f>
        <v>11115850.64901193</v>
      </c>
      <c r="R100" s="186">
        <f ca="1">'GS &gt; 50 OLS Model'!$B$7*E100</f>
        <v>32280.080351483153</v>
      </c>
      <c r="S100" s="186">
        <f>'GS &gt; 50 OLS Model'!$B$8*F100</f>
        <v>34137931.782857895</v>
      </c>
      <c r="T100" s="186">
        <v>0</v>
      </c>
      <c r="U100" s="186">
        <f>'GS &gt; 50 OLS Model'!$B$9*H100</f>
        <v>0</v>
      </c>
      <c r="V100" s="186">
        <f>'GS &gt; 50 OLS Model'!$B$10*I100</f>
        <v>0</v>
      </c>
      <c r="W100" s="186">
        <f>'GS &gt; 50 OLS Model'!$B$11*J100</f>
        <v>0</v>
      </c>
      <c r="X100" s="186">
        <f>'GS &gt; 50 OLS Model'!$B$12*K100</f>
        <v>0</v>
      </c>
      <c r="Y100" s="186">
        <v>0</v>
      </c>
      <c r="Z100" s="186">
        <f>'GS &gt; 50 OLS Model'!$B$13*M100</f>
        <v>34669572.13485463</v>
      </c>
      <c r="AA100" s="186">
        <f>'GS &gt; 50 OLS Model'!$B$14*N100</f>
        <v>15045558.380754331</v>
      </c>
      <c r="AB100" s="127">
        <f t="shared" ca="1" si="8"/>
        <v>86492704.210408494</v>
      </c>
    </row>
    <row r="101" spans="1:28">
      <c r="A101" s="128">
        <v>42826</v>
      </c>
      <c r="B101" s="127">
        <f t="shared" si="7"/>
        <v>2017</v>
      </c>
      <c r="C101" s="127">
        <f ca="1">'Monthly Data'!O101</f>
        <v>75264677.349801004</v>
      </c>
      <c r="D101" s="127">
        <f t="shared" ca="1" si="11"/>
        <v>254.29052631578941</v>
      </c>
      <c r="E101" s="127">
        <f t="shared" ca="1" si="11"/>
        <v>0.50947368421054762</v>
      </c>
      <c r="F101" s="127">
        <f>'Monthly Data'!BL101</f>
        <v>651932.30000000005</v>
      </c>
      <c r="G101" s="127">
        <f t="shared" si="13"/>
        <v>100</v>
      </c>
      <c r="H101" s="127">
        <f t="shared" si="14"/>
        <v>1</v>
      </c>
      <c r="I101" s="127">
        <f t="shared" si="14"/>
        <v>0</v>
      </c>
      <c r="J101" s="127">
        <f t="shared" si="14"/>
        <v>0</v>
      </c>
      <c r="K101" s="127">
        <f t="shared" si="14"/>
        <v>0</v>
      </c>
      <c r="L101" s="127">
        <f t="shared" si="14"/>
        <v>0</v>
      </c>
      <c r="M101" s="127">
        <f t="shared" si="15"/>
        <v>30</v>
      </c>
      <c r="N101" s="127">
        <v>18</v>
      </c>
      <c r="P101" s="127">
        <f>'GS &gt; 50 OLS Model'!$B$5</f>
        <v>-8508488.8174217809</v>
      </c>
      <c r="Q101" s="186">
        <f ca="1">'GS &gt; 50 OLS Model'!$B$6*D101</f>
        <v>6165485.8109845407</v>
      </c>
      <c r="R101" s="186">
        <f ca="1">'GS &gt; 50 OLS Model'!$B$7*E101</f>
        <v>36370.107160236068</v>
      </c>
      <c r="S101" s="186">
        <f>'GS &gt; 50 OLS Model'!$B$8*F101</f>
        <v>34137931.782857895</v>
      </c>
      <c r="T101" s="186">
        <v>0</v>
      </c>
      <c r="U101" s="186">
        <f>'GS &gt; 50 OLS Model'!$B$9*H101</f>
        <v>-1670359.8066300801</v>
      </c>
      <c r="V101" s="186">
        <f>'GS &gt; 50 OLS Model'!$B$10*I101</f>
        <v>0</v>
      </c>
      <c r="W101" s="186">
        <f>'GS &gt; 50 OLS Model'!$B$11*J101</f>
        <v>0</v>
      </c>
      <c r="X101" s="186">
        <f>'GS &gt; 50 OLS Model'!$B$12*K101</f>
        <v>0</v>
      </c>
      <c r="Y101" s="186">
        <v>0</v>
      </c>
      <c r="Z101" s="186">
        <f>'GS &gt; 50 OLS Model'!$B$13*M101</f>
        <v>33551198.840181898</v>
      </c>
      <c r="AA101" s="186">
        <f>'GS &gt; 50 OLS Model'!$B$14*N101</f>
        <v>11774784.81972078</v>
      </c>
      <c r="AB101" s="127">
        <f t="shared" ca="1" si="8"/>
        <v>75486922.73685348</v>
      </c>
    </row>
    <row r="102" spans="1:28">
      <c r="A102" s="128">
        <v>42856</v>
      </c>
      <c r="B102" s="127">
        <f t="shared" si="7"/>
        <v>2017</v>
      </c>
      <c r="C102" s="127">
        <f ca="1">'Monthly Data'!O102</f>
        <v>78986166.629801005</v>
      </c>
      <c r="D102" s="127">
        <f t="shared" ca="1" si="11"/>
        <v>102.64150375939857</v>
      </c>
      <c r="E102" s="127">
        <f t="shared" ca="1" si="11"/>
        <v>56.062781954887214</v>
      </c>
      <c r="F102" s="127">
        <f>'Monthly Data'!BL102</f>
        <v>651932.30000000005</v>
      </c>
      <c r="G102" s="127">
        <f t="shared" si="13"/>
        <v>101</v>
      </c>
      <c r="H102" s="127">
        <f t="shared" si="14"/>
        <v>0</v>
      </c>
      <c r="I102" s="127">
        <f t="shared" si="14"/>
        <v>0</v>
      </c>
      <c r="J102" s="127">
        <f t="shared" si="14"/>
        <v>0</v>
      </c>
      <c r="K102" s="127">
        <f t="shared" si="14"/>
        <v>0</v>
      </c>
      <c r="L102" s="127">
        <f t="shared" si="14"/>
        <v>0</v>
      </c>
      <c r="M102" s="127">
        <f t="shared" si="15"/>
        <v>31</v>
      </c>
      <c r="N102" s="127">
        <v>22</v>
      </c>
      <c r="P102" s="127">
        <f>'GS &gt; 50 OLS Model'!$B$5</f>
        <v>-8508488.8174217809</v>
      </c>
      <c r="Q102" s="186">
        <f ca="1">'GS &gt; 50 OLS Model'!$B$6*D102</f>
        <v>2488628.8302412247</v>
      </c>
      <c r="R102" s="186">
        <f ca="1">'GS &gt; 50 OLS Model'!$B$7*E102</f>
        <v>4002187.8471696409</v>
      </c>
      <c r="S102" s="186">
        <f>'GS &gt; 50 OLS Model'!$B$8*F102</f>
        <v>34137931.782857895</v>
      </c>
      <c r="T102" s="186">
        <v>0</v>
      </c>
      <c r="U102" s="186">
        <f>'GS &gt; 50 OLS Model'!$B$9*H102</f>
        <v>0</v>
      </c>
      <c r="V102" s="186">
        <f>'GS &gt; 50 OLS Model'!$B$10*I102</f>
        <v>0</v>
      </c>
      <c r="W102" s="186">
        <f>'GS &gt; 50 OLS Model'!$B$11*J102</f>
        <v>0</v>
      </c>
      <c r="X102" s="186">
        <f>'GS &gt; 50 OLS Model'!$B$12*K102</f>
        <v>0</v>
      </c>
      <c r="Y102" s="186">
        <v>0</v>
      </c>
      <c r="Z102" s="186">
        <f>'GS &gt; 50 OLS Model'!$B$13*M102</f>
        <v>34669572.13485463</v>
      </c>
      <c r="AA102" s="186">
        <f>'GS &gt; 50 OLS Model'!$B$14*N102</f>
        <v>14391403.668547621</v>
      </c>
      <c r="AB102" s="127">
        <f t="shared" ca="1" si="8"/>
        <v>81181235.446249232</v>
      </c>
    </row>
    <row r="103" spans="1:28">
      <c r="A103" s="128">
        <v>42887</v>
      </c>
      <c r="B103" s="127">
        <f t="shared" si="7"/>
        <v>2017</v>
      </c>
      <c r="C103" s="127">
        <f ca="1">'Monthly Data'!O103</f>
        <v>82979146.239801005</v>
      </c>
      <c r="D103" s="127">
        <f t="shared" ca="1" si="11"/>
        <v>0.39669172932326546</v>
      </c>
      <c r="E103" s="127">
        <f t="shared" ca="1" si="11"/>
        <v>116.89315789473682</v>
      </c>
      <c r="F103" s="127">
        <f>'Monthly Data'!BL103</f>
        <v>651932.30000000005</v>
      </c>
      <c r="G103" s="127">
        <f t="shared" si="13"/>
        <v>102</v>
      </c>
      <c r="H103" s="127">
        <f t="shared" si="14"/>
        <v>0</v>
      </c>
      <c r="I103" s="127">
        <f t="shared" si="14"/>
        <v>1</v>
      </c>
      <c r="J103" s="127">
        <f t="shared" si="14"/>
        <v>0</v>
      </c>
      <c r="K103" s="127">
        <f t="shared" si="14"/>
        <v>0</v>
      </c>
      <c r="L103" s="127">
        <f t="shared" si="14"/>
        <v>0</v>
      </c>
      <c r="M103" s="127">
        <f t="shared" si="15"/>
        <v>30</v>
      </c>
      <c r="N103" s="127">
        <v>22</v>
      </c>
      <c r="P103" s="127">
        <f>'GS &gt; 50 OLS Model'!$B$5</f>
        <v>-8508488.8174217809</v>
      </c>
      <c r="Q103" s="186">
        <f ca="1">'GS &gt; 50 OLS Model'!$B$6*D103</f>
        <v>9618.1216969137586</v>
      </c>
      <c r="R103" s="186">
        <f ca="1">'GS &gt; 50 OLS Model'!$B$7*E103</f>
        <v>8344722.8202134408</v>
      </c>
      <c r="S103" s="186">
        <f>'GS &gt; 50 OLS Model'!$B$8*F103</f>
        <v>34137931.782857895</v>
      </c>
      <c r="T103" s="186">
        <v>0</v>
      </c>
      <c r="U103" s="186">
        <f>'GS &gt; 50 OLS Model'!$B$9*H103</f>
        <v>0</v>
      </c>
      <c r="V103" s="186">
        <f>'GS &gt; 50 OLS Model'!$B$10*I103</f>
        <v>1244451.2383117899</v>
      </c>
      <c r="W103" s="186">
        <f>'GS &gt; 50 OLS Model'!$B$11*J103</f>
        <v>0</v>
      </c>
      <c r="X103" s="186">
        <f>'GS &gt; 50 OLS Model'!$B$12*K103</f>
        <v>0</v>
      </c>
      <c r="Y103" s="186">
        <v>0</v>
      </c>
      <c r="Z103" s="186">
        <f>'GS &gt; 50 OLS Model'!$B$13*M103</f>
        <v>33551198.840181898</v>
      </c>
      <c r="AA103" s="186">
        <f>'GS &gt; 50 OLS Model'!$B$14*N103</f>
        <v>14391403.668547621</v>
      </c>
      <c r="AB103" s="127">
        <f t="shared" ca="1" si="8"/>
        <v>83170837.654387772</v>
      </c>
    </row>
    <row r="104" spans="1:28">
      <c r="A104" s="128">
        <v>42917</v>
      </c>
      <c r="B104" s="127">
        <f t="shared" si="7"/>
        <v>2017</v>
      </c>
      <c r="C104" s="127">
        <f ca="1">'Monthly Data'!O104</f>
        <v>86438186.809800997</v>
      </c>
      <c r="D104" s="127">
        <f t="shared" ca="1" si="11"/>
        <v>0.58105263157894704</v>
      </c>
      <c r="E104" s="127">
        <f t="shared" ca="1" si="11"/>
        <v>186.96526315789481</v>
      </c>
      <c r="F104" s="127">
        <f>'Monthly Data'!BL104</f>
        <v>651932.30000000005</v>
      </c>
      <c r="G104" s="127">
        <f t="shared" si="13"/>
        <v>103</v>
      </c>
      <c r="H104" s="127">
        <f t="shared" si="14"/>
        <v>0</v>
      </c>
      <c r="I104" s="127">
        <f t="shared" si="14"/>
        <v>0</v>
      </c>
      <c r="J104" s="127">
        <f t="shared" si="14"/>
        <v>0</v>
      </c>
      <c r="K104" s="127">
        <f t="shared" si="14"/>
        <v>0</v>
      </c>
      <c r="L104" s="127">
        <f t="shared" si="14"/>
        <v>0</v>
      </c>
      <c r="M104" s="127">
        <f t="shared" si="15"/>
        <v>31</v>
      </c>
      <c r="N104" s="127">
        <v>20</v>
      </c>
      <c r="P104" s="127">
        <f>'GS &gt; 50 OLS Model'!$B$5</f>
        <v>-8508488.8174217809</v>
      </c>
      <c r="Q104" s="186">
        <f ca="1">'GS &gt; 50 OLS Model'!$B$6*D104</f>
        <v>14088.105472660634</v>
      </c>
      <c r="R104" s="186">
        <f ca="1">'GS &gt; 50 OLS Model'!$B$7*E104</f>
        <v>13347002.734461535</v>
      </c>
      <c r="S104" s="186">
        <f>'GS &gt; 50 OLS Model'!$B$8*F104</f>
        <v>34137931.782857895</v>
      </c>
      <c r="T104" s="186">
        <v>0</v>
      </c>
      <c r="U104" s="186">
        <f>'GS &gt; 50 OLS Model'!$B$9*H104</f>
        <v>0</v>
      </c>
      <c r="V104" s="186">
        <f>'GS &gt; 50 OLS Model'!$B$10*I104</f>
        <v>0</v>
      </c>
      <c r="W104" s="186">
        <f>'GS &gt; 50 OLS Model'!$B$11*J104</f>
        <v>0</v>
      </c>
      <c r="X104" s="186">
        <f>'GS &gt; 50 OLS Model'!$B$12*K104</f>
        <v>0</v>
      </c>
      <c r="Y104" s="186">
        <v>0</v>
      </c>
      <c r="Z104" s="186">
        <f>'GS &gt; 50 OLS Model'!$B$13*M104</f>
        <v>34669572.13485463</v>
      </c>
      <c r="AA104" s="186">
        <f>'GS &gt; 50 OLS Model'!$B$14*N104</f>
        <v>13083094.244134201</v>
      </c>
      <c r="AB104" s="127">
        <f t="shared" ca="1" si="8"/>
        <v>86743200.184359148</v>
      </c>
    </row>
    <row r="105" spans="1:28">
      <c r="A105" s="128">
        <v>42948</v>
      </c>
      <c r="B105" s="127">
        <f t="shared" si="7"/>
        <v>2017</v>
      </c>
      <c r="C105" s="127">
        <f ca="1">'Monthly Data'!O105</f>
        <v>86020553.329801008</v>
      </c>
      <c r="D105" s="127">
        <f t="shared" ca="1" si="11"/>
        <v>1.6660902255639058</v>
      </c>
      <c r="E105" s="127">
        <f t="shared" ca="1" si="11"/>
        <v>167.43443609022574</v>
      </c>
      <c r="F105" s="127">
        <f>'Monthly Data'!BL105</f>
        <v>651932.30000000005</v>
      </c>
      <c r="G105" s="127">
        <f t="shared" si="13"/>
        <v>104</v>
      </c>
      <c r="H105" s="127">
        <f t="shared" si="14"/>
        <v>0</v>
      </c>
      <c r="I105" s="127">
        <f t="shared" si="14"/>
        <v>0</v>
      </c>
      <c r="J105" s="127">
        <f t="shared" si="14"/>
        <v>1</v>
      </c>
      <c r="K105" s="127">
        <f t="shared" si="14"/>
        <v>0</v>
      </c>
      <c r="L105" s="127">
        <f t="shared" si="14"/>
        <v>0</v>
      </c>
      <c r="M105" s="127">
        <f t="shared" si="15"/>
        <v>31</v>
      </c>
      <c r="N105" s="127">
        <v>22</v>
      </c>
      <c r="P105" s="127">
        <f>'GS &gt; 50 OLS Model'!$B$5</f>
        <v>-8508488.8174217809</v>
      </c>
      <c r="Q105" s="186">
        <f ca="1">'GS &gt; 50 OLS Model'!$B$6*D105</f>
        <v>40395.746528039141</v>
      </c>
      <c r="R105" s="186">
        <f ca="1">'GS &gt; 50 OLS Model'!$B$7*E105</f>
        <v>11952743.72679588</v>
      </c>
      <c r="S105" s="186">
        <f>'GS &gt; 50 OLS Model'!$B$8*F105</f>
        <v>34137931.782857895</v>
      </c>
      <c r="T105" s="186">
        <v>0</v>
      </c>
      <c r="U105" s="186">
        <f>'GS &gt; 50 OLS Model'!$B$9*H105</f>
        <v>0</v>
      </c>
      <c r="V105" s="186">
        <f>'GS &gt; 50 OLS Model'!$B$10*I105</f>
        <v>0</v>
      </c>
      <c r="W105" s="186">
        <f>'GS &gt; 50 OLS Model'!$B$11*J105</f>
        <v>2505717.0713192602</v>
      </c>
      <c r="X105" s="186">
        <f>'GS &gt; 50 OLS Model'!$B$12*K105</f>
        <v>0</v>
      </c>
      <c r="Y105" s="186">
        <v>0</v>
      </c>
      <c r="Z105" s="186">
        <f>'GS &gt; 50 OLS Model'!$B$13*M105</f>
        <v>34669572.13485463</v>
      </c>
      <c r="AA105" s="186">
        <f>'GS &gt; 50 OLS Model'!$B$14*N105</f>
        <v>14391403.668547621</v>
      </c>
      <c r="AB105" s="127">
        <f t="shared" ca="1" si="8"/>
        <v>89189275.313481539</v>
      </c>
    </row>
    <row r="106" spans="1:28">
      <c r="A106" s="128">
        <v>42979</v>
      </c>
      <c r="B106" s="127">
        <f t="shared" si="7"/>
        <v>2017</v>
      </c>
      <c r="C106" s="127">
        <f ca="1">'Monthly Data'!O106</f>
        <v>80922821.089800999</v>
      </c>
      <c r="D106" s="127">
        <f t="shared" ca="1" si="11"/>
        <v>30.410827067669118</v>
      </c>
      <c r="E106" s="127">
        <f t="shared" ca="1" si="11"/>
        <v>83.003533834586506</v>
      </c>
      <c r="F106" s="127">
        <f>'Monthly Data'!BL106</f>
        <v>651932.30000000005</v>
      </c>
      <c r="G106" s="127">
        <f t="shared" si="13"/>
        <v>105</v>
      </c>
      <c r="H106" s="127">
        <f t="shared" si="14"/>
        <v>0</v>
      </c>
      <c r="I106" s="127">
        <f t="shared" si="14"/>
        <v>0</v>
      </c>
      <c r="J106" s="127">
        <f t="shared" si="14"/>
        <v>0</v>
      </c>
      <c r="K106" s="127">
        <f t="shared" si="14"/>
        <v>1</v>
      </c>
      <c r="L106" s="127">
        <f t="shared" si="14"/>
        <v>0</v>
      </c>
      <c r="M106" s="127">
        <f t="shared" si="15"/>
        <v>30</v>
      </c>
      <c r="N106" s="127">
        <v>20</v>
      </c>
      <c r="P106" s="127">
        <f>'GS &gt; 50 OLS Model'!$B$5</f>
        <v>-8508488.8174217809</v>
      </c>
      <c r="Q106" s="186">
        <f ca="1">'GS &gt; 50 OLS Model'!$B$6*D106</f>
        <v>737335.85557637212</v>
      </c>
      <c r="R106" s="186">
        <f ca="1">'GS &gt; 50 OLS Model'!$B$7*E106</f>
        <v>5925423.6554338057</v>
      </c>
      <c r="S106" s="186">
        <f>'GS &gt; 50 OLS Model'!$B$8*F106</f>
        <v>34137931.782857895</v>
      </c>
      <c r="T106" s="186">
        <v>0</v>
      </c>
      <c r="U106" s="186">
        <f>'GS &gt; 50 OLS Model'!$B$9*H106</f>
        <v>0</v>
      </c>
      <c r="V106" s="186">
        <f>'GS &gt; 50 OLS Model'!$B$10*I106</f>
        <v>0</v>
      </c>
      <c r="W106" s="186">
        <f>'GS &gt; 50 OLS Model'!$B$11*J106</f>
        <v>0</v>
      </c>
      <c r="X106" s="186">
        <f>'GS &gt; 50 OLS Model'!$B$12*K106</f>
        <v>2345350.8919449002</v>
      </c>
      <c r="Y106" s="186">
        <v>0</v>
      </c>
      <c r="Z106" s="186">
        <f>'GS &gt; 50 OLS Model'!$B$13*M106</f>
        <v>33551198.840181898</v>
      </c>
      <c r="AA106" s="186">
        <f>'GS &gt; 50 OLS Model'!$B$14*N106</f>
        <v>13083094.244134201</v>
      </c>
      <c r="AB106" s="127">
        <f t="shared" ca="1" si="8"/>
        <v>81271846.452707291</v>
      </c>
    </row>
    <row r="107" spans="1:28">
      <c r="A107" s="128">
        <v>43009</v>
      </c>
      <c r="B107" s="127">
        <f t="shared" si="7"/>
        <v>2017</v>
      </c>
      <c r="C107" s="127">
        <f ca="1">'Monthly Data'!O107</f>
        <v>79895134.919800997</v>
      </c>
      <c r="D107" s="127">
        <f t="shared" ca="1" si="11"/>
        <v>158.93676691729343</v>
      </c>
      <c r="E107" s="127">
        <f t="shared" ca="1" si="11"/>
        <v>16.916090225563948</v>
      </c>
      <c r="F107" s="127">
        <f>'Monthly Data'!BL107</f>
        <v>651932.30000000005</v>
      </c>
      <c r="G107" s="127">
        <f t="shared" si="13"/>
        <v>106</v>
      </c>
      <c r="H107" s="127">
        <f t="shared" si="14"/>
        <v>0</v>
      </c>
      <c r="I107" s="127">
        <f t="shared" si="14"/>
        <v>0</v>
      </c>
      <c r="J107" s="127">
        <f t="shared" si="14"/>
        <v>0</v>
      </c>
      <c r="K107" s="127">
        <f t="shared" si="14"/>
        <v>0</v>
      </c>
      <c r="L107" s="127">
        <f t="shared" si="14"/>
        <v>1</v>
      </c>
      <c r="M107" s="127">
        <f t="shared" si="15"/>
        <v>31</v>
      </c>
      <c r="N107" s="127">
        <v>21</v>
      </c>
      <c r="P107" s="127">
        <f>'GS &gt; 50 OLS Model'!$B$5</f>
        <v>-8508488.8174217809</v>
      </c>
      <c r="Q107" s="186">
        <f ca="1">'GS &gt; 50 OLS Model'!$B$6*D107</f>
        <v>3853554.4185213498</v>
      </c>
      <c r="R107" s="186">
        <f ca="1">'GS &gt; 50 OLS Model'!$B$7*E107</f>
        <v>1207599.2014961967</v>
      </c>
      <c r="S107" s="186">
        <f>'GS &gt; 50 OLS Model'!$B$8*F107</f>
        <v>34137931.782857895</v>
      </c>
      <c r="T107" s="186">
        <v>0</v>
      </c>
      <c r="U107" s="186">
        <f>'GS &gt; 50 OLS Model'!$B$9*H107</f>
        <v>0</v>
      </c>
      <c r="V107" s="186">
        <f>'GS &gt; 50 OLS Model'!$B$10*I107</f>
        <v>0</v>
      </c>
      <c r="W107" s="186">
        <f>'GS &gt; 50 OLS Model'!$B$11*J107</f>
        <v>0</v>
      </c>
      <c r="X107" s="186">
        <f>'GS &gt; 50 OLS Model'!$B$12*K107</f>
        <v>0</v>
      </c>
      <c r="Y107" s="186">
        <v>0</v>
      </c>
      <c r="Z107" s="186">
        <f>'GS &gt; 50 OLS Model'!$B$13*M107</f>
        <v>34669572.13485463</v>
      </c>
      <c r="AA107" s="186">
        <f>'GS &gt; 50 OLS Model'!$B$14*N107</f>
        <v>13737248.956340911</v>
      </c>
      <c r="AB107" s="127">
        <f t="shared" ca="1" si="8"/>
        <v>79097417.676649198</v>
      </c>
    </row>
    <row r="108" spans="1:28">
      <c r="A108" s="128">
        <v>43040</v>
      </c>
      <c r="B108" s="127">
        <f t="shared" si="7"/>
        <v>2017</v>
      </c>
      <c r="C108" s="127">
        <f ca="1">'Monthly Data'!O108</f>
        <v>81623489.689801008</v>
      </c>
      <c r="D108" s="127">
        <f t="shared" ca="1" si="11"/>
        <v>375.92533834586447</v>
      </c>
      <c r="E108" s="127">
        <f t="shared" ca="1" si="11"/>
        <v>8.120300751879661E-2</v>
      </c>
      <c r="F108" s="127">
        <f>'Monthly Data'!BL108</f>
        <v>651932.30000000005</v>
      </c>
      <c r="G108" s="127">
        <f t="shared" si="13"/>
        <v>107</v>
      </c>
      <c r="H108" s="127">
        <f t="shared" si="14"/>
        <v>0</v>
      </c>
      <c r="I108" s="127">
        <f t="shared" si="14"/>
        <v>0</v>
      </c>
      <c r="J108" s="127">
        <f t="shared" si="14"/>
        <v>0</v>
      </c>
      <c r="K108" s="127">
        <f t="shared" si="14"/>
        <v>0</v>
      </c>
      <c r="L108" s="127">
        <f t="shared" si="14"/>
        <v>0</v>
      </c>
      <c r="M108" s="127">
        <f t="shared" si="15"/>
        <v>30</v>
      </c>
      <c r="N108" s="127">
        <v>22</v>
      </c>
      <c r="P108" s="186">
        <f>'GS &gt; 50 OLS Model'!$B$5</f>
        <v>-8508488.8174217809</v>
      </c>
      <c r="Q108" s="186">
        <f ca="1">'GS &gt; 50 OLS Model'!$B$6*D108</f>
        <v>9114623.234853385</v>
      </c>
      <c r="R108" s="186">
        <f ca="1">'GS &gt; 50 OLS Model'!$B$7*E108</f>
        <v>5796.8883903561291</v>
      </c>
      <c r="S108" s="186">
        <f>'GS &gt; 50 OLS Model'!$B$8*F108</f>
        <v>34137931.782857895</v>
      </c>
      <c r="T108" s="186">
        <v>0</v>
      </c>
      <c r="U108" s="186">
        <f>'GS &gt; 50 OLS Model'!$B$9*H108</f>
        <v>0</v>
      </c>
      <c r="V108" s="186">
        <f>'GS &gt; 50 OLS Model'!$B$10*I108</f>
        <v>0</v>
      </c>
      <c r="W108" s="186">
        <f>'GS &gt; 50 OLS Model'!$B$11*J108</f>
        <v>0</v>
      </c>
      <c r="X108" s="186">
        <f>'GS &gt; 50 OLS Model'!$B$12*K108</f>
        <v>0</v>
      </c>
      <c r="Y108" s="186">
        <v>0</v>
      </c>
      <c r="Z108" s="186">
        <f>'GS &gt; 50 OLS Model'!$B$13*M108</f>
        <v>33551198.840181898</v>
      </c>
      <c r="AA108" s="186">
        <f>'GS &gt; 50 OLS Model'!$B$14*N108</f>
        <v>14391403.668547621</v>
      </c>
      <c r="AB108" s="186">
        <f t="shared" ref="AB108:AB121" ca="1" si="16">SUM(P108:AA108)</f>
        <v>82692465.597409368</v>
      </c>
    </row>
    <row r="109" spans="1:28">
      <c r="A109" s="128">
        <v>43070</v>
      </c>
      <c r="B109" s="127">
        <f t="shared" si="7"/>
        <v>2017</v>
      </c>
      <c r="C109" s="127">
        <f ca="1">'Monthly Data'!O109</f>
        <v>86732874.189801008</v>
      </c>
      <c r="D109" s="127">
        <f t="shared" ca="1" si="11"/>
        <v>548.76120300751859</v>
      </c>
      <c r="E109" s="127">
        <f t="shared" ca="1" si="11"/>
        <v>0</v>
      </c>
      <c r="F109" s="127">
        <f>'Monthly Data'!BL109</f>
        <v>651932.30000000005</v>
      </c>
      <c r="G109" s="127">
        <f t="shared" si="13"/>
        <v>108</v>
      </c>
      <c r="H109" s="127">
        <f t="shared" si="14"/>
        <v>0</v>
      </c>
      <c r="I109" s="127">
        <f t="shared" si="14"/>
        <v>0</v>
      </c>
      <c r="J109" s="127">
        <f t="shared" si="14"/>
        <v>0</v>
      </c>
      <c r="K109" s="127">
        <f t="shared" si="14"/>
        <v>0</v>
      </c>
      <c r="L109" s="127">
        <f t="shared" si="14"/>
        <v>0</v>
      </c>
      <c r="M109" s="127">
        <f t="shared" si="15"/>
        <v>31</v>
      </c>
      <c r="N109" s="127">
        <v>19</v>
      </c>
      <c r="P109" s="186">
        <f>'GS &gt; 50 OLS Model'!$B$5</f>
        <v>-8508488.8174217809</v>
      </c>
      <c r="Q109" s="186">
        <f ca="1">'GS &gt; 50 OLS Model'!$B$6*D109</f>
        <v>13305172.865779633</v>
      </c>
      <c r="R109" s="186">
        <f ca="1">'GS &gt; 50 OLS Model'!$B$7*E109</f>
        <v>0</v>
      </c>
      <c r="S109" s="186">
        <f>'GS &gt; 50 OLS Model'!$B$8*F109</f>
        <v>34137931.782857895</v>
      </c>
      <c r="T109" s="186">
        <v>0</v>
      </c>
      <c r="U109" s="186">
        <f>'GS &gt; 50 OLS Model'!$B$9*H109</f>
        <v>0</v>
      </c>
      <c r="V109" s="186">
        <f>'GS &gt; 50 OLS Model'!$B$10*I109</f>
        <v>0</v>
      </c>
      <c r="W109" s="186">
        <f>'GS &gt; 50 OLS Model'!$B$11*J109</f>
        <v>0</v>
      </c>
      <c r="X109" s="186">
        <f>'GS &gt; 50 OLS Model'!$B$12*K109</f>
        <v>0</v>
      </c>
      <c r="Y109" s="186">
        <v>0</v>
      </c>
      <c r="Z109" s="186">
        <f>'GS &gt; 50 OLS Model'!$B$13*M109</f>
        <v>34669572.13485463</v>
      </c>
      <c r="AA109" s="186">
        <f>'GS &gt; 50 OLS Model'!$B$14*N109</f>
        <v>12428939.531927491</v>
      </c>
      <c r="AB109" s="186">
        <f t="shared" ca="1" si="16"/>
        <v>86033127.49799788</v>
      </c>
    </row>
    <row r="110" spans="1:28">
      <c r="A110" s="128">
        <v>43101</v>
      </c>
      <c r="B110" s="186">
        <f t="shared" ref="B110:B121" si="17">YEAR(A110)</f>
        <v>2018</v>
      </c>
      <c r="C110" s="186">
        <f ca="1">'Monthly Data'!O110</f>
        <v>93400783.231379122</v>
      </c>
      <c r="D110" s="186">
        <f t="shared" ref="D110:E110" ca="1" si="18">D98</f>
        <v>665.14879699248104</v>
      </c>
      <c r="E110" s="186">
        <f t="shared" ca="1" si="18"/>
        <v>0</v>
      </c>
      <c r="F110" s="186">
        <f>'Monthly Data'!BL110</f>
        <v>665994.78021817585</v>
      </c>
      <c r="G110" s="186">
        <f t="shared" si="13"/>
        <v>109</v>
      </c>
      <c r="H110" s="186">
        <f t="shared" ref="H110:L110" si="19">H98</f>
        <v>0</v>
      </c>
      <c r="I110" s="186">
        <f t="shared" si="19"/>
        <v>0</v>
      </c>
      <c r="J110" s="186">
        <f t="shared" si="19"/>
        <v>0</v>
      </c>
      <c r="K110" s="186">
        <f t="shared" si="19"/>
        <v>0</v>
      </c>
      <c r="L110" s="186">
        <f t="shared" si="19"/>
        <v>0</v>
      </c>
      <c r="M110" s="186">
        <f t="shared" si="15"/>
        <v>31</v>
      </c>
      <c r="N110" s="127">
        <v>22</v>
      </c>
      <c r="P110" s="186">
        <f>'GS &gt; 50 OLS Model'!$B$5</f>
        <v>-8508488.8174217809</v>
      </c>
      <c r="Q110" s="186">
        <f ca="1">'GS &gt; 50 OLS Model'!$B$6*D110</f>
        <v>16127087.113571094</v>
      </c>
      <c r="R110" s="186">
        <f ca="1">'GS &gt; 50 OLS Model'!$B$7*E110</f>
        <v>0</v>
      </c>
      <c r="S110" s="186">
        <f>'GS &gt; 50 OLS Model'!$B$8*F110</f>
        <v>34874302.707240492</v>
      </c>
      <c r="T110" s="186">
        <v>0</v>
      </c>
      <c r="U110" s="186">
        <f>'GS &gt; 50 OLS Model'!$B$9*H110</f>
        <v>0</v>
      </c>
      <c r="V110" s="186">
        <f>'GS &gt; 50 OLS Model'!$B$10*I110</f>
        <v>0</v>
      </c>
      <c r="W110" s="186">
        <f>'GS &gt; 50 OLS Model'!$B$11*J110</f>
        <v>0</v>
      </c>
      <c r="X110" s="186">
        <f>'GS &gt; 50 OLS Model'!$B$12*K110</f>
        <v>0</v>
      </c>
      <c r="Y110" s="186">
        <v>0</v>
      </c>
      <c r="Z110" s="186">
        <f>'GS &gt; 50 OLS Model'!$B$13*M110</f>
        <v>34669572.13485463</v>
      </c>
      <c r="AA110" s="186">
        <f>'GS &gt; 50 OLS Model'!$B$14*N110</f>
        <v>14391403.668547621</v>
      </c>
      <c r="AB110" s="186">
        <f t="shared" ca="1" si="16"/>
        <v>91553876.806792051</v>
      </c>
    </row>
    <row r="111" spans="1:28">
      <c r="A111" s="128">
        <v>43132</v>
      </c>
      <c r="B111" s="186">
        <f t="shared" si="17"/>
        <v>2018</v>
      </c>
      <c r="C111" s="186">
        <f ca="1">'Monthly Data'!O111</f>
        <v>82408782.703978285</v>
      </c>
      <c r="D111" s="186">
        <f t="shared" ref="D111:E111" ca="1" si="20">D99</f>
        <v>611.17548872180487</v>
      </c>
      <c r="E111" s="186">
        <f t="shared" ca="1" si="20"/>
        <v>0</v>
      </c>
      <c r="F111" s="186">
        <f>'Monthly Data'!BL111</f>
        <v>665994.78021817585</v>
      </c>
      <c r="G111" s="186">
        <f t="shared" si="13"/>
        <v>110</v>
      </c>
      <c r="H111" s="186">
        <f t="shared" ref="H111:L111" si="21">H99</f>
        <v>0</v>
      </c>
      <c r="I111" s="186">
        <f t="shared" si="21"/>
        <v>0</v>
      </c>
      <c r="J111" s="186">
        <f t="shared" si="21"/>
        <v>0</v>
      </c>
      <c r="K111" s="186">
        <f t="shared" si="21"/>
        <v>0</v>
      </c>
      <c r="L111" s="186">
        <f t="shared" si="21"/>
        <v>0</v>
      </c>
      <c r="M111" s="186">
        <f t="shared" si="15"/>
        <v>28</v>
      </c>
      <c r="N111" s="127">
        <v>19</v>
      </c>
      <c r="P111" s="186">
        <f>'GS &gt; 50 OLS Model'!$B$5</f>
        <v>-8508488.8174217809</v>
      </c>
      <c r="Q111" s="186">
        <f ca="1">'GS &gt; 50 OLS Model'!$B$6*D111</f>
        <v>14818459.257331191</v>
      </c>
      <c r="R111" s="186">
        <f ca="1">'GS &gt; 50 OLS Model'!$B$7*E111</f>
        <v>0</v>
      </c>
      <c r="S111" s="186">
        <f>'GS &gt; 50 OLS Model'!$B$8*F111</f>
        <v>34874302.707240492</v>
      </c>
      <c r="T111" s="186">
        <v>0</v>
      </c>
      <c r="U111" s="186">
        <f>'GS &gt; 50 OLS Model'!$B$9*H111</f>
        <v>0</v>
      </c>
      <c r="V111" s="186">
        <f>'GS &gt; 50 OLS Model'!$B$10*I111</f>
        <v>0</v>
      </c>
      <c r="W111" s="186">
        <f>'GS &gt; 50 OLS Model'!$B$11*J111</f>
        <v>0</v>
      </c>
      <c r="X111" s="186">
        <f>'GS &gt; 50 OLS Model'!$B$12*K111</f>
        <v>0</v>
      </c>
      <c r="Y111" s="186">
        <v>0</v>
      </c>
      <c r="Z111" s="186">
        <f>'GS &gt; 50 OLS Model'!$B$13*M111</f>
        <v>31314452.250836439</v>
      </c>
      <c r="AA111" s="186">
        <f>'GS &gt; 50 OLS Model'!$B$14*N111</f>
        <v>12428939.531927491</v>
      </c>
      <c r="AB111" s="186">
        <f t="shared" ca="1" si="16"/>
        <v>84927664.929913849</v>
      </c>
    </row>
    <row r="112" spans="1:28">
      <c r="A112" s="128">
        <v>43160</v>
      </c>
      <c r="B112" s="186">
        <f t="shared" si="17"/>
        <v>2018</v>
      </c>
      <c r="C112" s="186">
        <f ca="1">'Monthly Data'!O112</f>
        <v>87484965.565347284</v>
      </c>
      <c r="D112" s="186">
        <f t="shared" ref="D112:E112" ca="1" si="22">D100</f>
        <v>458.46436090225569</v>
      </c>
      <c r="E112" s="186">
        <f t="shared" ca="1" si="22"/>
        <v>0.45218045112781802</v>
      </c>
      <c r="F112" s="186">
        <f>'Monthly Data'!BL112</f>
        <v>665994.78021817585</v>
      </c>
      <c r="G112" s="186">
        <f t="shared" si="13"/>
        <v>111</v>
      </c>
      <c r="H112" s="186">
        <f t="shared" ref="H112:L112" si="23">H100</f>
        <v>0</v>
      </c>
      <c r="I112" s="186">
        <f t="shared" si="23"/>
        <v>0</v>
      </c>
      <c r="J112" s="186">
        <f t="shared" si="23"/>
        <v>0</v>
      </c>
      <c r="K112" s="186">
        <f t="shared" si="23"/>
        <v>0</v>
      </c>
      <c r="L112" s="186">
        <f t="shared" si="23"/>
        <v>0</v>
      </c>
      <c r="M112" s="186">
        <f t="shared" si="15"/>
        <v>31</v>
      </c>
      <c r="N112" s="127">
        <v>21</v>
      </c>
      <c r="P112" s="186">
        <f>'GS &gt; 50 OLS Model'!$B$5</f>
        <v>-8508488.8174217809</v>
      </c>
      <c r="Q112" s="186">
        <f ca="1">'GS &gt; 50 OLS Model'!$B$6*D112</f>
        <v>11115850.64901193</v>
      </c>
      <c r="R112" s="186">
        <f ca="1">'GS &gt; 50 OLS Model'!$B$7*E112</f>
        <v>32280.080351483153</v>
      </c>
      <c r="S112" s="186">
        <f>'GS &gt; 50 OLS Model'!$B$8*F112</f>
        <v>34874302.707240492</v>
      </c>
      <c r="T112" s="186">
        <v>0</v>
      </c>
      <c r="U112" s="186">
        <f>'GS &gt; 50 OLS Model'!$B$9*H112</f>
        <v>0</v>
      </c>
      <c r="V112" s="186">
        <f>'GS &gt; 50 OLS Model'!$B$10*I112</f>
        <v>0</v>
      </c>
      <c r="W112" s="186">
        <f>'GS &gt; 50 OLS Model'!$B$11*J112</f>
        <v>0</v>
      </c>
      <c r="X112" s="186">
        <f>'GS &gt; 50 OLS Model'!$B$12*K112</f>
        <v>0</v>
      </c>
      <c r="Y112" s="186">
        <v>0</v>
      </c>
      <c r="Z112" s="186">
        <f>'GS &gt; 50 OLS Model'!$B$13*M112</f>
        <v>34669572.13485463</v>
      </c>
      <c r="AA112" s="186">
        <f>'GS &gt; 50 OLS Model'!$B$14*N112</f>
        <v>13737248.956340911</v>
      </c>
      <c r="AB112" s="186">
        <f t="shared" ca="1" si="16"/>
        <v>85920765.710377663</v>
      </c>
    </row>
    <row r="113" spans="1:28">
      <c r="A113" s="128">
        <v>43191</v>
      </c>
      <c r="B113" s="186">
        <f t="shared" si="17"/>
        <v>2018</v>
      </c>
      <c r="C113" s="186">
        <f ca="1">'Monthly Data'!O113</f>
        <v>80547273.998100206</v>
      </c>
      <c r="D113" s="186">
        <f t="shared" ref="D113:E113" ca="1" si="24">D101</f>
        <v>254.29052631578941</v>
      </c>
      <c r="E113" s="186">
        <f t="shared" ca="1" si="24"/>
        <v>0.50947368421054762</v>
      </c>
      <c r="F113" s="186">
        <f>'Monthly Data'!BL113</f>
        <v>665994.78021817585</v>
      </c>
      <c r="G113" s="186">
        <f t="shared" si="13"/>
        <v>112</v>
      </c>
      <c r="H113" s="186">
        <f t="shared" ref="H113:L113" si="25">H101</f>
        <v>1</v>
      </c>
      <c r="I113" s="186">
        <f t="shared" si="25"/>
        <v>0</v>
      </c>
      <c r="J113" s="186">
        <f t="shared" si="25"/>
        <v>0</v>
      </c>
      <c r="K113" s="186">
        <f t="shared" si="25"/>
        <v>0</v>
      </c>
      <c r="L113" s="186">
        <f t="shared" si="25"/>
        <v>0</v>
      </c>
      <c r="M113" s="186">
        <f t="shared" si="15"/>
        <v>30</v>
      </c>
      <c r="N113" s="127">
        <v>20</v>
      </c>
      <c r="P113" s="186">
        <f>'GS &gt; 50 OLS Model'!$B$5</f>
        <v>-8508488.8174217809</v>
      </c>
      <c r="Q113" s="186">
        <f ca="1">'GS &gt; 50 OLS Model'!$B$6*D113</f>
        <v>6165485.8109845407</v>
      </c>
      <c r="R113" s="186">
        <f ca="1">'GS &gt; 50 OLS Model'!$B$7*E113</f>
        <v>36370.107160236068</v>
      </c>
      <c r="S113" s="186">
        <f>'GS &gt; 50 OLS Model'!$B$8*F113</f>
        <v>34874302.707240492</v>
      </c>
      <c r="T113" s="186">
        <v>0</v>
      </c>
      <c r="U113" s="186">
        <f>'GS &gt; 50 OLS Model'!$B$9*H113</f>
        <v>-1670359.8066300801</v>
      </c>
      <c r="V113" s="186">
        <f>'GS &gt; 50 OLS Model'!$B$10*I113</f>
        <v>0</v>
      </c>
      <c r="W113" s="186">
        <f>'GS &gt; 50 OLS Model'!$B$11*J113</f>
        <v>0</v>
      </c>
      <c r="X113" s="186">
        <f>'GS &gt; 50 OLS Model'!$B$12*K113</f>
        <v>0</v>
      </c>
      <c r="Y113" s="186">
        <v>0</v>
      </c>
      <c r="Z113" s="186">
        <f>'GS &gt; 50 OLS Model'!$B$13*M113</f>
        <v>33551198.840181898</v>
      </c>
      <c r="AA113" s="186">
        <f>'GS &gt; 50 OLS Model'!$B$14*N113</f>
        <v>13083094.244134201</v>
      </c>
      <c r="AB113" s="186">
        <f t="shared" ca="1" si="16"/>
        <v>77531603.085649505</v>
      </c>
    </row>
    <row r="114" spans="1:28">
      <c r="A114" s="128">
        <v>43221</v>
      </c>
      <c r="B114" s="186">
        <f t="shared" si="17"/>
        <v>2018</v>
      </c>
      <c r="C114" s="186">
        <f ca="1">'Monthly Data'!O114</f>
        <v>81380421.939878672</v>
      </c>
      <c r="D114" s="186">
        <f t="shared" ref="D114:E114" ca="1" si="26">D102</f>
        <v>102.64150375939857</v>
      </c>
      <c r="E114" s="186">
        <f t="shared" ca="1" si="26"/>
        <v>56.062781954887214</v>
      </c>
      <c r="F114" s="186">
        <f>'Monthly Data'!BL114</f>
        <v>665994.78021817585</v>
      </c>
      <c r="G114" s="186">
        <f t="shared" si="13"/>
        <v>113</v>
      </c>
      <c r="H114" s="186">
        <f t="shared" ref="H114:L114" si="27">H102</f>
        <v>0</v>
      </c>
      <c r="I114" s="186">
        <f t="shared" si="27"/>
        <v>0</v>
      </c>
      <c r="J114" s="186">
        <f t="shared" si="27"/>
        <v>0</v>
      </c>
      <c r="K114" s="186">
        <f t="shared" si="27"/>
        <v>0</v>
      </c>
      <c r="L114" s="186">
        <f t="shared" si="27"/>
        <v>0</v>
      </c>
      <c r="M114" s="186">
        <f t="shared" si="15"/>
        <v>31</v>
      </c>
      <c r="N114" s="127">
        <v>22</v>
      </c>
      <c r="P114" s="186">
        <f>'GS &gt; 50 OLS Model'!$B$5</f>
        <v>-8508488.8174217809</v>
      </c>
      <c r="Q114" s="186">
        <f ca="1">'GS &gt; 50 OLS Model'!$B$6*D114</f>
        <v>2488628.8302412247</v>
      </c>
      <c r="R114" s="186">
        <f ca="1">'GS &gt; 50 OLS Model'!$B$7*E114</f>
        <v>4002187.8471696409</v>
      </c>
      <c r="S114" s="186">
        <f>'GS &gt; 50 OLS Model'!$B$8*F114</f>
        <v>34874302.707240492</v>
      </c>
      <c r="T114" s="186">
        <v>0</v>
      </c>
      <c r="U114" s="186">
        <f>'GS &gt; 50 OLS Model'!$B$9*H114</f>
        <v>0</v>
      </c>
      <c r="V114" s="186">
        <f>'GS &gt; 50 OLS Model'!$B$10*I114</f>
        <v>0</v>
      </c>
      <c r="W114" s="186">
        <f>'GS &gt; 50 OLS Model'!$B$11*J114</f>
        <v>0</v>
      </c>
      <c r="X114" s="186">
        <f>'GS &gt; 50 OLS Model'!$B$12*K114</f>
        <v>0</v>
      </c>
      <c r="Y114" s="186">
        <v>0</v>
      </c>
      <c r="Z114" s="186">
        <f>'GS &gt; 50 OLS Model'!$B$13*M114</f>
        <v>34669572.13485463</v>
      </c>
      <c r="AA114" s="186">
        <f>'GS &gt; 50 OLS Model'!$B$14*N114</f>
        <v>14391403.668547621</v>
      </c>
      <c r="AB114" s="186">
        <f t="shared" ca="1" si="16"/>
        <v>81917606.370631829</v>
      </c>
    </row>
    <row r="115" spans="1:28">
      <c r="A115" s="128">
        <v>43252</v>
      </c>
      <c r="B115" s="186">
        <f t="shared" si="17"/>
        <v>2018</v>
      </c>
      <c r="C115" s="186">
        <f ca="1">'Monthly Data'!O115</f>
        <v>84189429.225478336</v>
      </c>
      <c r="D115" s="186">
        <f t="shared" ref="D115:E115" ca="1" si="28">D103</f>
        <v>0.39669172932326546</v>
      </c>
      <c r="E115" s="186">
        <f t="shared" ca="1" si="28"/>
        <v>116.89315789473682</v>
      </c>
      <c r="F115" s="186">
        <f>'Monthly Data'!BL115</f>
        <v>665994.78021817585</v>
      </c>
      <c r="G115" s="186">
        <f t="shared" si="13"/>
        <v>114</v>
      </c>
      <c r="H115" s="186">
        <f t="shared" ref="H115:L115" si="29">H103</f>
        <v>0</v>
      </c>
      <c r="I115" s="186">
        <f t="shared" si="29"/>
        <v>1</v>
      </c>
      <c r="J115" s="186">
        <f t="shared" si="29"/>
        <v>0</v>
      </c>
      <c r="K115" s="186">
        <f t="shared" si="29"/>
        <v>0</v>
      </c>
      <c r="L115" s="186">
        <f t="shared" si="29"/>
        <v>0</v>
      </c>
      <c r="M115" s="186">
        <f t="shared" si="15"/>
        <v>30</v>
      </c>
      <c r="N115" s="127">
        <v>21</v>
      </c>
      <c r="P115" s="186">
        <f>'GS &gt; 50 OLS Model'!$B$5</f>
        <v>-8508488.8174217809</v>
      </c>
      <c r="Q115" s="186">
        <f ca="1">'GS &gt; 50 OLS Model'!$B$6*D115</f>
        <v>9618.1216969137586</v>
      </c>
      <c r="R115" s="186">
        <f ca="1">'GS &gt; 50 OLS Model'!$B$7*E115</f>
        <v>8344722.8202134408</v>
      </c>
      <c r="S115" s="186">
        <f>'GS &gt; 50 OLS Model'!$B$8*F115</f>
        <v>34874302.707240492</v>
      </c>
      <c r="T115" s="186">
        <v>0</v>
      </c>
      <c r="U115" s="186">
        <f>'GS &gt; 50 OLS Model'!$B$9*H115</f>
        <v>0</v>
      </c>
      <c r="V115" s="186">
        <f>'GS &gt; 50 OLS Model'!$B$10*I115</f>
        <v>1244451.2383117899</v>
      </c>
      <c r="W115" s="186">
        <f>'GS &gt; 50 OLS Model'!$B$11*J115</f>
        <v>0</v>
      </c>
      <c r="X115" s="186">
        <f>'GS &gt; 50 OLS Model'!$B$12*K115</f>
        <v>0</v>
      </c>
      <c r="Y115" s="186">
        <v>0</v>
      </c>
      <c r="Z115" s="186">
        <f>'GS &gt; 50 OLS Model'!$B$13*M115</f>
        <v>33551198.840181898</v>
      </c>
      <c r="AA115" s="186">
        <f>'GS &gt; 50 OLS Model'!$B$14*N115</f>
        <v>13737248.956340911</v>
      </c>
      <c r="AB115" s="186">
        <f t="shared" ca="1" si="16"/>
        <v>83253053.866563663</v>
      </c>
    </row>
    <row r="116" spans="1:28">
      <c r="A116" s="128">
        <v>43282</v>
      </c>
      <c r="B116" s="186">
        <f t="shared" si="17"/>
        <v>2018</v>
      </c>
      <c r="C116" s="186">
        <f ca="1">'Monthly Data'!O116</f>
        <v>88386784.550160423</v>
      </c>
      <c r="D116" s="186">
        <f t="shared" ref="D116:E116" ca="1" si="30">D104</f>
        <v>0.58105263157894704</v>
      </c>
      <c r="E116" s="186">
        <f t="shared" ca="1" si="30"/>
        <v>186.96526315789481</v>
      </c>
      <c r="F116" s="186">
        <f>'Monthly Data'!BL116</f>
        <v>665994.78021817585</v>
      </c>
      <c r="G116" s="186">
        <f t="shared" si="13"/>
        <v>115</v>
      </c>
      <c r="H116" s="186">
        <f t="shared" ref="H116:L116" si="31">H104</f>
        <v>0</v>
      </c>
      <c r="I116" s="186">
        <f t="shared" si="31"/>
        <v>0</v>
      </c>
      <c r="J116" s="186">
        <f t="shared" si="31"/>
        <v>0</v>
      </c>
      <c r="K116" s="186">
        <f t="shared" si="31"/>
        <v>0</v>
      </c>
      <c r="L116" s="186">
        <f t="shared" si="31"/>
        <v>0</v>
      </c>
      <c r="M116" s="186">
        <f t="shared" si="15"/>
        <v>31</v>
      </c>
      <c r="N116" s="127">
        <v>21</v>
      </c>
      <c r="P116" s="186">
        <f>'GS &gt; 50 OLS Model'!$B$5</f>
        <v>-8508488.8174217809</v>
      </c>
      <c r="Q116" s="186">
        <f ca="1">'GS &gt; 50 OLS Model'!$B$6*D116</f>
        <v>14088.105472660634</v>
      </c>
      <c r="R116" s="186">
        <f ca="1">'GS &gt; 50 OLS Model'!$B$7*E116</f>
        <v>13347002.734461535</v>
      </c>
      <c r="S116" s="186">
        <f>'GS &gt; 50 OLS Model'!$B$8*F116</f>
        <v>34874302.707240492</v>
      </c>
      <c r="T116" s="186">
        <v>0</v>
      </c>
      <c r="U116" s="186">
        <f>'GS &gt; 50 OLS Model'!$B$9*H116</f>
        <v>0</v>
      </c>
      <c r="V116" s="186">
        <f>'GS &gt; 50 OLS Model'!$B$10*I116</f>
        <v>0</v>
      </c>
      <c r="W116" s="186">
        <f>'GS &gt; 50 OLS Model'!$B$11*J116</f>
        <v>0</v>
      </c>
      <c r="X116" s="186">
        <f>'GS &gt; 50 OLS Model'!$B$12*K116</f>
        <v>0</v>
      </c>
      <c r="Y116" s="186">
        <v>0</v>
      </c>
      <c r="Z116" s="186">
        <f>'GS &gt; 50 OLS Model'!$B$13*M116</f>
        <v>34669572.13485463</v>
      </c>
      <c r="AA116" s="186">
        <f>'GS &gt; 50 OLS Model'!$B$14*N116</f>
        <v>13737248.956340911</v>
      </c>
      <c r="AB116" s="186">
        <f t="shared" ca="1" si="16"/>
        <v>88133725.820948452</v>
      </c>
    </row>
    <row r="117" spans="1:28">
      <c r="A117" s="128">
        <v>43313</v>
      </c>
      <c r="B117" s="186">
        <f t="shared" si="17"/>
        <v>2018</v>
      </c>
      <c r="C117" s="186">
        <f ca="1">'Monthly Data'!O117</f>
        <v>89941585.72763437</v>
      </c>
      <c r="D117" s="186">
        <f t="shared" ref="D117:E117" ca="1" si="32">D105</f>
        <v>1.6660902255639058</v>
      </c>
      <c r="E117" s="186">
        <f t="shared" ca="1" si="32"/>
        <v>167.43443609022574</v>
      </c>
      <c r="F117" s="186">
        <f>'Monthly Data'!BL117</f>
        <v>665994.78021817585</v>
      </c>
      <c r="G117" s="186">
        <f t="shared" si="13"/>
        <v>116</v>
      </c>
      <c r="H117" s="186">
        <f t="shared" ref="H117:L117" si="33">H105</f>
        <v>0</v>
      </c>
      <c r="I117" s="186">
        <f t="shared" si="33"/>
        <v>0</v>
      </c>
      <c r="J117" s="186">
        <f t="shared" si="33"/>
        <v>1</v>
      </c>
      <c r="K117" s="186">
        <f t="shared" si="33"/>
        <v>0</v>
      </c>
      <c r="L117" s="186">
        <f t="shared" si="33"/>
        <v>0</v>
      </c>
      <c r="M117" s="186">
        <f t="shared" si="15"/>
        <v>31</v>
      </c>
      <c r="N117" s="127">
        <v>22</v>
      </c>
      <c r="P117" s="186">
        <f>'GS &gt; 50 OLS Model'!$B$5</f>
        <v>-8508488.8174217809</v>
      </c>
      <c r="Q117" s="186">
        <f ca="1">'GS &gt; 50 OLS Model'!$B$6*D117</f>
        <v>40395.746528039141</v>
      </c>
      <c r="R117" s="186">
        <f ca="1">'GS &gt; 50 OLS Model'!$B$7*E117</f>
        <v>11952743.72679588</v>
      </c>
      <c r="S117" s="186">
        <f>'GS &gt; 50 OLS Model'!$B$8*F117</f>
        <v>34874302.707240492</v>
      </c>
      <c r="T117" s="186">
        <v>0</v>
      </c>
      <c r="U117" s="186">
        <f>'GS &gt; 50 OLS Model'!$B$9*H117</f>
        <v>0</v>
      </c>
      <c r="V117" s="186">
        <f>'GS &gt; 50 OLS Model'!$B$10*I117</f>
        <v>0</v>
      </c>
      <c r="W117" s="186">
        <f>'GS &gt; 50 OLS Model'!$B$11*J117</f>
        <v>2505717.0713192602</v>
      </c>
      <c r="X117" s="186">
        <f>'GS &gt; 50 OLS Model'!$B$12*K117</f>
        <v>0</v>
      </c>
      <c r="Y117" s="186">
        <v>0</v>
      </c>
      <c r="Z117" s="186">
        <f>'GS &gt; 50 OLS Model'!$B$13*M117</f>
        <v>34669572.13485463</v>
      </c>
      <c r="AA117" s="186">
        <f>'GS &gt; 50 OLS Model'!$B$14*N117</f>
        <v>14391403.668547621</v>
      </c>
      <c r="AB117" s="186">
        <f t="shared" ca="1" si="16"/>
        <v>89925646.237864137</v>
      </c>
    </row>
    <row r="118" spans="1:28">
      <c r="A118" s="128">
        <v>43344</v>
      </c>
      <c r="B118" s="186">
        <f t="shared" si="17"/>
        <v>2018</v>
      </c>
      <c r="C118" s="186">
        <f ca="1">'Monthly Data'!O118</f>
        <v>81054253.659961343</v>
      </c>
      <c r="D118" s="186">
        <f t="shared" ref="D118:E118" ca="1" si="34">D106</f>
        <v>30.410827067669118</v>
      </c>
      <c r="E118" s="186">
        <f t="shared" ca="1" si="34"/>
        <v>83.003533834586506</v>
      </c>
      <c r="F118" s="186">
        <f>'Monthly Data'!BL118</f>
        <v>665994.78021817585</v>
      </c>
      <c r="G118" s="186">
        <f t="shared" si="13"/>
        <v>117</v>
      </c>
      <c r="H118" s="186">
        <f t="shared" ref="H118:L118" si="35">H106</f>
        <v>0</v>
      </c>
      <c r="I118" s="186">
        <f t="shared" si="35"/>
        <v>0</v>
      </c>
      <c r="J118" s="186">
        <f t="shared" si="35"/>
        <v>0</v>
      </c>
      <c r="K118" s="186">
        <f t="shared" si="35"/>
        <v>1</v>
      </c>
      <c r="L118" s="186">
        <f t="shared" si="35"/>
        <v>0</v>
      </c>
      <c r="M118" s="186">
        <f t="shared" si="15"/>
        <v>30</v>
      </c>
      <c r="N118" s="127">
        <v>19</v>
      </c>
      <c r="P118" s="186">
        <f>'GS &gt; 50 OLS Model'!$B$5</f>
        <v>-8508488.8174217809</v>
      </c>
      <c r="Q118" s="186">
        <f ca="1">'GS &gt; 50 OLS Model'!$B$6*D118</f>
        <v>737335.85557637212</v>
      </c>
      <c r="R118" s="186">
        <f ca="1">'GS &gt; 50 OLS Model'!$B$7*E118</f>
        <v>5925423.6554338057</v>
      </c>
      <c r="S118" s="186">
        <f>'GS &gt; 50 OLS Model'!$B$8*F118</f>
        <v>34874302.707240492</v>
      </c>
      <c r="T118" s="186">
        <v>0</v>
      </c>
      <c r="U118" s="186">
        <f>'GS &gt; 50 OLS Model'!$B$9*H118</f>
        <v>0</v>
      </c>
      <c r="V118" s="186">
        <f>'GS &gt; 50 OLS Model'!$B$10*I118</f>
        <v>0</v>
      </c>
      <c r="W118" s="186">
        <f>'GS &gt; 50 OLS Model'!$B$11*J118</f>
        <v>0</v>
      </c>
      <c r="X118" s="186">
        <f>'GS &gt; 50 OLS Model'!$B$12*K118</f>
        <v>2345350.8919449002</v>
      </c>
      <c r="Y118" s="186">
        <v>0</v>
      </c>
      <c r="Z118" s="186">
        <f>'GS &gt; 50 OLS Model'!$B$13*M118</f>
        <v>33551198.840181898</v>
      </c>
      <c r="AA118" s="186">
        <f>'GS &gt; 50 OLS Model'!$B$14*N118</f>
        <v>12428939.531927491</v>
      </c>
      <c r="AB118" s="186">
        <f t="shared" ca="1" si="16"/>
        <v>81354062.664883181</v>
      </c>
    </row>
    <row r="119" spans="1:28">
      <c r="A119" s="128">
        <v>43374</v>
      </c>
      <c r="B119" s="186">
        <f t="shared" si="17"/>
        <v>2018</v>
      </c>
      <c r="C119" s="186">
        <f ca="1">'Monthly Data'!O119</f>
        <v>79879338.784629419</v>
      </c>
      <c r="D119" s="186">
        <f t="shared" ref="D119:E119" ca="1" si="36">D107</f>
        <v>158.93676691729343</v>
      </c>
      <c r="E119" s="186">
        <f t="shared" ca="1" si="36"/>
        <v>16.916090225563948</v>
      </c>
      <c r="F119" s="186">
        <f>'Monthly Data'!BL119</f>
        <v>665994.78021817585</v>
      </c>
      <c r="G119" s="186">
        <f t="shared" si="13"/>
        <v>118</v>
      </c>
      <c r="H119" s="186">
        <f t="shared" ref="H119:L119" si="37">H107</f>
        <v>0</v>
      </c>
      <c r="I119" s="186">
        <f t="shared" si="37"/>
        <v>0</v>
      </c>
      <c r="J119" s="186">
        <f t="shared" si="37"/>
        <v>0</v>
      </c>
      <c r="K119" s="186">
        <f t="shared" si="37"/>
        <v>0</v>
      </c>
      <c r="L119" s="186">
        <f t="shared" si="37"/>
        <v>1</v>
      </c>
      <c r="M119" s="186">
        <f t="shared" si="15"/>
        <v>31</v>
      </c>
      <c r="N119" s="127">
        <v>22</v>
      </c>
      <c r="P119" s="186">
        <f>'GS &gt; 50 OLS Model'!$B$5</f>
        <v>-8508488.8174217809</v>
      </c>
      <c r="Q119" s="186">
        <f ca="1">'GS &gt; 50 OLS Model'!$B$6*D119</f>
        <v>3853554.4185213498</v>
      </c>
      <c r="R119" s="186">
        <f ca="1">'GS &gt; 50 OLS Model'!$B$7*E119</f>
        <v>1207599.2014961967</v>
      </c>
      <c r="S119" s="186">
        <f>'GS &gt; 50 OLS Model'!$B$8*F119</f>
        <v>34874302.707240492</v>
      </c>
      <c r="T119" s="186">
        <v>0</v>
      </c>
      <c r="U119" s="186">
        <f>'GS &gt; 50 OLS Model'!$B$9*H119</f>
        <v>0</v>
      </c>
      <c r="V119" s="186">
        <f>'GS &gt; 50 OLS Model'!$B$10*I119</f>
        <v>0</v>
      </c>
      <c r="W119" s="186">
        <f>'GS &gt; 50 OLS Model'!$B$11*J119</f>
        <v>0</v>
      </c>
      <c r="X119" s="186">
        <f>'GS &gt; 50 OLS Model'!$B$12*K119</f>
        <v>0</v>
      </c>
      <c r="Y119" s="186">
        <v>0</v>
      </c>
      <c r="Z119" s="186">
        <f>'GS &gt; 50 OLS Model'!$B$13*M119</f>
        <v>34669572.13485463</v>
      </c>
      <c r="AA119" s="186">
        <f>'GS &gt; 50 OLS Model'!$B$14*N119</f>
        <v>14391403.668547621</v>
      </c>
      <c r="AB119" s="186">
        <f t="shared" ca="1" si="16"/>
        <v>80487943.313238502</v>
      </c>
    </row>
    <row r="120" spans="1:28">
      <c r="A120" s="128">
        <v>43405</v>
      </c>
      <c r="B120" s="186">
        <f t="shared" si="17"/>
        <v>2018</v>
      </c>
      <c r="C120" s="186">
        <f ca="1">'Monthly Data'!O120</f>
        <v>81359765.42074655</v>
      </c>
      <c r="D120" s="186">
        <f t="shared" ref="D120:E120" ca="1" si="38">D108</f>
        <v>375.92533834586447</v>
      </c>
      <c r="E120" s="186">
        <f t="shared" ca="1" si="38"/>
        <v>8.120300751879661E-2</v>
      </c>
      <c r="F120" s="186">
        <f>'Monthly Data'!BL120</f>
        <v>665994.78021817585</v>
      </c>
      <c r="G120" s="186">
        <f t="shared" si="13"/>
        <v>119</v>
      </c>
      <c r="H120" s="186">
        <f t="shared" ref="H120:L120" si="39">H108</f>
        <v>0</v>
      </c>
      <c r="I120" s="186">
        <f t="shared" si="39"/>
        <v>0</v>
      </c>
      <c r="J120" s="186">
        <f t="shared" si="39"/>
        <v>0</v>
      </c>
      <c r="K120" s="186">
        <f t="shared" si="39"/>
        <v>0</v>
      </c>
      <c r="L120" s="186">
        <f t="shared" si="39"/>
        <v>0</v>
      </c>
      <c r="M120" s="186">
        <f t="shared" si="15"/>
        <v>30</v>
      </c>
      <c r="N120" s="127">
        <v>22</v>
      </c>
      <c r="P120" s="186">
        <f>'GS &gt; 50 OLS Model'!$B$5</f>
        <v>-8508488.8174217809</v>
      </c>
      <c r="Q120" s="186">
        <f ca="1">'GS &gt; 50 OLS Model'!$B$6*D120</f>
        <v>9114623.234853385</v>
      </c>
      <c r="R120" s="186">
        <f ca="1">'GS &gt; 50 OLS Model'!$B$7*E120</f>
        <v>5796.8883903561291</v>
      </c>
      <c r="S120" s="186">
        <f>'GS &gt; 50 OLS Model'!$B$8*F120</f>
        <v>34874302.707240492</v>
      </c>
      <c r="T120" s="186">
        <v>0</v>
      </c>
      <c r="U120" s="186">
        <f>'GS &gt; 50 OLS Model'!$B$9*H120</f>
        <v>0</v>
      </c>
      <c r="V120" s="186">
        <f>'GS &gt; 50 OLS Model'!$B$10*I120</f>
        <v>0</v>
      </c>
      <c r="W120" s="186">
        <f>'GS &gt; 50 OLS Model'!$B$11*J120</f>
        <v>0</v>
      </c>
      <c r="X120" s="186">
        <f>'GS &gt; 50 OLS Model'!$B$12*K120</f>
        <v>0</v>
      </c>
      <c r="Y120" s="186">
        <v>0</v>
      </c>
      <c r="Z120" s="186">
        <f>'GS &gt; 50 OLS Model'!$B$13*M120</f>
        <v>33551198.840181898</v>
      </c>
      <c r="AA120" s="186">
        <f>'GS &gt; 50 OLS Model'!$B$14*N120</f>
        <v>14391403.668547621</v>
      </c>
      <c r="AB120" s="186">
        <f t="shared" ca="1" si="16"/>
        <v>83428836.521791965</v>
      </c>
    </row>
    <row r="121" spans="1:28">
      <c r="A121" s="128">
        <v>43435</v>
      </c>
      <c r="B121" s="186">
        <f t="shared" si="17"/>
        <v>2018</v>
      </c>
      <c r="C121" s="186">
        <f ca="1">'Monthly Data'!O121</f>
        <v>81470558.798187256</v>
      </c>
      <c r="D121" s="186">
        <f t="shared" ref="D121:E121" ca="1" si="40">D109</f>
        <v>548.76120300751859</v>
      </c>
      <c r="E121" s="186">
        <f t="shared" ca="1" si="40"/>
        <v>0</v>
      </c>
      <c r="F121" s="186">
        <f>'Monthly Data'!BL121</f>
        <v>665994.78021817585</v>
      </c>
      <c r="G121" s="186">
        <f t="shared" si="13"/>
        <v>120</v>
      </c>
      <c r="H121" s="186">
        <f t="shared" ref="H121:L121" si="41">H109</f>
        <v>0</v>
      </c>
      <c r="I121" s="186">
        <f t="shared" si="41"/>
        <v>0</v>
      </c>
      <c r="J121" s="186">
        <f t="shared" si="41"/>
        <v>0</v>
      </c>
      <c r="K121" s="186">
        <f t="shared" si="41"/>
        <v>0</v>
      </c>
      <c r="L121" s="186">
        <f t="shared" si="41"/>
        <v>0</v>
      </c>
      <c r="M121" s="186">
        <f t="shared" si="15"/>
        <v>31</v>
      </c>
      <c r="N121" s="127">
        <v>19</v>
      </c>
      <c r="P121" s="186">
        <f>'GS &gt; 50 OLS Model'!$B$5</f>
        <v>-8508488.8174217809</v>
      </c>
      <c r="Q121" s="186">
        <f ca="1">'GS &gt; 50 OLS Model'!$B$6*D121</f>
        <v>13305172.865779633</v>
      </c>
      <c r="R121" s="186">
        <f ca="1">'GS &gt; 50 OLS Model'!$B$7*E121</f>
        <v>0</v>
      </c>
      <c r="S121" s="186">
        <f>'GS &gt; 50 OLS Model'!$B$8*F121</f>
        <v>34874302.707240492</v>
      </c>
      <c r="T121" s="186">
        <v>0</v>
      </c>
      <c r="U121" s="186">
        <f>'GS &gt; 50 OLS Model'!$B$9*H121</f>
        <v>0</v>
      </c>
      <c r="V121" s="186">
        <f>'GS &gt; 50 OLS Model'!$B$10*I121</f>
        <v>0</v>
      </c>
      <c r="W121" s="186">
        <f>'GS &gt; 50 OLS Model'!$B$11*J121</f>
        <v>0</v>
      </c>
      <c r="X121" s="186">
        <f>'GS &gt; 50 OLS Model'!$B$12*K121</f>
        <v>0</v>
      </c>
      <c r="Y121" s="186">
        <v>0</v>
      </c>
      <c r="Z121" s="186">
        <f>'GS &gt; 50 OLS Model'!$B$13*M121</f>
        <v>34669572.13485463</v>
      </c>
      <c r="AA121" s="186">
        <f>'GS &gt; 50 OLS Model'!$B$14*N121</f>
        <v>12428939.531927491</v>
      </c>
      <c r="AB121" s="186">
        <f t="shared" ca="1" si="16"/>
        <v>86769498.422380477</v>
      </c>
    </row>
    <row r="122" spans="1:28">
      <c r="A122" s="128">
        <v>43466</v>
      </c>
      <c r="B122" s="127">
        <f t="shared" ref="B122:B145" si="42">YEAR(A122)</f>
        <v>2019</v>
      </c>
      <c r="D122" s="127">
        <f t="shared" ref="D122:E129" ca="1" si="43">D110</f>
        <v>665.14879699248104</v>
      </c>
      <c r="E122" s="127">
        <f t="shared" ca="1" si="43"/>
        <v>0</v>
      </c>
      <c r="F122" s="127">
        <f>F110*(1+Employment!L$9)</f>
        <v>676783.89565771027</v>
      </c>
      <c r="G122" s="127">
        <f t="shared" si="13"/>
        <v>121</v>
      </c>
      <c r="H122" s="127">
        <f t="shared" ref="H122:L130" si="44">H110</f>
        <v>0</v>
      </c>
      <c r="I122" s="127">
        <f t="shared" si="44"/>
        <v>0</v>
      </c>
      <c r="J122" s="127">
        <f t="shared" si="44"/>
        <v>0</v>
      </c>
      <c r="K122" s="127">
        <f t="shared" si="44"/>
        <v>0</v>
      </c>
      <c r="L122" s="127">
        <f t="shared" si="44"/>
        <v>0</v>
      </c>
      <c r="M122" s="127">
        <f t="shared" si="15"/>
        <v>31</v>
      </c>
      <c r="N122" s="127">
        <v>22</v>
      </c>
      <c r="P122" s="127">
        <f>'GS &gt; 50 OLS Model'!$B$5</f>
        <v>-8508488.8174217809</v>
      </c>
      <c r="Q122" s="186">
        <f ca="1">'GS &gt; 50 OLS Model'!$B$6*D122</f>
        <v>16127087.113571094</v>
      </c>
      <c r="R122" s="186">
        <f ca="1">'GS &gt; 50 OLS Model'!$B$7*E122</f>
        <v>0</v>
      </c>
      <c r="S122" s="186">
        <f>'GS &gt; 50 OLS Model'!$B$8*F122</f>
        <v>35439266.411097787</v>
      </c>
      <c r="T122" s="186">
        <v>0</v>
      </c>
      <c r="U122" s="186">
        <f>'GS &gt; 50 OLS Model'!$B$9*H122</f>
        <v>0</v>
      </c>
      <c r="V122" s="186">
        <f>'GS &gt; 50 OLS Model'!$B$10*I122</f>
        <v>0</v>
      </c>
      <c r="W122" s="186">
        <f>'GS &gt; 50 OLS Model'!$B$11*J122</f>
        <v>0</v>
      </c>
      <c r="X122" s="186">
        <f>'GS &gt; 50 OLS Model'!$B$12*K122</f>
        <v>0</v>
      </c>
      <c r="Y122" s="186">
        <v>0</v>
      </c>
      <c r="Z122" s="186">
        <f>'GS &gt; 50 OLS Model'!$B$13*M122</f>
        <v>34669572.13485463</v>
      </c>
      <c r="AA122" s="186">
        <f>'GS &gt; 50 OLS Model'!$B$14*N122</f>
        <v>14391403.668547621</v>
      </c>
      <c r="AB122" s="127">
        <f t="shared" ref="AB122:AB145" ca="1" si="45">SUM(P122:AA122)</f>
        <v>92118840.510649338</v>
      </c>
    </row>
    <row r="123" spans="1:28">
      <c r="A123" s="128">
        <v>43497</v>
      </c>
      <c r="B123" s="127">
        <f t="shared" si="42"/>
        <v>2019</v>
      </c>
      <c r="D123" s="127">
        <f t="shared" ca="1" si="43"/>
        <v>611.17548872180487</v>
      </c>
      <c r="E123" s="127">
        <f t="shared" ca="1" si="43"/>
        <v>0</v>
      </c>
      <c r="F123" s="127">
        <f>F111*(1+Employment!L$9)</f>
        <v>676783.89565771027</v>
      </c>
      <c r="G123" s="127">
        <f t="shared" si="13"/>
        <v>122</v>
      </c>
      <c r="H123" s="127">
        <f t="shared" si="44"/>
        <v>0</v>
      </c>
      <c r="I123" s="127">
        <f t="shared" si="44"/>
        <v>0</v>
      </c>
      <c r="J123" s="127">
        <f t="shared" si="44"/>
        <v>0</v>
      </c>
      <c r="K123" s="127">
        <f t="shared" si="44"/>
        <v>0</v>
      </c>
      <c r="L123" s="127">
        <f t="shared" si="44"/>
        <v>0</v>
      </c>
      <c r="M123" s="127">
        <f t="shared" si="15"/>
        <v>28</v>
      </c>
      <c r="N123" s="127">
        <v>19</v>
      </c>
      <c r="P123" s="127">
        <f>'GS &gt; 50 OLS Model'!$B$5</f>
        <v>-8508488.8174217809</v>
      </c>
      <c r="Q123" s="186">
        <f ca="1">'GS &gt; 50 OLS Model'!$B$6*D123</f>
        <v>14818459.257331191</v>
      </c>
      <c r="R123" s="186">
        <f ca="1">'GS &gt; 50 OLS Model'!$B$7*E123</f>
        <v>0</v>
      </c>
      <c r="S123" s="186">
        <f>'GS &gt; 50 OLS Model'!$B$8*F123</f>
        <v>35439266.411097787</v>
      </c>
      <c r="T123" s="186">
        <v>0</v>
      </c>
      <c r="U123" s="186">
        <f>'GS &gt; 50 OLS Model'!$B$9*H123</f>
        <v>0</v>
      </c>
      <c r="V123" s="186">
        <f>'GS &gt; 50 OLS Model'!$B$10*I123</f>
        <v>0</v>
      </c>
      <c r="W123" s="186">
        <f>'GS &gt; 50 OLS Model'!$B$11*J123</f>
        <v>0</v>
      </c>
      <c r="X123" s="186">
        <f>'GS &gt; 50 OLS Model'!$B$12*K123</f>
        <v>0</v>
      </c>
      <c r="Y123" s="186">
        <v>0</v>
      </c>
      <c r="Z123" s="186">
        <f>'GS &gt; 50 OLS Model'!$B$13*M123</f>
        <v>31314452.250836439</v>
      </c>
      <c r="AA123" s="186">
        <f>'GS &gt; 50 OLS Model'!$B$14*N123</f>
        <v>12428939.531927491</v>
      </c>
      <c r="AB123" s="127">
        <f t="shared" ca="1" si="45"/>
        <v>85492628.633771122</v>
      </c>
    </row>
    <row r="124" spans="1:28">
      <c r="A124" s="128">
        <v>43525</v>
      </c>
      <c r="B124" s="127">
        <f t="shared" si="42"/>
        <v>2019</v>
      </c>
      <c r="D124" s="127">
        <f t="shared" ca="1" si="43"/>
        <v>458.46436090225569</v>
      </c>
      <c r="E124" s="127">
        <f t="shared" ca="1" si="43"/>
        <v>0.45218045112781802</v>
      </c>
      <c r="F124" s="127">
        <f>F112*(1+Employment!L$9)</f>
        <v>676783.89565771027</v>
      </c>
      <c r="G124" s="127">
        <f t="shared" si="13"/>
        <v>123</v>
      </c>
      <c r="H124" s="127">
        <f t="shared" si="44"/>
        <v>0</v>
      </c>
      <c r="I124" s="127">
        <f t="shared" si="44"/>
        <v>0</v>
      </c>
      <c r="J124" s="127">
        <f t="shared" si="44"/>
        <v>0</v>
      </c>
      <c r="K124" s="127">
        <f t="shared" si="44"/>
        <v>0</v>
      </c>
      <c r="L124" s="127">
        <f t="shared" si="44"/>
        <v>0</v>
      </c>
      <c r="M124" s="127">
        <f t="shared" si="15"/>
        <v>31</v>
      </c>
      <c r="N124" s="127">
        <v>21</v>
      </c>
      <c r="P124" s="127">
        <f>'GS &gt; 50 OLS Model'!$B$5</f>
        <v>-8508488.8174217809</v>
      </c>
      <c r="Q124" s="186">
        <f ca="1">'GS &gt; 50 OLS Model'!$B$6*D124</f>
        <v>11115850.64901193</v>
      </c>
      <c r="R124" s="186">
        <f ca="1">'GS &gt; 50 OLS Model'!$B$7*E124</f>
        <v>32280.080351483153</v>
      </c>
      <c r="S124" s="186">
        <f>'GS &gt; 50 OLS Model'!$B$8*F124</f>
        <v>35439266.411097787</v>
      </c>
      <c r="T124" s="186">
        <v>0</v>
      </c>
      <c r="U124" s="186">
        <f>'GS &gt; 50 OLS Model'!$B$9*H124</f>
        <v>0</v>
      </c>
      <c r="V124" s="186">
        <f>'GS &gt; 50 OLS Model'!$B$10*I124</f>
        <v>0</v>
      </c>
      <c r="W124" s="186">
        <f>'GS &gt; 50 OLS Model'!$B$11*J124</f>
        <v>0</v>
      </c>
      <c r="X124" s="186">
        <f>'GS &gt; 50 OLS Model'!$B$12*K124</f>
        <v>0</v>
      </c>
      <c r="Y124" s="186">
        <v>0</v>
      </c>
      <c r="Z124" s="186">
        <f>'GS &gt; 50 OLS Model'!$B$13*M124</f>
        <v>34669572.13485463</v>
      </c>
      <c r="AA124" s="186">
        <f>'GS &gt; 50 OLS Model'!$B$14*N124</f>
        <v>13737248.956340911</v>
      </c>
      <c r="AB124" s="127">
        <f t="shared" ca="1" si="45"/>
        <v>86485729.414234966</v>
      </c>
    </row>
    <row r="125" spans="1:28">
      <c r="A125" s="128">
        <v>43556</v>
      </c>
      <c r="B125" s="127">
        <f t="shared" si="42"/>
        <v>2019</v>
      </c>
      <c r="D125" s="127">
        <f t="shared" ca="1" si="43"/>
        <v>254.29052631578941</v>
      </c>
      <c r="E125" s="127">
        <f t="shared" ca="1" si="43"/>
        <v>0.50947368421054762</v>
      </c>
      <c r="F125" s="127">
        <f>F113*(1+Employment!L$9)</f>
        <v>676783.89565771027</v>
      </c>
      <c r="G125" s="127">
        <f t="shared" si="13"/>
        <v>124</v>
      </c>
      <c r="H125" s="127">
        <f t="shared" si="44"/>
        <v>1</v>
      </c>
      <c r="I125" s="127">
        <f t="shared" si="44"/>
        <v>0</v>
      </c>
      <c r="J125" s="127">
        <f t="shared" si="44"/>
        <v>0</v>
      </c>
      <c r="K125" s="127">
        <f t="shared" si="44"/>
        <v>0</v>
      </c>
      <c r="L125" s="127">
        <f t="shared" si="44"/>
        <v>0</v>
      </c>
      <c r="M125" s="127">
        <f t="shared" si="15"/>
        <v>30</v>
      </c>
      <c r="N125" s="127">
        <v>20</v>
      </c>
      <c r="P125" s="127">
        <f>'GS &gt; 50 OLS Model'!$B$5</f>
        <v>-8508488.8174217809</v>
      </c>
      <c r="Q125" s="186">
        <f ca="1">'GS &gt; 50 OLS Model'!$B$6*D125</f>
        <v>6165485.8109845407</v>
      </c>
      <c r="R125" s="186">
        <f ca="1">'GS &gt; 50 OLS Model'!$B$7*E125</f>
        <v>36370.107160236068</v>
      </c>
      <c r="S125" s="186">
        <f>'GS &gt; 50 OLS Model'!$B$8*F125</f>
        <v>35439266.411097787</v>
      </c>
      <c r="T125" s="186">
        <v>0</v>
      </c>
      <c r="U125" s="186">
        <f>'GS &gt; 50 OLS Model'!$B$9*H125</f>
        <v>-1670359.8066300801</v>
      </c>
      <c r="V125" s="186">
        <f>'GS &gt; 50 OLS Model'!$B$10*I125</f>
        <v>0</v>
      </c>
      <c r="W125" s="186">
        <f>'GS &gt; 50 OLS Model'!$B$11*J125</f>
        <v>0</v>
      </c>
      <c r="X125" s="186">
        <f>'GS &gt; 50 OLS Model'!$B$12*K125</f>
        <v>0</v>
      </c>
      <c r="Y125" s="186">
        <v>0</v>
      </c>
      <c r="Z125" s="186">
        <f>'GS &gt; 50 OLS Model'!$B$13*M125</f>
        <v>33551198.840181898</v>
      </c>
      <c r="AA125" s="186">
        <f>'GS &gt; 50 OLS Model'!$B$14*N125</f>
        <v>13083094.244134201</v>
      </c>
      <c r="AB125" s="127">
        <f t="shared" ca="1" si="45"/>
        <v>78096566.789506808</v>
      </c>
    </row>
    <row r="126" spans="1:28">
      <c r="A126" s="128">
        <v>43586</v>
      </c>
      <c r="B126" s="127">
        <f t="shared" si="42"/>
        <v>2019</v>
      </c>
      <c r="D126" s="127">
        <f t="shared" ca="1" si="43"/>
        <v>102.64150375939857</v>
      </c>
      <c r="E126" s="127">
        <f t="shared" ca="1" si="43"/>
        <v>56.062781954887214</v>
      </c>
      <c r="F126" s="127">
        <f>F114*(1+Employment!L$9)</f>
        <v>676783.89565771027</v>
      </c>
      <c r="G126" s="127">
        <f t="shared" si="13"/>
        <v>125</v>
      </c>
      <c r="H126" s="127">
        <f t="shared" si="44"/>
        <v>0</v>
      </c>
      <c r="I126" s="127">
        <f t="shared" si="44"/>
        <v>0</v>
      </c>
      <c r="J126" s="127">
        <f t="shared" si="44"/>
        <v>0</v>
      </c>
      <c r="K126" s="127">
        <f t="shared" si="44"/>
        <v>0</v>
      </c>
      <c r="L126" s="127">
        <f t="shared" si="44"/>
        <v>0</v>
      </c>
      <c r="M126" s="127">
        <f t="shared" si="15"/>
        <v>31</v>
      </c>
      <c r="N126" s="127">
        <v>22</v>
      </c>
      <c r="P126" s="127">
        <f>'GS &gt; 50 OLS Model'!$B$5</f>
        <v>-8508488.8174217809</v>
      </c>
      <c r="Q126" s="186">
        <f ca="1">'GS &gt; 50 OLS Model'!$B$6*D126</f>
        <v>2488628.8302412247</v>
      </c>
      <c r="R126" s="186">
        <f ca="1">'GS &gt; 50 OLS Model'!$B$7*E126</f>
        <v>4002187.8471696409</v>
      </c>
      <c r="S126" s="186">
        <f>'GS &gt; 50 OLS Model'!$B$8*F126</f>
        <v>35439266.411097787</v>
      </c>
      <c r="T126" s="186">
        <v>0</v>
      </c>
      <c r="U126" s="186">
        <f>'GS &gt; 50 OLS Model'!$B$9*H126</f>
        <v>0</v>
      </c>
      <c r="V126" s="186">
        <f>'GS &gt; 50 OLS Model'!$B$10*I126</f>
        <v>0</v>
      </c>
      <c r="W126" s="186">
        <f>'GS &gt; 50 OLS Model'!$B$11*J126</f>
        <v>0</v>
      </c>
      <c r="X126" s="186">
        <f>'GS &gt; 50 OLS Model'!$B$12*K126</f>
        <v>0</v>
      </c>
      <c r="Y126" s="186">
        <v>0</v>
      </c>
      <c r="Z126" s="186">
        <f>'GS &gt; 50 OLS Model'!$B$13*M126</f>
        <v>34669572.13485463</v>
      </c>
      <c r="AA126" s="186">
        <f>'GS &gt; 50 OLS Model'!$B$14*N126</f>
        <v>14391403.668547621</v>
      </c>
      <c r="AB126" s="127">
        <f t="shared" ca="1" si="45"/>
        <v>82482570.074489117</v>
      </c>
    </row>
    <row r="127" spans="1:28">
      <c r="A127" s="128">
        <v>43617</v>
      </c>
      <c r="B127" s="127">
        <f t="shared" si="42"/>
        <v>2019</v>
      </c>
      <c r="D127" s="127">
        <f t="shared" ca="1" si="43"/>
        <v>0.39669172932326546</v>
      </c>
      <c r="E127" s="127">
        <f t="shared" ca="1" si="43"/>
        <v>116.89315789473682</v>
      </c>
      <c r="F127" s="127">
        <f>F115*(1+Employment!L$9)</f>
        <v>676783.89565771027</v>
      </c>
      <c r="G127" s="127">
        <f t="shared" si="13"/>
        <v>126</v>
      </c>
      <c r="H127" s="127">
        <f t="shared" si="44"/>
        <v>0</v>
      </c>
      <c r="I127" s="127">
        <f t="shared" si="44"/>
        <v>1</v>
      </c>
      <c r="J127" s="127">
        <f t="shared" si="44"/>
        <v>0</v>
      </c>
      <c r="K127" s="127">
        <f t="shared" si="44"/>
        <v>0</v>
      </c>
      <c r="L127" s="127">
        <f t="shared" si="44"/>
        <v>0</v>
      </c>
      <c r="M127" s="127">
        <f t="shared" si="15"/>
        <v>30</v>
      </c>
      <c r="N127" s="127">
        <v>20</v>
      </c>
      <c r="P127" s="127">
        <f>'GS &gt; 50 OLS Model'!$B$5</f>
        <v>-8508488.8174217809</v>
      </c>
      <c r="Q127" s="186">
        <f ca="1">'GS &gt; 50 OLS Model'!$B$6*D127</f>
        <v>9618.1216969137586</v>
      </c>
      <c r="R127" s="186">
        <f ca="1">'GS &gt; 50 OLS Model'!$B$7*E127</f>
        <v>8344722.8202134408</v>
      </c>
      <c r="S127" s="186">
        <f>'GS &gt; 50 OLS Model'!$B$8*F127</f>
        <v>35439266.411097787</v>
      </c>
      <c r="T127" s="186">
        <v>0</v>
      </c>
      <c r="U127" s="186">
        <f>'GS &gt; 50 OLS Model'!$B$9*H127</f>
        <v>0</v>
      </c>
      <c r="V127" s="186">
        <f>'GS &gt; 50 OLS Model'!$B$10*I127</f>
        <v>1244451.2383117899</v>
      </c>
      <c r="W127" s="186">
        <f>'GS &gt; 50 OLS Model'!$B$11*J127</f>
        <v>0</v>
      </c>
      <c r="X127" s="186">
        <f>'GS &gt; 50 OLS Model'!$B$12*K127</f>
        <v>0</v>
      </c>
      <c r="Y127" s="186">
        <v>0</v>
      </c>
      <c r="Z127" s="186">
        <f>'GS &gt; 50 OLS Model'!$B$13*M127</f>
        <v>33551198.840181898</v>
      </c>
      <c r="AA127" s="186">
        <f>'GS &gt; 50 OLS Model'!$B$14*N127</f>
        <v>13083094.244134201</v>
      </c>
      <c r="AB127" s="127">
        <f t="shared" ca="1" si="45"/>
        <v>83163862.858214244</v>
      </c>
    </row>
    <row r="128" spans="1:28">
      <c r="A128" s="128">
        <v>43647</v>
      </c>
      <c r="B128" s="127">
        <f t="shared" si="42"/>
        <v>2019</v>
      </c>
      <c r="D128" s="127">
        <f t="shared" ca="1" si="43"/>
        <v>0.58105263157894704</v>
      </c>
      <c r="E128" s="127">
        <f t="shared" ca="1" si="43"/>
        <v>186.96526315789481</v>
      </c>
      <c r="F128" s="127">
        <f>F116*(1+Employment!L$9)</f>
        <v>676783.89565771027</v>
      </c>
      <c r="G128" s="127">
        <f t="shared" si="13"/>
        <v>127</v>
      </c>
      <c r="H128" s="127">
        <f t="shared" si="44"/>
        <v>0</v>
      </c>
      <c r="I128" s="127">
        <f t="shared" si="44"/>
        <v>0</v>
      </c>
      <c r="J128" s="127">
        <f t="shared" si="44"/>
        <v>0</v>
      </c>
      <c r="K128" s="127">
        <f t="shared" si="44"/>
        <v>0</v>
      </c>
      <c r="L128" s="127">
        <f t="shared" si="44"/>
        <v>0</v>
      </c>
      <c r="M128" s="127">
        <f t="shared" si="15"/>
        <v>31</v>
      </c>
      <c r="N128" s="127">
        <v>22</v>
      </c>
      <c r="P128" s="127">
        <f>'GS &gt; 50 OLS Model'!$B$5</f>
        <v>-8508488.8174217809</v>
      </c>
      <c r="Q128" s="186">
        <f ca="1">'GS &gt; 50 OLS Model'!$B$6*D128</f>
        <v>14088.105472660634</v>
      </c>
      <c r="R128" s="186">
        <f ca="1">'GS &gt; 50 OLS Model'!$B$7*E128</f>
        <v>13347002.734461535</v>
      </c>
      <c r="S128" s="186">
        <f>'GS &gt; 50 OLS Model'!$B$8*F128</f>
        <v>35439266.411097787</v>
      </c>
      <c r="T128" s="186">
        <v>0</v>
      </c>
      <c r="U128" s="186">
        <f>'GS &gt; 50 OLS Model'!$B$9*H128</f>
        <v>0</v>
      </c>
      <c r="V128" s="186">
        <f>'GS &gt; 50 OLS Model'!$B$10*I128</f>
        <v>0</v>
      </c>
      <c r="W128" s="186">
        <f>'GS &gt; 50 OLS Model'!$B$11*J128</f>
        <v>0</v>
      </c>
      <c r="X128" s="186">
        <f>'GS &gt; 50 OLS Model'!$B$12*K128</f>
        <v>0</v>
      </c>
      <c r="Y128" s="186">
        <v>0</v>
      </c>
      <c r="Z128" s="186">
        <f>'GS &gt; 50 OLS Model'!$B$13*M128</f>
        <v>34669572.13485463</v>
      </c>
      <c r="AA128" s="186">
        <f>'GS &gt; 50 OLS Model'!$B$14*N128</f>
        <v>14391403.668547621</v>
      </c>
      <c r="AB128" s="127">
        <f t="shared" ca="1" si="45"/>
        <v>89352844.237012446</v>
      </c>
    </row>
    <row r="129" spans="1:28">
      <c r="A129" s="128">
        <v>43678</v>
      </c>
      <c r="B129" s="127">
        <f t="shared" si="42"/>
        <v>2019</v>
      </c>
      <c r="D129" s="127">
        <f t="shared" ca="1" si="43"/>
        <v>1.6660902255639058</v>
      </c>
      <c r="E129" s="127">
        <f t="shared" ca="1" si="43"/>
        <v>167.43443609022574</v>
      </c>
      <c r="F129" s="127">
        <f>F117*(1+Employment!L$9)</f>
        <v>676783.89565771027</v>
      </c>
      <c r="G129" s="127">
        <f t="shared" si="13"/>
        <v>128</v>
      </c>
      <c r="H129" s="127">
        <f t="shared" si="44"/>
        <v>0</v>
      </c>
      <c r="I129" s="127">
        <f t="shared" si="44"/>
        <v>0</v>
      </c>
      <c r="J129" s="127">
        <f t="shared" si="44"/>
        <v>1</v>
      </c>
      <c r="K129" s="127">
        <f t="shared" si="44"/>
        <v>0</v>
      </c>
      <c r="L129" s="127">
        <f t="shared" si="44"/>
        <v>0</v>
      </c>
      <c r="M129" s="127">
        <f t="shared" si="15"/>
        <v>31</v>
      </c>
      <c r="N129" s="127">
        <v>21</v>
      </c>
      <c r="P129" s="127">
        <f>'GS &gt; 50 OLS Model'!$B$5</f>
        <v>-8508488.8174217809</v>
      </c>
      <c r="Q129" s="186">
        <f ca="1">'GS &gt; 50 OLS Model'!$B$6*D129</f>
        <v>40395.746528039141</v>
      </c>
      <c r="R129" s="186">
        <f ca="1">'GS &gt; 50 OLS Model'!$B$7*E129</f>
        <v>11952743.72679588</v>
      </c>
      <c r="S129" s="186">
        <f>'GS &gt; 50 OLS Model'!$B$8*F129</f>
        <v>35439266.411097787</v>
      </c>
      <c r="T129" s="186">
        <v>0</v>
      </c>
      <c r="U129" s="186">
        <f>'GS &gt; 50 OLS Model'!$B$9*H129</f>
        <v>0</v>
      </c>
      <c r="V129" s="186">
        <f>'GS &gt; 50 OLS Model'!$B$10*I129</f>
        <v>0</v>
      </c>
      <c r="W129" s="186">
        <f>'GS &gt; 50 OLS Model'!$B$11*J129</f>
        <v>2505717.0713192602</v>
      </c>
      <c r="X129" s="186">
        <f>'GS &gt; 50 OLS Model'!$B$12*K129</f>
        <v>0</v>
      </c>
      <c r="Y129" s="186">
        <v>0</v>
      </c>
      <c r="Z129" s="186">
        <f>'GS &gt; 50 OLS Model'!$B$13*M129</f>
        <v>34669572.13485463</v>
      </c>
      <c r="AA129" s="186">
        <f>'GS &gt; 50 OLS Model'!$B$14*N129</f>
        <v>13737248.956340911</v>
      </c>
      <c r="AB129" s="127">
        <f t="shared" ca="1" si="45"/>
        <v>89836455.229514718</v>
      </c>
    </row>
    <row r="130" spans="1:28">
      <c r="A130" s="128">
        <v>43709</v>
      </c>
      <c r="B130" s="127">
        <f t="shared" si="42"/>
        <v>2019</v>
      </c>
      <c r="D130" s="127">
        <f t="shared" ref="D130:E145" ca="1" si="46">D118</f>
        <v>30.410827067669118</v>
      </c>
      <c r="E130" s="127">
        <f t="shared" ca="1" si="46"/>
        <v>83.003533834586506</v>
      </c>
      <c r="F130" s="127">
        <f>F118*(1+Employment!L$9)</f>
        <v>676783.89565771027</v>
      </c>
      <c r="G130" s="127">
        <f t="shared" si="13"/>
        <v>129</v>
      </c>
      <c r="H130" s="127">
        <f t="shared" si="44"/>
        <v>0</v>
      </c>
      <c r="I130" s="127">
        <f t="shared" si="44"/>
        <v>0</v>
      </c>
      <c r="J130" s="127">
        <f t="shared" si="44"/>
        <v>0</v>
      </c>
      <c r="K130" s="127">
        <f t="shared" si="44"/>
        <v>1</v>
      </c>
      <c r="L130" s="127">
        <f t="shared" si="44"/>
        <v>0</v>
      </c>
      <c r="M130" s="127">
        <f t="shared" si="15"/>
        <v>30</v>
      </c>
      <c r="N130" s="127">
        <v>20</v>
      </c>
      <c r="P130" s="127">
        <f>'GS &gt; 50 OLS Model'!$B$5</f>
        <v>-8508488.8174217809</v>
      </c>
      <c r="Q130" s="186">
        <f ca="1">'GS &gt; 50 OLS Model'!$B$6*D130</f>
        <v>737335.85557637212</v>
      </c>
      <c r="R130" s="186">
        <f ca="1">'GS &gt; 50 OLS Model'!$B$7*E130</f>
        <v>5925423.6554338057</v>
      </c>
      <c r="S130" s="186">
        <f>'GS &gt; 50 OLS Model'!$B$8*F130</f>
        <v>35439266.411097787</v>
      </c>
      <c r="T130" s="186">
        <v>0</v>
      </c>
      <c r="U130" s="186">
        <f>'GS &gt; 50 OLS Model'!$B$9*H130</f>
        <v>0</v>
      </c>
      <c r="V130" s="186">
        <f>'GS &gt; 50 OLS Model'!$B$10*I130</f>
        <v>0</v>
      </c>
      <c r="W130" s="186">
        <f>'GS &gt; 50 OLS Model'!$B$11*J130</f>
        <v>0</v>
      </c>
      <c r="X130" s="186">
        <f>'GS &gt; 50 OLS Model'!$B$12*K130</f>
        <v>2345350.8919449002</v>
      </c>
      <c r="Y130" s="186">
        <v>0</v>
      </c>
      <c r="Z130" s="186">
        <f>'GS &gt; 50 OLS Model'!$B$13*M130</f>
        <v>33551198.840181898</v>
      </c>
      <c r="AA130" s="186">
        <f>'GS &gt; 50 OLS Model'!$B$14*N130</f>
        <v>13083094.244134201</v>
      </c>
      <c r="AB130" s="127">
        <f t="shared" ca="1" si="45"/>
        <v>82573181.080947191</v>
      </c>
    </row>
    <row r="131" spans="1:28">
      <c r="A131" s="128">
        <v>43739</v>
      </c>
      <c r="B131" s="127">
        <f t="shared" si="42"/>
        <v>2019</v>
      </c>
      <c r="D131" s="127">
        <f t="shared" ca="1" si="46"/>
        <v>158.93676691729343</v>
      </c>
      <c r="E131" s="127">
        <f t="shared" ca="1" si="46"/>
        <v>16.916090225563948</v>
      </c>
      <c r="F131" s="127">
        <f>F119*(1+Employment!L$9)</f>
        <v>676783.89565771027</v>
      </c>
      <c r="G131" s="127">
        <f t="shared" si="13"/>
        <v>130</v>
      </c>
      <c r="H131" s="127">
        <f t="shared" ref="H131:L145" si="47">H119</f>
        <v>0</v>
      </c>
      <c r="I131" s="127">
        <f t="shared" si="47"/>
        <v>0</v>
      </c>
      <c r="J131" s="127">
        <f t="shared" si="47"/>
        <v>0</v>
      </c>
      <c r="K131" s="127">
        <f t="shared" si="47"/>
        <v>0</v>
      </c>
      <c r="L131" s="127">
        <f t="shared" si="47"/>
        <v>1</v>
      </c>
      <c r="M131" s="127">
        <f t="shared" si="15"/>
        <v>31</v>
      </c>
      <c r="N131" s="127">
        <v>22</v>
      </c>
      <c r="P131" s="127">
        <f>'GS &gt; 50 OLS Model'!$B$5</f>
        <v>-8508488.8174217809</v>
      </c>
      <c r="Q131" s="186">
        <f ca="1">'GS &gt; 50 OLS Model'!$B$6*D131</f>
        <v>3853554.4185213498</v>
      </c>
      <c r="R131" s="186">
        <f ca="1">'GS &gt; 50 OLS Model'!$B$7*E131</f>
        <v>1207599.2014961967</v>
      </c>
      <c r="S131" s="186">
        <f>'GS &gt; 50 OLS Model'!$B$8*F131</f>
        <v>35439266.411097787</v>
      </c>
      <c r="T131" s="186">
        <v>0</v>
      </c>
      <c r="U131" s="186">
        <f>'GS &gt; 50 OLS Model'!$B$9*H131</f>
        <v>0</v>
      </c>
      <c r="V131" s="186">
        <f>'GS &gt; 50 OLS Model'!$B$10*I131</f>
        <v>0</v>
      </c>
      <c r="W131" s="186">
        <f>'GS &gt; 50 OLS Model'!$B$11*J131</f>
        <v>0</v>
      </c>
      <c r="X131" s="186">
        <f>'GS &gt; 50 OLS Model'!$B$12*K131</f>
        <v>0</v>
      </c>
      <c r="Y131" s="186">
        <v>0</v>
      </c>
      <c r="Z131" s="186">
        <f>'GS &gt; 50 OLS Model'!$B$13*M131</f>
        <v>34669572.13485463</v>
      </c>
      <c r="AA131" s="186">
        <f>'GS &gt; 50 OLS Model'!$B$14*N131</f>
        <v>14391403.668547621</v>
      </c>
      <c r="AB131" s="127">
        <f t="shared" ca="1" si="45"/>
        <v>81052907.017095804</v>
      </c>
    </row>
    <row r="132" spans="1:28">
      <c r="A132" s="128">
        <v>43770</v>
      </c>
      <c r="B132" s="127">
        <f t="shared" si="42"/>
        <v>2019</v>
      </c>
      <c r="D132" s="127">
        <f t="shared" ca="1" si="46"/>
        <v>375.92533834586447</v>
      </c>
      <c r="E132" s="127">
        <f t="shared" ca="1" si="46"/>
        <v>8.120300751879661E-2</v>
      </c>
      <c r="F132" s="127">
        <f>F120*(1+Employment!L$9)</f>
        <v>676783.89565771027</v>
      </c>
      <c r="G132" s="127">
        <f t="shared" si="13"/>
        <v>131</v>
      </c>
      <c r="H132" s="127">
        <f t="shared" si="47"/>
        <v>0</v>
      </c>
      <c r="I132" s="127">
        <f t="shared" si="47"/>
        <v>0</v>
      </c>
      <c r="J132" s="127">
        <f t="shared" si="47"/>
        <v>0</v>
      </c>
      <c r="K132" s="127">
        <f t="shared" si="47"/>
        <v>0</v>
      </c>
      <c r="L132" s="127">
        <f t="shared" si="47"/>
        <v>0</v>
      </c>
      <c r="M132" s="127">
        <f t="shared" si="15"/>
        <v>30</v>
      </c>
      <c r="N132" s="127">
        <v>21</v>
      </c>
      <c r="P132" s="127">
        <f>'GS &gt; 50 OLS Model'!$B$5</f>
        <v>-8508488.8174217809</v>
      </c>
      <c r="Q132" s="186">
        <f ca="1">'GS &gt; 50 OLS Model'!$B$6*D132</f>
        <v>9114623.234853385</v>
      </c>
      <c r="R132" s="186">
        <f ca="1">'GS &gt; 50 OLS Model'!$B$7*E132</f>
        <v>5796.8883903561291</v>
      </c>
      <c r="S132" s="186">
        <f>'GS &gt; 50 OLS Model'!$B$8*F132</f>
        <v>35439266.411097787</v>
      </c>
      <c r="T132" s="186">
        <v>0</v>
      </c>
      <c r="U132" s="186">
        <f>'GS &gt; 50 OLS Model'!$B$9*H132</f>
        <v>0</v>
      </c>
      <c r="V132" s="186">
        <f>'GS &gt; 50 OLS Model'!$B$10*I132</f>
        <v>0</v>
      </c>
      <c r="W132" s="186">
        <f>'GS &gt; 50 OLS Model'!$B$11*J132</f>
        <v>0</v>
      </c>
      <c r="X132" s="186">
        <f>'GS &gt; 50 OLS Model'!$B$12*K132</f>
        <v>0</v>
      </c>
      <c r="Y132" s="186">
        <v>0</v>
      </c>
      <c r="Z132" s="186">
        <f>'GS &gt; 50 OLS Model'!$B$13*M132</f>
        <v>33551198.840181898</v>
      </c>
      <c r="AA132" s="186">
        <f>'GS &gt; 50 OLS Model'!$B$14*N132</f>
        <v>13737248.956340911</v>
      </c>
      <c r="AB132" s="127">
        <f t="shared" ca="1" si="45"/>
        <v>83339645.513442561</v>
      </c>
    </row>
    <row r="133" spans="1:28">
      <c r="A133" s="128">
        <v>43800</v>
      </c>
      <c r="B133" s="127">
        <f t="shared" si="42"/>
        <v>2019</v>
      </c>
      <c r="D133" s="127">
        <f t="shared" ca="1" si="46"/>
        <v>548.76120300751859</v>
      </c>
      <c r="E133" s="127">
        <f t="shared" ca="1" si="46"/>
        <v>0</v>
      </c>
      <c r="F133" s="127">
        <f>F121*(1+Employment!L$9)</f>
        <v>676783.89565771027</v>
      </c>
      <c r="G133" s="127">
        <f t="shared" si="13"/>
        <v>132</v>
      </c>
      <c r="H133" s="127">
        <f t="shared" si="47"/>
        <v>0</v>
      </c>
      <c r="I133" s="127">
        <f t="shared" si="47"/>
        <v>0</v>
      </c>
      <c r="J133" s="127">
        <f t="shared" si="47"/>
        <v>0</v>
      </c>
      <c r="K133" s="127">
        <f t="shared" si="47"/>
        <v>0</v>
      </c>
      <c r="L133" s="127">
        <f t="shared" si="47"/>
        <v>0</v>
      </c>
      <c r="M133" s="127">
        <f t="shared" si="15"/>
        <v>31</v>
      </c>
      <c r="N133" s="127">
        <v>20</v>
      </c>
      <c r="P133" s="127">
        <f>'GS &gt; 50 OLS Model'!$B$5</f>
        <v>-8508488.8174217809</v>
      </c>
      <c r="Q133" s="186">
        <f ca="1">'GS &gt; 50 OLS Model'!$B$6*D133</f>
        <v>13305172.865779633</v>
      </c>
      <c r="R133" s="186">
        <f ca="1">'GS &gt; 50 OLS Model'!$B$7*E133</f>
        <v>0</v>
      </c>
      <c r="S133" s="186">
        <f>'GS &gt; 50 OLS Model'!$B$8*F133</f>
        <v>35439266.411097787</v>
      </c>
      <c r="T133" s="186">
        <v>0</v>
      </c>
      <c r="U133" s="186">
        <f>'GS &gt; 50 OLS Model'!$B$9*H133</f>
        <v>0</v>
      </c>
      <c r="V133" s="186">
        <f>'GS &gt; 50 OLS Model'!$B$10*I133</f>
        <v>0</v>
      </c>
      <c r="W133" s="186">
        <f>'GS &gt; 50 OLS Model'!$B$11*J133</f>
        <v>0</v>
      </c>
      <c r="X133" s="186">
        <f>'GS &gt; 50 OLS Model'!$B$12*K133</f>
        <v>0</v>
      </c>
      <c r="Y133" s="186">
        <v>0</v>
      </c>
      <c r="Z133" s="186">
        <f>'GS &gt; 50 OLS Model'!$B$13*M133</f>
        <v>34669572.13485463</v>
      </c>
      <c r="AA133" s="186">
        <f>'GS &gt; 50 OLS Model'!$B$14*N133</f>
        <v>13083094.244134201</v>
      </c>
      <c r="AB133" s="127">
        <f t="shared" ca="1" si="45"/>
        <v>87988616.838444471</v>
      </c>
    </row>
    <row r="134" spans="1:28">
      <c r="A134" s="128">
        <v>43831</v>
      </c>
      <c r="B134" s="127">
        <f t="shared" si="42"/>
        <v>2020</v>
      </c>
      <c r="D134" s="127">
        <f t="shared" ca="1" si="46"/>
        <v>665.14879699248104</v>
      </c>
      <c r="E134" s="127">
        <f t="shared" ca="1" si="46"/>
        <v>0</v>
      </c>
      <c r="F134" s="127">
        <f>F122*(1+Employment!L$10)</f>
        <v>687206.36765083903</v>
      </c>
      <c r="G134" s="127">
        <f t="shared" si="13"/>
        <v>133</v>
      </c>
      <c r="H134" s="127">
        <f t="shared" si="47"/>
        <v>0</v>
      </c>
      <c r="I134" s="127">
        <f t="shared" si="47"/>
        <v>0</v>
      </c>
      <c r="J134" s="127">
        <f t="shared" si="47"/>
        <v>0</v>
      </c>
      <c r="K134" s="127">
        <f t="shared" si="47"/>
        <v>0</v>
      </c>
      <c r="L134" s="127">
        <f t="shared" si="47"/>
        <v>0</v>
      </c>
      <c r="M134" s="127">
        <f t="shared" si="15"/>
        <v>31</v>
      </c>
      <c r="N134" s="127">
        <v>22</v>
      </c>
      <c r="P134" s="127">
        <f>'GS &gt; 50 OLS Model'!$B$5</f>
        <v>-8508488.8174217809</v>
      </c>
      <c r="Q134" s="186">
        <f ca="1">'GS &gt; 50 OLS Model'!$B$6*D134</f>
        <v>16127087.113571094</v>
      </c>
      <c r="R134" s="186">
        <f ca="1">'GS &gt; 50 OLS Model'!$B$7*E134</f>
        <v>0</v>
      </c>
      <c r="S134" s="186">
        <f>'GS &gt; 50 OLS Model'!$B$8*F134</f>
        <v>35985031.113828696</v>
      </c>
      <c r="T134" s="186">
        <v>0</v>
      </c>
      <c r="U134" s="186">
        <f>'GS &gt; 50 OLS Model'!$B$9*H134</f>
        <v>0</v>
      </c>
      <c r="V134" s="186">
        <f>'GS &gt; 50 OLS Model'!$B$10*I134</f>
        <v>0</v>
      </c>
      <c r="W134" s="186">
        <f>'GS &gt; 50 OLS Model'!$B$11*J134</f>
        <v>0</v>
      </c>
      <c r="X134" s="186">
        <f>'GS &gt; 50 OLS Model'!$B$12*K134</f>
        <v>0</v>
      </c>
      <c r="Y134" s="186">
        <v>0</v>
      </c>
      <c r="Z134" s="186">
        <f>'GS &gt; 50 OLS Model'!$B$13*M134</f>
        <v>34669572.13485463</v>
      </c>
      <c r="AA134" s="186">
        <f>'GS &gt; 50 OLS Model'!$B$14*N134</f>
        <v>14391403.668547621</v>
      </c>
      <c r="AB134" s="127">
        <f t="shared" ca="1" si="45"/>
        <v>92664605.213380262</v>
      </c>
    </row>
    <row r="135" spans="1:28">
      <c r="A135" s="128">
        <v>43862</v>
      </c>
      <c r="B135" s="127">
        <f t="shared" si="42"/>
        <v>2020</v>
      </c>
      <c r="D135" s="127">
        <f t="shared" ca="1" si="46"/>
        <v>611.17548872180487</v>
      </c>
      <c r="E135" s="127">
        <f t="shared" ca="1" si="46"/>
        <v>0</v>
      </c>
      <c r="F135" s="127">
        <f>F123*(1+Employment!L$10)</f>
        <v>687206.36765083903</v>
      </c>
      <c r="G135" s="127">
        <f t="shared" si="13"/>
        <v>134</v>
      </c>
      <c r="H135" s="127">
        <f t="shared" si="47"/>
        <v>0</v>
      </c>
      <c r="I135" s="127">
        <f t="shared" si="47"/>
        <v>0</v>
      </c>
      <c r="J135" s="127">
        <f t="shared" si="47"/>
        <v>0</v>
      </c>
      <c r="K135" s="127">
        <f t="shared" si="47"/>
        <v>0</v>
      </c>
      <c r="L135" s="127">
        <f t="shared" si="47"/>
        <v>0</v>
      </c>
      <c r="M135" s="127">
        <f t="shared" si="15"/>
        <v>29</v>
      </c>
      <c r="N135" s="127">
        <v>19</v>
      </c>
      <c r="P135" s="127">
        <f>'GS &gt; 50 OLS Model'!$B$5</f>
        <v>-8508488.8174217809</v>
      </c>
      <c r="Q135" s="186">
        <f ca="1">'GS &gt; 50 OLS Model'!$B$6*D135</f>
        <v>14818459.257331191</v>
      </c>
      <c r="R135" s="186">
        <f ca="1">'GS &gt; 50 OLS Model'!$B$7*E135</f>
        <v>0</v>
      </c>
      <c r="S135" s="186">
        <f>'GS &gt; 50 OLS Model'!$B$8*F135</f>
        <v>35985031.113828696</v>
      </c>
      <c r="T135" s="186">
        <v>0</v>
      </c>
      <c r="U135" s="186">
        <f>'GS &gt; 50 OLS Model'!$B$9*H135</f>
        <v>0</v>
      </c>
      <c r="V135" s="186">
        <f>'GS &gt; 50 OLS Model'!$B$10*I135</f>
        <v>0</v>
      </c>
      <c r="W135" s="186">
        <f>'GS &gt; 50 OLS Model'!$B$11*J135</f>
        <v>0</v>
      </c>
      <c r="X135" s="186">
        <f>'GS &gt; 50 OLS Model'!$B$12*K135</f>
        <v>0</v>
      </c>
      <c r="Y135" s="186">
        <v>0</v>
      </c>
      <c r="Z135" s="186">
        <f>'GS &gt; 50 OLS Model'!$B$13*M135</f>
        <v>32432825.545509167</v>
      </c>
      <c r="AA135" s="186">
        <f>'GS &gt; 50 OLS Model'!$B$14*N135</f>
        <v>12428939.531927491</v>
      </c>
      <c r="AB135" s="127">
        <f t="shared" ca="1" si="45"/>
        <v>87156766.631174773</v>
      </c>
    </row>
    <row r="136" spans="1:28">
      <c r="A136" s="128">
        <v>43891</v>
      </c>
      <c r="B136" s="127">
        <f t="shared" si="42"/>
        <v>2020</v>
      </c>
      <c r="D136" s="127">
        <f t="shared" ca="1" si="46"/>
        <v>458.46436090225569</v>
      </c>
      <c r="E136" s="127">
        <f t="shared" ca="1" si="46"/>
        <v>0.45218045112781802</v>
      </c>
      <c r="F136" s="127">
        <f>F124*(1+Employment!L$10)</f>
        <v>687206.36765083903</v>
      </c>
      <c r="G136" s="127">
        <f t="shared" si="13"/>
        <v>135</v>
      </c>
      <c r="H136" s="127">
        <f t="shared" si="47"/>
        <v>0</v>
      </c>
      <c r="I136" s="127">
        <f t="shared" si="47"/>
        <v>0</v>
      </c>
      <c r="J136" s="127">
        <f t="shared" si="47"/>
        <v>0</v>
      </c>
      <c r="K136" s="127">
        <f t="shared" si="47"/>
        <v>0</v>
      </c>
      <c r="L136" s="127">
        <f t="shared" si="47"/>
        <v>0</v>
      </c>
      <c r="M136" s="127">
        <f t="shared" si="15"/>
        <v>31</v>
      </c>
      <c r="N136" s="127">
        <v>22</v>
      </c>
      <c r="P136" s="127">
        <f>'GS &gt; 50 OLS Model'!$B$5</f>
        <v>-8508488.8174217809</v>
      </c>
      <c r="Q136" s="186">
        <f ca="1">'GS &gt; 50 OLS Model'!$B$6*D136</f>
        <v>11115850.64901193</v>
      </c>
      <c r="R136" s="186">
        <f ca="1">'GS &gt; 50 OLS Model'!$B$7*E136</f>
        <v>32280.080351483153</v>
      </c>
      <c r="S136" s="186">
        <f>'GS &gt; 50 OLS Model'!$B$8*F136</f>
        <v>35985031.113828696</v>
      </c>
      <c r="T136" s="186">
        <v>0</v>
      </c>
      <c r="U136" s="186">
        <f>'GS &gt; 50 OLS Model'!$B$9*H136</f>
        <v>0</v>
      </c>
      <c r="V136" s="186">
        <f>'GS &gt; 50 OLS Model'!$B$10*I136</f>
        <v>0</v>
      </c>
      <c r="W136" s="186">
        <f>'GS &gt; 50 OLS Model'!$B$11*J136</f>
        <v>0</v>
      </c>
      <c r="X136" s="186">
        <f>'GS &gt; 50 OLS Model'!$B$12*K136</f>
        <v>0</v>
      </c>
      <c r="Y136" s="186">
        <v>0</v>
      </c>
      <c r="Z136" s="186">
        <f>'GS &gt; 50 OLS Model'!$B$13*M136</f>
        <v>34669572.13485463</v>
      </c>
      <c r="AA136" s="186">
        <f>'GS &gt; 50 OLS Model'!$B$14*N136</f>
        <v>14391403.668547621</v>
      </c>
      <c r="AB136" s="127">
        <f t="shared" ca="1" si="45"/>
        <v>87685648.829172567</v>
      </c>
    </row>
    <row r="137" spans="1:28">
      <c r="A137" s="128">
        <v>43922</v>
      </c>
      <c r="B137" s="127">
        <f t="shared" si="42"/>
        <v>2020</v>
      </c>
      <c r="D137" s="127">
        <f t="shared" ca="1" si="46"/>
        <v>254.29052631578941</v>
      </c>
      <c r="E137" s="127">
        <f t="shared" ca="1" si="46"/>
        <v>0.50947368421054762</v>
      </c>
      <c r="F137" s="127">
        <f>F125*(1+Employment!L$10)</f>
        <v>687206.36765083903</v>
      </c>
      <c r="G137" s="127">
        <f t="shared" si="13"/>
        <v>136</v>
      </c>
      <c r="H137" s="127">
        <f t="shared" si="47"/>
        <v>1</v>
      </c>
      <c r="I137" s="127">
        <f t="shared" si="47"/>
        <v>0</v>
      </c>
      <c r="J137" s="127">
        <f t="shared" si="47"/>
        <v>0</v>
      </c>
      <c r="K137" s="127">
        <f t="shared" si="47"/>
        <v>0</v>
      </c>
      <c r="L137" s="127">
        <f t="shared" si="47"/>
        <v>0</v>
      </c>
      <c r="M137" s="127">
        <f t="shared" si="15"/>
        <v>30</v>
      </c>
      <c r="N137" s="127">
        <v>21</v>
      </c>
      <c r="P137" s="127">
        <f>'GS &gt; 50 OLS Model'!$B$5</f>
        <v>-8508488.8174217809</v>
      </c>
      <c r="Q137" s="186">
        <f ca="1">'GS &gt; 50 OLS Model'!$B$6*D137</f>
        <v>6165485.8109845407</v>
      </c>
      <c r="R137" s="186">
        <f ca="1">'GS &gt; 50 OLS Model'!$B$7*E137</f>
        <v>36370.107160236068</v>
      </c>
      <c r="S137" s="186">
        <f>'GS &gt; 50 OLS Model'!$B$8*F137</f>
        <v>35985031.113828696</v>
      </c>
      <c r="T137" s="186">
        <v>0</v>
      </c>
      <c r="U137" s="186">
        <f>'GS &gt; 50 OLS Model'!$B$9*H137</f>
        <v>-1670359.8066300801</v>
      </c>
      <c r="V137" s="186">
        <f>'GS &gt; 50 OLS Model'!$B$10*I137</f>
        <v>0</v>
      </c>
      <c r="W137" s="186">
        <f>'GS &gt; 50 OLS Model'!$B$11*J137</f>
        <v>0</v>
      </c>
      <c r="X137" s="186">
        <f>'GS &gt; 50 OLS Model'!$B$12*K137</f>
        <v>0</v>
      </c>
      <c r="Y137" s="186">
        <v>0</v>
      </c>
      <c r="Z137" s="186">
        <f>'GS &gt; 50 OLS Model'!$B$13*M137</f>
        <v>33551198.840181898</v>
      </c>
      <c r="AA137" s="186">
        <f>'GS &gt; 50 OLS Model'!$B$14*N137</f>
        <v>13737248.956340911</v>
      </c>
      <c r="AB137" s="127">
        <f t="shared" ca="1" si="45"/>
        <v>79296486.204444423</v>
      </c>
    </row>
    <row r="138" spans="1:28">
      <c r="A138" s="128">
        <v>43952</v>
      </c>
      <c r="B138" s="127">
        <f t="shared" si="42"/>
        <v>2020</v>
      </c>
      <c r="D138" s="127">
        <f t="shared" ca="1" si="46"/>
        <v>102.64150375939857</v>
      </c>
      <c r="E138" s="127">
        <f t="shared" ca="1" si="46"/>
        <v>56.062781954887214</v>
      </c>
      <c r="F138" s="127">
        <f>F126*(1+Employment!L$10)</f>
        <v>687206.36765083903</v>
      </c>
      <c r="G138" s="127">
        <f t="shared" si="13"/>
        <v>137</v>
      </c>
      <c r="H138" s="127">
        <f t="shared" si="47"/>
        <v>0</v>
      </c>
      <c r="I138" s="127">
        <f t="shared" si="47"/>
        <v>0</v>
      </c>
      <c r="J138" s="127">
        <f t="shared" si="47"/>
        <v>0</v>
      </c>
      <c r="K138" s="127">
        <f t="shared" si="47"/>
        <v>0</v>
      </c>
      <c r="L138" s="127">
        <f t="shared" si="47"/>
        <v>0</v>
      </c>
      <c r="M138" s="127">
        <f t="shared" si="15"/>
        <v>31</v>
      </c>
      <c r="N138" s="127">
        <v>20</v>
      </c>
      <c r="P138" s="127">
        <f>'GS &gt; 50 OLS Model'!$B$5</f>
        <v>-8508488.8174217809</v>
      </c>
      <c r="Q138" s="186">
        <f ca="1">'GS &gt; 50 OLS Model'!$B$6*D138</f>
        <v>2488628.8302412247</v>
      </c>
      <c r="R138" s="186">
        <f ca="1">'GS &gt; 50 OLS Model'!$B$7*E138</f>
        <v>4002187.8471696409</v>
      </c>
      <c r="S138" s="186">
        <f>'GS &gt; 50 OLS Model'!$B$8*F138</f>
        <v>35985031.113828696</v>
      </c>
      <c r="T138" s="186">
        <v>0</v>
      </c>
      <c r="U138" s="186">
        <f>'GS &gt; 50 OLS Model'!$B$9*H138</f>
        <v>0</v>
      </c>
      <c r="V138" s="186">
        <f>'GS &gt; 50 OLS Model'!$B$10*I138</f>
        <v>0</v>
      </c>
      <c r="W138" s="186">
        <f>'GS &gt; 50 OLS Model'!$B$11*J138</f>
        <v>0</v>
      </c>
      <c r="X138" s="186">
        <f>'GS &gt; 50 OLS Model'!$B$12*K138</f>
        <v>0</v>
      </c>
      <c r="Y138" s="186">
        <v>0</v>
      </c>
      <c r="Z138" s="186">
        <f>'GS &gt; 50 OLS Model'!$B$13*M138</f>
        <v>34669572.13485463</v>
      </c>
      <c r="AA138" s="186">
        <f>'GS &gt; 50 OLS Model'!$B$14*N138</f>
        <v>13083094.244134201</v>
      </c>
      <c r="AB138" s="127">
        <f t="shared" ca="1" si="45"/>
        <v>81720025.352806613</v>
      </c>
    </row>
    <row r="139" spans="1:28">
      <c r="A139" s="128">
        <v>43983</v>
      </c>
      <c r="B139" s="127">
        <f t="shared" si="42"/>
        <v>2020</v>
      </c>
      <c r="D139" s="127">
        <f t="shared" ca="1" si="46"/>
        <v>0.39669172932326546</v>
      </c>
      <c r="E139" s="127">
        <f t="shared" ca="1" si="46"/>
        <v>116.89315789473682</v>
      </c>
      <c r="F139" s="127">
        <f>F127*(1+Employment!L$10)</f>
        <v>687206.36765083903</v>
      </c>
      <c r="G139" s="127">
        <f t="shared" si="13"/>
        <v>138</v>
      </c>
      <c r="H139" s="127">
        <f t="shared" si="47"/>
        <v>0</v>
      </c>
      <c r="I139" s="127">
        <f t="shared" si="47"/>
        <v>1</v>
      </c>
      <c r="J139" s="127">
        <f t="shared" si="47"/>
        <v>0</v>
      </c>
      <c r="K139" s="127">
        <f t="shared" si="47"/>
        <v>0</v>
      </c>
      <c r="L139" s="127">
        <f t="shared" si="47"/>
        <v>0</v>
      </c>
      <c r="M139" s="127">
        <f t="shared" si="15"/>
        <v>30</v>
      </c>
      <c r="N139" s="127">
        <v>22</v>
      </c>
      <c r="P139" s="127">
        <f>'GS &gt; 50 OLS Model'!$B$5</f>
        <v>-8508488.8174217809</v>
      </c>
      <c r="Q139" s="186">
        <f ca="1">'GS &gt; 50 OLS Model'!$B$6*D139</f>
        <v>9618.1216969137586</v>
      </c>
      <c r="R139" s="186">
        <f ca="1">'GS &gt; 50 OLS Model'!$B$7*E139</f>
        <v>8344722.8202134408</v>
      </c>
      <c r="S139" s="186">
        <f>'GS &gt; 50 OLS Model'!$B$8*F139</f>
        <v>35985031.113828696</v>
      </c>
      <c r="T139" s="186">
        <v>0</v>
      </c>
      <c r="U139" s="186">
        <f>'GS &gt; 50 OLS Model'!$B$9*H139</f>
        <v>0</v>
      </c>
      <c r="V139" s="186">
        <f>'GS &gt; 50 OLS Model'!$B$10*I139</f>
        <v>1244451.2383117899</v>
      </c>
      <c r="W139" s="186">
        <f>'GS &gt; 50 OLS Model'!$B$11*J139</f>
        <v>0</v>
      </c>
      <c r="X139" s="186">
        <f>'GS &gt; 50 OLS Model'!$B$12*K139</f>
        <v>0</v>
      </c>
      <c r="Y139" s="186">
        <v>0</v>
      </c>
      <c r="Z139" s="186">
        <f>'GS &gt; 50 OLS Model'!$B$13*M139</f>
        <v>33551198.840181898</v>
      </c>
      <c r="AA139" s="186">
        <f>'GS &gt; 50 OLS Model'!$B$14*N139</f>
        <v>14391403.668547621</v>
      </c>
      <c r="AB139" s="127">
        <f t="shared" ca="1" si="45"/>
        <v>85017936.985358566</v>
      </c>
    </row>
    <row r="140" spans="1:28">
      <c r="A140" s="128">
        <v>44013</v>
      </c>
      <c r="B140" s="127">
        <f t="shared" si="42"/>
        <v>2020</v>
      </c>
      <c r="D140" s="127">
        <f t="shared" ca="1" si="46"/>
        <v>0.58105263157894704</v>
      </c>
      <c r="E140" s="127">
        <f t="shared" ca="1" si="46"/>
        <v>186.96526315789481</v>
      </c>
      <c r="F140" s="127">
        <f>F128*(1+Employment!L$10)</f>
        <v>687206.36765083903</v>
      </c>
      <c r="G140" s="127">
        <f t="shared" si="13"/>
        <v>139</v>
      </c>
      <c r="H140" s="127">
        <f t="shared" si="47"/>
        <v>0</v>
      </c>
      <c r="I140" s="127">
        <f t="shared" si="47"/>
        <v>0</v>
      </c>
      <c r="J140" s="127">
        <f t="shared" si="47"/>
        <v>0</v>
      </c>
      <c r="K140" s="127">
        <f t="shared" si="47"/>
        <v>0</v>
      </c>
      <c r="L140" s="127">
        <f t="shared" si="47"/>
        <v>0</v>
      </c>
      <c r="M140" s="127">
        <f t="shared" si="15"/>
        <v>31</v>
      </c>
      <c r="N140" s="127">
        <v>22</v>
      </c>
      <c r="P140" s="127">
        <f>'GS &gt; 50 OLS Model'!$B$5</f>
        <v>-8508488.8174217809</v>
      </c>
      <c r="Q140" s="186">
        <f ca="1">'GS &gt; 50 OLS Model'!$B$6*D140</f>
        <v>14088.105472660634</v>
      </c>
      <c r="R140" s="186">
        <f ca="1">'GS &gt; 50 OLS Model'!$B$7*E140</f>
        <v>13347002.734461535</v>
      </c>
      <c r="S140" s="186">
        <f>'GS &gt; 50 OLS Model'!$B$8*F140</f>
        <v>35985031.113828696</v>
      </c>
      <c r="T140" s="186">
        <v>0</v>
      </c>
      <c r="U140" s="186">
        <f>'GS &gt; 50 OLS Model'!$B$9*H140</f>
        <v>0</v>
      </c>
      <c r="V140" s="186">
        <f>'GS &gt; 50 OLS Model'!$B$10*I140</f>
        <v>0</v>
      </c>
      <c r="W140" s="186">
        <f>'GS &gt; 50 OLS Model'!$B$11*J140</f>
        <v>0</v>
      </c>
      <c r="X140" s="186">
        <f>'GS &gt; 50 OLS Model'!$B$12*K140</f>
        <v>0</v>
      </c>
      <c r="Y140" s="186">
        <v>0</v>
      </c>
      <c r="Z140" s="186">
        <f>'GS &gt; 50 OLS Model'!$B$13*M140</f>
        <v>34669572.13485463</v>
      </c>
      <c r="AA140" s="186">
        <f>'GS &gt; 50 OLS Model'!$B$14*N140</f>
        <v>14391403.668547621</v>
      </c>
      <c r="AB140" s="127">
        <f t="shared" ca="1" si="45"/>
        <v>89898608.939743355</v>
      </c>
    </row>
    <row r="141" spans="1:28">
      <c r="A141" s="128">
        <v>44044</v>
      </c>
      <c r="B141" s="127">
        <f t="shared" si="42"/>
        <v>2020</v>
      </c>
      <c r="D141" s="127">
        <f t="shared" ca="1" si="46"/>
        <v>1.6660902255639058</v>
      </c>
      <c r="E141" s="127">
        <f t="shared" ca="1" si="46"/>
        <v>167.43443609022574</v>
      </c>
      <c r="F141" s="127">
        <f>F129*(1+Employment!L$10)</f>
        <v>687206.36765083903</v>
      </c>
      <c r="G141" s="127">
        <f t="shared" si="13"/>
        <v>140</v>
      </c>
      <c r="H141" s="127">
        <f t="shared" si="47"/>
        <v>0</v>
      </c>
      <c r="I141" s="127">
        <f t="shared" si="47"/>
        <v>0</v>
      </c>
      <c r="J141" s="127">
        <f t="shared" si="47"/>
        <v>1</v>
      </c>
      <c r="K141" s="127">
        <f t="shared" si="47"/>
        <v>0</v>
      </c>
      <c r="L141" s="127">
        <f t="shared" si="47"/>
        <v>0</v>
      </c>
      <c r="M141" s="127">
        <f t="shared" si="15"/>
        <v>31</v>
      </c>
      <c r="N141" s="127">
        <v>20</v>
      </c>
      <c r="P141" s="127">
        <f>'GS &gt; 50 OLS Model'!$B$5</f>
        <v>-8508488.8174217809</v>
      </c>
      <c r="Q141" s="186">
        <f ca="1">'GS &gt; 50 OLS Model'!$B$6*D141</f>
        <v>40395.746528039141</v>
      </c>
      <c r="R141" s="186">
        <f ca="1">'GS &gt; 50 OLS Model'!$B$7*E141</f>
        <v>11952743.72679588</v>
      </c>
      <c r="S141" s="186">
        <f>'GS &gt; 50 OLS Model'!$B$8*F141</f>
        <v>35985031.113828696</v>
      </c>
      <c r="T141" s="186">
        <v>0</v>
      </c>
      <c r="U141" s="186">
        <f>'GS &gt; 50 OLS Model'!$B$9*H141</f>
        <v>0</v>
      </c>
      <c r="V141" s="186">
        <f>'GS &gt; 50 OLS Model'!$B$10*I141</f>
        <v>0</v>
      </c>
      <c r="W141" s="186">
        <f>'GS &gt; 50 OLS Model'!$B$11*J141</f>
        <v>2505717.0713192602</v>
      </c>
      <c r="X141" s="186">
        <f>'GS &gt; 50 OLS Model'!$B$12*K141</f>
        <v>0</v>
      </c>
      <c r="Y141" s="186">
        <v>0</v>
      </c>
      <c r="Z141" s="186">
        <f>'GS &gt; 50 OLS Model'!$B$13*M141</f>
        <v>34669572.13485463</v>
      </c>
      <c r="AA141" s="186">
        <f>'GS &gt; 50 OLS Model'!$B$14*N141</f>
        <v>13083094.244134201</v>
      </c>
      <c r="AB141" s="127">
        <f t="shared" ca="1" si="45"/>
        <v>89728065.220038936</v>
      </c>
    </row>
    <row r="142" spans="1:28">
      <c r="A142" s="128">
        <v>44075</v>
      </c>
      <c r="B142" s="127">
        <f t="shared" si="42"/>
        <v>2020</v>
      </c>
      <c r="D142" s="127">
        <f t="shared" ca="1" si="46"/>
        <v>30.410827067669118</v>
      </c>
      <c r="E142" s="127">
        <f t="shared" ca="1" si="46"/>
        <v>83.003533834586506</v>
      </c>
      <c r="F142" s="127">
        <f>F130*(1+Employment!L$10)</f>
        <v>687206.36765083903</v>
      </c>
      <c r="G142" s="127">
        <f t="shared" si="13"/>
        <v>141</v>
      </c>
      <c r="H142" s="127">
        <f t="shared" si="47"/>
        <v>0</v>
      </c>
      <c r="I142" s="127">
        <f t="shared" si="47"/>
        <v>0</v>
      </c>
      <c r="J142" s="127">
        <f t="shared" si="47"/>
        <v>0</v>
      </c>
      <c r="K142" s="127">
        <f t="shared" si="47"/>
        <v>1</v>
      </c>
      <c r="L142" s="127">
        <f t="shared" si="47"/>
        <v>0</v>
      </c>
      <c r="M142" s="127">
        <f t="shared" si="15"/>
        <v>30</v>
      </c>
      <c r="N142" s="127">
        <v>21</v>
      </c>
      <c r="P142" s="127">
        <f>'GS &gt; 50 OLS Model'!$B$5</f>
        <v>-8508488.8174217809</v>
      </c>
      <c r="Q142" s="186">
        <f ca="1">'GS &gt; 50 OLS Model'!$B$6*D142</f>
        <v>737335.85557637212</v>
      </c>
      <c r="R142" s="186">
        <f ca="1">'GS &gt; 50 OLS Model'!$B$7*E142</f>
        <v>5925423.6554338057</v>
      </c>
      <c r="S142" s="186">
        <f>'GS &gt; 50 OLS Model'!$B$8*F142</f>
        <v>35985031.113828696</v>
      </c>
      <c r="T142" s="186">
        <v>0</v>
      </c>
      <c r="U142" s="186">
        <f>'GS &gt; 50 OLS Model'!$B$9*H142</f>
        <v>0</v>
      </c>
      <c r="V142" s="186">
        <f>'GS &gt; 50 OLS Model'!$B$10*I142</f>
        <v>0</v>
      </c>
      <c r="W142" s="186">
        <f>'GS &gt; 50 OLS Model'!$B$11*J142</f>
        <v>0</v>
      </c>
      <c r="X142" s="186">
        <f>'GS &gt; 50 OLS Model'!$B$12*K142</f>
        <v>2345350.8919449002</v>
      </c>
      <c r="Y142" s="186">
        <v>0</v>
      </c>
      <c r="Z142" s="186">
        <f>'GS &gt; 50 OLS Model'!$B$13*M142</f>
        <v>33551198.840181898</v>
      </c>
      <c r="AA142" s="186">
        <f>'GS &gt; 50 OLS Model'!$B$14*N142</f>
        <v>13737248.956340911</v>
      </c>
      <c r="AB142" s="127">
        <f t="shared" ca="1" si="45"/>
        <v>83773100.495884806</v>
      </c>
    </row>
    <row r="143" spans="1:28">
      <c r="A143" s="128">
        <v>44105</v>
      </c>
      <c r="B143" s="127">
        <f t="shared" si="42"/>
        <v>2020</v>
      </c>
      <c r="D143" s="127">
        <f t="shared" ca="1" si="46"/>
        <v>158.93676691729343</v>
      </c>
      <c r="E143" s="127">
        <f t="shared" ca="1" si="46"/>
        <v>16.916090225563948</v>
      </c>
      <c r="F143" s="127">
        <f>F131*(1+Employment!L$10)</f>
        <v>687206.36765083903</v>
      </c>
      <c r="G143" s="127">
        <f t="shared" si="13"/>
        <v>142</v>
      </c>
      <c r="H143" s="127">
        <f t="shared" si="47"/>
        <v>0</v>
      </c>
      <c r="I143" s="127">
        <f t="shared" si="47"/>
        <v>0</v>
      </c>
      <c r="J143" s="127">
        <f t="shared" si="47"/>
        <v>0</v>
      </c>
      <c r="K143" s="127">
        <f t="shared" si="47"/>
        <v>0</v>
      </c>
      <c r="L143" s="127">
        <f t="shared" si="47"/>
        <v>1</v>
      </c>
      <c r="M143" s="127">
        <f t="shared" si="15"/>
        <v>31</v>
      </c>
      <c r="N143" s="127">
        <v>21</v>
      </c>
      <c r="P143" s="127">
        <f>'GS &gt; 50 OLS Model'!$B$5</f>
        <v>-8508488.8174217809</v>
      </c>
      <c r="Q143" s="186">
        <f ca="1">'GS &gt; 50 OLS Model'!$B$6*D143</f>
        <v>3853554.4185213498</v>
      </c>
      <c r="R143" s="186">
        <f ca="1">'GS &gt; 50 OLS Model'!$B$7*E143</f>
        <v>1207599.2014961967</v>
      </c>
      <c r="S143" s="186">
        <f>'GS &gt; 50 OLS Model'!$B$8*F143</f>
        <v>35985031.113828696</v>
      </c>
      <c r="T143" s="186">
        <v>0</v>
      </c>
      <c r="U143" s="186">
        <f>'GS &gt; 50 OLS Model'!$B$9*H143</f>
        <v>0</v>
      </c>
      <c r="V143" s="186">
        <f>'GS &gt; 50 OLS Model'!$B$10*I143</f>
        <v>0</v>
      </c>
      <c r="W143" s="186">
        <f>'GS &gt; 50 OLS Model'!$B$11*J143</f>
        <v>0</v>
      </c>
      <c r="X143" s="186">
        <f>'GS &gt; 50 OLS Model'!$B$12*K143</f>
        <v>0</v>
      </c>
      <c r="Y143" s="186">
        <v>0</v>
      </c>
      <c r="Z143" s="186">
        <f>'GS &gt; 50 OLS Model'!$B$13*M143</f>
        <v>34669572.13485463</v>
      </c>
      <c r="AA143" s="186">
        <f>'GS &gt; 50 OLS Model'!$B$14*N143</f>
        <v>13737248.956340911</v>
      </c>
      <c r="AB143" s="127">
        <f t="shared" ca="1" si="45"/>
        <v>80944517.007620007</v>
      </c>
    </row>
    <row r="144" spans="1:28">
      <c r="A144" s="128">
        <v>44136</v>
      </c>
      <c r="B144" s="127">
        <f t="shared" si="42"/>
        <v>2020</v>
      </c>
      <c r="D144" s="127">
        <f t="shared" ca="1" si="46"/>
        <v>375.92533834586447</v>
      </c>
      <c r="E144" s="127">
        <f t="shared" ca="1" si="46"/>
        <v>8.120300751879661E-2</v>
      </c>
      <c r="F144" s="127">
        <f>F132*(1+Employment!L$10)</f>
        <v>687206.36765083903</v>
      </c>
      <c r="G144" s="127">
        <f t="shared" si="13"/>
        <v>143</v>
      </c>
      <c r="H144" s="127">
        <f t="shared" si="47"/>
        <v>0</v>
      </c>
      <c r="I144" s="127">
        <f t="shared" si="47"/>
        <v>0</v>
      </c>
      <c r="J144" s="127">
        <f t="shared" si="47"/>
        <v>0</v>
      </c>
      <c r="K144" s="127">
        <f t="shared" si="47"/>
        <v>0</v>
      </c>
      <c r="L144" s="127">
        <f t="shared" si="47"/>
        <v>0</v>
      </c>
      <c r="M144" s="127">
        <f t="shared" si="15"/>
        <v>30</v>
      </c>
      <c r="N144" s="127">
        <v>21</v>
      </c>
      <c r="P144" s="127">
        <f>'GS &gt; 50 OLS Model'!$B$5</f>
        <v>-8508488.8174217809</v>
      </c>
      <c r="Q144" s="186">
        <f ca="1">'GS &gt; 50 OLS Model'!$B$6*D144</f>
        <v>9114623.234853385</v>
      </c>
      <c r="R144" s="186">
        <f ca="1">'GS &gt; 50 OLS Model'!$B$7*E144</f>
        <v>5796.8883903561291</v>
      </c>
      <c r="S144" s="186">
        <f>'GS &gt; 50 OLS Model'!$B$8*F144</f>
        <v>35985031.113828696</v>
      </c>
      <c r="T144" s="186">
        <v>0</v>
      </c>
      <c r="U144" s="186">
        <f>'GS &gt; 50 OLS Model'!$B$9*H144</f>
        <v>0</v>
      </c>
      <c r="V144" s="186">
        <f>'GS &gt; 50 OLS Model'!$B$10*I144</f>
        <v>0</v>
      </c>
      <c r="W144" s="186">
        <f>'GS &gt; 50 OLS Model'!$B$11*J144</f>
        <v>0</v>
      </c>
      <c r="X144" s="186">
        <f>'GS &gt; 50 OLS Model'!$B$12*K144</f>
        <v>0</v>
      </c>
      <c r="Y144" s="186">
        <v>0</v>
      </c>
      <c r="Z144" s="186">
        <f>'GS &gt; 50 OLS Model'!$B$13*M144</f>
        <v>33551198.840181898</v>
      </c>
      <c r="AA144" s="186">
        <f>'GS &gt; 50 OLS Model'!$B$14*N144</f>
        <v>13737248.956340911</v>
      </c>
      <c r="AB144" s="127">
        <f t="shared" ca="1" si="45"/>
        <v>83885410.21617347</v>
      </c>
    </row>
    <row r="145" spans="1:28">
      <c r="A145" s="128">
        <v>44166</v>
      </c>
      <c r="B145" s="127">
        <f t="shared" si="42"/>
        <v>2020</v>
      </c>
      <c r="D145" s="127">
        <f t="shared" ca="1" si="46"/>
        <v>548.76120300751859</v>
      </c>
      <c r="E145" s="127">
        <f t="shared" ca="1" si="46"/>
        <v>0</v>
      </c>
      <c r="F145" s="127">
        <f>F133*(1+Employment!L$10)</f>
        <v>687206.36765083903</v>
      </c>
      <c r="G145" s="127">
        <f t="shared" si="13"/>
        <v>144</v>
      </c>
      <c r="H145" s="127">
        <f t="shared" si="47"/>
        <v>0</v>
      </c>
      <c r="I145" s="127">
        <f t="shared" si="47"/>
        <v>0</v>
      </c>
      <c r="J145" s="127">
        <f t="shared" si="47"/>
        <v>0</v>
      </c>
      <c r="K145" s="127">
        <f t="shared" si="47"/>
        <v>0</v>
      </c>
      <c r="L145" s="127">
        <f t="shared" si="47"/>
        <v>0</v>
      </c>
      <c r="M145" s="127">
        <f t="shared" si="15"/>
        <v>31</v>
      </c>
      <c r="N145" s="127">
        <v>21</v>
      </c>
      <c r="P145" s="127">
        <f>'GS &gt; 50 OLS Model'!$B$5</f>
        <v>-8508488.8174217809</v>
      </c>
      <c r="Q145" s="186">
        <f ca="1">'GS &gt; 50 OLS Model'!$B$6*D145</f>
        <v>13305172.865779633</v>
      </c>
      <c r="R145" s="186">
        <f ca="1">'GS &gt; 50 OLS Model'!$B$7*E145</f>
        <v>0</v>
      </c>
      <c r="S145" s="186">
        <f>'GS &gt; 50 OLS Model'!$B$8*F145</f>
        <v>35985031.113828696</v>
      </c>
      <c r="T145" s="186">
        <v>0</v>
      </c>
      <c r="U145" s="186">
        <f>'GS &gt; 50 OLS Model'!$B$9*H145</f>
        <v>0</v>
      </c>
      <c r="V145" s="186">
        <f>'GS &gt; 50 OLS Model'!$B$10*I145</f>
        <v>0</v>
      </c>
      <c r="W145" s="186">
        <f>'GS &gt; 50 OLS Model'!$B$11*J145</f>
        <v>0</v>
      </c>
      <c r="X145" s="186">
        <f>'GS &gt; 50 OLS Model'!$B$12*K145</f>
        <v>0</v>
      </c>
      <c r="Y145" s="186">
        <v>0</v>
      </c>
      <c r="Z145" s="186">
        <f>'GS &gt; 50 OLS Model'!$B$13*M145</f>
        <v>34669572.13485463</v>
      </c>
      <c r="AA145" s="186">
        <f>'GS &gt; 50 OLS Model'!$B$14*N145</f>
        <v>13737248.956340911</v>
      </c>
      <c r="AB145" s="127">
        <f t="shared" ca="1" si="45"/>
        <v>89188536.253382087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6469A-BEEF-479B-AD45-B9F1429A7B8A}">
  <dimension ref="A1:AB145"/>
  <sheetViews>
    <sheetView topLeftCell="J130" workbookViewId="0">
      <selection activeCell="P3" sqref="P3:AA145"/>
    </sheetView>
  </sheetViews>
  <sheetFormatPr defaultRowHeight="12.75"/>
  <cols>
    <col min="1" max="1" width="10.33203125" style="186" bestFit="1" customWidth="1"/>
    <col min="2" max="2" width="5" style="186" bestFit="1" customWidth="1"/>
    <col min="3" max="3" width="18.6640625" style="186" bestFit="1" customWidth="1"/>
    <col min="4" max="4" width="6.6640625" style="186" customWidth="1"/>
    <col min="5" max="5" width="6" style="186" bestFit="1" customWidth="1"/>
    <col min="6" max="6" width="9" style="186" bestFit="1" customWidth="1"/>
    <col min="7" max="7" width="3.83203125" style="186" bestFit="1" customWidth="1"/>
    <col min="8" max="8" width="10.1640625" style="186" bestFit="1" customWidth="1"/>
    <col min="9" max="9" width="4.33203125" style="186" bestFit="1" customWidth="1"/>
    <col min="10" max="10" width="5.33203125" style="186" bestFit="1" customWidth="1"/>
    <col min="11" max="15" width="9.33203125" style="186"/>
    <col min="16" max="16" width="12.6640625" style="186" bestFit="1" customWidth="1"/>
    <col min="17" max="18" width="12" style="186" bestFit="1" customWidth="1"/>
    <col min="19" max="20" width="12.6640625" style="186" bestFit="1" customWidth="1"/>
    <col min="21" max="22" width="12" style="186" bestFit="1" customWidth="1"/>
    <col min="23" max="23" width="12.6640625" style="186" bestFit="1" customWidth="1"/>
    <col min="24" max="27" width="12.6640625" style="186" customWidth="1"/>
    <col min="28" max="28" width="12" style="186" bestFit="1" customWidth="1"/>
    <col min="29" max="16384" width="9.33203125" style="186"/>
  </cols>
  <sheetData>
    <row r="1" spans="1:28">
      <c r="A1" s="186" t="s">
        <v>123</v>
      </c>
      <c r="B1" s="186" t="s">
        <v>124</v>
      </c>
      <c r="C1" s="186" t="str">
        <f>'Monthly Data'!O1</f>
        <v>GS_gt_50_NO_CDM</v>
      </c>
      <c r="D1" s="186" t="str">
        <f>'Monthly Data'!BH1</f>
        <v>HDD</v>
      </c>
      <c r="E1" s="186" t="str">
        <f>'Monthly Data'!BI1</f>
        <v>CDD</v>
      </c>
      <c r="F1" s="186" t="str">
        <f>'Monthly Data'!BL1</f>
        <v>Ont_GDP</v>
      </c>
      <c r="G1" s="186" t="str">
        <f>'Monthly Data'!BM1</f>
        <v>Trend</v>
      </c>
      <c r="H1" s="186" t="str">
        <f>'Monthly Data'!BQ1</f>
        <v>Apr</v>
      </c>
      <c r="I1" s="186" t="str">
        <f>'Monthly Data'!BS1</f>
        <v>Jun</v>
      </c>
      <c r="J1" s="186" t="str">
        <f>'Monthly Data'!BU1</f>
        <v>Aug</v>
      </c>
      <c r="K1" s="186" t="str">
        <f>'Monthly Data'!BV1</f>
        <v>Sept</v>
      </c>
      <c r="L1" s="186" t="str">
        <f>'Monthly Data'!BW1</f>
        <v>Oct</v>
      </c>
      <c r="M1" s="186" t="str">
        <f>'Monthly Data'!CC1</f>
        <v>Month Days</v>
      </c>
      <c r="N1" s="186" t="str">
        <f>'Monthly Data'!CD1</f>
        <v>Peak Days</v>
      </c>
      <c r="P1" s="186" t="s">
        <v>91</v>
      </c>
      <c r="Q1" s="186" t="str">
        <f t="shared" ref="Q1:AA1" si="0">D1</f>
        <v>HDD</v>
      </c>
      <c r="R1" s="186" t="str">
        <f t="shared" si="0"/>
        <v>CDD</v>
      </c>
      <c r="S1" s="186" t="str">
        <f t="shared" si="0"/>
        <v>Ont_GDP</v>
      </c>
      <c r="T1" s="186" t="str">
        <f t="shared" si="0"/>
        <v>Trend</v>
      </c>
      <c r="U1" s="186" t="str">
        <f t="shared" si="0"/>
        <v>Apr</v>
      </c>
      <c r="V1" s="186" t="str">
        <f t="shared" si="0"/>
        <v>Jun</v>
      </c>
      <c r="W1" s="186" t="str">
        <f t="shared" si="0"/>
        <v>Aug</v>
      </c>
      <c r="X1" s="186" t="str">
        <f t="shared" si="0"/>
        <v>Sept</v>
      </c>
      <c r="Y1" s="186" t="str">
        <f t="shared" si="0"/>
        <v>Oct</v>
      </c>
      <c r="Z1" s="186" t="str">
        <f t="shared" si="0"/>
        <v>Month Days</v>
      </c>
      <c r="AA1" s="186" t="str">
        <f t="shared" si="0"/>
        <v>Peak Days</v>
      </c>
      <c r="AB1" s="186" t="s">
        <v>125</v>
      </c>
    </row>
    <row r="2" spans="1:28">
      <c r="A2" s="128">
        <f>'Monthly Data'!A2</f>
        <v>39814</v>
      </c>
      <c r="B2" s="186">
        <f t="shared" ref="B2:B65" si="1">YEAR(A2)</f>
        <v>2009</v>
      </c>
      <c r="C2" s="124">
        <f ca="1">'Monthly Data'!T2</f>
        <v>85159952.300793856</v>
      </c>
      <c r="D2" s="144">
        <f ca="1">Weather!L69</f>
        <v>665.14879699248104</v>
      </c>
      <c r="E2" s="144">
        <f ca="1">Weather!M69</f>
        <v>0</v>
      </c>
      <c r="F2" s="186">
        <f>'Monthly Data'!BL2</f>
        <v>539388</v>
      </c>
      <c r="G2" s="186">
        <f>'Monthly Data'!BM2</f>
        <v>1</v>
      </c>
      <c r="H2" s="186">
        <f>'Monthly Data'!BQ2</f>
        <v>0</v>
      </c>
      <c r="I2" s="186">
        <f>'Monthly Data'!BS2</f>
        <v>0</v>
      </c>
      <c r="J2" s="186">
        <f>'Monthly Data'!BU2</f>
        <v>0</v>
      </c>
      <c r="K2" s="186">
        <f>'Monthly Data'!BV2</f>
        <v>0</v>
      </c>
      <c r="L2" s="186">
        <f>'Monthly Data'!BW2</f>
        <v>0</v>
      </c>
      <c r="M2" s="186">
        <f>'Monthly Data'!CC2</f>
        <v>31</v>
      </c>
      <c r="N2" s="186">
        <f>'Monthly Data'!CD2</f>
        <v>21</v>
      </c>
      <c r="P2" s="186">
        <f>'GS &gt; 50 OLS Model (LC)'!$B$5</f>
        <v>-8436546.8467997499</v>
      </c>
      <c r="Q2" s="186">
        <f ca="1">'GS &gt; 50 OLS Model (LC)'!$B$6*D2</f>
        <v>16107914.522045333</v>
      </c>
      <c r="R2" s="186">
        <f ca="1">'GS &gt; 50 OLS Model (LC)'!$B$7*E2</f>
        <v>0</v>
      </c>
      <c r="S2" s="186">
        <f>'GS &gt; 50 OLS Model (LC)'!$B$8*F2</f>
        <v>27983193.999746464</v>
      </c>
      <c r="T2" s="186">
        <v>0</v>
      </c>
      <c r="U2" s="186">
        <f>'GS &gt; 50 OLS Model (LC)'!$B$9*H2</f>
        <v>0</v>
      </c>
      <c r="V2" s="186">
        <f>'GS &gt; 50 OLS Model (LC)'!$B$10*I2</f>
        <v>0</v>
      </c>
      <c r="W2" s="186">
        <f>'GS &gt; 50 OLS Model (LC)'!$B$11*J2</f>
        <v>0</v>
      </c>
      <c r="X2" s="186">
        <f>'GS &gt; 50 OLS Model (LC)'!$B$12*K2</f>
        <v>0</v>
      </c>
      <c r="Y2" s="186">
        <v>0</v>
      </c>
      <c r="Z2" s="186">
        <f>'GS &gt; 50 OLS Model (LC)'!$B$13*M2</f>
        <v>34805943.461156942</v>
      </c>
      <c r="AA2" s="186">
        <f>'GS &gt; 50 OLS Model (LC)'!$B$14*N2</f>
        <v>13601430.342326485</v>
      </c>
      <c r="AB2" s="186">
        <f t="shared" ref="AB2:AB65" ca="1" si="2">SUM(P2:AA2)</f>
        <v>84061935.478475481</v>
      </c>
    </row>
    <row r="3" spans="1:28">
      <c r="A3" s="128">
        <f>'Monthly Data'!A3</f>
        <v>39845</v>
      </c>
      <c r="B3" s="186">
        <f t="shared" si="1"/>
        <v>2009</v>
      </c>
      <c r="C3" s="124">
        <f ca="1">'Monthly Data'!T3</f>
        <v>77150159.110703424</v>
      </c>
      <c r="D3" s="144">
        <f ca="1">Weather!L70</f>
        <v>611.17548872180487</v>
      </c>
      <c r="E3" s="144">
        <f ca="1">Weather!M70</f>
        <v>0</v>
      </c>
      <c r="F3" s="186">
        <f>'Monthly Data'!BL3</f>
        <v>539388</v>
      </c>
      <c r="G3" s="186">
        <f>'Monthly Data'!BM3</f>
        <v>2</v>
      </c>
      <c r="H3" s="186">
        <f>'Monthly Data'!BQ3</f>
        <v>0</v>
      </c>
      <c r="I3" s="186">
        <f>'Monthly Data'!BS3</f>
        <v>0</v>
      </c>
      <c r="J3" s="186">
        <f>'Monthly Data'!BU3</f>
        <v>0</v>
      </c>
      <c r="K3" s="186">
        <f>'Monthly Data'!BV3</f>
        <v>0</v>
      </c>
      <c r="L3" s="186">
        <f>'Monthly Data'!BW3</f>
        <v>0</v>
      </c>
      <c r="M3" s="186">
        <f>'Monthly Data'!CC3</f>
        <v>28</v>
      </c>
      <c r="N3" s="186">
        <f>'Monthly Data'!CD3</f>
        <v>19</v>
      </c>
      <c r="P3" s="186">
        <f>'GS &gt; 50 OLS Model (LC)'!$B$5</f>
        <v>-8436546.8467997499</v>
      </c>
      <c r="Q3" s="186">
        <f ca="1">'GS &gt; 50 OLS Model (LC)'!$B$6*D3</f>
        <v>14800842.420243302</v>
      </c>
      <c r="R3" s="186">
        <f ca="1">'GS &gt; 50 OLS Model (LC)'!$B$7*E3</f>
        <v>0</v>
      </c>
      <c r="S3" s="186">
        <f>'GS &gt; 50 OLS Model (LC)'!$B$8*F3</f>
        <v>27983193.999746464</v>
      </c>
      <c r="T3" s="186">
        <v>0</v>
      </c>
      <c r="U3" s="186">
        <f>'GS &gt; 50 OLS Model (LC)'!$B$9*H3</f>
        <v>0</v>
      </c>
      <c r="V3" s="186">
        <f>'GS &gt; 50 OLS Model (LC)'!$B$10*I3</f>
        <v>0</v>
      </c>
      <c r="W3" s="186">
        <f>'GS &gt; 50 OLS Model (LC)'!$B$11*J3</f>
        <v>0</v>
      </c>
      <c r="X3" s="186">
        <f>'GS &gt; 50 OLS Model (LC)'!$B$12*K3</f>
        <v>0</v>
      </c>
      <c r="Y3" s="186">
        <v>0</v>
      </c>
      <c r="Z3" s="186">
        <f>'GS &gt; 50 OLS Model (LC)'!$B$13*M3</f>
        <v>31437626.35201272</v>
      </c>
      <c r="AA3" s="186">
        <f>'GS &gt; 50 OLS Model (LC)'!$B$14*N3</f>
        <v>12306056.024009675</v>
      </c>
      <c r="AB3" s="186">
        <f t="shared" ca="1" si="2"/>
        <v>78091171.949212417</v>
      </c>
    </row>
    <row r="4" spans="1:28">
      <c r="A4" s="128">
        <f>'Monthly Data'!A4</f>
        <v>39873</v>
      </c>
      <c r="B4" s="186">
        <f t="shared" si="1"/>
        <v>2009</v>
      </c>
      <c r="C4" s="124">
        <f ca="1">'Monthly Data'!T4</f>
        <v>79013110.838498071</v>
      </c>
      <c r="D4" s="144">
        <f ca="1">Weather!L71</f>
        <v>458.46436090225569</v>
      </c>
      <c r="E4" s="144">
        <f ca="1">Weather!M71</f>
        <v>0.45218045112781802</v>
      </c>
      <c r="F4" s="186">
        <f>'Monthly Data'!BL4</f>
        <v>539388</v>
      </c>
      <c r="G4" s="186">
        <f>'Monthly Data'!BM4</f>
        <v>3</v>
      </c>
      <c r="H4" s="186">
        <f>'Monthly Data'!BQ4</f>
        <v>0</v>
      </c>
      <c r="I4" s="186">
        <f>'Monthly Data'!BS4</f>
        <v>0</v>
      </c>
      <c r="J4" s="186">
        <f>'Monthly Data'!BU4</f>
        <v>0</v>
      </c>
      <c r="K4" s="186">
        <f>'Monthly Data'!BV4</f>
        <v>0</v>
      </c>
      <c r="L4" s="186">
        <f>'Monthly Data'!BW4</f>
        <v>0</v>
      </c>
      <c r="M4" s="186">
        <f>'Monthly Data'!CC4</f>
        <v>31</v>
      </c>
      <c r="N4" s="186">
        <f>'Monthly Data'!CD4</f>
        <v>22</v>
      </c>
      <c r="P4" s="186">
        <f>'GS &gt; 50 OLS Model (LC)'!$B$5</f>
        <v>-8436546.8467997499</v>
      </c>
      <c r="Q4" s="186">
        <f ca="1">'GS &gt; 50 OLS Model (LC)'!$B$6*D4</f>
        <v>11102635.636129936</v>
      </c>
      <c r="R4" s="186">
        <f ca="1">'GS &gt; 50 OLS Model (LC)'!$B$7*E4</f>
        <v>32273.422142235275</v>
      </c>
      <c r="S4" s="186">
        <f>'GS &gt; 50 OLS Model (LC)'!$B$8*F4</f>
        <v>27983193.999746464</v>
      </c>
      <c r="T4" s="186">
        <v>0</v>
      </c>
      <c r="U4" s="186">
        <f>'GS &gt; 50 OLS Model (LC)'!$B$9*H4</f>
        <v>0</v>
      </c>
      <c r="V4" s="186">
        <f>'GS &gt; 50 OLS Model (LC)'!$B$10*I4</f>
        <v>0</v>
      </c>
      <c r="W4" s="186">
        <f>'GS &gt; 50 OLS Model (LC)'!$B$11*J4</f>
        <v>0</v>
      </c>
      <c r="X4" s="186">
        <f>'GS &gt; 50 OLS Model (LC)'!$B$12*K4</f>
        <v>0</v>
      </c>
      <c r="Y4" s="186">
        <v>0</v>
      </c>
      <c r="Z4" s="186">
        <f>'GS &gt; 50 OLS Model (LC)'!$B$13*M4</f>
        <v>34805943.461156942</v>
      </c>
      <c r="AA4" s="186">
        <f>'GS &gt; 50 OLS Model (LC)'!$B$14*N4</f>
        <v>14249117.501484888</v>
      </c>
      <c r="AB4" s="186">
        <f t="shared" ca="1" si="2"/>
        <v>79736617.173860714</v>
      </c>
    </row>
    <row r="5" spans="1:28">
      <c r="A5" s="128">
        <f>'Monthly Data'!A5</f>
        <v>39904</v>
      </c>
      <c r="B5" s="186">
        <f t="shared" si="1"/>
        <v>2009</v>
      </c>
      <c r="C5" s="124">
        <f ca="1">'Monthly Data'!T5</f>
        <v>70823487.399611965</v>
      </c>
      <c r="D5" s="144">
        <f ca="1">Weather!L72</f>
        <v>254.29052631578941</v>
      </c>
      <c r="E5" s="144">
        <f ca="1">Weather!M72</f>
        <v>0.50947368421054762</v>
      </c>
      <c r="F5" s="186">
        <f>'Monthly Data'!BL5</f>
        <v>539388</v>
      </c>
      <c r="G5" s="186">
        <f>'Monthly Data'!BM5</f>
        <v>4</v>
      </c>
      <c r="H5" s="186">
        <f>'Monthly Data'!BQ5</f>
        <v>1</v>
      </c>
      <c r="I5" s="186">
        <f>'Monthly Data'!BS5</f>
        <v>0</v>
      </c>
      <c r="J5" s="186">
        <f>'Monthly Data'!BU5</f>
        <v>0</v>
      </c>
      <c r="K5" s="186">
        <f>'Monthly Data'!BV5</f>
        <v>0</v>
      </c>
      <c r="L5" s="186">
        <f>'Monthly Data'!BW5</f>
        <v>0</v>
      </c>
      <c r="M5" s="186">
        <f>'Monthly Data'!CC5</f>
        <v>30</v>
      </c>
      <c r="N5" s="186">
        <f>'Monthly Data'!CD5</f>
        <v>20</v>
      </c>
      <c r="P5" s="186">
        <f>'GS &gt; 50 OLS Model (LC)'!$B$5</f>
        <v>-8436546.8467997499</v>
      </c>
      <c r="Q5" s="186">
        <f ca="1">'GS &gt; 50 OLS Model (LC)'!$B$6*D5</f>
        <v>6158156.0098754233</v>
      </c>
      <c r="R5" s="186">
        <f ca="1">'GS &gt; 50 OLS Model (LC)'!$B$7*E5</f>
        <v>36362.605326869983</v>
      </c>
      <c r="S5" s="186">
        <f>'GS &gt; 50 OLS Model (LC)'!$B$8*F5</f>
        <v>27983193.999746464</v>
      </c>
      <c r="T5" s="186">
        <v>0</v>
      </c>
      <c r="U5" s="186">
        <f>'GS &gt; 50 OLS Model (LC)'!$B$9*H5</f>
        <v>-1670517.9110053701</v>
      </c>
      <c r="V5" s="186">
        <f>'GS &gt; 50 OLS Model (LC)'!$B$10*I5</f>
        <v>0</v>
      </c>
      <c r="W5" s="186">
        <f>'GS &gt; 50 OLS Model (LC)'!$B$11*J5</f>
        <v>0</v>
      </c>
      <c r="X5" s="186">
        <f>'GS &gt; 50 OLS Model (LC)'!$B$12*K5</f>
        <v>0</v>
      </c>
      <c r="Y5" s="186">
        <v>0</v>
      </c>
      <c r="Z5" s="186">
        <f>'GS &gt; 50 OLS Model (LC)'!$B$13*M5</f>
        <v>33683171.091442198</v>
      </c>
      <c r="AA5" s="186">
        <f>'GS &gt; 50 OLS Model (LC)'!$B$14*N5</f>
        <v>12953743.18316808</v>
      </c>
      <c r="AB5" s="186">
        <f t="shared" ca="1" si="2"/>
        <v>70707562.131753922</v>
      </c>
    </row>
    <row r="6" spans="1:28">
      <c r="A6" s="128">
        <f>'Monthly Data'!A6</f>
        <v>39934</v>
      </c>
      <c r="B6" s="186">
        <f t="shared" si="1"/>
        <v>2009</v>
      </c>
      <c r="C6" s="124">
        <f ca="1">'Monthly Data'!T6</f>
        <v>68038651.825646743</v>
      </c>
      <c r="D6" s="144">
        <f ca="1">Weather!L73</f>
        <v>102.64150375939857</v>
      </c>
      <c r="E6" s="144">
        <f ca="1">Weather!M73</f>
        <v>56.062781954887214</v>
      </c>
      <c r="F6" s="186">
        <f>'Monthly Data'!BL6</f>
        <v>539388</v>
      </c>
      <c r="G6" s="186">
        <f>'Monthly Data'!BM6</f>
        <v>5</v>
      </c>
      <c r="H6" s="186">
        <f>'Monthly Data'!BQ6</f>
        <v>0</v>
      </c>
      <c r="I6" s="186">
        <f>'Monthly Data'!BS6</f>
        <v>0</v>
      </c>
      <c r="J6" s="186">
        <f>'Monthly Data'!BU6</f>
        <v>0</v>
      </c>
      <c r="K6" s="186">
        <f>'Monthly Data'!BV6</f>
        <v>0</v>
      </c>
      <c r="L6" s="186">
        <f>'Monthly Data'!BW6</f>
        <v>0</v>
      </c>
      <c r="M6" s="186">
        <f>'Monthly Data'!CC6</f>
        <v>31</v>
      </c>
      <c r="N6" s="186">
        <f>'Monthly Data'!CD6</f>
        <v>20</v>
      </c>
      <c r="P6" s="186">
        <f>'GS &gt; 50 OLS Model (LC)'!$B$5</f>
        <v>-8436546.8467997499</v>
      </c>
      <c r="Q6" s="186">
        <f ca="1">'GS &gt; 50 OLS Model (LC)'!$B$6*D6</f>
        <v>2485670.238668832</v>
      </c>
      <c r="R6" s="186">
        <f ca="1">'GS &gt; 50 OLS Model (LC)'!$B$7*E6</f>
        <v>4001362.3410418485</v>
      </c>
      <c r="S6" s="186">
        <f>'GS &gt; 50 OLS Model (LC)'!$B$8*F6</f>
        <v>27983193.999746464</v>
      </c>
      <c r="T6" s="186">
        <v>0</v>
      </c>
      <c r="U6" s="186">
        <f>'GS &gt; 50 OLS Model (LC)'!$B$9*H6</f>
        <v>0</v>
      </c>
      <c r="V6" s="186">
        <f>'GS &gt; 50 OLS Model (LC)'!$B$10*I6</f>
        <v>0</v>
      </c>
      <c r="W6" s="186">
        <f>'GS &gt; 50 OLS Model (LC)'!$B$11*J6</f>
        <v>0</v>
      </c>
      <c r="X6" s="186">
        <f>'GS &gt; 50 OLS Model (LC)'!$B$12*K6</f>
        <v>0</v>
      </c>
      <c r="Y6" s="186">
        <v>0</v>
      </c>
      <c r="Z6" s="186">
        <f>'GS &gt; 50 OLS Model (LC)'!$B$13*M6</f>
        <v>34805943.461156942</v>
      </c>
      <c r="AA6" s="186">
        <f>'GS &gt; 50 OLS Model (LC)'!$B$14*N6</f>
        <v>12953743.18316808</v>
      </c>
      <c r="AB6" s="186">
        <f t="shared" ca="1" si="2"/>
        <v>73793366.376982421</v>
      </c>
    </row>
    <row r="7" spans="1:28">
      <c r="A7" s="128">
        <f>'Monthly Data'!A7</f>
        <v>39965</v>
      </c>
      <c r="B7" s="186">
        <f t="shared" si="1"/>
        <v>2009</v>
      </c>
      <c r="C7" s="124">
        <f ca="1">'Monthly Data'!T7</f>
        <v>70398886.351568192</v>
      </c>
      <c r="D7" s="144">
        <f ca="1">Weather!L74</f>
        <v>0.39669172932326546</v>
      </c>
      <c r="E7" s="144">
        <f ca="1">Weather!M74</f>
        <v>116.89315789473682</v>
      </c>
      <c r="F7" s="186">
        <f>'Monthly Data'!BL7</f>
        <v>539388</v>
      </c>
      <c r="G7" s="186">
        <f>'Monthly Data'!BM7</f>
        <v>6</v>
      </c>
      <c r="H7" s="186">
        <f>'Monthly Data'!BQ7</f>
        <v>0</v>
      </c>
      <c r="I7" s="186">
        <f>'Monthly Data'!BS7</f>
        <v>1</v>
      </c>
      <c r="J7" s="186">
        <f>'Monthly Data'!BU7</f>
        <v>0</v>
      </c>
      <c r="K7" s="186">
        <f>'Monthly Data'!BV7</f>
        <v>0</v>
      </c>
      <c r="L7" s="186">
        <f>'Monthly Data'!BW7</f>
        <v>0</v>
      </c>
      <c r="M7" s="186">
        <f>'Monthly Data'!CC7</f>
        <v>30</v>
      </c>
      <c r="N7" s="186">
        <f>'Monthly Data'!CD7</f>
        <v>22</v>
      </c>
      <c r="P7" s="186">
        <f>'GS &gt; 50 OLS Model (LC)'!$B$5</f>
        <v>-8436546.8467997499</v>
      </c>
      <c r="Q7" s="186">
        <f ca="1">'GS &gt; 50 OLS Model (LC)'!$B$6*D7</f>
        <v>9606.6872501819107</v>
      </c>
      <c r="R7" s="186">
        <f ca="1">'GS &gt; 50 OLS Model (LC)'!$B$7*E7</f>
        <v>8343001.6066957684</v>
      </c>
      <c r="S7" s="186">
        <f>'GS &gt; 50 OLS Model (LC)'!$B$8*F7</f>
        <v>27983193.999746464</v>
      </c>
      <c r="T7" s="186">
        <v>0</v>
      </c>
      <c r="U7" s="186">
        <f>'GS &gt; 50 OLS Model (LC)'!$B$9*H7</f>
        <v>0</v>
      </c>
      <c r="V7" s="186">
        <f>'GS &gt; 50 OLS Model (LC)'!$B$10*I7</f>
        <v>1260255.0136768401</v>
      </c>
      <c r="W7" s="186">
        <f>'GS &gt; 50 OLS Model (LC)'!$B$11*J7</f>
        <v>0</v>
      </c>
      <c r="X7" s="186">
        <f>'GS &gt; 50 OLS Model (LC)'!$B$12*K7</f>
        <v>0</v>
      </c>
      <c r="Y7" s="186">
        <v>0</v>
      </c>
      <c r="Z7" s="186">
        <f>'GS &gt; 50 OLS Model (LC)'!$B$13*M7</f>
        <v>33683171.091442198</v>
      </c>
      <c r="AA7" s="186">
        <f>'GS &gt; 50 OLS Model (LC)'!$B$14*N7</f>
        <v>14249117.501484888</v>
      </c>
      <c r="AB7" s="186">
        <f t="shared" ca="1" si="2"/>
        <v>77091799.053496584</v>
      </c>
    </row>
    <row r="8" spans="1:28">
      <c r="A8" s="128">
        <f>'Monthly Data'!A8</f>
        <v>39995</v>
      </c>
      <c r="B8" s="186">
        <f t="shared" si="1"/>
        <v>2009</v>
      </c>
      <c r="C8" s="124">
        <f ca="1">'Monthly Data'!T8</f>
        <v>74398674.841547519</v>
      </c>
      <c r="D8" s="144">
        <f ca="1">Weather!L75</f>
        <v>0.58105263157894704</v>
      </c>
      <c r="E8" s="144">
        <f ca="1">Weather!M75</f>
        <v>186.96526315789481</v>
      </c>
      <c r="F8" s="186">
        <f>'Monthly Data'!BL8</f>
        <v>539388</v>
      </c>
      <c r="G8" s="186">
        <f>'Monthly Data'!BM8</f>
        <v>7</v>
      </c>
      <c r="H8" s="186">
        <f>'Monthly Data'!BQ8</f>
        <v>0</v>
      </c>
      <c r="I8" s="186">
        <f>'Monthly Data'!BS8</f>
        <v>0</v>
      </c>
      <c r="J8" s="186">
        <f>'Monthly Data'!BU8</f>
        <v>0</v>
      </c>
      <c r="K8" s="186">
        <f>'Monthly Data'!BV8</f>
        <v>0</v>
      </c>
      <c r="L8" s="186">
        <f>'Monthly Data'!BW8</f>
        <v>0</v>
      </c>
      <c r="M8" s="186">
        <f>'Monthly Data'!CC8</f>
        <v>31</v>
      </c>
      <c r="N8" s="186">
        <f>'Monthly Data'!CD8</f>
        <v>22</v>
      </c>
      <c r="P8" s="186">
        <f>'GS &gt; 50 OLS Model (LC)'!$B$5</f>
        <v>-8436546.8467997499</v>
      </c>
      <c r="Q8" s="186">
        <f ca="1">'GS &gt; 50 OLS Model (LC)'!$B$6*D8</f>
        <v>14071.356912322552</v>
      </c>
      <c r="R8" s="186">
        <f ca="1">'GS &gt; 50 OLS Model (LC)'!$B$7*E8</f>
        <v>13344249.732112395</v>
      </c>
      <c r="S8" s="186">
        <f>'GS &gt; 50 OLS Model (LC)'!$B$8*F8</f>
        <v>27983193.999746464</v>
      </c>
      <c r="T8" s="186">
        <v>0</v>
      </c>
      <c r="U8" s="186">
        <f>'GS &gt; 50 OLS Model (LC)'!$B$9*H8</f>
        <v>0</v>
      </c>
      <c r="V8" s="186">
        <f>'GS &gt; 50 OLS Model (LC)'!$B$10*I8</f>
        <v>0</v>
      </c>
      <c r="W8" s="186">
        <f>'GS &gt; 50 OLS Model (LC)'!$B$11*J8</f>
        <v>0</v>
      </c>
      <c r="X8" s="186">
        <f>'GS &gt; 50 OLS Model (LC)'!$B$12*K8</f>
        <v>0</v>
      </c>
      <c r="Y8" s="186">
        <v>0</v>
      </c>
      <c r="Z8" s="186">
        <f>'GS &gt; 50 OLS Model (LC)'!$B$13*M8</f>
        <v>34805943.461156942</v>
      </c>
      <c r="AA8" s="186">
        <f>'GS &gt; 50 OLS Model (LC)'!$B$14*N8</f>
        <v>14249117.501484888</v>
      </c>
      <c r="AB8" s="186">
        <f t="shared" ca="1" si="2"/>
        <v>81960029.204613253</v>
      </c>
    </row>
    <row r="9" spans="1:28">
      <c r="A9" s="128">
        <f>'Monthly Data'!A9</f>
        <v>40026</v>
      </c>
      <c r="B9" s="186">
        <f t="shared" si="1"/>
        <v>2009</v>
      </c>
      <c r="C9" s="124">
        <f ca="1">'Monthly Data'!T9</f>
        <v>79119319.646282628</v>
      </c>
      <c r="D9" s="144">
        <f ca="1">Weather!L76</f>
        <v>1.6660902255639058</v>
      </c>
      <c r="E9" s="144">
        <f ca="1">Weather!M76</f>
        <v>167.43443609022574</v>
      </c>
      <c r="F9" s="186">
        <f>'Monthly Data'!BL9</f>
        <v>539388</v>
      </c>
      <c r="G9" s="186">
        <f>'Monthly Data'!BM9</f>
        <v>8</v>
      </c>
      <c r="H9" s="186">
        <f>'Monthly Data'!BQ9</f>
        <v>0</v>
      </c>
      <c r="I9" s="186">
        <f>'Monthly Data'!BS9</f>
        <v>0</v>
      </c>
      <c r="J9" s="186">
        <f>'Monthly Data'!BU9</f>
        <v>1</v>
      </c>
      <c r="K9" s="186">
        <f>'Monthly Data'!BV9</f>
        <v>0</v>
      </c>
      <c r="L9" s="186">
        <f>'Monthly Data'!BW9</f>
        <v>0</v>
      </c>
      <c r="M9" s="186">
        <f>'Monthly Data'!CC9</f>
        <v>31</v>
      </c>
      <c r="N9" s="186">
        <f>'Monthly Data'!CD9</f>
        <v>20</v>
      </c>
      <c r="P9" s="186">
        <f>'GS &gt; 50 OLS Model (LC)'!$B$5</f>
        <v>-8436546.8467997499</v>
      </c>
      <c r="Q9" s="186">
        <f ca="1">'GS &gt; 50 OLS Model (LC)'!$B$6*D9</f>
        <v>40347.722285216725</v>
      </c>
      <c r="R9" s="186">
        <f ca="1">'GS &gt; 50 OLS Model (LC)'!$B$7*E9</f>
        <v>11950278.30948735</v>
      </c>
      <c r="S9" s="186">
        <f>'GS &gt; 50 OLS Model (LC)'!$B$8*F9</f>
        <v>27983193.999746464</v>
      </c>
      <c r="T9" s="186">
        <v>0</v>
      </c>
      <c r="U9" s="186">
        <f>'GS &gt; 50 OLS Model (LC)'!$B$9*H9</f>
        <v>0</v>
      </c>
      <c r="V9" s="186">
        <f>'GS &gt; 50 OLS Model (LC)'!$B$10*I9</f>
        <v>0</v>
      </c>
      <c r="W9" s="186">
        <f>'GS &gt; 50 OLS Model (LC)'!$B$11*J9</f>
        <v>2501012.7689915099</v>
      </c>
      <c r="X9" s="186">
        <f>'GS &gt; 50 OLS Model (LC)'!$B$12*K9</f>
        <v>0</v>
      </c>
      <c r="Y9" s="186">
        <v>0</v>
      </c>
      <c r="Z9" s="186">
        <f>'GS &gt; 50 OLS Model (LC)'!$B$13*M9</f>
        <v>34805943.461156942</v>
      </c>
      <c r="AA9" s="186">
        <f>'GS &gt; 50 OLS Model (LC)'!$B$14*N9</f>
        <v>12953743.18316808</v>
      </c>
      <c r="AB9" s="186">
        <f t="shared" ca="1" si="2"/>
        <v>81797972.598035812</v>
      </c>
    </row>
    <row r="10" spans="1:28">
      <c r="A10" s="128">
        <f>'Monthly Data'!A10</f>
        <v>40057</v>
      </c>
      <c r="B10" s="186">
        <f t="shared" si="1"/>
        <v>2009</v>
      </c>
      <c r="C10" s="124">
        <f ca="1">'Monthly Data'!T10</f>
        <v>74924986.598501608</v>
      </c>
      <c r="D10" s="144">
        <f ca="1">Weather!L77</f>
        <v>30.410827067669118</v>
      </c>
      <c r="E10" s="144">
        <f ca="1">Weather!M77</f>
        <v>83.003533834586506</v>
      </c>
      <c r="F10" s="186">
        <f>'Monthly Data'!BL10</f>
        <v>539388</v>
      </c>
      <c r="G10" s="186">
        <f>'Monthly Data'!BM10</f>
        <v>9</v>
      </c>
      <c r="H10" s="186">
        <f>'Monthly Data'!BQ10</f>
        <v>0</v>
      </c>
      <c r="I10" s="186">
        <f>'Monthly Data'!BS10</f>
        <v>0</v>
      </c>
      <c r="J10" s="186">
        <f>'Monthly Data'!BU10</f>
        <v>0</v>
      </c>
      <c r="K10" s="186">
        <f>'Monthly Data'!BV10</f>
        <v>1</v>
      </c>
      <c r="L10" s="186">
        <f>'Monthly Data'!BW10</f>
        <v>0</v>
      </c>
      <c r="M10" s="186">
        <f>'Monthly Data'!CC10</f>
        <v>30</v>
      </c>
      <c r="N10" s="186">
        <f>'Monthly Data'!CD10</f>
        <v>21</v>
      </c>
      <c r="P10" s="186">
        <f>'GS &gt; 50 OLS Model (LC)'!$B$5</f>
        <v>-8436546.8467997499</v>
      </c>
      <c r="Q10" s="186">
        <f ca="1">'GS &gt; 50 OLS Model (LC)'!$B$6*D10</f>
        <v>736459.27823312907</v>
      </c>
      <c r="R10" s="186">
        <f ca="1">'GS &gt; 50 OLS Model (LC)'!$B$7*E10</f>
        <v>5924201.4555461155</v>
      </c>
      <c r="S10" s="186">
        <f>'GS &gt; 50 OLS Model (LC)'!$B$8*F10</f>
        <v>27983193.999746464</v>
      </c>
      <c r="T10" s="186">
        <v>0</v>
      </c>
      <c r="U10" s="186">
        <f>'GS &gt; 50 OLS Model (LC)'!$B$9*H10</f>
        <v>0</v>
      </c>
      <c r="V10" s="186">
        <f>'GS &gt; 50 OLS Model (LC)'!$B$10*I10</f>
        <v>0</v>
      </c>
      <c r="W10" s="186">
        <f>'GS &gt; 50 OLS Model (LC)'!$B$11*J10</f>
        <v>0</v>
      </c>
      <c r="X10" s="186">
        <f>'GS &gt; 50 OLS Model (LC)'!$B$12*K10</f>
        <v>2346294.5864150901</v>
      </c>
      <c r="Y10" s="186">
        <v>0</v>
      </c>
      <c r="Z10" s="186">
        <f>'GS &gt; 50 OLS Model (LC)'!$B$13*M10</f>
        <v>33683171.091442198</v>
      </c>
      <c r="AA10" s="186">
        <f>'GS &gt; 50 OLS Model (LC)'!$B$14*N10</f>
        <v>13601430.342326485</v>
      </c>
      <c r="AB10" s="186">
        <f t="shared" ca="1" si="2"/>
        <v>75838203.906909734</v>
      </c>
    </row>
    <row r="11" spans="1:28">
      <c r="A11" s="128">
        <f>'Monthly Data'!A11</f>
        <v>40087</v>
      </c>
      <c r="B11" s="186">
        <f t="shared" si="1"/>
        <v>2009</v>
      </c>
      <c r="C11" s="124">
        <f ca="1">'Monthly Data'!T11</f>
        <v>74286504.53798908</v>
      </c>
      <c r="D11" s="144">
        <f ca="1">Weather!L78</f>
        <v>158.93676691729343</v>
      </c>
      <c r="E11" s="144">
        <f ca="1">Weather!M78</f>
        <v>16.916090225563948</v>
      </c>
      <c r="F11" s="186">
        <f>'Monthly Data'!BL11</f>
        <v>539388</v>
      </c>
      <c r="G11" s="186">
        <f>'Monthly Data'!BM11</f>
        <v>10</v>
      </c>
      <c r="H11" s="186">
        <f>'Monthly Data'!BQ11</f>
        <v>0</v>
      </c>
      <c r="I11" s="186">
        <f>'Monthly Data'!BS11</f>
        <v>0</v>
      </c>
      <c r="J11" s="186">
        <f>'Monthly Data'!BU11</f>
        <v>0</v>
      </c>
      <c r="K11" s="186">
        <f>'Monthly Data'!BV11</f>
        <v>0</v>
      </c>
      <c r="L11" s="186">
        <f>'Monthly Data'!BW11</f>
        <v>1</v>
      </c>
      <c r="M11" s="186">
        <f>'Monthly Data'!CC11</f>
        <v>31</v>
      </c>
      <c r="N11" s="186">
        <f>'Monthly Data'!CD11</f>
        <v>21</v>
      </c>
      <c r="P11" s="186">
        <f>'GS &gt; 50 OLS Model (LC)'!$B$5</f>
        <v>-8436546.8467997499</v>
      </c>
      <c r="Q11" s="186">
        <f ca="1">'GS &gt; 50 OLS Model (LC)'!$B$6*D11</f>
        <v>3848973.1432874338</v>
      </c>
      <c r="R11" s="186">
        <f ca="1">'GS &gt; 50 OLS Model (LC)'!$B$7*E11</f>
        <v>1207350.1176003828</v>
      </c>
      <c r="S11" s="186">
        <f>'GS &gt; 50 OLS Model (LC)'!$B$8*F11</f>
        <v>27983193.999746464</v>
      </c>
      <c r="T11" s="186">
        <v>0</v>
      </c>
      <c r="U11" s="186">
        <f>'GS &gt; 50 OLS Model (LC)'!$B$9*H11</f>
        <v>0</v>
      </c>
      <c r="V11" s="186">
        <f>'GS &gt; 50 OLS Model (LC)'!$B$10*I11</f>
        <v>0</v>
      </c>
      <c r="W11" s="186">
        <f>'GS &gt; 50 OLS Model (LC)'!$B$11*J11</f>
        <v>0</v>
      </c>
      <c r="X11" s="186">
        <f>'GS &gt; 50 OLS Model (LC)'!$B$12*K11</f>
        <v>0</v>
      </c>
      <c r="Y11" s="186">
        <v>0</v>
      </c>
      <c r="Z11" s="186">
        <f>'GS &gt; 50 OLS Model (LC)'!$B$13*M11</f>
        <v>34805943.461156942</v>
      </c>
      <c r="AA11" s="186">
        <f>'GS &gt; 50 OLS Model (LC)'!$B$14*N11</f>
        <v>13601430.342326485</v>
      </c>
      <c r="AB11" s="186">
        <f t="shared" ca="1" si="2"/>
        <v>73010344.217317969</v>
      </c>
    </row>
    <row r="12" spans="1:28">
      <c r="A12" s="128">
        <f>'Monthly Data'!A12</f>
        <v>40118</v>
      </c>
      <c r="B12" s="186">
        <f t="shared" si="1"/>
        <v>2009</v>
      </c>
      <c r="C12" s="124">
        <f ca="1">'Monthly Data'!T12</f>
        <v>73914526.594761461</v>
      </c>
      <c r="D12" s="144">
        <f ca="1">Weather!L79</f>
        <v>375.92533834586447</v>
      </c>
      <c r="E12" s="144">
        <f ca="1">Weather!M79</f>
        <v>8.120300751879661E-2</v>
      </c>
      <c r="F12" s="186">
        <f>'Monthly Data'!BL12</f>
        <v>539388</v>
      </c>
      <c r="G12" s="186">
        <f>'Monthly Data'!BM12</f>
        <v>11</v>
      </c>
      <c r="H12" s="186">
        <f>'Monthly Data'!BQ12</f>
        <v>0</v>
      </c>
      <c r="I12" s="186">
        <f>'Monthly Data'!BS12</f>
        <v>0</v>
      </c>
      <c r="J12" s="186">
        <f>'Monthly Data'!BU12</f>
        <v>0</v>
      </c>
      <c r="K12" s="186">
        <f>'Monthly Data'!BV12</f>
        <v>0</v>
      </c>
      <c r="L12" s="186">
        <f>'Monthly Data'!BW12</f>
        <v>0</v>
      </c>
      <c r="M12" s="186">
        <f>'Monthly Data'!CC12</f>
        <v>30</v>
      </c>
      <c r="N12" s="186">
        <f>'Monthly Data'!CD12</f>
        <v>21</v>
      </c>
      <c r="P12" s="186">
        <f>'GS &gt; 50 OLS Model (LC)'!$B$5</f>
        <v>-8436546.8467997499</v>
      </c>
      <c r="Q12" s="186">
        <f ca="1">'GS &gt; 50 OLS Model (LC)'!$B$6*D12</f>
        <v>9103787.36927131</v>
      </c>
      <c r="R12" s="186">
        <f ca="1">'GS &gt; 50 OLS Model (LC)'!$B$7*E12</f>
        <v>5795.6927026295389</v>
      </c>
      <c r="S12" s="186">
        <f>'GS &gt; 50 OLS Model (LC)'!$B$8*F12</f>
        <v>27983193.999746464</v>
      </c>
      <c r="T12" s="186">
        <v>0</v>
      </c>
      <c r="U12" s="186">
        <f>'GS &gt; 50 OLS Model (LC)'!$B$9*H12</f>
        <v>0</v>
      </c>
      <c r="V12" s="186">
        <f>'GS &gt; 50 OLS Model (LC)'!$B$10*I12</f>
        <v>0</v>
      </c>
      <c r="W12" s="186">
        <f>'GS &gt; 50 OLS Model (LC)'!$B$11*J12</f>
        <v>0</v>
      </c>
      <c r="X12" s="186">
        <f>'GS &gt; 50 OLS Model (LC)'!$B$12*K12</f>
        <v>0</v>
      </c>
      <c r="Y12" s="186">
        <v>0</v>
      </c>
      <c r="Z12" s="186">
        <f>'GS &gt; 50 OLS Model (LC)'!$B$13*M12</f>
        <v>33683171.091442198</v>
      </c>
      <c r="AA12" s="186">
        <f>'GS &gt; 50 OLS Model (LC)'!$B$14*N12</f>
        <v>13601430.342326485</v>
      </c>
      <c r="AB12" s="186">
        <f t="shared" ca="1" si="2"/>
        <v>75940831.64868933</v>
      </c>
    </row>
    <row r="13" spans="1:28">
      <c r="A13" s="128">
        <f>'Monthly Data'!A13</f>
        <v>40148</v>
      </c>
      <c r="B13" s="186">
        <f t="shared" si="1"/>
        <v>2009</v>
      </c>
      <c r="C13" s="124">
        <f ca="1">'Monthly Data'!T13</f>
        <v>80547003.604175091</v>
      </c>
      <c r="D13" s="144">
        <f ca="1">Weather!L80</f>
        <v>548.76120300751859</v>
      </c>
      <c r="E13" s="144">
        <f ca="1">Weather!M80</f>
        <v>0</v>
      </c>
      <c r="F13" s="186">
        <f>'Monthly Data'!BL13</f>
        <v>539388</v>
      </c>
      <c r="G13" s="186">
        <f>'Monthly Data'!BM13</f>
        <v>12</v>
      </c>
      <c r="H13" s="186">
        <f>'Monthly Data'!BQ13</f>
        <v>0</v>
      </c>
      <c r="I13" s="186">
        <f>'Monthly Data'!BS13</f>
        <v>0</v>
      </c>
      <c r="J13" s="186">
        <f>'Monthly Data'!BU13</f>
        <v>0</v>
      </c>
      <c r="K13" s="186">
        <f>'Monthly Data'!BV13</f>
        <v>0</v>
      </c>
      <c r="L13" s="186">
        <f>'Monthly Data'!BW13</f>
        <v>0</v>
      </c>
      <c r="M13" s="186">
        <f>'Monthly Data'!CC13</f>
        <v>31</v>
      </c>
      <c r="N13" s="186">
        <f>'Monthly Data'!CD13</f>
        <v>21</v>
      </c>
      <c r="P13" s="186">
        <f>'GS &gt; 50 OLS Model (LC)'!$B$5</f>
        <v>-8436546.8467997499</v>
      </c>
      <c r="Q13" s="186">
        <f ca="1">'GS &gt; 50 OLS Model (LC)'!$B$6*D13</f>
        <v>13289355.090211187</v>
      </c>
      <c r="R13" s="186">
        <f ca="1">'GS &gt; 50 OLS Model (LC)'!$B$7*E13</f>
        <v>0</v>
      </c>
      <c r="S13" s="186">
        <f>'GS &gt; 50 OLS Model (LC)'!$B$8*F13</f>
        <v>27983193.999746464</v>
      </c>
      <c r="T13" s="186">
        <v>0</v>
      </c>
      <c r="U13" s="186">
        <f>'GS &gt; 50 OLS Model (LC)'!$B$9*H13</f>
        <v>0</v>
      </c>
      <c r="V13" s="186">
        <f>'GS &gt; 50 OLS Model (LC)'!$B$10*I13</f>
        <v>0</v>
      </c>
      <c r="W13" s="186">
        <f>'GS &gt; 50 OLS Model (LC)'!$B$11*J13</f>
        <v>0</v>
      </c>
      <c r="X13" s="186">
        <f>'GS &gt; 50 OLS Model (LC)'!$B$12*K13</f>
        <v>0</v>
      </c>
      <c r="Y13" s="186">
        <v>0</v>
      </c>
      <c r="Z13" s="186">
        <f>'GS &gt; 50 OLS Model (LC)'!$B$13*M13</f>
        <v>34805943.461156942</v>
      </c>
      <c r="AA13" s="186">
        <f>'GS &gt; 50 OLS Model (LC)'!$B$14*N13</f>
        <v>13601430.342326485</v>
      </c>
      <c r="AB13" s="186">
        <f t="shared" ca="1" si="2"/>
        <v>81243376.04664132</v>
      </c>
    </row>
    <row r="14" spans="1:28">
      <c r="A14" s="128">
        <f>'Monthly Data'!A14</f>
        <v>40179</v>
      </c>
      <c r="B14" s="186">
        <f t="shared" si="1"/>
        <v>2010</v>
      </c>
      <c r="C14" s="124">
        <f ca="1">'Monthly Data'!T14</f>
        <v>85230308.495070994</v>
      </c>
      <c r="D14" s="186">
        <f t="shared" ref="D14:E29" ca="1" si="3">D2</f>
        <v>665.14879699248104</v>
      </c>
      <c r="E14" s="186">
        <f t="shared" ca="1" si="3"/>
        <v>0</v>
      </c>
      <c r="F14" s="186">
        <f>'Monthly Data'!BL14</f>
        <v>555907.5</v>
      </c>
      <c r="G14" s="186">
        <f>'Monthly Data'!BM14</f>
        <v>13</v>
      </c>
      <c r="H14" s="186">
        <f>'Monthly Data'!BQ14</f>
        <v>0</v>
      </c>
      <c r="I14" s="186">
        <f>'Monthly Data'!BS14</f>
        <v>0</v>
      </c>
      <c r="J14" s="186">
        <f>'Monthly Data'!BU14</f>
        <v>0</v>
      </c>
      <c r="K14" s="186">
        <f>'Monthly Data'!BV14</f>
        <v>0</v>
      </c>
      <c r="L14" s="186">
        <f>'Monthly Data'!BW14</f>
        <v>0</v>
      </c>
      <c r="M14" s="186">
        <f>'Monthly Data'!CC14</f>
        <v>31</v>
      </c>
      <c r="N14" s="186">
        <f>'Monthly Data'!CD14</f>
        <v>20</v>
      </c>
      <c r="P14" s="186">
        <f>'GS &gt; 50 OLS Model (LC)'!$B$5</f>
        <v>-8436546.8467997499</v>
      </c>
      <c r="Q14" s="186">
        <f ca="1">'GS &gt; 50 OLS Model (LC)'!$B$6*D14</f>
        <v>16107914.522045333</v>
      </c>
      <c r="R14" s="186">
        <f ca="1">'GS &gt; 50 OLS Model (LC)'!$B$7*E14</f>
        <v>0</v>
      </c>
      <c r="S14" s="186">
        <f>'GS &gt; 50 OLS Model (LC)'!$B$8*F14</f>
        <v>28840217.836537071</v>
      </c>
      <c r="T14" s="186">
        <v>0</v>
      </c>
      <c r="U14" s="186">
        <f>'GS &gt; 50 OLS Model (LC)'!$B$9*H14</f>
        <v>0</v>
      </c>
      <c r="V14" s="186">
        <f>'GS &gt; 50 OLS Model (LC)'!$B$10*I14</f>
        <v>0</v>
      </c>
      <c r="W14" s="186">
        <f>'GS &gt; 50 OLS Model (LC)'!$B$11*J14</f>
        <v>0</v>
      </c>
      <c r="X14" s="186">
        <f>'GS &gt; 50 OLS Model (LC)'!$B$12*K14</f>
        <v>0</v>
      </c>
      <c r="Y14" s="186">
        <v>0</v>
      </c>
      <c r="Z14" s="186">
        <f>'GS &gt; 50 OLS Model (LC)'!$B$13*M14</f>
        <v>34805943.461156942</v>
      </c>
      <c r="AA14" s="186">
        <f>'GS &gt; 50 OLS Model (LC)'!$B$14*N14</f>
        <v>12953743.18316808</v>
      </c>
      <c r="AB14" s="186">
        <f t="shared" ca="1" si="2"/>
        <v>84271272.156107679</v>
      </c>
    </row>
    <row r="15" spans="1:28">
      <c r="A15" s="128">
        <f>'Monthly Data'!A15</f>
        <v>40210</v>
      </c>
      <c r="B15" s="186">
        <f t="shared" si="1"/>
        <v>2010</v>
      </c>
      <c r="C15" s="124">
        <f ca="1">'Monthly Data'!T15</f>
        <v>77285135.745971113</v>
      </c>
      <c r="D15" s="186">
        <f t="shared" ca="1" si="3"/>
        <v>611.17548872180487</v>
      </c>
      <c r="E15" s="186">
        <f t="shared" ca="1" si="3"/>
        <v>0</v>
      </c>
      <c r="F15" s="186">
        <f>'Monthly Data'!BL15</f>
        <v>555907.5</v>
      </c>
      <c r="G15" s="186">
        <f>'Monthly Data'!BM15</f>
        <v>14</v>
      </c>
      <c r="H15" s="186">
        <f>'Monthly Data'!BQ15</f>
        <v>0</v>
      </c>
      <c r="I15" s="186">
        <f>'Monthly Data'!BS15</f>
        <v>0</v>
      </c>
      <c r="J15" s="186">
        <f>'Monthly Data'!BU15</f>
        <v>0</v>
      </c>
      <c r="K15" s="186">
        <f>'Monthly Data'!BV15</f>
        <v>0</v>
      </c>
      <c r="L15" s="186">
        <f>'Monthly Data'!BW15</f>
        <v>0</v>
      </c>
      <c r="M15" s="186">
        <f>'Monthly Data'!CC15</f>
        <v>28</v>
      </c>
      <c r="N15" s="186">
        <f>'Monthly Data'!CD15</f>
        <v>19</v>
      </c>
      <c r="P15" s="186">
        <f>'GS &gt; 50 OLS Model (LC)'!$B$5</f>
        <v>-8436546.8467997499</v>
      </c>
      <c r="Q15" s="186">
        <f ca="1">'GS &gt; 50 OLS Model (LC)'!$B$6*D15</f>
        <v>14800842.420243302</v>
      </c>
      <c r="R15" s="186">
        <f ca="1">'GS &gt; 50 OLS Model (LC)'!$B$7*E15</f>
        <v>0</v>
      </c>
      <c r="S15" s="186">
        <f>'GS &gt; 50 OLS Model (LC)'!$B$8*F15</f>
        <v>28840217.836537071</v>
      </c>
      <c r="T15" s="186">
        <v>0</v>
      </c>
      <c r="U15" s="186">
        <f>'GS &gt; 50 OLS Model (LC)'!$B$9*H15</f>
        <v>0</v>
      </c>
      <c r="V15" s="186">
        <f>'GS &gt; 50 OLS Model (LC)'!$B$10*I15</f>
        <v>0</v>
      </c>
      <c r="W15" s="186">
        <f>'GS &gt; 50 OLS Model (LC)'!$B$11*J15</f>
        <v>0</v>
      </c>
      <c r="X15" s="186">
        <f>'GS &gt; 50 OLS Model (LC)'!$B$12*K15</f>
        <v>0</v>
      </c>
      <c r="Y15" s="186">
        <v>0</v>
      </c>
      <c r="Z15" s="186">
        <f>'GS &gt; 50 OLS Model (LC)'!$B$13*M15</f>
        <v>31437626.35201272</v>
      </c>
      <c r="AA15" s="186">
        <f>'GS &gt; 50 OLS Model (LC)'!$B$14*N15</f>
        <v>12306056.024009675</v>
      </c>
      <c r="AB15" s="186">
        <f t="shared" ca="1" si="2"/>
        <v>78948195.786003023</v>
      </c>
    </row>
    <row r="16" spans="1:28">
      <c r="A16" s="128">
        <f>'Monthly Data'!A16</f>
        <v>40238</v>
      </c>
      <c r="B16" s="186">
        <f t="shared" si="1"/>
        <v>2010</v>
      </c>
      <c r="C16" s="124">
        <f ca="1">'Monthly Data'!T16</f>
        <v>79275413.945330843</v>
      </c>
      <c r="D16" s="186">
        <f t="shared" ca="1" si="3"/>
        <v>458.46436090225569</v>
      </c>
      <c r="E16" s="186">
        <f t="shared" ca="1" si="3"/>
        <v>0.45218045112781802</v>
      </c>
      <c r="F16" s="186">
        <f>'Monthly Data'!BL16</f>
        <v>555907.5</v>
      </c>
      <c r="G16" s="186">
        <f>'Monthly Data'!BM16</f>
        <v>15</v>
      </c>
      <c r="H16" s="186">
        <f>'Monthly Data'!BQ16</f>
        <v>0</v>
      </c>
      <c r="I16" s="186">
        <f>'Monthly Data'!BS16</f>
        <v>0</v>
      </c>
      <c r="J16" s="186">
        <f>'Monthly Data'!BU16</f>
        <v>0</v>
      </c>
      <c r="K16" s="186">
        <f>'Monthly Data'!BV16</f>
        <v>0</v>
      </c>
      <c r="L16" s="186">
        <f>'Monthly Data'!BW16</f>
        <v>0</v>
      </c>
      <c r="M16" s="186">
        <f>'Monthly Data'!CC16</f>
        <v>31</v>
      </c>
      <c r="N16" s="186">
        <f>'Monthly Data'!CD16</f>
        <v>23</v>
      </c>
      <c r="P16" s="186">
        <f>'GS &gt; 50 OLS Model (LC)'!$B$5</f>
        <v>-8436546.8467997499</v>
      </c>
      <c r="Q16" s="186">
        <f ca="1">'GS &gt; 50 OLS Model (LC)'!$B$6*D16</f>
        <v>11102635.636129936</v>
      </c>
      <c r="R16" s="186">
        <f ca="1">'GS &gt; 50 OLS Model (LC)'!$B$7*E16</f>
        <v>32273.422142235275</v>
      </c>
      <c r="S16" s="186">
        <f>'GS &gt; 50 OLS Model (LC)'!$B$8*F16</f>
        <v>28840217.836537071</v>
      </c>
      <c r="T16" s="186">
        <v>0</v>
      </c>
      <c r="U16" s="186">
        <f>'GS &gt; 50 OLS Model (LC)'!$B$9*H16</f>
        <v>0</v>
      </c>
      <c r="V16" s="186">
        <f>'GS &gt; 50 OLS Model (LC)'!$B$10*I16</f>
        <v>0</v>
      </c>
      <c r="W16" s="186">
        <f>'GS &gt; 50 OLS Model (LC)'!$B$11*J16</f>
        <v>0</v>
      </c>
      <c r="X16" s="186">
        <f>'GS &gt; 50 OLS Model (LC)'!$B$12*K16</f>
        <v>0</v>
      </c>
      <c r="Y16" s="186">
        <v>0</v>
      </c>
      <c r="Z16" s="186">
        <f>'GS &gt; 50 OLS Model (LC)'!$B$13*M16</f>
        <v>34805943.461156942</v>
      </c>
      <c r="AA16" s="186">
        <f>'GS &gt; 50 OLS Model (LC)'!$B$14*N16</f>
        <v>14896804.660643291</v>
      </c>
      <c r="AB16" s="186">
        <f t="shared" ca="1" si="2"/>
        <v>81241328.169809729</v>
      </c>
    </row>
    <row r="17" spans="1:28">
      <c r="A17" s="128">
        <f>'Monthly Data'!A17</f>
        <v>40269</v>
      </c>
      <c r="B17" s="186">
        <f t="shared" si="1"/>
        <v>2010</v>
      </c>
      <c r="C17" s="124">
        <f ca="1">'Monthly Data'!T17</f>
        <v>70858250.304670826</v>
      </c>
      <c r="D17" s="186">
        <f t="shared" ca="1" si="3"/>
        <v>254.29052631578941</v>
      </c>
      <c r="E17" s="186">
        <f t="shared" ca="1" si="3"/>
        <v>0.50947368421054762</v>
      </c>
      <c r="F17" s="186">
        <f>'Monthly Data'!BL17</f>
        <v>555907.5</v>
      </c>
      <c r="G17" s="186">
        <f>'Monthly Data'!BM17</f>
        <v>16</v>
      </c>
      <c r="H17" s="186">
        <f>'Monthly Data'!BQ17</f>
        <v>1</v>
      </c>
      <c r="I17" s="186">
        <f>'Monthly Data'!BS17</f>
        <v>0</v>
      </c>
      <c r="J17" s="186">
        <f>'Monthly Data'!BU17</f>
        <v>0</v>
      </c>
      <c r="K17" s="186">
        <f>'Monthly Data'!BV17</f>
        <v>0</v>
      </c>
      <c r="L17" s="186">
        <f>'Monthly Data'!BW17</f>
        <v>0</v>
      </c>
      <c r="M17" s="186">
        <f>'Monthly Data'!CC17</f>
        <v>30</v>
      </c>
      <c r="N17" s="186">
        <f>'Monthly Data'!CD17</f>
        <v>20</v>
      </c>
      <c r="P17" s="186">
        <f>'GS &gt; 50 OLS Model (LC)'!$B$5</f>
        <v>-8436546.8467997499</v>
      </c>
      <c r="Q17" s="186">
        <f ca="1">'GS &gt; 50 OLS Model (LC)'!$B$6*D17</f>
        <v>6158156.0098754233</v>
      </c>
      <c r="R17" s="186">
        <f ca="1">'GS &gt; 50 OLS Model (LC)'!$B$7*E17</f>
        <v>36362.605326869983</v>
      </c>
      <c r="S17" s="186">
        <f>'GS &gt; 50 OLS Model (LC)'!$B$8*F17</f>
        <v>28840217.836537071</v>
      </c>
      <c r="T17" s="186">
        <v>0</v>
      </c>
      <c r="U17" s="186">
        <f>'GS &gt; 50 OLS Model (LC)'!$B$9*H17</f>
        <v>-1670517.9110053701</v>
      </c>
      <c r="V17" s="186">
        <f>'GS &gt; 50 OLS Model (LC)'!$B$10*I17</f>
        <v>0</v>
      </c>
      <c r="W17" s="186">
        <f>'GS &gt; 50 OLS Model (LC)'!$B$11*J17</f>
        <v>0</v>
      </c>
      <c r="X17" s="186">
        <f>'GS &gt; 50 OLS Model (LC)'!$B$12*K17</f>
        <v>0</v>
      </c>
      <c r="Y17" s="186">
        <v>0</v>
      </c>
      <c r="Z17" s="186">
        <f>'GS &gt; 50 OLS Model (LC)'!$B$13*M17</f>
        <v>33683171.091442198</v>
      </c>
      <c r="AA17" s="186">
        <f>'GS &gt; 50 OLS Model (LC)'!$B$14*N17</f>
        <v>12953743.18316808</v>
      </c>
      <c r="AB17" s="186">
        <f t="shared" ca="1" si="2"/>
        <v>71564585.968544528</v>
      </c>
    </row>
    <row r="18" spans="1:28">
      <c r="A18" s="128">
        <f>'Monthly Data'!A18</f>
        <v>40299</v>
      </c>
      <c r="B18" s="186">
        <f t="shared" si="1"/>
        <v>2010</v>
      </c>
      <c r="C18" s="124">
        <f ca="1">'Monthly Data'!T18</f>
        <v>75323997.158593893</v>
      </c>
      <c r="D18" s="186">
        <f t="shared" ca="1" si="3"/>
        <v>102.64150375939857</v>
      </c>
      <c r="E18" s="186">
        <f t="shared" ca="1" si="3"/>
        <v>56.062781954887214</v>
      </c>
      <c r="F18" s="186">
        <f>'Monthly Data'!BL18</f>
        <v>555907.5</v>
      </c>
      <c r="G18" s="186">
        <f>'Monthly Data'!BM18</f>
        <v>17</v>
      </c>
      <c r="H18" s="186">
        <f>'Monthly Data'!BQ18</f>
        <v>0</v>
      </c>
      <c r="I18" s="186">
        <f>'Monthly Data'!BS18</f>
        <v>0</v>
      </c>
      <c r="J18" s="186">
        <f>'Monthly Data'!BU18</f>
        <v>0</v>
      </c>
      <c r="K18" s="186">
        <f>'Monthly Data'!BV18</f>
        <v>0</v>
      </c>
      <c r="L18" s="186">
        <f>'Monthly Data'!BW18</f>
        <v>0</v>
      </c>
      <c r="M18" s="186">
        <f>'Monthly Data'!CC18</f>
        <v>31</v>
      </c>
      <c r="N18" s="186">
        <f>'Monthly Data'!CD18</f>
        <v>20</v>
      </c>
      <c r="P18" s="186">
        <f>'GS &gt; 50 OLS Model (LC)'!$B$5</f>
        <v>-8436546.8467997499</v>
      </c>
      <c r="Q18" s="186">
        <f ca="1">'GS &gt; 50 OLS Model (LC)'!$B$6*D18</f>
        <v>2485670.238668832</v>
      </c>
      <c r="R18" s="186">
        <f ca="1">'GS &gt; 50 OLS Model (LC)'!$B$7*E18</f>
        <v>4001362.3410418485</v>
      </c>
      <c r="S18" s="186">
        <f>'GS &gt; 50 OLS Model (LC)'!$B$8*F18</f>
        <v>28840217.836537071</v>
      </c>
      <c r="T18" s="186">
        <v>0</v>
      </c>
      <c r="U18" s="186">
        <f>'GS &gt; 50 OLS Model (LC)'!$B$9*H18</f>
        <v>0</v>
      </c>
      <c r="V18" s="186">
        <f>'GS &gt; 50 OLS Model (LC)'!$B$10*I18</f>
        <v>0</v>
      </c>
      <c r="W18" s="186">
        <f>'GS &gt; 50 OLS Model (LC)'!$B$11*J18</f>
        <v>0</v>
      </c>
      <c r="X18" s="186">
        <f>'GS &gt; 50 OLS Model (LC)'!$B$12*K18</f>
        <v>0</v>
      </c>
      <c r="Y18" s="186">
        <v>0</v>
      </c>
      <c r="Z18" s="186">
        <f>'GS &gt; 50 OLS Model (LC)'!$B$13*M18</f>
        <v>34805943.461156942</v>
      </c>
      <c r="AA18" s="186">
        <f>'GS &gt; 50 OLS Model (LC)'!$B$14*N18</f>
        <v>12953743.18316808</v>
      </c>
      <c r="AB18" s="186">
        <f t="shared" ca="1" si="2"/>
        <v>74650390.213773027</v>
      </c>
    </row>
    <row r="19" spans="1:28">
      <c r="A19" s="128">
        <f>'Monthly Data'!A19</f>
        <v>40330</v>
      </c>
      <c r="B19" s="186">
        <f t="shared" si="1"/>
        <v>2010</v>
      </c>
      <c r="C19" s="124">
        <f ca="1">'Monthly Data'!T19</f>
        <v>80844184.049799278</v>
      </c>
      <c r="D19" s="186">
        <f t="shared" ca="1" si="3"/>
        <v>0.39669172932326546</v>
      </c>
      <c r="E19" s="186">
        <f t="shared" ca="1" si="3"/>
        <v>116.89315789473682</v>
      </c>
      <c r="F19" s="186">
        <f>'Monthly Data'!BL19</f>
        <v>555907.5</v>
      </c>
      <c r="G19" s="186">
        <f>'Monthly Data'!BM19</f>
        <v>18</v>
      </c>
      <c r="H19" s="186">
        <f>'Monthly Data'!BQ19</f>
        <v>0</v>
      </c>
      <c r="I19" s="186">
        <f>'Monthly Data'!BS19</f>
        <v>1</v>
      </c>
      <c r="J19" s="186">
        <f>'Monthly Data'!BU19</f>
        <v>0</v>
      </c>
      <c r="K19" s="186">
        <f>'Monthly Data'!BV19</f>
        <v>0</v>
      </c>
      <c r="L19" s="186">
        <f>'Monthly Data'!BW19</f>
        <v>0</v>
      </c>
      <c r="M19" s="186">
        <f>'Monthly Data'!CC19</f>
        <v>30</v>
      </c>
      <c r="N19" s="186">
        <f>'Monthly Data'!CD19</f>
        <v>22</v>
      </c>
      <c r="P19" s="186">
        <f>'GS &gt; 50 OLS Model (LC)'!$B$5</f>
        <v>-8436546.8467997499</v>
      </c>
      <c r="Q19" s="186">
        <f ca="1">'GS &gt; 50 OLS Model (LC)'!$B$6*D19</f>
        <v>9606.6872501819107</v>
      </c>
      <c r="R19" s="186">
        <f ca="1">'GS &gt; 50 OLS Model (LC)'!$B$7*E19</f>
        <v>8343001.6066957684</v>
      </c>
      <c r="S19" s="186">
        <f>'GS &gt; 50 OLS Model (LC)'!$B$8*F19</f>
        <v>28840217.836537071</v>
      </c>
      <c r="T19" s="186">
        <v>0</v>
      </c>
      <c r="U19" s="186">
        <f>'GS &gt; 50 OLS Model (LC)'!$B$9*H19</f>
        <v>0</v>
      </c>
      <c r="V19" s="186">
        <f>'GS &gt; 50 OLS Model (LC)'!$B$10*I19</f>
        <v>1260255.0136768401</v>
      </c>
      <c r="W19" s="186">
        <f>'GS &gt; 50 OLS Model (LC)'!$B$11*J19</f>
        <v>0</v>
      </c>
      <c r="X19" s="186">
        <f>'GS &gt; 50 OLS Model (LC)'!$B$12*K19</f>
        <v>0</v>
      </c>
      <c r="Y19" s="186">
        <v>0</v>
      </c>
      <c r="Z19" s="186">
        <f>'GS &gt; 50 OLS Model (LC)'!$B$13*M19</f>
        <v>33683171.091442198</v>
      </c>
      <c r="AA19" s="186">
        <f>'GS &gt; 50 OLS Model (LC)'!$B$14*N19</f>
        <v>14249117.501484888</v>
      </c>
      <c r="AB19" s="186">
        <f t="shared" ca="1" si="2"/>
        <v>77948822.890287191</v>
      </c>
    </row>
    <row r="20" spans="1:28">
      <c r="A20" s="128">
        <f>'Monthly Data'!A20</f>
        <v>40360</v>
      </c>
      <c r="B20" s="186">
        <f t="shared" si="1"/>
        <v>2010</v>
      </c>
      <c r="C20" s="124">
        <f ca="1">'Monthly Data'!T20</f>
        <v>85724188.764418766</v>
      </c>
      <c r="D20" s="186">
        <f t="shared" ca="1" si="3"/>
        <v>0.58105263157894704</v>
      </c>
      <c r="E20" s="186">
        <f t="shared" ca="1" si="3"/>
        <v>186.96526315789481</v>
      </c>
      <c r="F20" s="186">
        <f>'Monthly Data'!BL20</f>
        <v>555907.5</v>
      </c>
      <c r="G20" s="186">
        <f>'Monthly Data'!BM20</f>
        <v>19</v>
      </c>
      <c r="H20" s="186">
        <f>'Monthly Data'!BQ20</f>
        <v>0</v>
      </c>
      <c r="I20" s="186">
        <f>'Monthly Data'!BS20</f>
        <v>0</v>
      </c>
      <c r="J20" s="186">
        <f>'Monthly Data'!BU20</f>
        <v>0</v>
      </c>
      <c r="K20" s="186">
        <f>'Monthly Data'!BV20</f>
        <v>0</v>
      </c>
      <c r="L20" s="186">
        <f>'Monthly Data'!BW20</f>
        <v>0</v>
      </c>
      <c r="M20" s="186">
        <f>'Monthly Data'!CC20</f>
        <v>31</v>
      </c>
      <c r="N20" s="186">
        <f>'Monthly Data'!CD20</f>
        <v>21</v>
      </c>
      <c r="P20" s="186">
        <f>'GS &gt; 50 OLS Model (LC)'!$B$5</f>
        <v>-8436546.8467997499</v>
      </c>
      <c r="Q20" s="186">
        <f ca="1">'GS &gt; 50 OLS Model (LC)'!$B$6*D20</f>
        <v>14071.356912322552</v>
      </c>
      <c r="R20" s="186">
        <f ca="1">'GS &gt; 50 OLS Model (LC)'!$B$7*E20</f>
        <v>13344249.732112395</v>
      </c>
      <c r="S20" s="186">
        <f>'GS &gt; 50 OLS Model (LC)'!$B$8*F20</f>
        <v>28840217.836537071</v>
      </c>
      <c r="T20" s="186">
        <v>0</v>
      </c>
      <c r="U20" s="186">
        <f>'GS &gt; 50 OLS Model (LC)'!$B$9*H20</f>
        <v>0</v>
      </c>
      <c r="V20" s="186">
        <f>'GS &gt; 50 OLS Model (LC)'!$B$10*I20</f>
        <v>0</v>
      </c>
      <c r="W20" s="186">
        <f>'GS &gt; 50 OLS Model (LC)'!$B$11*J20</f>
        <v>0</v>
      </c>
      <c r="X20" s="186">
        <f>'GS &gt; 50 OLS Model (LC)'!$B$12*K20</f>
        <v>0</v>
      </c>
      <c r="Y20" s="186">
        <v>0</v>
      </c>
      <c r="Z20" s="186">
        <f>'GS &gt; 50 OLS Model (LC)'!$B$13*M20</f>
        <v>34805943.461156942</v>
      </c>
      <c r="AA20" s="186">
        <f>'GS &gt; 50 OLS Model (LC)'!$B$14*N20</f>
        <v>13601430.342326485</v>
      </c>
      <c r="AB20" s="186">
        <f t="shared" ca="1" si="2"/>
        <v>82169365.882245481</v>
      </c>
    </row>
    <row r="21" spans="1:28">
      <c r="A21" s="128">
        <f>'Monthly Data'!A21</f>
        <v>40391</v>
      </c>
      <c r="B21" s="186">
        <f t="shared" si="1"/>
        <v>2010</v>
      </c>
      <c r="C21" s="124">
        <f ca="1">'Monthly Data'!T21</f>
        <v>85962780.097131476</v>
      </c>
      <c r="D21" s="186">
        <f t="shared" ca="1" si="3"/>
        <v>1.6660902255639058</v>
      </c>
      <c r="E21" s="186">
        <f t="shared" ca="1" si="3"/>
        <v>167.43443609022574</v>
      </c>
      <c r="F21" s="186">
        <f>'Monthly Data'!BL21</f>
        <v>555907.5</v>
      </c>
      <c r="G21" s="186">
        <f>'Monthly Data'!BM21</f>
        <v>20</v>
      </c>
      <c r="H21" s="186">
        <f>'Monthly Data'!BQ21</f>
        <v>0</v>
      </c>
      <c r="I21" s="186">
        <f>'Monthly Data'!BS21</f>
        <v>0</v>
      </c>
      <c r="J21" s="186">
        <f>'Monthly Data'!BU21</f>
        <v>1</v>
      </c>
      <c r="K21" s="186">
        <f>'Monthly Data'!BV21</f>
        <v>0</v>
      </c>
      <c r="L21" s="186">
        <f>'Monthly Data'!BW21</f>
        <v>0</v>
      </c>
      <c r="M21" s="186">
        <f>'Monthly Data'!CC21</f>
        <v>31</v>
      </c>
      <c r="N21" s="186">
        <f>'Monthly Data'!CD21</f>
        <v>21</v>
      </c>
      <c r="P21" s="186">
        <f>'GS &gt; 50 OLS Model (LC)'!$B$5</f>
        <v>-8436546.8467997499</v>
      </c>
      <c r="Q21" s="186">
        <f ca="1">'GS &gt; 50 OLS Model (LC)'!$B$6*D21</f>
        <v>40347.722285216725</v>
      </c>
      <c r="R21" s="186">
        <f ca="1">'GS &gt; 50 OLS Model (LC)'!$B$7*E21</f>
        <v>11950278.30948735</v>
      </c>
      <c r="S21" s="186">
        <f>'GS &gt; 50 OLS Model (LC)'!$B$8*F21</f>
        <v>28840217.836537071</v>
      </c>
      <c r="T21" s="186">
        <v>0</v>
      </c>
      <c r="U21" s="186">
        <f>'GS &gt; 50 OLS Model (LC)'!$B$9*H21</f>
        <v>0</v>
      </c>
      <c r="V21" s="186">
        <f>'GS &gt; 50 OLS Model (LC)'!$B$10*I21</f>
        <v>0</v>
      </c>
      <c r="W21" s="186">
        <f>'GS &gt; 50 OLS Model (LC)'!$B$11*J21</f>
        <v>2501012.7689915099</v>
      </c>
      <c r="X21" s="186">
        <f>'GS &gt; 50 OLS Model (LC)'!$B$12*K21</f>
        <v>0</v>
      </c>
      <c r="Y21" s="186">
        <v>0</v>
      </c>
      <c r="Z21" s="186">
        <f>'GS &gt; 50 OLS Model (LC)'!$B$13*M21</f>
        <v>34805943.461156942</v>
      </c>
      <c r="AA21" s="186">
        <f>'GS &gt; 50 OLS Model (LC)'!$B$14*N21</f>
        <v>13601430.342326485</v>
      </c>
      <c r="AB21" s="186">
        <f t="shared" ca="1" si="2"/>
        <v>83302683.593984812</v>
      </c>
    </row>
    <row r="22" spans="1:28">
      <c r="A22" s="128">
        <f>'Monthly Data'!A22</f>
        <v>40422</v>
      </c>
      <c r="B22" s="186">
        <f t="shared" si="1"/>
        <v>2010</v>
      </c>
      <c r="C22" s="124">
        <f ca="1">'Monthly Data'!T22</f>
        <v>74966407.254957601</v>
      </c>
      <c r="D22" s="186">
        <f t="shared" ca="1" si="3"/>
        <v>30.410827067669118</v>
      </c>
      <c r="E22" s="186">
        <f t="shared" ca="1" si="3"/>
        <v>83.003533834586506</v>
      </c>
      <c r="F22" s="186">
        <f>'Monthly Data'!BL22</f>
        <v>555907.5</v>
      </c>
      <c r="G22" s="186">
        <f>'Monthly Data'!BM22</f>
        <v>21</v>
      </c>
      <c r="H22" s="186">
        <f>'Monthly Data'!BQ22</f>
        <v>0</v>
      </c>
      <c r="I22" s="186">
        <f>'Monthly Data'!BS22</f>
        <v>0</v>
      </c>
      <c r="J22" s="186">
        <f>'Monthly Data'!BU22</f>
        <v>0</v>
      </c>
      <c r="K22" s="186">
        <f>'Monthly Data'!BV22</f>
        <v>1</v>
      </c>
      <c r="L22" s="186">
        <f>'Monthly Data'!BW22</f>
        <v>0</v>
      </c>
      <c r="M22" s="186">
        <f>'Monthly Data'!CC22</f>
        <v>30</v>
      </c>
      <c r="N22" s="186">
        <f>'Monthly Data'!CD22</f>
        <v>21</v>
      </c>
      <c r="P22" s="186">
        <f>'GS &gt; 50 OLS Model (LC)'!$B$5</f>
        <v>-8436546.8467997499</v>
      </c>
      <c r="Q22" s="186">
        <f ca="1">'GS &gt; 50 OLS Model (LC)'!$B$6*D22</f>
        <v>736459.27823312907</v>
      </c>
      <c r="R22" s="186">
        <f ca="1">'GS &gt; 50 OLS Model (LC)'!$B$7*E22</f>
        <v>5924201.4555461155</v>
      </c>
      <c r="S22" s="186">
        <f>'GS &gt; 50 OLS Model (LC)'!$B$8*F22</f>
        <v>28840217.836537071</v>
      </c>
      <c r="T22" s="186">
        <v>0</v>
      </c>
      <c r="U22" s="186">
        <f>'GS &gt; 50 OLS Model (LC)'!$B$9*H22</f>
        <v>0</v>
      </c>
      <c r="V22" s="186">
        <f>'GS &gt; 50 OLS Model (LC)'!$B$10*I22</f>
        <v>0</v>
      </c>
      <c r="W22" s="186">
        <f>'GS &gt; 50 OLS Model (LC)'!$B$11*J22</f>
        <v>0</v>
      </c>
      <c r="X22" s="186">
        <f>'GS &gt; 50 OLS Model (LC)'!$B$12*K22</f>
        <v>2346294.5864150901</v>
      </c>
      <c r="Y22" s="186">
        <v>0</v>
      </c>
      <c r="Z22" s="186">
        <f>'GS &gt; 50 OLS Model (LC)'!$B$13*M22</f>
        <v>33683171.091442198</v>
      </c>
      <c r="AA22" s="186">
        <f>'GS &gt; 50 OLS Model (LC)'!$B$14*N22</f>
        <v>13601430.342326485</v>
      </c>
      <c r="AB22" s="186">
        <f t="shared" ca="1" si="2"/>
        <v>76695227.743700325</v>
      </c>
    </row>
    <row r="23" spans="1:28">
      <c r="A23" s="128">
        <f>'Monthly Data'!A23</f>
        <v>40452</v>
      </c>
      <c r="B23" s="186">
        <f t="shared" si="1"/>
        <v>2010</v>
      </c>
      <c r="C23" s="124">
        <f ca="1">'Monthly Data'!T23</f>
        <v>73516726.053443059</v>
      </c>
      <c r="D23" s="186">
        <f t="shared" ca="1" si="3"/>
        <v>158.93676691729343</v>
      </c>
      <c r="E23" s="186">
        <f t="shared" ca="1" si="3"/>
        <v>16.916090225563948</v>
      </c>
      <c r="F23" s="186">
        <f>'Monthly Data'!BL23</f>
        <v>555907.5</v>
      </c>
      <c r="G23" s="186">
        <f>'Monthly Data'!BM23</f>
        <v>22</v>
      </c>
      <c r="H23" s="186">
        <f>'Monthly Data'!BQ23</f>
        <v>0</v>
      </c>
      <c r="I23" s="186">
        <f>'Monthly Data'!BS23</f>
        <v>0</v>
      </c>
      <c r="J23" s="186">
        <f>'Monthly Data'!BU23</f>
        <v>0</v>
      </c>
      <c r="K23" s="186">
        <f>'Monthly Data'!BV23</f>
        <v>0</v>
      </c>
      <c r="L23" s="186">
        <f>'Monthly Data'!BW23</f>
        <v>1</v>
      </c>
      <c r="M23" s="186">
        <f>'Monthly Data'!CC23</f>
        <v>31</v>
      </c>
      <c r="N23" s="186">
        <f>'Monthly Data'!CD23</f>
        <v>20</v>
      </c>
      <c r="P23" s="186">
        <f>'GS &gt; 50 OLS Model (LC)'!$B$5</f>
        <v>-8436546.8467997499</v>
      </c>
      <c r="Q23" s="186">
        <f ca="1">'GS &gt; 50 OLS Model (LC)'!$B$6*D23</f>
        <v>3848973.1432874338</v>
      </c>
      <c r="R23" s="186">
        <f ca="1">'GS &gt; 50 OLS Model (LC)'!$B$7*E23</f>
        <v>1207350.1176003828</v>
      </c>
      <c r="S23" s="186">
        <f>'GS &gt; 50 OLS Model (LC)'!$B$8*F23</f>
        <v>28840217.836537071</v>
      </c>
      <c r="T23" s="186">
        <v>0</v>
      </c>
      <c r="U23" s="186">
        <f>'GS &gt; 50 OLS Model (LC)'!$B$9*H23</f>
        <v>0</v>
      </c>
      <c r="V23" s="186">
        <f>'GS &gt; 50 OLS Model (LC)'!$B$10*I23</f>
        <v>0</v>
      </c>
      <c r="W23" s="186">
        <f>'GS &gt; 50 OLS Model (LC)'!$B$11*J23</f>
        <v>0</v>
      </c>
      <c r="X23" s="186">
        <f>'GS &gt; 50 OLS Model (LC)'!$B$12*K23</f>
        <v>0</v>
      </c>
      <c r="Y23" s="186">
        <v>0</v>
      </c>
      <c r="Z23" s="186">
        <f>'GS &gt; 50 OLS Model (LC)'!$B$13*M23</f>
        <v>34805943.461156942</v>
      </c>
      <c r="AA23" s="186">
        <f>'GS &gt; 50 OLS Model (LC)'!$B$14*N23</f>
        <v>12953743.18316808</v>
      </c>
      <c r="AB23" s="186">
        <f t="shared" ca="1" si="2"/>
        <v>73219680.894950166</v>
      </c>
    </row>
    <row r="24" spans="1:28">
      <c r="A24" s="128">
        <f>'Monthly Data'!A24</f>
        <v>40483</v>
      </c>
      <c r="B24" s="186">
        <f t="shared" si="1"/>
        <v>2010</v>
      </c>
      <c r="C24" s="124">
        <f ca="1">'Monthly Data'!T24</f>
        <v>76037403.300678432</v>
      </c>
      <c r="D24" s="186">
        <f t="shared" ca="1" si="3"/>
        <v>375.92533834586447</v>
      </c>
      <c r="E24" s="186">
        <f t="shared" ca="1" si="3"/>
        <v>8.120300751879661E-2</v>
      </c>
      <c r="F24" s="186">
        <f>'Monthly Data'!BL24</f>
        <v>555907.5</v>
      </c>
      <c r="G24" s="186">
        <f>'Monthly Data'!BM24</f>
        <v>23</v>
      </c>
      <c r="H24" s="186">
        <f>'Monthly Data'!BQ24</f>
        <v>0</v>
      </c>
      <c r="I24" s="186">
        <f>'Monthly Data'!BS24</f>
        <v>0</v>
      </c>
      <c r="J24" s="186">
        <f>'Monthly Data'!BU24</f>
        <v>0</v>
      </c>
      <c r="K24" s="186">
        <f>'Monthly Data'!BV24</f>
        <v>0</v>
      </c>
      <c r="L24" s="186">
        <f>'Monthly Data'!BW24</f>
        <v>0</v>
      </c>
      <c r="M24" s="186">
        <f>'Monthly Data'!CC24</f>
        <v>30</v>
      </c>
      <c r="N24" s="186">
        <f>'Monthly Data'!CD24</f>
        <v>22</v>
      </c>
      <c r="P24" s="186">
        <f>'GS &gt; 50 OLS Model (LC)'!$B$5</f>
        <v>-8436546.8467997499</v>
      </c>
      <c r="Q24" s="186">
        <f ca="1">'GS &gt; 50 OLS Model (LC)'!$B$6*D24</f>
        <v>9103787.36927131</v>
      </c>
      <c r="R24" s="186">
        <f ca="1">'GS &gt; 50 OLS Model (LC)'!$B$7*E24</f>
        <v>5795.6927026295389</v>
      </c>
      <c r="S24" s="186">
        <f>'GS &gt; 50 OLS Model (LC)'!$B$8*F24</f>
        <v>28840217.836537071</v>
      </c>
      <c r="T24" s="186">
        <v>0</v>
      </c>
      <c r="U24" s="186">
        <f>'GS &gt; 50 OLS Model (LC)'!$B$9*H24</f>
        <v>0</v>
      </c>
      <c r="V24" s="186">
        <f>'GS &gt; 50 OLS Model (LC)'!$B$10*I24</f>
        <v>0</v>
      </c>
      <c r="W24" s="186">
        <f>'GS &gt; 50 OLS Model (LC)'!$B$11*J24</f>
        <v>0</v>
      </c>
      <c r="X24" s="186">
        <f>'GS &gt; 50 OLS Model (LC)'!$B$12*K24</f>
        <v>0</v>
      </c>
      <c r="Y24" s="186">
        <v>0</v>
      </c>
      <c r="Z24" s="186">
        <f>'GS &gt; 50 OLS Model (LC)'!$B$13*M24</f>
        <v>33683171.091442198</v>
      </c>
      <c r="AA24" s="186">
        <f>'GS &gt; 50 OLS Model (LC)'!$B$14*N24</f>
        <v>14249117.501484888</v>
      </c>
      <c r="AB24" s="186">
        <f t="shared" ca="1" si="2"/>
        <v>77445542.644638345</v>
      </c>
    </row>
    <row r="25" spans="1:28">
      <c r="A25" s="128">
        <f>'Monthly Data'!A25</f>
        <v>40513</v>
      </c>
      <c r="B25" s="186">
        <f t="shared" si="1"/>
        <v>2010</v>
      </c>
      <c r="C25" s="124">
        <f ca="1">'Monthly Data'!T25</f>
        <v>82527064.311934069</v>
      </c>
      <c r="D25" s="186">
        <f t="shared" ca="1" si="3"/>
        <v>548.76120300751859</v>
      </c>
      <c r="E25" s="186">
        <f t="shared" ca="1" si="3"/>
        <v>0</v>
      </c>
      <c r="F25" s="186">
        <f>'Monthly Data'!BL25</f>
        <v>555907.5</v>
      </c>
      <c r="G25" s="186">
        <f>'Monthly Data'!BM25</f>
        <v>24</v>
      </c>
      <c r="H25" s="186">
        <f>'Monthly Data'!BQ25</f>
        <v>0</v>
      </c>
      <c r="I25" s="186">
        <f>'Monthly Data'!BS25</f>
        <v>0</v>
      </c>
      <c r="J25" s="186">
        <f>'Monthly Data'!BU25</f>
        <v>0</v>
      </c>
      <c r="K25" s="186">
        <f>'Monthly Data'!BV25</f>
        <v>0</v>
      </c>
      <c r="L25" s="186">
        <f>'Monthly Data'!BW25</f>
        <v>0</v>
      </c>
      <c r="M25" s="186">
        <f>'Monthly Data'!CC25</f>
        <v>31</v>
      </c>
      <c r="N25" s="186">
        <f>'Monthly Data'!CD25</f>
        <v>21</v>
      </c>
      <c r="P25" s="186">
        <f>'GS &gt; 50 OLS Model (LC)'!$B$5</f>
        <v>-8436546.8467997499</v>
      </c>
      <c r="Q25" s="186">
        <f ca="1">'GS &gt; 50 OLS Model (LC)'!$B$6*D25</f>
        <v>13289355.090211187</v>
      </c>
      <c r="R25" s="186">
        <f ca="1">'GS &gt; 50 OLS Model (LC)'!$B$7*E25</f>
        <v>0</v>
      </c>
      <c r="S25" s="186">
        <f>'GS &gt; 50 OLS Model (LC)'!$B$8*F25</f>
        <v>28840217.836537071</v>
      </c>
      <c r="T25" s="186">
        <v>0</v>
      </c>
      <c r="U25" s="186">
        <f>'GS &gt; 50 OLS Model (LC)'!$B$9*H25</f>
        <v>0</v>
      </c>
      <c r="V25" s="186">
        <f>'GS &gt; 50 OLS Model (LC)'!$B$10*I25</f>
        <v>0</v>
      </c>
      <c r="W25" s="186">
        <f>'GS &gt; 50 OLS Model (LC)'!$B$11*J25</f>
        <v>0</v>
      </c>
      <c r="X25" s="186">
        <f>'GS &gt; 50 OLS Model (LC)'!$B$12*K25</f>
        <v>0</v>
      </c>
      <c r="Y25" s="186">
        <v>0</v>
      </c>
      <c r="Z25" s="186">
        <f>'GS &gt; 50 OLS Model (LC)'!$B$13*M25</f>
        <v>34805943.461156942</v>
      </c>
      <c r="AA25" s="186">
        <f>'GS &gt; 50 OLS Model (LC)'!$B$14*N25</f>
        <v>13601430.342326485</v>
      </c>
      <c r="AB25" s="186">
        <f t="shared" ca="1" si="2"/>
        <v>82100399.883431941</v>
      </c>
    </row>
    <row r="26" spans="1:28">
      <c r="A26" s="128">
        <f>'Monthly Data'!A26</f>
        <v>40544</v>
      </c>
      <c r="B26" s="186">
        <f t="shared" si="1"/>
        <v>2011</v>
      </c>
      <c r="C26" s="124">
        <f ca="1">'Monthly Data'!T26</f>
        <v>87683932.225609511</v>
      </c>
      <c r="D26" s="186">
        <f t="shared" ca="1" si="3"/>
        <v>665.14879699248104</v>
      </c>
      <c r="E26" s="186">
        <f t="shared" ca="1" si="3"/>
        <v>0</v>
      </c>
      <c r="F26" s="186">
        <f>'Monthly Data'!BL26</f>
        <v>570633.30000000005</v>
      </c>
      <c r="G26" s="186">
        <f>'Monthly Data'!BM26</f>
        <v>25</v>
      </c>
      <c r="H26" s="186">
        <f>'Monthly Data'!BQ26</f>
        <v>0</v>
      </c>
      <c r="I26" s="186">
        <f>'Monthly Data'!BS26</f>
        <v>0</v>
      </c>
      <c r="J26" s="186">
        <f>'Monthly Data'!BU26</f>
        <v>0</v>
      </c>
      <c r="K26" s="186">
        <f>'Monthly Data'!BV26</f>
        <v>0</v>
      </c>
      <c r="L26" s="186">
        <f>'Monthly Data'!BW26</f>
        <v>0</v>
      </c>
      <c r="M26" s="186">
        <f>'Monthly Data'!CC26</f>
        <v>31</v>
      </c>
      <c r="N26" s="186">
        <f>'Monthly Data'!CD26</f>
        <v>20</v>
      </c>
      <c r="P26" s="186">
        <f>'GS &gt; 50 OLS Model (LC)'!$B$5</f>
        <v>-8436546.8467997499</v>
      </c>
      <c r="Q26" s="186">
        <f ca="1">'GS &gt; 50 OLS Model (LC)'!$B$6*D26</f>
        <v>16107914.522045333</v>
      </c>
      <c r="R26" s="186">
        <f ca="1">'GS &gt; 50 OLS Model (LC)'!$B$7*E26</f>
        <v>0</v>
      </c>
      <c r="S26" s="186">
        <f>'GS &gt; 50 OLS Model (LC)'!$B$8*F26</f>
        <v>29604185.366777766</v>
      </c>
      <c r="T26" s="186">
        <v>0</v>
      </c>
      <c r="U26" s="186">
        <f>'GS &gt; 50 OLS Model (LC)'!$B$9*H26</f>
        <v>0</v>
      </c>
      <c r="V26" s="186">
        <f>'GS &gt; 50 OLS Model (LC)'!$B$10*I26</f>
        <v>0</v>
      </c>
      <c r="W26" s="186">
        <f>'GS &gt; 50 OLS Model (LC)'!$B$11*J26</f>
        <v>0</v>
      </c>
      <c r="X26" s="186">
        <f>'GS &gt; 50 OLS Model (LC)'!$B$12*K26</f>
        <v>0</v>
      </c>
      <c r="Y26" s="186">
        <v>0</v>
      </c>
      <c r="Z26" s="186">
        <f>'GS &gt; 50 OLS Model (LC)'!$B$13*M26</f>
        <v>34805943.461156942</v>
      </c>
      <c r="AA26" s="186">
        <f>'GS &gt; 50 OLS Model (LC)'!$B$14*N26</f>
        <v>12953743.18316808</v>
      </c>
      <c r="AB26" s="186">
        <f t="shared" ca="1" si="2"/>
        <v>85035239.686348379</v>
      </c>
    </row>
    <row r="27" spans="1:28">
      <c r="A27" s="128">
        <f>'Monthly Data'!A27</f>
        <v>40575</v>
      </c>
      <c r="B27" s="186">
        <f t="shared" si="1"/>
        <v>2011</v>
      </c>
      <c r="C27" s="124">
        <f ca="1">'Monthly Data'!T27</f>
        <v>79180941.496457949</v>
      </c>
      <c r="D27" s="186">
        <f t="shared" ca="1" si="3"/>
        <v>611.17548872180487</v>
      </c>
      <c r="E27" s="186">
        <f t="shared" ca="1" si="3"/>
        <v>0</v>
      </c>
      <c r="F27" s="186">
        <f>'Monthly Data'!BL27</f>
        <v>570633.30000000005</v>
      </c>
      <c r="G27" s="186">
        <f>'Monthly Data'!BM27</f>
        <v>26</v>
      </c>
      <c r="H27" s="186">
        <f>'Monthly Data'!BQ27</f>
        <v>0</v>
      </c>
      <c r="I27" s="186">
        <f>'Monthly Data'!BS27</f>
        <v>0</v>
      </c>
      <c r="J27" s="186">
        <f>'Monthly Data'!BU27</f>
        <v>0</v>
      </c>
      <c r="K27" s="186">
        <f>'Monthly Data'!BV27</f>
        <v>0</v>
      </c>
      <c r="L27" s="186">
        <f>'Monthly Data'!BW27</f>
        <v>0</v>
      </c>
      <c r="M27" s="186">
        <f>'Monthly Data'!CC27</f>
        <v>28</v>
      </c>
      <c r="N27" s="186">
        <f>'Monthly Data'!CD27</f>
        <v>19</v>
      </c>
      <c r="P27" s="186">
        <f>'GS &gt; 50 OLS Model (LC)'!$B$5</f>
        <v>-8436546.8467997499</v>
      </c>
      <c r="Q27" s="186">
        <f ca="1">'GS &gt; 50 OLS Model (LC)'!$B$6*D27</f>
        <v>14800842.420243302</v>
      </c>
      <c r="R27" s="186">
        <f ca="1">'GS &gt; 50 OLS Model (LC)'!$B$7*E27</f>
        <v>0</v>
      </c>
      <c r="S27" s="186">
        <f>'GS &gt; 50 OLS Model (LC)'!$B$8*F27</f>
        <v>29604185.366777766</v>
      </c>
      <c r="T27" s="186">
        <v>0</v>
      </c>
      <c r="U27" s="186">
        <f>'GS &gt; 50 OLS Model (LC)'!$B$9*H27</f>
        <v>0</v>
      </c>
      <c r="V27" s="186">
        <f>'GS &gt; 50 OLS Model (LC)'!$B$10*I27</f>
        <v>0</v>
      </c>
      <c r="W27" s="186">
        <f>'GS &gt; 50 OLS Model (LC)'!$B$11*J27</f>
        <v>0</v>
      </c>
      <c r="X27" s="186">
        <f>'GS &gt; 50 OLS Model (LC)'!$B$12*K27</f>
        <v>0</v>
      </c>
      <c r="Y27" s="186">
        <v>0</v>
      </c>
      <c r="Z27" s="186">
        <f>'GS &gt; 50 OLS Model (LC)'!$B$13*M27</f>
        <v>31437626.35201272</v>
      </c>
      <c r="AA27" s="186">
        <f>'GS &gt; 50 OLS Model (LC)'!$B$14*N27</f>
        <v>12306056.024009675</v>
      </c>
      <c r="AB27" s="186">
        <f t="shared" ca="1" si="2"/>
        <v>79712163.316243708</v>
      </c>
    </row>
    <row r="28" spans="1:28">
      <c r="A28" s="128">
        <f>'Monthly Data'!A28</f>
        <v>40603</v>
      </c>
      <c r="B28" s="186">
        <f t="shared" si="1"/>
        <v>2011</v>
      </c>
      <c r="C28" s="124">
        <f ca="1">'Monthly Data'!T28</f>
        <v>83137506.790608495</v>
      </c>
      <c r="D28" s="186">
        <f t="shared" ca="1" si="3"/>
        <v>458.46436090225569</v>
      </c>
      <c r="E28" s="186">
        <f t="shared" ca="1" si="3"/>
        <v>0.45218045112781802</v>
      </c>
      <c r="F28" s="186">
        <f>'Monthly Data'!BL28</f>
        <v>570633.30000000005</v>
      </c>
      <c r="G28" s="186">
        <f>'Monthly Data'!BM28</f>
        <v>27</v>
      </c>
      <c r="H28" s="186">
        <f>'Monthly Data'!BQ28</f>
        <v>0</v>
      </c>
      <c r="I28" s="186">
        <f>'Monthly Data'!BS28</f>
        <v>0</v>
      </c>
      <c r="J28" s="186">
        <f>'Monthly Data'!BU28</f>
        <v>0</v>
      </c>
      <c r="K28" s="186">
        <f>'Monthly Data'!BV28</f>
        <v>0</v>
      </c>
      <c r="L28" s="186">
        <f>'Monthly Data'!BW28</f>
        <v>0</v>
      </c>
      <c r="M28" s="186">
        <f>'Monthly Data'!CC28</f>
        <v>31</v>
      </c>
      <c r="N28" s="186">
        <f>'Monthly Data'!CD28</f>
        <v>23</v>
      </c>
      <c r="P28" s="186">
        <f>'GS &gt; 50 OLS Model (LC)'!$B$5</f>
        <v>-8436546.8467997499</v>
      </c>
      <c r="Q28" s="186">
        <f ca="1">'GS &gt; 50 OLS Model (LC)'!$B$6*D28</f>
        <v>11102635.636129936</v>
      </c>
      <c r="R28" s="186">
        <f ca="1">'GS &gt; 50 OLS Model (LC)'!$B$7*E28</f>
        <v>32273.422142235275</v>
      </c>
      <c r="S28" s="186">
        <f>'GS &gt; 50 OLS Model (LC)'!$B$8*F28</f>
        <v>29604185.366777766</v>
      </c>
      <c r="T28" s="186">
        <v>0</v>
      </c>
      <c r="U28" s="186">
        <f>'GS &gt; 50 OLS Model (LC)'!$B$9*H28</f>
        <v>0</v>
      </c>
      <c r="V28" s="186">
        <f>'GS &gt; 50 OLS Model (LC)'!$B$10*I28</f>
        <v>0</v>
      </c>
      <c r="W28" s="186">
        <f>'GS &gt; 50 OLS Model (LC)'!$B$11*J28</f>
        <v>0</v>
      </c>
      <c r="X28" s="186">
        <f>'GS &gt; 50 OLS Model (LC)'!$B$12*K28</f>
        <v>0</v>
      </c>
      <c r="Y28" s="186">
        <v>0</v>
      </c>
      <c r="Z28" s="186">
        <f>'GS &gt; 50 OLS Model (LC)'!$B$13*M28</f>
        <v>34805943.461156942</v>
      </c>
      <c r="AA28" s="186">
        <f>'GS &gt; 50 OLS Model (LC)'!$B$14*N28</f>
        <v>14896804.660643291</v>
      </c>
      <c r="AB28" s="186">
        <f t="shared" ca="1" si="2"/>
        <v>82005295.700050429</v>
      </c>
    </row>
    <row r="29" spans="1:28">
      <c r="A29" s="128">
        <f>'Monthly Data'!A29</f>
        <v>40634</v>
      </c>
      <c r="B29" s="186">
        <f t="shared" si="1"/>
        <v>2011</v>
      </c>
      <c r="C29" s="124">
        <f ca="1">'Monthly Data'!T29</f>
        <v>72823673.283491805</v>
      </c>
      <c r="D29" s="186">
        <f t="shared" ca="1" si="3"/>
        <v>254.29052631578941</v>
      </c>
      <c r="E29" s="186">
        <f t="shared" ca="1" si="3"/>
        <v>0.50947368421054762</v>
      </c>
      <c r="F29" s="186">
        <f>'Monthly Data'!BL29</f>
        <v>570633.30000000005</v>
      </c>
      <c r="G29" s="186">
        <f>'Monthly Data'!BM29</f>
        <v>28</v>
      </c>
      <c r="H29" s="186">
        <f>'Monthly Data'!BQ29</f>
        <v>1</v>
      </c>
      <c r="I29" s="186">
        <f>'Monthly Data'!BS29</f>
        <v>0</v>
      </c>
      <c r="J29" s="186">
        <f>'Monthly Data'!BU29</f>
        <v>0</v>
      </c>
      <c r="K29" s="186">
        <f>'Monthly Data'!BV29</f>
        <v>0</v>
      </c>
      <c r="L29" s="186">
        <f>'Monthly Data'!BW29</f>
        <v>0</v>
      </c>
      <c r="M29" s="186">
        <f>'Monthly Data'!CC29</f>
        <v>30</v>
      </c>
      <c r="N29" s="186">
        <f>'Monthly Data'!CD29</f>
        <v>19</v>
      </c>
      <c r="P29" s="186">
        <f>'GS &gt; 50 OLS Model (LC)'!$B$5</f>
        <v>-8436546.8467997499</v>
      </c>
      <c r="Q29" s="186">
        <f ca="1">'GS &gt; 50 OLS Model (LC)'!$B$6*D29</f>
        <v>6158156.0098754233</v>
      </c>
      <c r="R29" s="186">
        <f ca="1">'GS &gt; 50 OLS Model (LC)'!$B$7*E29</f>
        <v>36362.605326869983</v>
      </c>
      <c r="S29" s="186">
        <f>'GS &gt; 50 OLS Model (LC)'!$B$8*F29</f>
        <v>29604185.366777766</v>
      </c>
      <c r="T29" s="186">
        <v>0</v>
      </c>
      <c r="U29" s="186">
        <f>'GS &gt; 50 OLS Model (LC)'!$B$9*H29</f>
        <v>-1670517.9110053701</v>
      </c>
      <c r="V29" s="186">
        <f>'GS &gt; 50 OLS Model (LC)'!$B$10*I29</f>
        <v>0</v>
      </c>
      <c r="W29" s="186">
        <f>'GS &gt; 50 OLS Model (LC)'!$B$11*J29</f>
        <v>0</v>
      </c>
      <c r="X29" s="186">
        <f>'GS &gt; 50 OLS Model (LC)'!$B$12*K29</f>
        <v>0</v>
      </c>
      <c r="Y29" s="186">
        <v>0</v>
      </c>
      <c r="Z29" s="186">
        <f>'GS &gt; 50 OLS Model (LC)'!$B$13*M29</f>
        <v>33683171.091442198</v>
      </c>
      <c r="AA29" s="186">
        <f>'GS &gt; 50 OLS Model (LC)'!$B$14*N29</f>
        <v>12306056.024009675</v>
      </c>
      <c r="AB29" s="186">
        <f t="shared" ca="1" si="2"/>
        <v>71680866.339626819</v>
      </c>
    </row>
    <row r="30" spans="1:28">
      <c r="A30" s="128">
        <f>'Monthly Data'!A30</f>
        <v>40664</v>
      </c>
      <c r="B30" s="186">
        <f t="shared" si="1"/>
        <v>2011</v>
      </c>
      <c r="C30" s="124">
        <f ca="1">'Monthly Data'!T30</f>
        <v>73981180.889955714</v>
      </c>
      <c r="D30" s="186">
        <f t="shared" ref="D30:E45" ca="1" si="4">D18</f>
        <v>102.64150375939857</v>
      </c>
      <c r="E30" s="186">
        <f t="shared" ca="1" si="4"/>
        <v>56.062781954887214</v>
      </c>
      <c r="F30" s="186">
        <f>'Monthly Data'!BL30</f>
        <v>570633.30000000005</v>
      </c>
      <c r="G30" s="186">
        <f>'Monthly Data'!BM30</f>
        <v>29</v>
      </c>
      <c r="H30" s="186">
        <f>'Monthly Data'!BQ30</f>
        <v>0</v>
      </c>
      <c r="I30" s="186">
        <f>'Monthly Data'!BS30</f>
        <v>0</v>
      </c>
      <c r="J30" s="186">
        <f>'Monthly Data'!BU30</f>
        <v>0</v>
      </c>
      <c r="K30" s="186">
        <f>'Monthly Data'!BV30</f>
        <v>0</v>
      </c>
      <c r="L30" s="186">
        <f>'Monthly Data'!BW30</f>
        <v>0</v>
      </c>
      <c r="M30" s="186">
        <f>'Monthly Data'!CC30</f>
        <v>31</v>
      </c>
      <c r="N30" s="186">
        <f>'Monthly Data'!CD30</f>
        <v>21</v>
      </c>
      <c r="P30" s="186">
        <f>'GS &gt; 50 OLS Model (LC)'!$B$5</f>
        <v>-8436546.8467997499</v>
      </c>
      <c r="Q30" s="186">
        <f ca="1">'GS &gt; 50 OLS Model (LC)'!$B$6*D30</f>
        <v>2485670.238668832</v>
      </c>
      <c r="R30" s="186">
        <f ca="1">'GS &gt; 50 OLS Model (LC)'!$B$7*E30</f>
        <v>4001362.3410418485</v>
      </c>
      <c r="S30" s="186">
        <f>'GS &gt; 50 OLS Model (LC)'!$B$8*F30</f>
        <v>29604185.366777766</v>
      </c>
      <c r="T30" s="186">
        <v>0</v>
      </c>
      <c r="U30" s="186">
        <f>'GS &gt; 50 OLS Model (LC)'!$B$9*H30</f>
        <v>0</v>
      </c>
      <c r="V30" s="186">
        <f>'GS &gt; 50 OLS Model (LC)'!$B$10*I30</f>
        <v>0</v>
      </c>
      <c r="W30" s="186">
        <f>'GS &gt; 50 OLS Model (LC)'!$B$11*J30</f>
        <v>0</v>
      </c>
      <c r="X30" s="186">
        <f>'GS &gt; 50 OLS Model (LC)'!$B$12*K30</f>
        <v>0</v>
      </c>
      <c r="Y30" s="186">
        <v>0</v>
      </c>
      <c r="Z30" s="186">
        <f>'GS &gt; 50 OLS Model (LC)'!$B$13*M30</f>
        <v>34805943.461156942</v>
      </c>
      <c r="AA30" s="186">
        <f>'GS &gt; 50 OLS Model (LC)'!$B$14*N30</f>
        <v>13601430.342326485</v>
      </c>
      <c r="AB30" s="186">
        <f t="shared" ca="1" si="2"/>
        <v>76062044.903172135</v>
      </c>
    </row>
    <row r="31" spans="1:28">
      <c r="A31" s="128">
        <f>'Monthly Data'!A31</f>
        <v>40695</v>
      </c>
      <c r="B31" s="186">
        <f t="shared" si="1"/>
        <v>2011</v>
      </c>
      <c r="C31" s="124">
        <f ca="1">'Monthly Data'!T31</f>
        <v>79181645.291618466</v>
      </c>
      <c r="D31" s="186">
        <f t="shared" ca="1" si="4"/>
        <v>0.39669172932326546</v>
      </c>
      <c r="E31" s="186">
        <f t="shared" ca="1" si="4"/>
        <v>116.89315789473682</v>
      </c>
      <c r="F31" s="186">
        <f>'Monthly Data'!BL31</f>
        <v>570633.30000000005</v>
      </c>
      <c r="G31" s="186">
        <f>'Monthly Data'!BM31</f>
        <v>30</v>
      </c>
      <c r="H31" s="186">
        <f>'Monthly Data'!BQ31</f>
        <v>0</v>
      </c>
      <c r="I31" s="186">
        <f>'Monthly Data'!BS31</f>
        <v>1</v>
      </c>
      <c r="J31" s="186">
        <f>'Monthly Data'!BU31</f>
        <v>0</v>
      </c>
      <c r="K31" s="186">
        <f>'Monthly Data'!BV31</f>
        <v>0</v>
      </c>
      <c r="L31" s="186">
        <f>'Monthly Data'!BW31</f>
        <v>0</v>
      </c>
      <c r="M31" s="186">
        <f>'Monthly Data'!CC31</f>
        <v>30</v>
      </c>
      <c r="N31" s="186">
        <f>'Monthly Data'!CD31</f>
        <v>22</v>
      </c>
      <c r="P31" s="186">
        <f>'GS &gt; 50 OLS Model (LC)'!$B$5</f>
        <v>-8436546.8467997499</v>
      </c>
      <c r="Q31" s="186">
        <f ca="1">'GS &gt; 50 OLS Model (LC)'!$B$6*D31</f>
        <v>9606.6872501819107</v>
      </c>
      <c r="R31" s="186">
        <f ca="1">'GS &gt; 50 OLS Model (LC)'!$B$7*E31</f>
        <v>8343001.6066957684</v>
      </c>
      <c r="S31" s="186">
        <f>'GS &gt; 50 OLS Model (LC)'!$B$8*F31</f>
        <v>29604185.366777766</v>
      </c>
      <c r="T31" s="186">
        <v>0</v>
      </c>
      <c r="U31" s="186">
        <f>'GS &gt; 50 OLS Model (LC)'!$B$9*H31</f>
        <v>0</v>
      </c>
      <c r="V31" s="186">
        <f>'GS &gt; 50 OLS Model (LC)'!$B$10*I31</f>
        <v>1260255.0136768401</v>
      </c>
      <c r="W31" s="186">
        <f>'GS &gt; 50 OLS Model (LC)'!$B$11*J31</f>
        <v>0</v>
      </c>
      <c r="X31" s="186">
        <f>'GS &gt; 50 OLS Model (LC)'!$B$12*K31</f>
        <v>0</v>
      </c>
      <c r="Y31" s="186">
        <v>0</v>
      </c>
      <c r="Z31" s="186">
        <f>'GS &gt; 50 OLS Model (LC)'!$B$13*M31</f>
        <v>33683171.091442198</v>
      </c>
      <c r="AA31" s="186">
        <f>'GS &gt; 50 OLS Model (LC)'!$B$14*N31</f>
        <v>14249117.501484888</v>
      </c>
      <c r="AB31" s="186">
        <f t="shared" ca="1" si="2"/>
        <v>78712790.42052789</v>
      </c>
    </row>
    <row r="32" spans="1:28">
      <c r="A32" s="128">
        <f>'Monthly Data'!A32</f>
        <v>40725</v>
      </c>
      <c r="B32" s="186">
        <f t="shared" si="1"/>
        <v>2011</v>
      </c>
      <c r="C32" s="124">
        <f ca="1">'Monthly Data'!T32</f>
        <v>85355428.522644609</v>
      </c>
      <c r="D32" s="186">
        <f t="shared" ca="1" si="4"/>
        <v>0.58105263157894704</v>
      </c>
      <c r="E32" s="186">
        <f t="shared" ca="1" si="4"/>
        <v>186.96526315789481</v>
      </c>
      <c r="F32" s="186">
        <f>'Monthly Data'!BL32</f>
        <v>570633.30000000005</v>
      </c>
      <c r="G32" s="186">
        <f>'Monthly Data'!BM32</f>
        <v>31</v>
      </c>
      <c r="H32" s="186">
        <f>'Monthly Data'!BQ32</f>
        <v>0</v>
      </c>
      <c r="I32" s="186">
        <f>'Monthly Data'!BS32</f>
        <v>0</v>
      </c>
      <c r="J32" s="186">
        <f>'Monthly Data'!BU32</f>
        <v>0</v>
      </c>
      <c r="K32" s="186">
        <f>'Monthly Data'!BV32</f>
        <v>0</v>
      </c>
      <c r="L32" s="186">
        <f>'Monthly Data'!BW32</f>
        <v>0</v>
      </c>
      <c r="M32" s="186">
        <f>'Monthly Data'!CC32</f>
        <v>31</v>
      </c>
      <c r="N32" s="186">
        <f>'Monthly Data'!CD32</f>
        <v>20</v>
      </c>
      <c r="P32" s="186">
        <f>'GS &gt; 50 OLS Model (LC)'!$B$5</f>
        <v>-8436546.8467997499</v>
      </c>
      <c r="Q32" s="186">
        <f ca="1">'GS &gt; 50 OLS Model (LC)'!$B$6*D32</f>
        <v>14071.356912322552</v>
      </c>
      <c r="R32" s="186">
        <f ca="1">'GS &gt; 50 OLS Model (LC)'!$B$7*E32</f>
        <v>13344249.732112395</v>
      </c>
      <c r="S32" s="186">
        <f>'GS &gt; 50 OLS Model (LC)'!$B$8*F32</f>
        <v>29604185.366777766</v>
      </c>
      <c r="T32" s="186">
        <v>0</v>
      </c>
      <c r="U32" s="186">
        <f>'GS &gt; 50 OLS Model (LC)'!$B$9*H32</f>
        <v>0</v>
      </c>
      <c r="V32" s="186">
        <f>'GS &gt; 50 OLS Model (LC)'!$B$10*I32</f>
        <v>0</v>
      </c>
      <c r="W32" s="186">
        <f>'GS &gt; 50 OLS Model (LC)'!$B$11*J32</f>
        <v>0</v>
      </c>
      <c r="X32" s="186">
        <f>'GS &gt; 50 OLS Model (LC)'!$B$12*K32</f>
        <v>0</v>
      </c>
      <c r="Y32" s="186">
        <v>0</v>
      </c>
      <c r="Z32" s="186">
        <f>'GS &gt; 50 OLS Model (LC)'!$B$13*M32</f>
        <v>34805943.461156942</v>
      </c>
      <c r="AA32" s="186">
        <f>'GS &gt; 50 OLS Model (LC)'!$B$14*N32</f>
        <v>12953743.18316808</v>
      </c>
      <c r="AB32" s="186">
        <f t="shared" ca="1" si="2"/>
        <v>82285646.253327757</v>
      </c>
    </row>
    <row r="33" spans="1:28">
      <c r="A33" s="128">
        <f>'Monthly Data'!A33</f>
        <v>40756</v>
      </c>
      <c r="B33" s="186">
        <f t="shared" si="1"/>
        <v>2011</v>
      </c>
      <c r="C33" s="124">
        <f ca="1">'Monthly Data'!T33</f>
        <v>85134730.124835938</v>
      </c>
      <c r="D33" s="186">
        <f t="shared" ca="1" si="4"/>
        <v>1.6660902255639058</v>
      </c>
      <c r="E33" s="186">
        <f t="shared" ca="1" si="4"/>
        <v>167.43443609022574</v>
      </c>
      <c r="F33" s="186">
        <f>'Monthly Data'!BL33</f>
        <v>570633.30000000005</v>
      </c>
      <c r="G33" s="186">
        <f>'Monthly Data'!BM33</f>
        <v>32</v>
      </c>
      <c r="H33" s="186">
        <f>'Monthly Data'!BQ33</f>
        <v>0</v>
      </c>
      <c r="I33" s="186">
        <f>'Monthly Data'!BS33</f>
        <v>0</v>
      </c>
      <c r="J33" s="186">
        <f>'Monthly Data'!BU33</f>
        <v>1</v>
      </c>
      <c r="K33" s="186">
        <f>'Monthly Data'!BV33</f>
        <v>0</v>
      </c>
      <c r="L33" s="186">
        <f>'Monthly Data'!BW33</f>
        <v>0</v>
      </c>
      <c r="M33" s="186">
        <f>'Monthly Data'!CC33</f>
        <v>31</v>
      </c>
      <c r="N33" s="186">
        <f>'Monthly Data'!CD33</f>
        <v>22</v>
      </c>
      <c r="P33" s="186">
        <f>'GS &gt; 50 OLS Model (LC)'!$B$5</f>
        <v>-8436546.8467997499</v>
      </c>
      <c r="Q33" s="186">
        <f ca="1">'GS &gt; 50 OLS Model (LC)'!$B$6*D33</f>
        <v>40347.722285216725</v>
      </c>
      <c r="R33" s="186">
        <f ca="1">'GS &gt; 50 OLS Model (LC)'!$B$7*E33</f>
        <v>11950278.30948735</v>
      </c>
      <c r="S33" s="186">
        <f>'GS &gt; 50 OLS Model (LC)'!$B$8*F33</f>
        <v>29604185.366777766</v>
      </c>
      <c r="T33" s="186">
        <v>0</v>
      </c>
      <c r="U33" s="186">
        <f>'GS &gt; 50 OLS Model (LC)'!$B$9*H33</f>
        <v>0</v>
      </c>
      <c r="V33" s="186">
        <f>'GS &gt; 50 OLS Model (LC)'!$B$10*I33</f>
        <v>0</v>
      </c>
      <c r="W33" s="186">
        <f>'GS &gt; 50 OLS Model (LC)'!$B$11*J33</f>
        <v>2501012.7689915099</v>
      </c>
      <c r="X33" s="186">
        <f>'GS &gt; 50 OLS Model (LC)'!$B$12*K33</f>
        <v>0</v>
      </c>
      <c r="Y33" s="186">
        <v>0</v>
      </c>
      <c r="Z33" s="186">
        <f>'GS &gt; 50 OLS Model (LC)'!$B$13*M33</f>
        <v>34805943.461156942</v>
      </c>
      <c r="AA33" s="186">
        <f>'GS &gt; 50 OLS Model (LC)'!$B$14*N33</f>
        <v>14249117.501484888</v>
      </c>
      <c r="AB33" s="186">
        <f t="shared" ca="1" si="2"/>
        <v>84714338.283383921</v>
      </c>
    </row>
    <row r="34" spans="1:28">
      <c r="A34" s="128">
        <f>'Monthly Data'!A34</f>
        <v>40787</v>
      </c>
      <c r="B34" s="186">
        <f t="shared" si="1"/>
        <v>2011</v>
      </c>
      <c r="C34" s="124">
        <f ca="1">'Monthly Data'!T34</f>
        <v>75323276.540084928</v>
      </c>
      <c r="D34" s="186">
        <f t="shared" ca="1" si="4"/>
        <v>30.410827067669118</v>
      </c>
      <c r="E34" s="186">
        <f t="shared" ca="1" si="4"/>
        <v>83.003533834586506</v>
      </c>
      <c r="F34" s="186">
        <f>'Monthly Data'!BL34</f>
        <v>570633.30000000005</v>
      </c>
      <c r="G34" s="186">
        <f>'Monthly Data'!BM34</f>
        <v>33</v>
      </c>
      <c r="H34" s="186">
        <f>'Monthly Data'!BQ34</f>
        <v>0</v>
      </c>
      <c r="I34" s="186">
        <f>'Monthly Data'!BS34</f>
        <v>0</v>
      </c>
      <c r="J34" s="186">
        <f>'Monthly Data'!BU34</f>
        <v>0</v>
      </c>
      <c r="K34" s="186">
        <f>'Monthly Data'!BV34</f>
        <v>1</v>
      </c>
      <c r="L34" s="186">
        <f>'Monthly Data'!BW34</f>
        <v>0</v>
      </c>
      <c r="M34" s="186">
        <f>'Monthly Data'!CC34</f>
        <v>30</v>
      </c>
      <c r="N34" s="186">
        <f>'Monthly Data'!CD34</f>
        <v>21</v>
      </c>
      <c r="P34" s="186">
        <f>'GS &gt; 50 OLS Model (LC)'!$B$5</f>
        <v>-8436546.8467997499</v>
      </c>
      <c r="Q34" s="186">
        <f ca="1">'GS &gt; 50 OLS Model (LC)'!$B$6*D34</f>
        <v>736459.27823312907</v>
      </c>
      <c r="R34" s="186">
        <f ca="1">'GS &gt; 50 OLS Model (LC)'!$B$7*E34</f>
        <v>5924201.4555461155</v>
      </c>
      <c r="S34" s="186">
        <f>'GS &gt; 50 OLS Model (LC)'!$B$8*F34</f>
        <v>29604185.366777766</v>
      </c>
      <c r="T34" s="186">
        <v>0</v>
      </c>
      <c r="U34" s="186">
        <f>'GS &gt; 50 OLS Model (LC)'!$B$9*H34</f>
        <v>0</v>
      </c>
      <c r="V34" s="186">
        <f>'GS &gt; 50 OLS Model (LC)'!$B$10*I34</f>
        <v>0</v>
      </c>
      <c r="W34" s="186">
        <f>'GS &gt; 50 OLS Model (LC)'!$B$11*J34</f>
        <v>0</v>
      </c>
      <c r="X34" s="186">
        <f>'GS &gt; 50 OLS Model (LC)'!$B$12*K34</f>
        <v>2346294.5864150901</v>
      </c>
      <c r="Y34" s="186">
        <v>0</v>
      </c>
      <c r="Z34" s="186">
        <f>'GS &gt; 50 OLS Model (LC)'!$B$13*M34</f>
        <v>33683171.091442198</v>
      </c>
      <c r="AA34" s="186">
        <f>'GS &gt; 50 OLS Model (LC)'!$B$14*N34</f>
        <v>13601430.342326485</v>
      </c>
      <c r="AB34" s="186">
        <f t="shared" ca="1" si="2"/>
        <v>77459195.27394104</v>
      </c>
    </row>
    <row r="35" spans="1:28">
      <c r="A35" s="128">
        <f>'Monthly Data'!A35</f>
        <v>40817</v>
      </c>
      <c r="B35" s="186">
        <f t="shared" si="1"/>
        <v>2011</v>
      </c>
      <c r="C35" s="124">
        <f ca="1">'Monthly Data'!T35</f>
        <v>74615749.934455335</v>
      </c>
      <c r="D35" s="186">
        <f t="shared" ca="1" si="4"/>
        <v>158.93676691729343</v>
      </c>
      <c r="E35" s="186">
        <f t="shared" ca="1" si="4"/>
        <v>16.916090225563948</v>
      </c>
      <c r="F35" s="186">
        <f>'Monthly Data'!BL35</f>
        <v>570633.30000000005</v>
      </c>
      <c r="G35" s="186">
        <f>'Monthly Data'!BM35</f>
        <v>34</v>
      </c>
      <c r="H35" s="186">
        <f>'Monthly Data'!BQ35</f>
        <v>0</v>
      </c>
      <c r="I35" s="186">
        <f>'Monthly Data'!BS35</f>
        <v>0</v>
      </c>
      <c r="J35" s="186">
        <f>'Monthly Data'!BU35</f>
        <v>0</v>
      </c>
      <c r="K35" s="186">
        <f>'Monthly Data'!BV35</f>
        <v>0</v>
      </c>
      <c r="L35" s="186">
        <f>'Monthly Data'!BW35</f>
        <v>1</v>
      </c>
      <c r="M35" s="186">
        <f>'Monthly Data'!CC35</f>
        <v>31</v>
      </c>
      <c r="N35" s="186">
        <f>'Monthly Data'!CD35</f>
        <v>20</v>
      </c>
      <c r="P35" s="186">
        <f>'GS &gt; 50 OLS Model (LC)'!$B$5</f>
        <v>-8436546.8467997499</v>
      </c>
      <c r="Q35" s="186">
        <f ca="1">'GS &gt; 50 OLS Model (LC)'!$B$6*D35</f>
        <v>3848973.1432874338</v>
      </c>
      <c r="R35" s="186">
        <f ca="1">'GS &gt; 50 OLS Model (LC)'!$B$7*E35</f>
        <v>1207350.1176003828</v>
      </c>
      <c r="S35" s="186">
        <f>'GS &gt; 50 OLS Model (LC)'!$B$8*F35</f>
        <v>29604185.366777766</v>
      </c>
      <c r="T35" s="186">
        <v>0</v>
      </c>
      <c r="U35" s="186">
        <f>'GS &gt; 50 OLS Model (LC)'!$B$9*H35</f>
        <v>0</v>
      </c>
      <c r="V35" s="186">
        <f>'GS &gt; 50 OLS Model (LC)'!$B$10*I35</f>
        <v>0</v>
      </c>
      <c r="W35" s="186">
        <f>'GS &gt; 50 OLS Model (LC)'!$B$11*J35</f>
        <v>0</v>
      </c>
      <c r="X35" s="186">
        <f>'GS &gt; 50 OLS Model (LC)'!$B$12*K35</f>
        <v>0</v>
      </c>
      <c r="Y35" s="186">
        <v>0</v>
      </c>
      <c r="Z35" s="186">
        <f>'GS &gt; 50 OLS Model (LC)'!$B$13*M35</f>
        <v>34805943.461156942</v>
      </c>
      <c r="AA35" s="186">
        <f>'GS &gt; 50 OLS Model (LC)'!$B$14*N35</f>
        <v>12953743.18316808</v>
      </c>
      <c r="AB35" s="186">
        <f t="shared" ca="1" si="2"/>
        <v>73983648.425190851</v>
      </c>
    </row>
    <row r="36" spans="1:28">
      <c r="A36" s="128">
        <f>'Monthly Data'!A36</f>
        <v>40848</v>
      </c>
      <c r="B36" s="186">
        <f t="shared" si="1"/>
        <v>2011</v>
      </c>
      <c r="C36" s="124">
        <f ca="1">'Monthly Data'!T36</f>
        <v>75520032.988204405</v>
      </c>
      <c r="D36" s="186">
        <f t="shared" ca="1" si="4"/>
        <v>375.92533834586447</v>
      </c>
      <c r="E36" s="186">
        <f t="shared" ca="1" si="4"/>
        <v>8.120300751879661E-2</v>
      </c>
      <c r="F36" s="186">
        <f>'Monthly Data'!BL36</f>
        <v>570633.30000000005</v>
      </c>
      <c r="G36" s="186">
        <f>'Monthly Data'!BM36</f>
        <v>35</v>
      </c>
      <c r="H36" s="186">
        <f>'Monthly Data'!BQ36</f>
        <v>0</v>
      </c>
      <c r="I36" s="186">
        <f>'Monthly Data'!BS36</f>
        <v>0</v>
      </c>
      <c r="J36" s="186">
        <f>'Monthly Data'!BU36</f>
        <v>0</v>
      </c>
      <c r="K36" s="186">
        <f>'Monthly Data'!BV36</f>
        <v>0</v>
      </c>
      <c r="L36" s="186">
        <f>'Monthly Data'!BW36</f>
        <v>0</v>
      </c>
      <c r="M36" s="186">
        <f>'Monthly Data'!CC36</f>
        <v>30</v>
      </c>
      <c r="N36" s="186">
        <f>'Monthly Data'!CD36</f>
        <v>22</v>
      </c>
      <c r="P36" s="186">
        <f>'GS &gt; 50 OLS Model (LC)'!$B$5</f>
        <v>-8436546.8467997499</v>
      </c>
      <c r="Q36" s="186">
        <f ca="1">'GS &gt; 50 OLS Model (LC)'!$B$6*D36</f>
        <v>9103787.36927131</v>
      </c>
      <c r="R36" s="186">
        <f ca="1">'GS &gt; 50 OLS Model (LC)'!$B$7*E36</f>
        <v>5795.6927026295389</v>
      </c>
      <c r="S36" s="186">
        <f>'GS &gt; 50 OLS Model (LC)'!$B$8*F36</f>
        <v>29604185.366777766</v>
      </c>
      <c r="T36" s="186">
        <v>0</v>
      </c>
      <c r="U36" s="186">
        <f>'GS &gt; 50 OLS Model (LC)'!$B$9*H36</f>
        <v>0</v>
      </c>
      <c r="V36" s="186">
        <f>'GS &gt; 50 OLS Model (LC)'!$B$10*I36</f>
        <v>0</v>
      </c>
      <c r="W36" s="186">
        <f>'GS &gt; 50 OLS Model (LC)'!$B$11*J36</f>
        <v>0</v>
      </c>
      <c r="X36" s="186">
        <f>'GS &gt; 50 OLS Model (LC)'!$B$12*K36</f>
        <v>0</v>
      </c>
      <c r="Y36" s="186">
        <v>0</v>
      </c>
      <c r="Z36" s="186">
        <f>'GS &gt; 50 OLS Model (LC)'!$B$13*M36</f>
        <v>33683171.091442198</v>
      </c>
      <c r="AA36" s="186">
        <f>'GS &gt; 50 OLS Model (LC)'!$B$14*N36</f>
        <v>14249117.501484888</v>
      </c>
      <c r="AB36" s="186">
        <f t="shared" ca="1" si="2"/>
        <v>78209510.174879044</v>
      </c>
    </row>
    <row r="37" spans="1:28">
      <c r="A37" s="128">
        <f>'Monthly Data'!A37</f>
        <v>40878</v>
      </c>
      <c r="B37" s="186">
        <f t="shared" si="1"/>
        <v>2011</v>
      </c>
      <c r="C37" s="124">
        <f ca="1">'Monthly Data'!T37</f>
        <v>78915481.638556749</v>
      </c>
      <c r="D37" s="186">
        <f t="shared" ca="1" si="4"/>
        <v>548.76120300751859</v>
      </c>
      <c r="E37" s="186">
        <f t="shared" ca="1" si="4"/>
        <v>0</v>
      </c>
      <c r="F37" s="186">
        <f>'Monthly Data'!BL37</f>
        <v>570633.30000000005</v>
      </c>
      <c r="G37" s="186">
        <f>'Monthly Data'!BM37</f>
        <v>36</v>
      </c>
      <c r="H37" s="186">
        <f>'Monthly Data'!BQ37</f>
        <v>0</v>
      </c>
      <c r="I37" s="186">
        <f>'Monthly Data'!BS37</f>
        <v>0</v>
      </c>
      <c r="J37" s="186">
        <f>'Monthly Data'!BU37</f>
        <v>0</v>
      </c>
      <c r="K37" s="186">
        <f>'Monthly Data'!BV37</f>
        <v>0</v>
      </c>
      <c r="L37" s="186">
        <f>'Monthly Data'!BW37</f>
        <v>0</v>
      </c>
      <c r="M37" s="186">
        <f>'Monthly Data'!CC37</f>
        <v>31</v>
      </c>
      <c r="N37" s="186">
        <f>'Monthly Data'!CD37</f>
        <v>20</v>
      </c>
      <c r="P37" s="186">
        <f>'GS &gt; 50 OLS Model (LC)'!$B$5</f>
        <v>-8436546.8467997499</v>
      </c>
      <c r="Q37" s="186">
        <f ca="1">'GS &gt; 50 OLS Model (LC)'!$B$6*D37</f>
        <v>13289355.090211187</v>
      </c>
      <c r="R37" s="186">
        <f ca="1">'GS &gt; 50 OLS Model (LC)'!$B$7*E37</f>
        <v>0</v>
      </c>
      <c r="S37" s="186">
        <f>'GS &gt; 50 OLS Model (LC)'!$B$8*F37</f>
        <v>29604185.366777766</v>
      </c>
      <c r="T37" s="186">
        <v>0</v>
      </c>
      <c r="U37" s="186">
        <f>'GS &gt; 50 OLS Model (LC)'!$B$9*H37</f>
        <v>0</v>
      </c>
      <c r="V37" s="186">
        <f>'GS &gt; 50 OLS Model (LC)'!$B$10*I37</f>
        <v>0</v>
      </c>
      <c r="W37" s="186">
        <f>'GS &gt; 50 OLS Model (LC)'!$B$11*J37</f>
        <v>0</v>
      </c>
      <c r="X37" s="186">
        <f>'GS &gt; 50 OLS Model (LC)'!$B$12*K37</f>
        <v>0</v>
      </c>
      <c r="Y37" s="186">
        <v>0</v>
      </c>
      <c r="Z37" s="186">
        <f>'GS &gt; 50 OLS Model (LC)'!$B$13*M37</f>
        <v>34805943.461156942</v>
      </c>
      <c r="AA37" s="186">
        <f>'GS &gt; 50 OLS Model (LC)'!$B$14*N37</f>
        <v>12953743.18316808</v>
      </c>
      <c r="AB37" s="186">
        <f t="shared" ca="1" si="2"/>
        <v>82216680.254514217</v>
      </c>
    </row>
    <row r="38" spans="1:28">
      <c r="A38" s="128">
        <f>'Monthly Data'!A38</f>
        <v>40909</v>
      </c>
      <c r="B38" s="186">
        <f t="shared" si="1"/>
        <v>2012</v>
      </c>
      <c r="C38" s="124">
        <f ca="1">'Monthly Data'!T38</f>
        <v>83288190.285758287</v>
      </c>
      <c r="D38" s="186">
        <f t="shared" ca="1" si="4"/>
        <v>665.14879699248104</v>
      </c>
      <c r="E38" s="186">
        <f t="shared" ca="1" si="4"/>
        <v>0</v>
      </c>
      <c r="F38" s="186">
        <f>'Monthly Data'!BL38</f>
        <v>578793.9</v>
      </c>
      <c r="G38" s="186">
        <f>'Monthly Data'!BM38</f>
        <v>37</v>
      </c>
      <c r="H38" s="186">
        <f>'Monthly Data'!BQ38</f>
        <v>0</v>
      </c>
      <c r="I38" s="186">
        <f>'Monthly Data'!BS38</f>
        <v>0</v>
      </c>
      <c r="J38" s="186">
        <f>'Monthly Data'!BU38</f>
        <v>0</v>
      </c>
      <c r="K38" s="186">
        <f>'Monthly Data'!BV38</f>
        <v>0</v>
      </c>
      <c r="L38" s="186">
        <f>'Monthly Data'!BW38</f>
        <v>0</v>
      </c>
      <c r="M38" s="186">
        <f>'Monthly Data'!CC38</f>
        <v>31</v>
      </c>
      <c r="N38" s="186">
        <f>'Monthly Data'!CD38</f>
        <v>21</v>
      </c>
      <c r="P38" s="186">
        <f>'GS &gt; 50 OLS Model (LC)'!$B$5</f>
        <v>-8436546.8467997499</v>
      </c>
      <c r="Q38" s="186">
        <f ca="1">'GS &gt; 50 OLS Model (LC)'!$B$6*D38</f>
        <v>16107914.522045333</v>
      </c>
      <c r="R38" s="186">
        <f ca="1">'GS &gt; 50 OLS Model (LC)'!$B$7*E38</f>
        <v>0</v>
      </c>
      <c r="S38" s="186">
        <f>'GS &gt; 50 OLS Model (LC)'!$B$8*F38</f>
        <v>30027553.430127952</v>
      </c>
      <c r="T38" s="186">
        <v>0</v>
      </c>
      <c r="U38" s="186">
        <f>'GS &gt; 50 OLS Model (LC)'!$B$9*H38</f>
        <v>0</v>
      </c>
      <c r="V38" s="186">
        <f>'GS &gt; 50 OLS Model (LC)'!$B$10*I38</f>
        <v>0</v>
      </c>
      <c r="W38" s="186">
        <f>'GS &gt; 50 OLS Model (LC)'!$B$11*J38</f>
        <v>0</v>
      </c>
      <c r="X38" s="186">
        <f>'GS &gt; 50 OLS Model (LC)'!$B$12*K38</f>
        <v>0</v>
      </c>
      <c r="Y38" s="186">
        <v>0</v>
      </c>
      <c r="Z38" s="186">
        <f>'GS &gt; 50 OLS Model (LC)'!$B$13*M38</f>
        <v>34805943.461156942</v>
      </c>
      <c r="AA38" s="186">
        <f>'GS &gt; 50 OLS Model (LC)'!$B$14*N38</f>
        <v>13601430.342326485</v>
      </c>
      <c r="AB38" s="186">
        <f t="shared" ca="1" si="2"/>
        <v>86106294.908856958</v>
      </c>
    </row>
    <row r="39" spans="1:28">
      <c r="A39" s="128">
        <f>'Monthly Data'!A39</f>
        <v>40940</v>
      </c>
      <c r="B39" s="186">
        <f t="shared" si="1"/>
        <v>2012</v>
      </c>
      <c r="C39" s="124">
        <f ca="1">'Monthly Data'!T39</f>
        <v>78654916.51969178</v>
      </c>
      <c r="D39" s="186">
        <f t="shared" ca="1" si="4"/>
        <v>611.17548872180487</v>
      </c>
      <c r="E39" s="186">
        <f t="shared" ca="1" si="4"/>
        <v>0</v>
      </c>
      <c r="F39" s="186">
        <f>'Monthly Data'!BL39</f>
        <v>578793.9</v>
      </c>
      <c r="G39" s="186">
        <f>'Monthly Data'!BM39</f>
        <v>38</v>
      </c>
      <c r="H39" s="186">
        <f>'Monthly Data'!BQ39</f>
        <v>0</v>
      </c>
      <c r="I39" s="186">
        <f>'Monthly Data'!BS39</f>
        <v>0</v>
      </c>
      <c r="J39" s="186">
        <f>'Monthly Data'!BU39</f>
        <v>0</v>
      </c>
      <c r="K39" s="186">
        <f>'Monthly Data'!BV39</f>
        <v>0</v>
      </c>
      <c r="L39" s="186">
        <f>'Monthly Data'!BW39</f>
        <v>0</v>
      </c>
      <c r="M39" s="186">
        <f>'Monthly Data'!CC39</f>
        <v>29</v>
      </c>
      <c r="N39" s="186">
        <f>'Monthly Data'!CD39</f>
        <v>20</v>
      </c>
      <c r="P39" s="186">
        <f>'GS &gt; 50 OLS Model (LC)'!$B$5</f>
        <v>-8436546.8467997499</v>
      </c>
      <c r="Q39" s="186">
        <f ca="1">'GS &gt; 50 OLS Model (LC)'!$B$6*D39</f>
        <v>14800842.420243302</v>
      </c>
      <c r="R39" s="186">
        <f ca="1">'GS &gt; 50 OLS Model (LC)'!$B$7*E39</f>
        <v>0</v>
      </c>
      <c r="S39" s="186">
        <f>'GS &gt; 50 OLS Model (LC)'!$B$8*F39</f>
        <v>30027553.430127952</v>
      </c>
      <c r="T39" s="186">
        <v>0</v>
      </c>
      <c r="U39" s="186">
        <f>'GS &gt; 50 OLS Model (LC)'!$B$9*H39</f>
        <v>0</v>
      </c>
      <c r="V39" s="186">
        <f>'GS &gt; 50 OLS Model (LC)'!$B$10*I39</f>
        <v>0</v>
      </c>
      <c r="W39" s="186">
        <f>'GS &gt; 50 OLS Model (LC)'!$B$11*J39</f>
        <v>0</v>
      </c>
      <c r="X39" s="186">
        <f>'GS &gt; 50 OLS Model (LC)'!$B$12*K39</f>
        <v>0</v>
      </c>
      <c r="Y39" s="186">
        <v>0</v>
      </c>
      <c r="Z39" s="186">
        <f>'GS &gt; 50 OLS Model (LC)'!$B$13*M39</f>
        <v>32560398.721727461</v>
      </c>
      <c r="AA39" s="186">
        <f>'GS &gt; 50 OLS Model (LC)'!$B$14*N39</f>
        <v>12953743.18316808</v>
      </c>
      <c r="AB39" s="186">
        <f t="shared" ca="1" si="2"/>
        <v>81905990.908467054</v>
      </c>
    </row>
    <row r="40" spans="1:28">
      <c r="A40" s="128">
        <f>'Monthly Data'!A40</f>
        <v>40969</v>
      </c>
      <c r="B40" s="186">
        <f t="shared" si="1"/>
        <v>2012</v>
      </c>
      <c r="C40" s="124">
        <f ca="1">'Monthly Data'!T40</f>
        <v>78745075.172397777</v>
      </c>
      <c r="D40" s="186">
        <f t="shared" ca="1" si="4"/>
        <v>458.46436090225569</v>
      </c>
      <c r="E40" s="186">
        <f t="shared" ca="1" si="4"/>
        <v>0.45218045112781802</v>
      </c>
      <c r="F40" s="186">
        <f>'Monthly Data'!BL40</f>
        <v>578793.9</v>
      </c>
      <c r="G40" s="186">
        <f>'Monthly Data'!BM40</f>
        <v>39</v>
      </c>
      <c r="H40" s="186">
        <f>'Monthly Data'!BQ40</f>
        <v>0</v>
      </c>
      <c r="I40" s="186">
        <f>'Monthly Data'!BS40</f>
        <v>0</v>
      </c>
      <c r="J40" s="186">
        <f>'Monthly Data'!BU40</f>
        <v>0</v>
      </c>
      <c r="K40" s="186">
        <f>'Monthly Data'!BV40</f>
        <v>0</v>
      </c>
      <c r="L40" s="186">
        <f>'Monthly Data'!BW40</f>
        <v>0</v>
      </c>
      <c r="M40" s="186">
        <f>'Monthly Data'!CC40</f>
        <v>31</v>
      </c>
      <c r="N40" s="186">
        <f>'Monthly Data'!CD40</f>
        <v>22</v>
      </c>
      <c r="P40" s="186">
        <f>'GS &gt; 50 OLS Model (LC)'!$B$5</f>
        <v>-8436546.8467997499</v>
      </c>
      <c r="Q40" s="186">
        <f ca="1">'GS &gt; 50 OLS Model (LC)'!$B$6*D40</f>
        <v>11102635.636129936</v>
      </c>
      <c r="R40" s="186">
        <f ca="1">'GS &gt; 50 OLS Model (LC)'!$B$7*E40</f>
        <v>32273.422142235275</v>
      </c>
      <c r="S40" s="186">
        <f>'GS &gt; 50 OLS Model (LC)'!$B$8*F40</f>
        <v>30027553.430127952</v>
      </c>
      <c r="T40" s="186">
        <v>0</v>
      </c>
      <c r="U40" s="186">
        <f>'GS &gt; 50 OLS Model (LC)'!$B$9*H40</f>
        <v>0</v>
      </c>
      <c r="V40" s="186">
        <f>'GS &gt; 50 OLS Model (LC)'!$B$10*I40</f>
        <v>0</v>
      </c>
      <c r="W40" s="186">
        <f>'GS &gt; 50 OLS Model (LC)'!$B$11*J40</f>
        <v>0</v>
      </c>
      <c r="X40" s="186">
        <f>'GS &gt; 50 OLS Model (LC)'!$B$12*K40</f>
        <v>0</v>
      </c>
      <c r="Y40" s="186">
        <v>0</v>
      </c>
      <c r="Z40" s="186">
        <f>'GS &gt; 50 OLS Model (LC)'!$B$13*M40</f>
        <v>34805943.461156942</v>
      </c>
      <c r="AA40" s="186">
        <f>'GS &gt; 50 OLS Model (LC)'!$B$14*N40</f>
        <v>14249117.501484888</v>
      </c>
      <c r="AB40" s="186">
        <f t="shared" ca="1" si="2"/>
        <v>81780976.604242206</v>
      </c>
    </row>
    <row r="41" spans="1:28">
      <c r="A41" s="128">
        <f>'Monthly Data'!A41</f>
        <v>41000</v>
      </c>
      <c r="B41" s="186">
        <f t="shared" si="1"/>
        <v>2012</v>
      </c>
      <c r="C41" s="124">
        <f ca="1">'Monthly Data'!T41</f>
        <v>70171446.615070298</v>
      </c>
      <c r="D41" s="186">
        <f t="shared" ca="1" si="4"/>
        <v>254.29052631578941</v>
      </c>
      <c r="E41" s="186">
        <f t="shared" ca="1" si="4"/>
        <v>0.50947368421054762</v>
      </c>
      <c r="F41" s="186">
        <f>'Monthly Data'!BL41</f>
        <v>578793.9</v>
      </c>
      <c r="G41" s="186">
        <f>'Monthly Data'!BM41</f>
        <v>40</v>
      </c>
      <c r="H41" s="186">
        <f>'Monthly Data'!BQ41</f>
        <v>1</v>
      </c>
      <c r="I41" s="186">
        <f>'Monthly Data'!BS41</f>
        <v>0</v>
      </c>
      <c r="J41" s="186">
        <f>'Monthly Data'!BU41</f>
        <v>0</v>
      </c>
      <c r="K41" s="186">
        <f>'Monthly Data'!BV41</f>
        <v>0</v>
      </c>
      <c r="L41" s="186">
        <f>'Monthly Data'!BW41</f>
        <v>0</v>
      </c>
      <c r="M41" s="186">
        <f>'Monthly Data'!CC41</f>
        <v>30</v>
      </c>
      <c r="N41" s="186">
        <f>'Monthly Data'!CD41</f>
        <v>19</v>
      </c>
      <c r="P41" s="186">
        <f>'GS &gt; 50 OLS Model (LC)'!$B$5</f>
        <v>-8436546.8467997499</v>
      </c>
      <c r="Q41" s="186">
        <f ca="1">'GS &gt; 50 OLS Model (LC)'!$B$6*D41</f>
        <v>6158156.0098754233</v>
      </c>
      <c r="R41" s="186">
        <f ca="1">'GS &gt; 50 OLS Model (LC)'!$B$7*E41</f>
        <v>36362.605326869983</v>
      </c>
      <c r="S41" s="186">
        <f>'GS &gt; 50 OLS Model (LC)'!$B$8*F41</f>
        <v>30027553.430127952</v>
      </c>
      <c r="T41" s="186">
        <v>0</v>
      </c>
      <c r="U41" s="186">
        <f>'GS &gt; 50 OLS Model (LC)'!$B$9*H41</f>
        <v>-1670517.9110053701</v>
      </c>
      <c r="V41" s="186">
        <f>'GS &gt; 50 OLS Model (LC)'!$B$10*I41</f>
        <v>0</v>
      </c>
      <c r="W41" s="186">
        <f>'GS &gt; 50 OLS Model (LC)'!$B$11*J41</f>
        <v>0</v>
      </c>
      <c r="X41" s="186">
        <f>'GS &gt; 50 OLS Model (LC)'!$B$12*K41</f>
        <v>0</v>
      </c>
      <c r="Y41" s="186">
        <v>0</v>
      </c>
      <c r="Z41" s="186">
        <f>'GS &gt; 50 OLS Model (LC)'!$B$13*M41</f>
        <v>33683171.091442198</v>
      </c>
      <c r="AA41" s="186">
        <f>'GS &gt; 50 OLS Model (LC)'!$B$14*N41</f>
        <v>12306056.024009675</v>
      </c>
      <c r="AB41" s="186">
        <f t="shared" ca="1" si="2"/>
        <v>72104234.40297699</v>
      </c>
    </row>
    <row r="42" spans="1:28">
      <c r="A42" s="128">
        <f>'Monthly Data'!A42</f>
        <v>41030</v>
      </c>
      <c r="B42" s="186">
        <f t="shared" si="1"/>
        <v>2012</v>
      </c>
      <c r="C42" s="124">
        <f ca="1">'Monthly Data'!T42</f>
        <v>76476013.338874042</v>
      </c>
      <c r="D42" s="186">
        <f t="shared" ca="1" si="4"/>
        <v>102.64150375939857</v>
      </c>
      <c r="E42" s="186">
        <f t="shared" ca="1" si="4"/>
        <v>56.062781954887214</v>
      </c>
      <c r="F42" s="186">
        <f>'Monthly Data'!BL42</f>
        <v>578793.9</v>
      </c>
      <c r="G42" s="186">
        <f>'Monthly Data'!BM42</f>
        <v>41</v>
      </c>
      <c r="H42" s="186">
        <f>'Monthly Data'!BQ42</f>
        <v>0</v>
      </c>
      <c r="I42" s="186">
        <f>'Monthly Data'!BS42</f>
        <v>0</v>
      </c>
      <c r="J42" s="186">
        <f>'Monthly Data'!BU42</f>
        <v>0</v>
      </c>
      <c r="K42" s="186">
        <f>'Monthly Data'!BV42</f>
        <v>0</v>
      </c>
      <c r="L42" s="186">
        <f>'Monthly Data'!BW42</f>
        <v>0</v>
      </c>
      <c r="M42" s="186">
        <f>'Monthly Data'!CC42</f>
        <v>31</v>
      </c>
      <c r="N42" s="186">
        <f>'Monthly Data'!CD42</f>
        <v>22</v>
      </c>
      <c r="P42" s="186">
        <f>'GS &gt; 50 OLS Model (LC)'!$B$5</f>
        <v>-8436546.8467997499</v>
      </c>
      <c r="Q42" s="186">
        <f ca="1">'GS &gt; 50 OLS Model (LC)'!$B$6*D42</f>
        <v>2485670.238668832</v>
      </c>
      <c r="R42" s="186">
        <f ca="1">'GS &gt; 50 OLS Model (LC)'!$B$7*E42</f>
        <v>4001362.3410418485</v>
      </c>
      <c r="S42" s="186">
        <f>'GS &gt; 50 OLS Model (LC)'!$B$8*F42</f>
        <v>30027553.430127952</v>
      </c>
      <c r="T42" s="186">
        <v>0</v>
      </c>
      <c r="U42" s="186">
        <f>'GS &gt; 50 OLS Model (LC)'!$B$9*H42</f>
        <v>0</v>
      </c>
      <c r="V42" s="186">
        <f>'GS &gt; 50 OLS Model (LC)'!$B$10*I42</f>
        <v>0</v>
      </c>
      <c r="W42" s="186">
        <f>'GS &gt; 50 OLS Model (LC)'!$B$11*J42</f>
        <v>0</v>
      </c>
      <c r="X42" s="186">
        <f>'GS &gt; 50 OLS Model (LC)'!$B$12*K42</f>
        <v>0</v>
      </c>
      <c r="Y42" s="186">
        <v>0</v>
      </c>
      <c r="Z42" s="186">
        <f>'GS &gt; 50 OLS Model (LC)'!$B$13*M42</f>
        <v>34805943.461156942</v>
      </c>
      <c r="AA42" s="186">
        <f>'GS &gt; 50 OLS Model (LC)'!$B$14*N42</f>
        <v>14249117.501484888</v>
      </c>
      <c r="AB42" s="186">
        <f t="shared" ca="1" si="2"/>
        <v>77133100.125680715</v>
      </c>
    </row>
    <row r="43" spans="1:28">
      <c r="A43" s="128">
        <f>'Monthly Data'!A43</f>
        <v>41061</v>
      </c>
      <c r="B43" s="186">
        <f t="shared" si="1"/>
        <v>2012</v>
      </c>
      <c r="C43" s="124">
        <f ca="1">'Monthly Data'!T43</f>
        <v>80853337.839558035</v>
      </c>
      <c r="D43" s="186">
        <f t="shared" ca="1" si="4"/>
        <v>0.39669172932326546</v>
      </c>
      <c r="E43" s="186">
        <f t="shared" ca="1" si="4"/>
        <v>116.89315789473682</v>
      </c>
      <c r="F43" s="186">
        <f>'Monthly Data'!BL43</f>
        <v>578793.9</v>
      </c>
      <c r="G43" s="186">
        <f>'Monthly Data'!BM43</f>
        <v>42</v>
      </c>
      <c r="H43" s="186">
        <f>'Monthly Data'!BQ43</f>
        <v>0</v>
      </c>
      <c r="I43" s="186">
        <f>'Monthly Data'!BS43</f>
        <v>1</v>
      </c>
      <c r="J43" s="186">
        <f>'Monthly Data'!BU43</f>
        <v>0</v>
      </c>
      <c r="K43" s="186">
        <f>'Monthly Data'!BV43</f>
        <v>0</v>
      </c>
      <c r="L43" s="186">
        <f>'Monthly Data'!BW43</f>
        <v>0</v>
      </c>
      <c r="M43" s="186">
        <f>'Monthly Data'!CC43</f>
        <v>30</v>
      </c>
      <c r="N43" s="186">
        <f>'Monthly Data'!CD43</f>
        <v>21</v>
      </c>
      <c r="P43" s="186">
        <f>'GS &gt; 50 OLS Model (LC)'!$B$5</f>
        <v>-8436546.8467997499</v>
      </c>
      <c r="Q43" s="186">
        <f ca="1">'GS &gt; 50 OLS Model (LC)'!$B$6*D43</f>
        <v>9606.6872501819107</v>
      </c>
      <c r="R43" s="186">
        <f ca="1">'GS &gt; 50 OLS Model (LC)'!$B$7*E43</f>
        <v>8343001.6066957684</v>
      </c>
      <c r="S43" s="186">
        <f>'GS &gt; 50 OLS Model (LC)'!$B$8*F43</f>
        <v>30027553.430127952</v>
      </c>
      <c r="T43" s="186">
        <v>0</v>
      </c>
      <c r="U43" s="186">
        <f>'GS &gt; 50 OLS Model (LC)'!$B$9*H43</f>
        <v>0</v>
      </c>
      <c r="V43" s="186">
        <f>'GS &gt; 50 OLS Model (LC)'!$B$10*I43</f>
        <v>1260255.0136768401</v>
      </c>
      <c r="W43" s="186">
        <f>'GS &gt; 50 OLS Model (LC)'!$B$11*J43</f>
        <v>0</v>
      </c>
      <c r="X43" s="186">
        <f>'GS &gt; 50 OLS Model (LC)'!$B$12*K43</f>
        <v>0</v>
      </c>
      <c r="Y43" s="186">
        <v>0</v>
      </c>
      <c r="Z43" s="186">
        <f>'GS &gt; 50 OLS Model (LC)'!$B$13*M43</f>
        <v>33683171.091442198</v>
      </c>
      <c r="AA43" s="186">
        <f>'GS &gt; 50 OLS Model (LC)'!$B$14*N43</f>
        <v>13601430.342326485</v>
      </c>
      <c r="AB43" s="186">
        <f t="shared" ca="1" si="2"/>
        <v>78488471.324719667</v>
      </c>
    </row>
    <row r="44" spans="1:28">
      <c r="A44" s="128">
        <f>'Monthly Data'!A44</f>
        <v>41091</v>
      </c>
      <c r="B44" s="186">
        <f t="shared" si="1"/>
        <v>2012</v>
      </c>
      <c r="C44" s="124">
        <f ca="1">'Monthly Data'!T44</f>
        <v>86305793.146108955</v>
      </c>
      <c r="D44" s="186">
        <f t="shared" ca="1" si="4"/>
        <v>0.58105263157894704</v>
      </c>
      <c r="E44" s="186">
        <f t="shared" ca="1" si="4"/>
        <v>186.96526315789481</v>
      </c>
      <c r="F44" s="186">
        <f>'Monthly Data'!BL44</f>
        <v>578793.9</v>
      </c>
      <c r="G44" s="186">
        <f>'Monthly Data'!BM44</f>
        <v>43</v>
      </c>
      <c r="H44" s="186">
        <f>'Monthly Data'!BQ44</f>
        <v>0</v>
      </c>
      <c r="I44" s="186">
        <f>'Monthly Data'!BS44</f>
        <v>0</v>
      </c>
      <c r="J44" s="186">
        <f>'Monthly Data'!BU44</f>
        <v>0</v>
      </c>
      <c r="K44" s="186">
        <f>'Monthly Data'!BV44</f>
        <v>0</v>
      </c>
      <c r="L44" s="186">
        <f>'Monthly Data'!BW44</f>
        <v>0</v>
      </c>
      <c r="M44" s="186">
        <f>'Monthly Data'!CC44</f>
        <v>31</v>
      </c>
      <c r="N44" s="186">
        <f>'Monthly Data'!CD44</f>
        <v>21</v>
      </c>
      <c r="P44" s="186">
        <f>'GS &gt; 50 OLS Model (LC)'!$B$5</f>
        <v>-8436546.8467997499</v>
      </c>
      <c r="Q44" s="186">
        <f ca="1">'GS &gt; 50 OLS Model (LC)'!$B$6*D44</f>
        <v>14071.356912322552</v>
      </c>
      <c r="R44" s="186">
        <f ca="1">'GS &gt; 50 OLS Model (LC)'!$B$7*E44</f>
        <v>13344249.732112395</v>
      </c>
      <c r="S44" s="186">
        <f>'GS &gt; 50 OLS Model (LC)'!$B$8*F44</f>
        <v>30027553.430127952</v>
      </c>
      <c r="T44" s="186">
        <v>0</v>
      </c>
      <c r="U44" s="186">
        <f>'GS &gt; 50 OLS Model (LC)'!$B$9*H44</f>
        <v>0</v>
      </c>
      <c r="V44" s="186">
        <f>'GS &gt; 50 OLS Model (LC)'!$B$10*I44</f>
        <v>0</v>
      </c>
      <c r="W44" s="186">
        <f>'GS &gt; 50 OLS Model (LC)'!$B$11*J44</f>
        <v>0</v>
      </c>
      <c r="X44" s="186">
        <f>'GS &gt; 50 OLS Model (LC)'!$B$12*K44</f>
        <v>0</v>
      </c>
      <c r="Y44" s="186">
        <v>0</v>
      </c>
      <c r="Z44" s="186">
        <f>'GS &gt; 50 OLS Model (LC)'!$B$13*M44</f>
        <v>34805943.461156942</v>
      </c>
      <c r="AA44" s="186">
        <f>'GS &gt; 50 OLS Model (LC)'!$B$14*N44</f>
        <v>13601430.342326485</v>
      </c>
      <c r="AB44" s="186">
        <f t="shared" ca="1" si="2"/>
        <v>83356701.475836337</v>
      </c>
    </row>
    <row r="45" spans="1:28">
      <c r="A45" s="128">
        <f>'Monthly Data'!A45</f>
        <v>41122</v>
      </c>
      <c r="B45" s="186">
        <f t="shared" si="1"/>
        <v>2012</v>
      </c>
      <c r="C45" s="124">
        <f ca="1">'Monthly Data'!T45</f>
        <v>84730807.802490592</v>
      </c>
      <c r="D45" s="186">
        <f t="shared" ca="1" si="4"/>
        <v>1.6660902255639058</v>
      </c>
      <c r="E45" s="186">
        <f t="shared" ca="1" si="4"/>
        <v>167.43443609022574</v>
      </c>
      <c r="F45" s="186">
        <f>'Monthly Data'!BL45</f>
        <v>578793.9</v>
      </c>
      <c r="G45" s="186">
        <f>'Monthly Data'!BM45</f>
        <v>44</v>
      </c>
      <c r="H45" s="186">
        <f>'Monthly Data'!BQ45</f>
        <v>0</v>
      </c>
      <c r="I45" s="186">
        <f>'Monthly Data'!BS45</f>
        <v>0</v>
      </c>
      <c r="J45" s="186">
        <f>'Monthly Data'!BU45</f>
        <v>1</v>
      </c>
      <c r="K45" s="186">
        <f>'Monthly Data'!BV45</f>
        <v>0</v>
      </c>
      <c r="L45" s="186">
        <f>'Monthly Data'!BW45</f>
        <v>0</v>
      </c>
      <c r="M45" s="186">
        <f>'Monthly Data'!CC45</f>
        <v>31</v>
      </c>
      <c r="N45" s="186">
        <f>'Monthly Data'!CD45</f>
        <v>22</v>
      </c>
      <c r="P45" s="186">
        <f>'GS &gt; 50 OLS Model (LC)'!$B$5</f>
        <v>-8436546.8467997499</v>
      </c>
      <c r="Q45" s="186">
        <f ca="1">'GS &gt; 50 OLS Model (LC)'!$B$6*D45</f>
        <v>40347.722285216725</v>
      </c>
      <c r="R45" s="186">
        <f ca="1">'GS &gt; 50 OLS Model (LC)'!$B$7*E45</f>
        <v>11950278.30948735</v>
      </c>
      <c r="S45" s="186">
        <f>'GS &gt; 50 OLS Model (LC)'!$B$8*F45</f>
        <v>30027553.430127952</v>
      </c>
      <c r="T45" s="186">
        <v>0</v>
      </c>
      <c r="U45" s="186">
        <f>'GS &gt; 50 OLS Model (LC)'!$B$9*H45</f>
        <v>0</v>
      </c>
      <c r="V45" s="186">
        <f>'GS &gt; 50 OLS Model (LC)'!$B$10*I45</f>
        <v>0</v>
      </c>
      <c r="W45" s="186">
        <f>'GS &gt; 50 OLS Model (LC)'!$B$11*J45</f>
        <v>2501012.7689915099</v>
      </c>
      <c r="X45" s="186">
        <f>'GS &gt; 50 OLS Model (LC)'!$B$12*K45</f>
        <v>0</v>
      </c>
      <c r="Y45" s="186">
        <v>0</v>
      </c>
      <c r="Z45" s="186">
        <f>'GS &gt; 50 OLS Model (LC)'!$B$13*M45</f>
        <v>34805943.461156942</v>
      </c>
      <c r="AA45" s="186">
        <f>'GS &gt; 50 OLS Model (LC)'!$B$14*N45</f>
        <v>14249117.501484888</v>
      </c>
      <c r="AB45" s="186">
        <f t="shared" ca="1" si="2"/>
        <v>85137706.346734107</v>
      </c>
    </row>
    <row r="46" spans="1:28">
      <c r="A46" s="128">
        <f>'Monthly Data'!A46</f>
        <v>41153</v>
      </c>
      <c r="B46" s="186">
        <f t="shared" si="1"/>
        <v>2012</v>
      </c>
      <c r="C46" s="124">
        <f ca="1">'Monthly Data'!T46</f>
        <v>75430602.576494262</v>
      </c>
      <c r="D46" s="186">
        <f t="shared" ref="D46:E61" ca="1" si="5">D34</f>
        <v>30.410827067669118</v>
      </c>
      <c r="E46" s="186">
        <f t="shared" ca="1" si="5"/>
        <v>83.003533834586506</v>
      </c>
      <c r="F46" s="186">
        <f>'Monthly Data'!BL46</f>
        <v>578793.9</v>
      </c>
      <c r="G46" s="186">
        <f>'Monthly Data'!BM46</f>
        <v>45</v>
      </c>
      <c r="H46" s="186">
        <f>'Monthly Data'!BQ46</f>
        <v>0</v>
      </c>
      <c r="I46" s="186">
        <f>'Monthly Data'!BS46</f>
        <v>0</v>
      </c>
      <c r="J46" s="186">
        <f>'Monthly Data'!BU46</f>
        <v>0</v>
      </c>
      <c r="K46" s="186">
        <f>'Monthly Data'!BV46</f>
        <v>1</v>
      </c>
      <c r="L46" s="186">
        <f>'Monthly Data'!BW46</f>
        <v>0</v>
      </c>
      <c r="M46" s="186">
        <f>'Monthly Data'!CC46</f>
        <v>30</v>
      </c>
      <c r="N46" s="186">
        <f>'Monthly Data'!CD46</f>
        <v>19</v>
      </c>
      <c r="P46" s="186">
        <f>'GS &gt; 50 OLS Model (LC)'!$B$5</f>
        <v>-8436546.8467997499</v>
      </c>
      <c r="Q46" s="186">
        <f ca="1">'GS &gt; 50 OLS Model (LC)'!$B$6*D46</f>
        <v>736459.27823312907</v>
      </c>
      <c r="R46" s="186">
        <f ca="1">'GS &gt; 50 OLS Model (LC)'!$B$7*E46</f>
        <v>5924201.4555461155</v>
      </c>
      <c r="S46" s="186">
        <f>'GS &gt; 50 OLS Model (LC)'!$B$8*F46</f>
        <v>30027553.430127952</v>
      </c>
      <c r="T46" s="186">
        <v>0</v>
      </c>
      <c r="U46" s="186">
        <f>'GS &gt; 50 OLS Model (LC)'!$B$9*H46</f>
        <v>0</v>
      </c>
      <c r="V46" s="186">
        <f>'GS &gt; 50 OLS Model (LC)'!$B$10*I46</f>
        <v>0</v>
      </c>
      <c r="W46" s="186">
        <f>'GS &gt; 50 OLS Model (LC)'!$B$11*J46</f>
        <v>0</v>
      </c>
      <c r="X46" s="186">
        <f>'GS &gt; 50 OLS Model (LC)'!$B$12*K46</f>
        <v>2346294.5864150901</v>
      </c>
      <c r="Y46" s="186">
        <v>0</v>
      </c>
      <c r="Z46" s="186">
        <f>'GS &gt; 50 OLS Model (LC)'!$B$13*M46</f>
        <v>33683171.091442198</v>
      </c>
      <c r="AA46" s="186">
        <f>'GS &gt; 50 OLS Model (LC)'!$B$14*N46</f>
        <v>12306056.024009675</v>
      </c>
      <c r="AB46" s="186">
        <f t="shared" ca="1" si="2"/>
        <v>76587189.018974409</v>
      </c>
    </row>
    <row r="47" spans="1:28">
      <c r="A47" s="128">
        <f>'Monthly Data'!A47</f>
        <v>41183</v>
      </c>
      <c r="B47" s="186">
        <f t="shared" si="1"/>
        <v>2012</v>
      </c>
      <c r="C47" s="124">
        <f ca="1">'Monthly Data'!T47</f>
        <v>75643415.791813552</v>
      </c>
      <c r="D47" s="186">
        <f t="shared" ca="1" si="5"/>
        <v>158.93676691729343</v>
      </c>
      <c r="E47" s="186">
        <f t="shared" ca="1" si="5"/>
        <v>16.916090225563948</v>
      </c>
      <c r="F47" s="186">
        <f>'Monthly Data'!BL47</f>
        <v>578793.9</v>
      </c>
      <c r="G47" s="186">
        <f>'Monthly Data'!BM47</f>
        <v>46</v>
      </c>
      <c r="H47" s="186">
        <f>'Monthly Data'!BQ47</f>
        <v>0</v>
      </c>
      <c r="I47" s="186">
        <f>'Monthly Data'!BS47</f>
        <v>0</v>
      </c>
      <c r="J47" s="186">
        <f>'Monthly Data'!BU47</f>
        <v>0</v>
      </c>
      <c r="K47" s="186">
        <f>'Monthly Data'!BV47</f>
        <v>0</v>
      </c>
      <c r="L47" s="186">
        <f>'Monthly Data'!BW47</f>
        <v>1</v>
      </c>
      <c r="M47" s="186">
        <f>'Monthly Data'!CC47</f>
        <v>31</v>
      </c>
      <c r="N47" s="186">
        <f>'Monthly Data'!CD47</f>
        <v>22</v>
      </c>
      <c r="P47" s="186">
        <f>'GS &gt; 50 OLS Model (LC)'!$B$5</f>
        <v>-8436546.8467997499</v>
      </c>
      <c r="Q47" s="186">
        <f ca="1">'GS &gt; 50 OLS Model (LC)'!$B$6*D47</f>
        <v>3848973.1432874338</v>
      </c>
      <c r="R47" s="186">
        <f ca="1">'GS &gt; 50 OLS Model (LC)'!$B$7*E47</f>
        <v>1207350.1176003828</v>
      </c>
      <c r="S47" s="186">
        <f>'GS &gt; 50 OLS Model (LC)'!$B$8*F47</f>
        <v>30027553.430127952</v>
      </c>
      <c r="T47" s="186">
        <v>0</v>
      </c>
      <c r="U47" s="186">
        <f>'GS &gt; 50 OLS Model (LC)'!$B$9*H47</f>
        <v>0</v>
      </c>
      <c r="V47" s="186">
        <f>'GS &gt; 50 OLS Model (LC)'!$B$10*I47</f>
        <v>0</v>
      </c>
      <c r="W47" s="186">
        <f>'GS &gt; 50 OLS Model (LC)'!$B$11*J47</f>
        <v>0</v>
      </c>
      <c r="X47" s="186">
        <f>'GS &gt; 50 OLS Model (LC)'!$B$12*K47</f>
        <v>0</v>
      </c>
      <c r="Y47" s="186">
        <v>0</v>
      </c>
      <c r="Z47" s="186">
        <f>'GS &gt; 50 OLS Model (LC)'!$B$13*M47</f>
        <v>34805943.461156942</v>
      </c>
      <c r="AA47" s="186">
        <f>'GS &gt; 50 OLS Model (LC)'!$B$14*N47</f>
        <v>14249117.501484888</v>
      </c>
      <c r="AB47" s="186">
        <f t="shared" ca="1" si="2"/>
        <v>75702390.806857854</v>
      </c>
    </row>
    <row r="48" spans="1:28">
      <c r="A48" s="128">
        <f>'Monthly Data'!A48</f>
        <v>41214</v>
      </c>
      <c r="B48" s="186">
        <f t="shared" si="1"/>
        <v>2012</v>
      </c>
      <c r="C48" s="124">
        <f ca="1">'Monthly Data'!T48</f>
        <v>76619857.861313909</v>
      </c>
      <c r="D48" s="186">
        <f t="shared" ca="1" si="5"/>
        <v>375.92533834586447</v>
      </c>
      <c r="E48" s="186">
        <f t="shared" ca="1" si="5"/>
        <v>8.120300751879661E-2</v>
      </c>
      <c r="F48" s="186">
        <f>'Monthly Data'!BL48</f>
        <v>578793.9</v>
      </c>
      <c r="G48" s="186">
        <f>'Monthly Data'!BM48</f>
        <v>47</v>
      </c>
      <c r="H48" s="186">
        <f>'Monthly Data'!BQ48</f>
        <v>0</v>
      </c>
      <c r="I48" s="186">
        <f>'Monthly Data'!BS48</f>
        <v>0</v>
      </c>
      <c r="J48" s="186">
        <f>'Monthly Data'!BU48</f>
        <v>0</v>
      </c>
      <c r="K48" s="186">
        <f>'Monthly Data'!BV48</f>
        <v>0</v>
      </c>
      <c r="L48" s="186">
        <f>'Monthly Data'!BW48</f>
        <v>0</v>
      </c>
      <c r="M48" s="186">
        <f>'Monthly Data'!CC48</f>
        <v>30</v>
      </c>
      <c r="N48" s="186">
        <f>'Monthly Data'!CD48</f>
        <v>22</v>
      </c>
      <c r="P48" s="186">
        <f>'GS &gt; 50 OLS Model (LC)'!$B$5</f>
        <v>-8436546.8467997499</v>
      </c>
      <c r="Q48" s="186">
        <f ca="1">'GS &gt; 50 OLS Model (LC)'!$B$6*D48</f>
        <v>9103787.36927131</v>
      </c>
      <c r="R48" s="186">
        <f ca="1">'GS &gt; 50 OLS Model (LC)'!$B$7*E48</f>
        <v>5795.6927026295389</v>
      </c>
      <c r="S48" s="186">
        <f>'GS &gt; 50 OLS Model (LC)'!$B$8*F48</f>
        <v>30027553.430127952</v>
      </c>
      <c r="T48" s="186">
        <v>0</v>
      </c>
      <c r="U48" s="186">
        <f>'GS &gt; 50 OLS Model (LC)'!$B$9*H48</f>
        <v>0</v>
      </c>
      <c r="V48" s="186">
        <f>'GS &gt; 50 OLS Model (LC)'!$B$10*I48</f>
        <v>0</v>
      </c>
      <c r="W48" s="186">
        <f>'GS &gt; 50 OLS Model (LC)'!$B$11*J48</f>
        <v>0</v>
      </c>
      <c r="X48" s="186">
        <f>'GS &gt; 50 OLS Model (LC)'!$B$12*K48</f>
        <v>0</v>
      </c>
      <c r="Y48" s="186">
        <v>0</v>
      </c>
      <c r="Z48" s="186">
        <f>'GS &gt; 50 OLS Model (LC)'!$B$13*M48</f>
        <v>33683171.091442198</v>
      </c>
      <c r="AA48" s="186">
        <f>'GS &gt; 50 OLS Model (LC)'!$B$14*N48</f>
        <v>14249117.501484888</v>
      </c>
      <c r="AB48" s="186">
        <f t="shared" ca="1" si="2"/>
        <v>78632878.23822923</v>
      </c>
    </row>
    <row r="49" spans="1:28">
      <c r="A49" s="128">
        <f>'Monthly Data'!A49</f>
        <v>41244</v>
      </c>
      <c r="B49" s="186">
        <f t="shared" si="1"/>
        <v>2012</v>
      </c>
      <c r="C49" s="124">
        <f ca="1">'Monthly Data'!T49</f>
        <v>77899563.092276812</v>
      </c>
      <c r="D49" s="186">
        <f t="shared" ca="1" si="5"/>
        <v>548.76120300751859</v>
      </c>
      <c r="E49" s="186">
        <f t="shared" ca="1" si="5"/>
        <v>0</v>
      </c>
      <c r="F49" s="186">
        <f>'Monthly Data'!BL49</f>
        <v>578793.9</v>
      </c>
      <c r="G49" s="186">
        <f>'Monthly Data'!BM49</f>
        <v>48</v>
      </c>
      <c r="H49" s="186">
        <f>'Monthly Data'!BQ49</f>
        <v>0</v>
      </c>
      <c r="I49" s="186">
        <f>'Monthly Data'!BS49</f>
        <v>0</v>
      </c>
      <c r="J49" s="186">
        <f>'Monthly Data'!BU49</f>
        <v>0</v>
      </c>
      <c r="K49" s="186">
        <f>'Monthly Data'!BV49</f>
        <v>0</v>
      </c>
      <c r="L49" s="186">
        <f>'Monthly Data'!BW49</f>
        <v>0</v>
      </c>
      <c r="M49" s="186">
        <f>'Monthly Data'!CC49</f>
        <v>31</v>
      </c>
      <c r="N49" s="186">
        <f>'Monthly Data'!CD49</f>
        <v>19</v>
      </c>
      <c r="P49" s="186">
        <f>'GS &gt; 50 OLS Model (LC)'!$B$5</f>
        <v>-8436546.8467997499</v>
      </c>
      <c r="Q49" s="186">
        <f ca="1">'GS &gt; 50 OLS Model (LC)'!$B$6*D49</f>
        <v>13289355.090211187</v>
      </c>
      <c r="R49" s="186">
        <f ca="1">'GS &gt; 50 OLS Model (LC)'!$B$7*E49</f>
        <v>0</v>
      </c>
      <c r="S49" s="186">
        <f>'GS &gt; 50 OLS Model (LC)'!$B$8*F49</f>
        <v>30027553.430127952</v>
      </c>
      <c r="T49" s="186">
        <v>0</v>
      </c>
      <c r="U49" s="186">
        <f>'GS &gt; 50 OLS Model (LC)'!$B$9*H49</f>
        <v>0</v>
      </c>
      <c r="V49" s="186">
        <f>'GS &gt; 50 OLS Model (LC)'!$B$10*I49</f>
        <v>0</v>
      </c>
      <c r="W49" s="186">
        <f>'GS &gt; 50 OLS Model (LC)'!$B$11*J49</f>
        <v>0</v>
      </c>
      <c r="X49" s="186">
        <f>'GS &gt; 50 OLS Model (LC)'!$B$12*K49</f>
        <v>0</v>
      </c>
      <c r="Y49" s="186">
        <v>0</v>
      </c>
      <c r="Z49" s="186">
        <f>'GS &gt; 50 OLS Model (LC)'!$B$13*M49</f>
        <v>34805943.461156942</v>
      </c>
      <c r="AA49" s="186">
        <f>'GS &gt; 50 OLS Model (LC)'!$B$14*N49</f>
        <v>12306056.024009675</v>
      </c>
      <c r="AB49" s="186">
        <f t="shared" ca="1" si="2"/>
        <v>81992361.158706009</v>
      </c>
    </row>
    <row r="50" spans="1:28">
      <c r="A50" s="128">
        <f>'Monthly Data'!A50</f>
        <v>41275</v>
      </c>
      <c r="B50" s="186">
        <f t="shared" si="1"/>
        <v>2013</v>
      </c>
      <c r="C50" s="124">
        <f ca="1">'Monthly Data'!T50</f>
        <v>85968723.082716107</v>
      </c>
      <c r="D50" s="186">
        <f t="shared" ca="1" si="5"/>
        <v>665.14879699248104</v>
      </c>
      <c r="E50" s="186">
        <f t="shared" ca="1" si="5"/>
        <v>0</v>
      </c>
      <c r="F50" s="186">
        <f>'Monthly Data'!BL50</f>
        <v>586913</v>
      </c>
      <c r="G50" s="186">
        <f>'Monthly Data'!BM50</f>
        <v>49</v>
      </c>
      <c r="H50" s="186">
        <f>'Monthly Data'!BQ50</f>
        <v>0</v>
      </c>
      <c r="I50" s="186">
        <f>'Monthly Data'!BS50</f>
        <v>0</v>
      </c>
      <c r="J50" s="186">
        <f>'Monthly Data'!BU50</f>
        <v>0</v>
      </c>
      <c r="K50" s="186">
        <f>'Monthly Data'!BV50</f>
        <v>0</v>
      </c>
      <c r="L50" s="186">
        <f>'Monthly Data'!BW50</f>
        <v>0</v>
      </c>
      <c r="M50" s="186">
        <f>'Monthly Data'!CC50</f>
        <v>31</v>
      </c>
      <c r="N50" s="186">
        <f>'Monthly Data'!CD50</f>
        <v>22</v>
      </c>
      <c r="P50" s="186">
        <f>'GS &gt; 50 OLS Model (LC)'!$B$5</f>
        <v>-8436546.8467997499</v>
      </c>
      <c r="Q50" s="186">
        <f ca="1">'GS &gt; 50 OLS Model (LC)'!$B$6*D50</f>
        <v>16107914.522045333</v>
      </c>
      <c r="R50" s="186">
        <f ca="1">'GS &gt; 50 OLS Model (LC)'!$B$7*E50</f>
        <v>0</v>
      </c>
      <c r="S50" s="186">
        <f>'GS &gt; 50 OLS Model (LC)'!$B$8*F50</f>
        <v>30448768.49313147</v>
      </c>
      <c r="T50" s="186">
        <v>0</v>
      </c>
      <c r="U50" s="186">
        <f>'GS &gt; 50 OLS Model (LC)'!$B$9*H50</f>
        <v>0</v>
      </c>
      <c r="V50" s="186">
        <f>'GS &gt; 50 OLS Model (LC)'!$B$10*I50</f>
        <v>0</v>
      </c>
      <c r="W50" s="186">
        <f>'GS &gt; 50 OLS Model (LC)'!$B$11*J50</f>
        <v>0</v>
      </c>
      <c r="X50" s="186">
        <f>'GS &gt; 50 OLS Model (LC)'!$B$12*K50</f>
        <v>0</v>
      </c>
      <c r="Y50" s="186">
        <v>0</v>
      </c>
      <c r="Z50" s="186">
        <f>'GS &gt; 50 OLS Model (LC)'!$B$13*M50</f>
        <v>34805943.461156942</v>
      </c>
      <c r="AA50" s="186">
        <f>'GS &gt; 50 OLS Model (LC)'!$B$14*N50</f>
        <v>14249117.501484888</v>
      </c>
      <c r="AB50" s="186">
        <f t="shared" ca="1" si="2"/>
        <v>87175197.131018892</v>
      </c>
    </row>
    <row r="51" spans="1:28">
      <c r="A51" s="128">
        <f>'Monthly Data'!A51</f>
        <v>41306</v>
      </c>
      <c r="B51" s="186">
        <f t="shared" si="1"/>
        <v>2013</v>
      </c>
      <c r="C51" s="124">
        <f ca="1">'Monthly Data'!T51</f>
        <v>79915847.629030645</v>
      </c>
      <c r="D51" s="186">
        <f t="shared" ca="1" si="5"/>
        <v>611.17548872180487</v>
      </c>
      <c r="E51" s="186">
        <f t="shared" ca="1" si="5"/>
        <v>0</v>
      </c>
      <c r="F51" s="186">
        <f>'Monthly Data'!BL51</f>
        <v>586913</v>
      </c>
      <c r="G51" s="186">
        <f>'Monthly Data'!BM51</f>
        <v>50</v>
      </c>
      <c r="H51" s="186">
        <f>'Monthly Data'!BQ51</f>
        <v>0</v>
      </c>
      <c r="I51" s="186">
        <f>'Monthly Data'!BS51</f>
        <v>0</v>
      </c>
      <c r="J51" s="186">
        <f>'Monthly Data'!BU51</f>
        <v>0</v>
      </c>
      <c r="K51" s="186">
        <f>'Monthly Data'!BV51</f>
        <v>0</v>
      </c>
      <c r="L51" s="186">
        <f>'Monthly Data'!BW51</f>
        <v>0</v>
      </c>
      <c r="M51" s="186">
        <f>'Monthly Data'!CC51</f>
        <v>28</v>
      </c>
      <c r="N51" s="186">
        <f>'Monthly Data'!CD51</f>
        <v>19</v>
      </c>
      <c r="P51" s="186">
        <f>'GS &gt; 50 OLS Model (LC)'!$B$5</f>
        <v>-8436546.8467997499</v>
      </c>
      <c r="Q51" s="186">
        <f ca="1">'GS &gt; 50 OLS Model (LC)'!$B$6*D51</f>
        <v>14800842.420243302</v>
      </c>
      <c r="R51" s="186">
        <f ca="1">'GS &gt; 50 OLS Model (LC)'!$B$7*E51</f>
        <v>0</v>
      </c>
      <c r="S51" s="186">
        <f>'GS &gt; 50 OLS Model (LC)'!$B$8*F51</f>
        <v>30448768.49313147</v>
      </c>
      <c r="T51" s="186">
        <v>0</v>
      </c>
      <c r="U51" s="186">
        <f>'GS &gt; 50 OLS Model (LC)'!$B$9*H51</f>
        <v>0</v>
      </c>
      <c r="V51" s="186">
        <f>'GS &gt; 50 OLS Model (LC)'!$B$10*I51</f>
        <v>0</v>
      </c>
      <c r="W51" s="186">
        <f>'GS &gt; 50 OLS Model (LC)'!$B$11*J51</f>
        <v>0</v>
      </c>
      <c r="X51" s="186">
        <f>'GS &gt; 50 OLS Model (LC)'!$B$12*K51</f>
        <v>0</v>
      </c>
      <c r="Y51" s="186">
        <v>0</v>
      </c>
      <c r="Z51" s="186">
        <f>'GS &gt; 50 OLS Model (LC)'!$B$13*M51</f>
        <v>31437626.35201272</v>
      </c>
      <c r="AA51" s="186">
        <f>'GS &gt; 50 OLS Model (LC)'!$B$14*N51</f>
        <v>12306056.024009675</v>
      </c>
      <c r="AB51" s="186">
        <f t="shared" ca="1" si="2"/>
        <v>80556746.442597419</v>
      </c>
    </row>
    <row r="52" spans="1:28">
      <c r="A52" s="128">
        <f>'Monthly Data'!A52</f>
        <v>41334</v>
      </c>
      <c r="B52" s="186">
        <f t="shared" si="1"/>
        <v>2013</v>
      </c>
      <c r="C52" s="124">
        <f ca="1">'Monthly Data'!T52</f>
        <v>83098114.173459113</v>
      </c>
      <c r="D52" s="186">
        <f t="shared" ca="1" si="5"/>
        <v>458.46436090225569</v>
      </c>
      <c r="E52" s="186">
        <f t="shared" ca="1" si="5"/>
        <v>0.45218045112781802</v>
      </c>
      <c r="F52" s="186">
        <f>'Monthly Data'!BL52</f>
        <v>586913</v>
      </c>
      <c r="G52" s="186">
        <f>'Monthly Data'!BM52</f>
        <v>51</v>
      </c>
      <c r="H52" s="186">
        <f>'Monthly Data'!BQ52</f>
        <v>0</v>
      </c>
      <c r="I52" s="186">
        <f>'Monthly Data'!BS52</f>
        <v>0</v>
      </c>
      <c r="J52" s="186">
        <f>'Monthly Data'!BU52</f>
        <v>0</v>
      </c>
      <c r="K52" s="186">
        <f>'Monthly Data'!BV52</f>
        <v>0</v>
      </c>
      <c r="L52" s="186">
        <f>'Monthly Data'!BW52</f>
        <v>0</v>
      </c>
      <c r="M52" s="186">
        <f>'Monthly Data'!CC52</f>
        <v>31</v>
      </c>
      <c r="N52" s="186">
        <f>'Monthly Data'!CD52</f>
        <v>19</v>
      </c>
      <c r="P52" s="186">
        <f>'GS &gt; 50 OLS Model (LC)'!$B$5</f>
        <v>-8436546.8467997499</v>
      </c>
      <c r="Q52" s="186">
        <f ca="1">'GS &gt; 50 OLS Model (LC)'!$B$6*D52</f>
        <v>11102635.636129936</v>
      </c>
      <c r="R52" s="186">
        <f ca="1">'GS &gt; 50 OLS Model (LC)'!$B$7*E52</f>
        <v>32273.422142235275</v>
      </c>
      <c r="S52" s="186">
        <f>'GS &gt; 50 OLS Model (LC)'!$B$8*F52</f>
        <v>30448768.49313147</v>
      </c>
      <c r="T52" s="186">
        <v>0</v>
      </c>
      <c r="U52" s="186">
        <f>'GS &gt; 50 OLS Model (LC)'!$B$9*H52</f>
        <v>0</v>
      </c>
      <c r="V52" s="186">
        <f>'GS &gt; 50 OLS Model (LC)'!$B$10*I52</f>
        <v>0</v>
      </c>
      <c r="W52" s="186">
        <f>'GS &gt; 50 OLS Model (LC)'!$B$11*J52</f>
        <v>0</v>
      </c>
      <c r="X52" s="186">
        <f>'GS &gt; 50 OLS Model (LC)'!$B$12*K52</f>
        <v>0</v>
      </c>
      <c r="Y52" s="186">
        <v>0</v>
      </c>
      <c r="Z52" s="186">
        <f>'GS &gt; 50 OLS Model (LC)'!$B$13*M52</f>
        <v>34805943.461156942</v>
      </c>
      <c r="AA52" s="186">
        <f>'GS &gt; 50 OLS Model (LC)'!$B$14*N52</f>
        <v>12306056.024009675</v>
      </c>
      <c r="AB52" s="186">
        <f t="shared" ca="1" si="2"/>
        <v>80259130.189770505</v>
      </c>
    </row>
    <row r="53" spans="1:28">
      <c r="A53" s="128">
        <f>'Monthly Data'!A53</f>
        <v>41365</v>
      </c>
      <c r="B53" s="186">
        <f t="shared" si="1"/>
        <v>2013</v>
      </c>
      <c r="C53" s="124">
        <f ca="1">'Monthly Data'!T53</f>
        <v>75176128.76717177</v>
      </c>
      <c r="D53" s="186">
        <f t="shared" ca="1" si="5"/>
        <v>254.29052631578941</v>
      </c>
      <c r="E53" s="186">
        <f t="shared" ca="1" si="5"/>
        <v>0.50947368421054762</v>
      </c>
      <c r="F53" s="186">
        <f>'Monthly Data'!BL53</f>
        <v>586913</v>
      </c>
      <c r="G53" s="186">
        <f>'Monthly Data'!BM53</f>
        <v>52</v>
      </c>
      <c r="H53" s="186">
        <f>'Monthly Data'!BQ53</f>
        <v>1</v>
      </c>
      <c r="I53" s="186">
        <f>'Monthly Data'!BS53</f>
        <v>0</v>
      </c>
      <c r="J53" s="186">
        <f>'Monthly Data'!BU53</f>
        <v>0</v>
      </c>
      <c r="K53" s="186">
        <f>'Monthly Data'!BV53</f>
        <v>0</v>
      </c>
      <c r="L53" s="186">
        <f>'Monthly Data'!BW53</f>
        <v>0</v>
      </c>
      <c r="M53" s="186">
        <f>'Monthly Data'!CC53</f>
        <v>30</v>
      </c>
      <c r="N53" s="186">
        <f>'Monthly Data'!CD53</f>
        <v>22</v>
      </c>
      <c r="P53" s="186">
        <f>'GS &gt; 50 OLS Model (LC)'!$B$5</f>
        <v>-8436546.8467997499</v>
      </c>
      <c r="Q53" s="186">
        <f ca="1">'GS &gt; 50 OLS Model (LC)'!$B$6*D53</f>
        <v>6158156.0098754233</v>
      </c>
      <c r="R53" s="186">
        <f ca="1">'GS &gt; 50 OLS Model (LC)'!$B$7*E53</f>
        <v>36362.605326869983</v>
      </c>
      <c r="S53" s="186">
        <f>'GS &gt; 50 OLS Model (LC)'!$B$8*F53</f>
        <v>30448768.49313147</v>
      </c>
      <c r="T53" s="186">
        <v>0</v>
      </c>
      <c r="U53" s="186">
        <f>'GS &gt; 50 OLS Model (LC)'!$B$9*H53</f>
        <v>-1670517.9110053701</v>
      </c>
      <c r="V53" s="186">
        <f>'GS &gt; 50 OLS Model (LC)'!$B$10*I53</f>
        <v>0</v>
      </c>
      <c r="W53" s="186">
        <f>'GS &gt; 50 OLS Model (LC)'!$B$11*J53</f>
        <v>0</v>
      </c>
      <c r="X53" s="186">
        <f>'GS &gt; 50 OLS Model (LC)'!$B$12*K53</f>
        <v>0</v>
      </c>
      <c r="Y53" s="186">
        <v>0</v>
      </c>
      <c r="Z53" s="186">
        <f>'GS &gt; 50 OLS Model (LC)'!$B$13*M53</f>
        <v>33683171.091442198</v>
      </c>
      <c r="AA53" s="186">
        <f>'GS &gt; 50 OLS Model (LC)'!$B$14*N53</f>
        <v>14249117.501484888</v>
      </c>
      <c r="AB53" s="186">
        <f t="shared" ca="1" si="2"/>
        <v>74468510.943455726</v>
      </c>
    </row>
    <row r="54" spans="1:28">
      <c r="A54" s="128">
        <f>'Monthly Data'!A54</f>
        <v>41395</v>
      </c>
      <c r="B54" s="186">
        <f t="shared" si="1"/>
        <v>2013</v>
      </c>
      <c r="C54" s="124">
        <f ca="1">'Monthly Data'!T54</f>
        <v>76467660.683634475</v>
      </c>
      <c r="D54" s="186">
        <f t="shared" ca="1" si="5"/>
        <v>102.64150375939857</v>
      </c>
      <c r="E54" s="186">
        <f t="shared" ca="1" si="5"/>
        <v>56.062781954887214</v>
      </c>
      <c r="F54" s="186">
        <f>'Monthly Data'!BL54</f>
        <v>586913</v>
      </c>
      <c r="G54" s="186">
        <f>'Monthly Data'!BM54</f>
        <v>53</v>
      </c>
      <c r="H54" s="186">
        <f>'Monthly Data'!BQ54</f>
        <v>0</v>
      </c>
      <c r="I54" s="186">
        <f>'Monthly Data'!BS54</f>
        <v>0</v>
      </c>
      <c r="J54" s="186">
        <f>'Monthly Data'!BU54</f>
        <v>0</v>
      </c>
      <c r="K54" s="186">
        <f>'Monthly Data'!BV54</f>
        <v>0</v>
      </c>
      <c r="L54" s="186">
        <f>'Monthly Data'!BW54</f>
        <v>0</v>
      </c>
      <c r="M54" s="186">
        <f>'Monthly Data'!CC54</f>
        <v>31</v>
      </c>
      <c r="N54" s="186">
        <f>'Monthly Data'!CD54</f>
        <v>22</v>
      </c>
      <c r="P54" s="186">
        <f>'GS &gt; 50 OLS Model (LC)'!$B$5</f>
        <v>-8436546.8467997499</v>
      </c>
      <c r="Q54" s="186">
        <f ca="1">'GS &gt; 50 OLS Model (LC)'!$B$6*D54</f>
        <v>2485670.238668832</v>
      </c>
      <c r="R54" s="186">
        <f ca="1">'GS &gt; 50 OLS Model (LC)'!$B$7*E54</f>
        <v>4001362.3410418485</v>
      </c>
      <c r="S54" s="186">
        <f>'GS &gt; 50 OLS Model (LC)'!$B$8*F54</f>
        <v>30448768.49313147</v>
      </c>
      <c r="T54" s="186">
        <v>0</v>
      </c>
      <c r="U54" s="186">
        <f>'GS &gt; 50 OLS Model (LC)'!$B$9*H54</f>
        <v>0</v>
      </c>
      <c r="V54" s="186">
        <f>'GS &gt; 50 OLS Model (LC)'!$B$10*I54</f>
        <v>0</v>
      </c>
      <c r="W54" s="186">
        <f>'GS &gt; 50 OLS Model (LC)'!$B$11*J54</f>
        <v>0</v>
      </c>
      <c r="X54" s="186">
        <f>'GS &gt; 50 OLS Model (LC)'!$B$12*K54</f>
        <v>0</v>
      </c>
      <c r="Y54" s="186">
        <v>0</v>
      </c>
      <c r="Z54" s="186">
        <f>'GS &gt; 50 OLS Model (LC)'!$B$13*M54</f>
        <v>34805943.461156942</v>
      </c>
      <c r="AA54" s="186">
        <f>'GS &gt; 50 OLS Model (LC)'!$B$14*N54</f>
        <v>14249117.501484888</v>
      </c>
      <c r="AB54" s="186">
        <f t="shared" ca="1" si="2"/>
        <v>77554315.188684225</v>
      </c>
    </row>
    <row r="55" spans="1:28">
      <c r="A55" s="128">
        <f>'Monthly Data'!A55</f>
        <v>41426</v>
      </c>
      <c r="B55" s="186">
        <f t="shared" si="1"/>
        <v>2013</v>
      </c>
      <c r="C55" s="124">
        <f ca="1">'Monthly Data'!T55</f>
        <v>77849227.68931511</v>
      </c>
      <c r="D55" s="186">
        <f t="shared" ca="1" si="5"/>
        <v>0.39669172932326546</v>
      </c>
      <c r="E55" s="186">
        <f t="shared" ca="1" si="5"/>
        <v>116.89315789473682</v>
      </c>
      <c r="F55" s="186">
        <f>'Monthly Data'!BL55</f>
        <v>586913</v>
      </c>
      <c r="G55" s="186">
        <f>'Monthly Data'!BM55</f>
        <v>54</v>
      </c>
      <c r="H55" s="186">
        <f>'Monthly Data'!BQ55</f>
        <v>0</v>
      </c>
      <c r="I55" s="186">
        <f>'Monthly Data'!BS55</f>
        <v>1</v>
      </c>
      <c r="J55" s="186">
        <f>'Monthly Data'!BU55</f>
        <v>0</v>
      </c>
      <c r="K55" s="186">
        <f>'Monthly Data'!BV55</f>
        <v>0</v>
      </c>
      <c r="L55" s="186">
        <f>'Monthly Data'!BW55</f>
        <v>0</v>
      </c>
      <c r="M55" s="186">
        <f>'Monthly Data'!CC55</f>
        <v>30</v>
      </c>
      <c r="N55" s="186">
        <f>'Monthly Data'!CD55</f>
        <v>20</v>
      </c>
      <c r="P55" s="186">
        <f>'GS &gt; 50 OLS Model (LC)'!$B$5</f>
        <v>-8436546.8467997499</v>
      </c>
      <c r="Q55" s="186">
        <f ca="1">'GS &gt; 50 OLS Model (LC)'!$B$6*D55</f>
        <v>9606.6872501819107</v>
      </c>
      <c r="R55" s="186">
        <f ca="1">'GS &gt; 50 OLS Model (LC)'!$B$7*E55</f>
        <v>8343001.6066957684</v>
      </c>
      <c r="S55" s="186">
        <f>'GS &gt; 50 OLS Model (LC)'!$B$8*F55</f>
        <v>30448768.49313147</v>
      </c>
      <c r="T55" s="186">
        <v>0</v>
      </c>
      <c r="U55" s="186">
        <f>'GS &gt; 50 OLS Model (LC)'!$B$9*H55</f>
        <v>0</v>
      </c>
      <c r="V55" s="186">
        <f>'GS &gt; 50 OLS Model (LC)'!$B$10*I55</f>
        <v>1260255.0136768401</v>
      </c>
      <c r="W55" s="186">
        <f>'GS &gt; 50 OLS Model (LC)'!$B$11*J55</f>
        <v>0</v>
      </c>
      <c r="X55" s="186">
        <f>'GS &gt; 50 OLS Model (LC)'!$B$12*K55</f>
        <v>0</v>
      </c>
      <c r="Y55" s="186">
        <v>0</v>
      </c>
      <c r="Z55" s="186">
        <f>'GS &gt; 50 OLS Model (LC)'!$B$13*M55</f>
        <v>33683171.091442198</v>
      </c>
      <c r="AA55" s="186">
        <f>'GS &gt; 50 OLS Model (LC)'!$B$14*N55</f>
        <v>12953743.18316808</v>
      </c>
      <c r="AB55" s="186">
        <f t="shared" ca="1" si="2"/>
        <v>78261999.228564784</v>
      </c>
    </row>
    <row r="56" spans="1:28">
      <c r="A56" s="128">
        <f>'Monthly Data'!A56</f>
        <v>41456</v>
      </c>
      <c r="B56" s="186">
        <f t="shared" si="1"/>
        <v>2013</v>
      </c>
      <c r="C56" s="124">
        <f ca="1">'Monthly Data'!T56</f>
        <v>82540445.770245254</v>
      </c>
      <c r="D56" s="186">
        <f t="shared" ca="1" si="5"/>
        <v>0.58105263157894704</v>
      </c>
      <c r="E56" s="186">
        <f t="shared" ca="1" si="5"/>
        <v>186.96526315789481</v>
      </c>
      <c r="F56" s="186">
        <f>'Monthly Data'!BL56</f>
        <v>586913</v>
      </c>
      <c r="G56" s="186">
        <f>'Monthly Data'!BM56</f>
        <v>55</v>
      </c>
      <c r="H56" s="186">
        <f>'Monthly Data'!BQ56</f>
        <v>0</v>
      </c>
      <c r="I56" s="186">
        <f>'Monthly Data'!BS56</f>
        <v>0</v>
      </c>
      <c r="J56" s="186">
        <f>'Monthly Data'!BU56</f>
        <v>0</v>
      </c>
      <c r="K56" s="186">
        <f>'Monthly Data'!BV56</f>
        <v>0</v>
      </c>
      <c r="L56" s="186">
        <f>'Monthly Data'!BW56</f>
        <v>0</v>
      </c>
      <c r="M56" s="186">
        <f>'Monthly Data'!CC56</f>
        <v>31</v>
      </c>
      <c r="N56" s="186">
        <f>'Monthly Data'!CD56</f>
        <v>22</v>
      </c>
      <c r="P56" s="186">
        <f>'GS &gt; 50 OLS Model (LC)'!$B$5</f>
        <v>-8436546.8467997499</v>
      </c>
      <c r="Q56" s="186">
        <f ca="1">'GS &gt; 50 OLS Model (LC)'!$B$6*D56</f>
        <v>14071.356912322552</v>
      </c>
      <c r="R56" s="186">
        <f ca="1">'GS &gt; 50 OLS Model (LC)'!$B$7*E56</f>
        <v>13344249.732112395</v>
      </c>
      <c r="S56" s="186">
        <f>'GS &gt; 50 OLS Model (LC)'!$B$8*F56</f>
        <v>30448768.49313147</v>
      </c>
      <c r="T56" s="186">
        <v>0</v>
      </c>
      <c r="U56" s="186">
        <f>'GS &gt; 50 OLS Model (LC)'!$B$9*H56</f>
        <v>0</v>
      </c>
      <c r="V56" s="186">
        <f>'GS &gt; 50 OLS Model (LC)'!$B$10*I56</f>
        <v>0</v>
      </c>
      <c r="W56" s="186">
        <f>'GS &gt; 50 OLS Model (LC)'!$B$11*J56</f>
        <v>0</v>
      </c>
      <c r="X56" s="186">
        <f>'GS &gt; 50 OLS Model (LC)'!$B$12*K56</f>
        <v>0</v>
      </c>
      <c r="Y56" s="186">
        <v>0</v>
      </c>
      <c r="Z56" s="186">
        <f>'GS &gt; 50 OLS Model (LC)'!$B$13*M56</f>
        <v>34805943.461156942</v>
      </c>
      <c r="AA56" s="186">
        <f>'GS &gt; 50 OLS Model (LC)'!$B$14*N56</f>
        <v>14249117.501484888</v>
      </c>
      <c r="AB56" s="186">
        <f t="shared" ca="1" si="2"/>
        <v>84425603.69799827</v>
      </c>
    </row>
    <row r="57" spans="1:28">
      <c r="A57" s="128">
        <f>'Monthly Data'!A57</f>
        <v>41487</v>
      </c>
      <c r="B57" s="186">
        <f t="shared" si="1"/>
        <v>2013</v>
      </c>
      <c r="C57" s="124">
        <f ca="1">'Monthly Data'!T57</f>
        <v>81226483.659076646</v>
      </c>
      <c r="D57" s="186">
        <f t="shared" ca="1" si="5"/>
        <v>1.6660902255639058</v>
      </c>
      <c r="E57" s="186">
        <f t="shared" ca="1" si="5"/>
        <v>167.43443609022574</v>
      </c>
      <c r="F57" s="186">
        <f>'Monthly Data'!BL57</f>
        <v>586913</v>
      </c>
      <c r="G57" s="186">
        <f>'Monthly Data'!BM57</f>
        <v>56</v>
      </c>
      <c r="H57" s="186">
        <f>'Monthly Data'!BQ57</f>
        <v>0</v>
      </c>
      <c r="I57" s="186">
        <f>'Monthly Data'!BS57</f>
        <v>0</v>
      </c>
      <c r="J57" s="186">
        <f>'Monthly Data'!BU57</f>
        <v>1</v>
      </c>
      <c r="K57" s="186">
        <f>'Monthly Data'!BV57</f>
        <v>0</v>
      </c>
      <c r="L57" s="186">
        <f>'Monthly Data'!BW57</f>
        <v>0</v>
      </c>
      <c r="M57" s="186">
        <f>'Monthly Data'!CC57</f>
        <v>31</v>
      </c>
      <c r="N57" s="186">
        <f>'Monthly Data'!CD57</f>
        <v>21</v>
      </c>
      <c r="P57" s="186">
        <f>'GS &gt; 50 OLS Model (LC)'!$B$5</f>
        <v>-8436546.8467997499</v>
      </c>
      <c r="Q57" s="186">
        <f ca="1">'GS &gt; 50 OLS Model (LC)'!$B$6*D57</f>
        <v>40347.722285216725</v>
      </c>
      <c r="R57" s="186">
        <f ca="1">'GS &gt; 50 OLS Model (LC)'!$B$7*E57</f>
        <v>11950278.30948735</v>
      </c>
      <c r="S57" s="186">
        <f>'GS &gt; 50 OLS Model (LC)'!$B$8*F57</f>
        <v>30448768.49313147</v>
      </c>
      <c r="T57" s="186">
        <v>0</v>
      </c>
      <c r="U57" s="186">
        <f>'GS &gt; 50 OLS Model (LC)'!$B$9*H57</f>
        <v>0</v>
      </c>
      <c r="V57" s="186">
        <f>'GS &gt; 50 OLS Model (LC)'!$B$10*I57</f>
        <v>0</v>
      </c>
      <c r="W57" s="186">
        <f>'GS &gt; 50 OLS Model (LC)'!$B$11*J57</f>
        <v>2501012.7689915099</v>
      </c>
      <c r="X57" s="186">
        <f>'GS &gt; 50 OLS Model (LC)'!$B$12*K57</f>
        <v>0</v>
      </c>
      <c r="Y57" s="186">
        <v>0</v>
      </c>
      <c r="Z57" s="186">
        <f>'GS &gt; 50 OLS Model (LC)'!$B$13*M57</f>
        <v>34805943.461156942</v>
      </c>
      <c r="AA57" s="186">
        <f>'GS &gt; 50 OLS Model (LC)'!$B$14*N57</f>
        <v>13601430.342326485</v>
      </c>
      <c r="AB57" s="186">
        <f t="shared" ca="1" si="2"/>
        <v>84911234.250579238</v>
      </c>
    </row>
    <row r="58" spans="1:28">
      <c r="A58" s="128">
        <f>'Monthly Data'!A58</f>
        <v>41518</v>
      </c>
      <c r="B58" s="186">
        <f t="shared" si="1"/>
        <v>2013</v>
      </c>
      <c r="C58" s="124">
        <f ca="1">'Monthly Data'!T58</f>
        <v>75974010.308642328</v>
      </c>
      <c r="D58" s="186">
        <f t="shared" ca="1" si="5"/>
        <v>30.410827067669118</v>
      </c>
      <c r="E58" s="186">
        <f t="shared" ca="1" si="5"/>
        <v>83.003533834586506</v>
      </c>
      <c r="F58" s="186">
        <f>'Monthly Data'!BL58</f>
        <v>586913</v>
      </c>
      <c r="G58" s="186">
        <f>'Monthly Data'!BM58</f>
        <v>57</v>
      </c>
      <c r="H58" s="186">
        <f>'Monthly Data'!BQ58</f>
        <v>0</v>
      </c>
      <c r="I58" s="186">
        <f>'Monthly Data'!BS58</f>
        <v>0</v>
      </c>
      <c r="J58" s="186">
        <f>'Monthly Data'!BU58</f>
        <v>0</v>
      </c>
      <c r="K58" s="186">
        <f>'Monthly Data'!BV58</f>
        <v>1</v>
      </c>
      <c r="L58" s="186">
        <f>'Monthly Data'!BW58</f>
        <v>0</v>
      </c>
      <c r="M58" s="186">
        <f>'Monthly Data'!CC58</f>
        <v>30</v>
      </c>
      <c r="N58" s="186">
        <f>'Monthly Data'!CD58</f>
        <v>20</v>
      </c>
      <c r="P58" s="186">
        <f>'GS &gt; 50 OLS Model (LC)'!$B$5</f>
        <v>-8436546.8467997499</v>
      </c>
      <c r="Q58" s="186">
        <f ca="1">'GS &gt; 50 OLS Model (LC)'!$B$6*D58</f>
        <v>736459.27823312907</v>
      </c>
      <c r="R58" s="186">
        <f ca="1">'GS &gt; 50 OLS Model (LC)'!$B$7*E58</f>
        <v>5924201.4555461155</v>
      </c>
      <c r="S58" s="186">
        <f>'GS &gt; 50 OLS Model (LC)'!$B$8*F58</f>
        <v>30448768.49313147</v>
      </c>
      <c r="T58" s="186">
        <v>0</v>
      </c>
      <c r="U58" s="186">
        <f>'GS &gt; 50 OLS Model (LC)'!$B$9*H58</f>
        <v>0</v>
      </c>
      <c r="V58" s="186">
        <f>'GS &gt; 50 OLS Model (LC)'!$B$10*I58</f>
        <v>0</v>
      </c>
      <c r="W58" s="186">
        <f>'GS &gt; 50 OLS Model (LC)'!$B$11*J58</f>
        <v>0</v>
      </c>
      <c r="X58" s="186">
        <f>'GS &gt; 50 OLS Model (LC)'!$B$12*K58</f>
        <v>2346294.5864150901</v>
      </c>
      <c r="Y58" s="186">
        <v>0</v>
      </c>
      <c r="Z58" s="186">
        <f>'GS &gt; 50 OLS Model (LC)'!$B$13*M58</f>
        <v>33683171.091442198</v>
      </c>
      <c r="AA58" s="186">
        <f>'GS &gt; 50 OLS Model (LC)'!$B$14*N58</f>
        <v>12953743.18316808</v>
      </c>
      <c r="AB58" s="186">
        <f t="shared" ca="1" si="2"/>
        <v>77656091.241136327</v>
      </c>
    </row>
    <row r="59" spans="1:28">
      <c r="A59" s="128">
        <f>'Monthly Data'!A59</f>
        <v>41548</v>
      </c>
      <c r="B59" s="186">
        <f t="shared" si="1"/>
        <v>2013</v>
      </c>
      <c r="C59" s="124">
        <f ca="1">'Monthly Data'!T59</f>
        <v>77227978.159034535</v>
      </c>
      <c r="D59" s="186">
        <f t="shared" ca="1" si="5"/>
        <v>158.93676691729343</v>
      </c>
      <c r="E59" s="186">
        <f t="shared" ca="1" si="5"/>
        <v>16.916090225563948</v>
      </c>
      <c r="F59" s="186">
        <f>'Monthly Data'!BL59</f>
        <v>586913</v>
      </c>
      <c r="G59" s="186">
        <f>'Monthly Data'!BM59</f>
        <v>58</v>
      </c>
      <c r="H59" s="186">
        <f>'Monthly Data'!BQ59</f>
        <v>0</v>
      </c>
      <c r="I59" s="186">
        <f>'Monthly Data'!BS59</f>
        <v>0</v>
      </c>
      <c r="J59" s="186">
        <f>'Monthly Data'!BU59</f>
        <v>0</v>
      </c>
      <c r="K59" s="186">
        <f>'Monthly Data'!BV59</f>
        <v>0</v>
      </c>
      <c r="L59" s="186">
        <f>'Monthly Data'!BW59</f>
        <v>1</v>
      </c>
      <c r="M59" s="186">
        <f>'Monthly Data'!CC59</f>
        <v>31</v>
      </c>
      <c r="N59" s="186">
        <f>'Monthly Data'!CD59</f>
        <v>22</v>
      </c>
      <c r="P59" s="186">
        <f>'GS &gt; 50 OLS Model (LC)'!$B$5</f>
        <v>-8436546.8467997499</v>
      </c>
      <c r="Q59" s="186">
        <f ca="1">'GS &gt; 50 OLS Model (LC)'!$B$6*D59</f>
        <v>3848973.1432874338</v>
      </c>
      <c r="R59" s="186">
        <f ca="1">'GS &gt; 50 OLS Model (LC)'!$B$7*E59</f>
        <v>1207350.1176003828</v>
      </c>
      <c r="S59" s="186">
        <f>'GS &gt; 50 OLS Model (LC)'!$B$8*F59</f>
        <v>30448768.49313147</v>
      </c>
      <c r="T59" s="186">
        <v>0</v>
      </c>
      <c r="U59" s="186">
        <f>'GS &gt; 50 OLS Model (LC)'!$B$9*H59</f>
        <v>0</v>
      </c>
      <c r="V59" s="186">
        <f>'GS &gt; 50 OLS Model (LC)'!$B$10*I59</f>
        <v>0</v>
      </c>
      <c r="W59" s="186">
        <f>'GS &gt; 50 OLS Model (LC)'!$B$11*J59</f>
        <v>0</v>
      </c>
      <c r="X59" s="186">
        <f>'GS &gt; 50 OLS Model (LC)'!$B$12*K59</f>
        <v>0</v>
      </c>
      <c r="Y59" s="186">
        <v>0</v>
      </c>
      <c r="Z59" s="186">
        <f>'GS &gt; 50 OLS Model (LC)'!$B$13*M59</f>
        <v>34805943.461156942</v>
      </c>
      <c r="AA59" s="186">
        <f>'GS &gt; 50 OLS Model (LC)'!$B$14*N59</f>
        <v>14249117.501484888</v>
      </c>
      <c r="AB59" s="186">
        <f t="shared" ca="1" si="2"/>
        <v>76123605.869861364</v>
      </c>
    </row>
    <row r="60" spans="1:28">
      <c r="A60" s="128">
        <f>'Monthly Data'!A60</f>
        <v>41579</v>
      </c>
      <c r="B60" s="186">
        <f t="shared" si="1"/>
        <v>2013</v>
      </c>
      <c r="C60" s="124">
        <f ca="1">'Monthly Data'!T60</f>
        <v>79798645.323323712</v>
      </c>
      <c r="D60" s="186">
        <f t="shared" ca="1" si="5"/>
        <v>375.92533834586447</v>
      </c>
      <c r="E60" s="186">
        <f t="shared" ca="1" si="5"/>
        <v>8.120300751879661E-2</v>
      </c>
      <c r="F60" s="186">
        <f>'Monthly Data'!BL60</f>
        <v>586913</v>
      </c>
      <c r="G60" s="186">
        <f>'Monthly Data'!BM60</f>
        <v>59</v>
      </c>
      <c r="H60" s="186">
        <f>'Monthly Data'!BQ60</f>
        <v>0</v>
      </c>
      <c r="I60" s="186">
        <f>'Monthly Data'!BS60</f>
        <v>0</v>
      </c>
      <c r="J60" s="186">
        <f>'Monthly Data'!BU60</f>
        <v>0</v>
      </c>
      <c r="K60" s="186">
        <f>'Monthly Data'!BV60</f>
        <v>0</v>
      </c>
      <c r="L60" s="186">
        <f>'Monthly Data'!BW60</f>
        <v>0</v>
      </c>
      <c r="M60" s="186">
        <f>'Monthly Data'!CC60</f>
        <v>30</v>
      </c>
      <c r="N60" s="186">
        <f>'Monthly Data'!CD60</f>
        <v>21</v>
      </c>
      <c r="P60" s="186">
        <f>'GS &gt; 50 OLS Model (LC)'!$B$5</f>
        <v>-8436546.8467997499</v>
      </c>
      <c r="Q60" s="186">
        <f ca="1">'GS &gt; 50 OLS Model (LC)'!$B$6*D60</f>
        <v>9103787.36927131</v>
      </c>
      <c r="R60" s="186">
        <f ca="1">'GS &gt; 50 OLS Model (LC)'!$B$7*E60</f>
        <v>5795.6927026295389</v>
      </c>
      <c r="S60" s="186">
        <f>'GS &gt; 50 OLS Model (LC)'!$B$8*F60</f>
        <v>30448768.49313147</v>
      </c>
      <c r="T60" s="186">
        <v>0</v>
      </c>
      <c r="U60" s="186">
        <f>'GS &gt; 50 OLS Model (LC)'!$B$9*H60</f>
        <v>0</v>
      </c>
      <c r="V60" s="186">
        <f>'GS &gt; 50 OLS Model (LC)'!$B$10*I60</f>
        <v>0</v>
      </c>
      <c r="W60" s="186">
        <f>'GS &gt; 50 OLS Model (LC)'!$B$11*J60</f>
        <v>0</v>
      </c>
      <c r="X60" s="186">
        <f>'GS &gt; 50 OLS Model (LC)'!$B$12*K60</f>
        <v>0</v>
      </c>
      <c r="Y60" s="186">
        <v>0</v>
      </c>
      <c r="Z60" s="186">
        <f>'GS &gt; 50 OLS Model (LC)'!$B$13*M60</f>
        <v>33683171.091442198</v>
      </c>
      <c r="AA60" s="186">
        <f>'GS &gt; 50 OLS Model (LC)'!$B$14*N60</f>
        <v>13601430.342326485</v>
      </c>
      <c r="AB60" s="186">
        <f t="shared" ca="1" si="2"/>
        <v>78406406.142074347</v>
      </c>
    </row>
    <row r="61" spans="1:28">
      <c r="A61" s="128">
        <f>'Monthly Data'!A61</f>
        <v>41609</v>
      </c>
      <c r="B61" s="186">
        <f t="shared" si="1"/>
        <v>2013</v>
      </c>
      <c r="C61" s="124">
        <f ca="1">'Monthly Data'!T61</f>
        <v>83545537.046774283</v>
      </c>
      <c r="D61" s="186">
        <f t="shared" ca="1" si="5"/>
        <v>548.76120300751859</v>
      </c>
      <c r="E61" s="186">
        <f t="shared" ca="1" si="5"/>
        <v>0</v>
      </c>
      <c r="F61" s="186">
        <f>'Monthly Data'!BL61</f>
        <v>586913</v>
      </c>
      <c r="G61" s="186">
        <f>'Monthly Data'!BM61</f>
        <v>60</v>
      </c>
      <c r="H61" s="186">
        <f>'Monthly Data'!BQ61</f>
        <v>0</v>
      </c>
      <c r="I61" s="186">
        <f>'Monthly Data'!BS61</f>
        <v>0</v>
      </c>
      <c r="J61" s="186">
        <f>'Monthly Data'!BU61</f>
        <v>0</v>
      </c>
      <c r="K61" s="186">
        <f>'Monthly Data'!BV61</f>
        <v>0</v>
      </c>
      <c r="L61" s="186">
        <f>'Monthly Data'!BW61</f>
        <v>0</v>
      </c>
      <c r="M61" s="186">
        <f>'Monthly Data'!CC61</f>
        <v>31</v>
      </c>
      <c r="N61" s="186">
        <f>'Monthly Data'!CD61</f>
        <v>20</v>
      </c>
      <c r="P61" s="186">
        <f>'GS &gt; 50 OLS Model (LC)'!$B$5</f>
        <v>-8436546.8467997499</v>
      </c>
      <c r="Q61" s="186">
        <f ca="1">'GS &gt; 50 OLS Model (LC)'!$B$6*D61</f>
        <v>13289355.090211187</v>
      </c>
      <c r="R61" s="186">
        <f ca="1">'GS &gt; 50 OLS Model (LC)'!$B$7*E61</f>
        <v>0</v>
      </c>
      <c r="S61" s="186">
        <f>'GS &gt; 50 OLS Model (LC)'!$B$8*F61</f>
        <v>30448768.49313147</v>
      </c>
      <c r="T61" s="186">
        <v>0</v>
      </c>
      <c r="U61" s="186">
        <f>'GS &gt; 50 OLS Model (LC)'!$B$9*H61</f>
        <v>0</v>
      </c>
      <c r="V61" s="186">
        <f>'GS &gt; 50 OLS Model (LC)'!$B$10*I61</f>
        <v>0</v>
      </c>
      <c r="W61" s="186">
        <f>'GS &gt; 50 OLS Model (LC)'!$B$11*J61</f>
        <v>0</v>
      </c>
      <c r="X61" s="186">
        <f>'GS &gt; 50 OLS Model (LC)'!$B$12*K61</f>
        <v>0</v>
      </c>
      <c r="Y61" s="186">
        <v>0</v>
      </c>
      <c r="Z61" s="186">
        <f>'GS &gt; 50 OLS Model (LC)'!$B$13*M61</f>
        <v>34805943.461156942</v>
      </c>
      <c r="AA61" s="186">
        <f>'GS &gt; 50 OLS Model (LC)'!$B$14*N61</f>
        <v>12953743.18316808</v>
      </c>
      <c r="AB61" s="186">
        <f t="shared" ca="1" si="2"/>
        <v>83061263.380867928</v>
      </c>
    </row>
    <row r="62" spans="1:28">
      <c r="A62" s="128">
        <f>'Monthly Data'!A62</f>
        <v>41640</v>
      </c>
      <c r="B62" s="186">
        <f t="shared" si="1"/>
        <v>2014</v>
      </c>
      <c r="C62" s="124">
        <f ca="1">'Monthly Data'!T62</f>
        <v>96326688.900008604</v>
      </c>
      <c r="D62" s="186">
        <f t="shared" ref="D62:E77" ca="1" si="6">D50</f>
        <v>665.14879699248104</v>
      </c>
      <c r="E62" s="186">
        <f t="shared" ca="1" si="6"/>
        <v>0</v>
      </c>
      <c r="F62" s="186">
        <f>'Monthly Data'!BL62</f>
        <v>601343.5</v>
      </c>
      <c r="G62" s="186">
        <f>'Monthly Data'!BM62</f>
        <v>61</v>
      </c>
      <c r="H62" s="186">
        <f>'Monthly Data'!BQ62</f>
        <v>0</v>
      </c>
      <c r="I62" s="186">
        <f>'Monthly Data'!BS62</f>
        <v>0</v>
      </c>
      <c r="J62" s="186">
        <f>'Monthly Data'!BU62</f>
        <v>0</v>
      </c>
      <c r="K62" s="186">
        <f>'Monthly Data'!BV62</f>
        <v>0</v>
      </c>
      <c r="L62" s="186">
        <f>'Monthly Data'!BW62</f>
        <v>0</v>
      </c>
      <c r="M62" s="186">
        <f>'Monthly Data'!CC62</f>
        <v>31</v>
      </c>
      <c r="N62" s="186">
        <f>'Monthly Data'!CD62</f>
        <v>22</v>
      </c>
      <c r="P62" s="186">
        <f>'GS &gt; 50 OLS Model (LC)'!$B$5</f>
        <v>-8436546.8467997499</v>
      </c>
      <c r="Q62" s="186">
        <f ca="1">'GS &gt; 50 OLS Model (LC)'!$B$6*D62</f>
        <v>16107914.522045333</v>
      </c>
      <c r="R62" s="186">
        <f ca="1">'GS &gt; 50 OLS Model (LC)'!$B$7*E62</f>
        <v>0</v>
      </c>
      <c r="S62" s="186">
        <f>'GS &gt; 50 OLS Model (LC)'!$B$8*F62</f>
        <v>31197415.999218632</v>
      </c>
      <c r="T62" s="186">
        <v>0</v>
      </c>
      <c r="U62" s="186">
        <f>'GS &gt; 50 OLS Model (LC)'!$B$9*H62</f>
        <v>0</v>
      </c>
      <c r="V62" s="186">
        <f>'GS &gt; 50 OLS Model (LC)'!$B$10*I62</f>
        <v>0</v>
      </c>
      <c r="W62" s="186">
        <f>'GS &gt; 50 OLS Model (LC)'!$B$11*J62</f>
        <v>0</v>
      </c>
      <c r="X62" s="186">
        <f>'GS &gt; 50 OLS Model (LC)'!$B$12*K62</f>
        <v>0</v>
      </c>
      <c r="Y62" s="186">
        <v>0</v>
      </c>
      <c r="Z62" s="186">
        <f>'GS &gt; 50 OLS Model (LC)'!$B$13*M62</f>
        <v>34805943.461156942</v>
      </c>
      <c r="AA62" s="186">
        <f>'GS &gt; 50 OLS Model (LC)'!$B$14*N62</f>
        <v>14249117.501484888</v>
      </c>
      <c r="AB62" s="186">
        <f t="shared" ca="1" si="2"/>
        <v>87923844.637106046</v>
      </c>
    </row>
    <row r="63" spans="1:28">
      <c r="A63" s="128">
        <f>'Monthly Data'!A63</f>
        <v>41671</v>
      </c>
      <c r="B63" s="186">
        <f t="shared" si="1"/>
        <v>2014</v>
      </c>
      <c r="C63" s="124">
        <f ca="1">'Monthly Data'!T63</f>
        <v>85795493.413305894</v>
      </c>
      <c r="D63" s="186">
        <f t="shared" ca="1" si="6"/>
        <v>611.17548872180487</v>
      </c>
      <c r="E63" s="186">
        <f t="shared" ca="1" si="6"/>
        <v>0</v>
      </c>
      <c r="F63" s="186">
        <f>'Monthly Data'!BL63</f>
        <v>601343.5</v>
      </c>
      <c r="G63" s="186">
        <f>'Monthly Data'!BM63</f>
        <v>62</v>
      </c>
      <c r="H63" s="186">
        <f>'Monthly Data'!BQ63</f>
        <v>0</v>
      </c>
      <c r="I63" s="186">
        <f>'Monthly Data'!BS63</f>
        <v>0</v>
      </c>
      <c r="J63" s="186">
        <f>'Monthly Data'!BU63</f>
        <v>0</v>
      </c>
      <c r="K63" s="186">
        <f>'Monthly Data'!BV63</f>
        <v>0</v>
      </c>
      <c r="L63" s="186">
        <f>'Monthly Data'!BW63</f>
        <v>0</v>
      </c>
      <c r="M63" s="186">
        <f>'Monthly Data'!CC63</f>
        <v>28</v>
      </c>
      <c r="N63" s="186">
        <f>'Monthly Data'!CD63</f>
        <v>19</v>
      </c>
      <c r="P63" s="186">
        <f>'GS &gt; 50 OLS Model (LC)'!$B$5</f>
        <v>-8436546.8467997499</v>
      </c>
      <c r="Q63" s="186">
        <f ca="1">'GS &gt; 50 OLS Model (LC)'!$B$6*D63</f>
        <v>14800842.420243302</v>
      </c>
      <c r="R63" s="186">
        <f ca="1">'GS &gt; 50 OLS Model (LC)'!$B$7*E63</f>
        <v>0</v>
      </c>
      <c r="S63" s="186">
        <f>'GS &gt; 50 OLS Model (LC)'!$B$8*F63</f>
        <v>31197415.999218632</v>
      </c>
      <c r="T63" s="186">
        <v>0</v>
      </c>
      <c r="U63" s="186">
        <f>'GS &gt; 50 OLS Model (LC)'!$B$9*H63</f>
        <v>0</v>
      </c>
      <c r="V63" s="186">
        <f>'GS &gt; 50 OLS Model (LC)'!$B$10*I63</f>
        <v>0</v>
      </c>
      <c r="W63" s="186">
        <f>'GS &gt; 50 OLS Model (LC)'!$B$11*J63</f>
        <v>0</v>
      </c>
      <c r="X63" s="186">
        <f>'GS &gt; 50 OLS Model (LC)'!$B$12*K63</f>
        <v>0</v>
      </c>
      <c r="Y63" s="186">
        <v>0</v>
      </c>
      <c r="Z63" s="186">
        <f>'GS &gt; 50 OLS Model (LC)'!$B$13*M63</f>
        <v>31437626.35201272</v>
      </c>
      <c r="AA63" s="186">
        <f>'GS &gt; 50 OLS Model (LC)'!$B$14*N63</f>
        <v>12306056.024009675</v>
      </c>
      <c r="AB63" s="186">
        <f t="shared" ca="1" si="2"/>
        <v>81305393.948684573</v>
      </c>
    </row>
    <row r="64" spans="1:28">
      <c r="A64" s="128">
        <f>'Monthly Data'!A64</f>
        <v>41699</v>
      </c>
      <c r="B64" s="186">
        <f t="shared" si="1"/>
        <v>2014</v>
      </c>
      <c r="C64" s="124">
        <f ca="1">'Monthly Data'!T64</f>
        <v>88242965.31564568</v>
      </c>
      <c r="D64" s="186">
        <f t="shared" ca="1" si="6"/>
        <v>458.46436090225569</v>
      </c>
      <c r="E64" s="186">
        <f t="shared" ca="1" si="6"/>
        <v>0.45218045112781802</v>
      </c>
      <c r="F64" s="186">
        <f>'Monthly Data'!BL64</f>
        <v>601343.5</v>
      </c>
      <c r="G64" s="186">
        <f>'Monthly Data'!BM64</f>
        <v>63</v>
      </c>
      <c r="H64" s="186">
        <f>'Monthly Data'!BQ64</f>
        <v>0</v>
      </c>
      <c r="I64" s="186">
        <f>'Monthly Data'!BS64</f>
        <v>0</v>
      </c>
      <c r="J64" s="186">
        <f>'Monthly Data'!BU64</f>
        <v>0</v>
      </c>
      <c r="K64" s="186">
        <f>'Monthly Data'!BV64</f>
        <v>0</v>
      </c>
      <c r="L64" s="186">
        <f>'Monthly Data'!BW64</f>
        <v>0</v>
      </c>
      <c r="M64" s="186">
        <f>'Monthly Data'!CC64</f>
        <v>31</v>
      </c>
      <c r="N64" s="186">
        <f>'Monthly Data'!CD64</f>
        <v>21</v>
      </c>
      <c r="P64" s="186">
        <f>'GS &gt; 50 OLS Model (LC)'!$B$5</f>
        <v>-8436546.8467997499</v>
      </c>
      <c r="Q64" s="186">
        <f ca="1">'GS &gt; 50 OLS Model (LC)'!$B$6*D64</f>
        <v>11102635.636129936</v>
      </c>
      <c r="R64" s="186">
        <f ca="1">'GS &gt; 50 OLS Model (LC)'!$B$7*E64</f>
        <v>32273.422142235275</v>
      </c>
      <c r="S64" s="186">
        <f>'GS &gt; 50 OLS Model (LC)'!$B$8*F64</f>
        <v>31197415.999218632</v>
      </c>
      <c r="T64" s="186">
        <v>0</v>
      </c>
      <c r="U64" s="186">
        <f>'GS &gt; 50 OLS Model (LC)'!$B$9*H64</f>
        <v>0</v>
      </c>
      <c r="V64" s="186">
        <f>'GS &gt; 50 OLS Model (LC)'!$B$10*I64</f>
        <v>0</v>
      </c>
      <c r="W64" s="186">
        <f>'GS &gt; 50 OLS Model (LC)'!$B$11*J64</f>
        <v>0</v>
      </c>
      <c r="X64" s="186">
        <f>'GS &gt; 50 OLS Model (LC)'!$B$12*K64</f>
        <v>0</v>
      </c>
      <c r="Y64" s="186">
        <v>0</v>
      </c>
      <c r="Z64" s="186">
        <f>'GS &gt; 50 OLS Model (LC)'!$B$13*M64</f>
        <v>34805943.461156942</v>
      </c>
      <c r="AA64" s="186">
        <f>'GS &gt; 50 OLS Model (LC)'!$B$14*N64</f>
        <v>13601430.342326485</v>
      </c>
      <c r="AB64" s="186">
        <f t="shared" ca="1" si="2"/>
        <v>82303152.014174491</v>
      </c>
    </row>
    <row r="65" spans="1:28">
      <c r="A65" s="128">
        <f>'Monthly Data'!A65</f>
        <v>41730</v>
      </c>
      <c r="B65" s="186">
        <f t="shared" si="1"/>
        <v>2014</v>
      </c>
      <c r="C65" s="124">
        <f ca="1">'Monthly Data'!T65</f>
        <v>76032615.997099578</v>
      </c>
      <c r="D65" s="186">
        <f t="shared" ca="1" si="6"/>
        <v>254.29052631578941</v>
      </c>
      <c r="E65" s="186">
        <f t="shared" ca="1" si="6"/>
        <v>0.50947368421054762</v>
      </c>
      <c r="F65" s="186">
        <f>'Monthly Data'!BL65</f>
        <v>601343.5</v>
      </c>
      <c r="G65" s="186">
        <f>'Monthly Data'!BM65</f>
        <v>64</v>
      </c>
      <c r="H65" s="186">
        <f>'Monthly Data'!BQ65</f>
        <v>1</v>
      </c>
      <c r="I65" s="186">
        <f>'Monthly Data'!BS65</f>
        <v>0</v>
      </c>
      <c r="J65" s="186">
        <f>'Monthly Data'!BU65</f>
        <v>0</v>
      </c>
      <c r="K65" s="186">
        <f>'Monthly Data'!BV65</f>
        <v>0</v>
      </c>
      <c r="L65" s="186">
        <f>'Monthly Data'!BW65</f>
        <v>0</v>
      </c>
      <c r="M65" s="186">
        <f>'Monthly Data'!CC65</f>
        <v>30</v>
      </c>
      <c r="N65" s="186">
        <f>'Monthly Data'!CD65</f>
        <v>20</v>
      </c>
      <c r="P65" s="186">
        <f>'GS &gt; 50 OLS Model (LC)'!$B$5</f>
        <v>-8436546.8467997499</v>
      </c>
      <c r="Q65" s="186">
        <f ca="1">'GS &gt; 50 OLS Model (LC)'!$B$6*D65</f>
        <v>6158156.0098754233</v>
      </c>
      <c r="R65" s="186">
        <f ca="1">'GS &gt; 50 OLS Model (LC)'!$B$7*E65</f>
        <v>36362.605326869983</v>
      </c>
      <c r="S65" s="186">
        <f>'GS &gt; 50 OLS Model (LC)'!$B$8*F65</f>
        <v>31197415.999218632</v>
      </c>
      <c r="T65" s="186">
        <v>0</v>
      </c>
      <c r="U65" s="186">
        <f>'GS &gt; 50 OLS Model (LC)'!$B$9*H65</f>
        <v>-1670517.9110053701</v>
      </c>
      <c r="V65" s="186">
        <f>'GS &gt; 50 OLS Model (LC)'!$B$10*I65</f>
        <v>0</v>
      </c>
      <c r="W65" s="186">
        <f>'GS &gt; 50 OLS Model (LC)'!$B$11*J65</f>
        <v>0</v>
      </c>
      <c r="X65" s="186">
        <f>'GS &gt; 50 OLS Model (LC)'!$B$12*K65</f>
        <v>0</v>
      </c>
      <c r="Y65" s="186">
        <v>0</v>
      </c>
      <c r="Z65" s="186">
        <f>'GS &gt; 50 OLS Model (LC)'!$B$13*M65</f>
        <v>33683171.091442198</v>
      </c>
      <c r="AA65" s="186">
        <f>'GS &gt; 50 OLS Model (LC)'!$B$14*N65</f>
        <v>12953743.18316808</v>
      </c>
      <c r="AB65" s="186">
        <f t="shared" ca="1" si="2"/>
        <v>73921784.131226078</v>
      </c>
    </row>
    <row r="66" spans="1:28">
      <c r="A66" s="128">
        <f>'Monthly Data'!A66</f>
        <v>41760</v>
      </c>
      <c r="B66" s="186">
        <f t="shared" ref="B66:B129" si="7">YEAR(A66)</f>
        <v>2014</v>
      </c>
      <c r="C66" s="124">
        <f ca="1">'Monthly Data'!T66</f>
        <v>78518698.920610771</v>
      </c>
      <c r="D66" s="186">
        <f t="shared" ca="1" si="6"/>
        <v>102.64150375939857</v>
      </c>
      <c r="E66" s="186">
        <f t="shared" ca="1" si="6"/>
        <v>56.062781954887214</v>
      </c>
      <c r="F66" s="186">
        <f>'Monthly Data'!BL66</f>
        <v>601343.5</v>
      </c>
      <c r="G66" s="186">
        <f>'Monthly Data'!BM66</f>
        <v>65</v>
      </c>
      <c r="H66" s="186">
        <f>'Monthly Data'!BQ66</f>
        <v>0</v>
      </c>
      <c r="I66" s="186">
        <f>'Monthly Data'!BS66</f>
        <v>0</v>
      </c>
      <c r="J66" s="186">
        <f>'Monthly Data'!BU66</f>
        <v>0</v>
      </c>
      <c r="K66" s="186">
        <f>'Monthly Data'!BV66</f>
        <v>0</v>
      </c>
      <c r="L66" s="186">
        <f>'Monthly Data'!BW66</f>
        <v>0</v>
      </c>
      <c r="M66" s="186">
        <f>'Monthly Data'!CC66</f>
        <v>31</v>
      </c>
      <c r="N66" s="186">
        <f>'Monthly Data'!CD66</f>
        <v>22</v>
      </c>
      <c r="P66" s="186">
        <f>'GS &gt; 50 OLS Model (LC)'!$B$5</f>
        <v>-8436546.8467997499</v>
      </c>
      <c r="Q66" s="186">
        <f ca="1">'GS &gt; 50 OLS Model (LC)'!$B$6*D66</f>
        <v>2485670.238668832</v>
      </c>
      <c r="R66" s="186">
        <f ca="1">'GS &gt; 50 OLS Model (LC)'!$B$7*E66</f>
        <v>4001362.3410418485</v>
      </c>
      <c r="S66" s="186">
        <f>'GS &gt; 50 OLS Model (LC)'!$B$8*F66</f>
        <v>31197415.999218632</v>
      </c>
      <c r="T66" s="186">
        <v>0</v>
      </c>
      <c r="U66" s="186">
        <f>'GS &gt; 50 OLS Model (LC)'!$B$9*H66</f>
        <v>0</v>
      </c>
      <c r="V66" s="186">
        <f>'GS &gt; 50 OLS Model (LC)'!$B$10*I66</f>
        <v>0</v>
      </c>
      <c r="W66" s="186">
        <f>'GS &gt; 50 OLS Model (LC)'!$B$11*J66</f>
        <v>0</v>
      </c>
      <c r="X66" s="186">
        <f>'GS &gt; 50 OLS Model (LC)'!$B$12*K66</f>
        <v>0</v>
      </c>
      <c r="Y66" s="186">
        <v>0</v>
      </c>
      <c r="Z66" s="186">
        <f>'GS &gt; 50 OLS Model (LC)'!$B$13*M66</f>
        <v>34805943.461156942</v>
      </c>
      <c r="AA66" s="186">
        <f>'GS &gt; 50 OLS Model (LC)'!$B$14*N66</f>
        <v>14249117.501484888</v>
      </c>
      <c r="AB66" s="186">
        <f t="shared" ref="AB66:AB129" ca="1" si="8">SUM(P66:AA66)</f>
        <v>78302962.694771394</v>
      </c>
    </row>
    <row r="67" spans="1:28">
      <c r="A67" s="128">
        <f>'Monthly Data'!A67</f>
        <v>41791</v>
      </c>
      <c r="B67" s="186">
        <f t="shared" si="7"/>
        <v>2014</v>
      </c>
      <c r="C67" s="124">
        <f ca="1">'Monthly Data'!T67</f>
        <v>81857571.227659523</v>
      </c>
      <c r="D67" s="186">
        <f t="shared" ca="1" si="6"/>
        <v>0.39669172932326546</v>
      </c>
      <c r="E67" s="186">
        <f t="shared" ca="1" si="6"/>
        <v>116.89315789473682</v>
      </c>
      <c r="F67" s="186">
        <f>'Monthly Data'!BL67</f>
        <v>601343.5</v>
      </c>
      <c r="G67" s="186">
        <f>'Monthly Data'!BM67</f>
        <v>66</v>
      </c>
      <c r="H67" s="186">
        <f>'Monthly Data'!BQ67</f>
        <v>0</v>
      </c>
      <c r="I67" s="186">
        <f>'Monthly Data'!BS67</f>
        <v>1</v>
      </c>
      <c r="J67" s="186">
        <f>'Monthly Data'!BU67</f>
        <v>0</v>
      </c>
      <c r="K67" s="186">
        <f>'Monthly Data'!BV67</f>
        <v>0</v>
      </c>
      <c r="L67" s="186">
        <f>'Monthly Data'!BW67</f>
        <v>0</v>
      </c>
      <c r="M67" s="186">
        <f>'Monthly Data'!CC67</f>
        <v>30</v>
      </c>
      <c r="N67" s="186">
        <f>'Monthly Data'!CD67</f>
        <v>21</v>
      </c>
      <c r="P67" s="186">
        <f>'GS &gt; 50 OLS Model (LC)'!$B$5</f>
        <v>-8436546.8467997499</v>
      </c>
      <c r="Q67" s="186">
        <f ca="1">'GS &gt; 50 OLS Model (LC)'!$B$6*D67</f>
        <v>9606.6872501819107</v>
      </c>
      <c r="R67" s="186">
        <f ca="1">'GS &gt; 50 OLS Model (LC)'!$B$7*E67</f>
        <v>8343001.6066957684</v>
      </c>
      <c r="S67" s="186">
        <f>'GS &gt; 50 OLS Model (LC)'!$B$8*F67</f>
        <v>31197415.999218632</v>
      </c>
      <c r="T67" s="186">
        <v>0</v>
      </c>
      <c r="U67" s="186">
        <f>'GS &gt; 50 OLS Model (LC)'!$B$9*H67</f>
        <v>0</v>
      </c>
      <c r="V67" s="186">
        <f>'GS &gt; 50 OLS Model (LC)'!$B$10*I67</f>
        <v>1260255.0136768401</v>
      </c>
      <c r="W67" s="186">
        <f>'GS &gt; 50 OLS Model (LC)'!$B$11*J67</f>
        <v>0</v>
      </c>
      <c r="X67" s="186">
        <f>'GS &gt; 50 OLS Model (LC)'!$B$12*K67</f>
        <v>0</v>
      </c>
      <c r="Y67" s="186">
        <v>0</v>
      </c>
      <c r="Z67" s="186">
        <f>'GS &gt; 50 OLS Model (LC)'!$B$13*M67</f>
        <v>33683171.091442198</v>
      </c>
      <c r="AA67" s="186">
        <f>'GS &gt; 50 OLS Model (LC)'!$B$14*N67</f>
        <v>13601430.342326485</v>
      </c>
      <c r="AB67" s="186">
        <f t="shared" ca="1" si="8"/>
        <v>79658333.893810362</v>
      </c>
    </row>
    <row r="68" spans="1:28">
      <c r="A68" s="128">
        <f>'Monthly Data'!A68</f>
        <v>41821</v>
      </c>
      <c r="B68" s="186">
        <f t="shared" si="7"/>
        <v>2014</v>
      </c>
      <c r="C68" s="124">
        <f ca="1">'Monthly Data'!T68</f>
        <v>83348919.115916789</v>
      </c>
      <c r="D68" s="186">
        <f t="shared" ca="1" si="6"/>
        <v>0.58105263157894704</v>
      </c>
      <c r="E68" s="186">
        <f t="shared" ca="1" si="6"/>
        <v>186.96526315789481</v>
      </c>
      <c r="F68" s="186">
        <f>'Monthly Data'!BL68</f>
        <v>601343.5</v>
      </c>
      <c r="G68" s="186">
        <f>'Monthly Data'!BM68</f>
        <v>67</v>
      </c>
      <c r="H68" s="186">
        <f>'Monthly Data'!BQ68</f>
        <v>0</v>
      </c>
      <c r="I68" s="186">
        <f>'Monthly Data'!BS68</f>
        <v>0</v>
      </c>
      <c r="J68" s="186">
        <f>'Monthly Data'!BU68</f>
        <v>0</v>
      </c>
      <c r="K68" s="186">
        <f>'Monthly Data'!BV68</f>
        <v>0</v>
      </c>
      <c r="L68" s="186">
        <f>'Monthly Data'!BW68</f>
        <v>0</v>
      </c>
      <c r="M68" s="186">
        <f>'Monthly Data'!CC68</f>
        <v>31</v>
      </c>
      <c r="N68" s="186">
        <f>'Monthly Data'!CD68</f>
        <v>22</v>
      </c>
      <c r="P68" s="186">
        <f>'GS &gt; 50 OLS Model (LC)'!$B$5</f>
        <v>-8436546.8467997499</v>
      </c>
      <c r="Q68" s="186">
        <f ca="1">'GS &gt; 50 OLS Model (LC)'!$B$6*D68</f>
        <v>14071.356912322552</v>
      </c>
      <c r="R68" s="186">
        <f ca="1">'GS &gt; 50 OLS Model (LC)'!$B$7*E68</f>
        <v>13344249.732112395</v>
      </c>
      <c r="S68" s="186">
        <f>'GS &gt; 50 OLS Model (LC)'!$B$8*F68</f>
        <v>31197415.999218632</v>
      </c>
      <c r="T68" s="186">
        <v>0</v>
      </c>
      <c r="U68" s="186">
        <f>'GS &gt; 50 OLS Model (LC)'!$B$9*H68</f>
        <v>0</v>
      </c>
      <c r="V68" s="186">
        <f>'GS &gt; 50 OLS Model (LC)'!$B$10*I68</f>
        <v>0</v>
      </c>
      <c r="W68" s="186">
        <f>'GS &gt; 50 OLS Model (LC)'!$B$11*J68</f>
        <v>0</v>
      </c>
      <c r="X68" s="186">
        <f>'GS &gt; 50 OLS Model (LC)'!$B$12*K68</f>
        <v>0</v>
      </c>
      <c r="Y68" s="186">
        <v>0</v>
      </c>
      <c r="Z68" s="186">
        <f>'GS &gt; 50 OLS Model (LC)'!$B$13*M68</f>
        <v>34805943.461156942</v>
      </c>
      <c r="AA68" s="186">
        <f>'GS &gt; 50 OLS Model (LC)'!$B$14*N68</f>
        <v>14249117.501484888</v>
      </c>
      <c r="AB68" s="186">
        <f t="shared" ca="1" si="8"/>
        <v>85174251.204085425</v>
      </c>
    </row>
    <row r="69" spans="1:28">
      <c r="A69" s="128">
        <f>'Monthly Data'!A69</f>
        <v>41852</v>
      </c>
      <c r="B69" s="186">
        <f t="shared" si="7"/>
        <v>2014</v>
      </c>
      <c r="C69" s="124">
        <f ca="1">'Monthly Data'!T69</f>
        <v>82700521.432717174</v>
      </c>
      <c r="D69" s="186">
        <f t="shared" ca="1" si="6"/>
        <v>1.6660902255639058</v>
      </c>
      <c r="E69" s="186">
        <f t="shared" ca="1" si="6"/>
        <v>167.43443609022574</v>
      </c>
      <c r="F69" s="186">
        <f>'Monthly Data'!BL69</f>
        <v>601343.5</v>
      </c>
      <c r="G69" s="186">
        <f>'Monthly Data'!BM69</f>
        <v>68</v>
      </c>
      <c r="H69" s="186">
        <f>'Monthly Data'!BQ69</f>
        <v>0</v>
      </c>
      <c r="I69" s="186">
        <f>'Monthly Data'!BS69</f>
        <v>0</v>
      </c>
      <c r="J69" s="186">
        <f>'Monthly Data'!BU69</f>
        <v>1</v>
      </c>
      <c r="K69" s="186">
        <f>'Monthly Data'!BV69</f>
        <v>0</v>
      </c>
      <c r="L69" s="186">
        <f>'Monthly Data'!BW69</f>
        <v>0</v>
      </c>
      <c r="M69" s="186">
        <f>'Monthly Data'!CC69</f>
        <v>31</v>
      </c>
      <c r="N69" s="186">
        <f>'Monthly Data'!CD69</f>
        <v>20</v>
      </c>
      <c r="P69" s="186">
        <f>'GS &gt; 50 OLS Model (LC)'!$B$5</f>
        <v>-8436546.8467997499</v>
      </c>
      <c r="Q69" s="186">
        <f ca="1">'GS &gt; 50 OLS Model (LC)'!$B$6*D69</f>
        <v>40347.722285216725</v>
      </c>
      <c r="R69" s="186">
        <f ca="1">'GS &gt; 50 OLS Model (LC)'!$B$7*E69</f>
        <v>11950278.30948735</v>
      </c>
      <c r="S69" s="186">
        <f>'GS &gt; 50 OLS Model (LC)'!$B$8*F69</f>
        <v>31197415.999218632</v>
      </c>
      <c r="T69" s="186">
        <v>0</v>
      </c>
      <c r="U69" s="186">
        <f>'GS &gt; 50 OLS Model (LC)'!$B$9*H69</f>
        <v>0</v>
      </c>
      <c r="V69" s="186">
        <f>'GS &gt; 50 OLS Model (LC)'!$B$10*I69</f>
        <v>0</v>
      </c>
      <c r="W69" s="186">
        <f>'GS &gt; 50 OLS Model (LC)'!$B$11*J69</f>
        <v>2501012.7689915099</v>
      </c>
      <c r="X69" s="186">
        <f>'GS &gt; 50 OLS Model (LC)'!$B$12*K69</f>
        <v>0</v>
      </c>
      <c r="Y69" s="186">
        <v>0</v>
      </c>
      <c r="Z69" s="186">
        <f>'GS &gt; 50 OLS Model (LC)'!$B$13*M69</f>
        <v>34805943.461156942</v>
      </c>
      <c r="AA69" s="186">
        <f>'GS &gt; 50 OLS Model (LC)'!$B$14*N69</f>
        <v>12953743.18316808</v>
      </c>
      <c r="AB69" s="186">
        <f t="shared" ca="1" si="8"/>
        <v>85012194.597507983</v>
      </c>
    </row>
    <row r="70" spans="1:28">
      <c r="A70" s="128">
        <f>'Monthly Data'!A70</f>
        <v>41883</v>
      </c>
      <c r="B70" s="186">
        <f t="shared" si="7"/>
        <v>2014</v>
      </c>
      <c r="C70" s="124">
        <f ca="1">'Monthly Data'!T70</f>
        <v>77960422.026261076</v>
      </c>
      <c r="D70" s="186">
        <f t="shared" ca="1" si="6"/>
        <v>30.410827067669118</v>
      </c>
      <c r="E70" s="186">
        <f t="shared" ca="1" si="6"/>
        <v>83.003533834586506</v>
      </c>
      <c r="F70" s="186">
        <f>'Monthly Data'!BL70</f>
        <v>601343.5</v>
      </c>
      <c r="G70" s="186">
        <f>'Monthly Data'!BM70</f>
        <v>69</v>
      </c>
      <c r="H70" s="186">
        <f>'Monthly Data'!BQ70</f>
        <v>0</v>
      </c>
      <c r="I70" s="186">
        <f>'Monthly Data'!BS70</f>
        <v>0</v>
      </c>
      <c r="J70" s="186">
        <f>'Monthly Data'!BU70</f>
        <v>0</v>
      </c>
      <c r="K70" s="186">
        <f>'Monthly Data'!BV70</f>
        <v>1</v>
      </c>
      <c r="L70" s="186">
        <f>'Monthly Data'!BW70</f>
        <v>0</v>
      </c>
      <c r="M70" s="186">
        <f>'Monthly Data'!CC70</f>
        <v>30</v>
      </c>
      <c r="N70" s="186">
        <f>'Monthly Data'!CD70</f>
        <v>21</v>
      </c>
      <c r="P70" s="186">
        <f>'GS &gt; 50 OLS Model (LC)'!$B$5</f>
        <v>-8436546.8467997499</v>
      </c>
      <c r="Q70" s="186">
        <f ca="1">'GS &gt; 50 OLS Model (LC)'!$B$6*D70</f>
        <v>736459.27823312907</v>
      </c>
      <c r="R70" s="186">
        <f ca="1">'GS &gt; 50 OLS Model (LC)'!$B$7*E70</f>
        <v>5924201.4555461155</v>
      </c>
      <c r="S70" s="186">
        <f>'GS &gt; 50 OLS Model (LC)'!$B$8*F70</f>
        <v>31197415.999218632</v>
      </c>
      <c r="T70" s="186">
        <v>0</v>
      </c>
      <c r="U70" s="186">
        <f>'GS &gt; 50 OLS Model (LC)'!$B$9*H70</f>
        <v>0</v>
      </c>
      <c r="V70" s="186">
        <f>'GS &gt; 50 OLS Model (LC)'!$B$10*I70</f>
        <v>0</v>
      </c>
      <c r="W70" s="186">
        <f>'GS &gt; 50 OLS Model (LC)'!$B$11*J70</f>
        <v>0</v>
      </c>
      <c r="X70" s="186">
        <f>'GS &gt; 50 OLS Model (LC)'!$B$12*K70</f>
        <v>2346294.5864150901</v>
      </c>
      <c r="Y70" s="186">
        <v>0</v>
      </c>
      <c r="Z70" s="186">
        <f>'GS &gt; 50 OLS Model (LC)'!$B$13*M70</f>
        <v>33683171.091442198</v>
      </c>
      <c r="AA70" s="186">
        <f>'GS &gt; 50 OLS Model (LC)'!$B$14*N70</f>
        <v>13601430.342326485</v>
      </c>
      <c r="AB70" s="186">
        <f t="shared" ca="1" si="8"/>
        <v>79052425.906381905</v>
      </c>
    </row>
    <row r="71" spans="1:28">
      <c r="A71" s="128">
        <f>'Monthly Data'!A71</f>
        <v>41913</v>
      </c>
      <c r="B71" s="186">
        <f t="shared" si="7"/>
        <v>2014</v>
      </c>
      <c r="C71" s="124">
        <f ca="1">'Monthly Data'!T71</f>
        <v>77895587.782433912</v>
      </c>
      <c r="D71" s="186">
        <f t="shared" ca="1" si="6"/>
        <v>158.93676691729343</v>
      </c>
      <c r="E71" s="186">
        <f t="shared" ca="1" si="6"/>
        <v>16.916090225563948</v>
      </c>
      <c r="F71" s="186">
        <f>'Monthly Data'!BL71</f>
        <v>601343.5</v>
      </c>
      <c r="G71" s="186">
        <f>'Monthly Data'!BM71</f>
        <v>70</v>
      </c>
      <c r="H71" s="186">
        <f>'Monthly Data'!BQ71</f>
        <v>0</v>
      </c>
      <c r="I71" s="186">
        <f>'Monthly Data'!BS71</f>
        <v>0</v>
      </c>
      <c r="J71" s="186">
        <f>'Monthly Data'!BU71</f>
        <v>0</v>
      </c>
      <c r="K71" s="186">
        <f>'Monthly Data'!BV71</f>
        <v>0</v>
      </c>
      <c r="L71" s="186">
        <f>'Monthly Data'!BW71</f>
        <v>1</v>
      </c>
      <c r="M71" s="186">
        <f>'Monthly Data'!CC71</f>
        <v>31</v>
      </c>
      <c r="N71" s="186">
        <f>'Monthly Data'!CD71</f>
        <v>22</v>
      </c>
      <c r="P71" s="186">
        <f>'GS &gt; 50 OLS Model (LC)'!$B$5</f>
        <v>-8436546.8467997499</v>
      </c>
      <c r="Q71" s="186">
        <f ca="1">'GS &gt; 50 OLS Model (LC)'!$B$6*D71</f>
        <v>3848973.1432874338</v>
      </c>
      <c r="R71" s="186">
        <f ca="1">'GS &gt; 50 OLS Model (LC)'!$B$7*E71</f>
        <v>1207350.1176003828</v>
      </c>
      <c r="S71" s="186">
        <f>'GS &gt; 50 OLS Model (LC)'!$B$8*F71</f>
        <v>31197415.999218632</v>
      </c>
      <c r="T71" s="186">
        <v>0</v>
      </c>
      <c r="U71" s="186">
        <f>'GS &gt; 50 OLS Model (LC)'!$B$9*H71</f>
        <v>0</v>
      </c>
      <c r="V71" s="186">
        <f>'GS &gt; 50 OLS Model (LC)'!$B$10*I71</f>
        <v>0</v>
      </c>
      <c r="W71" s="186">
        <f>'GS &gt; 50 OLS Model (LC)'!$B$11*J71</f>
        <v>0</v>
      </c>
      <c r="X71" s="186">
        <f>'GS &gt; 50 OLS Model (LC)'!$B$12*K71</f>
        <v>0</v>
      </c>
      <c r="Y71" s="186">
        <v>0</v>
      </c>
      <c r="Z71" s="186">
        <f>'GS &gt; 50 OLS Model (LC)'!$B$13*M71</f>
        <v>34805943.461156942</v>
      </c>
      <c r="AA71" s="186">
        <f>'GS &gt; 50 OLS Model (LC)'!$B$14*N71</f>
        <v>14249117.501484888</v>
      </c>
      <c r="AB71" s="186">
        <f t="shared" ca="1" si="8"/>
        <v>76872253.375948533</v>
      </c>
    </row>
    <row r="72" spans="1:28">
      <c r="A72" s="128">
        <f>'Monthly Data'!A72</f>
        <v>41944</v>
      </c>
      <c r="B72" s="186">
        <f t="shared" si="7"/>
        <v>2014</v>
      </c>
      <c r="C72" s="124">
        <f ca="1">'Monthly Data'!T72</f>
        <v>81173246.366913959</v>
      </c>
      <c r="D72" s="186">
        <f t="shared" ca="1" si="6"/>
        <v>375.92533834586447</v>
      </c>
      <c r="E72" s="186">
        <f t="shared" ca="1" si="6"/>
        <v>8.120300751879661E-2</v>
      </c>
      <c r="F72" s="186">
        <f>'Monthly Data'!BL72</f>
        <v>601343.5</v>
      </c>
      <c r="G72" s="186">
        <f>'Monthly Data'!BM72</f>
        <v>71</v>
      </c>
      <c r="H72" s="186">
        <f>'Monthly Data'!BQ72</f>
        <v>0</v>
      </c>
      <c r="I72" s="186">
        <f>'Monthly Data'!BS72</f>
        <v>0</v>
      </c>
      <c r="J72" s="186">
        <f>'Monthly Data'!BU72</f>
        <v>0</v>
      </c>
      <c r="K72" s="186">
        <f>'Monthly Data'!BV72</f>
        <v>0</v>
      </c>
      <c r="L72" s="186">
        <f>'Monthly Data'!BW72</f>
        <v>0</v>
      </c>
      <c r="M72" s="186">
        <f>'Monthly Data'!CC72</f>
        <v>30</v>
      </c>
      <c r="N72" s="186">
        <f>'Monthly Data'!CD72</f>
        <v>20</v>
      </c>
      <c r="P72" s="186">
        <f>'GS &gt; 50 OLS Model (LC)'!$B$5</f>
        <v>-8436546.8467997499</v>
      </c>
      <c r="Q72" s="186">
        <f ca="1">'GS &gt; 50 OLS Model (LC)'!$B$6*D72</f>
        <v>9103787.36927131</v>
      </c>
      <c r="R72" s="186">
        <f ca="1">'GS &gt; 50 OLS Model (LC)'!$B$7*E72</f>
        <v>5795.6927026295389</v>
      </c>
      <c r="S72" s="186">
        <f>'GS &gt; 50 OLS Model (LC)'!$B$8*F72</f>
        <v>31197415.999218632</v>
      </c>
      <c r="T72" s="186">
        <v>0</v>
      </c>
      <c r="U72" s="186">
        <f>'GS &gt; 50 OLS Model (LC)'!$B$9*H72</f>
        <v>0</v>
      </c>
      <c r="V72" s="186">
        <f>'GS &gt; 50 OLS Model (LC)'!$B$10*I72</f>
        <v>0</v>
      </c>
      <c r="W72" s="186">
        <f>'GS &gt; 50 OLS Model (LC)'!$B$11*J72</f>
        <v>0</v>
      </c>
      <c r="X72" s="186">
        <f>'GS &gt; 50 OLS Model (LC)'!$B$12*K72</f>
        <v>0</v>
      </c>
      <c r="Y72" s="186">
        <v>0</v>
      </c>
      <c r="Z72" s="186">
        <f>'GS &gt; 50 OLS Model (LC)'!$B$13*M72</f>
        <v>33683171.091442198</v>
      </c>
      <c r="AA72" s="186">
        <f>'GS &gt; 50 OLS Model (LC)'!$B$14*N72</f>
        <v>12953743.18316808</v>
      </c>
      <c r="AB72" s="186">
        <f t="shared" ca="1" si="8"/>
        <v>78507366.489003107</v>
      </c>
    </row>
    <row r="73" spans="1:28">
      <c r="A73" s="128">
        <f>'Monthly Data'!A73</f>
        <v>41974</v>
      </c>
      <c r="B73" s="186">
        <f t="shared" si="7"/>
        <v>2014</v>
      </c>
      <c r="C73" s="124">
        <f ca="1">'Monthly Data'!T73</f>
        <v>84448717.230596632</v>
      </c>
      <c r="D73" s="186">
        <f t="shared" ca="1" si="6"/>
        <v>548.76120300751859</v>
      </c>
      <c r="E73" s="186">
        <f t="shared" ca="1" si="6"/>
        <v>0</v>
      </c>
      <c r="F73" s="186">
        <f>'Monthly Data'!BL73</f>
        <v>601343.5</v>
      </c>
      <c r="G73" s="186">
        <f>'Monthly Data'!BM73</f>
        <v>72</v>
      </c>
      <c r="H73" s="186">
        <f>'Monthly Data'!BQ73</f>
        <v>0</v>
      </c>
      <c r="I73" s="186">
        <f>'Monthly Data'!BS73</f>
        <v>0</v>
      </c>
      <c r="J73" s="186">
        <f>'Monthly Data'!BU73</f>
        <v>0</v>
      </c>
      <c r="K73" s="186">
        <f>'Monthly Data'!BV73</f>
        <v>0</v>
      </c>
      <c r="L73" s="186">
        <f>'Monthly Data'!BW73</f>
        <v>0</v>
      </c>
      <c r="M73" s="186">
        <f>'Monthly Data'!CC73</f>
        <v>31</v>
      </c>
      <c r="N73" s="186">
        <f>'Monthly Data'!CD73</f>
        <v>21</v>
      </c>
      <c r="P73" s="186">
        <f>'GS &gt; 50 OLS Model (LC)'!$B$5</f>
        <v>-8436546.8467997499</v>
      </c>
      <c r="Q73" s="186">
        <f ca="1">'GS &gt; 50 OLS Model (LC)'!$B$6*D73</f>
        <v>13289355.090211187</v>
      </c>
      <c r="R73" s="186">
        <f ca="1">'GS &gt; 50 OLS Model (LC)'!$B$7*E73</f>
        <v>0</v>
      </c>
      <c r="S73" s="186">
        <f>'GS &gt; 50 OLS Model (LC)'!$B$8*F73</f>
        <v>31197415.999218632</v>
      </c>
      <c r="T73" s="186">
        <v>0</v>
      </c>
      <c r="U73" s="186">
        <f>'GS &gt; 50 OLS Model (LC)'!$B$9*H73</f>
        <v>0</v>
      </c>
      <c r="V73" s="186">
        <f>'GS &gt; 50 OLS Model (LC)'!$B$10*I73</f>
        <v>0</v>
      </c>
      <c r="W73" s="186">
        <f>'GS &gt; 50 OLS Model (LC)'!$B$11*J73</f>
        <v>0</v>
      </c>
      <c r="X73" s="186">
        <f>'GS &gt; 50 OLS Model (LC)'!$B$12*K73</f>
        <v>0</v>
      </c>
      <c r="Y73" s="186">
        <v>0</v>
      </c>
      <c r="Z73" s="186">
        <f>'GS &gt; 50 OLS Model (LC)'!$B$13*M73</f>
        <v>34805943.461156942</v>
      </c>
      <c r="AA73" s="186">
        <f>'GS &gt; 50 OLS Model (LC)'!$B$14*N73</f>
        <v>13601430.342326485</v>
      </c>
      <c r="AB73" s="186">
        <f t="shared" ca="1" si="8"/>
        <v>84457598.046113491</v>
      </c>
    </row>
    <row r="74" spans="1:28">
      <c r="A74" s="128">
        <f>'Monthly Data'!A74</f>
        <v>42005</v>
      </c>
      <c r="B74" s="186">
        <f t="shared" si="7"/>
        <v>2015</v>
      </c>
      <c r="C74" s="124">
        <f ca="1">'Monthly Data'!T74</f>
        <v>90862720.009125739</v>
      </c>
      <c r="D74" s="186">
        <f t="shared" ca="1" si="6"/>
        <v>665.14879699248104</v>
      </c>
      <c r="E74" s="186">
        <f t="shared" ca="1" si="6"/>
        <v>0</v>
      </c>
      <c r="F74" s="186">
        <f>'Monthly Data'!BL74</f>
        <v>618051.4</v>
      </c>
      <c r="G74" s="186">
        <f>'Monthly Data'!BM74</f>
        <v>73</v>
      </c>
      <c r="H74" s="186">
        <f>'Monthly Data'!BQ74</f>
        <v>0</v>
      </c>
      <c r="I74" s="186">
        <f>'Monthly Data'!BS74</f>
        <v>0</v>
      </c>
      <c r="J74" s="186">
        <f>'Monthly Data'!BU74</f>
        <v>0</v>
      </c>
      <c r="K74" s="186">
        <f>'Monthly Data'!BV74</f>
        <v>0</v>
      </c>
      <c r="L74" s="186">
        <f>'Monthly Data'!BW74</f>
        <v>0</v>
      </c>
      <c r="M74" s="186">
        <f>'Monthly Data'!CC74</f>
        <v>31</v>
      </c>
      <c r="N74" s="186">
        <f>'Monthly Data'!CD74</f>
        <v>21</v>
      </c>
      <c r="P74" s="186">
        <f>'GS &gt; 50 OLS Model (LC)'!$B$5</f>
        <v>-8436546.8467997499</v>
      </c>
      <c r="Q74" s="186">
        <f ca="1">'GS &gt; 50 OLS Model (LC)'!$B$6*D74</f>
        <v>16107914.522045333</v>
      </c>
      <c r="R74" s="186">
        <f ca="1">'GS &gt; 50 OLS Model (LC)'!$B$7*E74</f>
        <v>0</v>
      </c>
      <c r="S74" s="186">
        <f>'GS &gt; 50 OLS Model (LC)'!$B$8*F74</f>
        <v>32064213.938787855</v>
      </c>
      <c r="T74" s="186">
        <v>0</v>
      </c>
      <c r="U74" s="186">
        <f>'GS &gt; 50 OLS Model (LC)'!$B$9*H74</f>
        <v>0</v>
      </c>
      <c r="V74" s="186">
        <f>'GS &gt; 50 OLS Model (LC)'!$B$10*I74</f>
        <v>0</v>
      </c>
      <c r="W74" s="186">
        <f>'GS &gt; 50 OLS Model (LC)'!$B$11*J74</f>
        <v>0</v>
      </c>
      <c r="X74" s="186">
        <f>'GS &gt; 50 OLS Model (LC)'!$B$12*K74</f>
        <v>0</v>
      </c>
      <c r="Y74" s="186">
        <v>0</v>
      </c>
      <c r="Z74" s="186">
        <f>'GS &gt; 50 OLS Model (LC)'!$B$13*M74</f>
        <v>34805943.461156942</v>
      </c>
      <c r="AA74" s="186">
        <f>'GS &gt; 50 OLS Model (LC)'!$B$14*N74</f>
        <v>13601430.342326485</v>
      </c>
      <c r="AB74" s="186">
        <f t="shared" ca="1" si="8"/>
        <v>88142955.417516857</v>
      </c>
    </row>
    <row r="75" spans="1:28">
      <c r="A75" s="128">
        <f>'Monthly Data'!A75</f>
        <v>42036</v>
      </c>
      <c r="B75" s="186">
        <f t="shared" si="7"/>
        <v>2015</v>
      </c>
      <c r="C75" s="124">
        <f ca="1">'Monthly Data'!T75</f>
        <v>84772321.173713028</v>
      </c>
      <c r="D75" s="186">
        <f t="shared" ca="1" si="6"/>
        <v>611.17548872180487</v>
      </c>
      <c r="E75" s="186">
        <f t="shared" ca="1" si="6"/>
        <v>0</v>
      </c>
      <c r="F75" s="186">
        <f>'Monthly Data'!BL75</f>
        <v>618051.4</v>
      </c>
      <c r="G75" s="186">
        <f>'Monthly Data'!BM75</f>
        <v>74</v>
      </c>
      <c r="H75" s="186">
        <f>'Monthly Data'!BQ75</f>
        <v>0</v>
      </c>
      <c r="I75" s="186">
        <f>'Monthly Data'!BS75</f>
        <v>0</v>
      </c>
      <c r="J75" s="186">
        <f>'Monthly Data'!BU75</f>
        <v>0</v>
      </c>
      <c r="K75" s="186">
        <f>'Monthly Data'!BV75</f>
        <v>0</v>
      </c>
      <c r="L75" s="186">
        <f>'Monthly Data'!BW75</f>
        <v>0</v>
      </c>
      <c r="M75" s="186">
        <f>'Monthly Data'!CC75</f>
        <v>28</v>
      </c>
      <c r="N75" s="186">
        <f>'Monthly Data'!CD75</f>
        <v>19</v>
      </c>
      <c r="P75" s="186">
        <f>'GS &gt; 50 OLS Model (LC)'!$B$5</f>
        <v>-8436546.8467997499</v>
      </c>
      <c r="Q75" s="186">
        <f ca="1">'GS &gt; 50 OLS Model (LC)'!$B$6*D75</f>
        <v>14800842.420243302</v>
      </c>
      <c r="R75" s="186">
        <f ca="1">'GS &gt; 50 OLS Model (LC)'!$B$7*E75</f>
        <v>0</v>
      </c>
      <c r="S75" s="186">
        <f>'GS &gt; 50 OLS Model (LC)'!$B$8*F75</f>
        <v>32064213.938787855</v>
      </c>
      <c r="T75" s="186">
        <v>0</v>
      </c>
      <c r="U75" s="186">
        <f>'GS &gt; 50 OLS Model (LC)'!$B$9*H75</f>
        <v>0</v>
      </c>
      <c r="V75" s="186">
        <f>'GS &gt; 50 OLS Model (LC)'!$B$10*I75</f>
        <v>0</v>
      </c>
      <c r="W75" s="186">
        <f>'GS &gt; 50 OLS Model (LC)'!$B$11*J75</f>
        <v>0</v>
      </c>
      <c r="X75" s="186">
        <f>'GS &gt; 50 OLS Model (LC)'!$B$12*K75</f>
        <v>0</v>
      </c>
      <c r="Y75" s="186">
        <v>0</v>
      </c>
      <c r="Z75" s="186">
        <f>'GS &gt; 50 OLS Model (LC)'!$B$13*M75</f>
        <v>31437626.35201272</v>
      </c>
      <c r="AA75" s="186">
        <f>'GS &gt; 50 OLS Model (LC)'!$B$14*N75</f>
        <v>12306056.024009675</v>
      </c>
      <c r="AB75" s="186">
        <f t="shared" ca="1" si="8"/>
        <v>82172191.888253808</v>
      </c>
    </row>
    <row r="76" spans="1:28">
      <c r="A76" s="128">
        <f>'Monthly Data'!A76</f>
        <v>42064</v>
      </c>
      <c r="B76" s="186">
        <f t="shared" si="7"/>
        <v>2015</v>
      </c>
      <c r="C76" s="124">
        <f ca="1">'Monthly Data'!T76</f>
        <v>84997101.121091247</v>
      </c>
      <c r="D76" s="186">
        <f t="shared" ca="1" si="6"/>
        <v>458.46436090225569</v>
      </c>
      <c r="E76" s="186">
        <f t="shared" ca="1" si="6"/>
        <v>0.45218045112781802</v>
      </c>
      <c r="F76" s="186">
        <f>'Monthly Data'!BL76</f>
        <v>618051.4</v>
      </c>
      <c r="G76" s="186">
        <f>'Monthly Data'!BM76</f>
        <v>75</v>
      </c>
      <c r="H76" s="186">
        <f>'Monthly Data'!BQ76</f>
        <v>0</v>
      </c>
      <c r="I76" s="186">
        <f>'Monthly Data'!BS76</f>
        <v>0</v>
      </c>
      <c r="J76" s="186">
        <f>'Monthly Data'!BU76</f>
        <v>0</v>
      </c>
      <c r="K76" s="186">
        <f>'Monthly Data'!BV76</f>
        <v>0</v>
      </c>
      <c r="L76" s="186">
        <f>'Monthly Data'!BW76</f>
        <v>0</v>
      </c>
      <c r="M76" s="186">
        <f>'Monthly Data'!CC76</f>
        <v>31</v>
      </c>
      <c r="N76" s="186">
        <f>'Monthly Data'!CD76</f>
        <v>22</v>
      </c>
      <c r="P76" s="186">
        <f>'GS &gt; 50 OLS Model (LC)'!$B$5</f>
        <v>-8436546.8467997499</v>
      </c>
      <c r="Q76" s="186">
        <f ca="1">'GS &gt; 50 OLS Model (LC)'!$B$6*D76</f>
        <v>11102635.636129936</v>
      </c>
      <c r="R76" s="186">
        <f ca="1">'GS &gt; 50 OLS Model (LC)'!$B$7*E76</f>
        <v>32273.422142235275</v>
      </c>
      <c r="S76" s="186">
        <f>'GS &gt; 50 OLS Model (LC)'!$B$8*F76</f>
        <v>32064213.938787855</v>
      </c>
      <c r="T76" s="186">
        <v>0</v>
      </c>
      <c r="U76" s="186">
        <f>'GS &gt; 50 OLS Model (LC)'!$B$9*H76</f>
        <v>0</v>
      </c>
      <c r="V76" s="186">
        <f>'GS &gt; 50 OLS Model (LC)'!$B$10*I76</f>
        <v>0</v>
      </c>
      <c r="W76" s="186">
        <f>'GS &gt; 50 OLS Model (LC)'!$B$11*J76</f>
        <v>0</v>
      </c>
      <c r="X76" s="186">
        <f>'GS &gt; 50 OLS Model (LC)'!$B$12*K76</f>
        <v>0</v>
      </c>
      <c r="Y76" s="186">
        <v>0</v>
      </c>
      <c r="Z76" s="186">
        <f>'GS &gt; 50 OLS Model (LC)'!$B$13*M76</f>
        <v>34805943.461156942</v>
      </c>
      <c r="AA76" s="186">
        <f>'GS &gt; 50 OLS Model (LC)'!$B$14*N76</f>
        <v>14249117.501484888</v>
      </c>
      <c r="AB76" s="186">
        <f t="shared" ca="1" si="8"/>
        <v>83817637.112902105</v>
      </c>
    </row>
    <row r="77" spans="1:28">
      <c r="A77" s="128">
        <f>'Monthly Data'!A77</f>
        <v>42095</v>
      </c>
      <c r="B77" s="186">
        <f t="shared" si="7"/>
        <v>2015</v>
      </c>
      <c r="C77" s="124">
        <f ca="1">'Monthly Data'!T77</f>
        <v>74517514.750061482</v>
      </c>
      <c r="D77" s="186">
        <f t="shared" ca="1" si="6"/>
        <v>254.29052631578941</v>
      </c>
      <c r="E77" s="186">
        <f t="shared" ca="1" si="6"/>
        <v>0.50947368421054762</v>
      </c>
      <c r="F77" s="186">
        <f>'Monthly Data'!BL77</f>
        <v>618051.4</v>
      </c>
      <c r="G77" s="186">
        <f>'Monthly Data'!BM77</f>
        <v>76</v>
      </c>
      <c r="H77" s="186">
        <f>'Monthly Data'!BQ77</f>
        <v>1</v>
      </c>
      <c r="I77" s="186">
        <f>'Monthly Data'!BS77</f>
        <v>0</v>
      </c>
      <c r="J77" s="186">
        <f>'Monthly Data'!BU77</f>
        <v>0</v>
      </c>
      <c r="K77" s="186">
        <f>'Monthly Data'!BV77</f>
        <v>0</v>
      </c>
      <c r="L77" s="186">
        <f>'Monthly Data'!BW77</f>
        <v>0</v>
      </c>
      <c r="M77" s="186">
        <f>'Monthly Data'!CC77</f>
        <v>30</v>
      </c>
      <c r="N77" s="186">
        <f>'Monthly Data'!CD77</f>
        <v>20</v>
      </c>
      <c r="P77" s="186">
        <f>'GS &gt; 50 OLS Model (LC)'!$B$5</f>
        <v>-8436546.8467997499</v>
      </c>
      <c r="Q77" s="186">
        <f ca="1">'GS &gt; 50 OLS Model (LC)'!$B$6*D77</f>
        <v>6158156.0098754233</v>
      </c>
      <c r="R77" s="186">
        <f ca="1">'GS &gt; 50 OLS Model (LC)'!$B$7*E77</f>
        <v>36362.605326869983</v>
      </c>
      <c r="S77" s="186">
        <f>'GS &gt; 50 OLS Model (LC)'!$B$8*F77</f>
        <v>32064213.938787855</v>
      </c>
      <c r="T77" s="186">
        <v>0</v>
      </c>
      <c r="U77" s="186">
        <f>'GS &gt; 50 OLS Model (LC)'!$B$9*H77</f>
        <v>-1670517.9110053701</v>
      </c>
      <c r="V77" s="186">
        <f>'GS &gt; 50 OLS Model (LC)'!$B$10*I77</f>
        <v>0</v>
      </c>
      <c r="W77" s="186">
        <f>'GS &gt; 50 OLS Model (LC)'!$B$11*J77</f>
        <v>0</v>
      </c>
      <c r="X77" s="186">
        <f>'GS &gt; 50 OLS Model (LC)'!$B$12*K77</f>
        <v>0</v>
      </c>
      <c r="Y77" s="186">
        <v>0</v>
      </c>
      <c r="Z77" s="186">
        <f>'GS &gt; 50 OLS Model (LC)'!$B$13*M77</f>
        <v>33683171.091442198</v>
      </c>
      <c r="AA77" s="186">
        <f>'GS &gt; 50 OLS Model (LC)'!$B$14*N77</f>
        <v>12953743.18316808</v>
      </c>
      <c r="AB77" s="186">
        <f t="shared" ca="1" si="8"/>
        <v>74788582.070795313</v>
      </c>
    </row>
    <row r="78" spans="1:28">
      <c r="A78" s="128">
        <f>'Monthly Data'!A78</f>
        <v>42125</v>
      </c>
      <c r="B78" s="186">
        <f t="shared" si="7"/>
        <v>2015</v>
      </c>
      <c r="C78" s="124">
        <f ca="1">'Monthly Data'!T78</f>
        <v>77248422.661444232</v>
      </c>
      <c r="D78" s="186">
        <f t="shared" ref="D78:E93" ca="1" si="9">D66</f>
        <v>102.64150375939857</v>
      </c>
      <c r="E78" s="186">
        <f t="shared" ca="1" si="9"/>
        <v>56.062781954887214</v>
      </c>
      <c r="F78" s="186">
        <f>'Monthly Data'!BL78</f>
        <v>618051.4</v>
      </c>
      <c r="G78" s="186">
        <f>'Monthly Data'!BM78</f>
        <v>77</v>
      </c>
      <c r="H78" s="186">
        <f>'Monthly Data'!BQ78</f>
        <v>0</v>
      </c>
      <c r="I78" s="186">
        <f>'Monthly Data'!BS78</f>
        <v>0</v>
      </c>
      <c r="J78" s="186">
        <f>'Monthly Data'!BU78</f>
        <v>0</v>
      </c>
      <c r="K78" s="186">
        <f>'Monthly Data'!BV78</f>
        <v>0</v>
      </c>
      <c r="L78" s="186">
        <f>'Monthly Data'!BW78</f>
        <v>0</v>
      </c>
      <c r="M78" s="186">
        <f>'Monthly Data'!CC78</f>
        <v>31</v>
      </c>
      <c r="N78" s="186">
        <f>'Monthly Data'!CD78</f>
        <v>20</v>
      </c>
      <c r="P78" s="186">
        <f>'GS &gt; 50 OLS Model (LC)'!$B$5</f>
        <v>-8436546.8467997499</v>
      </c>
      <c r="Q78" s="186">
        <f ca="1">'GS &gt; 50 OLS Model (LC)'!$B$6*D78</f>
        <v>2485670.238668832</v>
      </c>
      <c r="R78" s="186">
        <f ca="1">'GS &gt; 50 OLS Model (LC)'!$B$7*E78</f>
        <v>4001362.3410418485</v>
      </c>
      <c r="S78" s="186">
        <f>'GS &gt; 50 OLS Model (LC)'!$B$8*F78</f>
        <v>32064213.938787855</v>
      </c>
      <c r="T78" s="186">
        <v>0</v>
      </c>
      <c r="U78" s="186">
        <f>'GS &gt; 50 OLS Model (LC)'!$B$9*H78</f>
        <v>0</v>
      </c>
      <c r="V78" s="186">
        <f>'GS &gt; 50 OLS Model (LC)'!$B$10*I78</f>
        <v>0</v>
      </c>
      <c r="W78" s="186">
        <f>'GS &gt; 50 OLS Model (LC)'!$B$11*J78</f>
        <v>0</v>
      </c>
      <c r="X78" s="186">
        <f>'GS &gt; 50 OLS Model (LC)'!$B$12*K78</f>
        <v>0</v>
      </c>
      <c r="Y78" s="186">
        <v>0</v>
      </c>
      <c r="Z78" s="186">
        <f>'GS &gt; 50 OLS Model (LC)'!$B$13*M78</f>
        <v>34805943.461156942</v>
      </c>
      <c r="AA78" s="186">
        <f>'GS &gt; 50 OLS Model (LC)'!$B$14*N78</f>
        <v>12953743.18316808</v>
      </c>
      <c r="AB78" s="186">
        <f t="shared" ca="1" si="8"/>
        <v>77874386.316023812</v>
      </c>
    </row>
    <row r="79" spans="1:28">
      <c r="A79" s="128">
        <f>'Monthly Data'!A79</f>
        <v>42156</v>
      </c>
      <c r="B79" s="186">
        <f t="shared" si="7"/>
        <v>2015</v>
      </c>
      <c r="C79" s="124">
        <f ca="1">'Monthly Data'!T79</f>
        <v>80126569.719912887</v>
      </c>
      <c r="D79" s="186">
        <f t="shared" ca="1" si="9"/>
        <v>0.39669172932326546</v>
      </c>
      <c r="E79" s="186">
        <f t="shared" ca="1" si="9"/>
        <v>116.89315789473682</v>
      </c>
      <c r="F79" s="186">
        <f>'Monthly Data'!BL79</f>
        <v>618051.4</v>
      </c>
      <c r="G79" s="186">
        <f>'Monthly Data'!BM79</f>
        <v>78</v>
      </c>
      <c r="H79" s="186">
        <f>'Monthly Data'!BQ79</f>
        <v>0</v>
      </c>
      <c r="I79" s="186">
        <f>'Monthly Data'!BS79</f>
        <v>1</v>
      </c>
      <c r="J79" s="186">
        <f>'Monthly Data'!BU79</f>
        <v>0</v>
      </c>
      <c r="K79" s="186">
        <f>'Monthly Data'!BV79</f>
        <v>0</v>
      </c>
      <c r="L79" s="186">
        <f>'Monthly Data'!BW79</f>
        <v>0</v>
      </c>
      <c r="M79" s="186">
        <f>'Monthly Data'!CC79</f>
        <v>30</v>
      </c>
      <c r="N79" s="186">
        <f>'Monthly Data'!CD79</f>
        <v>22</v>
      </c>
      <c r="P79" s="186">
        <f>'GS &gt; 50 OLS Model (LC)'!$B$5</f>
        <v>-8436546.8467997499</v>
      </c>
      <c r="Q79" s="186">
        <f ca="1">'GS &gt; 50 OLS Model (LC)'!$B$6*D79</f>
        <v>9606.6872501819107</v>
      </c>
      <c r="R79" s="186">
        <f ca="1">'GS &gt; 50 OLS Model (LC)'!$B$7*E79</f>
        <v>8343001.6066957684</v>
      </c>
      <c r="S79" s="186">
        <f>'GS &gt; 50 OLS Model (LC)'!$B$8*F79</f>
        <v>32064213.938787855</v>
      </c>
      <c r="T79" s="186">
        <v>0</v>
      </c>
      <c r="U79" s="186">
        <f>'GS &gt; 50 OLS Model (LC)'!$B$9*H79</f>
        <v>0</v>
      </c>
      <c r="V79" s="186">
        <f>'GS &gt; 50 OLS Model (LC)'!$B$10*I79</f>
        <v>1260255.0136768401</v>
      </c>
      <c r="W79" s="186">
        <f>'GS &gt; 50 OLS Model (LC)'!$B$11*J79</f>
        <v>0</v>
      </c>
      <c r="X79" s="186">
        <f>'GS &gt; 50 OLS Model (LC)'!$B$12*K79</f>
        <v>0</v>
      </c>
      <c r="Y79" s="186">
        <v>0</v>
      </c>
      <c r="Z79" s="186">
        <f>'GS &gt; 50 OLS Model (LC)'!$B$13*M79</f>
        <v>33683171.091442198</v>
      </c>
      <c r="AA79" s="186">
        <f>'GS &gt; 50 OLS Model (LC)'!$B$14*N79</f>
        <v>14249117.501484888</v>
      </c>
      <c r="AB79" s="186">
        <f t="shared" ca="1" si="8"/>
        <v>81172818.992537975</v>
      </c>
    </row>
    <row r="80" spans="1:28">
      <c r="A80" s="128">
        <f>'Monthly Data'!A80</f>
        <v>42186</v>
      </c>
      <c r="B80" s="186">
        <f t="shared" si="7"/>
        <v>2015</v>
      </c>
      <c r="C80" s="124">
        <f ca="1">'Monthly Data'!T80</f>
        <v>84547068.372462004</v>
      </c>
      <c r="D80" s="186">
        <f t="shared" ca="1" si="9"/>
        <v>0.58105263157894704</v>
      </c>
      <c r="E80" s="186">
        <f t="shared" ca="1" si="9"/>
        <v>186.96526315789481</v>
      </c>
      <c r="F80" s="186">
        <f>'Monthly Data'!BL80</f>
        <v>618051.4</v>
      </c>
      <c r="G80" s="186">
        <f>'Monthly Data'!BM80</f>
        <v>79</v>
      </c>
      <c r="H80" s="186">
        <f>'Monthly Data'!BQ80</f>
        <v>0</v>
      </c>
      <c r="I80" s="186">
        <f>'Monthly Data'!BS80</f>
        <v>0</v>
      </c>
      <c r="J80" s="186">
        <f>'Monthly Data'!BU80</f>
        <v>0</v>
      </c>
      <c r="K80" s="186">
        <f>'Monthly Data'!BV80</f>
        <v>0</v>
      </c>
      <c r="L80" s="186">
        <f>'Monthly Data'!BW80</f>
        <v>0</v>
      </c>
      <c r="M80" s="186">
        <f>'Monthly Data'!CC80</f>
        <v>31</v>
      </c>
      <c r="N80" s="186">
        <f>'Monthly Data'!CD80</f>
        <v>22</v>
      </c>
      <c r="P80" s="186">
        <f>'GS &gt; 50 OLS Model (LC)'!$B$5</f>
        <v>-8436546.8467997499</v>
      </c>
      <c r="Q80" s="186">
        <f ca="1">'GS &gt; 50 OLS Model (LC)'!$B$6*D80</f>
        <v>14071.356912322552</v>
      </c>
      <c r="R80" s="186">
        <f ca="1">'GS &gt; 50 OLS Model (LC)'!$B$7*E80</f>
        <v>13344249.732112395</v>
      </c>
      <c r="S80" s="186">
        <f>'GS &gt; 50 OLS Model (LC)'!$B$8*F80</f>
        <v>32064213.938787855</v>
      </c>
      <c r="T80" s="186">
        <v>0</v>
      </c>
      <c r="U80" s="186">
        <f>'GS &gt; 50 OLS Model (LC)'!$B$9*H80</f>
        <v>0</v>
      </c>
      <c r="V80" s="186">
        <f>'GS &gt; 50 OLS Model (LC)'!$B$10*I80</f>
        <v>0</v>
      </c>
      <c r="W80" s="186">
        <f>'GS &gt; 50 OLS Model (LC)'!$B$11*J80</f>
        <v>0</v>
      </c>
      <c r="X80" s="186">
        <f>'GS &gt; 50 OLS Model (LC)'!$B$12*K80</f>
        <v>0</v>
      </c>
      <c r="Y80" s="186">
        <v>0</v>
      </c>
      <c r="Z80" s="186">
        <f>'GS &gt; 50 OLS Model (LC)'!$B$13*M80</f>
        <v>34805943.461156942</v>
      </c>
      <c r="AA80" s="186">
        <f>'GS &gt; 50 OLS Model (LC)'!$B$14*N80</f>
        <v>14249117.501484888</v>
      </c>
      <c r="AB80" s="186">
        <f t="shared" ca="1" si="8"/>
        <v>86041049.143654659</v>
      </c>
    </row>
    <row r="81" spans="1:28">
      <c r="A81" s="128">
        <f>'Monthly Data'!A81</f>
        <v>42217</v>
      </c>
      <c r="B81" s="186">
        <f t="shared" si="7"/>
        <v>2015</v>
      </c>
      <c r="C81" s="124">
        <f ca="1">'Monthly Data'!T81</f>
        <v>85635461.672809049</v>
      </c>
      <c r="D81" s="186">
        <f t="shared" ca="1" si="9"/>
        <v>1.6660902255639058</v>
      </c>
      <c r="E81" s="186">
        <f t="shared" ca="1" si="9"/>
        <v>167.43443609022574</v>
      </c>
      <c r="F81" s="186">
        <f>'Monthly Data'!BL81</f>
        <v>618051.4</v>
      </c>
      <c r="G81" s="186">
        <f>'Monthly Data'!BM81</f>
        <v>80</v>
      </c>
      <c r="H81" s="186">
        <f>'Monthly Data'!BQ81</f>
        <v>0</v>
      </c>
      <c r="I81" s="186">
        <f>'Monthly Data'!BS81</f>
        <v>0</v>
      </c>
      <c r="J81" s="186">
        <f>'Monthly Data'!BU81</f>
        <v>1</v>
      </c>
      <c r="K81" s="186">
        <f>'Monthly Data'!BV81</f>
        <v>0</v>
      </c>
      <c r="L81" s="186">
        <f>'Monthly Data'!BW81</f>
        <v>0</v>
      </c>
      <c r="M81" s="186">
        <f>'Monthly Data'!CC81</f>
        <v>31</v>
      </c>
      <c r="N81" s="186">
        <f>'Monthly Data'!CD81</f>
        <v>20</v>
      </c>
      <c r="P81" s="186">
        <f>'GS &gt; 50 OLS Model (LC)'!$B$5</f>
        <v>-8436546.8467997499</v>
      </c>
      <c r="Q81" s="186">
        <f ca="1">'GS &gt; 50 OLS Model (LC)'!$B$6*D81</f>
        <v>40347.722285216725</v>
      </c>
      <c r="R81" s="186">
        <f ca="1">'GS &gt; 50 OLS Model (LC)'!$B$7*E81</f>
        <v>11950278.30948735</v>
      </c>
      <c r="S81" s="186">
        <f>'GS &gt; 50 OLS Model (LC)'!$B$8*F81</f>
        <v>32064213.938787855</v>
      </c>
      <c r="T81" s="186">
        <v>0</v>
      </c>
      <c r="U81" s="186">
        <f>'GS &gt; 50 OLS Model (LC)'!$B$9*H81</f>
        <v>0</v>
      </c>
      <c r="V81" s="186">
        <f>'GS &gt; 50 OLS Model (LC)'!$B$10*I81</f>
        <v>0</v>
      </c>
      <c r="W81" s="186">
        <f>'GS &gt; 50 OLS Model (LC)'!$B$11*J81</f>
        <v>2501012.7689915099</v>
      </c>
      <c r="X81" s="186">
        <f>'GS &gt; 50 OLS Model (LC)'!$B$12*K81</f>
        <v>0</v>
      </c>
      <c r="Y81" s="186">
        <v>0</v>
      </c>
      <c r="Z81" s="186">
        <f>'GS &gt; 50 OLS Model (LC)'!$B$13*M81</f>
        <v>34805943.461156942</v>
      </c>
      <c r="AA81" s="186">
        <f>'GS &gt; 50 OLS Model (LC)'!$B$14*N81</f>
        <v>12953743.18316808</v>
      </c>
      <c r="AB81" s="186">
        <f t="shared" ca="1" si="8"/>
        <v>85878992.537077203</v>
      </c>
    </row>
    <row r="82" spans="1:28">
      <c r="A82" s="128">
        <f>'Monthly Data'!A82</f>
        <v>42248</v>
      </c>
      <c r="B82" s="186">
        <f t="shared" si="7"/>
        <v>2015</v>
      </c>
      <c r="C82" s="124">
        <f ca="1">'Monthly Data'!T82</f>
        <v>81535891.399642572</v>
      </c>
      <c r="D82" s="186">
        <f t="shared" ca="1" si="9"/>
        <v>30.410827067669118</v>
      </c>
      <c r="E82" s="186">
        <f t="shared" ca="1" si="9"/>
        <v>83.003533834586506</v>
      </c>
      <c r="F82" s="186">
        <f>'Monthly Data'!BL82</f>
        <v>618051.4</v>
      </c>
      <c r="G82" s="186">
        <f>'Monthly Data'!BM82</f>
        <v>81</v>
      </c>
      <c r="H82" s="186">
        <f>'Monthly Data'!BQ82</f>
        <v>0</v>
      </c>
      <c r="I82" s="186">
        <f>'Monthly Data'!BS82</f>
        <v>0</v>
      </c>
      <c r="J82" s="186">
        <f>'Monthly Data'!BU82</f>
        <v>0</v>
      </c>
      <c r="K82" s="186">
        <f>'Monthly Data'!BV82</f>
        <v>1</v>
      </c>
      <c r="L82" s="186">
        <f>'Monthly Data'!BW82</f>
        <v>0</v>
      </c>
      <c r="M82" s="186">
        <f>'Monthly Data'!CC82</f>
        <v>30</v>
      </c>
      <c r="N82" s="186">
        <f>'Monthly Data'!CD82</f>
        <v>21</v>
      </c>
      <c r="P82" s="186">
        <f>'GS &gt; 50 OLS Model (LC)'!$B$5</f>
        <v>-8436546.8467997499</v>
      </c>
      <c r="Q82" s="186">
        <f ca="1">'GS &gt; 50 OLS Model (LC)'!$B$6*D82</f>
        <v>736459.27823312907</v>
      </c>
      <c r="R82" s="186">
        <f ca="1">'GS &gt; 50 OLS Model (LC)'!$B$7*E82</f>
        <v>5924201.4555461155</v>
      </c>
      <c r="S82" s="186">
        <f>'GS &gt; 50 OLS Model (LC)'!$B$8*F82</f>
        <v>32064213.938787855</v>
      </c>
      <c r="T82" s="186">
        <v>0</v>
      </c>
      <c r="U82" s="186">
        <f>'GS &gt; 50 OLS Model (LC)'!$B$9*H82</f>
        <v>0</v>
      </c>
      <c r="V82" s="186">
        <f>'GS &gt; 50 OLS Model (LC)'!$B$10*I82</f>
        <v>0</v>
      </c>
      <c r="W82" s="186">
        <f>'GS &gt; 50 OLS Model (LC)'!$B$11*J82</f>
        <v>0</v>
      </c>
      <c r="X82" s="186">
        <f>'GS &gt; 50 OLS Model (LC)'!$B$12*K82</f>
        <v>2346294.5864150901</v>
      </c>
      <c r="Y82" s="186">
        <v>0</v>
      </c>
      <c r="Z82" s="186">
        <f>'GS &gt; 50 OLS Model (LC)'!$B$13*M82</f>
        <v>33683171.091442198</v>
      </c>
      <c r="AA82" s="186">
        <f>'GS &gt; 50 OLS Model (LC)'!$B$14*N82</f>
        <v>13601430.342326485</v>
      </c>
      <c r="AB82" s="186">
        <f t="shared" ca="1" si="8"/>
        <v>79919223.84595111</v>
      </c>
    </row>
    <row r="83" spans="1:28">
      <c r="A83" s="128">
        <f>'Monthly Data'!A83</f>
        <v>42278</v>
      </c>
      <c r="B83" s="186">
        <f t="shared" si="7"/>
        <v>2015</v>
      </c>
      <c r="C83" s="124">
        <f ca="1">'Monthly Data'!T83</f>
        <v>77401672.199904114</v>
      </c>
      <c r="D83" s="186">
        <f t="shared" ca="1" si="9"/>
        <v>158.93676691729343</v>
      </c>
      <c r="E83" s="186">
        <f t="shared" ca="1" si="9"/>
        <v>16.916090225563948</v>
      </c>
      <c r="F83" s="186">
        <f>'Monthly Data'!BL83</f>
        <v>618051.4</v>
      </c>
      <c r="G83" s="186">
        <f>'Monthly Data'!BM83</f>
        <v>82</v>
      </c>
      <c r="H83" s="186">
        <f>'Monthly Data'!BQ83</f>
        <v>0</v>
      </c>
      <c r="I83" s="186">
        <f>'Monthly Data'!BS83</f>
        <v>0</v>
      </c>
      <c r="J83" s="186">
        <f>'Monthly Data'!BU83</f>
        <v>0</v>
      </c>
      <c r="K83" s="186">
        <f>'Monthly Data'!BV83</f>
        <v>0</v>
      </c>
      <c r="L83" s="186">
        <f>'Monthly Data'!BW83</f>
        <v>1</v>
      </c>
      <c r="M83" s="186">
        <f>'Monthly Data'!CC83</f>
        <v>31</v>
      </c>
      <c r="N83" s="186">
        <f>'Monthly Data'!CD83</f>
        <v>21</v>
      </c>
      <c r="P83" s="186">
        <f>'GS &gt; 50 OLS Model (LC)'!$B$5</f>
        <v>-8436546.8467997499</v>
      </c>
      <c r="Q83" s="186">
        <f ca="1">'GS &gt; 50 OLS Model (LC)'!$B$6*D83</f>
        <v>3848973.1432874338</v>
      </c>
      <c r="R83" s="186">
        <f ca="1">'GS &gt; 50 OLS Model (LC)'!$B$7*E83</f>
        <v>1207350.1176003828</v>
      </c>
      <c r="S83" s="186">
        <f>'GS &gt; 50 OLS Model (LC)'!$B$8*F83</f>
        <v>32064213.938787855</v>
      </c>
      <c r="T83" s="186">
        <v>0</v>
      </c>
      <c r="U83" s="186">
        <f>'GS &gt; 50 OLS Model (LC)'!$B$9*H83</f>
        <v>0</v>
      </c>
      <c r="V83" s="186">
        <f>'GS &gt; 50 OLS Model (LC)'!$B$10*I83</f>
        <v>0</v>
      </c>
      <c r="W83" s="186">
        <f>'GS &gt; 50 OLS Model (LC)'!$B$11*J83</f>
        <v>0</v>
      </c>
      <c r="X83" s="186">
        <f>'GS &gt; 50 OLS Model (LC)'!$B$12*K83</f>
        <v>0</v>
      </c>
      <c r="Y83" s="186">
        <v>0</v>
      </c>
      <c r="Z83" s="186">
        <f>'GS &gt; 50 OLS Model (LC)'!$B$13*M83</f>
        <v>34805943.461156942</v>
      </c>
      <c r="AA83" s="186">
        <f>'GS &gt; 50 OLS Model (LC)'!$B$14*N83</f>
        <v>13601430.342326485</v>
      </c>
      <c r="AB83" s="186">
        <f t="shared" ca="1" si="8"/>
        <v>77091364.156359345</v>
      </c>
    </row>
    <row r="84" spans="1:28">
      <c r="A84" s="128">
        <f>'Monthly Data'!A84</f>
        <v>42309</v>
      </c>
      <c r="B84" s="186">
        <f t="shared" si="7"/>
        <v>2015</v>
      </c>
      <c r="C84" s="124">
        <f ca="1">'Monthly Data'!T84</f>
        <v>77630447.981231928</v>
      </c>
      <c r="D84" s="186">
        <f t="shared" ca="1" si="9"/>
        <v>375.92533834586447</v>
      </c>
      <c r="E84" s="186">
        <f t="shared" ca="1" si="9"/>
        <v>8.120300751879661E-2</v>
      </c>
      <c r="F84" s="186">
        <f>'Monthly Data'!BL84</f>
        <v>618051.4</v>
      </c>
      <c r="G84" s="186">
        <f>'Monthly Data'!BM84</f>
        <v>83</v>
      </c>
      <c r="H84" s="186">
        <f>'Monthly Data'!BQ84</f>
        <v>0</v>
      </c>
      <c r="I84" s="186">
        <f>'Monthly Data'!BS84</f>
        <v>0</v>
      </c>
      <c r="J84" s="186">
        <f>'Monthly Data'!BU84</f>
        <v>0</v>
      </c>
      <c r="K84" s="186">
        <f>'Monthly Data'!BV84</f>
        <v>0</v>
      </c>
      <c r="L84" s="186">
        <f>'Monthly Data'!BW84</f>
        <v>0</v>
      </c>
      <c r="M84" s="186">
        <f>'Monthly Data'!CC84</f>
        <v>30</v>
      </c>
      <c r="N84" s="186">
        <f>'Monthly Data'!CD84</f>
        <v>21</v>
      </c>
      <c r="P84" s="186">
        <f>'GS &gt; 50 OLS Model (LC)'!$B$5</f>
        <v>-8436546.8467997499</v>
      </c>
      <c r="Q84" s="186">
        <f ca="1">'GS &gt; 50 OLS Model (LC)'!$B$6*D84</f>
        <v>9103787.36927131</v>
      </c>
      <c r="R84" s="186">
        <f ca="1">'GS &gt; 50 OLS Model (LC)'!$B$7*E84</f>
        <v>5795.6927026295389</v>
      </c>
      <c r="S84" s="186">
        <f>'GS &gt; 50 OLS Model (LC)'!$B$8*F84</f>
        <v>32064213.938787855</v>
      </c>
      <c r="T84" s="186">
        <v>0</v>
      </c>
      <c r="U84" s="186">
        <f>'GS &gt; 50 OLS Model (LC)'!$B$9*H84</f>
        <v>0</v>
      </c>
      <c r="V84" s="186">
        <f>'GS &gt; 50 OLS Model (LC)'!$B$10*I84</f>
        <v>0</v>
      </c>
      <c r="W84" s="186">
        <f>'GS &gt; 50 OLS Model (LC)'!$B$11*J84</f>
        <v>0</v>
      </c>
      <c r="X84" s="186">
        <f>'GS &gt; 50 OLS Model (LC)'!$B$12*K84</f>
        <v>0</v>
      </c>
      <c r="Y84" s="186">
        <v>0</v>
      </c>
      <c r="Z84" s="186">
        <f>'GS &gt; 50 OLS Model (LC)'!$B$13*M84</f>
        <v>33683171.091442198</v>
      </c>
      <c r="AA84" s="186">
        <f>'GS &gt; 50 OLS Model (LC)'!$B$14*N84</f>
        <v>13601430.342326485</v>
      </c>
      <c r="AB84" s="186">
        <f t="shared" ca="1" si="8"/>
        <v>80021851.587730736</v>
      </c>
    </row>
    <row r="85" spans="1:28">
      <c r="A85" s="128">
        <f>'Monthly Data'!A85</f>
        <v>42339</v>
      </c>
      <c r="B85" s="186">
        <f t="shared" si="7"/>
        <v>2015</v>
      </c>
      <c r="C85" s="124">
        <f ca="1">'Monthly Data'!T85</f>
        <v>79549095.483397886</v>
      </c>
      <c r="D85" s="186">
        <f t="shared" ca="1" si="9"/>
        <v>548.76120300751859</v>
      </c>
      <c r="E85" s="186">
        <f t="shared" ca="1" si="9"/>
        <v>0</v>
      </c>
      <c r="F85" s="186">
        <f>'Monthly Data'!BL85</f>
        <v>618051.4</v>
      </c>
      <c r="G85" s="186">
        <f>'Monthly Data'!BM85</f>
        <v>84</v>
      </c>
      <c r="H85" s="186">
        <f>'Monthly Data'!BQ85</f>
        <v>0</v>
      </c>
      <c r="I85" s="186">
        <f>'Monthly Data'!BS85</f>
        <v>0</v>
      </c>
      <c r="J85" s="186">
        <f>'Monthly Data'!BU85</f>
        <v>0</v>
      </c>
      <c r="K85" s="186">
        <f>'Monthly Data'!BV85</f>
        <v>0</v>
      </c>
      <c r="L85" s="186">
        <f>'Monthly Data'!BW85</f>
        <v>0</v>
      </c>
      <c r="M85" s="186">
        <f>'Monthly Data'!CC85</f>
        <v>31</v>
      </c>
      <c r="N85" s="186">
        <f>'Monthly Data'!CD85</f>
        <v>21</v>
      </c>
      <c r="P85" s="186">
        <f>'GS &gt; 50 OLS Model (LC)'!$B$5</f>
        <v>-8436546.8467997499</v>
      </c>
      <c r="Q85" s="186">
        <f ca="1">'GS &gt; 50 OLS Model (LC)'!$B$6*D85</f>
        <v>13289355.090211187</v>
      </c>
      <c r="R85" s="186">
        <f ca="1">'GS &gt; 50 OLS Model (LC)'!$B$7*E85</f>
        <v>0</v>
      </c>
      <c r="S85" s="186">
        <f>'GS &gt; 50 OLS Model (LC)'!$B$8*F85</f>
        <v>32064213.938787855</v>
      </c>
      <c r="T85" s="186">
        <v>0</v>
      </c>
      <c r="U85" s="186">
        <f>'GS &gt; 50 OLS Model (LC)'!$B$9*H85</f>
        <v>0</v>
      </c>
      <c r="V85" s="186">
        <f>'GS &gt; 50 OLS Model (LC)'!$B$10*I85</f>
        <v>0</v>
      </c>
      <c r="W85" s="186">
        <f>'GS &gt; 50 OLS Model (LC)'!$B$11*J85</f>
        <v>0</v>
      </c>
      <c r="X85" s="186">
        <f>'GS &gt; 50 OLS Model (LC)'!$B$12*K85</f>
        <v>0</v>
      </c>
      <c r="Y85" s="186">
        <v>0</v>
      </c>
      <c r="Z85" s="186">
        <f>'GS &gt; 50 OLS Model (LC)'!$B$13*M85</f>
        <v>34805943.461156942</v>
      </c>
      <c r="AA85" s="186">
        <f>'GS &gt; 50 OLS Model (LC)'!$B$14*N85</f>
        <v>13601430.342326485</v>
      </c>
      <c r="AB85" s="186">
        <f t="shared" ca="1" si="8"/>
        <v>85324395.985682726</v>
      </c>
    </row>
    <row r="86" spans="1:28">
      <c r="A86" s="128">
        <f>'Monthly Data'!A86</f>
        <v>42370</v>
      </c>
      <c r="B86" s="186">
        <f t="shared" si="7"/>
        <v>2016</v>
      </c>
      <c r="C86" s="124">
        <f ca="1">'Monthly Data'!T86</f>
        <v>87169946.03208454</v>
      </c>
      <c r="D86" s="186">
        <f t="shared" ca="1" si="9"/>
        <v>665.14879699248104</v>
      </c>
      <c r="E86" s="186">
        <f t="shared" ca="1" si="9"/>
        <v>0</v>
      </c>
      <c r="F86" s="186">
        <f>'Monthly Data'!BL86</f>
        <v>634257.80000000005</v>
      </c>
      <c r="G86" s="186">
        <f>'Monthly Data'!BM86</f>
        <v>85</v>
      </c>
      <c r="H86" s="186">
        <f>'Monthly Data'!BQ86</f>
        <v>0</v>
      </c>
      <c r="I86" s="186">
        <f>'Monthly Data'!BS86</f>
        <v>0</v>
      </c>
      <c r="J86" s="186">
        <f>'Monthly Data'!BU86</f>
        <v>0</v>
      </c>
      <c r="K86" s="186">
        <f>'Monthly Data'!BV86</f>
        <v>0</v>
      </c>
      <c r="L86" s="186">
        <f>'Monthly Data'!BW86</f>
        <v>0</v>
      </c>
      <c r="M86" s="186">
        <f>'Monthly Data'!CC86</f>
        <v>31</v>
      </c>
      <c r="N86" s="186">
        <f>'Monthly Data'!CD86</f>
        <v>20</v>
      </c>
      <c r="P86" s="186">
        <f>'GS &gt; 50 OLS Model (LC)'!$B$5</f>
        <v>-8436546.8467997499</v>
      </c>
      <c r="Q86" s="186">
        <f ca="1">'GS &gt; 50 OLS Model (LC)'!$B$6*D86</f>
        <v>16107914.522045333</v>
      </c>
      <c r="R86" s="186">
        <f ca="1">'GS &gt; 50 OLS Model (LC)'!$B$7*E86</f>
        <v>0</v>
      </c>
      <c r="S86" s="186">
        <f>'GS &gt; 50 OLS Model (LC)'!$B$8*F86</f>
        <v>32904994.29585455</v>
      </c>
      <c r="T86" s="186">
        <v>0</v>
      </c>
      <c r="U86" s="186">
        <f>'GS &gt; 50 OLS Model (LC)'!$B$9*H86</f>
        <v>0</v>
      </c>
      <c r="V86" s="186">
        <f>'GS &gt; 50 OLS Model (LC)'!$B$10*I86</f>
        <v>0</v>
      </c>
      <c r="W86" s="186">
        <f>'GS &gt; 50 OLS Model (LC)'!$B$11*J86</f>
        <v>0</v>
      </c>
      <c r="X86" s="186">
        <f>'GS &gt; 50 OLS Model (LC)'!$B$12*K86</f>
        <v>0</v>
      </c>
      <c r="Y86" s="186">
        <v>0</v>
      </c>
      <c r="Z86" s="186">
        <f>'GS &gt; 50 OLS Model (LC)'!$B$13*M86</f>
        <v>34805943.461156942</v>
      </c>
      <c r="AA86" s="186">
        <f>'GS &gt; 50 OLS Model (LC)'!$B$14*N86</f>
        <v>12953743.18316808</v>
      </c>
      <c r="AB86" s="186">
        <f t="shared" ca="1" si="8"/>
        <v>88336048.615425169</v>
      </c>
    </row>
    <row r="87" spans="1:28">
      <c r="A87" s="128">
        <f>'Monthly Data'!A87</f>
        <v>42401</v>
      </c>
      <c r="B87" s="186">
        <f t="shared" si="7"/>
        <v>2016</v>
      </c>
      <c r="C87" s="124">
        <f ca="1">'Monthly Data'!T87</f>
        <v>82995259.984632462</v>
      </c>
      <c r="D87" s="186">
        <f t="shared" ca="1" si="9"/>
        <v>611.17548872180487</v>
      </c>
      <c r="E87" s="186">
        <f t="shared" ca="1" si="9"/>
        <v>0</v>
      </c>
      <c r="F87" s="186">
        <f>'Monthly Data'!BL87</f>
        <v>634257.80000000005</v>
      </c>
      <c r="G87" s="186">
        <f>'Monthly Data'!BM87</f>
        <v>86</v>
      </c>
      <c r="H87" s="186">
        <f>'Monthly Data'!BQ87</f>
        <v>0</v>
      </c>
      <c r="I87" s="186">
        <f>'Monthly Data'!BS87</f>
        <v>0</v>
      </c>
      <c r="J87" s="186">
        <f>'Monthly Data'!BU87</f>
        <v>0</v>
      </c>
      <c r="K87" s="186">
        <f>'Monthly Data'!BV87</f>
        <v>0</v>
      </c>
      <c r="L87" s="186">
        <f>'Monthly Data'!BW87</f>
        <v>0</v>
      </c>
      <c r="M87" s="186">
        <f>'Monthly Data'!CC87</f>
        <v>29</v>
      </c>
      <c r="N87" s="186">
        <f>'Monthly Data'!CD87</f>
        <v>20</v>
      </c>
      <c r="P87" s="186">
        <f>'GS &gt; 50 OLS Model (LC)'!$B$5</f>
        <v>-8436546.8467997499</v>
      </c>
      <c r="Q87" s="186">
        <f ca="1">'GS &gt; 50 OLS Model (LC)'!$B$6*D87</f>
        <v>14800842.420243302</v>
      </c>
      <c r="R87" s="186">
        <f ca="1">'GS &gt; 50 OLS Model (LC)'!$B$7*E87</f>
        <v>0</v>
      </c>
      <c r="S87" s="186">
        <f>'GS &gt; 50 OLS Model (LC)'!$B$8*F87</f>
        <v>32904994.29585455</v>
      </c>
      <c r="T87" s="186">
        <v>0</v>
      </c>
      <c r="U87" s="186">
        <f>'GS &gt; 50 OLS Model (LC)'!$B$9*H87</f>
        <v>0</v>
      </c>
      <c r="V87" s="186">
        <f>'GS &gt; 50 OLS Model (LC)'!$B$10*I87</f>
        <v>0</v>
      </c>
      <c r="W87" s="186">
        <f>'GS &gt; 50 OLS Model (LC)'!$B$11*J87</f>
        <v>0</v>
      </c>
      <c r="X87" s="186">
        <f>'GS &gt; 50 OLS Model (LC)'!$B$12*K87</f>
        <v>0</v>
      </c>
      <c r="Y87" s="186">
        <v>0</v>
      </c>
      <c r="Z87" s="186">
        <f>'GS &gt; 50 OLS Model (LC)'!$B$13*M87</f>
        <v>32560398.721727461</v>
      </c>
      <c r="AA87" s="186">
        <f>'GS &gt; 50 OLS Model (LC)'!$B$14*N87</f>
        <v>12953743.18316808</v>
      </c>
      <c r="AB87" s="186">
        <f t="shared" ca="1" si="8"/>
        <v>84783431.774193645</v>
      </c>
    </row>
    <row r="88" spans="1:28">
      <c r="A88" s="128">
        <f>'Monthly Data'!A88</f>
        <v>42430</v>
      </c>
      <c r="B88" s="186">
        <f t="shared" si="7"/>
        <v>2016</v>
      </c>
      <c r="C88" s="124">
        <f ca="1">'Monthly Data'!T88</f>
        <v>82448056.619322732</v>
      </c>
      <c r="D88" s="186">
        <f t="shared" ca="1" si="9"/>
        <v>458.46436090225569</v>
      </c>
      <c r="E88" s="186">
        <f t="shared" ca="1" si="9"/>
        <v>0.45218045112781802</v>
      </c>
      <c r="F88" s="186">
        <f>'Monthly Data'!BL88</f>
        <v>634257.80000000005</v>
      </c>
      <c r="G88" s="186">
        <f>'Monthly Data'!BM88</f>
        <v>87</v>
      </c>
      <c r="H88" s="186">
        <f>'Monthly Data'!BQ88</f>
        <v>0</v>
      </c>
      <c r="I88" s="186">
        <f>'Monthly Data'!BS88</f>
        <v>0</v>
      </c>
      <c r="J88" s="186">
        <f>'Monthly Data'!BU88</f>
        <v>0</v>
      </c>
      <c r="K88" s="186">
        <f>'Monthly Data'!BV88</f>
        <v>0</v>
      </c>
      <c r="L88" s="186">
        <f>'Monthly Data'!BW88</f>
        <v>0</v>
      </c>
      <c r="M88" s="186">
        <f>'Monthly Data'!CC88</f>
        <v>31</v>
      </c>
      <c r="N88" s="186">
        <f>'Monthly Data'!CD88</f>
        <v>21</v>
      </c>
      <c r="P88" s="186">
        <f>'GS &gt; 50 OLS Model (LC)'!$B$5</f>
        <v>-8436546.8467997499</v>
      </c>
      <c r="Q88" s="186">
        <f ca="1">'GS &gt; 50 OLS Model (LC)'!$B$6*D88</f>
        <v>11102635.636129936</v>
      </c>
      <c r="R88" s="186">
        <f ca="1">'GS &gt; 50 OLS Model (LC)'!$B$7*E88</f>
        <v>32273.422142235275</v>
      </c>
      <c r="S88" s="186">
        <f>'GS &gt; 50 OLS Model (LC)'!$B$8*F88</f>
        <v>32904994.29585455</v>
      </c>
      <c r="T88" s="186">
        <v>0</v>
      </c>
      <c r="U88" s="186">
        <f>'GS &gt; 50 OLS Model (LC)'!$B$9*H88</f>
        <v>0</v>
      </c>
      <c r="V88" s="186">
        <f>'GS &gt; 50 OLS Model (LC)'!$B$10*I88</f>
        <v>0</v>
      </c>
      <c r="W88" s="186">
        <f>'GS &gt; 50 OLS Model (LC)'!$B$11*J88</f>
        <v>0</v>
      </c>
      <c r="X88" s="186">
        <f>'GS &gt; 50 OLS Model (LC)'!$B$12*K88</f>
        <v>0</v>
      </c>
      <c r="Y88" s="186">
        <v>0</v>
      </c>
      <c r="Z88" s="186">
        <f>'GS &gt; 50 OLS Model (LC)'!$B$13*M88</f>
        <v>34805943.461156942</v>
      </c>
      <c r="AA88" s="186">
        <f>'GS &gt; 50 OLS Model (LC)'!$B$14*N88</f>
        <v>13601430.342326485</v>
      </c>
      <c r="AB88" s="186">
        <f t="shared" ca="1" si="8"/>
        <v>84010730.310810387</v>
      </c>
    </row>
    <row r="89" spans="1:28">
      <c r="A89" s="128">
        <f>'Monthly Data'!A89</f>
        <v>42461</v>
      </c>
      <c r="B89" s="186">
        <f t="shared" si="7"/>
        <v>2016</v>
      </c>
      <c r="C89" s="124">
        <f ca="1">'Monthly Data'!T89</f>
        <v>76779556.596543834</v>
      </c>
      <c r="D89" s="186">
        <f t="shared" ca="1" si="9"/>
        <v>254.29052631578941</v>
      </c>
      <c r="E89" s="186">
        <f t="shared" ca="1" si="9"/>
        <v>0.50947368421054762</v>
      </c>
      <c r="F89" s="186">
        <f>'Monthly Data'!BL89</f>
        <v>634257.80000000005</v>
      </c>
      <c r="G89" s="186">
        <f>'Monthly Data'!BM89</f>
        <v>88</v>
      </c>
      <c r="H89" s="186">
        <f>'Monthly Data'!BQ89</f>
        <v>1</v>
      </c>
      <c r="I89" s="186">
        <f>'Monthly Data'!BS89</f>
        <v>0</v>
      </c>
      <c r="J89" s="186">
        <f>'Monthly Data'!BU89</f>
        <v>0</v>
      </c>
      <c r="K89" s="186">
        <f>'Monthly Data'!BV89</f>
        <v>0</v>
      </c>
      <c r="L89" s="186">
        <f>'Monthly Data'!BW89</f>
        <v>0</v>
      </c>
      <c r="M89" s="186">
        <f>'Monthly Data'!CC89</f>
        <v>30</v>
      </c>
      <c r="N89" s="186">
        <f>'Monthly Data'!CD89</f>
        <v>21</v>
      </c>
      <c r="P89" s="186">
        <f>'GS &gt; 50 OLS Model (LC)'!$B$5</f>
        <v>-8436546.8467997499</v>
      </c>
      <c r="Q89" s="186">
        <f ca="1">'GS &gt; 50 OLS Model (LC)'!$B$6*D89</f>
        <v>6158156.0098754233</v>
      </c>
      <c r="R89" s="186">
        <f ca="1">'GS &gt; 50 OLS Model (LC)'!$B$7*E89</f>
        <v>36362.605326869983</v>
      </c>
      <c r="S89" s="186">
        <f>'GS &gt; 50 OLS Model (LC)'!$B$8*F89</f>
        <v>32904994.29585455</v>
      </c>
      <c r="T89" s="186">
        <v>0</v>
      </c>
      <c r="U89" s="186">
        <f>'GS &gt; 50 OLS Model (LC)'!$B$9*H89</f>
        <v>-1670517.9110053701</v>
      </c>
      <c r="V89" s="186">
        <f>'GS &gt; 50 OLS Model (LC)'!$B$10*I89</f>
        <v>0</v>
      </c>
      <c r="W89" s="186">
        <f>'GS &gt; 50 OLS Model (LC)'!$B$11*J89</f>
        <v>0</v>
      </c>
      <c r="X89" s="186">
        <f>'GS &gt; 50 OLS Model (LC)'!$B$12*K89</f>
        <v>0</v>
      </c>
      <c r="Y89" s="186">
        <v>0</v>
      </c>
      <c r="Z89" s="186">
        <f>'GS &gt; 50 OLS Model (LC)'!$B$13*M89</f>
        <v>33683171.091442198</v>
      </c>
      <c r="AA89" s="186">
        <f>'GS &gt; 50 OLS Model (LC)'!$B$14*N89</f>
        <v>13601430.342326485</v>
      </c>
      <c r="AB89" s="186">
        <f t="shared" ca="1" si="8"/>
        <v>76277049.587020397</v>
      </c>
    </row>
    <row r="90" spans="1:28">
      <c r="A90" s="128">
        <f>'Monthly Data'!A90</f>
        <v>42491</v>
      </c>
      <c r="B90" s="186">
        <f t="shared" si="7"/>
        <v>2016</v>
      </c>
      <c r="C90" s="124">
        <f ca="1">'Monthly Data'!T90</f>
        <v>79686689.360070512</v>
      </c>
      <c r="D90" s="186">
        <f t="shared" ca="1" si="9"/>
        <v>102.64150375939857</v>
      </c>
      <c r="E90" s="186">
        <f t="shared" ca="1" si="9"/>
        <v>56.062781954887214</v>
      </c>
      <c r="F90" s="186">
        <f>'Monthly Data'!BL90</f>
        <v>634257.80000000005</v>
      </c>
      <c r="G90" s="186">
        <f>'Monthly Data'!BM90</f>
        <v>89</v>
      </c>
      <c r="H90" s="186">
        <f>'Monthly Data'!BQ90</f>
        <v>0</v>
      </c>
      <c r="I90" s="186">
        <f>'Monthly Data'!BS90</f>
        <v>0</v>
      </c>
      <c r="J90" s="186">
        <f>'Monthly Data'!BU90</f>
        <v>0</v>
      </c>
      <c r="K90" s="186">
        <f>'Monthly Data'!BV90</f>
        <v>0</v>
      </c>
      <c r="L90" s="186">
        <f>'Monthly Data'!BW90</f>
        <v>0</v>
      </c>
      <c r="M90" s="186">
        <f>'Monthly Data'!CC90</f>
        <v>31</v>
      </c>
      <c r="N90" s="186">
        <f>'Monthly Data'!CD90</f>
        <v>21</v>
      </c>
      <c r="P90" s="186">
        <f>'GS &gt; 50 OLS Model (LC)'!$B$5</f>
        <v>-8436546.8467997499</v>
      </c>
      <c r="Q90" s="186">
        <f ca="1">'GS &gt; 50 OLS Model (LC)'!$B$6*D90</f>
        <v>2485670.238668832</v>
      </c>
      <c r="R90" s="186">
        <f ca="1">'GS &gt; 50 OLS Model (LC)'!$B$7*E90</f>
        <v>4001362.3410418485</v>
      </c>
      <c r="S90" s="186">
        <f>'GS &gt; 50 OLS Model (LC)'!$B$8*F90</f>
        <v>32904994.29585455</v>
      </c>
      <c r="T90" s="186">
        <v>0</v>
      </c>
      <c r="U90" s="186">
        <f>'GS &gt; 50 OLS Model (LC)'!$B$9*H90</f>
        <v>0</v>
      </c>
      <c r="V90" s="186">
        <f>'GS &gt; 50 OLS Model (LC)'!$B$10*I90</f>
        <v>0</v>
      </c>
      <c r="W90" s="186">
        <f>'GS &gt; 50 OLS Model (LC)'!$B$11*J90</f>
        <v>0</v>
      </c>
      <c r="X90" s="186">
        <f>'GS &gt; 50 OLS Model (LC)'!$B$12*K90</f>
        <v>0</v>
      </c>
      <c r="Y90" s="186">
        <v>0</v>
      </c>
      <c r="Z90" s="186">
        <f>'GS &gt; 50 OLS Model (LC)'!$B$13*M90</f>
        <v>34805943.461156942</v>
      </c>
      <c r="AA90" s="186">
        <f>'GS &gt; 50 OLS Model (LC)'!$B$14*N90</f>
        <v>13601430.342326485</v>
      </c>
      <c r="AB90" s="186">
        <f t="shared" ca="1" si="8"/>
        <v>79362853.832248896</v>
      </c>
    </row>
    <row r="91" spans="1:28">
      <c r="A91" s="128">
        <f>'Monthly Data'!A91</f>
        <v>42522</v>
      </c>
      <c r="B91" s="186">
        <f t="shared" si="7"/>
        <v>2016</v>
      </c>
      <c r="C91" s="124">
        <f ca="1">'Monthly Data'!T91</f>
        <v>83872675.506474167</v>
      </c>
      <c r="D91" s="186">
        <f t="shared" ca="1" si="9"/>
        <v>0.39669172932326546</v>
      </c>
      <c r="E91" s="186">
        <f t="shared" ca="1" si="9"/>
        <v>116.89315789473682</v>
      </c>
      <c r="F91" s="186">
        <f>'Monthly Data'!BL91</f>
        <v>634257.80000000005</v>
      </c>
      <c r="G91" s="186">
        <f>'Monthly Data'!BM91</f>
        <v>90</v>
      </c>
      <c r="H91" s="186">
        <f>'Monthly Data'!BQ91</f>
        <v>0</v>
      </c>
      <c r="I91" s="186">
        <f>'Monthly Data'!BS91</f>
        <v>1</v>
      </c>
      <c r="J91" s="186">
        <f>'Monthly Data'!BU91</f>
        <v>0</v>
      </c>
      <c r="K91" s="186">
        <f>'Monthly Data'!BV91</f>
        <v>0</v>
      </c>
      <c r="L91" s="186">
        <f>'Monthly Data'!BW91</f>
        <v>0</v>
      </c>
      <c r="M91" s="186">
        <f>'Monthly Data'!CC91</f>
        <v>30</v>
      </c>
      <c r="N91" s="186">
        <f>'Monthly Data'!CD91</f>
        <v>22</v>
      </c>
      <c r="P91" s="186">
        <f>'GS &gt; 50 OLS Model (LC)'!$B$5</f>
        <v>-8436546.8467997499</v>
      </c>
      <c r="Q91" s="186">
        <f ca="1">'GS &gt; 50 OLS Model (LC)'!$B$6*D91</f>
        <v>9606.6872501819107</v>
      </c>
      <c r="R91" s="186">
        <f ca="1">'GS &gt; 50 OLS Model (LC)'!$B$7*E91</f>
        <v>8343001.6066957684</v>
      </c>
      <c r="S91" s="186">
        <f>'GS &gt; 50 OLS Model (LC)'!$B$8*F91</f>
        <v>32904994.29585455</v>
      </c>
      <c r="T91" s="186">
        <v>0</v>
      </c>
      <c r="U91" s="186">
        <f>'GS &gt; 50 OLS Model (LC)'!$B$9*H91</f>
        <v>0</v>
      </c>
      <c r="V91" s="186">
        <f>'GS &gt; 50 OLS Model (LC)'!$B$10*I91</f>
        <v>1260255.0136768401</v>
      </c>
      <c r="W91" s="186">
        <f>'GS &gt; 50 OLS Model (LC)'!$B$11*J91</f>
        <v>0</v>
      </c>
      <c r="X91" s="186">
        <f>'GS &gt; 50 OLS Model (LC)'!$B$12*K91</f>
        <v>0</v>
      </c>
      <c r="Y91" s="186">
        <v>0</v>
      </c>
      <c r="Z91" s="186">
        <f>'GS &gt; 50 OLS Model (LC)'!$B$13*M91</f>
        <v>33683171.091442198</v>
      </c>
      <c r="AA91" s="186">
        <f>'GS &gt; 50 OLS Model (LC)'!$B$14*N91</f>
        <v>14249117.501484888</v>
      </c>
      <c r="AB91" s="186">
        <f t="shared" ca="1" si="8"/>
        <v>82013599.349604681</v>
      </c>
    </row>
    <row r="92" spans="1:28">
      <c r="A92" s="128">
        <f>'Monthly Data'!A92</f>
        <v>42552</v>
      </c>
      <c r="B92" s="186">
        <f t="shared" si="7"/>
        <v>2016</v>
      </c>
      <c r="C92" s="124">
        <f ca="1">'Monthly Data'!T92</f>
        <v>88955763.55474104</v>
      </c>
      <c r="D92" s="186">
        <f t="shared" ca="1" si="9"/>
        <v>0.58105263157894704</v>
      </c>
      <c r="E92" s="186">
        <f t="shared" ca="1" si="9"/>
        <v>186.96526315789481</v>
      </c>
      <c r="F92" s="186">
        <f>'Monthly Data'!BL92</f>
        <v>634257.80000000005</v>
      </c>
      <c r="G92" s="186">
        <f>'Monthly Data'!BM92</f>
        <v>91</v>
      </c>
      <c r="H92" s="186">
        <f>'Monthly Data'!BQ92</f>
        <v>0</v>
      </c>
      <c r="I92" s="186">
        <f>'Monthly Data'!BS92</f>
        <v>0</v>
      </c>
      <c r="J92" s="186">
        <f>'Monthly Data'!BU92</f>
        <v>0</v>
      </c>
      <c r="K92" s="186">
        <f>'Monthly Data'!BV92</f>
        <v>0</v>
      </c>
      <c r="L92" s="186">
        <f>'Monthly Data'!BW92</f>
        <v>0</v>
      </c>
      <c r="M92" s="186">
        <f>'Monthly Data'!CC92</f>
        <v>31</v>
      </c>
      <c r="N92" s="186">
        <f>'Monthly Data'!CD92</f>
        <v>20</v>
      </c>
      <c r="P92" s="186">
        <f>'GS &gt; 50 OLS Model (LC)'!$B$5</f>
        <v>-8436546.8467997499</v>
      </c>
      <c r="Q92" s="186">
        <f ca="1">'GS &gt; 50 OLS Model (LC)'!$B$6*D92</f>
        <v>14071.356912322552</v>
      </c>
      <c r="R92" s="186">
        <f ca="1">'GS &gt; 50 OLS Model (LC)'!$B$7*E92</f>
        <v>13344249.732112395</v>
      </c>
      <c r="S92" s="186">
        <f>'GS &gt; 50 OLS Model (LC)'!$B$8*F92</f>
        <v>32904994.29585455</v>
      </c>
      <c r="T92" s="186">
        <v>0</v>
      </c>
      <c r="U92" s="186">
        <f>'GS &gt; 50 OLS Model (LC)'!$B$9*H92</f>
        <v>0</v>
      </c>
      <c r="V92" s="186">
        <f>'GS &gt; 50 OLS Model (LC)'!$B$10*I92</f>
        <v>0</v>
      </c>
      <c r="W92" s="186">
        <f>'GS &gt; 50 OLS Model (LC)'!$B$11*J92</f>
        <v>0</v>
      </c>
      <c r="X92" s="186">
        <f>'GS &gt; 50 OLS Model (LC)'!$B$12*K92</f>
        <v>0</v>
      </c>
      <c r="Y92" s="186">
        <v>0</v>
      </c>
      <c r="Z92" s="186">
        <f>'GS &gt; 50 OLS Model (LC)'!$B$13*M92</f>
        <v>34805943.461156942</v>
      </c>
      <c r="AA92" s="186">
        <f>'GS &gt; 50 OLS Model (LC)'!$B$14*N92</f>
        <v>12953743.18316808</v>
      </c>
      <c r="AB92" s="186">
        <f t="shared" ca="1" si="8"/>
        <v>85586455.182404548</v>
      </c>
    </row>
    <row r="93" spans="1:28">
      <c r="A93" s="128">
        <f>'Monthly Data'!A93</f>
        <v>42583</v>
      </c>
      <c r="B93" s="186">
        <f t="shared" si="7"/>
        <v>2016</v>
      </c>
      <c r="C93" s="124">
        <f ca="1">'Monthly Data'!T93</f>
        <v>91795187.170724034</v>
      </c>
      <c r="D93" s="186">
        <f t="shared" ca="1" si="9"/>
        <v>1.6660902255639058</v>
      </c>
      <c r="E93" s="186">
        <f t="shared" ca="1" si="9"/>
        <v>167.43443609022574</v>
      </c>
      <c r="F93" s="186">
        <f>'Monthly Data'!BL93</f>
        <v>634257.80000000005</v>
      </c>
      <c r="G93" s="186">
        <f>'Monthly Data'!BM93</f>
        <v>92</v>
      </c>
      <c r="H93" s="186">
        <f>'Monthly Data'!BQ93</f>
        <v>0</v>
      </c>
      <c r="I93" s="186">
        <f>'Monthly Data'!BS93</f>
        <v>0</v>
      </c>
      <c r="J93" s="186">
        <f>'Monthly Data'!BU93</f>
        <v>1</v>
      </c>
      <c r="K93" s="186">
        <f>'Monthly Data'!BV93</f>
        <v>0</v>
      </c>
      <c r="L93" s="186">
        <f>'Monthly Data'!BW93</f>
        <v>0</v>
      </c>
      <c r="M93" s="186">
        <f>'Monthly Data'!CC93</f>
        <v>31</v>
      </c>
      <c r="N93" s="186">
        <f>'Monthly Data'!CD93</f>
        <v>22</v>
      </c>
      <c r="P93" s="186">
        <f>'GS &gt; 50 OLS Model (LC)'!$B$5</f>
        <v>-8436546.8467997499</v>
      </c>
      <c r="Q93" s="186">
        <f ca="1">'GS &gt; 50 OLS Model (LC)'!$B$6*D93</f>
        <v>40347.722285216725</v>
      </c>
      <c r="R93" s="186">
        <f ca="1">'GS &gt; 50 OLS Model (LC)'!$B$7*E93</f>
        <v>11950278.30948735</v>
      </c>
      <c r="S93" s="186">
        <f>'GS &gt; 50 OLS Model (LC)'!$B$8*F93</f>
        <v>32904994.29585455</v>
      </c>
      <c r="T93" s="186">
        <v>0</v>
      </c>
      <c r="U93" s="186">
        <f>'GS &gt; 50 OLS Model (LC)'!$B$9*H93</f>
        <v>0</v>
      </c>
      <c r="V93" s="186">
        <f>'GS &gt; 50 OLS Model (LC)'!$B$10*I93</f>
        <v>0</v>
      </c>
      <c r="W93" s="186">
        <f>'GS &gt; 50 OLS Model (LC)'!$B$11*J93</f>
        <v>2501012.7689915099</v>
      </c>
      <c r="X93" s="186">
        <f>'GS &gt; 50 OLS Model (LC)'!$B$12*K93</f>
        <v>0</v>
      </c>
      <c r="Y93" s="186">
        <v>0</v>
      </c>
      <c r="Z93" s="186">
        <f>'GS &gt; 50 OLS Model (LC)'!$B$13*M93</f>
        <v>34805943.461156942</v>
      </c>
      <c r="AA93" s="186">
        <f>'GS &gt; 50 OLS Model (LC)'!$B$14*N93</f>
        <v>14249117.501484888</v>
      </c>
      <c r="AB93" s="186">
        <f t="shared" ca="1" si="8"/>
        <v>88015147.212460712</v>
      </c>
    </row>
    <row r="94" spans="1:28">
      <c r="A94" s="128">
        <f>'Monthly Data'!A94</f>
        <v>42614</v>
      </c>
      <c r="B94" s="186">
        <f t="shared" si="7"/>
        <v>2016</v>
      </c>
      <c r="C94" s="124">
        <f ca="1">'Monthly Data'!T94</f>
        <v>82362063.434793159</v>
      </c>
      <c r="D94" s="186">
        <f t="shared" ref="D94:E109" ca="1" si="10">D82</f>
        <v>30.410827067669118</v>
      </c>
      <c r="E94" s="186">
        <f t="shared" ca="1" si="10"/>
        <v>83.003533834586506</v>
      </c>
      <c r="F94" s="186">
        <f>'Monthly Data'!BL94</f>
        <v>634257.80000000005</v>
      </c>
      <c r="G94" s="186">
        <f>'Monthly Data'!BM94</f>
        <v>93</v>
      </c>
      <c r="H94" s="186">
        <f>'Monthly Data'!BQ94</f>
        <v>0</v>
      </c>
      <c r="I94" s="186">
        <f>'Monthly Data'!BS94</f>
        <v>0</v>
      </c>
      <c r="J94" s="186">
        <f>'Monthly Data'!BU94</f>
        <v>0</v>
      </c>
      <c r="K94" s="186">
        <f>'Monthly Data'!BV94</f>
        <v>1</v>
      </c>
      <c r="L94" s="186">
        <f>'Monthly Data'!BW94</f>
        <v>0</v>
      </c>
      <c r="M94" s="186">
        <f>'Monthly Data'!CC94</f>
        <v>30</v>
      </c>
      <c r="N94" s="186">
        <f>'Monthly Data'!CD94</f>
        <v>21</v>
      </c>
      <c r="P94" s="186">
        <f>'GS &gt; 50 OLS Model (LC)'!$B$5</f>
        <v>-8436546.8467997499</v>
      </c>
      <c r="Q94" s="186">
        <f ca="1">'GS &gt; 50 OLS Model (LC)'!$B$6*D94</f>
        <v>736459.27823312907</v>
      </c>
      <c r="R94" s="186">
        <f ca="1">'GS &gt; 50 OLS Model (LC)'!$B$7*E94</f>
        <v>5924201.4555461155</v>
      </c>
      <c r="S94" s="186">
        <f>'GS &gt; 50 OLS Model (LC)'!$B$8*F94</f>
        <v>32904994.29585455</v>
      </c>
      <c r="T94" s="186">
        <v>0</v>
      </c>
      <c r="U94" s="186">
        <f>'GS &gt; 50 OLS Model (LC)'!$B$9*H94</f>
        <v>0</v>
      </c>
      <c r="V94" s="186">
        <f>'GS &gt; 50 OLS Model (LC)'!$B$10*I94</f>
        <v>0</v>
      </c>
      <c r="W94" s="186">
        <f>'GS &gt; 50 OLS Model (LC)'!$B$11*J94</f>
        <v>0</v>
      </c>
      <c r="X94" s="186">
        <f>'GS &gt; 50 OLS Model (LC)'!$B$12*K94</f>
        <v>2346294.5864150901</v>
      </c>
      <c r="Y94" s="186">
        <v>0</v>
      </c>
      <c r="Z94" s="186">
        <f>'GS &gt; 50 OLS Model (LC)'!$B$13*M94</f>
        <v>33683171.091442198</v>
      </c>
      <c r="AA94" s="186">
        <f>'GS &gt; 50 OLS Model (LC)'!$B$14*N94</f>
        <v>13601430.342326485</v>
      </c>
      <c r="AB94" s="186">
        <f t="shared" ca="1" si="8"/>
        <v>80760004.203017831</v>
      </c>
    </row>
    <row r="95" spans="1:28">
      <c r="A95" s="128">
        <f>'Monthly Data'!A95</f>
        <v>42644</v>
      </c>
      <c r="B95" s="186">
        <f t="shared" si="7"/>
        <v>2016</v>
      </c>
      <c r="C95" s="124">
        <f ca="1">'Monthly Data'!T95</f>
        <v>79489363.40802446</v>
      </c>
      <c r="D95" s="186">
        <f t="shared" ca="1" si="10"/>
        <v>158.93676691729343</v>
      </c>
      <c r="E95" s="186">
        <f t="shared" ca="1" si="10"/>
        <v>16.916090225563948</v>
      </c>
      <c r="F95" s="186">
        <f>'Monthly Data'!BL95</f>
        <v>634257.80000000005</v>
      </c>
      <c r="G95" s="186">
        <f>'Monthly Data'!BM95</f>
        <v>94</v>
      </c>
      <c r="H95" s="186">
        <f>'Monthly Data'!BQ95</f>
        <v>0</v>
      </c>
      <c r="I95" s="186">
        <f>'Monthly Data'!BS95</f>
        <v>0</v>
      </c>
      <c r="J95" s="186">
        <f>'Monthly Data'!BU95</f>
        <v>0</v>
      </c>
      <c r="K95" s="186">
        <f>'Monthly Data'!BV95</f>
        <v>0</v>
      </c>
      <c r="L95" s="186">
        <f>'Monthly Data'!BW95</f>
        <v>1</v>
      </c>
      <c r="M95" s="186">
        <f>'Monthly Data'!CC95</f>
        <v>31</v>
      </c>
      <c r="N95" s="186">
        <f>'Monthly Data'!CD95</f>
        <v>20</v>
      </c>
      <c r="P95" s="186">
        <f>'GS &gt; 50 OLS Model (LC)'!$B$5</f>
        <v>-8436546.8467997499</v>
      </c>
      <c r="Q95" s="186">
        <f ca="1">'GS &gt; 50 OLS Model (LC)'!$B$6*D95</f>
        <v>3848973.1432874338</v>
      </c>
      <c r="R95" s="186">
        <f ca="1">'GS &gt; 50 OLS Model (LC)'!$B$7*E95</f>
        <v>1207350.1176003828</v>
      </c>
      <c r="S95" s="186">
        <f>'GS &gt; 50 OLS Model (LC)'!$B$8*F95</f>
        <v>32904994.29585455</v>
      </c>
      <c r="T95" s="186">
        <v>0</v>
      </c>
      <c r="U95" s="186">
        <f>'GS &gt; 50 OLS Model (LC)'!$B$9*H95</f>
        <v>0</v>
      </c>
      <c r="V95" s="186">
        <f>'GS &gt; 50 OLS Model (LC)'!$B$10*I95</f>
        <v>0</v>
      </c>
      <c r="W95" s="186">
        <f>'GS &gt; 50 OLS Model (LC)'!$B$11*J95</f>
        <v>0</v>
      </c>
      <c r="X95" s="186">
        <f>'GS &gt; 50 OLS Model (LC)'!$B$12*K95</f>
        <v>0</v>
      </c>
      <c r="Y95" s="186">
        <v>0</v>
      </c>
      <c r="Z95" s="186">
        <f>'GS &gt; 50 OLS Model (LC)'!$B$13*M95</f>
        <v>34805943.461156942</v>
      </c>
      <c r="AA95" s="186">
        <f>'GS &gt; 50 OLS Model (LC)'!$B$14*N95</f>
        <v>12953743.18316808</v>
      </c>
      <c r="AB95" s="186">
        <f t="shared" ca="1" si="8"/>
        <v>77284457.354267642</v>
      </c>
    </row>
    <row r="96" spans="1:28">
      <c r="A96" s="128">
        <f>'Monthly Data'!A96</f>
        <v>42675</v>
      </c>
      <c r="B96" s="186">
        <f t="shared" si="7"/>
        <v>2016</v>
      </c>
      <c r="C96" s="124">
        <f ca="1">'Monthly Data'!T96</f>
        <v>79335132.283126563</v>
      </c>
      <c r="D96" s="186">
        <f t="shared" ca="1" si="10"/>
        <v>375.92533834586447</v>
      </c>
      <c r="E96" s="186">
        <f t="shared" ca="1" si="10"/>
        <v>8.120300751879661E-2</v>
      </c>
      <c r="F96" s="186">
        <f>'Monthly Data'!BL96</f>
        <v>634257.80000000005</v>
      </c>
      <c r="G96" s="186">
        <f>'Monthly Data'!BM96</f>
        <v>95</v>
      </c>
      <c r="H96" s="186">
        <f>'Monthly Data'!BQ96</f>
        <v>0</v>
      </c>
      <c r="I96" s="186">
        <f>'Monthly Data'!BS96</f>
        <v>0</v>
      </c>
      <c r="J96" s="186">
        <f>'Monthly Data'!BU96</f>
        <v>0</v>
      </c>
      <c r="K96" s="186">
        <f>'Monthly Data'!BV96</f>
        <v>0</v>
      </c>
      <c r="L96" s="186">
        <f>'Monthly Data'!BW96</f>
        <v>0</v>
      </c>
      <c r="M96" s="186">
        <f>'Monthly Data'!CC96</f>
        <v>30</v>
      </c>
      <c r="N96" s="186">
        <f>'Monthly Data'!CD96</f>
        <v>22</v>
      </c>
      <c r="P96" s="186">
        <f>'GS &gt; 50 OLS Model (LC)'!$B$5</f>
        <v>-8436546.8467997499</v>
      </c>
      <c r="Q96" s="186">
        <f ca="1">'GS &gt; 50 OLS Model (LC)'!$B$6*D96</f>
        <v>9103787.36927131</v>
      </c>
      <c r="R96" s="186">
        <f ca="1">'GS &gt; 50 OLS Model (LC)'!$B$7*E96</f>
        <v>5795.6927026295389</v>
      </c>
      <c r="S96" s="186">
        <f>'GS &gt; 50 OLS Model (LC)'!$B$8*F96</f>
        <v>32904994.29585455</v>
      </c>
      <c r="T96" s="186">
        <v>0</v>
      </c>
      <c r="U96" s="186">
        <f>'GS &gt; 50 OLS Model (LC)'!$B$9*H96</f>
        <v>0</v>
      </c>
      <c r="V96" s="186">
        <f>'GS &gt; 50 OLS Model (LC)'!$B$10*I96</f>
        <v>0</v>
      </c>
      <c r="W96" s="186">
        <f>'GS &gt; 50 OLS Model (LC)'!$B$11*J96</f>
        <v>0</v>
      </c>
      <c r="X96" s="186">
        <f>'GS &gt; 50 OLS Model (LC)'!$B$12*K96</f>
        <v>0</v>
      </c>
      <c r="Y96" s="186">
        <v>0</v>
      </c>
      <c r="Z96" s="186">
        <f>'GS &gt; 50 OLS Model (LC)'!$B$13*M96</f>
        <v>33683171.091442198</v>
      </c>
      <c r="AA96" s="186">
        <f>'GS &gt; 50 OLS Model (LC)'!$B$14*N96</f>
        <v>14249117.501484888</v>
      </c>
      <c r="AB96" s="186">
        <f t="shared" ca="1" si="8"/>
        <v>81510319.10395582</v>
      </c>
    </row>
    <row r="97" spans="1:28">
      <c r="A97" s="128">
        <f>'Monthly Data'!A97</f>
        <v>42705</v>
      </c>
      <c r="B97" s="186">
        <f t="shared" si="7"/>
        <v>2016</v>
      </c>
      <c r="C97" s="124">
        <f ca="1">'Monthly Data'!T97</f>
        <v>85381711.661736995</v>
      </c>
      <c r="D97" s="186">
        <f t="shared" ca="1" si="10"/>
        <v>548.76120300751859</v>
      </c>
      <c r="E97" s="186">
        <f t="shared" ca="1" si="10"/>
        <v>0</v>
      </c>
      <c r="F97" s="186">
        <f>'Monthly Data'!BL97</f>
        <v>634257.80000000005</v>
      </c>
      <c r="G97" s="186">
        <f>'Monthly Data'!BM97</f>
        <v>96</v>
      </c>
      <c r="H97" s="186">
        <f>'Monthly Data'!BQ97</f>
        <v>0</v>
      </c>
      <c r="I97" s="186">
        <f>'Monthly Data'!BS97</f>
        <v>0</v>
      </c>
      <c r="J97" s="186">
        <f>'Monthly Data'!BU97</f>
        <v>0</v>
      </c>
      <c r="K97" s="186">
        <f>'Monthly Data'!BV97</f>
        <v>0</v>
      </c>
      <c r="L97" s="186">
        <f>'Monthly Data'!BW97</f>
        <v>0</v>
      </c>
      <c r="M97" s="186">
        <f>'Monthly Data'!CC97</f>
        <v>31</v>
      </c>
      <c r="N97" s="186">
        <f>'Monthly Data'!CD97</f>
        <v>20</v>
      </c>
      <c r="P97" s="186">
        <f>'GS &gt; 50 OLS Model (LC)'!$B$5</f>
        <v>-8436546.8467997499</v>
      </c>
      <c r="Q97" s="186">
        <f ca="1">'GS &gt; 50 OLS Model (LC)'!$B$6*D97</f>
        <v>13289355.090211187</v>
      </c>
      <c r="R97" s="186">
        <f ca="1">'GS &gt; 50 OLS Model (LC)'!$B$7*E97</f>
        <v>0</v>
      </c>
      <c r="S97" s="186">
        <f>'GS &gt; 50 OLS Model (LC)'!$B$8*F97</f>
        <v>32904994.29585455</v>
      </c>
      <c r="T97" s="186">
        <v>0</v>
      </c>
      <c r="U97" s="186">
        <f>'GS &gt; 50 OLS Model (LC)'!$B$9*H97</f>
        <v>0</v>
      </c>
      <c r="V97" s="186">
        <f>'GS &gt; 50 OLS Model (LC)'!$B$10*I97</f>
        <v>0</v>
      </c>
      <c r="W97" s="186">
        <f>'GS &gt; 50 OLS Model (LC)'!$B$11*J97</f>
        <v>0</v>
      </c>
      <c r="X97" s="186">
        <f>'GS &gt; 50 OLS Model (LC)'!$B$12*K97</f>
        <v>0</v>
      </c>
      <c r="Y97" s="186">
        <v>0</v>
      </c>
      <c r="Z97" s="186">
        <f>'GS &gt; 50 OLS Model (LC)'!$B$13*M97</f>
        <v>34805943.461156942</v>
      </c>
      <c r="AA97" s="186">
        <f>'GS &gt; 50 OLS Model (LC)'!$B$14*N97</f>
        <v>12953743.18316808</v>
      </c>
      <c r="AB97" s="186">
        <f t="shared" ca="1" si="8"/>
        <v>85517489.183591008</v>
      </c>
    </row>
    <row r="98" spans="1:28">
      <c r="A98" s="128">
        <v>42736</v>
      </c>
      <c r="B98" s="186">
        <f t="shared" si="7"/>
        <v>2017</v>
      </c>
      <c r="C98" s="124">
        <f ca="1">'Monthly Data'!T98</f>
        <v>89104940.431942269</v>
      </c>
      <c r="D98" s="186">
        <f t="shared" ca="1" si="10"/>
        <v>665.14879699248104</v>
      </c>
      <c r="E98" s="186">
        <f t="shared" ca="1" si="10"/>
        <v>0</v>
      </c>
      <c r="F98" s="186">
        <f>'Monthly Data'!BL98</f>
        <v>651932.30000000005</v>
      </c>
      <c r="G98" s="186">
        <f>G97+1</f>
        <v>97</v>
      </c>
      <c r="H98" s="186">
        <f>H86</f>
        <v>0</v>
      </c>
      <c r="I98" s="186">
        <f t="shared" ref="I98:L98" si="11">I86</f>
        <v>0</v>
      </c>
      <c r="J98" s="186">
        <f t="shared" si="11"/>
        <v>0</v>
      </c>
      <c r="K98" s="186">
        <f t="shared" si="11"/>
        <v>0</v>
      </c>
      <c r="L98" s="186">
        <f t="shared" si="11"/>
        <v>0</v>
      </c>
      <c r="M98" s="186">
        <f>M50</f>
        <v>31</v>
      </c>
      <c r="N98" s="186">
        <v>21</v>
      </c>
      <c r="P98" s="186">
        <f>'GS &gt; 50 OLS Model (LC)'!$B$5</f>
        <v>-8436546.8467997499</v>
      </c>
      <c r="Q98" s="186">
        <f ca="1">'GS &gt; 50 OLS Model (LC)'!$B$6*D98</f>
        <v>16107914.522045333</v>
      </c>
      <c r="R98" s="186">
        <f ca="1">'GS &gt; 50 OLS Model (LC)'!$B$7*E98</f>
        <v>0</v>
      </c>
      <c r="S98" s="186">
        <f>'GS &gt; 50 OLS Model (LC)'!$B$8*F98</f>
        <v>33821938.985666931</v>
      </c>
      <c r="T98" s="186">
        <v>0</v>
      </c>
      <c r="U98" s="186">
        <f>'GS &gt; 50 OLS Model (LC)'!$B$9*H98</f>
        <v>0</v>
      </c>
      <c r="V98" s="186">
        <f>'GS &gt; 50 OLS Model (LC)'!$B$10*I98</f>
        <v>0</v>
      </c>
      <c r="W98" s="186">
        <f>'GS &gt; 50 OLS Model (LC)'!$B$11*J98</f>
        <v>0</v>
      </c>
      <c r="X98" s="186">
        <f>'GS &gt; 50 OLS Model (LC)'!$B$12*K98</f>
        <v>0</v>
      </c>
      <c r="Y98" s="186">
        <v>0</v>
      </c>
      <c r="Z98" s="186">
        <f>'GS &gt; 50 OLS Model (LC)'!$B$13*M98</f>
        <v>34805943.461156942</v>
      </c>
      <c r="AA98" s="186">
        <f>'GS &gt; 50 OLS Model (LC)'!$B$14*N98</f>
        <v>13601430.342326485</v>
      </c>
      <c r="AB98" s="186">
        <f t="shared" ca="1" si="8"/>
        <v>89900680.46439594</v>
      </c>
    </row>
    <row r="99" spans="1:28">
      <c r="A99" s="128">
        <v>42767</v>
      </c>
      <c r="B99" s="186">
        <f t="shared" si="7"/>
        <v>2017</v>
      </c>
      <c r="C99" s="124">
        <f ca="1">'Monthly Data'!T99</f>
        <v>79064176.789072469</v>
      </c>
      <c r="D99" s="186">
        <f t="shared" ca="1" si="10"/>
        <v>611.17548872180487</v>
      </c>
      <c r="E99" s="186">
        <f t="shared" ca="1" si="10"/>
        <v>0</v>
      </c>
      <c r="F99" s="186">
        <f>'Monthly Data'!BL99</f>
        <v>651932.30000000005</v>
      </c>
      <c r="G99" s="186">
        <f t="shared" ref="G99:G145" si="12">G98+1</f>
        <v>98</v>
      </c>
      <c r="H99" s="186">
        <f t="shared" ref="H99:L114" si="13">H87</f>
        <v>0</v>
      </c>
      <c r="I99" s="186">
        <f t="shared" si="13"/>
        <v>0</v>
      </c>
      <c r="J99" s="186">
        <f t="shared" si="13"/>
        <v>0</v>
      </c>
      <c r="K99" s="186">
        <f t="shared" si="13"/>
        <v>0</v>
      </c>
      <c r="L99" s="186">
        <f t="shared" si="13"/>
        <v>0</v>
      </c>
      <c r="M99" s="186">
        <f t="shared" ref="M99:M145" si="14">M51</f>
        <v>28</v>
      </c>
      <c r="N99" s="186">
        <v>19</v>
      </c>
      <c r="P99" s="186">
        <f>'GS &gt; 50 OLS Model (LC)'!$B$5</f>
        <v>-8436546.8467997499</v>
      </c>
      <c r="Q99" s="186">
        <f ca="1">'GS &gt; 50 OLS Model (LC)'!$B$6*D99</f>
        <v>14800842.420243302</v>
      </c>
      <c r="R99" s="186">
        <f ca="1">'GS &gt; 50 OLS Model (LC)'!$B$7*E99</f>
        <v>0</v>
      </c>
      <c r="S99" s="186">
        <f>'GS &gt; 50 OLS Model (LC)'!$B$8*F99</f>
        <v>33821938.985666931</v>
      </c>
      <c r="T99" s="186">
        <v>0</v>
      </c>
      <c r="U99" s="186">
        <f>'GS &gt; 50 OLS Model (LC)'!$B$9*H99</f>
        <v>0</v>
      </c>
      <c r="V99" s="186">
        <f>'GS &gt; 50 OLS Model (LC)'!$B$10*I99</f>
        <v>0</v>
      </c>
      <c r="W99" s="186">
        <f>'GS &gt; 50 OLS Model (LC)'!$B$11*J99</f>
        <v>0</v>
      </c>
      <c r="X99" s="186">
        <f>'GS &gt; 50 OLS Model (LC)'!$B$12*K99</f>
        <v>0</v>
      </c>
      <c r="Y99" s="186">
        <v>0</v>
      </c>
      <c r="Z99" s="186">
        <f>'GS &gt; 50 OLS Model (LC)'!$B$13*M99</f>
        <v>31437626.35201272</v>
      </c>
      <c r="AA99" s="186">
        <f>'GS &gt; 50 OLS Model (LC)'!$B$14*N99</f>
        <v>12306056.024009675</v>
      </c>
      <c r="AB99" s="186">
        <f t="shared" ca="1" si="8"/>
        <v>83929916.935132876</v>
      </c>
    </row>
    <row r="100" spans="1:28">
      <c r="A100" s="128">
        <v>42795</v>
      </c>
      <c r="B100" s="186">
        <f t="shared" si="7"/>
        <v>2017</v>
      </c>
      <c r="C100" s="124">
        <f ca="1">'Monthly Data'!T100</f>
        <v>84805567.54640986</v>
      </c>
      <c r="D100" s="186">
        <f t="shared" ca="1" si="10"/>
        <v>458.46436090225569</v>
      </c>
      <c r="E100" s="186">
        <f t="shared" ca="1" si="10"/>
        <v>0.45218045112781802</v>
      </c>
      <c r="F100" s="186">
        <f>'Monthly Data'!BL100</f>
        <v>651932.30000000005</v>
      </c>
      <c r="G100" s="186">
        <f t="shared" si="12"/>
        <v>99</v>
      </c>
      <c r="H100" s="186">
        <f t="shared" si="13"/>
        <v>0</v>
      </c>
      <c r="I100" s="186">
        <f t="shared" si="13"/>
        <v>0</v>
      </c>
      <c r="J100" s="186">
        <f t="shared" si="13"/>
        <v>0</v>
      </c>
      <c r="K100" s="186">
        <f t="shared" si="13"/>
        <v>0</v>
      </c>
      <c r="L100" s="186">
        <f t="shared" si="13"/>
        <v>0</v>
      </c>
      <c r="M100" s="186">
        <f t="shared" si="14"/>
        <v>31</v>
      </c>
      <c r="N100" s="186">
        <v>23</v>
      </c>
      <c r="P100" s="186">
        <f>'GS &gt; 50 OLS Model (LC)'!$B$5</f>
        <v>-8436546.8467997499</v>
      </c>
      <c r="Q100" s="186">
        <f ca="1">'GS &gt; 50 OLS Model (LC)'!$B$6*D100</f>
        <v>11102635.636129936</v>
      </c>
      <c r="R100" s="186">
        <f ca="1">'GS &gt; 50 OLS Model (LC)'!$B$7*E100</f>
        <v>32273.422142235275</v>
      </c>
      <c r="S100" s="186">
        <f>'GS &gt; 50 OLS Model (LC)'!$B$8*F100</f>
        <v>33821938.985666931</v>
      </c>
      <c r="T100" s="186">
        <v>0</v>
      </c>
      <c r="U100" s="186">
        <f>'GS &gt; 50 OLS Model (LC)'!$B$9*H100</f>
        <v>0</v>
      </c>
      <c r="V100" s="186">
        <f>'GS &gt; 50 OLS Model (LC)'!$B$10*I100</f>
        <v>0</v>
      </c>
      <c r="W100" s="186">
        <f>'GS &gt; 50 OLS Model (LC)'!$B$11*J100</f>
        <v>0</v>
      </c>
      <c r="X100" s="186">
        <f>'GS &gt; 50 OLS Model (LC)'!$B$12*K100</f>
        <v>0</v>
      </c>
      <c r="Y100" s="186">
        <v>0</v>
      </c>
      <c r="Z100" s="186">
        <f>'GS &gt; 50 OLS Model (LC)'!$B$13*M100</f>
        <v>34805943.461156942</v>
      </c>
      <c r="AA100" s="186">
        <f>'GS &gt; 50 OLS Model (LC)'!$B$14*N100</f>
        <v>14896804.660643291</v>
      </c>
      <c r="AB100" s="186">
        <f t="shared" ca="1" si="8"/>
        <v>86223049.318939582</v>
      </c>
    </row>
    <row r="101" spans="1:28">
      <c r="A101" s="128">
        <v>42826</v>
      </c>
      <c r="B101" s="186">
        <f t="shared" si="7"/>
        <v>2017</v>
      </c>
      <c r="C101" s="124">
        <f ca="1">'Monthly Data'!T101</f>
        <v>74954400.188771799</v>
      </c>
      <c r="D101" s="186">
        <f t="shared" ca="1" si="10"/>
        <v>254.29052631578941</v>
      </c>
      <c r="E101" s="186">
        <f t="shared" ca="1" si="10"/>
        <v>0.50947368421054762</v>
      </c>
      <c r="F101" s="186">
        <f>'Monthly Data'!BL101</f>
        <v>651932.30000000005</v>
      </c>
      <c r="G101" s="186">
        <f t="shared" si="12"/>
        <v>100</v>
      </c>
      <c r="H101" s="186">
        <f t="shared" si="13"/>
        <v>1</v>
      </c>
      <c r="I101" s="186">
        <f t="shared" si="13"/>
        <v>0</v>
      </c>
      <c r="J101" s="186">
        <f t="shared" si="13"/>
        <v>0</v>
      </c>
      <c r="K101" s="186">
        <f t="shared" si="13"/>
        <v>0</v>
      </c>
      <c r="L101" s="186">
        <f t="shared" si="13"/>
        <v>0</v>
      </c>
      <c r="M101" s="186">
        <f t="shared" si="14"/>
        <v>30</v>
      </c>
      <c r="N101" s="186">
        <v>18</v>
      </c>
      <c r="P101" s="186">
        <f>'GS &gt; 50 OLS Model (LC)'!$B$5</f>
        <v>-8436546.8467997499</v>
      </c>
      <c r="Q101" s="186">
        <f ca="1">'GS &gt; 50 OLS Model (LC)'!$B$6*D101</f>
        <v>6158156.0098754233</v>
      </c>
      <c r="R101" s="186">
        <f ca="1">'GS &gt; 50 OLS Model (LC)'!$B$7*E101</f>
        <v>36362.605326869983</v>
      </c>
      <c r="S101" s="186">
        <f>'GS &gt; 50 OLS Model (LC)'!$B$8*F101</f>
        <v>33821938.985666931</v>
      </c>
      <c r="T101" s="186">
        <v>0</v>
      </c>
      <c r="U101" s="186">
        <f>'GS &gt; 50 OLS Model (LC)'!$B$9*H101</f>
        <v>-1670517.9110053701</v>
      </c>
      <c r="V101" s="186">
        <f>'GS &gt; 50 OLS Model (LC)'!$B$10*I101</f>
        <v>0</v>
      </c>
      <c r="W101" s="186">
        <f>'GS &gt; 50 OLS Model (LC)'!$B$11*J101</f>
        <v>0</v>
      </c>
      <c r="X101" s="186">
        <f>'GS &gt; 50 OLS Model (LC)'!$B$12*K101</f>
        <v>0</v>
      </c>
      <c r="Y101" s="186">
        <v>0</v>
      </c>
      <c r="Z101" s="186">
        <f>'GS &gt; 50 OLS Model (LC)'!$B$13*M101</f>
        <v>33683171.091442198</v>
      </c>
      <c r="AA101" s="186">
        <f>'GS &gt; 50 OLS Model (LC)'!$B$14*N101</f>
        <v>11658368.864851272</v>
      </c>
      <c r="AB101" s="186">
        <f t="shared" ca="1" si="8"/>
        <v>75250932.799357563</v>
      </c>
    </row>
    <row r="102" spans="1:28">
      <c r="A102" s="128">
        <v>42856</v>
      </c>
      <c r="B102" s="186">
        <f t="shared" si="7"/>
        <v>2017</v>
      </c>
      <c r="C102" s="124">
        <f ca="1">'Monthly Data'!T102</f>
        <v>78674140.138522223</v>
      </c>
      <c r="D102" s="186">
        <f t="shared" ca="1" si="10"/>
        <v>102.64150375939857</v>
      </c>
      <c r="E102" s="186">
        <f t="shared" ca="1" si="10"/>
        <v>56.062781954887214</v>
      </c>
      <c r="F102" s="186">
        <f>'Monthly Data'!BL102</f>
        <v>651932.30000000005</v>
      </c>
      <c r="G102" s="186">
        <f t="shared" si="12"/>
        <v>101</v>
      </c>
      <c r="H102" s="186">
        <f t="shared" si="13"/>
        <v>0</v>
      </c>
      <c r="I102" s="186">
        <f t="shared" si="13"/>
        <v>0</v>
      </c>
      <c r="J102" s="186">
        <f t="shared" si="13"/>
        <v>0</v>
      </c>
      <c r="K102" s="186">
        <f t="shared" si="13"/>
        <v>0</v>
      </c>
      <c r="L102" s="186">
        <f t="shared" si="13"/>
        <v>0</v>
      </c>
      <c r="M102" s="186">
        <f t="shared" si="14"/>
        <v>31</v>
      </c>
      <c r="N102" s="186">
        <v>22</v>
      </c>
      <c r="P102" s="186">
        <f>'GS &gt; 50 OLS Model (LC)'!$B$5</f>
        <v>-8436546.8467997499</v>
      </c>
      <c r="Q102" s="186">
        <f ca="1">'GS &gt; 50 OLS Model (LC)'!$B$6*D102</f>
        <v>2485670.238668832</v>
      </c>
      <c r="R102" s="186">
        <f ca="1">'GS &gt; 50 OLS Model (LC)'!$B$7*E102</f>
        <v>4001362.3410418485</v>
      </c>
      <c r="S102" s="186">
        <f>'GS &gt; 50 OLS Model (LC)'!$B$8*F102</f>
        <v>33821938.985666931</v>
      </c>
      <c r="T102" s="186">
        <v>0</v>
      </c>
      <c r="U102" s="186">
        <f>'GS &gt; 50 OLS Model (LC)'!$B$9*H102</f>
        <v>0</v>
      </c>
      <c r="V102" s="186">
        <f>'GS &gt; 50 OLS Model (LC)'!$B$10*I102</f>
        <v>0</v>
      </c>
      <c r="W102" s="186">
        <f>'GS &gt; 50 OLS Model (LC)'!$B$11*J102</f>
        <v>0</v>
      </c>
      <c r="X102" s="186">
        <f>'GS &gt; 50 OLS Model (LC)'!$B$12*K102</f>
        <v>0</v>
      </c>
      <c r="Y102" s="186">
        <v>0</v>
      </c>
      <c r="Z102" s="186">
        <f>'GS &gt; 50 OLS Model (LC)'!$B$13*M102</f>
        <v>34805943.461156942</v>
      </c>
      <c r="AA102" s="186">
        <f>'GS &gt; 50 OLS Model (LC)'!$B$14*N102</f>
        <v>14249117.501484888</v>
      </c>
      <c r="AB102" s="186">
        <f t="shared" ca="1" si="8"/>
        <v>80927485.681219697</v>
      </c>
    </row>
    <row r="103" spans="1:28">
      <c r="A103" s="128">
        <v>42887</v>
      </c>
      <c r="B103" s="186">
        <f t="shared" si="7"/>
        <v>2017</v>
      </c>
      <c r="C103" s="124">
        <f ca="1">'Monthly Data'!T103</f>
        <v>82671566.563594013</v>
      </c>
      <c r="D103" s="186">
        <f t="shared" ca="1" si="10"/>
        <v>0.39669172932326546</v>
      </c>
      <c r="E103" s="186">
        <f t="shared" ca="1" si="10"/>
        <v>116.89315789473682</v>
      </c>
      <c r="F103" s="186">
        <f>'Monthly Data'!BL103</f>
        <v>651932.30000000005</v>
      </c>
      <c r="G103" s="186">
        <f t="shared" si="12"/>
        <v>102</v>
      </c>
      <c r="H103" s="186">
        <f t="shared" si="13"/>
        <v>0</v>
      </c>
      <c r="I103" s="186">
        <f t="shared" si="13"/>
        <v>1</v>
      </c>
      <c r="J103" s="186">
        <f t="shared" si="13"/>
        <v>0</v>
      </c>
      <c r="K103" s="186">
        <f t="shared" si="13"/>
        <v>0</v>
      </c>
      <c r="L103" s="186">
        <f t="shared" si="13"/>
        <v>0</v>
      </c>
      <c r="M103" s="186">
        <f t="shared" si="14"/>
        <v>30</v>
      </c>
      <c r="N103" s="186">
        <v>22</v>
      </c>
      <c r="P103" s="186">
        <f>'GS &gt; 50 OLS Model (LC)'!$B$5</f>
        <v>-8436546.8467997499</v>
      </c>
      <c r="Q103" s="186">
        <f ca="1">'GS &gt; 50 OLS Model (LC)'!$B$6*D103</f>
        <v>9606.6872501819107</v>
      </c>
      <c r="R103" s="186">
        <f ca="1">'GS &gt; 50 OLS Model (LC)'!$B$7*E103</f>
        <v>8343001.6066957684</v>
      </c>
      <c r="S103" s="186">
        <f>'GS &gt; 50 OLS Model (LC)'!$B$8*F103</f>
        <v>33821938.985666931</v>
      </c>
      <c r="T103" s="186">
        <v>0</v>
      </c>
      <c r="U103" s="186">
        <f>'GS &gt; 50 OLS Model (LC)'!$B$9*H103</f>
        <v>0</v>
      </c>
      <c r="V103" s="186">
        <f>'GS &gt; 50 OLS Model (LC)'!$B$10*I103</f>
        <v>1260255.0136768401</v>
      </c>
      <c r="W103" s="186">
        <f>'GS &gt; 50 OLS Model (LC)'!$B$11*J103</f>
        <v>0</v>
      </c>
      <c r="X103" s="186">
        <f>'GS &gt; 50 OLS Model (LC)'!$B$12*K103</f>
        <v>0</v>
      </c>
      <c r="Y103" s="186">
        <v>0</v>
      </c>
      <c r="Z103" s="186">
        <f>'GS &gt; 50 OLS Model (LC)'!$B$13*M103</f>
        <v>33683171.091442198</v>
      </c>
      <c r="AA103" s="186">
        <f>'GS &gt; 50 OLS Model (LC)'!$B$14*N103</f>
        <v>14249117.501484888</v>
      </c>
      <c r="AB103" s="186">
        <f t="shared" ca="1" si="8"/>
        <v>82930544.039417043</v>
      </c>
    </row>
    <row r="104" spans="1:28">
      <c r="A104" s="128">
        <v>42917</v>
      </c>
      <c r="B104" s="186">
        <f t="shared" si="7"/>
        <v>2017</v>
      </c>
      <c r="C104" s="124">
        <f ca="1">'Monthly Data'!T104</f>
        <v>86176054.430500627</v>
      </c>
      <c r="D104" s="186">
        <f t="shared" ca="1" si="10"/>
        <v>0.58105263157894704</v>
      </c>
      <c r="E104" s="186">
        <f t="shared" ca="1" si="10"/>
        <v>186.96526315789481</v>
      </c>
      <c r="F104" s="186">
        <f>'Monthly Data'!BL104</f>
        <v>651932.30000000005</v>
      </c>
      <c r="G104" s="186">
        <f t="shared" si="12"/>
        <v>103</v>
      </c>
      <c r="H104" s="186">
        <f t="shared" si="13"/>
        <v>0</v>
      </c>
      <c r="I104" s="186">
        <f t="shared" si="13"/>
        <v>0</v>
      </c>
      <c r="J104" s="186">
        <f t="shared" si="13"/>
        <v>0</v>
      </c>
      <c r="K104" s="186">
        <f t="shared" si="13"/>
        <v>0</v>
      </c>
      <c r="L104" s="186">
        <f t="shared" si="13"/>
        <v>0</v>
      </c>
      <c r="M104" s="186">
        <f t="shared" si="14"/>
        <v>31</v>
      </c>
      <c r="N104" s="186">
        <v>20</v>
      </c>
      <c r="P104" s="186">
        <f>'GS &gt; 50 OLS Model (LC)'!$B$5</f>
        <v>-8436546.8467997499</v>
      </c>
      <c r="Q104" s="186">
        <f ca="1">'GS &gt; 50 OLS Model (LC)'!$B$6*D104</f>
        <v>14071.356912322552</v>
      </c>
      <c r="R104" s="186">
        <f ca="1">'GS &gt; 50 OLS Model (LC)'!$B$7*E104</f>
        <v>13344249.732112395</v>
      </c>
      <c r="S104" s="186">
        <f>'GS &gt; 50 OLS Model (LC)'!$B$8*F104</f>
        <v>33821938.985666931</v>
      </c>
      <c r="T104" s="186">
        <v>0</v>
      </c>
      <c r="U104" s="186">
        <f>'GS &gt; 50 OLS Model (LC)'!$B$9*H104</f>
        <v>0</v>
      </c>
      <c r="V104" s="186">
        <f>'GS &gt; 50 OLS Model (LC)'!$B$10*I104</f>
        <v>0</v>
      </c>
      <c r="W104" s="186">
        <f>'GS &gt; 50 OLS Model (LC)'!$B$11*J104</f>
        <v>0</v>
      </c>
      <c r="X104" s="186">
        <f>'GS &gt; 50 OLS Model (LC)'!$B$12*K104</f>
        <v>0</v>
      </c>
      <c r="Y104" s="186">
        <v>0</v>
      </c>
      <c r="Z104" s="186">
        <f>'GS &gt; 50 OLS Model (LC)'!$B$13*M104</f>
        <v>34805943.461156942</v>
      </c>
      <c r="AA104" s="186">
        <f>'GS &gt; 50 OLS Model (LC)'!$B$14*N104</f>
        <v>12953743.18316808</v>
      </c>
      <c r="AB104" s="186">
        <f t="shared" ca="1" si="8"/>
        <v>86503399.872216925</v>
      </c>
    </row>
    <row r="105" spans="1:28">
      <c r="A105" s="128">
        <v>42948</v>
      </c>
      <c r="B105" s="186">
        <f t="shared" si="7"/>
        <v>2017</v>
      </c>
      <c r="C105" s="124">
        <f ca="1">'Monthly Data'!T105</f>
        <v>85719841.727218375</v>
      </c>
      <c r="D105" s="186">
        <f t="shared" ca="1" si="10"/>
        <v>1.6660902255639058</v>
      </c>
      <c r="E105" s="186">
        <f t="shared" ca="1" si="10"/>
        <v>167.43443609022574</v>
      </c>
      <c r="F105" s="186">
        <f>'Monthly Data'!BL105</f>
        <v>651932.30000000005</v>
      </c>
      <c r="G105" s="186">
        <f t="shared" si="12"/>
        <v>104</v>
      </c>
      <c r="H105" s="186">
        <f t="shared" si="13"/>
        <v>0</v>
      </c>
      <c r="I105" s="186">
        <f t="shared" si="13"/>
        <v>0</v>
      </c>
      <c r="J105" s="186">
        <f t="shared" si="13"/>
        <v>1</v>
      </c>
      <c r="K105" s="186">
        <f t="shared" si="13"/>
        <v>0</v>
      </c>
      <c r="L105" s="186">
        <f t="shared" si="13"/>
        <v>0</v>
      </c>
      <c r="M105" s="186">
        <f t="shared" si="14"/>
        <v>31</v>
      </c>
      <c r="N105" s="186">
        <v>22</v>
      </c>
      <c r="P105" s="186">
        <f>'GS &gt; 50 OLS Model (LC)'!$B$5</f>
        <v>-8436546.8467997499</v>
      </c>
      <c r="Q105" s="186">
        <f ca="1">'GS &gt; 50 OLS Model (LC)'!$B$6*D105</f>
        <v>40347.722285216725</v>
      </c>
      <c r="R105" s="186">
        <f ca="1">'GS &gt; 50 OLS Model (LC)'!$B$7*E105</f>
        <v>11950278.30948735</v>
      </c>
      <c r="S105" s="186">
        <f>'GS &gt; 50 OLS Model (LC)'!$B$8*F105</f>
        <v>33821938.985666931</v>
      </c>
      <c r="T105" s="186">
        <v>0</v>
      </c>
      <c r="U105" s="186">
        <f>'GS &gt; 50 OLS Model (LC)'!$B$9*H105</f>
        <v>0</v>
      </c>
      <c r="V105" s="186">
        <f>'GS &gt; 50 OLS Model (LC)'!$B$10*I105</f>
        <v>0</v>
      </c>
      <c r="W105" s="186">
        <f>'GS &gt; 50 OLS Model (LC)'!$B$11*J105</f>
        <v>2501012.7689915099</v>
      </c>
      <c r="X105" s="186">
        <f>'GS &gt; 50 OLS Model (LC)'!$B$12*K105</f>
        <v>0</v>
      </c>
      <c r="Y105" s="186">
        <v>0</v>
      </c>
      <c r="Z105" s="186">
        <f>'GS &gt; 50 OLS Model (LC)'!$B$13*M105</f>
        <v>34805943.461156942</v>
      </c>
      <c r="AA105" s="186">
        <f>'GS &gt; 50 OLS Model (LC)'!$B$14*N105</f>
        <v>14249117.501484888</v>
      </c>
      <c r="AB105" s="186">
        <f t="shared" ca="1" si="8"/>
        <v>88932091.902273074</v>
      </c>
    </row>
    <row r="106" spans="1:28">
      <c r="A106" s="128">
        <v>42979</v>
      </c>
      <c r="B106" s="186">
        <f t="shared" si="7"/>
        <v>2017</v>
      </c>
      <c r="C106" s="124">
        <f ca="1">'Monthly Data'!T106</f>
        <v>80616907.03949745</v>
      </c>
      <c r="D106" s="186">
        <f t="shared" ca="1" si="10"/>
        <v>30.410827067669118</v>
      </c>
      <c r="E106" s="186">
        <f t="shared" ca="1" si="10"/>
        <v>83.003533834586506</v>
      </c>
      <c r="F106" s="186">
        <f>'Monthly Data'!BL106</f>
        <v>651932.30000000005</v>
      </c>
      <c r="G106" s="186">
        <f t="shared" si="12"/>
        <v>105</v>
      </c>
      <c r="H106" s="186">
        <f t="shared" si="13"/>
        <v>0</v>
      </c>
      <c r="I106" s="186">
        <f t="shared" si="13"/>
        <v>0</v>
      </c>
      <c r="J106" s="186">
        <f t="shared" si="13"/>
        <v>0</v>
      </c>
      <c r="K106" s="186">
        <f t="shared" si="13"/>
        <v>1</v>
      </c>
      <c r="L106" s="186">
        <f t="shared" si="13"/>
        <v>0</v>
      </c>
      <c r="M106" s="186">
        <f t="shared" si="14"/>
        <v>30</v>
      </c>
      <c r="N106" s="186">
        <v>20</v>
      </c>
      <c r="P106" s="186">
        <f>'GS &gt; 50 OLS Model (LC)'!$B$5</f>
        <v>-8436546.8467997499</v>
      </c>
      <c r="Q106" s="186">
        <f ca="1">'GS &gt; 50 OLS Model (LC)'!$B$6*D106</f>
        <v>736459.27823312907</v>
      </c>
      <c r="R106" s="186">
        <f ca="1">'GS &gt; 50 OLS Model (LC)'!$B$7*E106</f>
        <v>5924201.4555461155</v>
      </c>
      <c r="S106" s="186">
        <f>'GS &gt; 50 OLS Model (LC)'!$B$8*F106</f>
        <v>33821938.985666931</v>
      </c>
      <c r="T106" s="186">
        <v>0</v>
      </c>
      <c r="U106" s="186">
        <f>'GS &gt; 50 OLS Model (LC)'!$B$9*H106</f>
        <v>0</v>
      </c>
      <c r="V106" s="186">
        <f>'GS &gt; 50 OLS Model (LC)'!$B$10*I106</f>
        <v>0</v>
      </c>
      <c r="W106" s="186">
        <f>'GS &gt; 50 OLS Model (LC)'!$B$11*J106</f>
        <v>0</v>
      </c>
      <c r="X106" s="186">
        <f>'GS &gt; 50 OLS Model (LC)'!$B$12*K106</f>
        <v>2346294.5864150901</v>
      </c>
      <c r="Y106" s="186">
        <v>0</v>
      </c>
      <c r="Z106" s="186">
        <f>'GS &gt; 50 OLS Model (LC)'!$B$13*M106</f>
        <v>33683171.091442198</v>
      </c>
      <c r="AA106" s="186">
        <f>'GS &gt; 50 OLS Model (LC)'!$B$14*N106</f>
        <v>12953743.18316808</v>
      </c>
      <c r="AB106" s="186">
        <f t="shared" ca="1" si="8"/>
        <v>81029261.733671799</v>
      </c>
    </row>
    <row r="107" spans="1:28">
      <c r="A107" s="128">
        <v>43009</v>
      </c>
      <c r="B107" s="186">
        <f t="shared" si="7"/>
        <v>2017</v>
      </c>
      <c r="C107" s="124">
        <f ca="1">'Monthly Data'!T107</f>
        <v>79586762.162742123</v>
      </c>
      <c r="D107" s="186">
        <f t="shared" ca="1" si="10"/>
        <v>158.93676691729343</v>
      </c>
      <c r="E107" s="186">
        <f t="shared" ca="1" si="10"/>
        <v>16.916090225563948</v>
      </c>
      <c r="F107" s="186">
        <f>'Monthly Data'!BL107</f>
        <v>651932.30000000005</v>
      </c>
      <c r="G107" s="186">
        <f t="shared" si="12"/>
        <v>106</v>
      </c>
      <c r="H107" s="186">
        <f t="shared" si="13"/>
        <v>0</v>
      </c>
      <c r="I107" s="186">
        <f t="shared" si="13"/>
        <v>0</v>
      </c>
      <c r="J107" s="186">
        <f t="shared" si="13"/>
        <v>0</v>
      </c>
      <c r="K107" s="186">
        <f t="shared" si="13"/>
        <v>0</v>
      </c>
      <c r="L107" s="186">
        <f t="shared" si="13"/>
        <v>1</v>
      </c>
      <c r="M107" s="186">
        <f t="shared" si="14"/>
        <v>31</v>
      </c>
      <c r="N107" s="186">
        <v>21</v>
      </c>
      <c r="P107" s="186">
        <f>'GS &gt; 50 OLS Model (LC)'!$B$5</f>
        <v>-8436546.8467997499</v>
      </c>
      <c r="Q107" s="186">
        <f ca="1">'GS &gt; 50 OLS Model (LC)'!$B$6*D107</f>
        <v>3848973.1432874338</v>
      </c>
      <c r="R107" s="186">
        <f ca="1">'GS &gt; 50 OLS Model (LC)'!$B$7*E107</f>
        <v>1207350.1176003828</v>
      </c>
      <c r="S107" s="186">
        <f>'GS &gt; 50 OLS Model (LC)'!$B$8*F107</f>
        <v>33821938.985666931</v>
      </c>
      <c r="T107" s="186">
        <v>0</v>
      </c>
      <c r="U107" s="186">
        <f>'GS &gt; 50 OLS Model (LC)'!$B$9*H107</f>
        <v>0</v>
      </c>
      <c r="V107" s="186">
        <f>'GS &gt; 50 OLS Model (LC)'!$B$10*I107</f>
        <v>0</v>
      </c>
      <c r="W107" s="186">
        <f>'GS &gt; 50 OLS Model (LC)'!$B$11*J107</f>
        <v>0</v>
      </c>
      <c r="X107" s="186">
        <f>'GS &gt; 50 OLS Model (LC)'!$B$12*K107</f>
        <v>0</v>
      </c>
      <c r="Y107" s="186">
        <v>0</v>
      </c>
      <c r="Z107" s="186">
        <f>'GS &gt; 50 OLS Model (LC)'!$B$13*M107</f>
        <v>34805943.461156942</v>
      </c>
      <c r="AA107" s="186">
        <f>'GS &gt; 50 OLS Model (LC)'!$B$14*N107</f>
        <v>13601430.342326485</v>
      </c>
      <c r="AB107" s="186">
        <f t="shared" ca="1" si="8"/>
        <v>78849089.203238428</v>
      </c>
    </row>
    <row r="108" spans="1:28">
      <c r="A108" s="128">
        <v>43040</v>
      </c>
      <c r="B108" s="186">
        <f t="shared" si="7"/>
        <v>2017</v>
      </c>
      <c r="C108" s="124">
        <f ca="1">'Monthly Data'!T108</f>
        <v>81281637.015617713</v>
      </c>
      <c r="D108" s="186">
        <f t="shared" ca="1" si="10"/>
        <v>375.92533834586447</v>
      </c>
      <c r="E108" s="186">
        <f t="shared" ca="1" si="10"/>
        <v>8.120300751879661E-2</v>
      </c>
      <c r="F108" s="186">
        <f>'Monthly Data'!BL108</f>
        <v>651932.30000000005</v>
      </c>
      <c r="G108" s="186">
        <f t="shared" si="12"/>
        <v>107</v>
      </c>
      <c r="H108" s="186">
        <f t="shared" si="13"/>
        <v>0</v>
      </c>
      <c r="I108" s="186">
        <f t="shared" si="13"/>
        <v>0</v>
      </c>
      <c r="J108" s="186">
        <f t="shared" si="13"/>
        <v>0</v>
      </c>
      <c r="K108" s="186">
        <f t="shared" si="13"/>
        <v>0</v>
      </c>
      <c r="L108" s="186">
        <f t="shared" si="13"/>
        <v>0</v>
      </c>
      <c r="M108" s="186">
        <f t="shared" si="14"/>
        <v>30</v>
      </c>
      <c r="N108" s="186">
        <v>22</v>
      </c>
      <c r="P108" s="186">
        <f>'GS &gt; 50 OLS Model (LC)'!$B$5</f>
        <v>-8436546.8467997499</v>
      </c>
      <c r="Q108" s="186">
        <f ca="1">'GS &gt; 50 OLS Model (LC)'!$B$6*D108</f>
        <v>9103787.36927131</v>
      </c>
      <c r="R108" s="186">
        <f ca="1">'GS &gt; 50 OLS Model (LC)'!$B$7*E108</f>
        <v>5795.6927026295389</v>
      </c>
      <c r="S108" s="186">
        <f>'GS &gt; 50 OLS Model (LC)'!$B$8*F108</f>
        <v>33821938.985666931</v>
      </c>
      <c r="T108" s="186">
        <v>0</v>
      </c>
      <c r="U108" s="186">
        <f>'GS &gt; 50 OLS Model (LC)'!$B$9*H108</f>
        <v>0</v>
      </c>
      <c r="V108" s="186">
        <f>'GS &gt; 50 OLS Model (LC)'!$B$10*I108</f>
        <v>0</v>
      </c>
      <c r="W108" s="186">
        <f>'GS &gt; 50 OLS Model (LC)'!$B$11*J108</f>
        <v>0</v>
      </c>
      <c r="X108" s="186">
        <f>'GS &gt; 50 OLS Model (LC)'!$B$12*K108</f>
        <v>0</v>
      </c>
      <c r="Y108" s="186">
        <v>0</v>
      </c>
      <c r="Z108" s="186">
        <f>'GS &gt; 50 OLS Model (LC)'!$B$13*M108</f>
        <v>33683171.091442198</v>
      </c>
      <c r="AA108" s="186">
        <f>'GS &gt; 50 OLS Model (LC)'!$B$14*N108</f>
        <v>14249117.501484888</v>
      </c>
      <c r="AB108" s="186">
        <f t="shared" ca="1" si="8"/>
        <v>82427263.793768212</v>
      </c>
    </row>
    <row r="109" spans="1:28">
      <c r="A109" s="128">
        <v>43070</v>
      </c>
      <c r="B109" s="186">
        <f t="shared" si="7"/>
        <v>2017</v>
      </c>
      <c r="C109" s="124">
        <f ca="1">'Monthly Data'!T109</f>
        <v>86442800.41125229</v>
      </c>
      <c r="D109" s="186">
        <f t="shared" ca="1" si="10"/>
        <v>548.76120300751859</v>
      </c>
      <c r="E109" s="186">
        <f t="shared" ca="1" si="10"/>
        <v>0</v>
      </c>
      <c r="F109" s="186">
        <f>'Monthly Data'!BL109</f>
        <v>651932.30000000005</v>
      </c>
      <c r="G109" s="186">
        <f t="shared" si="12"/>
        <v>108</v>
      </c>
      <c r="H109" s="186">
        <f t="shared" si="13"/>
        <v>0</v>
      </c>
      <c r="I109" s="186">
        <f t="shared" si="13"/>
        <v>0</v>
      </c>
      <c r="J109" s="186">
        <f t="shared" si="13"/>
        <v>0</v>
      </c>
      <c r="K109" s="186">
        <f t="shared" si="13"/>
        <v>0</v>
      </c>
      <c r="L109" s="186">
        <f t="shared" si="13"/>
        <v>0</v>
      </c>
      <c r="M109" s="186">
        <f t="shared" si="14"/>
        <v>31</v>
      </c>
      <c r="N109" s="186">
        <v>19</v>
      </c>
      <c r="P109" s="186">
        <f>'GS &gt; 50 OLS Model (LC)'!$B$5</f>
        <v>-8436546.8467997499</v>
      </c>
      <c r="Q109" s="186">
        <f ca="1">'GS &gt; 50 OLS Model (LC)'!$B$6*D109</f>
        <v>13289355.090211187</v>
      </c>
      <c r="R109" s="186">
        <f ca="1">'GS &gt; 50 OLS Model (LC)'!$B$7*E109</f>
        <v>0</v>
      </c>
      <c r="S109" s="186">
        <f>'GS &gt; 50 OLS Model (LC)'!$B$8*F109</f>
        <v>33821938.985666931</v>
      </c>
      <c r="T109" s="186">
        <v>0</v>
      </c>
      <c r="U109" s="186">
        <f>'GS &gt; 50 OLS Model (LC)'!$B$9*H109</f>
        <v>0</v>
      </c>
      <c r="V109" s="186">
        <f>'GS &gt; 50 OLS Model (LC)'!$B$10*I109</f>
        <v>0</v>
      </c>
      <c r="W109" s="186">
        <f>'GS &gt; 50 OLS Model (LC)'!$B$11*J109</f>
        <v>0</v>
      </c>
      <c r="X109" s="186">
        <f>'GS &gt; 50 OLS Model (LC)'!$B$12*K109</f>
        <v>0</v>
      </c>
      <c r="Y109" s="186">
        <v>0</v>
      </c>
      <c r="Z109" s="186">
        <f>'GS &gt; 50 OLS Model (LC)'!$B$13*M109</f>
        <v>34805943.461156942</v>
      </c>
      <c r="AA109" s="186">
        <f>'GS &gt; 50 OLS Model (LC)'!$B$14*N109</f>
        <v>12306056.024009675</v>
      </c>
      <c r="AB109" s="186">
        <f t="shared" ca="1" si="8"/>
        <v>85786746.714244992</v>
      </c>
    </row>
    <row r="110" spans="1:28">
      <c r="A110" s="128">
        <v>43101</v>
      </c>
      <c r="B110" s="186">
        <f t="shared" si="7"/>
        <v>2018</v>
      </c>
      <c r="C110" s="124">
        <f ca="1">'Monthly Data'!T110</f>
        <v>93065533.775852472</v>
      </c>
      <c r="D110" s="186">
        <f t="shared" ref="D110:E125" ca="1" si="15">D98</f>
        <v>665.14879699248104</v>
      </c>
      <c r="E110" s="186">
        <f t="shared" ca="1" si="15"/>
        <v>0</v>
      </c>
      <c r="F110" s="186">
        <f>'Monthly Data'!BL110</f>
        <v>665994.78021817585</v>
      </c>
      <c r="G110" s="186">
        <f t="shared" si="12"/>
        <v>109</v>
      </c>
      <c r="H110" s="186">
        <f t="shared" si="13"/>
        <v>0</v>
      </c>
      <c r="I110" s="186">
        <f t="shared" si="13"/>
        <v>0</v>
      </c>
      <c r="J110" s="186">
        <f t="shared" si="13"/>
        <v>0</v>
      </c>
      <c r="K110" s="186">
        <f t="shared" si="13"/>
        <v>0</v>
      </c>
      <c r="L110" s="186">
        <f t="shared" si="13"/>
        <v>0</v>
      </c>
      <c r="M110" s="186">
        <f t="shared" si="14"/>
        <v>31</v>
      </c>
      <c r="N110" s="186">
        <v>22</v>
      </c>
      <c r="P110" s="186">
        <f>'GS &gt; 50 OLS Model (LC)'!$B$5</f>
        <v>-8436546.8467997499</v>
      </c>
      <c r="Q110" s="186">
        <f ca="1">'GS &gt; 50 OLS Model (LC)'!$B$6*D110</f>
        <v>16107914.522045333</v>
      </c>
      <c r="R110" s="186">
        <f ca="1">'GS &gt; 50 OLS Model (LC)'!$B$7*E110</f>
        <v>0</v>
      </c>
      <c r="S110" s="186">
        <f>'GS &gt; 50 OLS Model (LC)'!$B$8*F110</f>
        <v>34551493.799757734</v>
      </c>
      <c r="T110" s="186">
        <v>0</v>
      </c>
      <c r="U110" s="186">
        <f>'GS &gt; 50 OLS Model (LC)'!$B$9*H110</f>
        <v>0</v>
      </c>
      <c r="V110" s="186">
        <f>'GS &gt; 50 OLS Model (LC)'!$B$10*I110</f>
        <v>0</v>
      </c>
      <c r="W110" s="186">
        <f>'GS &gt; 50 OLS Model (LC)'!$B$11*J110</f>
        <v>0</v>
      </c>
      <c r="X110" s="186">
        <f>'GS &gt; 50 OLS Model (LC)'!$B$12*K110</f>
        <v>0</v>
      </c>
      <c r="Y110" s="186">
        <v>0</v>
      </c>
      <c r="Z110" s="186">
        <f>'GS &gt; 50 OLS Model (LC)'!$B$13*M110</f>
        <v>34805943.461156942</v>
      </c>
      <c r="AA110" s="186">
        <f>'GS &gt; 50 OLS Model (LC)'!$B$14*N110</f>
        <v>14249117.501484888</v>
      </c>
      <c r="AB110" s="186">
        <f t="shared" ca="1" si="8"/>
        <v>91277922.437645152</v>
      </c>
    </row>
    <row r="111" spans="1:28">
      <c r="A111" s="128">
        <v>43132</v>
      </c>
      <c r="B111" s="186">
        <f t="shared" si="7"/>
        <v>2018</v>
      </c>
      <c r="C111" s="124">
        <f ca="1">'Monthly Data'!T111</f>
        <v>82075594.518568248</v>
      </c>
      <c r="D111" s="186">
        <f t="shared" ca="1" si="15"/>
        <v>611.17548872180487</v>
      </c>
      <c r="E111" s="186">
        <f t="shared" ca="1" si="15"/>
        <v>0</v>
      </c>
      <c r="F111" s="186">
        <f>'Monthly Data'!BL111</f>
        <v>665994.78021817585</v>
      </c>
      <c r="G111" s="186">
        <f t="shared" si="12"/>
        <v>110</v>
      </c>
      <c r="H111" s="186">
        <f t="shared" si="13"/>
        <v>0</v>
      </c>
      <c r="I111" s="186">
        <f t="shared" si="13"/>
        <v>0</v>
      </c>
      <c r="J111" s="186">
        <f t="shared" si="13"/>
        <v>0</v>
      </c>
      <c r="K111" s="186">
        <f t="shared" si="13"/>
        <v>0</v>
      </c>
      <c r="L111" s="186">
        <f t="shared" si="13"/>
        <v>0</v>
      </c>
      <c r="M111" s="186">
        <f t="shared" si="14"/>
        <v>28</v>
      </c>
      <c r="N111" s="186">
        <v>19</v>
      </c>
      <c r="P111" s="186">
        <f>'GS &gt; 50 OLS Model (LC)'!$B$5</f>
        <v>-8436546.8467997499</v>
      </c>
      <c r="Q111" s="186">
        <f ca="1">'GS &gt; 50 OLS Model (LC)'!$B$6*D111</f>
        <v>14800842.420243302</v>
      </c>
      <c r="R111" s="186">
        <f ca="1">'GS &gt; 50 OLS Model (LC)'!$B$7*E111</f>
        <v>0</v>
      </c>
      <c r="S111" s="186">
        <f>'GS &gt; 50 OLS Model (LC)'!$B$8*F111</f>
        <v>34551493.799757734</v>
      </c>
      <c r="T111" s="186">
        <v>0</v>
      </c>
      <c r="U111" s="186">
        <f>'GS &gt; 50 OLS Model (LC)'!$B$9*H111</f>
        <v>0</v>
      </c>
      <c r="V111" s="186">
        <f>'GS &gt; 50 OLS Model (LC)'!$B$10*I111</f>
        <v>0</v>
      </c>
      <c r="W111" s="186">
        <f>'GS &gt; 50 OLS Model (LC)'!$B$11*J111</f>
        <v>0</v>
      </c>
      <c r="X111" s="186">
        <f>'GS &gt; 50 OLS Model (LC)'!$B$12*K111</f>
        <v>0</v>
      </c>
      <c r="Y111" s="186">
        <v>0</v>
      </c>
      <c r="Z111" s="186">
        <f>'GS &gt; 50 OLS Model (LC)'!$B$13*M111</f>
        <v>31437626.35201272</v>
      </c>
      <c r="AA111" s="186">
        <f>'GS &gt; 50 OLS Model (LC)'!$B$14*N111</f>
        <v>12306056.024009675</v>
      </c>
      <c r="AB111" s="186">
        <f t="shared" ca="1" si="8"/>
        <v>84659471.749223679</v>
      </c>
    </row>
    <row r="112" spans="1:28">
      <c r="A112" s="128">
        <v>43160</v>
      </c>
      <c r="B112" s="186">
        <f t="shared" si="7"/>
        <v>2018</v>
      </c>
      <c r="C112" s="124">
        <f ca="1">'Monthly Data'!T112</f>
        <v>87168792.866108581</v>
      </c>
      <c r="D112" s="186">
        <f t="shared" ca="1" si="15"/>
        <v>458.46436090225569</v>
      </c>
      <c r="E112" s="186">
        <f t="shared" ca="1" si="15"/>
        <v>0.45218045112781802</v>
      </c>
      <c r="F112" s="186">
        <f>'Monthly Data'!BL112</f>
        <v>665994.78021817585</v>
      </c>
      <c r="G112" s="186">
        <f t="shared" si="12"/>
        <v>111</v>
      </c>
      <c r="H112" s="186">
        <f t="shared" si="13"/>
        <v>0</v>
      </c>
      <c r="I112" s="186">
        <f t="shared" si="13"/>
        <v>0</v>
      </c>
      <c r="J112" s="186">
        <f t="shared" si="13"/>
        <v>0</v>
      </c>
      <c r="K112" s="186">
        <f t="shared" si="13"/>
        <v>0</v>
      </c>
      <c r="L112" s="186">
        <f t="shared" si="13"/>
        <v>0</v>
      </c>
      <c r="M112" s="186">
        <f t="shared" si="14"/>
        <v>31</v>
      </c>
      <c r="N112" s="186">
        <v>21</v>
      </c>
      <c r="P112" s="186">
        <f>'GS &gt; 50 OLS Model (LC)'!$B$5</f>
        <v>-8436546.8467997499</v>
      </c>
      <c r="Q112" s="186">
        <f ca="1">'GS &gt; 50 OLS Model (LC)'!$B$6*D112</f>
        <v>11102635.636129936</v>
      </c>
      <c r="R112" s="186">
        <f ca="1">'GS &gt; 50 OLS Model (LC)'!$B$7*E112</f>
        <v>32273.422142235275</v>
      </c>
      <c r="S112" s="186">
        <f>'GS &gt; 50 OLS Model (LC)'!$B$8*F112</f>
        <v>34551493.799757734</v>
      </c>
      <c r="T112" s="186">
        <v>0</v>
      </c>
      <c r="U112" s="186">
        <f>'GS &gt; 50 OLS Model (LC)'!$B$9*H112</f>
        <v>0</v>
      </c>
      <c r="V112" s="186">
        <f>'GS &gt; 50 OLS Model (LC)'!$B$10*I112</f>
        <v>0</v>
      </c>
      <c r="W112" s="186">
        <f>'GS &gt; 50 OLS Model (LC)'!$B$11*J112</f>
        <v>0</v>
      </c>
      <c r="X112" s="186">
        <f>'GS &gt; 50 OLS Model (LC)'!$B$12*K112</f>
        <v>0</v>
      </c>
      <c r="Y112" s="186">
        <v>0</v>
      </c>
      <c r="Z112" s="186">
        <f>'GS &gt; 50 OLS Model (LC)'!$B$13*M112</f>
        <v>34805943.461156942</v>
      </c>
      <c r="AA112" s="186">
        <f>'GS &gt; 50 OLS Model (LC)'!$B$14*N112</f>
        <v>13601430.342326485</v>
      </c>
      <c r="AB112" s="186">
        <f t="shared" ca="1" si="8"/>
        <v>85657229.814713597</v>
      </c>
    </row>
    <row r="113" spans="1:28">
      <c r="A113" s="128">
        <v>43191</v>
      </c>
      <c r="B113" s="186">
        <f t="shared" si="7"/>
        <v>2018</v>
      </c>
      <c r="C113" s="124">
        <f ca="1">'Monthly Data'!T113</f>
        <v>80266356.00638777</v>
      </c>
      <c r="D113" s="186">
        <f t="shared" ca="1" si="15"/>
        <v>254.29052631578941</v>
      </c>
      <c r="E113" s="186">
        <f t="shared" ca="1" si="15"/>
        <v>0.50947368421054762</v>
      </c>
      <c r="F113" s="186">
        <f>'Monthly Data'!BL113</f>
        <v>665994.78021817585</v>
      </c>
      <c r="G113" s="186">
        <f t="shared" si="12"/>
        <v>112</v>
      </c>
      <c r="H113" s="186">
        <f t="shared" si="13"/>
        <v>1</v>
      </c>
      <c r="I113" s="186">
        <f t="shared" si="13"/>
        <v>0</v>
      </c>
      <c r="J113" s="186">
        <f t="shared" si="13"/>
        <v>0</v>
      </c>
      <c r="K113" s="186">
        <f t="shared" si="13"/>
        <v>0</v>
      </c>
      <c r="L113" s="186">
        <f t="shared" si="13"/>
        <v>0</v>
      </c>
      <c r="M113" s="186">
        <f t="shared" si="14"/>
        <v>30</v>
      </c>
      <c r="N113" s="186">
        <v>20</v>
      </c>
      <c r="P113" s="186">
        <f>'GS &gt; 50 OLS Model (LC)'!$B$5</f>
        <v>-8436546.8467997499</v>
      </c>
      <c r="Q113" s="186">
        <f ca="1">'GS &gt; 50 OLS Model (LC)'!$B$6*D113</f>
        <v>6158156.0098754233</v>
      </c>
      <c r="R113" s="186">
        <f ca="1">'GS &gt; 50 OLS Model (LC)'!$B$7*E113</f>
        <v>36362.605326869983</v>
      </c>
      <c r="S113" s="186">
        <f>'GS &gt; 50 OLS Model (LC)'!$B$8*F113</f>
        <v>34551493.799757734</v>
      </c>
      <c r="T113" s="186">
        <v>0</v>
      </c>
      <c r="U113" s="186">
        <f>'GS &gt; 50 OLS Model (LC)'!$B$9*H113</f>
        <v>-1670517.9110053701</v>
      </c>
      <c r="V113" s="186">
        <f>'GS &gt; 50 OLS Model (LC)'!$B$10*I113</f>
        <v>0</v>
      </c>
      <c r="W113" s="186">
        <f>'GS &gt; 50 OLS Model (LC)'!$B$11*J113</f>
        <v>0</v>
      </c>
      <c r="X113" s="186">
        <f>'GS &gt; 50 OLS Model (LC)'!$B$12*K113</f>
        <v>0</v>
      </c>
      <c r="Y113" s="186">
        <v>0</v>
      </c>
      <c r="Z113" s="186">
        <f>'GS &gt; 50 OLS Model (LC)'!$B$13*M113</f>
        <v>33683171.091442198</v>
      </c>
      <c r="AA113" s="186">
        <f>'GS &gt; 50 OLS Model (LC)'!$B$14*N113</f>
        <v>12953743.18316808</v>
      </c>
      <c r="AB113" s="186">
        <f t="shared" ca="1" si="8"/>
        <v>77275861.931765184</v>
      </c>
    </row>
    <row r="114" spans="1:28">
      <c r="A114" s="128">
        <v>43221</v>
      </c>
      <c r="B114" s="186">
        <f t="shared" si="7"/>
        <v>2018</v>
      </c>
      <c r="C114" s="124">
        <f ca="1">'Monthly Data'!T114</f>
        <v>81142404.969656065</v>
      </c>
      <c r="D114" s="186">
        <f t="shared" ca="1" si="15"/>
        <v>102.64150375939857</v>
      </c>
      <c r="E114" s="186">
        <f t="shared" ca="1" si="15"/>
        <v>56.062781954887214</v>
      </c>
      <c r="F114" s="186">
        <f>'Monthly Data'!BL114</f>
        <v>665994.78021817585</v>
      </c>
      <c r="G114" s="186">
        <f t="shared" si="12"/>
        <v>113</v>
      </c>
      <c r="H114" s="186">
        <f t="shared" si="13"/>
        <v>0</v>
      </c>
      <c r="I114" s="186">
        <f t="shared" si="13"/>
        <v>0</v>
      </c>
      <c r="J114" s="186">
        <f t="shared" si="13"/>
        <v>0</v>
      </c>
      <c r="K114" s="186">
        <f t="shared" si="13"/>
        <v>0</v>
      </c>
      <c r="L114" s="186">
        <f t="shared" si="13"/>
        <v>0</v>
      </c>
      <c r="M114" s="186">
        <f t="shared" si="14"/>
        <v>31</v>
      </c>
      <c r="N114" s="186">
        <v>22</v>
      </c>
      <c r="P114" s="186">
        <f>'GS &gt; 50 OLS Model (LC)'!$B$5</f>
        <v>-8436546.8467997499</v>
      </c>
      <c r="Q114" s="186">
        <f ca="1">'GS &gt; 50 OLS Model (LC)'!$B$6*D114</f>
        <v>2485670.238668832</v>
      </c>
      <c r="R114" s="186">
        <f ca="1">'GS &gt; 50 OLS Model (LC)'!$B$7*E114</f>
        <v>4001362.3410418485</v>
      </c>
      <c r="S114" s="186">
        <f>'GS &gt; 50 OLS Model (LC)'!$B$8*F114</f>
        <v>34551493.799757734</v>
      </c>
      <c r="T114" s="186">
        <v>0</v>
      </c>
      <c r="U114" s="186">
        <f>'GS &gt; 50 OLS Model (LC)'!$B$9*H114</f>
        <v>0</v>
      </c>
      <c r="V114" s="186">
        <f>'GS &gt; 50 OLS Model (LC)'!$B$10*I114</f>
        <v>0</v>
      </c>
      <c r="W114" s="186">
        <f>'GS &gt; 50 OLS Model (LC)'!$B$11*J114</f>
        <v>0</v>
      </c>
      <c r="X114" s="186">
        <f>'GS &gt; 50 OLS Model (LC)'!$B$12*K114</f>
        <v>0</v>
      </c>
      <c r="Y114" s="186">
        <v>0</v>
      </c>
      <c r="Z114" s="186">
        <f>'GS &gt; 50 OLS Model (LC)'!$B$13*M114</f>
        <v>34805943.461156942</v>
      </c>
      <c r="AA114" s="186">
        <f>'GS &gt; 50 OLS Model (LC)'!$B$14*N114</f>
        <v>14249117.501484888</v>
      </c>
      <c r="AB114" s="186">
        <f t="shared" ca="1" si="8"/>
        <v>81657040.4953105</v>
      </c>
    </row>
    <row r="115" spans="1:28">
      <c r="A115" s="128">
        <v>43252</v>
      </c>
      <c r="B115" s="186">
        <f t="shared" si="7"/>
        <v>2018</v>
      </c>
      <c r="C115" s="124">
        <f ca="1">'Monthly Data'!T115</f>
        <v>83962098.407322794</v>
      </c>
      <c r="D115" s="186">
        <f t="shared" ca="1" si="15"/>
        <v>0.39669172932326546</v>
      </c>
      <c r="E115" s="186">
        <f t="shared" ca="1" si="15"/>
        <v>116.89315789473682</v>
      </c>
      <c r="F115" s="186">
        <f>'Monthly Data'!BL115</f>
        <v>665994.78021817585</v>
      </c>
      <c r="G115" s="186">
        <f t="shared" si="12"/>
        <v>114</v>
      </c>
      <c r="H115" s="186">
        <f t="shared" ref="H115:L130" si="16">H103</f>
        <v>0</v>
      </c>
      <c r="I115" s="186">
        <f t="shared" si="16"/>
        <v>1</v>
      </c>
      <c r="J115" s="186">
        <f t="shared" si="16"/>
        <v>0</v>
      </c>
      <c r="K115" s="186">
        <f t="shared" si="16"/>
        <v>0</v>
      </c>
      <c r="L115" s="186">
        <f t="shared" si="16"/>
        <v>0</v>
      </c>
      <c r="M115" s="186">
        <f t="shared" si="14"/>
        <v>30</v>
      </c>
      <c r="N115" s="186">
        <v>21</v>
      </c>
      <c r="P115" s="186">
        <f>'GS &gt; 50 OLS Model (LC)'!$B$5</f>
        <v>-8436546.8467997499</v>
      </c>
      <c r="Q115" s="186">
        <f ca="1">'GS &gt; 50 OLS Model (LC)'!$B$6*D115</f>
        <v>9606.6872501819107</v>
      </c>
      <c r="R115" s="186">
        <f ca="1">'GS &gt; 50 OLS Model (LC)'!$B$7*E115</f>
        <v>8343001.6066957684</v>
      </c>
      <c r="S115" s="186">
        <f>'GS &gt; 50 OLS Model (LC)'!$B$8*F115</f>
        <v>34551493.799757734</v>
      </c>
      <c r="T115" s="186">
        <v>0</v>
      </c>
      <c r="U115" s="186">
        <f>'GS &gt; 50 OLS Model (LC)'!$B$9*H115</f>
        <v>0</v>
      </c>
      <c r="V115" s="186">
        <f>'GS &gt; 50 OLS Model (LC)'!$B$10*I115</f>
        <v>1260255.0136768401</v>
      </c>
      <c r="W115" s="186">
        <f>'GS &gt; 50 OLS Model (LC)'!$B$11*J115</f>
        <v>0</v>
      </c>
      <c r="X115" s="186">
        <f>'GS &gt; 50 OLS Model (LC)'!$B$12*K115</f>
        <v>0</v>
      </c>
      <c r="Y115" s="186">
        <v>0</v>
      </c>
      <c r="Z115" s="186">
        <f>'GS &gt; 50 OLS Model (LC)'!$B$13*M115</f>
        <v>33683171.091442198</v>
      </c>
      <c r="AA115" s="186">
        <f>'GS &gt; 50 OLS Model (LC)'!$B$14*N115</f>
        <v>13601430.342326485</v>
      </c>
      <c r="AB115" s="186">
        <f t="shared" ca="1" si="8"/>
        <v>83012411.694349468</v>
      </c>
    </row>
    <row r="116" spans="1:28">
      <c r="A116" s="128">
        <v>43282</v>
      </c>
      <c r="B116" s="186">
        <f t="shared" si="7"/>
        <v>2018</v>
      </c>
      <c r="C116" s="124">
        <f ca="1">'Monthly Data'!T116</f>
        <v>88154358.02033484</v>
      </c>
      <c r="D116" s="186">
        <f t="shared" ca="1" si="15"/>
        <v>0.58105263157894704</v>
      </c>
      <c r="E116" s="186">
        <f t="shared" ca="1" si="15"/>
        <v>186.96526315789481</v>
      </c>
      <c r="F116" s="186">
        <f>'Monthly Data'!BL116</f>
        <v>665994.78021817585</v>
      </c>
      <c r="G116" s="186">
        <f t="shared" si="12"/>
        <v>115</v>
      </c>
      <c r="H116" s="186">
        <f t="shared" si="16"/>
        <v>0</v>
      </c>
      <c r="I116" s="186">
        <f t="shared" si="16"/>
        <v>0</v>
      </c>
      <c r="J116" s="186">
        <f t="shared" si="16"/>
        <v>0</v>
      </c>
      <c r="K116" s="186">
        <f t="shared" si="16"/>
        <v>0</v>
      </c>
      <c r="L116" s="186">
        <f t="shared" si="16"/>
        <v>0</v>
      </c>
      <c r="M116" s="186">
        <f t="shared" si="14"/>
        <v>31</v>
      </c>
      <c r="N116" s="186">
        <v>21</v>
      </c>
      <c r="P116" s="186">
        <f>'GS &gt; 50 OLS Model (LC)'!$B$5</f>
        <v>-8436546.8467997499</v>
      </c>
      <c r="Q116" s="186">
        <f ca="1">'GS &gt; 50 OLS Model (LC)'!$B$6*D116</f>
        <v>14071.356912322552</v>
      </c>
      <c r="R116" s="186">
        <f ca="1">'GS &gt; 50 OLS Model (LC)'!$B$7*E116</f>
        <v>13344249.732112395</v>
      </c>
      <c r="S116" s="186">
        <f>'GS &gt; 50 OLS Model (LC)'!$B$8*F116</f>
        <v>34551493.799757734</v>
      </c>
      <c r="T116" s="186">
        <v>0</v>
      </c>
      <c r="U116" s="186">
        <f>'GS &gt; 50 OLS Model (LC)'!$B$9*H116</f>
        <v>0</v>
      </c>
      <c r="V116" s="186">
        <f>'GS &gt; 50 OLS Model (LC)'!$B$10*I116</f>
        <v>0</v>
      </c>
      <c r="W116" s="186">
        <f>'GS &gt; 50 OLS Model (LC)'!$B$11*J116</f>
        <v>0</v>
      </c>
      <c r="X116" s="186">
        <f>'GS &gt; 50 OLS Model (LC)'!$B$12*K116</f>
        <v>0</v>
      </c>
      <c r="Y116" s="186">
        <v>0</v>
      </c>
      <c r="Z116" s="186">
        <f>'GS &gt; 50 OLS Model (LC)'!$B$13*M116</f>
        <v>34805943.461156942</v>
      </c>
      <c r="AA116" s="186">
        <f>'GS &gt; 50 OLS Model (LC)'!$B$14*N116</f>
        <v>13601430.342326485</v>
      </c>
      <c r="AB116" s="186">
        <f t="shared" ca="1" si="8"/>
        <v>87880641.845466137</v>
      </c>
    </row>
    <row r="117" spans="1:28">
      <c r="A117" s="128">
        <v>43313</v>
      </c>
      <c r="B117" s="186">
        <f t="shared" si="7"/>
        <v>2018</v>
      </c>
      <c r="C117" s="124">
        <f ca="1">'Monthly Data'!T117</f>
        <v>89701635.106067449</v>
      </c>
      <c r="D117" s="186">
        <f t="shared" ca="1" si="15"/>
        <v>1.6660902255639058</v>
      </c>
      <c r="E117" s="186">
        <f t="shared" ca="1" si="15"/>
        <v>167.43443609022574</v>
      </c>
      <c r="F117" s="186">
        <f>'Monthly Data'!BL117</f>
        <v>665994.78021817585</v>
      </c>
      <c r="G117" s="186">
        <f t="shared" si="12"/>
        <v>116</v>
      </c>
      <c r="H117" s="186">
        <f t="shared" si="16"/>
        <v>0</v>
      </c>
      <c r="I117" s="186">
        <f t="shared" si="16"/>
        <v>0</v>
      </c>
      <c r="J117" s="186">
        <f t="shared" si="16"/>
        <v>1</v>
      </c>
      <c r="K117" s="186">
        <f t="shared" si="16"/>
        <v>0</v>
      </c>
      <c r="L117" s="186">
        <f t="shared" si="16"/>
        <v>0</v>
      </c>
      <c r="M117" s="186">
        <f t="shared" si="14"/>
        <v>31</v>
      </c>
      <c r="N117" s="186">
        <v>22</v>
      </c>
      <c r="P117" s="186">
        <f>'GS &gt; 50 OLS Model (LC)'!$B$5</f>
        <v>-8436546.8467997499</v>
      </c>
      <c r="Q117" s="186">
        <f ca="1">'GS &gt; 50 OLS Model (LC)'!$B$6*D117</f>
        <v>40347.722285216725</v>
      </c>
      <c r="R117" s="186">
        <f ca="1">'GS &gt; 50 OLS Model (LC)'!$B$7*E117</f>
        <v>11950278.30948735</v>
      </c>
      <c r="S117" s="186">
        <f>'GS &gt; 50 OLS Model (LC)'!$B$8*F117</f>
        <v>34551493.799757734</v>
      </c>
      <c r="T117" s="186">
        <v>0</v>
      </c>
      <c r="U117" s="186">
        <f>'GS &gt; 50 OLS Model (LC)'!$B$9*H117</f>
        <v>0</v>
      </c>
      <c r="V117" s="186">
        <f>'GS &gt; 50 OLS Model (LC)'!$B$10*I117</f>
        <v>0</v>
      </c>
      <c r="W117" s="186">
        <f>'GS &gt; 50 OLS Model (LC)'!$B$11*J117</f>
        <v>2501012.7689915099</v>
      </c>
      <c r="X117" s="186">
        <f>'GS &gt; 50 OLS Model (LC)'!$B$12*K117</f>
        <v>0</v>
      </c>
      <c r="Y117" s="186">
        <v>0</v>
      </c>
      <c r="Z117" s="186">
        <f>'GS &gt; 50 OLS Model (LC)'!$B$13*M117</f>
        <v>34805943.461156942</v>
      </c>
      <c r="AA117" s="186">
        <f>'GS &gt; 50 OLS Model (LC)'!$B$14*N117</f>
        <v>14249117.501484888</v>
      </c>
      <c r="AB117" s="186">
        <f t="shared" ca="1" si="8"/>
        <v>89661646.716363892</v>
      </c>
    </row>
    <row r="118" spans="1:28">
      <c r="A118" s="128">
        <v>43344</v>
      </c>
      <c r="B118" s="186">
        <f t="shared" si="7"/>
        <v>2018</v>
      </c>
      <c r="C118" s="124">
        <f ca="1">'Monthly Data'!T118</f>
        <v>80810700.426849648</v>
      </c>
      <c r="D118" s="186">
        <f t="shared" ca="1" si="15"/>
        <v>30.410827067669118</v>
      </c>
      <c r="E118" s="186">
        <f t="shared" ca="1" si="15"/>
        <v>83.003533834586506</v>
      </c>
      <c r="F118" s="186">
        <f>'Monthly Data'!BL118</f>
        <v>665994.78021817585</v>
      </c>
      <c r="G118" s="186">
        <f t="shared" si="12"/>
        <v>117</v>
      </c>
      <c r="H118" s="186">
        <f t="shared" si="16"/>
        <v>0</v>
      </c>
      <c r="I118" s="186">
        <f t="shared" si="16"/>
        <v>0</v>
      </c>
      <c r="J118" s="186">
        <f t="shared" si="16"/>
        <v>0</v>
      </c>
      <c r="K118" s="186">
        <f t="shared" si="16"/>
        <v>1</v>
      </c>
      <c r="L118" s="186">
        <f t="shared" si="16"/>
        <v>0</v>
      </c>
      <c r="M118" s="186">
        <f t="shared" si="14"/>
        <v>30</v>
      </c>
      <c r="N118" s="186">
        <v>19</v>
      </c>
      <c r="P118" s="186">
        <f>'GS &gt; 50 OLS Model (LC)'!$B$5</f>
        <v>-8436546.8467997499</v>
      </c>
      <c r="Q118" s="186">
        <f ca="1">'GS &gt; 50 OLS Model (LC)'!$B$6*D118</f>
        <v>736459.27823312907</v>
      </c>
      <c r="R118" s="186">
        <f ca="1">'GS &gt; 50 OLS Model (LC)'!$B$7*E118</f>
        <v>5924201.4555461155</v>
      </c>
      <c r="S118" s="186">
        <f>'GS &gt; 50 OLS Model (LC)'!$B$8*F118</f>
        <v>34551493.799757734</v>
      </c>
      <c r="T118" s="186">
        <v>0</v>
      </c>
      <c r="U118" s="186">
        <f>'GS &gt; 50 OLS Model (LC)'!$B$9*H118</f>
        <v>0</v>
      </c>
      <c r="V118" s="186">
        <f>'GS &gt; 50 OLS Model (LC)'!$B$10*I118</f>
        <v>0</v>
      </c>
      <c r="W118" s="186">
        <f>'GS &gt; 50 OLS Model (LC)'!$B$11*J118</f>
        <v>0</v>
      </c>
      <c r="X118" s="186">
        <f>'GS &gt; 50 OLS Model (LC)'!$B$12*K118</f>
        <v>2346294.5864150901</v>
      </c>
      <c r="Y118" s="186">
        <v>0</v>
      </c>
      <c r="Z118" s="186">
        <f>'GS &gt; 50 OLS Model (LC)'!$B$13*M118</f>
        <v>33683171.091442198</v>
      </c>
      <c r="AA118" s="186">
        <f>'GS &gt; 50 OLS Model (LC)'!$B$14*N118</f>
        <v>12306056.024009675</v>
      </c>
      <c r="AB118" s="186">
        <f t="shared" ca="1" si="8"/>
        <v>81111129.388604194</v>
      </c>
    </row>
    <row r="119" spans="1:28">
      <c r="A119" s="128">
        <v>43374</v>
      </c>
      <c r="B119" s="186">
        <f t="shared" si="7"/>
        <v>2018</v>
      </c>
      <c r="C119" s="124">
        <f ca="1">'Monthly Data'!T119</f>
        <v>79623950.011380896</v>
      </c>
      <c r="D119" s="186">
        <f t="shared" ca="1" si="15"/>
        <v>158.93676691729343</v>
      </c>
      <c r="E119" s="186">
        <f t="shared" ca="1" si="15"/>
        <v>16.916090225563948</v>
      </c>
      <c r="F119" s="186">
        <f>'Monthly Data'!BL119</f>
        <v>665994.78021817585</v>
      </c>
      <c r="G119" s="186">
        <f t="shared" si="12"/>
        <v>118</v>
      </c>
      <c r="H119" s="186">
        <f t="shared" si="16"/>
        <v>0</v>
      </c>
      <c r="I119" s="186">
        <f t="shared" si="16"/>
        <v>0</v>
      </c>
      <c r="J119" s="186">
        <f t="shared" si="16"/>
        <v>0</v>
      </c>
      <c r="K119" s="186">
        <f t="shared" si="16"/>
        <v>0</v>
      </c>
      <c r="L119" s="186">
        <f t="shared" si="16"/>
        <v>1</v>
      </c>
      <c r="M119" s="186">
        <f t="shared" si="14"/>
        <v>31</v>
      </c>
      <c r="N119" s="186">
        <v>22</v>
      </c>
      <c r="P119" s="186">
        <f>'GS &gt; 50 OLS Model (LC)'!$B$5</f>
        <v>-8436546.8467997499</v>
      </c>
      <c r="Q119" s="186">
        <f ca="1">'GS &gt; 50 OLS Model (LC)'!$B$6*D119</f>
        <v>3848973.1432874338</v>
      </c>
      <c r="R119" s="186">
        <f ca="1">'GS &gt; 50 OLS Model (LC)'!$B$7*E119</f>
        <v>1207350.1176003828</v>
      </c>
      <c r="S119" s="186">
        <f>'GS &gt; 50 OLS Model (LC)'!$B$8*F119</f>
        <v>34551493.799757734</v>
      </c>
      <c r="T119" s="186">
        <v>0</v>
      </c>
      <c r="U119" s="186">
        <f>'GS &gt; 50 OLS Model (LC)'!$B$9*H119</f>
        <v>0</v>
      </c>
      <c r="V119" s="186">
        <f>'GS &gt; 50 OLS Model (LC)'!$B$10*I119</f>
        <v>0</v>
      </c>
      <c r="W119" s="186">
        <f>'GS &gt; 50 OLS Model (LC)'!$B$11*J119</f>
        <v>0</v>
      </c>
      <c r="X119" s="186">
        <f>'GS &gt; 50 OLS Model (LC)'!$B$12*K119</f>
        <v>0</v>
      </c>
      <c r="Y119" s="186">
        <v>0</v>
      </c>
      <c r="Z119" s="186">
        <f>'GS &gt; 50 OLS Model (LC)'!$B$13*M119</f>
        <v>34805943.461156942</v>
      </c>
      <c r="AA119" s="186">
        <f>'GS &gt; 50 OLS Model (LC)'!$B$14*N119</f>
        <v>14249117.501484888</v>
      </c>
      <c r="AB119" s="186">
        <f t="shared" ca="1" si="8"/>
        <v>80226331.176487625</v>
      </c>
    </row>
    <row r="120" spans="1:28">
      <c r="A120" s="128">
        <v>43405</v>
      </c>
      <c r="B120" s="186">
        <f t="shared" si="7"/>
        <v>2018</v>
      </c>
      <c r="C120" s="124">
        <f ca="1">'Monthly Data'!T120</f>
        <v>81146978.237552956</v>
      </c>
      <c r="D120" s="186">
        <f t="shared" ca="1" si="15"/>
        <v>375.92533834586447</v>
      </c>
      <c r="E120" s="186">
        <f t="shared" ca="1" si="15"/>
        <v>8.120300751879661E-2</v>
      </c>
      <c r="F120" s="186">
        <f>'Monthly Data'!BL120</f>
        <v>665994.78021817585</v>
      </c>
      <c r="G120" s="186">
        <f t="shared" si="12"/>
        <v>119</v>
      </c>
      <c r="H120" s="186">
        <f t="shared" si="16"/>
        <v>0</v>
      </c>
      <c r="I120" s="186">
        <f t="shared" si="16"/>
        <v>0</v>
      </c>
      <c r="J120" s="186">
        <f t="shared" si="16"/>
        <v>0</v>
      </c>
      <c r="K120" s="186">
        <f t="shared" si="16"/>
        <v>0</v>
      </c>
      <c r="L120" s="186">
        <f t="shared" si="16"/>
        <v>0</v>
      </c>
      <c r="M120" s="186">
        <f t="shared" si="14"/>
        <v>30</v>
      </c>
      <c r="N120" s="186">
        <v>22</v>
      </c>
      <c r="P120" s="186">
        <f>'GS &gt; 50 OLS Model (LC)'!$B$5</f>
        <v>-8436546.8467997499</v>
      </c>
      <c r="Q120" s="186">
        <f ca="1">'GS &gt; 50 OLS Model (LC)'!$B$6*D120</f>
        <v>9103787.36927131</v>
      </c>
      <c r="R120" s="186">
        <f ca="1">'GS &gt; 50 OLS Model (LC)'!$B$7*E120</f>
        <v>5795.6927026295389</v>
      </c>
      <c r="S120" s="186">
        <f>'GS &gt; 50 OLS Model (LC)'!$B$8*F120</f>
        <v>34551493.799757734</v>
      </c>
      <c r="T120" s="186">
        <v>0</v>
      </c>
      <c r="U120" s="186">
        <f>'GS &gt; 50 OLS Model (LC)'!$B$9*H120</f>
        <v>0</v>
      </c>
      <c r="V120" s="186">
        <f>'GS &gt; 50 OLS Model (LC)'!$B$10*I120</f>
        <v>0</v>
      </c>
      <c r="W120" s="186">
        <f>'GS &gt; 50 OLS Model (LC)'!$B$11*J120</f>
        <v>0</v>
      </c>
      <c r="X120" s="186">
        <f>'GS &gt; 50 OLS Model (LC)'!$B$12*K120</f>
        <v>0</v>
      </c>
      <c r="Y120" s="186">
        <v>0</v>
      </c>
      <c r="Z120" s="186">
        <f>'GS &gt; 50 OLS Model (LC)'!$B$13*M120</f>
        <v>33683171.091442198</v>
      </c>
      <c r="AA120" s="186">
        <f>'GS &gt; 50 OLS Model (LC)'!$B$14*N120</f>
        <v>14249117.501484888</v>
      </c>
      <c r="AB120" s="186">
        <f t="shared" ca="1" si="8"/>
        <v>83156818.607859001</v>
      </c>
    </row>
    <row r="121" spans="1:28">
      <c r="A121" s="128">
        <v>43435</v>
      </c>
      <c r="B121" s="186">
        <f t="shared" si="7"/>
        <v>2018</v>
      </c>
      <c r="C121" s="124">
        <f ca="1">'Monthly Data'!T121</f>
        <v>81291484.354706481</v>
      </c>
      <c r="D121" s="186">
        <f t="shared" ca="1" si="15"/>
        <v>548.76120300751859</v>
      </c>
      <c r="E121" s="186">
        <f t="shared" ca="1" si="15"/>
        <v>0</v>
      </c>
      <c r="F121" s="186">
        <f>'Monthly Data'!BL121</f>
        <v>665994.78021817585</v>
      </c>
      <c r="G121" s="186">
        <f t="shared" si="12"/>
        <v>120</v>
      </c>
      <c r="H121" s="186">
        <f t="shared" si="16"/>
        <v>0</v>
      </c>
      <c r="I121" s="186">
        <f t="shared" si="16"/>
        <v>0</v>
      </c>
      <c r="J121" s="186">
        <f t="shared" si="16"/>
        <v>0</v>
      </c>
      <c r="K121" s="186">
        <f t="shared" si="16"/>
        <v>0</v>
      </c>
      <c r="L121" s="186">
        <f t="shared" si="16"/>
        <v>0</v>
      </c>
      <c r="M121" s="186">
        <f t="shared" si="14"/>
        <v>31</v>
      </c>
      <c r="N121" s="186">
        <v>19</v>
      </c>
      <c r="P121" s="186">
        <f>'GS &gt; 50 OLS Model (LC)'!$B$5</f>
        <v>-8436546.8467997499</v>
      </c>
      <c r="Q121" s="186">
        <f ca="1">'GS &gt; 50 OLS Model (LC)'!$B$6*D121</f>
        <v>13289355.090211187</v>
      </c>
      <c r="R121" s="186">
        <f ca="1">'GS &gt; 50 OLS Model (LC)'!$B$7*E121</f>
        <v>0</v>
      </c>
      <c r="S121" s="186">
        <f>'GS &gt; 50 OLS Model (LC)'!$B$8*F121</f>
        <v>34551493.799757734</v>
      </c>
      <c r="T121" s="186">
        <v>0</v>
      </c>
      <c r="U121" s="186">
        <f>'GS &gt; 50 OLS Model (LC)'!$B$9*H121</f>
        <v>0</v>
      </c>
      <c r="V121" s="186">
        <f>'GS &gt; 50 OLS Model (LC)'!$B$10*I121</f>
        <v>0</v>
      </c>
      <c r="W121" s="186">
        <f>'GS &gt; 50 OLS Model (LC)'!$B$11*J121</f>
        <v>0</v>
      </c>
      <c r="X121" s="186">
        <f>'GS &gt; 50 OLS Model (LC)'!$B$12*K121</f>
        <v>0</v>
      </c>
      <c r="Y121" s="186">
        <v>0</v>
      </c>
      <c r="Z121" s="186">
        <f>'GS &gt; 50 OLS Model (LC)'!$B$13*M121</f>
        <v>34805943.461156942</v>
      </c>
      <c r="AA121" s="186">
        <f>'GS &gt; 50 OLS Model (LC)'!$B$14*N121</f>
        <v>12306056.024009675</v>
      </c>
      <c r="AB121" s="186">
        <f t="shared" ca="1" si="8"/>
        <v>86516301.52833578</v>
      </c>
    </row>
    <row r="122" spans="1:28">
      <c r="A122" s="128">
        <v>43466</v>
      </c>
      <c r="B122" s="186">
        <f t="shared" si="7"/>
        <v>2019</v>
      </c>
      <c r="D122" s="186">
        <f t="shared" ca="1" si="15"/>
        <v>665.14879699248104</v>
      </c>
      <c r="E122" s="186">
        <f t="shared" ca="1" si="15"/>
        <v>0</v>
      </c>
      <c r="F122" s="186">
        <f>F110*(1+Employment!L$9)</f>
        <v>676783.89565771027</v>
      </c>
      <c r="G122" s="186">
        <f t="shared" si="12"/>
        <v>121</v>
      </c>
      <c r="H122" s="186">
        <f t="shared" si="16"/>
        <v>0</v>
      </c>
      <c r="I122" s="186">
        <f t="shared" si="16"/>
        <v>0</v>
      </c>
      <c r="J122" s="186">
        <f t="shared" si="16"/>
        <v>0</v>
      </c>
      <c r="K122" s="186">
        <f t="shared" si="16"/>
        <v>0</v>
      </c>
      <c r="L122" s="186">
        <f t="shared" si="16"/>
        <v>0</v>
      </c>
      <c r="M122" s="186">
        <f t="shared" si="14"/>
        <v>31</v>
      </c>
      <c r="N122" s="186">
        <v>22</v>
      </c>
      <c r="P122" s="186">
        <f>'GS &gt; 50 OLS Model (LC)'!$B$5</f>
        <v>-8436546.8467997499</v>
      </c>
      <c r="Q122" s="186">
        <f ca="1">'GS &gt; 50 OLS Model (LC)'!$B$6*D122</f>
        <v>16107914.522045333</v>
      </c>
      <c r="R122" s="186">
        <f ca="1">'GS &gt; 50 OLS Model (LC)'!$B$7*E122</f>
        <v>0</v>
      </c>
      <c r="S122" s="186">
        <f>'GS &gt; 50 OLS Model (LC)'!$B$8*F122</f>
        <v>35111227.999313809</v>
      </c>
      <c r="T122" s="186">
        <v>0</v>
      </c>
      <c r="U122" s="186">
        <f>'GS &gt; 50 OLS Model (LC)'!$B$9*H122</f>
        <v>0</v>
      </c>
      <c r="V122" s="186">
        <f>'GS &gt; 50 OLS Model (LC)'!$B$10*I122</f>
        <v>0</v>
      </c>
      <c r="W122" s="186">
        <f>'GS &gt; 50 OLS Model (LC)'!$B$11*J122</f>
        <v>0</v>
      </c>
      <c r="X122" s="186">
        <f>'GS &gt; 50 OLS Model (LC)'!$B$12*K122</f>
        <v>0</v>
      </c>
      <c r="Y122" s="186">
        <v>0</v>
      </c>
      <c r="Z122" s="186">
        <f>'GS &gt; 50 OLS Model (LC)'!$B$13*M122</f>
        <v>34805943.461156942</v>
      </c>
      <c r="AA122" s="186">
        <f>'GS &gt; 50 OLS Model (LC)'!$B$14*N122</f>
        <v>14249117.501484888</v>
      </c>
      <c r="AB122" s="186">
        <f t="shared" ca="1" si="8"/>
        <v>91837656.63720122</v>
      </c>
    </row>
    <row r="123" spans="1:28">
      <c r="A123" s="128">
        <v>43497</v>
      </c>
      <c r="B123" s="186">
        <f t="shared" si="7"/>
        <v>2019</v>
      </c>
      <c r="D123" s="186">
        <f t="shared" ca="1" si="15"/>
        <v>611.17548872180487</v>
      </c>
      <c r="E123" s="186">
        <f t="shared" ca="1" si="15"/>
        <v>0</v>
      </c>
      <c r="F123" s="186">
        <f>F111*(1+Employment!L$9)</f>
        <v>676783.89565771027</v>
      </c>
      <c r="G123" s="186">
        <f t="shared" si="12"/>
        <v>122</v>
      </c>
      <c r="H123" s="186">
        <f t="shared" si="16"/>
        <v>0</v>
      </c>
      <c r="I123" s="186">
        <f t="shared" si="16"/>
        <v>0</v>
      </c>
      <c r="J123" s="186">
        <f t="shared" si="16"/>
        <v>0</v>
      </c>
      <c r="K123" s="186">
        <f t="shared" si="16"/>
        <v>0</v>
      </c>
      <c r="L123" s="186">
        <f t="shared" si="16"/>
        <v>0</v>
      </c>
      <c r="M123" s="186">
        <f t="shared" si="14"/>
        <v>28</v>
      </c>
      <c r="N123" s="186">
        <v>19</v>
      </c>
      <c r="P123" s="186">
        <f>'GS &gt; 50 OLS Model (LC)'!$B$5</f>
        <v>-8436546.8467997499</v>
      </c>
      <c r="Q123" s="186">
        <f ca="1">'GS &gt; 50 OLS Model (LC)'!$B$6*D123</f>
        <v>14800842.420243302</v>
      </c>
      <c r="R123" s="186">
        <f ca="1">'GS &gt; 50 OLS Model (LC)'!$B$7*E123</f>
        <v>0</v>
      </c>
      <c r="S123" s="186">
        <f>'GS &gt; 50 OLS Model (LC)'!$B$8*F123</f>
        <v>35111227.999313809</v>
      </c>
      <c r="T123" s="186">
        <v>0</v>
      </c>
      <c r="U123" s="186">
        <f>'GS &gt; 50 OLS Model (LC)'!$B$9*H123</f>
        <v>0</v>
      </c>
      <c r="V123" s="186">
        <f>'GS &gt; 50 OLS Model (LC)'!$B$10*I123</f>
        <v>0</v>
      </c>
      <c r="W123" s="186">
        <f>'GS &gt; 50 OLS Model (LC)'!$B$11*J123</f>
        <v>0</v>
      </c>
      <c r="X123" s="186">
        <f>'GS &gt; 50 OLS Model (LC)'!$B$12*K123</f>
        <v>0</v>
      </c>
      <c r="Y123" s="186">
        <v>0</v>
      </c>
      <c r="Z123" s="186">
        <f>'GS &gt; 50 OLS Model (LC)'!$B$13*M123</f>
        <v>31437626.35201272</v>
      </c>
      <c r="AA123" s="186">
        <f>'GS &gt; 50 OLS Model (LC)'!$B$14*N123</f>
        <v>12306056.024009675</v>
      </c>
      <c r="AB123" s="186">
        <f t="shared" ca="1" si="8"/>
        <v>85219205.948779762</v>
      </c>
    </row>
    <row r="124" spans="1:28">
      <c r="A124" s="128">
        <v>43525</v>
      </c>
      <c r="B124" s="186">
        <f t="shared" si="7"/>
        <v>2019</v>
      </c>
      <c r="D124" s="186">
        <f t="shared" ca="1" si="15"/>
        <v>458.46436090225569</v>
      </c>
      <c r="E124" s="186">
        <f t="shared" ca="1" si="15"/>
        <v>0.45218045112781802</v>
      </c>
      <c r="F124" s="186">
        <f>F112*(1+Employment!L$9)</f>
        <v>676783.89565771027</v>
      </c>
      <c r="G124" s="186">
        <f t="shared" si="12"/>
        <v>123</v>
      </c>
      <c r="H124" s="186">
        <f t="shared" si="16"/>
        <v>0</v>
      </c>
      <c r="I124" s="186">
        <f t="shared" si="16"/>
        <v>0</v>
      </c>
      <c r="J124" s="186">
        <f t="shared" si="16"/>
        <v>0</v>
      </c>
      <c r="K124" s="186">
        <f t="shared" si="16"/>
        <v>0</v>
      </c>
      <c r="L124" s="186">
        <f t="shared" si="16"/>
        <v>0</v>
      </c>
      <c r="M124" s="186">
        <f t="shared" si="14"/>
        <v>31</v>
      </c>
      <c r="N124" s="186">
        <v>21</v>
      </c>
      <c r="P124" s="186">
        <f>'GS &gt; 50 OLS Model (LC)'!$B$5</f>
        <v>-8436546.8467997499</v>
      </c>
      <c r="Q124" s="186">
        <f ca="1">'GS &gt; 50 OLS Model (LC)'!$B$6*D124</f>
        <v>11102635.636129936</v>
      </c>
      <c r="R124" s="186">
        <f ca="1">'GS &gt; 50 OLS Model (LC)'!$B$7*E124</f>
        <v>32273.422142235275</v>
      </c>
      <c r="S124" s="186">
        <f>'GS &gt; 50 OLS Model (LC)'!$B$8*F124</f>
        <v>35111227.999313809</v>
      </c>
      <c r="T124" s="186">
        <v>0</v>
      </c>
      <c r="U124" s="186">
        <f>'GS &gt; 50 OLS Model (LC)'!$B$9*H124</f>
        <v>0</v>
      </c>
      <c r="V124" s="186">
        <f>'GS &gt; 50 OLS Model (LC)'!$B$10*I124</f>
        <v>0</v>
      </c>
      <c r="W124" s="186">
        <f>'GS &gt; 50 OLS Model (LC)'!$B$11*J124</f>
        <v>0</v>
      </c>
      <c r="X124" s="186">
        <f>'GS &gt; 50 OLS Model (LC)'!$B$12*K124</f>
        <v>0</v>
      </c>
      <c r="Y124" s="186">
        <v>0</v>
      </c>
      <c r="Z124" s="186">
        <f>'GS &gt; 50 OLS Model (LC)'!$B$13*M124</f>
        <v>34805943.461156942</v>
      </c>
      <c r="AA124" s="186">
        <f>'GS &gt; 50 OLS Model (LC)'!$B$14*N124</f>
        <v>13601430.342326485</v>
      </c>
      <c r="AB124" s="186">
        <f t="shared" ca="1" si="8"/>
        <v>86216964.01426965</v>
      </c>
    </row>
    <row r="125" spans="1:28">
      <c r="A125" s="128">
        <v>43556</v>
      </c>
      <c r="B125" s="186">
        <f t="shared" si="7"/>
        <v>2019</v>
      </c>
      <c r="D125" s="186">
        <f t="shared" ca="1" si="15"/>
        <v>254.29052631578941</v>
      </c>
      <c r="E125" s="186">
        <f t="shared" ca="1" si="15"/>
        <v>0.50947368421054762</v>
      </c>
      <c r="F125" s="186">
        <f>F113*(1+Employment!L$9)</f>
        <v>676783.89565771027</v>
      </c>
      <c r="G125" s="186">
        <f t="shared" si="12"/>
        <v>124</v>
      </c>
      <c r="H125" s="186">
        <f t="shared" si="16"/>
        <v>1</v>
      </c>
      <c r="I125" s="186">
        <f t="shared" si="16"/>
        <v>0</v>
      </c>
      <c r="J125" s="186">
        <f t="shared" si="16"/>
        <v>0</v>
      </c>
      <c r="K125" s="186">
        <f t="shared" si="16"/>
        <v>0</v>
      </c>
      <c r="L125" s="186">
        <f t="shared" si="16"/>
        <v>0</v>
      </c>
      <c r="M125" s="186">
        <f t="shared" si="14"/>
        <v>30</v>
      </c>
      <c r="N125" s="186">
        <v>20</v>
      </c>
      <c r="P125" s="186">
        <f>'GS &gt; 50 OLS Model (LC)'!$B$5</f>
        <v>-8436546.8467997499</v>
      </c>
      <c r="Q125" s="186">
        <f ca="1">'GS &gt; 50 OLS Model (LC)'!$B$6*D125</f>
        <v>6158156.0098754233</v>
      </c>
      <c r="R125" s="186">
        <f ca="1">'GS &gt; 50 OLS Model (LC)'!$B$7*E125</f>
        <v>36362.605326869983</v>
      </c>
      <c r="S125" s="186">
        <f>'GS &gt; 50 OLS Model (LC)'!$B$8*F125</f>
        <v>35111227.999313809</v>
      </c>
      <c r="T125" s="186">
        <v>0</v>
      </c>
      <c r="U125" s="186">
        <f>'GS &gt; 50 OLS Model (LC)'!$B$9*H125</f>
        <v>-1670517.9110053701</v>
      </c>
      <c r="V125" s="186">
        <f>'GS &gt; 50 OLS Model (LC)'!$B$10*I125</f>
        <v>0</v>
      </c>
      <c r="W125" s="186">
        <f>'GS &gt; 50 OLS Model (LC)'!$B$11*J125</f>
        <v>0</v>
      </c>
      <c r="X125" s="186">
        <f>'GS &gt; 50 OLS Model (LC)'!$B$12*K125</f>
        <v>0</v>
      </c>
      <c r="Y125" s="186">
        <v>0</v>
      </c>
      <c r="Z125" s="186">
        <f>'GS &gt; 50 OLS Model (LC)'!$B$13*M125</f>
        <v>33683171.091442198</v>
      </c>
      <c r="AA125" s="186">
        <f>'GS &gt; 50 OLS Model (LC)'!$B$14*N125</f>
        <v>12953743.18316808</v>
      </c>
      <c r="AB125" s="186">
        <f t="shared" ca="1" si="8"/>
        <v>77835596.131321266</v>
      </c>
    </row>
    <row r="126" spans="1:28">
      <c r="A126" s="128">
        <v>43586</v>
      </c>
      <c r="B126" s="186">
        <f t="shared" si="7"/>
        <v>2019</v>
      </c>
      <c r="D126" s="186">
        <f t="shared" ref="D126:E141" ca="1" si="17">D114</f>
        <v>102.64150375939857</v>
      </c>
      <c r="E126" s="186">
        <f t="shared" ca="1" si="17"/>
        <v>56.062781954887214</v>
      </c>
      <c r="F126" s="186">
        <f>F114*(1+Employment!L$9)</f>
        <v>676783.89565771027</v>
      </c>
      <c r="G126" s="186">
        <f t="shared" si="12"/>
        <v>125</v>
      </c>
      <c r="H126" s="186">
        <f t="shared" si="16"/>
        <v>0</v>
      </c>
      <c r="I126" s="186">
        <f t="shared" si="16"/>
        <v>0</v>
      </c>
      <c r="J126" s="186">
        <f t="shared" si="16"/>
        <v>0</v>
      </c>
      <c r="K126" s="186">
        <f t="shared" si="16"/>
        <v>0</v>
      </c>
      <c r="L126" s="186">
        <f t="shared" si="16"/>
        <v>0</v>
      </c>
      <c r="M126" s="186">
        <f t="shared" si="14"/>
        <v>31</v>
      </c>
      <c r="N126" s="186">
        <v>22</v>
      </c>
      <c r="P126" s="186">
        <f>'GS &gt; 50 OLS Model (LC)'!$B$5</f>
        <v>-8436546.8467997499</v>
      </c>
      <c r="Q126" s="186">
        <f ca="1">'GS &gt; 50 OLS Model (LC)'!$B$6*D126</f>
        <v>2485670.238668832</v>
      </c>
      <c r="R126" s="186">
        <f ca="1">'GS &gt; 50 OLS Model (LC)'!$B$7*E126</f>
        <v>4001362.3410418485</v>
      </c>
      <c r="S126" s="186">
        <f>'GS &gt; 50 OLS Model (LC)'!$B$8*F126</f>
        <v>35111227.999313809</v>
      </c>
      <c r="T126" s="186">
        <v>0</v>
      </c>
      <c r="U126" s="186">
        <f>'GS &gt; 50 OLS Model (LC)'!$B$9*H126</f>
        <v>0</v>
      </c>
      <c r="V126" s="186">
        <f>'GS &gt; 50 OLS Model (LC)'!$B$10*I126</f>
        <v>0</v>
      </c>
      <c r="W126" s="186">
        <f>'GS &gt; 50 OLS Model (LC)'!$B$11*J126</f>
        <v>0</v>
      </c>
      <c r="X126" s="186">
        <f>'GS &gt; 50 OLS Model (LC)'!$B$12*K126</f>
        <v>0</v>
      </c>
      <c r="Y126" s="186">
        <v>0</v>
      </c>
      <c r="Z126" s="186">
        <f>'GS &gt; 50 OLS Model (LC)'!$B$13*M126</f>
        <v>34805943.461156942</v>
      </c>
      <c r="AA126" s="186">
        <f>'GS &gt; 50 OLS Model (LC)'!$B$14*N126</f>
        <v>14249117.501484888</v>
      </c>
      <c r="AB126" s="186">
        <f t="shared" ca="1" si="8"/>
        <v>82216774.694866568</v>
      </c>
    </row>
    <row r="127" spans="1:28">
      <c r="A127" s="128">
        <v>43617</v>
      </c>
      <c r="B127" s="186">
        <f t="shared" si="7"/>
        <v>2019</v>
      </c>
      <c r="D127" s="186">
        <f t="shared" ca="1" si="17"/>
        <v>0.39669172932326546</v>
      </c>
      <c r="E127" s="186">
        <f t="shared" ca="1" si="17"/>
        <v>116.89315789473682</v>
      </c>
      <c r="F127" s="186">
        <f>F115*(1+Employment!L$9)</f>
        <v>676783.89565771027</v>
      </c>
      <c r="G127" s="186">
        <f t="shared" si="12"/>
        <v>126</v>
      </c>
      <c r="H127" s="186">
        <f t="shared" si="16"/>
        <v>0</v>
      </c>
      <c r="I127" s="186">
        <f t="shared" si="16"/>
        <v>1</v>
      </c>
      <c r="J127" s="186">
        <f t="shared" si="16"/>
        <v>0</v>
      </c>
      <c r="K127" s="186">
        <f t="shared" si="16"/>
        <v>0</v>
      </c>
      <c r="L127" s="186">
        <f t="shared" si="16"/>
        <v>0</v>
      </c>
      <c r="M127" s="186">
        <f t="shared" si="14"/>
        <v>30</v>
      </c>
      <c r="N127" s="186">
        <v>20</v>
      </c>
      <c r="P127" s="186">
        <f>'GS &gt; 50 OLS Model (LC)'!$B$5</f>
        <v>-8436546.8467997499</v>
      </c>
      <c r="Q127" s="186">
        <f ca="1">'GS &gt; 50 OLS Model (LC)'!$B$6*D127</f>
        <v>9606.6872501819107</v>
      </c>
      <c r="R127" s="186">
        <f ca="1">'GS &gt; 50 OLS Model (LC)'!$B$7*E127</f>
        <v>8343001.6066957684</v>
      </c>
      <c r="S127" s="186">
        <f>'GS &gt; 50 OLS Model (LC)'!$B$8*F127</f>
        <v>35111227.999313809</v>
      </c>
      <c r="T127" s="186">
        <v>0</v>
      </c>
      <c r="U127" s="186">
        <f>'GS &gt; 50 OLS Model (LC)'!$B$9*H127</f>
        <v>0</v>
      </c>
      <c r="V127" s="186">
        <f>'GS &gt; 50 OLS Model (LC)'!$B$10*I127</f>
        <v>1260255.0136768401</v>
      </c>
      <c r="W127" s="186">
        <f>'GS &gt; 50 OLS Model (LC)'!$B$11*J127</f>
        <v>0</v>
      </c>
      <c r="X127" s="186">
        <f>'GS &gt; 50 OLS Model (LC)'!$B$12*K127</f>
        <v>0</v>
      </c>
      <c r="Y127" s="186">
        <v>0</v>
      </c>
      <c r="Z127" s="186">
        <f>'GS &gt; 50 OLS Model (LC)'!$B$13*M127</f>
        <v>33683171.091442198</v>
      </c>
      <c r="AA127" s="186">
        <f>'GS &gt; 50 OLS Model (LC)'!$B$14*N127</f>
        <v>12953743.18316808</v>
      </c>
      <c r="AB127" s="186">
        <f t="shared" ca="1" si="8"/>
        <v>82924458.734747127</v>
      </c>
    </row>
    <row r="128" spans="1:28">
      <c r="A128" s="128">
        <v>43647</v>
      </c>
      <c r="B128" s="186">
        <f t="shared" si="7"/>
        <v>2019</v>
      </c>
      <c r="D128" s="186">
        <f t="shared" ca="1" si="17"/>
        <v>0.58105263157894704</v>
      </c>
      <c r="E128" s="186">
        <f t="shared" ca="1" si="17"/>
        <v>186.96526315789481</v>
      </c>
      <c r="F128" s="186">
        <f>F116*(1+Employment!L$9)</f>
        <v>676783.89565771027</v>
      </c>
      <c r="G128" s="186">
        <f t="shared" si="12"/>
        <v>127</v>
      </c>
      <c r="H128" s="186">
        <f t="shared" si="16"/>
        <v>0</v>
      </c>
      <c r="I128" s="186">
        <f t="shared" si="16"/>
        <v>0</v>
      </c>
      <c r="J128" s="186">
        <f t="shared" si="16"/>
        <v>0</v>
      </c>
      <c r="K128" s="186">
        <f t="shared" si="16"/>
        <v>0</v>
      </c>
      <c r="L128" s="186">
        <f t="shared" si="16"/>
        <v>0</v>
      </c>
      <c r="M128" s="186">
        <f t="shared" si="14"/>
        <v>31</v>
      </c>
      <c r="N128" s="186">
        <v>22</v>
      </c>
      <c r="P128" s="186">
        <f>'GS &gt; 50 OLS Model (LC)'!$B$5</f>
        <v>-8436546.8467997499</v>
      </c>
      <c r="Q128" s="186">
        <f ca="1">'GS &gt; 50 OLS Model (LC)'!$B$6*D128</f>
        <v>14071.356912322552</v>
      </c>
      <c r="R128" s="186">
        <f ca="1">'GS &gt; 50 OLS Model (LC)'!$B$7*E128</f>
        <v>13344249.732112395</v>
      </c>
      <c r="S128" s="186">
        <f>'GS &gt; 50 OLS Model (LC)'!$B$8*F128</f>
        <v>35111227.999313809</v>
      </c>
      <c r="T128" s="186">
        <v>0</v>
      </c>
      <c r="U128" s="186">
        <f>'GS &gt; 50 OLS Model (LC)'!$B$9*H128</f>
        <v>0</v>
      </c>
      <c r="V128" s="186">
        <f>'GS &gt; 50 OLS Model (LC)'!$B$10*I128</f>
        <v>0</v>
      </c>
      <c r="W128" s="186">
        <f>'GS &gt; 50 OLS Model (LC)'!$B$11*J128</f>
        <v>0</v>
      </c>
      <c r="X128" s="186">
        <f>'GS &gt; 50 OLS Model (LC)'!$B$12*K128</f>
        <v>0</v>
      </c>
      <c r="Y128" s="186">
        <v>0</v>
      </c>
      <c r="Z128" s="186">
        <f>'GS &gt; 50 OLS Model (LC)'!$B$13*M128</f>
        <v>34805943.461156942</v>
      </c>
      <c r="AA128" s="186">
        <f>'GS &gt; 50 OLS Model (LC)'!$B$14*N128</f>
        <v>14249117.501484888</v>
      </c>
      <c r="AB128" s="186">
        <f t="shared" ca="1" si="8"/>
        <v>89088063.204180613</v>
      </c>
    </row>
    <row r="129" spans="1:28">
      <c r="A129" s="128">
        <v>43678</v>
      </c>
      <c r="B129" s="186">
        <f t="shared" si="7"/>
        <v>2019</v>
      </c>
      <c r="D129" s="186">
        <f t="shared" ca="1" si="17"/>
        <v>1.6660902255639058</v>
      </c>
      <c r="E129" s="186">
        <f t="shared" ca="1" si="17"/>
        <v>167.43443609022574</v>
      </c>
      <c r="F129" s="186">
        <f>F117*(1+Employment!L$9)</f>
        <v>676783.89565771027</v>
      </c>
      <c r="G129" s="186">
        <f t="shared" si="12"/>
        <v>128</v>
      </c>
      <c r="H129" s="186">
        <f t="shared" si="16"/>
        <v>0</v>
      </c>
      <c r="I129" s="186">
        <f t="shared" si="16"/>
        <v>0</v>
      </c>
      <c r="J129" s="186">
        <f t="shared" si="16"/>
        <v>1</v>
      </c>
      <c r="K129" s="186">
        <f t="shared" si="16"/>
        <v>0</v>
      </c>
      <c r="L129" s="186">
        <f t="shared" si="16"/>
        <v>0</v>
      </c>
      <c r="M129" s="186">
        <f t="shared" si="14"/>
        <v>31</v>
      </c>
      <c r="N129" s="186">
        <v>21</v>
      </c>
      <c r="P129" s="186">
        <f>'GS &gt; 50 OLS Model (LC)'!$B$5</f>
        <v>-8436546.8467997499</v>
      </c>
      <c r="Q129" s="186">
        <f ca="1">'GS &gt; 50 OLS Model (LC)'!$B$6*D129</f>
        <v>40347.722285216725</v>
      </c>
      <c r="R129" s="186">
        <f ca="1">'GS &gt; 50 OLS Model (LC)'!$B$7*E129</f>
        <v>11950278.30948735</v>
      </c>
      <c r="S129" s="186">
        <f>'GS &gt; 50 OLS Model (LC)'!$B$8*F129</f>
        <v>35111227.999313809</v>
      </c>
      <c r="T129" s="186">
        <v>0</v>
      </c>
      <c r="U129" s="186">
        <f>'GS &gt; 50 OLS Model (LC)'!$B$9*H129</f>
        <v>0</v>
      </c>
      <c r="V129" s="186">
        <f>'GS &gt; 50 OLS Model (LC)'!$B$10*I129</f>
        <v>0</v>
      </c>
      <c r="W129" s="186">
        <f>'GS &gt; 50 OLS Model (LC)'!$B$11*J129</f>
        <v>2501012.7689915099</v>
      </c>
      <c r="X129" s="186">
        <f>'GS &gt; 50 OLS Model (LC)'!$B$12*K129</f>
        <v>0</v>
      </c>
      <c r="Y129" s="186">
        <v>0</v>
      </c>
      <c r="Z129" s="186">
        <f>'GS &gt; 50 OLS Model (LC)'!$B$13*M129</f>
        <v>34805943.461156942</v>
      </c>
      <c r="AA129" s="186">
        <f>'GS &gt; 50 OLS Model (LC)'!$B$14*N129</f>
        <v>13601430.342326485</v>
      </c>
      <c r="AB129" s="186">
        <f t="shared" ca="1" si="8"/>
        <v>89573693.756761551</v>
      </c>
    </row>
    <row r="130" spans="1:28">
      <c r="A130" s="128">
        <v>43709</v>
      </c>
      <c r="B130" s="186">
        <f t="shared" ref="B130:B145" si="18">YEAR(A130)</f>
        <v>2019</v>
      </c>
      <c r="D130" s="186">
        <f t="shared" ca="1" si="17"/>
        <v>30.410827067669118</v>
      </c>
      <c r="E130" s="186">
        <f t="shared" ca="1" si="17"/>
        <v>83.003533834586506</v>
      </c>
      <c r="F130" s="186">
        <f>F118*(1+Employment!L$9)</f>
        <v>676783.89565771027</v>
      </c>
      <c r="G130" s="186">
        <f t="shared" si="12"/>
        <v>129</v>
      </c>
      <c r="H130" s="186">
        <f t="shared" si="16"/>
        <v>0</v>
      </c>
      <c r="I130" s="186">
        <f t="shared" si="16"/>
        <v>0</v>
      </c>
      <c r="J130" s="186">
        <f t="shared" si="16"/>
        <v>0</v>
      </c>
      <c r="K130" s="186">
        <f t="shared" si="16"/>
        <v>1</v>
      </c>
      <c r="L130" s="186">
        <f t="shared" si="16"/>
        <v>0</v>
      </c>
      <c r="M130" s="186">
        <f t="shared" si="14"/>
        <v>30</v>
      </c>
      <c r="N130" s="186">
        <v>20</v>
      </c>
      <c r="P130" s="186">
        <f>'GS &gt; 50 OLS Model (LC)'!$B$5</f>
        <v>-8436546.8467997499</v>
      </c>
      <c r="Q130" s="186">
        <f ca="1">'GS &gt; 50 OLS Model (LC)'!$B$6*D130</f>
        <v>736459.27823312907</v>
      </c>
      <c r="R130" s="186">
        <f ca="1">'GS &gt; 50 OLS Model (LC)'!$B$7*E130</f>
        <v>5924201.4555461155</v>
      </c>
      <c r="S130" s="186">
        <f>'GS &gt; 50 OLS Model (LC)'!$B$8*F130</f>
        <v>35111227.999313809</v>
      </c>
      <c r="T130" s="186">
        <v>0</v>
      </c>
      <c r="U130" s="186">
        <f>'GS &gt; 50 OLS Model (LC)'!$B$9*H130</f>
        <v>0</v>
      </c>
      <c r="V130" s="186">
        <f>'GS &gt; 50 OLS Model (LC)'!$B$10*I130</f>
        <v>0</v>
      </c>
      <c r="W130" s="186">
        <f>'GS &gt; 50 OLS Model (LC)'!$B$11*J130</f>
        <v>0</v>
      </c>
      <c r="X130" s="186">
        <f>'GS &gt; 50 OLS Model (LC)'!$B$12*K130</f>
        <v>2346294.5864150901</v>
      </c>
      <c r="Y130" s="186">
        <v>0</v>
      </c>
      <c r="Z130" s="186">
        <f>'GS &gt; 50 OLS Model (LC)'!$B$13*M130</f>
        <v>33683171.091442198</v>
      </c>
      <c r="AA130" s="186">
        <f>'GS &gt; 50 OLS Model (LC)'!$B$14*N130</f>
        <v>12953743.18316808</v>
      </c>
      <c r="AB130" s="186">
        <f t="shared" ref="AB130:AB145" ca="1" si="19">SUM(P130:AA130)</f>
        <v>82318550.747318685</v>
      </c>
    </row>
    <row r="131" spans="1:28">
      <c r="A131" s="128">
        <v>43739</v>
      </c>
      <c r="B131" s="186">
        <f t="shared" si="18"/>
        <v>2019</v>
      </c>
      <c r="D131" s="186">
        <f t="shared" ca="1" si="17"/>
        <v>158.93676691729343</v>
      </c>
      <c r="E131" s="186">
        <f t="shared" ca="1" si="17"/>
        <v>16.916090225563948</v>
      </c>
      <c r="F131" s="186">
        <f>F119*(1+Employment!L$9)</f>
        <v>676783.89565771027</v>
      </c>
      <c r="G131" s="186">
        <f t="shared" si="12"/>
        <v>130</v>
      </c>
      <c r="H131" s="186">
        <f t="shared" ref="H131:L145" si="20">H119</f>
        <v>0</v>
      </c>
      <c r="I131" s="186">
        <f t="shared" si="20"/>
        <v>0</v>
      </c>
      <c r="J131" s="186">
        <f t="shared" si="20"/>
        <v>0</v>
      </c>
      <c r="K131" s="186">
        <f t="shared" si="20"/>
        <v>0</v>
      </c>
      <c r="L131" s="186">
        <f t="shared" si="20"/>
        <v>1</v>
      </c>
      <c r="M131" s="186">
        <f t="shared" si="14"/>
        <v>31</v>
      </c>
      <c r="N131" s="186">
        <v>22</v>
      </c>
      <c r="P131" s="186">
        <f>'GS &gt; 50 OLS Model (LC)'!$B$5</f>
        <v>-8436546.8467997499</v>
      </c>
      <c r="Q131" s="186">
        <f ca="1">'GS &gt; 50 OLS Model (LC)'!$B$6*D131</f>
        <v>3848973.1432874338</v>
      </c>
      <c r="R131" s="186">
        <f ca="1">'GS &gt; 50 OLS Model (LC)'!$B$7*E131</f>
        <v>1207350.1176003828</v>
      </c>
      <c r="S131" s="186">
        <f>'GS &gt; 50 OLS Model (LC)'!$B$8*F131</f>
        <v>35111227.999313809</v>
      </c>
      <c r="T131" s="186">
        <v>0</v>
      </c>
      <c r="U131" s="186">
        <f>'GS &gt; 50 OLS Model (LC)'!$B$9*H131</f>
        <v>0</v>
      </c>
      <c r="V131" s="186">
        <f>'GS &gt; 50 OLS Model (LC)'!$B$10*I131</f>
        <v>0</v>
      </c>
      <c r="W131" s="186">
        <f>'GS &gt; 50 OLS Model (LC)'!$B$11*J131</f>
        <v>0</v>
      </c>
      <c r="X131" s="186">
        <f>'GS &gt; 50 OLS Model (LC)'!$B$12*K131</f>
        <v>0</v>
      </c>
      <c r="Y131" s="186">
        <v>0</v>
      </c>
      <c r="Z131" s="186">
        <f>'GS &gt; 50 OLS Model (LC)'!$B$13*M131</f>
        <v>34805943.461156942</v>
      </c>
      <c r="AA131" s="186">
        <f>'GS &gt; 50 OLS Model (LC)'!$B$14*N131</f>
        <v>14249117.501484888</v>
      </c>
      <c r="AB131" s="186">
        <f t="shared" ca="1" si="19"/>
        <v>80786065.376043707</v>
      </c>
    </row>
    <row r="132" spans="1:28">
      <c r="A132" s="128">
        <v>43770</v>
      </c>
      <c r="B132" s="186">
        <f t="shared" si="18"/>
        <v>2019</v>
      </c>
      <c r="D132" s="186">
        <f t="shared" ca="1" si="17"/>
        <v>375.92533834586447</v>
      </c>
      <c r="E132" s="186">
        <f t="shared" ca="1" si="17"/>
        <v>8.120300751879661E-2</v>
      </c>
      <c r="F132" s="186">
        <f>F120*(1+Employment!L$9)</f>
        <v>676783.89565771027</v>
      </c>
      <c r="G132" s="186">
        <f t="shared" si="12"/>
        <v>131</v>
      </c>
      <c r="H132" s="186">
        <f t="shared" si="20"/>
        <v>0</v>
      </c>
      <c r="I132" s="186">
        <f t="shared" si="20"/>
        <v>0</v>
      </c>
      <c r="J132" s="186">
        <f t="shared" si="20"/>
        <v>0</v>
      </c>
      <c r="K132" s="186">
        <f t="shared" si="20"/>
        <v>0</v>
      </c>
      <c r="L132" s="186">
        <f t="shared" si="20"/>
        <v>0</v>
      </c>
      <c r="M132" s="186">
        <f t="shared" si="14"/>
        <v>30</v>
      </c>
      <c r="N132" s="186">
        <v>21</v>
      </c>
      <c r="P132" s="186">
        <f>'GS &gt; 50 OLS Model (LC)'!$B$5</f>
        <v>-8436546.8467997499</v>
      </c>
      <c r="Q132" s="186">
        <f ca="1">'GS &gt; 50 OLS Model (LC)'!$B$6*D132</f>
        <v>9103787.36927131</v>
      </c>
      <c r="R132" s="186">
        <f ca="1">'GS &gt; 50 OLS Model (LC)'!$B$7*E132</f>
        <v>5795.6927026295389</v>
      </c>
      <c r="S132" s="186">
        <f>'GS &gt; 50 OLS Model (LC)'!$B$8*F132</f>
        <v>35111227.999313809</v>
      </c>
      <c r="T132" s="186">
        <v>0</v>
      </c>
      <c r="U132" s="186">
        <f>'GS &gt; 50 OLS Model (LC)'!$B$9*H132</f>
        <v>0</v>
      </c>
      <c r="V132" s="186">
        <f>'GS &gt; 50 OLS Model (LC)'!$B$10*I132</f>
        <v>0</v>
      </c>
      <c r="W132" s="186">
        <f>'GS &gt; 50 OLS Model (LC)'!$B$11*J132</f>
        <v>0</v>
      </c>
      <c r="X132" s="186">
        <f>'GS &gt; 50 OLS Model (LC)'!$B$12*K132</f>
        <v>0</v>
      </c>
      <c r="Y132" s="186">
        <v>0</v>
      </c>
      <c r="Z132" s="186">
        <f>'GS &gt; 50 OLS Model (LC)'!$B$13*M132</f>
        <v>33683171.091442198</v>
      </c>
      <c r="AA132" s="186">
        <f>'GS &gt; 50 OLS Model (LC)'!$B$14*N132</f>
        <v>13601430.342326485</v>
      </c>
      <c r="AB132" s="186">
        <f t="shared" ca="1" si="19"/>
        <v>83068865.648256689</v>
      </c>
    </row>
    <row r="133" spans="1:28">
      <c r="A133" s="128">
        <v>43800</v>
      </c>
      <c r="B133" s="186">
        <f t="shared" si="18"/>
        <v>2019</v>
      </c>
      <c r="D133" s="186">
        <f t="shared" ca="1" si="17"/>
        <v>548.76120300751859</v>
      </c>
      <c r="E133" s="186">
        <f t="shared" ca="1" si="17"/>
        <v>0</v>
      </c>
      <c r="F133" s="186">
        <f>F121*(1+Employment!L$9)</f>
        <v>676783.89565771027</v>
      </c>
      <c r="G133" s="186">
        <f t="shared" si="12"/>
        <v>132</v>
      </c>
      <c r="H133" s="186">
        <f t="shared" si="20"/>
        <v>0</v>
      </c>
      <c r="I133" s="186">
        <f t="shared" si="20"/>
        <v>0</v>
      </c>
      <c r="J133" s="186">
        <f t="shared" si="20"/>
        <v>0</v>
      </c>
      <c r="K133" s="186">
        <f t="shared" si="20"/>
        <v>0</v>
      </c>
      <c r="L133" s="186">
        <f t="shared" si="20"/>
        <v>0</v>
      </c>
      <c r="M133" s="186">
        <f t="shared" si="14"/>
        <v>31</v>
      </c>
      <c r="N133" s="186">
        <v>20</v>
      </c>
      <c r="P133" s="186">
        <f>'GS &gt; 50 OLS Model (LC)'!$B$5</f>
        <v>-8436546.8467997499</v>
      </c>
      <c r="Q133" s="186">
        <f ca="1">'GS &gt; 50 OLS Model (LC)'!$B$6*D133</f>
        <v>13289355.090211187</v>
      </c>
      <c r="R133" s="186">
        <f ca="1">'GS &gt; 50 OLS Model (LC)'!$B$7*E133</f>
        <v>0</v>
      </c>
      <c r="S133" s="186">
        <f>'GS &gt; 50 OLS Model (LC)'!$B$8*F133</f>
        <v>35111227.999313809</v>
      </c>
      <c r="T133" s="186">
        <v>0</v>
      </c>
      <c r="U133" s="186">
        <f>'GS &gt; 50 OLS Model (LC)'!$B$9*H133</f>
        <v>0</v>
      </c>
      <c r="V133" s="186">
        <f>'GS &gt; 50 OLS Model (LC)'!$B$10*I133</f>
        <v>0</v>
      </c>
      <c r="W133" s="186">
        <f>'GS &gt; 50 OLS Model (LC)'!$B$11*J133</f>
        <v>0</v>
      </c>
      <c r="X133" s="186">
        <f>'GS &gt; 50 OLS Model (LC)'!$B$12*K133</f>
        <v>0</v>
      </c>
      <c r="Y133" s="186">
        <v>0</v>
      </c>
      <c r="Z133" s="186">
        <f>'GS &gt; 50 OLS Model (LC)'!$B$13*M133</f>
        <v>34805943.461156942</v>
      </c>
      <c r="AA133" s="186">
        <f>'GS &gt; 50 OLS Model (LC)'!$B$14*N133</f>
        <v>12953743.18316808</v>
      </c>
      <c r="AB133" s="186">
        <f t="shared" ca="1" si="19"/>
        <v>87723722.887050271</v>
      </c>
    </row>
    <row r="134" spans="1:28">
      <c r="A134" s="128">
        <v>43831</v>
      </c>
      <c r="B134" s="186">
        <f t="shared" si="18"/>
        <v>2020</v>
      </c>
      <c r="D134" s="186">
        <f t="shared" ca="1" si="17"/>
        <v>665.14879699248104</v>
      </c>
      <c r="E134" s="186">
        <f t="shared" ca="1" si="17"/>
        <v>0</v>
      </c>
      <c r="F134" s="186">
        <f>F122*(1+Employment!L$10)</f>
        <v>687206.36765083903</v>
      </c>
      <c r="G134" s="186">
        <f t="shared" si="12"/>
        <v>133</v>
      </c>
      <c r="H134" s="186">
        <f t="shared" si="20"/>
        <v>0</v>
      </c>
      <c r="I134" s="186">
        <f t="shared" si="20"/>
        <v>0</v>
      </c>
      <c r="J134" s="186">
        <f t="shared" si="20"/>
        <v>0</v>
      </c>
      <c r="K134" s="186">
        <f t="shared" si="20"/>
        <v>0</v>
      </c>
      <c r="L134" s="186">
        <f t="shared" si="20"/>
        <v>0</v>
      </c>
      <c r="M134" s="186">
        <f t="shared" si="14"/>
        <v>31</v>
      </c>
      <c r="N134" s="186">
        <v>22</v>
      </c>
      <c r="P134" s="186">
        <f>'GS &gt; 50 OLS Model (LC)'!$B$5</f>
        <v>-8436546.8467997499</v>
      </c>
      <c r="Q134" s="186">
        <f ca="1">'GS &gt; 50 OLS Model (LC)'!$B$6*D134</f>
        <v>16107914.522045333</v>
      </c>
      <c r="R134" s="186">
        <f ca="1">'GS &gt; 50 OLS Model (LC)'!$B$7*E134</f>
        <v>0</v>
      </c>
      <c r="S134" s="186">
        <f>'GS &gt; 50 OLS Model (LC)'!$B$8*F134</f>
        <v>35651940.910503238</v>
      </c>
      <c r="T134" s="186">
        <v>0</v>
      </c>
      <c r="U134" s="186">
        <f>'GS &gt; 50 OLS Model (LC)'!$B$9*H134</f>
        <v>0</v>
      </c>
      <c r="V134" s="186">
        <f>'GS &gt; 50 OLS Model (LC)'!$B$10*I134</f>
        <v>0</v>
      </c>
      <c r="W134" s="186">
        <f>'GS &gt; 50 OLS Model (LC)'!$B$11*J134</f>
        <v>0</v>
      </c>
      <c r="X134" s="186">
        <f>'GS &gt; 50 OLS Model (LC)'!$B$12*K134</f>
        <v>0</v>
      </c>
      <c r="Y134" s="186">
        <v>0</v>
      </c>
      <c r="Z134" s="186">
        <f>'GS &gt; 50 OLS Model (LC)'!$B$13*M134</f>
        <v>34805943.461156942</v>
      </c>
      <c r="AA134" s="186">
        <f>'GS &gt; 50 OLS Model (LC)'!$B$14*N134</f>
        <v>14249117.501484888</v>
      </c>
      <c r="AB134" s="186">
        <f t="shared" ca="1" si="19"/>
        <v>92378369.548390642</v>
      </c>
    </row>
    <row r="135" spans="1:28">
      <c r="A135" s="128">
        <v>43862</v>
      </c>
      <c r="B135" s="186">
        <f t="shared" si="18"/>
        <v>2020</v>
      </c>
      <c r="D135" s="186">
        <f t="shared" ca="1" si="17"/>
        <v>611.17548872180487</v>
      </c>
      <c r="E135" s="186">
        <f t="shared" ca="1" si="17"/>
        <v>0</v>
      </c>
      <c r="F135" s="186">
        <f>F123*(1+Employment!L$10)</f>
        <v>687206.36765083903</v>
      </c>
      <c r="G135" s="186">
        <f t="shared" si="12"/>
        <v>134</v>
      </c>
      <c r="H135" s="186">
        <f t="shared" si="20"/>
        <v>0</v>
      </c>
      <c r="I135" s="186">
        <f t="shared" si="20"/>
        <v>0</v>
      </c>
      <c r="J135" s="186">
        <f t="shared" si="20"/>
        <v>0</v>
      </c>
      <c r="K135" s="186">
        <f t="shared" si="20"/>
        <v>0</v>
      </c>
      <c r="L135" s="186">
        <f t="shared" si="20"/>
        <v>0</v>
      </c>
      <c r="M135" s="186">
        <f t="shared" si="14"/>
        <v>29</v>
      </c>
      <c r="N135" s="186">
        <v>19</v>
      </c>
      <c r="P135" s="186">
        <f>'GS &gt; 50 OLS Model (LC)'!$B$5</f>
        <v>-8436546.8467997499</v>
      </c>
      <c r="Q135" s="186">
        <f ca="1">'GS &gt; 50 OLS Model (LC)'!$B$6*D135</f>
        <v>14800842.420243302</v>
      </c>
      <c r="R135" s="186">
        <f ca="1">'GS &gt; 50 OLS Model (LC)'!$B$7*E135</f>
        <v>0</v>
      </c>
      <c r="S135" s="186">
        <f>'GS &gt; 50 OLS Model (LC)'!$B$8*F135</f>
        <v>35651940.910503238</v>
      </c>
      <c r="T135" s="186">
        <v>0</v>
      </c>
      <c r="U135" s="186">
        <f>'GS &gt; 50 OLS Model (LC)'!$B$9*H135</f>
        <v>0</v>
      </c>
      <c r="V135" s="186">
        <f>'GS &gt; 50 OLS Model (LC)'!$B$10*I135</f>
        <v>0</v>
      </c>
      <c r="W135" s="186">
        <f>'GS &gt; 50 OLS Model (LC)'!$B$11*J135</f>
        <v>0</v>
      </c>
      <c r="X135" s="186">
        <f>'GS &gt; 50 OLS Model (LC)'!$B$12*K135</f>
        <v>0</v>
      </c>
      <c r="Y135" s="186">
        <v>0</v>
      </c>
      <c r="Z135" s="186">
        <f>'GS &gt; 50 OLS Model (LC)'!$B$13*M135</f>
        <v>32560398.721727461</v>
      </c>
      <c r="AA135" s="186">
        <f>'GS &gt; 50 OLS Model (LC)'!$B$14*N135</f>
        <v>12306056.024009675</v>
      </c>
      <c r="AB135" s="186">
        <f t="shared" ca="1" si="19"/>
        <v>86882691.229683936</v>
      </c>
    </row>
    <row r="136" spans="1:28">
      <c r="A136" s="128">
        <v>43891</v>
      </c>
      <c r="B136" s="186">
        <f t="shared" si="18"/>
        <v>2020</v>
      </c>
      <c r="D136" s="186">
        <f t="shared" ca="1" si="17"/>
        <v>458.46436090225569</v>
      </c>
      <c r="E136" s="186">
        <f t="shared" ca="1" si="17"/>
        <v>0.45218045112781802</v>
      </c>
      <c r="F136" s="186">
        <f>F124*(1+Employment!L$10)</f>
        <v>687206.36765083903</v>
      </c>
      <c r="G136" s="186">
        <f t="shared" si="12"/>
        <v>135</v>
      </c>
      <c r="H136" s="186">
        <f t="shared" si="20"/>
        <v>0</v>
      </c>
      <c r="I136" s="186">
        <f t="shared" si="20"/>
        <v>0</v>
      </c>
      <c r="J136" s="186">
        <f t="shared" si="20"/>
        <v>0</v>
      </c>
      <c r="K136" s="186">
        <f t="shared" si="20"/>
        <v>0</v>
      </c>
      <c r="L136" s="186">
        <f t="shared" si="20"/>
        <v>0</v>
      </c>
      <c r="M136" s="186">
        <f t="shared" si="14"/>
        <v>31</v>
      </c>
      <c r="N136" s="186">
        <v>22</v>
      </c>
      <c r="P136" s="186">
        <f>'GS &gt; 50 OLS Model (LC)'!$B$5</f>
        <v>-8436546.8467997499</v>
      </c>
      <c r="Q136" s="186">
        <f ca="1">'GS &gt; 50 OLS Model (LC)'!$B$6*D136</f>
        <v>11102635.636129936</v>
      </c>
      <c r="R136" s="186">
        <f ca="1">'GS &gt; 50 OLS Model (LC)'!$B$7*E136</f>
        <v>32273.422142235275</v>
      </c>
      <c r="S136" s="186">
        <f>'GS &gt; 50 OLS Model (LC)'!$B$8*F136</f>
        <v>35651940.910503238</v>
      </c>
      <c r="T136" s="186">
        <v>0</v>
      </c>
      <c r="U136" s="186">
        <f>'GS &gt; 50 OLS Model (LC)'!$B$9*H136</f>
        <v>0</v>
      </c>
      <c r="V136" s="186">
        <f>'GS &gt; 50 OLS Model (LC)'!$B$10*I136</f>
        <v>0</v>
      </c>
      <c r="W136" s="186">
        <f>'GS &gt; 50 OLS Model (LC)'!$B$11*J136</f>
        <v>0</v>
      </c>
      <c r="X136" s="186">
        <f>'GS &gt; 50 OLS Model (LC)'!$B$12*K136</f>
        <v>0</v>
      </c>
      <c r="Y136" s="186">
        <v>0</v>
      </c>
      <c r="Z136" s="186">
        <f>'GS &gt; 50 OLS Model (LC)'!$B$13*M136</f>
        <v>34805943.461156942</v>
      </c>
      <c r="AA136" s="186">
        <f>'GS &gt; 50 OLS Model (LC)'!$B$14*N136</f>
        <v>14249117.501484888</v>
      </c>
      <c r="AB136" s="186">
        <f t="shared" ca="1" si="19"/>
        <v>87405364.084617481</v>
      </c>
    </row>
    <row r="137" spans="1:28">
      <c r="A137" s="128">
        <v>43922</v>
      </c>
      <c r="B137" s="186">
        <f t="shared" si="18"/>
        <v>2020</v>
      </c>
      <c r="D137" s="186">
        <f t="shared" ca="1" si="17"/>
        <v>254.29052631578941</v>
      </c>
      <c r="E137" s="186">
        <f t="shared" ca="1" si="17"/>
        <v>0.50947368421054762</v>
      </c>
      <c r="F137" s="186">
        <f>F125*(1+Employment!L$10)</f>
        <v>687206.36765083903</v>
      </c>
      <c r="G137" s="186">
        <f t="shared" si="12"/>
        <v>136</v>
      </c>
      <c r="H137" s="186">
        <f t="shared" si="20"/>
        <v>1</v>
      </c>
      <c r="I137" s="186">
        <f t="shared" si="20"/>
        <v>0</v>
      </c>
      <c r="J137" s="186">
        <f t="shared" si="20"/>
        <v>0</v>
      </c>
      <c r="K137" s="186">
        <f t="shared" si="20"/>
        <v>0</v>
      </c>
      <c r="L137" s="186">
        <f t="shared" si="20"/>
        <v>0</v>
      </c>
      <c r="M137" s="186">
        <f t="shared" si="14"/>
        <v>30</v>
      </c>
      <c r="N137" s="186">
        <v>21</v>
      </c>
      <c r="P137" s="186">
        <f>'GS &gt; 50 OLS Model (LC)'!$B$5</f>
        <v>-8436546.8467997499</v>
      </c>
      <c r="Q137" s="186">
        <f ca="1">'GS &gt; 50 OLS Model (LC)'!$B$6*D137</f>
        <v>6158156.0098754233</v>
      </c>
      <c r="R137" s="186">
        <f ca="1">'GS &gt; 50 OLS Model (LC)'!$B$7*E137</f>
        <v>36362.605326869983</v>
      </c>
      <c r="S137" s="186">
        <f>'GS &gt; 50 OLS Model (LC)'!$B$8*F137</f>
        <v>35651940.910503238</v>
      </c>
      <c r="T137" s="186">
        <v>0</v>
      </c>
      <c r="U137" s="186">
        <f>'GS &gt; 50 OLS Model (LC)'!$B$9*H137</f>
        <v>-1670517.9110053701</v>
      </c>
      <c r="V137" s="186">
        <f>'GS &gt; 50 OLS Model (LC)'!$B$10*I137</f>
        <v>0</v>
      </c>
      <c r="W137" s="186">
        <f>'GS &gt; 50 OLS Model (LC)'!$B$11*J137</f>
        <v>0</v>
      </c>
      <c r="X137" s="186">
        <f>'GS &gt; 50 OLS Model (LC)'!$B$12*K137</f>
        <v>0</v>
      </c>
      <c r="Y137" s="186">
        <v>0</v>
      </c>
      <c r="Z137" s="186">
        <f>'GS &gt; 50 OLS Model (LC)'!$B$13*M137</f>
        <v>33683171.091442198</v>
      </c>
      <c r="AA137" s="186">
        <f>'GS &gt; 50 OLS Model (LC)'!$B$14*N137</f>
        <v>13601430.342326485</v>
      </c>
      <c r="AB137" s="186">
        <f t="shared" ca="1" si="19"/>
        <v>79023996.201669097</v>
      </c>
    </row>
    <row r="138" spans="1:28">
      <c r="A138" s="128">
        <v>43952</v>
      </c>
      <c r="B138" s="186">
        <f t="shared" si="18"/>
        <v>2020</v>
      </c>
      <c r="D138" s="186">
        <f t="shared" ca="1" si="17"/>
        <v>102.64150375939857</v>
      </c>
      <c r="E138" s="186">
        <f t="shared" ca="1" si="17"/>
        <v>56.062781954887214</v>
      </c>
      <c r="F138" s="186">
        <f>F126*(1+Employment!L$10)</f>
        <v>687206.36765083903</v>
      </c>
      <c r="G138" s="186">
        <f t="shared" si="12"/>
        <v>137</v>
      </c>
      <c r="H138" s="186">
        <f t="shared" si="20"/>
        <v>0</v>
      </c>
      <c r="I138" s="186">
        <f t="shared" si="20"/>
        <v>0</v>
      </c>
      <c r="J138" s="186">
        <f t="shared" si="20"/>
        <v>0</v>
      </c>
      <c r="K138" s="186">
        <f t="shared" si="20"/>
        <v>0</v>
      </c>
      <c r="L138" s="186">
        <f t="shared" si="20"/>
        <v>0</v>
      </c>
      <c r="M138" s="186">
        <f t="shared" si="14"/>
        <v>31</v>
      </c>
      <c r="N138" s="186">
        <v>20</v>
      </c>
      <c r="P138" s="186">
        <f>'GS &gt; 50 OLS Model (LC)'!$B$5</f>
        <v>-8436546.8467997499</v>
      </c>
      <c r="Q138" s="186">
        <f ca="1">'GS &gt; 50 OLS Model (LC)'!$B$6*D138</f>
        <v>2485670.238668832</v>
      </c>
      <c r="R138" s="186">
        <f ca="1">'GS &gt; 50 OLS Model (LC)'!$B$7*E138</f>
        <v>4001362.3410418485</v>
      </c>
      <c r="S138" s="186">
        <f>'GS &gt; 50 OLS Model (LC)'!$B$8*F138</f>
        <v>35651940.910503238</v>
      </c>
      <c r="T138" s="186">
        <v>0</v>
      </c>
      <c r="U138" s="186">
        <f>'GS &gt; 50 OLS Model (LC)'!$B$9*H138</f>
        <v>0</v>
      </c>
      <c r="V138" s="186">
        <f>'GS &gt; 50 OLS Model (LC)'!$B$10*I138</f>
        <v>0</v>
      </c>
      <c r="W138" s="186">
        <f>'GS &gt; 50 OLS Model (LC)'!$B$11*J138</f>
        <v>0</v>
      </c>
      <c r="X138" s="186">
        <f>'GS &gt; 50 OLS Model (LC)'!$B$12*K138</f>
        <v>0</v>
      </c>
      <c r="Y138" s="186">
        <v>0</v>
      </c>
      <c r="Z138" s="186">
        <f>'GS &gt; 50 OLS Model (LC)'!$B$13*M138</f>
        <v>34805943.461156942</v>
      </c>
      <c r="AA138" s="186">
        <f>'GS &gt; 50 OLS Model (LC)'!$B$14*N138</f>
        <v>12953743.18316808</v>
      </c>
      <c r="AB138" s="186">
        <f t="shared" ca="1" si="19"/>
        <v>81462113.287739187</v>
      </c>
    </row>
    <row r="139" spans="1:28">
      <c r="A139" s="128">
        <v>43983</v>
      </c>
      <c r="B139" s="186">
        <f t="shared" si="18"/>
        <v>2020</v>
      </c>
      <c r="D139" s="186">
        <f t="shared" ca="1" si="17"/>
        <v>0.39669172932326546</v>
      </c>
      <c r="E139" s="186">
        <f t="shared" ca="1" si="17"/>
        <v>116.89315789473682</v>
      </c>
      <c r="F139" s="186">
        <f>F127*(1+Employment!L$10)</f>
        <v>687206.36765083903</v>
      </c>
      <c r="G139" s="186">
        <f t="shared" si="12"/>
        <v>138</v>
      </c>
      <c r="H139" s="186">
        <f t="shared" si="20"/>
        <v>0</v>
      </c>
      <c r="I139" s="186">
        <f t="shared" si="20"/>
        <v>1</v>
      </c>
      <c r="J139" s="186">
        <f t="shared" si="20"/>
        <v>0</v>
      </c>
      <c r="K139" s="186">
        <f t="shared" si="20"/>
        <v>0</v>
      </c>
      <c r="L139" s="186">
        <f t="shared" si="20"/>
        <v>0</v>
      </c>
      <c r="M139" s="186">
        <f t="shared" si="14"/>
        <v>30</v>
      </c>
      <c r="N139" s="186">
        <v>22</v>
      </c>
      <c r="P139" s="186">
        <f>'GS &gt; 50 OLS Model (LC)'!$B$5</f>
        <v>-8436546.8467997499</v>
      </c>
      <c r="Q139" s="186">
        <f ca="1">'GS &gt; 50 OLS Model (LC)'!$B$6*D139</f>
        <v>9606.6872501819107</v>
      </c>
      <c r="R139" s="186">
        <f ca="1">'GS &gt; 50 OLS Model (LC)'!$B$7*E139</f>
        <v>8343001.6066957684</v>
      </c>
      <c r="S139" s="186">
        <f>'GS &gt; 50 OLS Model (LC)'!$B$8*F139</f>
        <v>35651940.910503238</v>
      </c>
      <c r="T139" s="186">
        <v>0</v>
      </c>
      <c r="U139" s="186">
        <f>'GS &gt; 50 OLS Model (LC)'!$B$9*H139</f>
        <v>0</v>
      </c>
      <c r="V139" s="186">
        <f>'GS &gt; 50 OLS Model (LC)'!$B$10*I139</f>
        <v>1260255.0136768401</v>
      </c>
      <c r="W139" s="186">
        <f>'GS &gt; 50 OLS Model (LC)'!$B$11*J139</f>
        <v>0</v>
      </c>
      <c r="X139" s="186">
        <f>'GS &gt; 50 OLS Model (LC)'!$B$12*K139</f>
        <v>0</v>
      </c>
      <c r="Y139" s="186">
        <v>0</v>
      </c>
      <c r="Z139" s="186">
        <f>'GS &gt; 50 OLS Model (LC)'!$B$13*M139</f>
        <v>33683171.091442198</v>
      </c>
      <c r="AA139" s="186">
        <f>'GS &gt; 50 OLS Model (LC)'!$B$14*N139</f>
        <v>14249117.501484888</v>
      </c>
      <c r="AB139" s="186">
        <f t="shared" ca="1" si="19"/>
        <v>84760545.964253351</v>
      </c>
    </row>
    <row r="140" spans="1:28">
      <c r="A140" s="128">
        <v>44013</v>
      </c>
      <c r="B140" s="186">
        <f t="shared" si="18"/>
        <v>2020</v>
      </c>
      <c r="D140" s="186">
        <f t="shared" ca="1" si="17"/>
        <v>0.58105263157894704</v>
      </c>
      <c r="E140" s="186">
        <f t="shared" ca="1" si="17"/>
        <v>186.96526315789481</v>
      </c>
      <c r="F140" s="186">
        <f>F128*(1+Employment!L$10)</f>
        <v>687206.36765083903</v>
      </c>
      <c r="G140" s="186">
        <f t="shared" si="12"/>
        <v>139</v>
      </c>
      <c r="H140" s="186">
        <f t="shared" si="20"/>
        <v>0</v>
      </c>
      <c r="I140" s="186">
        <f t="shared" si="20"/>
        <v>0</v>
      </c>
      <c r="J140" s="186">
        <f t="shared" si="20"/>
        <v>0</v>
      </c>
      <c r="K140" s="186">
        <f t="shared" si="20"/>
        <v>0</v>
      </c>
      <c r="L140" s="186">
        <f t="shared" si="20"/>
        <v>0</v>
      </c>
      <c r="M140" s="186">
        <f t="shared" si="14"/>
        <v>31</v>
      </c>
      <c r="N140" s="186">
        <v>22</v>
      </c>
      <c r="P140" s="186">
        <f>'GS &gt; 50 OLS Model (LC)'!$B$5</f>
        <v>-8436546.8467997499</v>
      </c>
      <c r="Q140" s="186">
        <f ca="1">'GS &gt; 50 OLS Model (LC)'!$B$6*D140</f>
        <v>14071.356912322552</v>
      </c>
      <c r="R140" s="186">
        <f ca="1">'GS &gt; 50 OLS Model (LC)'!$B$7*E140</f>
        <v>13344249.732112395</v>
      </c>
      <c r="S140" s="186">
        <f>'GS &gt; 50 OLS Model (LC)'!$B$8*F140</f>
        <v>35651940.910503238</v>
      </c>
      <c r="T140" s="186">
        <v>0</v>
      </c>
      <c r="U140" s="186">
        <f>'GS &gt; 50 OLS Model (LC)'!$B$9*H140</f>
        <v>0</v>
      </c>
      <c r="V140" s="186">
        <f>'GS &gt; 50 OLS Model (LC)'!$B$10*I140</f>
        <v>0</v>
      </c>
      <c r="W140" s="186">
        <f>'GS &gt; 50 OLS Model (LC)'!$B$11*J140</f>
        <v>0</v>
      </c>
      <c r="X140" s="186">
        <f>'GS &gt; 50 OLS Model (LC)'!$B$12*K140</f>
        <v>0</v>
      </c>
      <c r="Y140" s="186">
        <v>0</v>
      </c>
      <c r="Z140" s="186">
        <f>'GS &gt; 50 OLS Model (LC)'!$B$13*M140</f>
        <v>34805943.461156942</v>
      </c>
      <c r="AA140" s="186">
        <f>'GS &gt; 50 OLS Model (LC)'!$B$14*N140</f>
        <v>14249117.501484888</v>
      </c>
      <c r="AB140" s="186">
        <f t="shared" ca="1" si="19"/>
        <v>89628776.115370035</v>
      </c>
    </row>
    <row r="141" spans="1:28">
      <c r="A141" s="128">
        <v>44044</v>
      </c>
      <c r="B141" s="186">
        <f t="shared" si="18"/>
        <v>2020</v>
      </c>
      <c r="D141" s="186">
        <f t="shared" ca="1" si="17"/>
        <v>1.6660902255639058</v>
      </c>
      <c r="E141" s="186">
        <f t="shared" ca="1" si="17"/>
        <v>167.43443609022574</v>
      </c>
      <c r="F141" s="186">
        <f>F129*(1+Employment!L$10)</f>
        <v>687206.36765083903</v>
      </c>
      <c r="G141" s="186">
        <f t="shared" si="12"/>
        <v>140</v>
      </c>
      <c r="H141" s="186">
        <f t="shared" si="20"/>
        <v>0</v>
      </c>
      <c r="I141" s="186">
        <f t="shared" si="20"/>
        <v>0</v>
      </c>
      <c r="J141" s="186">
        <f t="shared" si="20"/>
        <v>1</v>
      </c>
      <c r="K141" s="186">
        <f t="shared" si="20"/>
        <v>0</v>
      </c>
      <c r="L141" s="186">
        <f t="shared" si="20"/>
        <v>0</v>
      </c>
      <c r="M141" s="186">
        <f t="shared" si="14"/>
        <v>31</v>
      </c>
      <c r="N141" s="186">
        <v>20</v>
      </c>
      <c r="P141" s="186">
        <f>'GS &gt; 50 OLS Model (LC)'!$B$5</f>
        <v>-8436546.8467997499</v>
      </c>
      <c r="Q141" s="186">
        <f ca="1">'GS &gt; 50 OLS Model (LC)'!$B$6*D141</f>
        <v>40347.722285216725</v>
      </c>
      <c r="R141" s="186">
        <f ca="1">'GS &gt; 50 OLS Model (LC)'!$B$7*E141</f>
        <v>11950278.30948735</v>
      </c>
      <c r="S141" s="186">
        <f>'GS &gt; 50 OLS Model (LC)'!$B$8*F141</f>
        <v>35651940.910503238</v>
      </c>
      <c r="T141" s="186">
        <v>0</v>
      </c>
      <c r="U141" s="186">
        <f>'GS &gt; 50 OLS Model (LC)'!$B$9*H141</f>
        <v>0</v>
      </c>
      <c r="V141" s="186">
        <f>'GS &gt; 50 OLS Model (LC)'!$B$10*I141</f>
        <v>0</v>
      </c>
      <c r="W141" s="186">
        <f>'GS &gt; 50 OLS Model (LC)'!$B$11*J141</f>
        <v>2501012.7689915099</v>
      </c>
      <c r="X141" s="186">
        <f>'GS &gt; 50 OLS Model (LC)'!$B$12*K141</f>
        <v>0</v>
      </c>
      <c r="Y141" s="186">
        <v>0</v>
      </c>
      <c r="Z141" s="186">
        <f>'GS &gt; 50 OLS Model (LC)'!$B$13*M141</f>
        <v>34805943.461156942</v>
      </c>
      <c r="AA141" s="186">
        <f>'GS &gt; 50 OLS Model (LC)'!$B$14*N141</f>
        <v>12953743.18316808</v>
      </c>
      <c r="AB141" s="186">
        <f t="shared" ca="1" si="19"/>
        <v>89466719.508792579</v>
      </c>
    </row>
    <row r="142" spans="1:28">
      <c r="A142" s="128">
        <v>44075</v>
      </c>
      <c r="B142" s="186">
        <f t="shared" si="18"/>
        <v>2020</v>
      </c>
      <c r="D142" s="186">
        <f t="shared" ref="D142:E145" ca="1" si="21">D130</f>
        <v>30.410827067669118</v>
      </c>
      <c r="E142" s="186">
        <f t="shared" ca="1" si="21"/>
        <v>83.003533834586506</v>
      </c>
      <c r="F142" s="186">
        <f>F130*(1+Employment!L$10)</f>
        <v>687206.36765083903</v>
      </c>
      <c r="G142" s="186">
        <f t="shared" si="12"/>
        <v>141</v>
      </c>
      <c r="H142" s="186">
        <f t="shared" si="20"/>
        <v>0</v>
      </c>
      <c r="I142" s="186">
        <f t="shared" si="20"/>
        <v>0</v>
      </c>
      <c r="J142" s="186">
        <f t="shared" si="20"/>
        <v>0</v>
      </c>
      <c r="K142" s="186">
        <f t="shared" si="20"/>
        <v>1</v>
      </c>
      <c r="L142" s="186">
        <f t="shared" si="20"/>
        <v>0</v>
      </c>
      <c r="M142" s="186">
        <f t="shared" si="14"/>
        <v>30</v>
      </c>
      <c r="N142" s="186">
        <v>21</v>
      </c>
      <c r="P142" s="186">
        <f>'GS &gt; 50 OLS Model (LC)'!$B$5</f>
        <v>-8436546.8467997499</v>
      </c>
      <c r="Q142" s="186">
        <f ca="1">'GS &gt; 50 OLS Model (LC)'!$B$6*D142</f>
        <v>736459.27823312907</v>
      </c>
      <c r="R142" s="186">
        <f ca="1">'GS &gt; 50 OLS Model (LC)'!$B$7*E142</f>
        <v>5924201.4555461155</v>
      </c>
      <c r="S142" s="186">
        <f>'GS &gt; 50 OLS Model (LC)'!$B$8*F142</f>
        <v>35651940.910503238</v>
      </c>
      <c r="T142" s="186">
        <v>0</v>
      </c>
      <c r="U142" s="186">
        <f>'GS &gt; 50 OLS Model (LC)'!$B$9*H142</f>
        <v>0</v>
      </c>
      <c r="V142" s="186">
        <f>'GS &gt; 50 OLS Model (LC)'!$B$10*I142</f>
        <v>0</v>
      </c>
      <c r="W142" s="186">
        <f>'GS &gt; 50 OLS Model (LC)'!$B$11*J142</f>
        <v>0</v>
      </c>
      <c r="X142" s="186">
        <f>'GS &gt; 50 OLS Model (LC)'!$B$12*K142</f>
        <v>2346294.5864150901</v>
      </c>
      <c r="Y142" s="186">
        <v>0</v>
      </c>
      <c r="Z142" s="186">
        <f>'GS &gt; 50 OLS Model (LC)'!$B$13*M142</f>
        <v>33683171.091442198</v>
      </c>
      <c r="AA142" s="186">
        <f>'GS &gt; 50 OLS Model (LC)'!$B$14*N142</f>
        <v>13601430.342326485</v>
      </c>
      <c r="AB142" s="186">
        <f t="shared" ca="1" si="19"/>
        <v>83506950.817666501</v>
      </c>
    </row>
    <row r="143" spans="1:28">
      <c r="A143" s="128">
        <v>44105</v>
      </c>
      <c r="B143" s="186">
        <f t="shared" si="18"/>
        <v>2020</v>
      </c>
      <c r="D143" s="186">
        <f t="shared" ca="1" si="21"/>
        <v>158.93676691729343</v>
      </c>
      <c r="E143" s="186">
        <f t="shared" ca="1" si="21"/>
        <v>16.916090225563948</v>
      </c>
      <c r="F143" s="186">
        <f>F131*(1+Employment!L$10)</f>
        <v>687206.36765083903</v>
      </c>
      <c r="G143" s="186">
        <f t="shared" si="12"/>
        <v>142</v>
      </c>
      <c r="H143" s="186">
        <f t="shared" si="20"/>
        <v>0</v>
      </c>
      <c r="I143" s="186">
        <f t="shared" si="20"/>
        <v>0</v>
      </c>
      <c r="J143" s="186">
        <f t="shared" si="20"/>
        <v>0</v>
      </c>
      <c r="K143" s="186">
        <f t="shared" si="20"/>
        <v>0</v>
      </c>
      <c r="L143" s="186">
        <f t="shared" si="20"/>
        <v>1</v>
      </c>
      <c r="M143" s="186">
        <f t="shared" si="14"/>
        <v>31</v>
      </c>
      <c r="N143" s="186">
        <v>21</v>
      </c>
      <c r="P143" s="186">
        <f>'GS &gt; 50 OLS Model (LC)'!$B$5</f>
        <v>-8436546.8467997499</v>
      </c>
      <c r="Q143" s="186">
        <f ca="1">'GS &gt; 50 OLS Model (LC)'!$B$6*D143</f>
        <v>3848973.1432874338</v>
      </c>
      <c r="R143" s="186">
        <f ca="1">'GS &gt; 50 OLS Model (LC)'!$B$7*E143</f>
        <v>1207350.1176003828</v>
      </c>
      <c r="S143" s="186">
        <f>'GS &gt; 50 OLS Model (LC)'!$B$8*F143</f>
        <v>35651940.910503238</v>
      </c>
      <c r="T143" s="186">
        <v>0</v>
      </c>
      <c r="U143" s="186">
        <f>'GS &gt; 50 OLS Model (LC)'!$B$9*H143</f>
        <v>0</v>
      </c>
      <c r="V143" s="186">
        <f>'GS &gt; 50 OLS Model (LC)'!$B$10*I143</f>
        <v>0</v>
      </c>
      <c r="W143" s="186">
        <f>'GS &gt; 50 OLS Model (LC)'!$B$11*J143</f>
        <v>0</v>
      </c>
      <c r="X143" s="186">
        <f>'GS &gt; 50 OLS Model (LC)'!$B$12*K143</f>
        <v>0</v>
      </c>
      <c r="Y143" s="186">
        <v>0</v>
      </c>
      <c r="Z143" s="186">
        <f>'GS &gt; 50 OLS Model (LC)'!$B$13*M143</f>
        <v>34805943.461156942</v>
      </c>
      <c r="AA143" s="186">
        <f>'GS &gt; 50 OLS Model (LC)'!$B$14*N143</f>
        <v>13601430.342326485</v>
      </c>
      <c r="AB143" s="186">
        <f t="shared" ca="1" si="19"/>
        <v>80679091.128074735</v>
      </c>
    </row>
    <row r="144" spans="1:28">
      <c r="A144" s="128">
        <v>44136</v>
      </c>
      <c r="B144" s="186">
        <f t="shared" si="18"/>
        <v>2020</v>
      </c>
      <c r="D144" s="186">
        <f t="shared" ca="1" si="21"/>
        <v>375.92533834586447</v>
      </c>
      <c r="E144" s="186">
        <f t="shared" ca="1" si="21"/>
        <v>8.120300751879661E-2</v>
      </c>
      <c r="F144" s="186">
        <f>F132*(1+Employment!L$10)</f>
        <v>687206.36765083903</v>
      </c>
      <c r="G144" s="186">
        <f t="shared" si="12"/>
        <v>143</v>
      </c>
      <c r="H144" s="186">
        <f t="shared" si="20"/>
        <v>0</v>
      </c>
      <c r="I144" s="186">
        <f t="shared" si="20"/>
        <v>0</v>
      </c>
      <c r="J144" s="186">
        <f t="shared" si="20"/>
        <v>0</v>
      </c>
      <c r="K144" s="186">
        <f t="shared" si="20"/>
        <v>0</v>
      </c>
      <c r="L144" s="186">
        <f t="shared" si="20"/>
        <v>0</v>
      </c>
      <c r="M144" s="186">
        <f t="shared" si="14"/>
        <v>30</v>
      </c>
      <c r="N144" s="186">
        <v>21</v>
      </c>
      <c r="P144" s="186">
        <f>'GS &gt; 50 OLS Model (LC)'!$B$5</f>
        <v>-8436546.8467997499</v>
      </c>
      <c r="Q144" s="186">
        <f ca="1">'GS &gt; 50 OLS Model (LC)'!$B$6*D144</f>
        <v>9103787.36927131</v>
      </c>
      <c r="R144" s="186">
        <f ca="1">'GS &gt; 50 OLS Model (LC)'!$B$7*E144</f>
        <v>5795.6927026295389</v>
      </c>
      <c r="S144" s="186">
        <f>'GS &gt; 50 OLS Model (LC)'!$B$8*F144</f>
        <v>35651940.910503238</v>
      </c>
      <c r="T144" s="186">
        <v>0</v>
      </c>
      <c r="U144" s="186">
        <f>'GS &gt; 50 OLS Model (LC)'!$B$9*H144</f>
        <v>0</v>
      </c>
      <c r="V144" s="186">
        <f>'GS &gt; 50 OLS Model (LC)'!$B$10*I144</f>
        <v>0</v>
      </c>
      <c r="W144" s="186">
        <f>'GS &gt; 50 OLS Model (LC)'!$B$11*J144</f>
        <v>0</v>
      </c>
      <c r="X144" s="186">
        <f>'GS &gt; 50 OLS Model (LC)'!$B$12*K144</f>
        <v>0</v>
      </c>
      <c r="Y144" s="186">
        <v>0</v>
      </c>
      <c r="Z144" s="186">
        <f>'GS &gt; 50 OLS Model (LC)'!$B$13*M144</f>
        <v>33683171.091442198</v>
      </c>
      <c r="AA144" s="186">
        <f>'GS &gt; 50 OLS Model (LC)'!$B$14*N144</f>
        <v>13601430.342326485</v>
      </c>
      <c r="AB144" s="186">
        <f t="shared" ca="1" si="19"/>
        <v>83609578.559446126</v>
      </c>
    </row>
    <row r="145" spans="1:28">
      <c r="A145" s="128">
        <v>44166</v>
      </c>
      <c r="B145" s="186">
        <f t="shared" si="18"/>
        <v>2020</v>
      </c>
      <c r="D145" s="186">
        <f t="shared" ca="1" si="21"/>
        <v>548.76120300751859</v>
      </c>
      <c r="E145" s="186">
        <f t="shared" ca="1" si="21"/>
        <v>0</v>
      </c>
      <c r="F145" s="186">
        <f>F133*(1+Employment!L$10)</f>
        <v>687206.36765083903</v>
      </c>
      <c r="G145" s="186">
        <f t="shared" si="12"/>
        <v>144</v>
      </c>
      <c r="H145" s="186">
        <f t="shared" si="20"/>
        <v>0</v>
      </c>
      <c r="I145" s="186">
        <f t="shared" si="20"/>
        <v>0</v>
      </c>
      <c r="J145" s="186">
        <f t="shared" si="20"/>
        <v>0</v>
      </c>
      <c r="K145" s="186">
        <f t="shared" si="20"/>
        <v>0</v>
      </c>
      <c r="L145" s="186">
        <f t="shared" si="20"/>
        <v>0</v>
      </c>
      <c r="M145" s="186">
        <f t="shared" si="14"/>
        <v>31</v>
      </c>
      <c r="N145" s="186">
        <v>21</v>
      </c>
      <c r="P145" s="186">
        <f>'GS &gt; 50 OLS Model (LC)'!$B$5</f>
        <v>-8436546.8467997499</v>
      </c>
      <c r="Q145" s="186">
        <f ca="1">'GS &gt; 50 OLS Model (LC)'!$B$6*D145</f>
        <v>13289355.090211187</v>
      </c>
      <c r="R145" s="186">
        <f ca="1">'GS &gt; 50 OLS Model (LC)'!$B$7*E145</f>
        <v>0</v>
      </c>
      <c r="S145" s="186">
        <f>'GS &gt; 50 OLS Model (LC)'!$B$8*F145</f>
        <v>35651940.910503238</v>
      </c>
      <c r="T145" s="186">
        <v>0</v>
      </c>
      <c r="U145" s="186">
        <f>'GS &gt; 50 OLS Model (LC)'!$B$9*H145</f>
        <v>0</v>
      </c>
      <c r="V145" s="186">
        <f>'GS &gt; 50 OLS Model (LC)'!$B$10*I145</f>
        <v>0</v>
      </c>
      <c r="W145" s="186">
        <f>'GS &gt; 50 OLS Model (LC)'!$B$11*J145</f>
        <v>0</v>
      </c>
      <c r="X145" s="186">
        <f>'GS &gt; 50 OLS Model (LC)'!$B$12*K145</f>
        <v>0</v>
      </c>
      <c r="Y145" s="186">
        <v>0</v>
      </c>
      <c r="Z145" s="186">
        <f>'GS &gt; 50 OLS Model (LC)'!$B$13*M145</f>
        <v>34805943.461156942</v>
      </c>
      <c r="AA145" s="186">
        <f>'GS &gt; 50 OLS Model (LC)'!$B$14*N145</f>
        <v>13601430.342326485</v>
      </c>
      <c r="AB145" s="186">
        <f t="shared" ca="1" si="19"/>
        <v>88912122.957398117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1127B-F0B9-4C14-B32E-653C78AB2CB0}">
  <dimension ref="A1:R146"/>
  <sheetViews>
    <sheetView workbookViewId="0">
      <selection activeCell="M3" sqref="M3:M145"/>
    </sheetView>
  </sheetViews>
  <sheetFormatPr defaultRowHeight="12.75"/>
  <cols>
    <col min="1" max="1" width="10.33203125" style="127" bestFit="1" customWidth="1"/>
    <col min="2" max="2" width="5" style="127" bestFit="1" customWidth="1"/>
    <col min="3" max="3" width="18.6640625" style="127" bestFit="1" customWidth="1"/>
    <col min="4" max="4" width="6" style="127" bestFit="1" customWidth="1"/>
    <col min="5" max="5" width="11" style="127" customWidth="1"/>
    <col min="6" max="6" width="6.83203125" style="127" customWidth="1"/>
    <col min="7" max="8" width="10.1640625" style="127" bestFit="1" customWidth="1"/>
    <col min="9" max="10" width="9.33203125" style="127"/>
    <col min="11" max="11" width="12.6640625" style="127" bestFit="1" customWidth="1"/>
    <col min="12" max="13" width="12" style="127" bestFit="1" customWidth="1"/>
    <col min="14" max="14" width="12.6640625" style="127" bestFit="1" customWidth="1"/>
    <col min="15" max="15" width="12" style="127" bestFit="1" customWidth="1"/>
    <col min="16" max="16" width="12" style="127" customWidth="1"/>
    <col min="17" max="17" width="12.6640625" style="127" customWidth="1"/>
    <col min="18" max="18" width="12" style="127" bestFit="1" customWidth="1"/>
    <col min="19" max="16384" width="9.33203125" style="127"/>
  </cols>
  <sheetData>
    <row r="1" spans="1:18">
      <c r="A1" s="127" t="s">
        <v>123</v>
      </c>
      <c r="B1" s="127" t="s">
        <v>124</v>
      </c>
      <c r="C1" s="127" t="str">
        <f>'Monthly Data'!Z1</f>
        <v>Intermediate_NO_CDM</v>
      </c>
      <c r="D1" s="127" t="str">
        <f>'Monthly Data'!BM1</f>
        <v>Trend</v>
      </c>
      <c r="E1" s="127" t="str">
        <f>'Monthly Data'!BJ1</f>
        <v>Ont_Empl</v>
      </c>
      <c r="F1" s="169" t="str">
        <f>'Monthly Data'!BS1</f>
        <v>Jun</v>
      </c>
      <c r="G1" s="169" t="str">
        <f>'Monthly Data'!BT1</f>
        <v>Jul</v>
      </c>
      <c r="H1" s="169" t="str">
        <f>'Monthly Data'!CA1</f>
        <v>Fall</v>
      </c>
      <c r="I1" s="127" t="str">
        <f>'Monthly Data'!CC1</f>
        <v>Month Days</v>
      </c>
      <c r="K1" s="127" t="s">
        <v>91</v>
      </c>
      <c r="L1" s="127" t="str">
        <f t="shared" ref="L1:Q1" si="0">D1</f>
        <v>Trend</v>
      </c>
      <c r="M1" s="127" t="str">
        <f t="shared" si="0"/>
        <v>Ont_Empl</v>
      </c>
      <c r="N1" s="127" t="str">
        <f t="shared" si="0"/>
        <v>Jun</v>
      </c>
      <c r="O1" s="127" t="str">
        <f t="shared" si="0"/>
        <v>Jul</v>
      </c>
      <c r="P1" s="127" t="str">
        <f t="shared" si="0"/>
        <v>Fall</v>
      </c>
      <c r="Q1" s="127" t="str">
        <f t="shared" si="0"/>
        <v>Month Days</v>
      </c>
      <c r="R1" s="127" t="s">
        <v>125</v>
      </c>
    </row>
    <row r="2" spans="1:18">
      <c r="A2" s="128">
        <f>'Monthly Data'!A2</f>
        <v>39814</v>
      </c>
      <c r="B2" s="127">
        <f t="shared" ref="B2:B53" si="1">YEAR(A2)</f>
        <v>2009</v>
      </c>
      <c r="C2" s="127">
        <f ca="1">'Monthly Data'!Z2</f>
        <v>4415320.5250500003</v>
      </c>
      <c r="D2" s="127">
        <f>'Monthly Data'!BM2</f>
        <v>1</v>
      </c>
      <c r="E2" s="127">
        <f>'Monthly Data'!BJ2</f>
        <v>6541.6</v>
      </c>
      <c r="F2" s="169">
        <f>'Monthly Data'!BS2</f>
        <v>0</v>
      </c>
      <c r="G2" s="169">
        <f>'Monthly Data'!BT2</f>
        <v>0</v>
      </c>
      <c r="H2" s="169">
        <f>'Monthly Data'!CA2</f>
        <v>0</v>
      </c>
      <c r="I2" s="127">
        <f>'Monthly Data'!CC2</f>
        <v>31</v>
      </c>
      <c r="K2" s="127">
        <f>'Intermediate OLS Model'!$B$5</f>
        <v>-415228.02881662402</v>
      </c>
      <c r="L2" s="127">
        <f>'Intermediate OLS Model'!$B$6*D2</f>
        <v>-5756.5183163388401</v>
      </c>
      <c r="M2" s="127">
        <v>0</v>
      </c>
      <c r="N2" s="127">
        <f>'Intermediate OLS Model'!$B$7*F2</f>
        <v>0</v>
      </c>
      <c r="O2" s="127">
        <f>'Intermediate OLS Model'!$B$8*G2</f>
        <v>0</v>
      </c>
      <c r="P2" s="127">
        <f>'Intermediate OLS Model'!$B$9*H2</f>
        <v>0</v>
      </c>
      <c r="Q2" s="127">
        <f>'Intermediate OLS Model'!$B$10*I2</f>
        <v>4597068.1483280482</v>
      </c>
      <c r="R2" s="127">
        <f t="shared" ref="R2:R21" si="2">SUM(K2:Q2)</f>
        <v>4176083.6011950853</v>
      </c>
    </row>
    <row r="3" spans="1:18">
      <c r="A3" s="128">
        <f>'Monthly Data'!A3</f>
        <v>39845</v>
      </c>
      <c r="B3" s="127">
        <f t="shared" si="1"/>
        <v>2009</v>
      </c>
      <c r="C3" s="127">
        <f ca="1">'Monthly Data'!Z3</f>
        <v>4063549.3825500002</v>
      </c>
      <c r="D3" s="127">
        <f>'Monthly Data'!BM3</f>
        <v>2</v>
      </c>
      <c r="E3" s="127">
        <f>'Monthly Data'!BJ3</f>
        <v>6506</v>
      </c>
      <c r="F3" s="169">
        <f>'Monthly Data'!BS3</f>
        <v>0</v>
      </c>
      <c r="G3" s="169">
        <f>'Monthly Data'!BT3</f>
        <v>0</v>
      </c>
      <c r="H3" s="169">
        <f>'Monthly Data'!CA3</f>
        <v>0</v>
      </c>
      <c r="I3" s="127">
        <f>'Monthly Data'!CC3</f>
        <v>28</v>
      </c>
      <c r="K3" s="127">
        <f>'Intermediate OLS Model'!$B$5</f>
        <v>-415228.02881662402</v>
      </c>
      <c r="L3" s="186">
        <f>'Intermediate OLS Model'!$B$6*D3</f>
        <v>-11513.03663267768</v>
      </c>
      <c r="M3" s="186">
        <v>0</v>
      </c>
      <c r="N3" s="186">
        <f>'Intermediate OLS Model'!$B$7*F3</f>
        <v>0</v>
      </c>
      <c r="O3" s="186">
        <f>'Intermediate OLS Model'!$B$8*G3</f>
        <v>0</v>
      </c>
      <c r="P3" s="186">
        <f>'Intermediate OLS Model'!$B$9*H3</f>
        <v>0</v>
      </c>
      <c r="Q3" s="186">
        <f>'Intermediate OLS Model'!$B$10*I3</f>
        <v>4152190.5855866238</v>
      </c>
      <c r="R3" s="127">
        <f t="shared" si="2"/>
        <v>3725449.5201373221</v>
      </c>
    </row>
    <row r="4" spans="1:18">
      <c r="A4" s="128">
        <f>'Monthly Data'!A4</f>
        <v>39873</v>
      </c>
      <c r="B4" s="127">
        <f t="shared" si="1"/>
        <v>2009</v>
      </c>
      <c r="C4" s="127">
        <f ca="1">'Monthly Data'!Z4</f>
        <v>4547876.9075999996</v>
      </c>
      <c r="D4" s="127">
        <f>'Monthly Data'!BM4</f>
        <v>3</v>
      </c>
      <c r="E4" s="127">
        <f>'Monthly Data'!BJ4</f>
        <v>6466.8</v>
      </c>
      <c r="F4" s="169">
        <f>'Monthly Data'!BS4</f>
        <v>0</v>
      </c>
      <c r="G4" s="169">
        <f>'Monthly Data'!BT4</f>
        <v>0</v>
      </c>
      <c r="H4" s="169">
        <f>'Monthly Data'!CA4</f>
        <v>0</v>
      </c>
      <c r="I4" s="127">
        <f>'Monthly Data'!CC4</f>
        <v>31</v>
      </c>
      <c r="K4" s="127">
        <f>'Intermediate OLS Model'!$B$5</f>
        <v>-415228.02881662402</v>
      </c>
      <c r="L4" s="186">
        <f>'Intermediate OLS Model'!$B$6*D4</f>
        <v>-17269.554949016521</v>
      </c>
      <c r="M4" s="186">
        <v>0</v>
      </c>
      <c r="N4" s="186">
        <f>'Intermediate OLS Model'!$B$7*F4</f>
        <v>0</v>
      </c>
      <c r="O4" s="186">
        <f>'Intermediate OLS Model'!$B$8*G4</f>
        <v>0</v>
      </c>
      <c r="P4" s="186">
        <f>'Intermediate OLS Model'!$B$9*H4</f>
        <v>0</v>
      </c>
      <c r="Q4" s="186">
        <f>'Intermediate OLS Model'!$B$10*I4</f>
        <v>4597068.1483280482</v>
      </c>
      <c r="R4" s="127">
        <f t="shared" si="2"/>
        <v>4164570.5645624078</v>
      </c>
    </row>
    <row r="5" spans="1:18">
      <c r="A5" s="128">
        <f>'Monthly Data'!A5</f>
        <v>39904</v>
      </c>
      <c r="B5" s="127">
        <f t="shared" si="1"/>
        <v>2009</v>
      </c>
      <c r="C5" s="127">
        <f ca="1">'Monthly Data'!Z5</f>
        <v>4092154.0065000001</v>
      </c>
      <c r="D5" s="127">
        <f>'Monthly Data'!BM5</f>
        <v>4</v>
      </c>
      <c r="E5" s="127">
        <f>'Monthly Data'!BJ5</f>
        <v>6445.5</v>
      </c>
      <c r="F5" s="169">
        <f>'Monthly Data'!BS5</f>
        <v>0</v>
      </c>
      <c r="G5" s="169">
        <f>'Monthly Data'!BT5</f>
        <v>0</v>
      </c>
      <c r="H5" s="169">
        <f>'Monthly Data'!CA5</f>
        <v>0</v>
      </c>
      <c r="I5" s="127">
        <f>'Monthly Data'!CC5</f>
        <v>30</v>
      </c>
      <c r="K5" s="127">
        <f>'Intermediate OLS Model'!$B$5</f>
        <v>-415228.02881662402</v>
      </c>
      <c r="L5" s="186">
        <f>'Intermediate OLS Model'!$B$6*D5</f>
        <v>-23026.07326535536</v>
      </c>
      <c r="M5" s="186">
        <v>0</v>
      </c>
      <c r="N5" s="186">
        <f>'Intermediate OLS Model'!$B$7*F5</f>
        <v>0</v>
      </c>
      <c r="O5" s="186">
        <f>'Intermediate OLS Model'!$B$8*G5</f>
        <v>0</v>
      </c>
      <c r="P5" s="186">
        <f>'Intermediate OLS Model'!$B$9*H5</f>
        <v>0</v>
      </c>
      <c r="Q5" s="186">
        <f>'Intermediate OLS Model'!$B$10*I5</f>
        <v>4448775.6274142396</v>
      </c>
      <c r="R5" s="127">
        <f t="shared" si="2"/>
        <v>4010521.5253322599</v>
      </c>
    </row>
    <row r="6" spans="1:18">
      <c r="A6" s="128">
        <f>'Monthly Data'!A6</f>
        <v>39934</v>
      </c>
      <c r="B6" s="127">
        <f t="shared" si="1"/>
        <v>2009</v>
      </c>
      <c r="C6" s="127">
        <f ca="1">'Monthly Data'!Z6</f>
        <v>4275362.9309440004</v>
      </c>
      <c r="D6" s="127">
        <f>'Monthly Data'!BM6</f>
        <v>5</v>
      </c>
      <c r="E6" s="127">
        <f>'Monthly Data'!BJ6</f>
        <v>6420.3</v>
      </c>
      <c r="F6" s="169">
        <f>'Monthly Data'!BS6</f>
        <v>0</v>
      </c>
      <c r="G6" s="169">
        <f>'Monthly Data'!BT6</f>
        <v>0</v>
      </c>
      <c r="H6" s="169">
        <f>'Monthly Data'!CA6</f>
        <v>0</v>
      </c>
      <c r="I6" s="127">
        <f>'Monthly Data'!CC6</f>
        <v>31</v>
      </c>
      <c r="K6" s="127">
        <f>'Intermediate OLS Model'!$B$5</f>
        <v>-415228.02881662402</v>
      </c>
      <c r="L6" s="186">
        <f>'Intermediate OLS Model'!$B$6*D6</f>
        <v>-28782.5915816942</v>
      </c>
      <c r="M6" s="186">
        <v>0</v>
      </c>
      <c r="N6" s="186">
        <f>'Intermediate OLS Model'!$B$7*F6</f>
        <v>0</v>
      </c>
      <c r="O6" s="186">
        <f>'Intermediate OLS Model'!$B$8*G6</f>
        <v>0</v>
      </c>
      <c r="P6" s="186">
        <f>'Intermediate OLS Model'!$B$9*H6</f>
        <v>0</v>
      </c>
      <c r="Q6" s="186">
        <f>'Intermediate OLS Model'!$B$10*I6</f>
        <v>4597068.1483280482</v>
      </c>
      <c r="R6" s="127">
        <f t="shared" si="2"/>
        <v>4153057.5279297298</v>
      </c>
    </row>
    <row r="7" spans="1:18">
      <c r="A7" s="128">
        <f>'Monthly Data'!A7</f>
        <v>39965</v>
      </c>
      <c r="B7" s="127">
        <f t="shared" si="1"/>
        <v>2009</v>
      </c>
      <c r="C7" s="127">
        <f ca="1">'Monthly Data'!Z7</f>
        <v>4339364.1067150002</v>
      </c>
      <c r="D7" s="127">
        <f>'Monthly Data'!BM7</f>
        <v>6</v>
      </c>
      <c r="E7" s="127">
        <f>'Monthly Data'!BJ7</f>
        <v>6393.2</v>
      </c>
      <c r="F7" s="169">
        <f>'Monthly Data'!BS7</f>
        <v>1</v>
      </c>
      <c r="G7" s="169">
        <f>'Monthly Data'!BT7</f>
        <v>0</v>
      </c>
      <c r="H7" s="169">
        <f>'Monthly Data'!CA7</f>
        <v>0</v>
      </c>
      <c r="I7" s="127">
        <f>'Monthly Data'!CC7</f>
        <v>30</v>
      </c>
      <c r="K7" s="127">
        <f>'Intermediate OLS Model'!$B$5</f>
        <v>-415228.02881662402</v>
      </c>
      <c r="L7" s="186">
        <f>'Intermediate OLS Model'!$B$6*D7</f>
        <v>-34539.109898033043</v>
      </c>
      <c r="M7" s="186">
        <v>0</v>
      </c>
      <c r="N7" s="186">
        <f>'Intermediate OLS Model'!$B$7*F7</f>
        <v>346553.62108035001</v>
      </c>
      <c r="O7" s="186">
        <f>'Intermediate OLS Model'!$B$8*G7</f>
        <v>0</v>
      </c>
      <c r="P7" s="186">
        <f>'Intermediate OLS Model'!$B$9*H7</f>
        <v>0</v>
      </c>
      <c r="Q7" s="186">
        <f>'Intermediate OLS Model'!$B$10*I7</f>
        <v>4448775.6274142396</v>
      </c>
      <c r="R7" s="127">
        <f t="shared" si="2"/>
        <v>4345562.1097799325</v>
      </c>
    </row>
    <row r="8" spans="1:18">
      <c r="A8" s="128">
        <f>'Monthly Data'!A8</f>
        <v>39995</v>
      </c>
      <c r="B8" s="127">
        <f t="shared" si="1"/>
        <v>2009</v>
      </c>
      <c r="C8" s="127">
        <f ca="1">'Monthly Data'!Z8</f>
        <v>4830360.0326429997</v>
      </c>
      <c r="D8" s="127">
        <f>'Monthly Data'!BM8</f>
        <v>7</v>
      </c>
      <c r="E8" s="127">
        <f>'Monthly Data'!BJ8</f>
        <v>6390.2</v>
      </c>
      <c r="F8" s="169">
        <f>'Monthly Data'!BS8</f>
        <v>0</v>
      </c>
      <c r="G8" s="169">
        <f>'Monthly Data'!BT8</f>
        <v>1</v>
      </c>
      <c r="H8" s="169">
        <f>'Monthly Data'!CA8</f>
        <v>0</v>
      </c>
      <c r="I8" s="127">
        <f>'Monthly Data'!CC8</f>
        <v>31</v>
      </c>
      <c r="K8" s="127">
        <f>'Intermediate OLS Model'!$B$5</f>
        <v>-415228.02881662402</v>
      </c>
      <c r="L8" s="186">
        <f>'Intermediate OLS Model'!$B$6*D8</f>
        <v>-40295.628214371878</v>
      </c>
      <c r="M8" s="186">
        <v>0</v>
      </c>
      <c r="N8" s="186">
        <f>'Intermediate OLS Model'!$B$7*F8</f>
        <v>0</v>
      </c>
      <c r="O8" s="186">
        <f>'Intermediate OLS Model'!$B$8*G8</f>
        <v>428565.96548408002</v>
      </c>
      <c r="P8" s="186">
        <f>'Intermediate OLS Model'!$B$9*H8</f>
        <v>0</v>
      </c>
      <c r="Q8" s="186">
        <f>'Intermediate OLS Model'!$B$10*I8</f>
        <v>4597068.1483280482</v>
      </c>
      <c r="R8" s="127">
        <f t="shared" si="2"/>
        <v>4570110.4567811321</v>
      </c>
    </row>
    <row r="9" spans="1:18">
      <c r="A9" s="128">
        <f>'Monthly Data'!A9</f>
        <v>40026</v>
      </c>
      <c r="B9" s="127">
        <f t="shared" si="1"/>
        <v>2009</v>
      </c>
      <c r="C9" s="127">
        <f ca="1">'Monthly Data'!Z9</f>
        <v>4185937.0571420002</v>
      </c>
      <c r="D9" s="127">
        <f>'Monthly Data'!BM9</f>
        <v>8</v>
      </c>
      <c r="E9" s="127">
        <f>'Monthly Data'!BJ9</f>
        <v>6401</v>
      </c>
      <c r="F9" s="169">
        <f>'Monthly Data'!BS9</f>
        <v>0</v>
      </c>
      <c r="G9" s="169">
        <f>'Monthly Data'!BT9</f>
        <v>0</v>
      </c>
      <c r="H9" s="169">
        <f>'Monthly Data'!CA9</f>
        <v>0</v>
      </c>
      <c r="I9" s="127">
        <f>'Monthly Data'!CC9</f>
        <v>31</v>
      </c>
      <c r="K9" s="127">
        <f>'Intermediate OLS Model'!$B$5</f>
        <v>-415228.02881662402</v>
      </c>
      <c r="L9" s="186">
        <f>'Intermediate OLS Model'!$B$6*D9</f>
        <v>-46052.146530710721</v>
      </c>
      <c r="M9" s="186">
        <v>0</v>
      </c>
      <c r="N9" s="186">
        <f>'Intermediate OLS Model'!$B$7*F9</f>
        <v>0</v>
      </c>
      <c r="O9" s="186">
        <f>'Intermediate OLS Model'!$B$8*G9</f>
        <v>0</v>
      </c>
      <c r="P9" s="186">
        <f>'Intermediate OLS Model'!$B$9*H9</f>
        <v>0</v>
      </c>
      <c r="Q9" s="186">
        <f>'Intermediate OLS Model'!$B$10*I9</f>
        <v>4597068.1483280482</v>
      </c>
      <c r="R9" s="127">
        <f t="shared" si="2"/>
        <v>4135787.9729807135</v>
      </c>
    </row>
    <row r="10" spans="1:18">
      <c r="A10" s="128">
        <f>'Monthly Data'!A10</f>
        <v>40057</v>
      </c>
      <c r="B10" s="127">
        <f t="shared" si="1"/>
        <v>2009</v>
      </c>
      <c r="C10" s="127">
        <f ca="1">'Monthly Data'!Z10</f>
        <v>4066294.1067980002</v>
      </c>
      <c r="D10" s="127">
        <f>'Monthly Data'!BM10</f>
        <v>9</v>
      </c>
      <c r="E10" s="127">
        <f>'Monthly Data'!BJ10</f>
        <v>6421.2</v>
      </c>
      <c r="F10" s="169">
        <f>'Monthly Data'!BS10</f>
        <v>0</v>
      </c>
      <c r="G10" s="169">
        <f>'Monthly Data'!BT10</f>
        <v>0</v>
      </c>
      <c r="H10" s="169">
        <f>'Monthly Data'!CA10</f>
        <v>1</v>
      </c>
      <c r="I10" s="127">
        <f>'Monthly Data'!CC10</f>
        <v>30</v>
      </c>
      <c r="K10" s="127">
        <f>'Intermediate OLS Model'!$B$5</f>
        <v>-415228.02881662402</v>
      </c>
      <c r="L10" s="186">
        <f>'Intermediate OLS Model'!$B$6*D10</f>
        <v>-51808.664847049564</v>
      </c>
      <c r="M10" s="186">
        <v>0</v>
      </c>
      <c r="N10" s="186">
        <f>'Intermediate OLS Model'!$B$7*F10</f>
        <v>0</v>
      </c>
      <c r="O10" s="186">
        <f>'Intermediate OLS Model'!$B$8*G10</f>
        <v>0</v>
      </c>
      <c r="P10" s="186">
        <f>'Intermediate OLS Model'!$B$9*H10</f>
        <v>219659.05071226999</v>
      </c>
      <c r="Q10" s="186">
        <f>'Intermediate OLS Model'!$B$10*I10</f>
        <v>4448775.6274142396</v>
      </c>
      <c r="R10" s="127">
        <f t="shared" si="2"/>
        <v>4201397.9844628358</v>
      </c>
    </row>
    <row r="11" spans="1:18">
      <c r="A11" s="128">
        <f>'Monthly Data'!A11</f>
        <v>40087</v>
      </c>
      <c r="B11" s="127">
        <f t="shared" si="1"/>
        <v>2009</v>
      </c>
      <c r="C11" s="127">
        <f ca="1">'Monthly Data'!Z11</f>
        <v>4216044.9663699996</v>
      </c>
      <c r="D11" s="127">
        <f>'Monthly Data'!BM11</f>
        <v>10</v>
      </c>
      <c r="E11" s="127">
        <f>'Monthly Data'!BJ11</f>
        <v>6438.2</v>
      </c>
      <c r="F11" s="169">
        <f>'Monthly Data'!BS11</f>
        <v>0</v>
      </c>
      <c r="G11" s="169">
        <f>'Monthly Data'!BT11</f>
        <v>0</v>
      </c>
      <c r="H11" s="169">
        <f>'Monthly Data'!CA11</f>
        <v>1</v>
      </c>
      <c r="I11" s="127">
        <f>'Monthly Data'!CC11</f>
        <v>31</v>
      </c>
      <c r="K11" s="127">
        <f>'Intermediate OLS Model'!$B$5</f>
        <v>-415228.02881662402</v>
      </c>
      <c r="L11" s="186">
        <f>'Intermediate OLS Model'!$B$6*D11</f>
        <v>-57565.183163388399</v>
      </c>
      <c r="M11" s="186">
        <v>0</v>
      </c>
      <c r="N11" s="186">
        <f>'Intermediate OLS Model'!$B$7*F11</f>
        <v>0</v>
      </c>
      <c r="O11" s="186">
        <f>'Intermediate OLS Model'!$B$8*G11</f>
        <v>0</v>
      </c>
      <c r="P11" s="186">
        <f>'Intermediate OLS Model'!$B$9*H11</f>
        <v>219659.05071226999</v>
      </c>
      <c r="Q11" s="186">
        <f>'Intermediate OLS Model'!$B$10*I11</f>
        <v>4597068.1483280482</v>
      </c>
      <c r="R11" s="127">
        <f t="shared" si="2"/>
        <v>4343933.9870603057</v>
      </c>
    </row>
    <row r="12" spans="1:18">
      <c r="A12" s="128">
        <f>'Monthly Data'!A12</f>
        <v>40118</v>
      </c>
      <c r="B12" s="127">
        <f t="shared" si="1"/>
        <v>2009</v>
      </c>
      <c r="C12" s="127">
        <f ca="1">'Monthly Data'!Z12</f>
        <v>4135261.855149</v>
      </c>
      <c r="D12" s="127">
        <f>'Monthly Data'!BM12</f>
        <v>11</v>
      </c>
      <c r="E12" s="127">
        <f>'Monthly Data'!BJ12</f>
        <v>6454</v>
      </c>
      <c r="F12" s="169">
        <f>'Monthly Data'!BS12</f>
        <v>0</v>
      </c>
      <c r="G12" s="169">
        <f>'Monthly Data'!BT12</f>
        <v>0</v>
      </c>
      <c r="H12" s="169">
        <f>'Monthly Data'!CA12</f>
        <v>1</v>
      </c>
      <c r="I12" s="127">
        <f>'Monthly Data'!CC12</f>
        <v>30</v>
      </c>
      <c r="K12" s="127">
        <f>'Intermediate OLS Model'!$B$5</f>
        <v>-415228.02881662402</v>
      </c>
      <c r="L12" s="186">
        <f>'Intermediate OLS Model'!$B$6*D12</f>
        <v>-63321.701479727242</v>
      </c>
      <c r="M12" s="186">
        <v>0</v>
      </c>
      <c r="N12" s="186">
        <f>'Intermediate OLS Model'!$B$7*F12</f>
        <v>0</v>
      </c>
      <c r="O12" s="186">
        <f>'Intermediate OLS Model'!$B$8*G12</f>
        <v>0</v>
      </c>
      <c r="P12" s="186">
        <f>'Intermediate OLS Model'!$B$9*H12</f>
        <v>219659.05071226999</v>
      </c>
      <c r="Q12" s="186">
        <f>'Intermediate OLS Model'!$B$10*I12</f>
        <v>4448775.6274142396</v>
      </c>
      <c r="R12" s="127">
        <f t="shared" si="2"/>
        <v>4189884.9478301583</v>
      </c>
    </row>
    <row r="13" spans="1:18">
      <c r="A13" s="128">
        <f>'Monthly Data'!A13</f>
        <v>40148</v>
      </c>
      <c r="B13" s="127">
        <f t="shared" si="1"/>
        <v>2009</v>
      </c>
      <c r="C13" s="127">
        <f ca="1">'Monthly Data'!Z13</f>
        <v>4139276.0675209998</v>
      </c>
      <c r="D13" s="127">
        <f>'Monthly Data'!BM13</f>
        <v>12</v>
      </c>
      <c r="E13" s="127">
        <f>'Monthly Data'!BJ13</f>
        <v>6458.5</v>
      </c>
      <c r="F13" s="169">
        <f>'Monthly Data'!BS13</f>
        <v>0</v>
      </c>
      <c r="G13" s="169">
        <f>'Monthly Data'!BT13</f>
        <v>0</v>
      </c>
      <c r="H13" s="169">
        <f>'Monthly Data'!CA13</f>
        <v>0</v>
      </c>
      <c r="I13" s="127">
        <f>'Monthly Data'!CC13</f>
        <v>31</v>
      </c>
      <c r="K13" s="127">
        <f>'Intermediate OLS Model'!$B$5</f>
        <v>-415228.02881662402</v>
      </c>
      <c r="L13" s="186">
        <f>'Intermediate OLS Model'!$B$6*D13</f>
        <v>-69078.219796066085</v>
      </c>
      <c r="M13" s="186">
        <v>0</v>
      </c>
      <c r="N13" s="186">
        <f>'Intermediate OLS Model'!$B$7*F13</f>
        <v>0</v>
      </c>
      <c r="O13" s="186">
        <f>'Intermediate OLS Model'!$B$8*G13</f>
        <v>0</v>
      </c>
      <c r="P13" s="186">
        <f>'Intermediate OLS Model'!$B$9*H13</f>
        <v>0</v>
      </c>
      <c r="Q13" s="186">
        <f>'Intermediate OLS Model'!$B$10*I13</f>
        <v>4597068.1483280482</v>
      </c>
      <c r="R13" s="127">
        <f t="shared" si="2"/>
        <v>4112761.8997153579</v>
      </c>
    </row>
    <row r="14" spans="1:18">
      <c r="A14" s="128">
        <f>'Monthly Data'!A14</f>
        <v>40179</v>
      </c>
      <c r="B14" s="127">
        <f t="shared" si="1"/>
        <v>2010</v>
      </c>
      <c r="C14" s="127">
        <f ca="1">'Monthly Data'!Z14</f>
        <v>3680290.2110469998</v>
      </c>
      <c r="D14" s="127">
        <f>'Monthly Data'!BM14</f>
        <v>13</v>
      </c>
      <c r="E14" s="127">
        <f>'Monthly Data'!BJ14</f>
        <v>6466.9</v>
      </c>
      <c r="F14" s="169">
        <f>'Monthly Data'!BS14</f>
        <v>0</v>
      </c>
      <c r="G14" s="169">
        <f>'Monthly Data'!BT14</f>
        <v>0</v>
      </c>
      <c r="H14" s="169">
        <f>'Monthly Data'!CA14</f>
        <v>0</v>
      </c>
      <c r="I14" s="127">
        <f>'Monthly Data'!CC14</f>
        <v>31</v>
      </c>
      <c r="K14" s="127">
        <f>'Intermediate OLS Model'!$B$5</f>
        <v>-415228.02881662402</v>
      </c>
      <c r="L14" s="186">
        <f>'Intermediate OLS Model'!$B$6*D14</f>
        <v>-74834.738112404928</v>
      </c>
      <c r="M14" s="186">
        <v>0</v>
      </c>
      <c r="N14" s="186">
        <f>'Intermediate OLS Model'!$B$7*F14</f>
        <v>0</v>
      </c>
      <c r="O14" s="186">
        <f>'Intermediate OLS Model'!$B$8*G14</f>
        <v>0</v>
      </c>
      <c r="P14" s="186">
        <f>'Intermediate OLS Model'!$B$9*H14</f>
        <v>0</v>
      </c>
      <c r="Q14" s="186">
        <f>'Intermediate OLS Model'!$B$10*I14</f>
        <v>4597068.1483280482</v>
      </c>
      <c r="R14" s="127">
        <f t="shared" si="2"/>
        <v>4107005.3813990192</v>
      </c>
    </row>
    <row r="15" spans="1:18">
      <c r="A15" s="128">
        <f>'Monthly Data'!A15</f>
        <v>40210</v>
      </c>
      <c r="B15" s="127">
        <f t="shared" si="1"/>
        <v>2010</v>
      </c>
      <c r="C15" s="127">
        <f ca="1">'Monthly Data'!Z15</f>
        <v>3458917.2119789999</v>
      </c>
      <c r="D15" s="127">
        <f>'Monthly Data'!BM15</f>
        <v>14</v>
      </c>
      <c r="E15" s="127">
        <f>'Monthly Data'!BJ15</f>
        <v>6471</v>
      </c>
      <c r="F15" s="169">
        <f>'Monthly Data'!BS15</f>
        <v>0</v>
      </c>
      <c r="G15" s="169">
        <f>'Monthly Data'!BT15</f>
        <v>0</v>
      </c>
      <c r="H15" s="169">
        <f>'Monthly Data'!CA15</f>
        <v>0</v>
      </c>
      <c r="I15" s="127">
        <f>'Monthly Data'!CC15</f>
        <v>28</v>
      </c>
      <c r="K15" s="127">
        <f>'Intermediate OLS Model'!$B$5</f>
        <v>-415228.02881662402</v>
      </c>
      <c r="L15" s="186">
        <f>'Intermediate OLS Model'!$B$6*D15</f>
        <v>-80591.256428743756</v>
      </c>
      <c r="M15" s="186">
        <v>0</v>
      </c>
      <c r="N15" s="186">
        <f>'Intermediate OLS Model'!$B$7*F15</f>
        <v>0</v>
      </c>
      <c r="O15" s="186">
        <f>'Intermediate OLS Model'!$B$8*G15</f>
        <v>0</v>
      </c>
      <c r="P15" s="186">
        <f>'Intermediate OLS Model'!$B$9*H15</f>
        <v>0</v>
      </c>
      <c r="Q15" s="186">
        <f>'Intermediate OLS Model'!$B$10*I15</f>
        <v>4152190.5855866238</v>
      </c>
      <c r="R15" s="127">
        <f t="shared" si="2"/>
        <v>3656371.300341256</v>
      </c>
    </row>
    <row r="16" spans="1:18">
      <c r="A16" s="128">
        <f>'Monthly Data'!A16</f>
        <v>40238</v>
      </c>
      <c r="B16" s="127">
        <f t="shared" si="1"/>
        <v>2010</v>
      </c>
      <c r="C16" s="127">
        <f ca="1">'Monthly Data'!Z16</f>
        <v>3961328.3825309998</v>
      </c>
      <c r="D16" s="127">
        <f>'Monthly Data'!BM16</f>
        <v>15</v>
      </c>
      <c r="E16" s="127">
        <f>'Monthly Data'!BJ16</f>
        <v>6477.5</v>
      </c>
      <c r="F16" s="169">
        <f>'Monthly Data'!BS16</f>
        <v>0</v>
      </c>
      <c r="G16" s="169">
        <f>'Monthly Data'!BT16</f>
        <v>0</v>
      </c>
      <c r="H16" s="169">
        <f>'Monthly Data'!CA16</f>
        <v>0</v>
      </c>
      <c r="I16" s="127">
        <f>'Monthly Data'!CC16</f>
        <v>31</v>
      </c>
      <c r="K16" s="127">
        <f>'Intermediate OLS Model'!$B$5</f>
        <v>-415228.02881662402</v>
      </c>
      <c r="L16" s="186">
        <f>'Intermediate OLS Model'!$B$6*D16</f>
        <v>-86347.774745082599</v>
      </c>
      <c r="M16" s="186">
        <v>0</v>
      </c>
      <c r="N16" s="186">
        <f>'Intermediate OLS Model'!$B$7*F16</f>
        <v>0</v>
      </c>
      <c r="O16" s="186">
        <f>'Intermediate OLS Model'!$B$8*G16</f>
        <v>0</v>
      </c>
      <c r="P16" s="186">
        <f>'Intermediate OLS Model'!$B$9*H16</f>
        <v>0</v>
      </c>
      <c r="Q16" s="186">
        <f>'Intermediate OLS Model'!$B$10*I16</f>
        <v>4597068.1483280482</v>
      </c>
      <c r="R16" s="127">
        <f t="shared" si="2"/>
        <v>4095492.3447663416</v>
      </c>
    </row>
    <row r="17" spans="1:18">
      <c r="A17" s="128">
        <f>'Monthly Data'!A17</f>
        <v>40269</v>
      </c>
      <c r="B17" s="127">
        <f t="shared" si="1"/>
        <v>2010</v>
      </c>
      <c r="C17" s="127">
        <f ca="1">'Monthly Data'!Z17</f>
        <v>3819290.2417009999</v>
      </c>
      <c r="D17" s="127">
        <f>'Monthly Data'!BM17</f>
        <v>16</v>
      </c>
      <c r="E17" s="127">
        <f>'Monthly Data'!BJ17</f>
        <v>6485</v>
      </c>
      <c r="F17" s="169">
        <f>'Monthly Data'!BS17</f>
        <v>0</v>
      </c>
      <c r="G17" s="169">
        <f>'Monthly Data'!BT17</f>
        <v>0</v>
      </c>
      <c r="H17" s="169">
        <f>'Monthly Data'!CA17</f>
        <v>0</v>
      </c>
      <c r="I17" s="127">
        <f>'Monthly Data'!CC17</f>
        <v>30</v>
      </c>
      <c r="K17" s="127">
        <f>'Intermediate OLS Model'!$B$5</f>
        <v>-415228.02881662402</v>
      </c>
      <c r="L17" s="186">
        <f>'Intermediate OLS Model'!$B$6*D17</f>
        <v>-92104.293061421442</v>
      </c>
      <c r="M17" s="186">
        <v>0</v>
      </c>
      <c r="N17" s="186">
        <f>'Intermediate OLS Model'!$B$7*F17</f>
        <v>0</v>
      </c>
      <c r="O17" s="186">
        <f>'Intermediate OLS Model'!$B$8*G17</f>
        <v>0</v>
      </c>
      <c r="P17" s="186">
        <f>'Intermediate OLS Model'!$B$9*H17</f>
        <v>0</v>
      </c>
      <c r="Q17" s="186">
        <f>'Intermediate OLS Model'!$B$10*I17</f>
        <v>4448775.6274142396</v>
      </c>
      <c r="R17" s="127">
        <f t="shared" si="2"/>
        <v>3941443.3055361942</v>
      </c>
    </row>
    <row r="18" spans="1:18">
      <c r="A18" s="128">
        <f>'Monthly Data'!A18</f>
        <v>40299</v>
      </c>
      <c r="B18" s="127">
        <f t="shared" si="1"/>
        <v>2010</v>
      </c>
      <c r="C18" s="127">
        <f ca="1">'Monthly Data'!Z18</f>
        <v>4025317.4492390002</v>
      </c>
      <c r="D18" s="127">
        <f>'Monthly Data'!BM18</f>
        <v>17</v>
      </c>
      <c r="E18" s="127">
        <f>'Monthly Data'!BJ18</f>
        <v>6506.8</v>
      </c>
      <c r="F18" s="169">
        <f>'Monthly Data'!BS18</f>
        <v>0</v>
      </c>
      <c r="G18" s="169">
        <f>'Monthly Data'!BT18</f>
        <v>0</v>
      </c>
      <c r="H18" s="169">
        <f>'Monthly Data'!CA18</f>
        <v>0</v>
      </c>
      <c r="I18" s="127">
        <f>'Monthly Data'!CC18</f>
        <v>31</v>
      </c>
      <c r="K18" s="127">
        <f>'Intermediate OLS Model'!$B$5</f>
        <v>-415228.02881662402</v>
      </c>
      <c r="L18" s="186">
        <f>'Intermediate OLS Model'!$B$6*D18</f>
        <v>-97860.811377760285</v>
      </c>
      <c r="M18" s="186">
        <v>0</v>
      </c>
      <c r="N18" s="186">
        <f>'Intermediate OLS Model'!$B$7*F18</f>
        <v>0</v>
      </c>
      <c r="O18" s="186">
        <f>'Intermediate OLS Model'!$B$8*G18</f>
        <v>0</v>
      </c>
      <c r="P18" s="186">
        <f>'Intermediate OLS Model'!$B$9*H18</f>
        <v>0</v>
      </c>
      <c r="Q18" s="186">
        <f>'Intermediate OLS Model'!$B$10*I18</f>
        <v>4597068.1483280482</v>
      </c>
      <c r="R18" s="127">
        <f t="shared" si="2"/>
        <v>4083979.3081336636</v>
      </c>
    </row>
    <row r="19" spans="1:18">
      <c r="A19" s="128">
        <f>'Monthly Data'!A19</f>
        <v>40330</v>
      </c>
      <c r="B19" s="127">
        <f t="shared" si="1"/>
        <v>2010</v>
      </c>
      <c r="C19" s="127">
        <f ca="1">'Monthly Data'!Z19</f>
        <v>4225303.8981990004</v>
      </c>
      <c r="D19" s="127">
        <f>'Monthly Data'!BM19</f>
        <v>18</v>
      </c>
      <c r="E19" s="127">
        <f>'Monthly Data'!BJ19</f>
        <v>6540.8</v>
      </c>
      <c r="F19" s="169">
        <f>'Monthly Data'!BS19</f>
        <v>1</v>
      </c>
      <c r="G19" s="169">
        <f>'Monthly Data'!BT19</f>
        <v>0</v>
      </c>
      <c r="H19" s="169">
        <f>'Monthly Data'!CA19</f>
        <v>0</v>
      </c>
      <c r="I19" s="127">
        <f>'Monthly Data'!CC19</f>
        <v>30</v>
      </c>
      <c r="K19" s="127">
        <f>'Intermediate OLS Model'!$B$5</f>
        <v>-415228.02881662402</v>
      </c>
      <c r="L19" s="186">
        <f>'Intermediate OLS Model'!$B$6*D19</f>
        <v>-103617.32969409913</v>
      </c>
      <c r="M19" s="186">
        <v>0</v>
      </c>
      <c r="N19" s="186">
        <f>'Intermediate OLS Model'!$B$7*F19</f>
        <v>346553.62108035001</v>
      </c>
      <c r="O19" s="186">
        <f>'Intermediate OLS Model'!$B$8*G19</f>
        <v>0</v>
      </c>
      <c r="P19" s="186">
        <f>'Intermediate OLS Model'!$B$9*H19</f>
        <v>0</v>
      </c>
      <c r="Q19" s="186">
        <f>'Intermediate OLS Model'!$B$10*I19</f>
        <v>4448775.6274142396</v>
      </c>
      <c r="R19" s="127">
        <f t="shared" si="2"/>
        <v>4276483.8899838664</v>
      </c>
    </row>
    <row r="20" spans="1:18">
      <c r="A20" s="128">
        <f>'Monthly Data'!A20</f>
        <v>40360</v>
      </c>
      <c r="B20" s="127">
        <f t="shared" si="1"/>
        <v>2010</v>
      </c>
      <c r="C20" s="127">
        <f ca="1">'Monthly Data'!Z20</f>
        <v>4362344.081638</v>
      </c>
      <c r="D20" s="127">
        <f>'Monthly Data'!BM20</f>
        <v>19</v>
      </c>
      <c r="E20" s="127">
        <f>'Monthly Data'!BJ20</f>
        <v>6561</v>
      </c>
      <c r="F20" s="169">
        <f>'Monthly Data'!BS20</f>
        <v>0</v>
      </c>
      <c r="G20" s="169">
        <f>'Monthly Data'!BT20</f>
        <v>1</v>
      </c>
      <c r="H20" s="169">
        <f>'Monthly Data'!CA20</f>
        <v>0</v>
      </c>
      <c r="I20" s="127">
        <f>'Monthly Data'!CC20</f>
        <v>31</v>
      </c>
      <c r="K20" s="127">
        <f>'Intermediate OLS Model'!$B$5</f>
        <v>-415228.02881662402</v>
      </c>
      <c r="L20" s="186">
        <f>'Intermediate OLS Model'!$B$6*D20</f>
        <v>-109373.84801043796</v>
      </c>
      <c r="M20" s="186">
        <v>0</v>
      </c>
      <c r="N20" s="186">
        <f>'Intermediate OLS Model'!$B$7*F20</f>
        <v>0</v>
      </c>
      <c r="O20" s="186">
        <f>'Intermediate OLS Model'!$B$8*G20</f>
        <v>428565.96548408002</v>
      </c>
      <c r="P20" s="186">
        <f>'Intermediate OLS Model'!$B$9*H20</f>
        <v>0</v>
      </c>
      <c r="Q20" s="186">
        <f>'Intermediate OLS Model'!$B$10*I20</f>
        <v>4597068.1483280482</v>
      </c>
      <c r="R20" s="127">
        <f t="shared" si="2"/>
        <v>4501032.236985066</v>
      </c>
    </row>
    <row r="21" spans="1:18">
      <c r="A21" s="128">
        <f>'Monthly Data'!A21</f>
        <v>40391</v>
      </c>
      <c r="B21" s="127">
        <f t="shared" si="1"/>
        <v>2010</v>
      </c>
      <c r="C21" s="127">
        <f ca="1">'Monthly Data'!Z21</f>
        <v>4421103.6722379997</v>
      </c>
      <c r="D21" s="127">
        <f>'Monthly Data'!BM21</f>
        <v>20</v>
      </c>
      <c r="E21" s="127">
        <f>'Monthly Data'!BJ21</f>
        <v>6568.9</v>
      </c>
      <c r="F21" s="169">
        <f>'Monthly Data'!BS21</f>
        <v>0</v>
      </c>
      <c r="G21" s="169">
        <f>'Monthly Data'!BT21</f>
        <v>0</v>
      </c>
      <c r="H21" s="169">
        <f>'Monthly Data'!CA21</f>
        <v>0</v>
      </c>
      <c r="I21" s="127">
        <f>'Monthly Data'!CC21</f>
        <v>31</v>
      </c>
      <c r="K21" s="127">
        <f>'Intermediate OLS Model'!$B$5</f>
        <v>-415228.02881662402</v>
      </c>
      <c r="L21" s="186">
        <f>'Intermediate OLS Model'!$B$6*D21</f>
        <v>-115130.3663267768</v>
      </c>
      <c r="M21" s="186">
        <v>0</v>
      </c>
      <c r="N21" s="186">
        <f>'Intermediate OLS Model'!$B$7*F21</f>
        <v>0</v>
      </c>
      <c r="O21" s="186">
        <f>'Intermediate OLS Model'!$B$8*G21</f>
        <v>0</v>
      </c>
      <c r="P21" s="186">
        <f>'Intermediate OLS Model'!$B$9*H21</f>
        <v>0</v>
      </c>
      <c r="Q21" s="186">
        <f>'Intermediate OLS Model'!$B$10*I21</f>
        <v>4597068.1483280482</v>
      </c>
      <c r="R21" s="127">
        <f t="shared" si="2"/>
        <v>4066709.7531846473</v>
      </c>
    </row>
    <row r="22" spans="1:18">
      <c r="A22" s="128">
        <f>'Monthly Data'!A22</f>
        <v>40422</v>
      </c>
      <c r="B22" s="127">
        <f t="shared" si="1"/>
        <v>2010</v>
      </c>
      <c r="C22" s="127">
        <f ca="1">'Monthly Data'!Z22</f>
        <v>4336552.6475419998</v>
      </c>
      <c r="D22" s="127">
        <f>'Monthly Data'!BM22</f>
        <v>21</v>
      </c>
      <c r="E22" s="127">
        <f>'Monthly Data'!BJ22</f>
        <v>6556</v>
      </c>
      <c r="F22" s="169">
        <f>'Monthly Data'!BS22</f>
        <v>0</v>
      </c>
      <c r="G22" s="169">
        <f>'Monthly Data'!BT22</f>
        <v>0</v>
      </c>
      <c r="H22" s="169">
        <f>'Monthly Data'!CA22</f>
        <v>1</v>
      </c>
      <c r="I22" s="127">
        <f>'Monthly Data'!CC22</f>
        <v>30</v>
      </c>
      <c r="K22" s="127">
        <f>'Intermediate OLS Model'!$B$5</f>
        <v>-415228.02881662402</v>
      </c>
      <c r="L22" s="186">
        <f>'Intermediate OLS Model'!$B$6*D22</f>
        <v>-120886.88464311564</v>
      </c>
      <c r="M22" s="186">
        <v>0</v>
      </c>
      <c r="N22" s="186">
        <f>'Intermediate OLS Model'!$B$7*F22</f>
        <v>0</v>
      </c>
      <c r="O22" s="186">
        <f>'Intermediate OLS Model'!$B$8*G22</f>
        <v>0</v>
      </c>
      <c r="P22" s="186">
        <f>'Intermediate OLS Model'!$B$9*H22</f>
        <v>219659.05071226999</v>
      </c>
      <c r="Q22" s="186">
        <f>'Intermediate OLS Model'!$B$10*I22</f>
        <v>4448775.6274142396</v>
      </c>
      <c r="R22" s="127">
        <f t="shared" ref="R22:R53" si="3">SUM(K22:Q22)</f>
        <v>4132319.7646667697</v>
      </c>
    </row>
    <row r="23" spans="1:18">
      <c r="A23" s="128">
        <f>'Monthly Data'!A23</f>
        <v>40452</v>
      </c>
      <c r="B23" s="127">
        <f t="shared" si="1"/>
        <v>2010</v>
      </c>
      <c r="C23" s="127">
        <f ca="1">'Monthly Data'!Z23</f>
        <v>4409060.9406300001</v>
      </c>
      <c r="D23" s="127">
        <f>'Monthly Data'!BM23</f>
        <v>22</v>
      </c>
      <c r="E23" s="127">
        <f>'Monthly Data'!BJ23</f>
        <v>6551.6</v>
      </c>
      <c r="F23" s="169">
        <f>'Monthly Data'!BS23</f>
        <v>0</v>
      </c>
      <c r="G23" s="169">
        <f>'Monthly Data'!BT23</f>
        <v>0</v>
      </c>
      <c r="H23" s="169">
        <f>'Monthly Data'!CA23</f>
        <v>1</v>
      </c>
      <c r="I23" s="127">
        <f>'Monthly Data'!CC23</f>
        <v>31</v>
      </c>
      <c r="K23" s="127">
        <f>'Intermediate OLS Model'!$B$5</f>
        <v>-415228.02881662402</v>
      </c>
      <c r="L23" s="186">
        <f>'Intermediate OLS Model'!$B$6*D23</f>
        <v>-126643.40295945448</v>
      </c>
      <c r="M23" s="186">
        <v>0</v>
      </c>
      <c r="N23" s="186">
        <f>'Intermediate OLS Model'!$B$7*F23</f>
        <v>0</v>
      </c>
      <c r="O23" s="186">
        <f>'Intermediate OLS Model'!$B$8*G23</f>
        <v>0</v>
      </c>
      <c r="P23" s="186">
        <f>'Intermediate OLS Model'!$B$9*H23</f>
        <v>219659.05071226999</v>
      </c>
      <c r="Q23" s="186">
        <f>'Intermediate OLS Model'!$B$10*I23</f>
        <v>4597068.1483280482</v>
      </c>
      <c r="R23" s="127">
        <f t="shared" si="3"/>
        <v>4274855.7672642395</v>
      </c>
    </row>
    <row r="24" spans="1:18">
      <c r="A24" s="128">
        <f>'Monthly Data'!A24</f>
        <v>40483</v>
      </c>
      <c r="B24" s="127">
        <f t="shared" si="1"/>
        <v>2010</v>
      </c>
      <c r="C24" s="127">
        <f ca="1">'Monthly Data'!Z24</f>
        <v>4233860.37414</v>
      </c>
      <c r="D24" s="127">
        <f>'Monthly Data'!BM24</f>
        <v>23</v>
      </c>
      <c r="E24" s="127">
        <f>'Monthly Data'!BJ24</f>
        <v>6555.7</v>
      </c>
      <c r="F24" s="169">
        <f>'Monthly Data'!BS24</f>
        <v>0</v>
      </c>
      <c r="G24" s="169">
        <f>'Monthly Data'!BT24</f>
        <v>0</v>
      </c>
      <c r="H24" s="169">
        <f>'Monthly Data'!CA24</f>
        <v>1</v>
      </c>
      <c r="I24" s="127">
        <f>'Monthly Data'!CC24</f>
        <v>30</v>
      </c>
      <c r="K24" s="127">
        <f>'Intermediate OLS Model'!$B$5</f>
        <v>-415228.02881662402</v>
      </c>
      <c r="L24" s="186">
        <f>'Intermediate OLS Model'!$B$6*D24</f>
        <v>-132399.92127579331</v>
      </c>
      <c r="M24" s="186">
        <v>0</v>
      </c>
      <c r="N24" s="186">
        <f>'Intermediate OLS Model'!$B$7*F24</f>
        <v>0</v>
      </c>
      <c r="O24" s="186">
        <f>'Intermediate OLS Model'!$B$8*G24</f>
        <v>0</v>
      </c>
      <c r="P24" s="186">
        <f>'Intermediate OLS Model'!$B$9*H24</f>
        <v>219659.05071226999</v>
      </c>
      <c r="Q24" s="186">
        <f>'Intermediate OLS Model'!$B$10*I24</f>
        <v>4448775.6274142396</v>
      </c>
      <c r="R24" s="127">
        <f t="shared" si="3"/>
        <v>4120806.7280340921</v>
      </c>
    </row>
    <row r="25" spans="1:18">
      <c r="A25" s="128">
        <f>'Monthly Data'!A25</f>
        <v>40513</v>
      </c>
      <c r="B25" s="127">
        <f t="shared" si="1"/>
        <v>2010</v>
      </c>
      <c r="C25" s="127">
        <f ca="1">'Monthly Data'!Z25</f>
        <v>4138518.7720019999</v>
      </c>
      <c r="D25" s="127">
        <f>'Monthly Data'!BM25</f>
        <v>24</v>
      </c>
      <c r="E25" s="127">
        <f>'Monthly Data'!BJ25</f>
        <v>6578.3</v>
      </c>
      <c r="F25" s="169">
        <f>'Monthly Data'!BS25</f>
        <v>0</v>
      </c>
      <c r="G25" s="169">
        <f>'Monthly Data'!BT25</f>
        <v>0</v>
      </c>
      <c r="H25" s="169">
        <f>'Monthly Data'!CA25</f>
        <v>0</v>
      </c>
      <c r="I25" s="127">
        <f>'Monthly Data'!CC25</f>
        <v>31</v>
      </c>
      <c r="K25" s="127">
        <f>'Intermediate OLS Model'!$B$5</f>
        <v>-415228.02881662402</v>
      </c>
      <c r="L25" s="186">
        <f>'Intermediate OLS Model'!$B$6*D25</f>
        <v>-138156.43959213217</v>
      </c>
      <c r="M25" s="186">
        <v>0</v>
      </c>
      <c r="N25" s="186">
        <f>'Intermediate OLS Model'!$B$7*F25</f>
        <v>0</v>
      </c>
      <c r="O25" s="186">
        <f>'Intermediate OLS Model'!$B$8*G25</f>
        <v>0</v>
      </c>
      <c r="P25" s="186">
        <f>'Intermediate OLS Model'!$B$9*H25</f>
        <v>0</v>
      </c>
      <c r="Q25" s="186">
        <f>'Intermediate OLS Model'!$B$10*I25</f>
        <v>4597068.1483280482</v>
      </c>
      <c r="R25" s="127">
        <f t="shared" si="3"/>
        <v>4043683.6799192922</v>
      </c>
    </row>
    <row r="26" spans="1:18">
      <c r="A26" s="128">
        <f>'Monthly Data'!A26</f>
        <v>40544</v>
      </c>
      <c r="B26" s="127">
        <f t="shared" si="1"/>
        <v>2011</v>
      </c>
      <c r="C26" s="127">
        <f ca="1">'Monthly Data'!Z26</f>
        <v>4225575.7611889997</v>
      </c>
      <c r="D26" s="127">
        <f>'Monthly Data'!BM26</f>
        <v>25</v>
      </c>
      <c r="E26" s="127">
        <f>'Monthly Data'!BJ26</f>
        <v>6606.3</v>
      </c>
      <c r="F26" s="169">
        <f>'Monthly Data'!BS26</f>
        <v>0</v>
      </c>
      <c r="G26" s="169">
        <f>'Monthly Data'!BT26</f>
        <v>0</v>
      </c>
      <c r="H26" s="169">
        <f>'Monthly Data'!CA26</f>
        <v>0</v>
      </c>
      <c r="I26" s="127">
        <f>'Monthly Data'!CC26</f>
        <v>31</v>
      </c>
      <c r="K26" s="127">
        <f>'Intermediate OLS Model'!$B$5</f>
        <v>-415228.02881662402</v>
      </c>
      <c r="L26" s="186">
        <f>'Intermediate OLS Model'!$B$6*D26</f>
        <v>-143912.957908471</v>
      </c>
      <c r="M26" s="186">
        <v>0</v>
      </c>
      <c r="N26" s="186">
        <f>'Intermediate OLS Model'!$B$7*F26</f>
        <v>0</v>
      </c>
      <c r="O26" s="186">
        <f>'Intermediate OLS Model'!$B$8*G26</f>
        <v>0</v>
      </c>
      <c r="P26" s="186">
        <f>'Intermediate OLS Model'!$B$9*H26</f>
        <v>0</v>
      </c>
      <c r="Q26" s="186">
        <f>'Intermediate OLS Model'!$B$10*I26</f>
        <v>4597068.1483280482</v>
      </c>
      <c r="R26" s="127">
        <f t="shared" si="3"/>
        <v>4037927.1616029534</v>
      </c>
    </row>
    <row r="27" spans="1:18">
      <c r="A27" s="128">
        <f>'Monthly Data'!A27</f>
        <v>40575</v>
      </c>
      <c r="B27" s="127">
        <f t="shared" si="1"/>
        <v>2011</v>
      </c>
      <c r="C27" s="127">
        <f ca="1">'Monthly Data'!Z27</f>
        <v>3677829.2420740002</v>
      </c>
      <c r="D27" s="127">
        <f>'Monthly Data'!BM27</f>
        <v>26</v>
      </c>
      <c r="E27" s="127">
        <f>'Monthly Data'!BJ27</f>
        <v>6619.5</v>
      </c>
      <c r="F27" s="169">
        <f>'Monthly Data'!BS27</f>
        <v>0</v>
      </c>
      <c r="G27" s="169">
        <f>'Monthly Data'!BT27</f>
        <v>0</v>
      </c>
      <c r="H27" s="169">
        <f>'Monthly Data'!CA27</f>
        <v>0</v>
      </c>
      <c r="I27" s="127">
        <f>'Monthly Data'!CC27</f>
        <v>28</v>
      </c>
      <c r="K27" s="127">
        <f>'Intermediate OLS Model'!$B$5</f>
        <v>-415228.02881662402</v>
      </c>
      <c r="L27" s="186">
        <f>'Intermediate OLS Model'!$B$6*D27</f>
        <v>-149669.47622480986</v>
      </c>
      <c r="M27" s="186">
        <v>0</v>
      </c>
      <c r="N27" s="186">
        <f>'Intermediate OLS Model'!$B$7*F27</f>
        <v>0</v>
      </c>
      <c r="O27" s="186">
        <f>'Intermediate OLS Model'!$B$8*G27</f>
        <v>0</v>
      </c>
      <c r="P27" s="186">
        <f>'Intermediate OLS Model'!$B$9*H27</f>
        <v>0</v>
      </c>
      <c r="Q27" s="186">
        <f>'Intermediate OLS Model'!$B$10*I27</f>
        <v>4152190.5855866238</v>
      </c>
      <c r="R27" s="127">
        <f t="shared" si="3"/>
        <v>3587293.0805451898</v>
      </c>
    </row>
    <row r="28" spans="1:18">
      <c r="A28" s="128">
        <f>'Monthly Data'!A28</f>
        <v>40603</v>
      </c>
      <c r="B28" s="127">
        <f t="shared" si="1"/>
        <v>2011</v>
      </c>
      <c r="C28" s="127">
        <f ca="1">'Monthly Data'!Z28</f>
        <v>4008991.4056159998</v>
      </c>
      <c r="D28" s="127">
        <f>'Monthly Data'!BM28</f>
        <v>27</v>
      </c>
      <c r="E28" s="127">
        <f>'Monthly Data'!BJ28</f>
        <v>6628.6</v>
      </c>
      <c r="F28" s="169">
        <f>'Monthly Data'!BS28</f>
        <v>0</v>
      </c>
      <c r="G28" s="169">
        <f>'Monthly Data'!BT28</f>
        <v>0</v>
      </c>
      <c r="H28" s="169">
        <f>'Monthly Data'!CA28</f>
        <v>0</v>
      </c>
      <c r="I28" s="127">
        <f>'Monthly Data'!CC28</f>
        <v>31</v>
      </c>
      <c r="K28" s="127">
        <f>'Intermediate OLS Model'!$B$5</f>
        <v>-415228.02881662402</v>
      </c>
      <c r="L28" s="186">
        <f>'Intermediate OLS Model'!$B$6*D28</f>
        <v>-155425.99454114868</v>
      </c>
      <c r="M28" s="186">
        <v>0</v>
      </c>
      <c r="N28" s="186">
        <f>'Intermediate OLS Model'!$B$7*F28</f>
        <v>0</v>
      </c>
      <c r="O28" s="186">
        <f>'Intermediate OLS Model'!$B$8*G28</f>
        <v>0</v>
      </c>
      <c r="P28" s="186">
        <f>'Intermediate OLS Model'!$B$9*H28</f>
        <v>0</v>
      </c>
      <c r="Q28" s="186">
        <f>'Intermediate OLS Model'!$B$10*I28</f>
        <v>4597068.1483280482</v>
      </c>
      <c r="R28" s="127">
        <f t="shared" si="3"/>
        <v>4026414.1249702754</v>
      </c>
    </row>
    <row r="29" spans="1:18">
      <c r="A29" s="128">
        <f>'Monthly Data'!A29</f>
        <v>40634</v>
      </c>
      <c r="B29" s="127">
        <f t="shared" si="1"/>
        <v>2011</v>
      </c>
      <c r="C29" s="127">
        <f ca="1">'Monthly Data'!Z29</f>
        <v>3911881.7842620001</v>
      </c>
      <c r="D29" s="127">
        <f>'Monthly Data'!BM29</f>
        <v>28</v>
      </c>
      <c r="E29" s="127">
        <f>'Monthly Data'!BJ29</f>
        <v>6635.5</v>
      </c>
      <c r="F29" s="169">
        <f>'Monthly Data'!BS29</f>
        <v>0</v>
      </c>
      <c r="G29" s="169">
        <f>'Monthly Data'!BT29</f>
        <v>0</v>
      </c>
      <c r="H29" s="169">
        <f>'Monthly Data'!CA29</f>
        <v>0</v>
      </c>
      <c r="I29" s="127">
        <f>'Monthly Data'!CC29</f>
        <v>30</v>
      </c>
      <c r="K29" s="127">
        <f>'Intermediate OLS Model'!$B$5</f>
        <v>-415228.02881662402</v>
      </c>
      <c r="L29" s="186">
        <f>'Intermediate OLS Model'!$B$6*D29</f>
        <v>-161182.51285748751</v>
      </c>
      <c r="M29" s="186">
        <v>0</v>
      </c>
      <c r="N29" s="186">
        <f>'Intermediate OLS Model'!$B$7*F29</f>
        <v>0</v>
      </c>
      <c r="O29" s="186">
        <f>'Intermediate OLS Model'!$B$8*G29</f>
        <v>0</v>
      </c>
      <c r="P29" s="186">
        <f>'Intermediate OLS Model'!$B$9*H29</f>
        <v>0</v>
      </c>
      <c r="Q29" s="186">
        <f>'Intermediate OLS Model'!$B$10*I29</f>
        <v>4448775.6274142396</v>
      </c>
      <c r="R29" s="127">
        <f t="shared" si="3"/>
        <v>3872365.0857401281</v>
      </c>
    </row>
    <row r="30" spans="1:18">
      <c r="A30" s="128">
        <f>'Monthly Data'!A30</f>
        <v>40664</v>
      </c>
      <c r="B30" s="127">
        <f t="shared" si="1"/>
        <v>2011</v>
      </c>
      <c r="C30" s="127">
        <f ca="1">'Monthly Data'!Z30</f>
        <v>4672710.2646949999</v>
      </c>
      <c r="D30" s="127">
        <f>'Monthly Data'!BM30</f>
        <v>29</v>
      </c>
      <c r="E30" s="127">
        <f>'Monthly Data'!BJ30</f>
        <v>6645.8</v>
      </c>
      <c r="F30" s="169">
        <f>'Monthly Data'!BS30</f>
        <v>0</v>
      </c>
      <c r="G30" s="169">
        <f>'Monthly Data'!BT30</f>
        <v>0</v>
      </c>
      <c r="H30" s="169">
        <f>'Monthly Data'!CA30</f>
        <v>0</v>
      </c>
      <c r="I30" s="127">
        <f>'Monthly Data'!CC30</f>
        <v>31</v>
      </c>
      <c r="K30" s="127">
        <f>'Intermediate OLS Model'!$B$5</f>
        <v>-415228.02881662402</v>
      </c>
      <c r="L30" s="186">
        <f>'Intermediate OLS Model'!$B$6*D30</f>
        <v>-166939.03117382637</v>
      </c>
      <c r="M30" s="186">
        <v>0</v>
      </c>
      <c r="N30" s="186">
        <f>'Intermediate OLS Model'!$B$7*F30</f>
        <v>0</v>
      </c>
      <c r="O30" s="186">
        <f>'Intermediate OLS Model'!$B$8*G30</f>
        <v>0</v>
      </c>
      <c r="P30" s="186">
        <f>'Intermediate OLS Model'!$B$9*H30</f>
        <v>0</v>
      </c>
      <c r="Q30" s="186">
        <f>'Intermediate OLS Model'!$B$10*I30</f>
        <v>4597068.1483280482</v>
      </c>
      <c r="R30" s="127">
        <f t="shared" si="3"/>
        <v>4014901.0883375979</v>
      </c>
    </row>
    <row r="31" spans="1:18">
      <c r="A31" s="128">
        <f>'Monthly Data'!A31</f>
        <v>40695</v>
      </c>
      <c r="B31" s="127">
        <f t="shared" si="1"/>
        <v>2011</v>
      </c>
      <c r="C31" s="127">
        <f ca="1">'Monthly Data'!Z31</f>
        <v>4411205.0579040004</v>
      </c>
      <c r="D31" s="127">
        <f>'Monthly Data'!BM31</f>
        <v>30</v>
      </c>
      <c r="E31" s="127">
        <f>'Monthly Data'!BJ31</f>
        <v>6662</v>
      </c>
      <c r="F31" s="169">
        <f>'Monthly Data'!BS31</f>
        <v>1</v>
      </c>
      <c r="G31" s="169">
        <f>'Monthly Data'!BT31</f>
        <v>0</v>
      </c>
      <c r="H31" s="169">
        <f>'Monthly Data'!CA31</f>
        <v>0</v>
      </c>
      <c r="I31" s="127">
        <f>'Monthly Data'!CC31</f>
        <v>30</v>
      </c>
      <c r="K31" s="127">
        <f>'Intermediate OLS Model'!$B$5</f>
        <v>-415228.02881662402</v>
      </c>
      <c r="L31" s="186">
        <f>'Intermediate OLS Model'!$B$6*D31</f>
        <v>-172695.5494901652</v>
      </c>
      <c r="M31" s="186">
        <v>0</v>
      </c>
      <c r="N31" s="186">
        <f>'Intermediate OLS Model'!$B$7*F31</f>
        <v>346553.62108035001</v>
      </c>
      <c r="O31" s="186">
        <f>'Intermediate OLS Model'!$B$8*G31</f>
        <v>0</v>
      </c>
      <c r="P31" s="186">
        <f>'Intermediate OLS Model'!$B$9*H31</f>
        <v>0</v>
      </c>
      <c r="Q31" s="186">
        <f>'Intermediate OLS Model'!$B$10*I31</f>
        <v>4448775.6274142396</v>
      </c>
      <c r="R31" s="127">
        <f t="shared" si="3"/>
        <v>4207405.6701878002</v>
      </c>
    </row>
    <row r="32" spans="1:18">
      <c r="A32" s="128">
        <f>'Monthly Data'!A32</f>
        <v>40725</v>
      </c>
      <c r="B32" s="127">
        <f t="shared" si="1"/>
        <v>2011</v>
      </c>
      <c r="C32" s="127">
        <f ca="1">'Monthly Data'!Z32</f>
        <v>4410294.6933960002</v>
      </c>
      <c r="D32" s="127">
        <f>'Monthly Data'!BM32</f>
        <v>31</v>
      </c>
      <c r="E32" s="127">
        <f>'Monthly Data'!BJ32</f>
        <v>6665.8</v>
      </c>
      <c r="F32" s="169">
        <f>'Monthly Data'!BS32</f>
        <v>0</v>
      </c>
      <c r="G32" s="169">
        <f>'Monthly Data'!BT32</f>
        <v>1</v>
      </c>
      <c r="H32" s="169">
        <f>'Monthly Data'!CA32</f>
        <v>0</v>
      </c>
      <c r="I32" s="127">
        <f>'Monthly Data'!CC32</f>
        <v>31</v>
      </c>
      <c r="K32" s="127">
        <f>'Intermediate OLS Model'!$B$5</f>
        <v>-415228.02881662402</v>
      </c>
      <c r="L32" s="186">
        <f>'Intermediate OLS Model'!$B$6*D32</f>
        <v>-178452.06780650406</v>
      </c>
      <c r="M32" s="186">
        <v>0</v>
      </c>
      <c r="N32" s="186">
        <f>'Intermediate OLS Model'!$B$7*F32</f>
        <v>0</v>
      </c>
      <c r="O32" s="186">
        <f>'Intermediate OLS Model'!$B$8*G32</f>
        <v>428565.96548408002</v>
      </c>
      <c r="P32" s="186">
        <f>'Intermediate OLS Model'!$B$9*H32</f>
        <v>0</v>
      </c>
      <c r="Q32" s="186">
        <f>'Intermediate OLS Model'!$B$10*I32</f>
        <v>4597068.1483280482</v>
      </c>
      <c r="R32" s="127">
        <f t="shared" si="3"/>
        <v>4431954.0171889998</v>
      </c>
    </row>
    <row r="33" spans="1:18">
      <c r="A33" s="128">
        <f>'Monthly Data'!A33</f>
        <v>40756</v>
      </c>
      <c r="B33" s="127">
        <f t="shared" si="1"/>
        <v>2011</v>
      </c>
      <c r="C33" s="127">
        <f ca="1">'Monthly Data'!Z33</f>
        <v>3989309.9328839998</v>
      </c>
      <c r="D33" s="127">
        <f>'Monthly Data'!BM33</f>
        <v>32</v>
      </c>
      <c r="E33" s="127">
        <f>'Monthly Data'!BJ33</f>
        <v>6677.5</v>
      </c>
      <c r="F33" s="169">
        <f>'Monthly Data'!BS33</f>
        <v>0</v>
      </c>
      <c r="G33" s="169">
        <f>'Monthly Data'!BT33</f>
        <v>0</v>
      </c>
      <c r="H33" s="169">
        <f>'Monthly Data'!CA33</f>
        <v>0</v>
      </c>
      <c r="I33" s="127">
        <f>'Monthly Data'!CC33</f>
        <v>31</v>
      </c>
      <c r="K33" s="127">
        <f>'Intermediate OLS Model'!$B$5</f>
        <v>-415228.02881662402</v>
      </c>
      <c r="L33" s="186">
        <f>'Intermediate OLS Model'!$B$6*D33</f>
        <v>-184208.58612284288</v>
      </c>
      <c r="M33" s="186">
        <v>0</v>
      </c>
      <c r="N33" s="186">
        <f>'Intermediate OLS Model'!$B$7*F33</f>
        <v>0</v>
      </c>
      <c r="O33" s="186">
        <f>'Intermediate OLS Model'!$B$8*G33</f>
        <v>0</v>
      </c>
      <c r="P33" s="186">
        <f>'Intermediate OLS Model'!$B$9*H33</f>
        <v>0</v>
      </c>
      <c r="Q33" s="186">
        <f>'Intermediate OLS Model'!$B$10*I33</f>
        <v>4597068.1483280482</v>
      </c>
      <c r="R33" s="127">
        <f t="shared" si="3"/>
        <v>3997631.5333885811</v>
      </c>
    </row>
    <row r="34" spans="1:18">
      <c r="A34" s="128">
        <f>'Monthly Data'!A34</f>
        <v>40787</v>
      </c>
      <c r="B34" s="127">
        <f t="shared" si="1"/>
        <v>2011</v>
      </c>
      <c r="C34" s="127">
        <f ca="1">'Monthly Data'!Z34</f>
        <v>3961994.71691</v>
      </c>
      <c r="D34" s="127">
        <f>'Monthly Data'!BM34</f>
        <v>33</v>
      </c>
      <c r="E34" s="127">
        <f>'Monthly Data'!BJ34</f>
        <v>6674.4</v>
      </c>
      <c r="F34" s="169">
        <f>'Monthly Data'!BS34</f>
        <v>0</v>
      </c>
      <c r="G34" s="169">
        <f>'Monthly Data'!BT34</f>
        <v>0</v>
      </c>
      <c r="H34" s="169">
        <f>'Monthly Data'!CA34</f>
        <v>1</v>
      </c>
      <c r="I34" s="127">
        <f>'Monthly Data'!CC34</f>
        <v>30</v>
      </c>
      <c r="K34" s="127">
        <f>'Intermediate OLS Model'!$B$5</f>
        <v>-415228.02881662402</v>
      </c>
      <c r="L34" s="186">
        <f>'Intermediate OLS Model'!$B$6*D34</f>
        <v>-189965.10443918171</v>
      </c>
      <c r="M34" s="186">
        <v>0</v>
      </c>
      <c r="N34" s="186">
        <f>'Intermediate OLS Model'!$B$7*F34</f>
        <v>0</v>
      </c>
      <c r="O34" s="186">
        <f>'Intermediate OLS Model'!$B$8*G34</f>
        <v>0</v>
      </c>
      <c r="P34" s="186">
        <f>'Intermediate OLS Model'!$B$9*H34</f>
        <v>219659.05071226999</v>
      </c>
      <c r="Q34" s="186">
        <f>'Intermediate OLS Model'!$B$10*I34</f>
        <v>4448775.6274142396</v>
      </c>
      <c r="R34" s="127">
        <f t="shared" si="3"/>
        <v>4063241.5448707039</v>
      </c>
    </row>
    <row r="35" spans="1:18">
      <c r="A35" s="128">
        <f>'Monthly Data'!A35</f>
        <v>40817</v>
      </c>
      <c r="B35" s="127">
        <f t="shared" si="1"/>
        <v>2011</v>
      </c>
      <c r="C35" s="127">
        <f ca="1">'Monthly Data'!Z35</f>
        <v>4046724.6678829999</v>
      </c>
      <c r="D35" s="127">
        <f>'Monthly Data'!BM35</f>
        <v>34</v>
      </c>
      <c r="E35" s="127">
        <f>'Monthly Data'!BJ35</f>
        <v>6668.1</v>
      </c>
      <c r="F35" s="169">
        <f>'Monthly Data'!BS35</f>
        <v>0</v>
      </c>
      <c r="G35" s="169">
        <f>'Monthly Data'!BT35</f>
        <v>0</v>
      </c>
      <c r="H35" s="169">
        <f>'Monthly Data'!CA35</f>
        <v>1</v>
      </c>
      <c r="I35" s="127">
        <f>'Monthly Data'!CC35</f>
        <v>31</v>
      </c>
      <c r="K35" s="127">
        <f>'Intermediate OLS Model'!$B$5</f>
        <v>-415228.02881662402</v>
      </c>
      <c r="L35" s="186">
        <f>'Intermediate OLS Model'!$B$6*D35</f>
        <v>-195721.62275552057</v>
      </c>
      <c r="M35" s="186">
        <v>0</v>
      </c>
      <c r="N35" s="186">
        <f>'Intermediate OLS Model'!$B$7*F35</f>
        <v>0</v>
      </c>
      <c r="O35" s="186">
        <f>'Intermediate OLS Model'!$B$8*G35</f>
        <v>0</v>
      </c>
      <c r="P35" s="186">
        <f>'Intermediate OLS Model'!$B$9*H35</f>
        <v>219659.05071226999</v>
      </c>
      <c r="Q35" s="186">
        <f>'Intermediate OLS Model'!$B$10*I35</f>
        <v>4597068.1483280482</v>
      </c>
      <c r="R35" s="127">
        <f t="shared" si="3"/>
        <v>4205777.5474681733</v>
      </c>
    </row>
    <row r="36" spans="1:18">
      <c r="A36" s="128">
        <f>'Monthly Data'!A36</f>
        <v>40848</v>
      </c>
      <c r="B36" s="127">
        <f t="shared" si="1"/>
        <v>2011</v>
      </c>
      <c r="C36" s="127">
        <f ca="1">'Monthly Data'!Z36</f>
        <v>3772717.8805010002</v>
      </c>
      <c r="D36" s="127">
        <f>'Monthly Data'!BM36</f>
        <v>35</v>
      </c>
      <c r="E36" s="127">
        <f>'Monthly Data'!BJ36</f>
        <v>6662.8</v>
      </c>
      <c r="F36" s="169">
        <f>'Monthly Data'!BS36</f>
        <v>0</v>
      </c>
      <c r="G36" s="169">
        <f>'Monthly Data'!BT36</f>
        <v>0</v>
      </c>
      <c r="H36" s="169">
        <f>'Monthly Data'!CA36</f>
        <v>1</v>
      </c>
      <c r="I36" s="127">
        <f>'Monthly Data'!CC36</f>
        <v>30</v>
      </c>
      <c r="K36" s="127">
        <f>'Intermediate OLS Model'!$B$5</f>
        <v>-415228.02881662402</v>
      </c>
      <c r="L36" s="186">
        <f>'Intermediate OLS Model'!$B$6*D36</f>
        <v>-201478.1410718594</v>
      </c>
      <c r="M36" s="186">
        <v>0</v>
      </c>
      <c r="N36" s="186">
        <f>'Intermediate OLS Model'!$B$7*F36</f>
        <v>0</v>
      </c>
      <c r="O36" s="186">
        <f>'Intermediate OLS Model'!$B$8*G36</f>
        <v>0</v>
      </c>
      <c r="P36" s="186">
        <f>'Intermediate OLS Model'!$B$9*H36</f>
        <v>219659.05071226999</v>
      </c>
      <c r="Q36" s="186">
        <f>'Intermediate OLS Model'!$B$10*I36</f>
        <v>4448775.6274142396</v>
      </c>
      <c r="R36" s="127">
        <f t="shared" si="3"/>
        <v>4051728.5082380259</v>
      </c>
    </row>
    <row r="37" spans="1:18">
      <c r="A37" s="128">
        <f>'Monthly Data'!A37</f>
        <v>40878</v>
      </c>
      <c r="B37" s="127">
        <f t="shared" si="1"/>
        <v>2011</v>
      </c>
      <c r="C37" s="127">
        <f ca="1">'Monthly Data'!Z37</f>
        <v>3705335.743148</v>
      </c>
      <c r="D37" s="127">
        <f>'Monthly Data'!BM37</f>
        <v>36</v>
      </c>
      <c r="E37" s="127">
        <f>'Monthly Data'!BJ37</f>
        <v>6667.5</v>
      </c>
      <c r="F37" s="169">
        <f>'Monthly Data'!BS37</f>
        <v>0</v>
      </c>
      <c r="G37" s="169">
        <f>'Monthly Data'!BT37</f>
        <v>0</v>
      </c>
      <c r="H37" s="169">
        <f>'Monthly Data'!CA37</f>
        <v>0</v>
      </c>
      <c r="I37" s="127">
        <f>'Monthly Data'!CC37</f>
        <v>31</v>
      </c>
      <c r="K37" s="127">
        <f>'Intermediate OLS Model'!$B$5</f>
        <v>-415228.02881662402</v>
      </c>
      <c r="L37" s="186">
        <f>'Intermediate OLS Model'!$B$6*D37</f>
        <v>-207234.65938819826</v>
      </c>
      <c r="M37" s="186">
        <v>0</v>
      </c>
      <c r="N37" s="186">
        <f>'Intermediate OLS Model'!$B$7*F37</f>
        <v>0</v>
      </c>
      <c r="O37" s="186">
        <f>'Intermediate OLS Model'!$B$8*G37</f>
        <v>0</v>
      </c>
      <c r="P37" s="186">
        <f>'Intermediate OLS Model'!$B$9*H37</f>
        <v>0</v>
      </c>
      <c r="Q37" s="186">
        <f>'Intermediate OLS Model'!$B$10*I37</f>
        <v>4597068.1483280482</v>
      </c>
      <c r="R37" s="127">
        <f t="shared" si="3"/>
        <v>3974605.460123226</v>
      </c>
    </row>
    <row r="38" spans="1:18">
      <c r="A38" s="128">
        <f>'Monthly Data'!A38</f>
        <v>40909</v>
      </c>
      <c r="B38" s="127">
        <f t="shared" si="1"/>
        <v>2012</v>
      </c>
      <c r="C38" s="127">
        <f ca="1">'Monthly Data'!Z38</f>
        <v>3676968.9810556835</v>
      </c>
      <c r="D38" s="127">
        <f>'Monthly Data'!BM38</f>
        <v>37</v>
      </c>
      <c r="E38" s="127">
        <f>'Monthly Data'!BJ38</f>
        <v>6673.6</v>
      </c>
      <c r="F38" s="169">
        <f>'Monthly Data'!BS38</f>
        <v>0</v>
      </c>
      <c r="G38" s="169">
        <f>'Monthly Data'!BT38</f>
        <v>0</v>
      </c>
      <c r="H38" s="169">
        <f>'Monthly Data'!CA38</f>
        <v>0</v>
      </c>
      <c r="I38" s="127">
        <f>'Monthly Data'!CC38</f>
        <v>31</v>
      </c>
      <c r="K38" s="127">
        <f>'Intermediate OLS Model'!$B$5</f>
        <v>-415228.02881662402</v>
      </c>
      <c r="L38" s="186">
        <f>'Intermediate OLS Model'!$B$6*D38</f>
        <v>-212991.17770453708</v>
      </c>
      <c r="M38" s="186">
        <v>0</v>
      </c>
      <c r="N38" s="186">
        <f>'Intermediate OLS Model'!$B$7*F38</f>
        <v>0</v>
      </c>
      <c r="O38" s="186">
        <f>'Intermediate OLS Model'!$B$8*G38</f>
        <v>0</v>
      </c>
      <c r="P38" s="186">
        <f>'Intermediate OLS Model'!$B$9*H38</f>
        <v>0</v>
      </c>
      <c r="Q38" s="186">
        <f>'Intermediate OLS Model'!$B$10*I38</f>
        <v>4597068.1483280482</v>
      </c>
      <c r="R38" s="127">
        <f t="shared" si="3"/>
        <v>3968848.9418068873</v>
      </c>
    </row>
    <row r="39" spans="1:18">
      <c r="A39" s="128">
        <f>'Monthly Data'!A39</f>
        <v>40940</v>
      </c>
      <c r="B39" s="127">
        <f t="shared" si="1"/>
        <v>2012</v>
      </c>
      <c r="C39" s="127">
        <f ca="1">'Monthly Data'!Z39</f>
        <v>3497416.8930946835</v>
      </c>
      <c r="D39" s="127">
        <f>'Monthly Data'!BM39</f>
        <v>38</v>
      </c>
      <c r="E39" s="127">
        <f>'Monthly Data'!BJ39</f>
        <v>6670.7</v>
      </c>
      <c r="F39" s="169">
        <f>'Monthly Data'!BS39</f>
        <v>0</v>
      </c>
      <c r="G39" s="169">
        <f>'Monthly Data'!BT39</f>
        <v>0</v>
      </c>
      <c r="H39" s="169">
        <f>'Monthly Data'!CA39</f>
        <v>0</v>
      </c>
      <c r="I39" s="127">
        <f>'Monthly Data'!CC39</f>
        <v>29</v>
      </c>
      <c r="K39" s="127">
        <f>'Intermediate OLS Model'!$B$5</f>
        <v>-415228.02881662402</v>
      </c>
      <c r="L39" s="186">
        <f>'Intermediate OLS Model'!$B$6*D39</f>
        <v>-218747.69602087591</v>
      </c>
      <c r="M39" s="186">
        <v>0</v>
      </c>
      <c r="N39" s="186">
        <f>'Intermediate OLS Model'!$B$7*F39</f>
        <v>0</v>
      </c>
      <c r="O39" s="186">
        <f>'Intermediate OLS Model'!$B$8*G39</f>
        <v>0</v>
      </c>
      <c r="P39" s="186">
        <f>'Intermediate OLS Model'!$B$9*H39</f>
        <v>0</v>
      </c>
      <c r="Q39" s="186">
        <f>'Intermediate OLS Model'!$B$10*I39</f>
        <v>4300483.1065004319</v>
      </c>
      <c r="R39" s="127">
        <f t="shared" si="3"/>
        <v>3666507.3816629322</v>
      </c>
    </row>
    <row r="40" spans="1:18">
      <c r="A40" s="128">
        <f>'Monthly Data'!A40</f>
        <v>40969</v>
      </c>
      <c r="B40" s="127">
        <f t="shared" si="1"/>
        <v>2012</v>
      </c>
      <c r="C40" s="127">
        <f ca="1">'Monthly Data'!Z40</f>
        <v>3797437.6184126833</v>
      </c>
      <c r="D40" s="127">
        <f>'Monthly Data'!BM40</f>
        <v>39</v>
      </c>
      <c r="E40" s="127">
        <f>'Monthly Data'!BJ40</f>
        <v>6674</v>
      </c>
      <c r="F40" s="169">
        <f>'Monthly Data'!BS40</f>
        <v>0</v>
      </c>
      <c r="G40" s="169">
        <f>'Monthly Data'!BT40</f>
        <v>0</v>
      </c>
      <c r="H40" s="169">
        <f>'Monthly Data'!CA40</f>
        <v>0</v>
      </c>
      <c r="I40" s="127">
        <f>'Monthly Data'!CC40</f>
        <v>31</v>
      </c>
      <c r="K40" s="127">
        <f>'Intermediate OLS Model'!$B$5</f>
        <v>-415228.02881662402</v>
      </c>
      <c r="L40" s="186">
        <f>'Intermediate OLS Model'!$B$6*D40</f>
        <v>-224504.21433721477</v>
      </c>
      <c r="M40" s="186">
        <v>0</v>
      </c>
      <c r="N40" s="186">
        <f>'Intermediate OLS Model'!$B$7*F40</f>
        <v>0</v>
      </c>
      <c r="O40" s="186">
        <f>'Intermediate OLS Model'!$B$8*G40</f>
        <v>0</v>
      </c>
      <c r="P40" s="186">
        <f>'Intermediate OLS Model'!$B$9*H40</f>
        <v>0</v>
      </c>
      <c r="Q40" s="186">
        <f>'Intermediate OLS Model'!$B$10*I40</f>
        <v>4597068.1483280482</v>
      </c>
      <c r="R40" s="127">
        <f t="shared" si="3"/>
        <v>3957335.9051742093</v>
      </c>
    </row>
    <row r="41" spans="1:18">
      <c r="A41" s="128">
        <f>'Monthly Data'!A41</f>
        <v>41000</v>
      </c>
      <c r="B41" s="127">
        <f t="shared" si="1"/>
        <v>2012</v>
      </c>
      <c r="C41" s="127">
        <f ca="1">'Monthly Data'!Z41</f>
        <v>3517504.1996336835</v>
      </c>
      <c r="D41" s="127">
        <f>'Monthly Data'!BM41</f>
        <v>40</v>
      </c>
      <c r="E41" s="127">
        <f>'Monthly Data'!BJ41</f>
        <v>6685.8</v>
      </c>
      <c r="F41" s="169">
        <f>'Monthly Data'!BS41</f>
        <v>0</v>
      </c>
      <c r="G41" s="169">
        <f>'Monthly Data'!BT41</f>
        <v>0</v>
      </c>
      <c r="H41" s="169">
        <f>'Monthly Data'!CA41</f>
        <v>0</v>
      </c>
      <c r="I41" s="127">
        <f>'Monthly Data'!CC41</f>
        <v>30</v>
      </c>
      <c r="K41" s="127">
        <f>'Intermediate OLS Model'!$B$5</f>
        <v>-415228.02881662402</v>
      </c>
      <c r="L41" s="186">
        <f>'Intermediate OLS Model'!$B$6*D41</f>
        <v>-230260.7326535536</v>
      </c>
      <c r="M41" s="186">
        <v>0</v>
      </c>
      <c r="N41" s="186">
        <f>'Intermediate OLS Model'!$B$7*F41</f>
        <v>0</v>
      </c>
      <c r="O41" s="186">
        <f>'Intermediate OLS Model'!$B$8*G41</f>
        <v>0</v>
      </c>
      <c r="P41" s="186">
        <f>'Intermediate OLS Model'!$B$9*H41</f>
        <v>0</v>
      </c>
      <c r="Q41" s="186">
        <f>'Intermediate OLS Model'!$B$10*I41</f>
        <v>4448775.6274142396</v>
      </c>
      <c r="R41" s="127">
        <f t="shared" si="3"/>
        <v>3803286.8659440619</v>
      </c>
    </row>
    <row r="42" spans="1:18">
      <c r="A42" s="128">
        <f>'Monthly Data'!A42</f>
        <v>41030</v>
      </c>
      <c r="B42" s="127">
        <f t="shared" si="1"/>
        <v>2012</v>
      </c>
      <c r="C42" s="127">
        <f ca="1">'Monthly Data'!Z42</f>
        <v>4044937.4375086837</v>
      </c>
      <c r="D42" s="127">
        <f>'Monthly Data'!BM42</f>
        <v>41</v>
      </c>
      <c r="E42" s="127">
        <f>'Monthly Data'!BJ42</f>
        <v>6690.1</v>
      </c>
      <c r="F42" s="169">
        <f>'Monthly Data'!BS42</f>
        <v>0</v>
      </c>
      <c r="G42" s="169">
        <f>'Monthly Data'!BT42</f>
        <v>0</v>
      </c>
      <c r="H42" s="169">
        <f>'Monthly Data'!CA42</f>
        <v>0</v>
      </c>
      <c r="I42" s="127">
        <f>'Monthly Data'!CC42</f>
        <v>31</v>
      </c>
      <c r="K42" s="127">
        <f>'Intermediate OLS Model'!$B$5</f>
        <v>-415228.02881662402</v>
      </c>
      <c r="L42" s="186">
        <f>'Intermediate OLS Model'!$B$6*D42</f>
        <v>-236017.25096989246</v>
      </c>
      <c r="M42" s="186">
        <v>0</v>
      </c>
      <c r="N42" s="186">
        <f>'Intermediate OLS Model'!$B$7*F42</f>
        <v>0</v>
      </c>
      <c r="O42" s="186">
        <f>'Intermediate OLS Model'!$B$8*G42</f>
        <v>0</v>
      </c>
      <c r="P42" s="186">
        <f>'Intermediate OLS Model'!$B$9*H42</f>
        <v>0</v>
      </c>
      <c r="Q42" s="186">
        <f>'Intermediate OLS Model'!$B$10*I42</f>
        <v>4597068.1483280482</v>
      </c>
      <c r="R42" s="127">
        <f t="shared" si="3"/>
        <v>3945822.8685415317</v>
      </c>
    </row>
    <row r="43" spans="1:18">
      <c r="A43" s="128">
        <f>'Monthly Data'!A43</f>
        <v>41061</v>
      </c>
      <c r="B43" s="127">
        <f t="shared" si="1"/>
        <v>2012</v>
      </c>
      <c r="C43" s="127">
        <f ca="1">'Monthly Data'!Z43</f>
        <v>4101522.8000286836</v>
      </c>
      <c r="D43" s="127">
        <f>'Monthly Data'!BM43</f>
        <v>42</v>
      </c>
      <c r="E43" s="127">
        <f>'Monthly Data'!BJ43</f>
        <v>6693.3</v>
      </c>
      <c r="F43" s="169">
        <f>'Monthly Data'!BS43</f>
        <v>1</v>
      </c>
      <c r="G43" s="169">
        <f>'Monthly Data'!BT43</f>
        <v>0</v>
      </c>
      <c r="H43" s="169">
        <f>'Monthly Data'!CA43</f>
        <v>0</v>
      </c>
      <c r="I43" s="127">
        <f>'Monthly Data'!CC43</f>
        <v>30</v>
      </c>
      <c r="K43" s="127">
        <f>'Intermediate OLS Model'!$B$5</f>
        <v>-415228.02881662402</v>
      </c>
      <c r="L43" s="186">
        <f>'Intermediate OLS Model'!$B$6*D43</f>
        <v>-241773.76928623128</v>
      </c>
      <c r="M43" s="186">
        <v>0</v>
      </c>
      <c r="N43" s="186">
        <f>'Intermediate OLS Model'!$B$7*F43</f>
        <v>346553.62108035001</v>
      </c>
      <c r="O43" s="186">
        <f>'Intermediate OLS Model'!$B$8*G43</f>
        <v>0</v>
      </c>
      <c r="P43" s="186">
        <f>'Intermediate OLS Model'!$B$9*H43</f>
        <v>0</v>
      </c>
      <c r="Q43" s="186">
        <f>'Intermediate OLS Model'!$B$10*I43</f>
        <v>4448775.6274142396</v>
      </c>
      <c r="R43" s="127">
        <f t="shared" si="3"/>
        <v>4138327.450391734</v>
      </c>
    </row>
    <row r="44" spans="1:18">
      <c r="A44" s="128">
        <f>'Monthly Data'!A44</f>
        <v>41091</v>
      </c>
      <c r="B44" s="127">
        <f t="shared" si="1"/>
        <v>2012</v>
      </c>
      <c r="C44" s="127">
        <f ca="1">'Monthly Data'!Z44</f>
        <v>4189025.0907676835</v>
      </c>
      <c r="D44" s="127">
        <f>'Monthly Data'!BM44</f>
        <v>43</v>
      </c>
      <c r="E44" s="127">
        <f>'Monthly Data'!BJ44</f>
        <v>6694.6</v>
      </c>
      <c r="F44" s="169">
        <f>'Monthly Data'!BS44</f>
        <v>0</v>
      </c>
      <c r="G44" s="169">
        <f>'Monthly Data'!BT44</f>
        <v>1</v>
      </c>
      <c r="H44" s="169">
        <f>'Monthly Data'!CA44</f>
        <v>0</v>
      </c>
      <c r="I44" s="127">
        <f>'Monthly Data'!CC44</f>
        <v>31</v>
      </c>
      <c r="K44" s="127">
        <f>'Intermediate OLS Model'!$B$5</f>
        <v>-415228.02881662402</v>
      </c>
      <c r="L44" s="186">
        <f>'Intermediate OLS Model'!$B$6*D44</f>
        <v>-247530.28760257011</v>
      </c>
      <c r="M44" s="186">
        <v>0</v>
      </c>
      <c r="N44" s="186">
        <f>'Intermediate OLS Model'!$B$7*F44</f>
        <v>0</v>
      </c>
      <c r="O44" s="186">
        <f>'Intermediate OLS Model'!$B$8*G44</f>
        <v>428565.96548408002</v>
      </c>
      <c r="P44" s="186">
        <f>'Intermediate OLS Model'!$B$9*H44</f>
        <v>0</v>
      </c>
      <c r="Q44" s="186">
        <f>'Intermediate OLS Model'!$B$10*I44</f>
        <v>4597068.1483280482</v>
      </c>
      <c r="R44" s="127">
        <f t="shared" si="3"/>
        <v>4362875.7973929346</v>
      </c>
    </row>
    <row r="45" spans="1:18">
      <c r="A45" s="128">
        <f>'Monthly Data'!A45</f>
        <v>41122</v>
      </c>
      <c r="B45" s="127">
        <f t="shared" si="1"/>
        <v>2012</v>
      </c>
      <c r="C45" s="127">
        <f ca="1">'Monthly Data'!Z45</f>
        <v>4037293.3264716836</v>
      </c>
      <c r="D45" s="127">
        <f>'Monthly Data'!BM45</f>
        <v>44</v>
      </c>
      <c r="E45" s="127">
        <f>'Monthly Data'!BJ45</f>
        <v>6703.3</v>
      </c>
      <c r="F45" s="169">
        <f>'Monthly Data'!BS45</f>
        <v>0</v>
      </c>
      <c r="G45" s="169">
        <f>'Monthly Data'!BT45</f>
        <v>0</v>
      </c>
      <c r="H45" s="169">
        <f>'Monthly Data'!CA45</f>
        <v>0</v>
      </c>
      <c r="I45" s="127">
        <f>'Monthly Data'!CC45</f>
        <v>31</v>
      </c>
      <c r="K45" s="127">
        <f>'Intermediate OLS Model'!$B$5</f>
        <v>-415228.02881662402</v>
      </c>
      <c r="L45" s="186">
        <f>'Intermediate OLS Model'!$B$6*D45</f>
        <v>-253286.80591890897</v>
      </c>
      <c r="M45" s="186">
        <v>0</v>
      </c>
      <c r="N45" s="186">
        <f>'Intermediate OLS Model'!$B$7*F45</f>
        <v>0</v>
      </c>
      <c r="O45" s="186">
        <f>'Intermediate OLS Model'!$B$8*G45</f>
        <v>0</v>
      </c>
      <c r="P45" s="186">
        <f>'Intermediate OLS Model'!$B$9*H45</f>
        <v>0</v>
      </c>
      <c r="Q45" s="186">
        <f>'Intermediate OLS Model'!$B$10*I45</f>
        <v>4597068.1483280482</v>
      </c>
      <c r="R45" s="127">
        <f t="shared" si="3"/>
        <v>3928553.313592515</v>
      </c>
    </row>
    <row r="46" spans="1:18">
      <c r="A46" s="128">
        <f>'Monthly Data'!A46</f>
        <v>41153</v>
      </c>
      <c r="B46" s="127">
        <f t="shared" si="1"/>
        <v>2012</v>
      </c>
      <c r="C46" s="127">
        <f ca="1">'Monthly Data'!Z46</f>
        <v>3505149.0576776834</v>
      </c>
      <c r="D46" s="127">
        <f>'Monthly Data'!BM46</f>
        <v>45</v>
      </c>
      <c r="E46" s="127">
        <f>'Monthly Data'!BJ46</f>
        <v>6707.4</v>
      </c>
      <c r="F46" s="169">
        <f>'Monthly Data'!BS46</f>
        <v>0</v>
      </c>
      <c r="G46" s="169">
        <f>'Monthly Data'!BT46</f>
        <v>0</v>
      </c>
      <c r="H46" s="169">
        <f>'Monthly Data'!CA46</f>
        <v>1</v>
      </c>
      <c r="I46" s="127">
        <f>'Monthly Data'!CC46</f>
        <v>30</v>
      </c>
      <c r="K46" s="127">
        <f>'Intermediate OLS Model'!$B$5</f>
        <v>-415228.02881662402</v>
      </c>
      <c r="L46" s="186">
        <f>'Intermediate OLS Model'!$B$6*D46</f>
        <v>-259043.3242352478</v>
      </c>
      <c r="M46" s="186">
        <v>0</v>
      </c>
      <c r="N46" s="186">
        <f>'Intermediate OLS Model'!$B$7*F46</f>
        <v>0</v>
      </c>
      <c r="O46" s="186">
        <f>'Intermediate OLS Model'!$B$8*G46</f>
        <v>0</v>
      </c>
      <c r="P46" s="186">
        <f>'Intermediate OLS Model'!$B$9*H46</f>
        <v>219659.05071226999</v>
      </c>
      <c r="Q46" s="186">
        <f>'Intermediate OLS Model'!$B$10*I46</f>
        <v>4448775.6274142396</v>
      </c>
      <c r="R46" s="127">
        <f t="shared" si="3"/>
        <v>3994163.3250746378</v>
      </c>
    </row>
    <row r="47" spans="1:18">
      <c r="A47" s="128">
        <f>'Monthly Data'!A47</f>
        <v>41183</v>
      </c>
      <c r="B47" s="127">
        <f t="shared" si="1"/>
        <v>2012</v>
      </c>
      <c r="C47" s="127">
        <f ca="1">'Monthly Data'!Z47</f>
        <v>3665713.2215106837</v>
      </c>
      <c r="D47" s="127">
        <f>'Monthly Data'!BM47</f>
        <v>46</v>
      </c>
      <c r="E47" s="127">
        <f>'Monthly Data'!BJ47</f>
        <v>6710</v>
      </c>
      <c r="F47" s="169">
        <f>'Monthly Data'!BS47</f>
        <v>0</v>
      </c>
      <c r="G47" s="169">
        <f>'Monthly Data'!BT47</f>
        <v>0</v>
      </c>
      <c r="H47" s="169">
        <f>'Monthly Data'!CA47</f>
        <v>1</v>
      </c>
      <c r="I47" s="127">
        <f>'Monthly Data'!CC47</f>
        <v>31</v>
      </c>
      <c r="K47" s="127">
        <f>'Intermediate OLS Model'!$B$5</f>
        <v>-415228.02881662402</v>
      </c>
      <c r="L47" s="186">
        <f>'Intermediate OLS Model'!$B$6*D47</f>
        <v>-264799.84255158663</v>
      </c>
      <c r="M47" s="186">
        <v>0</v>
      </c>
      <c r="N47" s="186">
        <f>'Intermediate OLS Model'!$B$7*F47</f>
        <v>0</v>
      </c>
      <c r="O47" s="186">
        <f>'Intermediate OLS Model'!$B$8*G47</f>
        <v>0</v>
      </c>
      <c r="P47" s="186">
        <f>'Intermediate OLS Model'!$B$9*H47</f>
        <v>219659.05071226999</v>
      </c>
      <c r="Q47" s="186">
        <f>'Intermediate OLS Model'!$B$10*I47</f>
        <v>4597068.1483280482</v>
      </c>
      <c r="R47" s="127">
        <f t="shared" si="3"/>
        <v>4136699.3276721076</v>
      </c>
    </row>
    <row r="48" spans="1:18">
      <c r="A48" s="128">
        <f>'Monthly Data'!A48</f>
        <v>41214</v>
      </c>
      <c r="B48" s="127">
        <f t="shared" si="1"/>
        <v>2012</v>
      </c>
      <c r="C48" s="127">
        <f ca="1">'Monthly Data'!Z48</f>
        <v>4332336.8526676828</v>
      </c>
      <c r="D48" s="127">
        <f>'Monthly Data'!BM48</f>
        <v>47</v>
      </c>
      <c r="E48" s="127">
        <f>'Monthly Data'!BJ48</f>
        <v>6722.4</v>
      </c>
      <c r="F48" s="169">
        <f>'Monthly Data'!BS48</f>
        <v>0</v>
      </c>
      <c r="G48" s="169">
        <f>'Monthly Data'!BT48</f>
        <v>0</v>
      </c>
      <c r="H48" s="169">
        <f>'Monthly Data'!CA48</f>
        <v>1</v>
      </c>
      <c r="I48" s="127">
        <f>'Monthly Data'!CC48</f>
        <v>30</v>
      </c>
      <c r="K48" s="127">
        <f>'Intermediate OLS Model'!$B$5</f>
        <v>-415228.02881662402</v>
      </c>
      <c r="L48" s="186">
        <f>'Intermediate OLS Model'!$B$6*D48</f>
        <v>-270556.36086792551</v>
      </c>
      <c r="M48" s="186">
        <v>0</v>
      </c>
      <c r="N48" s="186">
        <f>'Intermediate OLS Model'!$B$7*F48</f>
        <v>0</v>
      </c>
      <c r="O48" s="186">
        <f>'Intermediate OLS Model'!$B$8*G48</f>
        <v>0</v>
      </c>
      <c r="P48" s="186">
        <f>'Intermediate OLS Model'!$B$9*H48</f>
        <v>219659.05071226999</v>
      </c>
      <c r="Q48" s="186">
        <f>'Intermediate OLS Model'!$B$10*I48</f>
        <v>4448775.6274142396</v>
      </c>
      <c r="R48" s="127">
        <f t="shared" si="3"/>
        <v>3982650.2884419598</v>
      </c>
    </row>
    <row r="49" spans="1:18">
      <c r="A49" s="128">
        <f>'Monthly Data'!A49</f>
        <v>41244</v>
      </c>
      <c r="B49" s="127">
        <f t="shared" si="1"/>
        <v>2012</v>
      </c>
      <c r="C49" s="127">
        <f ca="1">'Monthly Data'!Z49</f>
        <v>3431298.8417096836</v>
      </c>
      <c r="D49" s="127">
        <f>'Monthly Data'!BM49</f>
        <v>48</v>
      </c>
      <c r="E49" s="127">
        <f>'Monthly Data'!BJ49</f>
        <v>6740.6</v>
      </c>
      <c r="F49" s="169">
        <f>'Monthly Data'!BS49</f>
        <v>0</v>
      </c>
      <c r="G49" s="169">
        <f>'Monthly Data'!BT49</f>
        <v>0</v>
      </c>
      <c r="H49" s="169">
        <f>'Monthly Data'!CA49</f>
        <v>0</v>
      </c>
      <c r="I49" s="127">
        <f>'Monthly Data'!CC49</f>
        <v>31</v>
      </c>
      <c r="K49" s="127">
        <f>'Intermediate OLS Model'!$B$5</f>
        <v>-415228.02881662402</v>
      </c>
      <c r="L49" s="186">
        <f>'Intermediate OLS Model'!$B$6*D49</f>
        <v>-276312.87918426434</v>
      </c>
      <c r="M49" s="186">
        <v>0</v>
      </c>
      <c r="N49" s="186">
        <f>'Intermediate OLS Model'!$B$7*F49</f>
        <v>0</v>
      </c>
      <c r="O49" s="186">
        <f>'Intermediate OLS Model'!$B$8*G49</f>
        <v>0</v>
      </c>
      <c r="P49" s="186">
        <f>'Intermediate OLS Model'!$B$9*H49</f>
        <v>0</v>
      </c>
      <c r="Q49" s="186">
        <f>'Intermediate OLS Model'!$B$10*I49</f>
        <v>4597068.1483280482</v>
      </c>
      <c r="R49" s="127">
        <f t="shared" si="3"/>
        <v>3905527.2403271599</v>
      </c>
    </row>
    <row r="50" spans="1:18">
      <c r="A50" s="128">
        <f>'Monthly Data'!A50</f>
        <v>41275</v>
      </c>
      <c r="B50" s="127">
        <f t="shared" si="1"/>
        <v>2013</v>
      </c>
      <c r="C50" s="127">
        <f ca="1">'Monthly Data'!Z50</f>
        <v>3650792.2621592293</v>
      </c>
      <c r="D50" s="127">
        <f>'Monthly Data'!BM50</f>
        <v>49</v>
      </c>
      <c r="E50" s="127">
        <f>'Monthly Data'!BJ50</f>
        <v>6758.8</v>
      </c>
      <c r="F50" s="169">
        <f>'Monthly Data'!BS50</f>
        <v>0</v>
      </c>
      <c r="G50" s="169">
        <f>'Monthly Data'!BT50</f>
        <v>0</v>
      </c>
      <c r="H50" s="169">
        <f>'Monthly Data'!CA50</f>
        <v>0</v>
      </c>
      <c r="I50" s="127">
        <f>'Monthly Data'!CC50</f>
        <v>31</v>
      </c>
      <c r="K50" s="127">
        <f>'Intermediate OLS Model'!$B$5</f>
        <v>-415228.02881662402</v>
      </c>
      <c r="L50" s="186">
        <f>'Intermediate OLS Model'!$B$6*D50</f>
        <v>-282069.39750060317</v>
      </c>
      <c r="M50" s="186">
        <v>0</v>
      </c>
      <c r="N50" s="186">
        <f>'Intermediate OLS Model'!$B$7*F50</f>
        <v>0</v>
      </c>
      <c r="O50" s="186">
        <f>'Intermediate OLS Model'!$B$8*G50</f>
        <v>0</v>
      </c>
      <c r="P50" s="186">
        <f>'Intermediate OLS Model'!$B$9*H50</f>
        <v>0</v>
      </c>
      <c r="Q50" s="186">
        <f>'Intermediate OLS Model'!$B$10*I50</f>
        <v>4597068.1483280482</v>
      </c>
      <c r="R50" s="127">
        <f t="shared" si="3"/>
        <v>3899770.7220108211</v>
      </c>
    </row>
    <row r="51" spans="1:18">
      <c r="A51" s="128">
        <f>'Monthly Data'!A51</f>
        <v>41306</v>
      </c>
      <c r="B51" s="127">
        <f t="shared" si="1"/>
        <v>2013</v>
      </c>
      <c r="C51" s="127">
        <f ca="1">'Monthly Data'!Z51</f>
        <v>3160249.3168802294</v>
      </c>
      <c r="D51" s="127">
        <f>'Monthly Data'!BM51</f>
        <v>50</v>
      </c>
      <c r="E51" s="127">
        <f>'Monthly Data'!BJ51</f>
        <v>6775.5</v>
      </c>
      <c r="F51" s="169">
        <f>'Monthly Data'!BS51</f>
        <v>0</v>
      </c>
      <c r="G51" s="169">
        <f>'Monthly Data'!BT51</f>
        <v>0</v>
      </c>
      <c r="H51" s="169">
        <f>'Monthly Data'!CA51</f>
        <v>0</v>
      </c>
      <c r="I51" s="127">
        <f>'Monthly Data'!CC51</f>
        <v>28</v>
      </c>
      <c r="K51" s="127">
        <f>'Intermediate OLS Model'!$B$5</f>
        <v>-415228.02881662402</v>
      </c>
      <c r="L51" s="186">
        <f>'Intermediate OLS Model'!$B$6*D51</f>
        <v>-287825.915816942</v>
      </c>
      <c r="M51" s="186">
        <v>0</v>
      </c>
      <c r="N51" s="186">
        <f>'Intermediate OLS Model'!$B$7*F51</f>
        <v>0</v>
      </c>
      <c r="O51" s="186">
        <f>'Intermediate OLS Model'!$B$8*G51</f>
        <v>0</v>
      </c>
      <c r="P51" s="186">
        <f>'Intermediate OLS Model'!$B$9*H51</f>
        <v>0</v>
      </c>
      <c r="Q51" s="186">
        <f>'Intermediate OLS Model'!$B$10*I51</f>
        <v>4152190.5855866238</v>
      </c>
      <c r="R51" s="127">
        <f t="shared" si="3"/>
        <v>3449136.6409530574</v>
      </c>
    </row>
    <row r="52" spans="1:18">
      <c r="A52" s="128">
        <f>'Monthly Data'!A52</f>
        <v>41334</v>
      </c>
      <c r="B52" s="127">
        <f t="shared" si="1"/>
        <v>2013</v>
      </c>
      <c r="C52" s="127">
        <f ca="1">'Monthly Data'!Z52</f>
        <v>2795571.2968722293</v>
      </c>
      <c r="D52" s="127">
        <f>'Monthly Data'!BM52</f>
        <v>51</v>
      </c>
      <c r="E52" s="127">
        <f>'Monthly Data'!BJ52</f>
        <v>6781.1</v>
      </c>
      <c r="F52" s="169">
        <f>'Monthly Data'!BS52</f>
        <v>0</v>
      </c>
      <c r="G52" s="169">
        <f>'Monthly Data'!BT52</f>
        <v>0</v>
      </c>
      <c r="H52" s="169">
        <f>'Monthly Data'!CA52</f>
        <v>0</v>
      </c>
      <c r="I52" s="127">
        <f>'Monthly Data'!CC52</f>
        <v>31</v>
      </c>
      <c r="K52" s="127">
        <f>'Intermediate OLS Model'!$B$5</f>
        <v>-415228.02881662402</v>
      </c>
      <c r="L52" s="186">
        <f>'Intermediate OLS Model'!$B$6*D52</f>
        <v>-293582.43413328083</v>
      </c>
      <c r="M52" s="186">
        <v>0</v>
      </c>
      <c r="N52" s="186">
        <f>'Intermediate OLS Model'!$B$7*F52</f>
        <v>0</v>
      </c>
      <c r="O52" s="186">
        <f>'Intermediate OLS Model'!$B$8*G52</f>
        <v>0</v>
      </c>
      <c r="P52" s="186">
        <f>'Intermediate OLS Model'!$B$9*H52</f>
        <v>0</v>
      </c>
      <c r="Q52" s="186">
        <f>'Intermediate OLS Model'!$B$10*I52</f>
        <v>4597068.1483280482</v>
      </c>
      <c r="R52" s="127">
        <f t="shared" si="3"/>
        <v>3888257.6853781436</v>
      </c>
    </row>
    <row r="53" spans="1:18">
      <c r="A53" s="128">
        <f>'Monthly Data'!A53</f>
        <v>41365</v>
      </c>
      <c r="B53" s="127">
        <f t="shared" si="1"/>
        <v>2013</v>
      </c>
      <c r="C53" s="127">
        <f ca="1">'Monthly Data'!Z53</f>
        <v>3642488.5188232292</v>
      </c>
      <c r="D53" s="127">
        <f>'Monthly Data'!BM53</f>
        <v>52</v>
      </c>
      <c r="E53" s="127">
        <f>'Monthly Data'!BJ53</f>
        <v>6788.9</v>
      </c>
      <c r="F53" s="169">
        <f>'Monthly Data'!BS53</f>
        <v>0</v>
      </c>
      <c r="G53" s="169">
        <f>'Monthly Data'!BT53</f>
        <v>0</v>
      </c>
      <c r="H53" s="169">
        <f>'Monthly Data'!CA53</f>
        <v>0</v>
      </c>
      <c r="I53" s="127">
        <f>'Monthly Data'!CC53</f>
        <v>30</v>
      </c>
      <c r="K53" s="127">
        <f>'Intermediate OLS Model'!$B$5</f>
        <v>-415228.02881662402</v>
      </c>
      <c r="L53" s="186">
        <f>'Intermediate OLS Model'!$B$6*D53</f>
        <v>-299338.95244961971</v>
      </c>
      <c r="M53" s="186">
        <v>0</v>
      </c>
      <c r="N53" s="186">
        <f>'Intermediate OLS Model'!$B$7*F53</f>
        <v>0</v>
      </c>
      <c r="O53" s="186">
        <f>'Intermediate OLS Model'!$B$8*G53</f>
        <v>0</v>
      </c>
      <c r="P53" s="186">
        <f>'Intermediate OLS Model'!$B$9*H53</f>
        <v>0</v>
      </c>
      <c r="Q53" s="186">
        <f>'Intermediate OLS Model'!$B$10*I53</f>
        <v>4448775.6274142396</v>
      </c>
      <c r="R53" s="127">
        <f t="shared" si="3"/>
        <v>3734208.6461479957</v>
      </c>
    </row>
    <row r="54" spans="1:18">
      <c r="A54" s="128">
        <f>'Monthly Data'!A54</f>
        <v>41395</v>
      </c>
      <c r="B54" s="127">
        <f t="shared" ref="B54:B104" si="4">YEAR(A54)</f>
        <v>2013</v>
      </c>
      <c r="C54" s="127">
        <f ca="1">'Monthly Data'!Z54</f>
        <v>4167859.4824122293</v>
      </c>
      <c r="D54" s="127">
        <f>'Monthly Data'!BM54</f>
        <v>53</v>
      </c>
      <c r="E54" s="127">
        <f>'Monthly Data'!BJ54</f>
        <v>6801.1</v>
      </c>
      <c r="F54" s="169">
        <f>'Monthly Data'!BS54</f>
        <v>0</v>
      </c>
      <c r="G54" s="169">
        <f>'Monthly Data'!BT54</f>
        <v>0</v>
      </c>
      <c r="H54" s="169">
        <f>'Monthly Data'!CA54</f>
        <v>0</v>
      </c>
      <c r="I54" s="127">
        <f>'Monthly Data'!CC54</f>
        <v>31</v>
      </c>
      <c r="K54" s="127">
        <f>'Intermediate OLS Model'!$B$5</f>
        <v>-415228.02881662402</v>
      </c>
      <c r="L54" s="186">
        <f>'Intermediate OLS Model'!$B$6*D54</f>
        <v>-305095.47076595854</v>
      </c>
      <c r="M54" s="186">
        <v>0</v>
      </c>
      <c r="N54" s="186">
        <f>'Intermediate OLS Model'!$B$7*F54</f>
        <v>0</v>
      </c>
      <c r="O54" s="186">
        <f>'Intermediate OLS Model'!$B$8*G54</f>
        <v>0</v>
      </c>
      <c r="P54" s="186">
        <f>'Intermediate OLS Model'!$B$9*H54</f>
        <v>0</v>
      </c>
      <c r="Q54" s="186">
        <f>'Intermediate OLS Model'!$B$10*I54</f>
        <v>4597068.1483280482</v>
      </c>
      <c r="R54" s="127">
        <f t="shared" ref="R54:R85" si="5">SUM(K54:Q54)</f>
        <v>3876744.6487454656</v>
      </c>
    </row>
    <row r="55" spans="1:18">
      <c r="A55" s="128">
        <f>'Monthly Data'!A55</f>
        <v>41426</v>
      </c>
      <c r="B55" s="127">
        <f t="shared" si="4"/>
        <v>2013</v>
      </c>
      <c r="C55" s="127">
        <f ca="1">'Monthly Data'!Z55</f>
        <v>4054002.5970822293</v>
      </c>
      <c r="D55" s="127">
        <f>'Monthly Data'!BM55</f>
        <v>54</v>
      </c>
      <c r="E55" s="127">
        <f>'Monthly Data'!BJ55</f>
        <v>6815.2</v>
      </c>
      <c r="F55" s="169">
        <f>'Monthly Data'!BS55</f>
        <v>1</v>
      </c>
      <c r="G55" s="169">
        <f>'Monthly Data'!BT55</f>
        <v>0</v>
      </c>
      <c r="H55" s="169">
        <f>'Monthly Data'!CA55</f>
        <v>0</v>
      </c>
      <c r="I55" s="127">
        <f>'Monthly Data'!CC55</f>
        <v>30</v>
      </c>
      <c r="K55" s="127">
        <f>'Intermediate OLS Model'!$B$5</f>
        <v>-415228.02881662402</v>
      </c>
      <c r="L55" s="186">
        <f>'Intermediate OLS Model'!$B$6*D55</f>
        <v>-310851.98908229737</v>
      </c>
      <c r="M55" s="186">
        <v>0</v>
      </c>
      <c r="N55" s="186">
        <f>'Intermediate OLS Model'!$B$7*F55</f>
        <v>346553.62108035001</v>
      </c>
      <c r="O55" s="186">
        <f>'Intermediate OLS Model'!$B$8*G55</f>
        <v>0</v>
      </c>
      <c r="P55" s="186">
        <f>'Intermediate OLS Model'!$B$9*H55</f>
        <v>0</v>
      </c>
      <c r="Q55" s="186">
        <f>'Intermediate OLS Model'!$B$10*I55</f>
        <v>4448775.6274142396</v>
      </c>
      <c r="R55" s="127">
        <f t="shared" si="5"/>
        <v>4069249.2305956683</v>
      </c>
    </row>
    <row r="56" spans="1:18">
      <c r="A56" s="128">
        <f>'Monthly Data'!A56</f>
        <v>41456</v>
      </c>
      <c r="B56" s="127">
        <f t="shared" si="4"/>
        <v>2013</v>
      </c>
      <c r="C56" s="127">
        <f ca="1">'Monthly Data'!Z56</f>
        <v>4267179.141496229</v>
      </c>
      <c r="D56" s="127">
        <f>'Monthly Data'!BM56</f>
        <v>55</v>
      </c>
      <c r="E56" s="127">
        <f>'Monthly Data'!BJ56</f>
        <v>6826.2</v>
      </c>
      <c r="F56" s="169">
        <f>'Monthly Data'!BS56</f>
        <v>0</v>
      </c>
      <c r="G56" s="169">
        <f>'Monthly Data'!BT56</f>
        <v>1</v>
      </c>
      <c r="H56" s="169">
        <f>'Monthly Data'!CA56</f>
        <v>0</v>
      </c>
      <c r="I56" s="127">
        <f>'Monthly Data'!CC56</f>
        <v>31</v>
      </c>
      <c r="K56" s="127">
        <f>'Intermediate OLS Model'!$B$5</f>
        <v>-415228.02881662402</v>
      </c>
      <c r="L56" s="186">
        <f>'Intermediate OLS Model'!$B$6*D56</f>
        <v>-316608.5073986362</v>
      </c>
      <c r="M56" s="186">
        <v>0</v>
      </c>
      <c r="N56" s="186">
        <f>'Intermediate OLS Model'!$B$7*F56</f>
        <v>0</v>
      </c>
      <c r="O56" s="186">
        <f>'Intermediate OLS Model'!$B$8*G56</f>
        <v>428565.96548408002</v>
      </c>
      <c r="P56" s="186">
        <f>'Intermediate OLS Model'!$B$9*H56</f>
        <v>0</v>
      </c>
      <c r="Q56" s="186">
        <f>'Intermediate OLS Model'!$B$10*I56</f>
        <v>4597068.1483280482</v>
      </c>
      <c r="R56" s="127">
        <f t="shared" si="5"/>
        <v>4293797.5775968684</v>
      </c>
    </row>
    <row r="57" spans="1:18">
      <c r="A57" s="128">
        <f>'Monthly Data'!A57</f>
        <v>41487</v>
      </c>
      <c r="B57" s="127">
        <f t="shared" si="4"/>
        <v>2013</v>
      </c>
      <c r="C57" s="127">
        <f ca="1">'Monthly Data'!Z57</f>
        <v>3913373.0792622296</v>
      </c>
      <c r="D57" s="127">
        <f>'Monthly Data'!BM57</f>
        <v>56</v>
      </c>
      <c r="E57" s="127">
        <f>'Monthly Data'!BJ57</f>
        <v>6833.9</v>
      </c>
      <c r="F57" s="169">
        <f>'Monthly Data'!BS57</f>
        <v>0</v>
      </c>
      <c r="G57" s="169">
        <f>'Monthly Data'!BT57</f>
        <v>0</v>
      </c>
      <c r="H57" s="169">
        <f>'Monthly Data'!CA57</f>
        <v>0</v>
      </c>
      <c r="I57" s="127">
        <f>'Monthly Data'!CC57</f>
        <v>31</v>
      </c>
      <c r="K57" s="127">
        <f>'Intermediate OLS Model'!$B$5</f>
        <v>-415228.02881662402</v>
      </c>
      <c r="L57" s="186">
        <f>'Intermediate OLS Model'!$B$6*D57</f>
        <v>-322365.02571497503</v>
      </c>
      <c r="M57" s="186">
        <v>0</v>
      </c>
      <c r="N57" s="186">
        <f>'Intermediate OLS Model'!$B$7*F57</f>
        <v>0</v>
      </c>
      <c r="O57" s="186">
        <f>'Intermediate OLS Model'!$B$8*G57</f>
        <v>0</v>
      </c>
      <c r="P57" s="186">
        <f>'Intermediate OLS Model'!$B$9*H57</f>
        <v>0</v>
      </c>
      <c r="Q57" s="186">
        <f>'Intermediate OLS Model'!$B$10*I57</f>
        <v>4597068.1483280482</v>
      </c>
      <c r="R57" s="127">
        <f t="shared" si="5"/>
        <v>3859475.0937964492</v>
      </c>
    </row>
    <row r="58" spans="1:18">
      <c r="A58" s="128">
        <f>'Monthly Data'!A58</f>
        <v>41518</v>
      </c>
      <c r="B58" s="127">
        <f t="shared" si="4"/>
        <v>2013</v>
      </c>
      <c r="C58" s="127">
        <f ca="1">'Monthly Data'!Z58</f>
        <v>4476539.753896229</v>
      </c>
      <c r="D58" s="127">
        <f>'Monthly Data'!BM58</f>
        <v>57</v>
      </c>
      <c r="E58" s="127">
        <f>'Monthly Data'!BJ58</f>
        <v>6843.3</v>
      </c>
      <c r="F58" s="169">
        <f>'Monthly Data'!BS58</f>
        <v>0</v>
      </c>
      <c r="G58" s="169">
        <f>'Monthly Data'!BT58</f>
        <v>0</v>
      </c>
      <c r="H58" s="169">
        <f>'Monthly Data'!CA58</f>
        <v>1</v>
      </c>
      <c r="I58" s="127">
        <f>'Monthly Data'!CC58</f>
        <v>30</v>
      </c>
      <c r="K58" s="127">
        <f>'Intermediate OLS Model'!$B$5</f>
        <v>-415228.02881662402</v>
      </c>
      <c r="L58" s="186">
        <f>'Intermediate OLS Model'!$B$6*D58</f>
        <v>-328121.54403131391</v>
      </c>
      <c r="M58" s="186">
        <v>0</v>
      </c>
      <c r="N58" s="186">
        <f>'Intermediate OLS Model'!$B$7*F58</f>
        <v>0</v>
      </c>
      <c r="O58" s="186">
        <f>'Intermediate OLS Model'!$B$8*G58</f>
        <v>0</v>
      </c>
      <c r="P58" s="186">
        <f>'Intermediate OLS Model'!$B$9*H58</f>
        <v>219659.05071226999</v>
      </c>
      <c r="Q58" s="186">
        <f>'Intermediate OLS Model'!$B$10*I58</f>
        <v>4448775.6274142396</v>
      </c>
      <c r="R58" s="127">
        <f t="shared" si="5"/>
        <v>3925085.1052785716</v>
      </c>
    </row>
    <row r="59" spans="1:18">
      <c r="A59" s="128">
        <f>'Monthly Data'!A59</f>
        <v>41548</v>
      </c>
      <c r="B59" s="127">
        <f t="shared" si="4"/>
        <v>2013</v>
      </c>
      <c r="C59" s="127">
        <f ca="1">'Monthly Data'!Z59</f>
        <v>4212272.7133522294</v>
      </c>
      <c r="D59" s="127">
        <f>'Monthly Data'!BM59</f>
        <v>58</v>
      </c>
      <c r="E59" s="127">
        <f>'Monthly Data'!BJ59</f>
        <v>6850.3</v>
      </c>
      <c r="F59" s="169">
        <f>'Monthly Data'!BS59</f>
        <v>0</v>
      </c>
      <c r="G59" s="169">
        <f>'Monthly Data'!BT59</f>
        <v>0</v>
      </c>
      <c r="H59" s="169">
        <f>'Monthly Data'!CA59</f>
        <v>1</v>
      </c>
      <c r="I59" s="127">
        <f>'Monthly Data'!CC59</f>
        <v>31</v>
      </c>
      <c r="K59" s="127">
        <f>'Intermediate OLS Model'!$B$5</f>
        <v>-415228.02881662402</v>
      </c>
      <c r="L59" s="186">
        <f>'Intermediate OLS Model'!$B$6*D59</f>
        <v>-333878.06234765274</v>
      </c>
      <c r="M59" s="186">
        <v>0</v>
      </c>
      <c r="N59" s="186">
        <f>'Intermediate OLS Model'!$B$7*F59</f>
        <v>0</v>
      </c>
      <c r="O59" s="186">
        <f>'Intermediate OLS Model'!$B$8*G59</f>
        <v>0</v>
      </c>
      <c r="P59" s="186">
        <f>'Intermediate OLS Model'!$B$9*H59</f>
        <v>219659.05071226999</v>
      </c>
      <c r="Q59" s="186">
        <f>'Intermediate OLS Model'!$B$10*I59</f>
        <v>4597068.1483280482</v>
      </c>
      <c r="R59" s="127">
        <f t="shared" si="5"/>
        <v>4067621.1078760414</v>
      </c>
    </row>
    <row r="60" spans="1:18">
      <c r="A60" s="128">
        <f>'Monthly Data'!A60</f>
        <v>41579</v>
      </c>
      <c r="B60" s="127">
        <f t="shared" si="4"/>
        <v>2013</v>
      </c>
      <c r="C60" s="127">
        <f ca="1">'Monthly Data'!Z60</f>
        <v>3811378.5648942296</v>
      </c>
      <c r="D60" s="127">
        <f>'Monthly Data'!BM60</f>
        <v>59</v>
      </c>
      <c r="E60" s="127">
        <f>'Monthly Data'!BJ60</f>
        <v>6854</v>
      </c>
      <c r="F60" s="169">
        <f>'Monthly Data'!BS60</f>
        <v>0</v>
      </c>
      <c r="G60" s="169">
        <f>'Monthly Data'!BT60</f>
        <v>0</v>
      </c>
      <c r="H60" s="169">
        <f>'Monthly Data'!CA60</f>
        <v>1</v>
      </c>
      <c r="I60" s="127">
        <f>'Monthly Data'!CC60</f>
        <v>30</v>
      </c>
      <c r="K60" s="127">
        <f>'Intermediate OLS Model'!$B$5</f>
        <v>-415228.02881662402</v>
      </c>
      <c r="L60" s="186">
        <f>'Intermediate OLS Model'!$B$6*D60</f>
        <v>-339634.58066399157</v>
      </c>
      <c r="M60" s="186">
        <v>0</v>
      </c>
      <c r="N60" s="186">
        <f>'Intermediate OLS Model'!$B$7*F60</f>
        <v>0</v>
      </c>
      <c r="O60" s="186">
        <f>'Intermediate OLS Model'!$B$8*G60</f>
        <v>0</v>
      </c>
      <c r="P60" s="186">
        <f>'Intermediate OLS Model'!$B$9*H60</f>
        <v>219659.05071226999</v>
      </c>
      <c r="Q60" s="186">
        <f>'Intermediate OLS Model'!$B$10*I60</f>
        <v>4448775.6274142396</v>
      </c>
      <c r="R60" s="127">
        <f t="shared" si="5"/>
        <v>3913572.0686458941</v>
      </c>
    </row>
    <row r="61" spans="1:18">
      <c r="A61" s="128">
        <f>'Monthly Data'!A61</f>
        <v>41609</v>
      </c>
      <c r="B61" s="127">
        <f t="shared" si="4"/>
        <v>2013</v>
      </c>
      <c r="C61" s="127">
        <f ca="1">'Monthly Data'!Z61</f>
        <v>3578441.9494242296</v>
      </c>
      <c r="D61" s="127">
        <f>'Monthly Data'!BM61</f>
        <v>60</v>
      </c>
      <c r="E61" s="127">
        <f>'Monthly Data'!BJ61</f>
        <v>6850.4</v>
      </c>
      <c r="F61" s="169">
        <f>'Monthly Data'!BS61</f>
        <v>0</v>
      </c>
      <c r="G61" s="169">
        <f>'Monthly Data'!BT61</f>
        <v>0</v>
      </c>
      <c r="H61" s="169">
        <f>'Monthly Data'!CA61</f>
        <v>0</v>
      </c>
      <c r="I61" s="127">
        <f>'Monthly Data'!CC61</f>
        <v>31</v>
      </c>
      <c r="K61" s="127">
        <f>'Intermediate OLS Model'!$B$5</f>
        <v>-415228.02881662402</v>
      </c>
      <c r="L61" s="186">
        <f>'Intermediate OLS Model'!$B$6*D61</f>
        <v>-345391.0989803304</v>
      </c>
      <c r="M61" s="186">
        <v>0</v>
      </c>
      <c r="N61" s="186">
        <f>'Intermediate OLS Model'!$B$7*F61</f>
        <v>0</v>
      </c>
      <c r="O61" s="186">
        <f>'Intermediate OLS Model'!$B$8*G61</f>
        <v>0</v>
      </c>
      <c r="P61" s="186">
        <f>'Intermediate OLS Model'!$B$9*H61</f>
        <v>0</v>
      </c>
      <c r="Q61" s="186">
        <f>'Intermediate OLS Model'!$B$10*I61</f>
        <v>4597068.1483280482</v>
      </c>
      <c r="R61" s="127">
        <f t="shared" si="5"/>
        <v>3836449.0205310937</v>
      </c>
    </row>
    <row r="62" spans="1:18">
      <c r="A62" s="128">
        <f>'Monthly Data'!A62</f>
        <v>41640</v>
      </c>
      <c r="B62" s="127">
        <f t="shared" si="4"/>
        <v>2014</v>
      </c>
      <c r="C62" s="127">
        <f ca="1">'Monthly Data'!Z62</f>
        <v>3977286.2197341081</v>
      </c>
      <c r="D62" s="127">
        <f>'Monthly Data'!BM62</f>
        <v>61</v>
      </c>
      <c r="E62" s="127">
        <f>'Monthly Data'!BJ62</f>
        <v>6848.3</v>
      </c>
      <c r="F62" s="169">
        <f>'Monthly Data'!BS62</f>
        <v>0</v>
      </c>
      <c r="G62" s="169">
        <f>'Monthly Data'!BT62</f>
        <v>0</v>
      </c>
      <c r="H62" s="169">
        <f>'Monthly Data'!CA62</f>
        <v>0</v>
      </c>
      <c r="I62" s="127">
        <f>'Monthly Data'!CC62</f>
        <v>31</v>
      </c>
      <c r="K62" s="127">
        <f>'Intermediate OLS Model'!$B$5</f>
        <v>-415228.02881662402</v>
      </c>
      <c r="L62" s="186">
        <f>'Intermediate OLS Model'!$B$6*D62</f>
        <v>-351147.61729666922</v>
      </c>
      <c r="M62" s="186">
        <v>0</v>
      </c>
      <c r="N62" s="186">
        <f>'Intermediate OLS Model'!$B$7*F62</f>
        <v>0</v>
      </c>
      <c r="O62" s="186">
        <f>'Intermediate OLS Model'!$B$8*G62</f>
        <v>0</v>
      </c>
      <c r="P62" s="186">
        <f>'Intermediate OLS Model'!$B$9*H62</f>
        <v>0</v>
      </c>
      <c r="Q62" s="186">
        <f>'Intermediate OLS Model'!$B$10*I62</f>
        <v>4597068.1483280482</v>
      </c>
      <c r="R62" s="127">
        <f t="shared" si="5"/>
        <v>3830692.5022147549</v>
      </c>
    </row>
    <row r="63" spans="1:18">
      <c r="A63" s="128">
        <f>'Monthly Data'!A63</f>
        <v>41671</v>
      </c>
      <c r="B63" s="127">
        <f t="shared" si="4"/>
        <v>2014</v>
      </c>
      <c r="C63" s="127">
        <f ca="1">'Monthly Data'!Z63</f>
        <v>3319296.860103108</v>
      </c>
      <c r="D63" s="127">
        <f>'Monthly Data'!BM63</f>
        <v>62</v>
      </c>
      <c r="E63" s="127">
        <f>'Monthly Data'!BJ63</f>
        <v>6850</v>
      </c>
      <c r="F63" s="169">
        <f>'Monthly Data'!BS63</f>
        <v>0</v>
      </c>
      <c r="G63" s="169">
        <f>'Monthly Data'!BT63</f>
        <v>0</v>
      </c>
      <c r="H63" s="169">
        <f>'Monthly Data'!CA63</f>
        <v>0</v>
      </c>
      <c r="I63" s="127">
        <f>'Monthly Data'!CC63</f>
        <v>28</v>
      </c>
      <c r="K63" s="127">
        <f>'Intermediate OLS Model'!$B$5</f>
        <v>-415228.02881662402</v>
      </c>
      <c r="L63" s="186">
        <f>'Intermediate OLS Model'!$B$6*D63</f>
        <v>-356904.13561300811</v>
      </c>
      <c r="M63" s="186">
        <v>0</v>
      </c>
      <c r="N63" s="186">
        <f>'Intermediate OLS Model'!$B$7*F63</f>
        <v>0</v>
      </c>
      <c r="O63" s="186">
        <f>'Intermediate OLS Model'!$B$8*G63</f>
        <v>0</v>
      </c>
      <c r="P63" s="186">
        <f>'Intermediate OLS Model'!$B$9*H63</f>
        <v>0</v>
      </c>
      <c r="Q63" s="186">
        <f>'Intermediate OLS Model'!$B$10*I63</f>
        <v>4152190.5855866238</v>
      </c>
      <c r="R63" s="127">
        <f t="shared" si="5"/>
        <v>3380058.4211569917</v>
      </c>
    </row>
    <row r="64" spans="1:18">
      <c r="A64" s="128">
        <f>'Monthly Data'!A64</f>
        <v>41699</v>
      </c>
      <c r="B64" s="127">
        <f t="shared" si="4"/>
        <v>2014</v>
      </c>
      <c r="C64" s="127">
        <f ca="1">'Monthly Data'!Z64</f>
        <v>3885375.2901031082</v>
      </c>
      <c r="D64" s="127">
        <f>'Monthly Data'!BM64</f>
        <v>63</v>
      </c>
      <c r="E64" s="127">
        <f>'Monthly Data'!BJ64</f>
        <v>6856.4</v>
      </c>
      <c r="F64" s="169">
        <f>'Monthly Data'!BS64</f>
        <v>0</v>
      </c>
      <c r="G64" s="169">
        <f>'Monthly Data'!BT64</f>
        <v>0</v>
      </c>
      <c r="H64" s="169">
        <f>'Monthly Data'!CA64</f>
        <v>0</v>
      </c>
      <c r="I64" s="127">
        <f>'Monthly Data'!CC64</f>
        <v>31</v>
      </c>
      <c r="K64" s="127">
        <f>'Intermediate OLS Model'!$B$5</f>
        <v>-415228.02881662402</v>
      </c>
      <c r="L64" s="186">
        <f>'Intermediate OLS Model'!$B$6*D64</f>
        <v>-362660.65392934694</v>
      </c>
      <c r="M64" s="186">
        <v>0</v>
      </c>
      <c r="N64" s="186">
        <f>'Intermediate OLS Model'!$B$7*F64</f>
        <v>0</v>
      </c>
      <c r="O64" s="186">
        <f>'Intermediate OLS Model'!$B$8*G64</f>
        <v>0</v>
      </c>
      <c r="P64" s="186">
        <f>'Intermediate OLS Model'!$B$9*H64</f>
        <v>0</v>
      </c>
      <c r="Q64" s="186">
        <f>'Intermediate OLS Model'!$B$10*I64</f>
        <v>4597068.1483280482</v>
      </c>
      <c r="R64" s="127">
        <f t="shared" si="5"/>
        <v>3819179.4655820774</v>
      </c>
    </row>
    <row r="65" spans="1:18">
      <c r="A65" s="128">
        <f>'Monthly Data'!A65</f>
        <v>41730</v>
      </c>
      <c r="B65" s="127">
        <f t="shared" si="4"/>
        <v>2014</v>
      </c>
      <c r="C65" s="127">
        <f ca="1">'Monthly Data'!Z65</f>
        <v>3911958.4601031081</v>
      </c>
      <c r="D65" s="127">
        <f>'Monthly Data'!BM65</f>
        <v>64</v>
      </c>
      <c r="E65" s="127">
        <f>'Monthly Data'!BJ65</f>
        <v>6869.6</v>
      </c>
      <c r="F65" s="169">
        <f>'Monthly Data'!BS65</f>
        <v>0</v>
      </c>
      <c r="G65" s="169">
        <f>'Monthly Data'!BT65</f>
        <v>0</v>
      </c>
      <c r="H65" s="169">
        <f>'Monthly Data'!CA65</f>
        <v>0</v>
      </c>
      <c r="I65" s="127">
        <f>'Monthly Data'!CC65</f>
        <v>30</v>
      </c>
      <c r="K65" s="127">
        <f>'Intermediate OLS Model'!$B$5</f>
        <v>-415228.02881662402</v>
      </c>
      <c r="L65" s="186">
        <f>'Intermediate OLS Model'!$B$6*D65</f>
        <v>-368417.17224568577</v>
      </c>
      <c r="M65" s="186">
        <v>0</v>
      </c>
      <c r="N65" s="186">
        <f>'Intermediate OLS Model'!$B$7*F65</f>
        <v>0</v>
      </c>
      <c r="O65" s="186">
        <f>'Intermediate OLS Model'!$B$8*G65</f>
        <v>0</v>
      </c>
      <c r="P65" s="186">
        <f>'Intermediate OLS Model'!$B$9*H65</f>
        <v>0</v>
      </c>
      <c r="Q65" s="186">
        <f>'Intermediate OLS Model'!$B$10*I65</f>
        <v>4448775.6274142396</v>
      </c>
      <c r="R65" s="127">
        <f t="shared" si="5"/>
        <v>3665130.42635193</v>
      </c>
    </row>
    <row r="66" spans="1:18">
      <c r="A66" s="128">
        <f>'Monthly Data'!A66</f>
        <v>41760</v>
      </c>
      <c r="B66" s="127">
        <f t="shared" si="4"/>
        <v>2014</v>
      </c>
      <c r="C66" s="127">
        <f ca="1">'Monthly Data'!Z66</f>
        <v>3824996.2101031081</v>
      </c>
      <c r="D66" s="127">
        <f>'Monthly Data'!BM66</f>
        <v>65</v>
      </c>
      <c r="E66" s="127">
        <f>'Monthly Data'!BJ66</f>
        <v>6870.6</v>
      </c>
      <c r="F66" s="169">
        <f>'Monthly Data'!BS66</f>
        <v>0</v>
      </c>
      <c r="G66" s="169">
        <f>'Monthly Data'!BT66</f>
        <v>0</v>
      </c>
      <c r="H66" s="169">
        <f>'Monthly Data'!CA66</f>
        <v>0</v>
      </c>
      <c r="I66" s="127">
        <f>'Monthly Data'!CC66</f>
        <v>31</v>
      </c>
      <c r="K66" s="127">
        <f>'Intermediate OLS Model'!$B$5</f>
        <v>-415228.02881662402</v>
      </c>
      <c r="L66" s="186">
        <f>'Intermediate OLS Model'!$B$6*D66</f>
        <v>-374173.6905620246</v>
      </c>
      <c r="M66" s="186">
        <v>0</v>
      </c>
      <c r="N66" s="186">
        <f>'Intermediate OLS Model'!$B$7*F66</f>
        <v>0</v>
      </c>
      <c r="O66" s="186">
        <f>'Intermediate OLS Model'!$B$8*G66</f>
        <v>0</v>
      </c>
      <c r="P66" s="186">
        <f>'Intermediate OLS Model'!$B$9*H66</f>
        <v>0</v>
      </c>
      <c r="Q66" s="186">
        <f>'Intermediate OLS Model'!$B$10*I66</f>
        <v>4597068.1483280482</v>
      </c>
      <c r="R66" s="127">
        <f t="shared" si="5"/>
        <v>3807666.4289493999</v>
      </c>
    </row>
    <row r="67" spans="1:18">
      <c r="A67" s="128">
        <f>'Monthly Data'!A67</f>
        <v>41791</v>
      </c>
      <c r="B67" s="127">
        <f t="shared" si="4"/>
        <v>2014</v>
      </c>
      <c r="C67" s="127">
        <f ca="1">'Monthly Data'!Z67</f>
        <v>4134163.2601031079</v>
      </c>
      <c r="D67" s="127">
        <f>'Monthly Data'!BM67</f>
        <v>66</v>
      </c>
      <c r="E67" s="127">
        <f>'Monthly Data'!BJ67</f>
        <v>6865.4</v>
      </c>
      <c r="F67" s="169">
        <f>'Monthly Data'!BS67</f>
        <v>1</v>
      </c>
      <c r="G67" s="169">
        <f>'Monthly Data'!BT67</f>
        <v>0</v>
      </c>
      <c r="H67" s="169">
        <f>'Monthly Data'!CA67</f>
        <v>0</v>
      </c>
      <c r="I67" s="127">
        <f>'Monthly Data'!CC67</f>
        <v>30</v>
      </c>
      <c r="K67" s="127">
        <f>'Intermediate OLS Model'!$B$5</f>
        <v>-415228.02881662402</v>
      </c>
      <c r="L67" s="186">
        <f>'Intermediate OLS Model'!$B$6*D67</f>
        <v>-379930.20887836342</v>
      </c>
      <c r="M67" s="186">
        <v>0</v>
      </c>
      <c r="N67" s="186">
        <f>'Intermediate OLS Model'!$B$7*F67</f>
        <v>346553.62108035001</v>
      </c>
      <c r="O67" s="186">
        <f>'Intermediate OLS Model'!$B$8*G67</f>
        <v>0</v>
      </c>
      <c r="P67" s="186">
        <f>'Intermediate OLS Model'!$B$9*H67</f>
        <v>0</v>
      </c>
      <c r="Q67" s="186">
        <f>'Intermediate OLS Model'!$B$10*I67</f>
        <v>4448775.6274142396</v>
      </c>
      <c r="R67" s="127">
        <f t="shared" si="5"/>
        <v>4000171.0107996021</v>
      </c>
    </row>
    <row r="68" spans="1:18">
      <c r="A68" s="128">
        <f>'Monthly Data'!A68</f>
        <v>41821</v>
      </c>
      <c r="B68" s="127">
        <f t="shared" si="4"/>
        <v>2014</v>
      </c>
      <c r="C68" s="127">
        <f ca="1">'Monthly Data'!Z68</f>
        <v>4416922.860103108</v>
      </c>
      <c r="D68" s="127">
        <f>'Monthly Data'!BM68</f>
        <v>67</v>
      </c>
      <c r="E68" s="127">
        <f>'Monthly Data'!BJ68</f>
        <v>6864.4</v>
      </c>
      <c r="F68" s="169">
        <f>'Monthly Data'!BS68</f>
        <v>0</v>
      </c>
      <c r="G68" s="169">
        <f>'Monthly Data'!BT68</f>
        <v>1</v>
      </c>
      <c r="H68" s="169">
        <f>'Monthly Data'!CA68</f>
        <v>0</v>
      </c>
      <c r="I68" s="127">
        <f>'Monthly Data'!CC68</f>
        <v>31</v>
      </c>
      <c r="K68" s="127">
        <f>'Intermediate OLS Model'!$B$5</f>
        <v>-415228.02881662402</v>
      </c>
      <c r="L68" s="186">
        <f>'Intermediate OLS Model'!$B$6*D68</f>
        <v>-385686.72719470231</v>
      </c>
      <c r="M68" s="186">
        <v>0</v>
      </c>
      <c r="N68" s="186">
        <f>'Intermediate OLS Model'!$B$7*F68</f>
        <v>0</v>
      </c>
      <c r="O68" s="186">
        <f>'Intermediate OLS Model'!$B$8*G68</f>
        <v>428565.96548408002</v>
      </c>
      <c r="P68" s="186">
        <f>'Intermediate OLS Model'!$B$9*H68</f>
        <v>0</v>
      </c>
      <c r="Q68" s="186">
        <f>'Intermediate OLS Model'!$B$10*I68</f>
        <v>4597068.1483280482</v>
      </c>
      <c r="R68" s="127">
        <f t="shared" si="5"/>
        <v>4224719.3578008022</v>
      </c>
    </row>
    <row r="69" spans="1:18">
      <c r="A69" s="128">
        <f>'Monthly Data'!A69</f>
        <v>41852</v>
      </c>
      <c r="B69" s="127">
        <f t="shared" si="4"/>
        <v>2014</v>
      </c>
      <c r="C69" s="127">
        <f ca="1">'Monthly Data'!Z69</f>
        <v>4004879.6001031082</v>
      </c>
      <c r="D69" s="127">
        <f>'Monthly Data'!BM69</f>
        <v>68</v>
      </c>
      <c r="E69" s="127">
        <f>'Monthly Data'!BJ69</f>
        <v>6869.9</v>
      </c>
      <c r="F69" s="169">
        <f>'Monthly Data'!BS69</f>
        <v>0</v>
      </c>
      <c r="G69" s="169">
        <f>'Monthly Data'!BT69</f>
        <v>0</v>
      </c>
      <c r="H69" s="169">
        <f>'Monthly Data'!CA69</f>
        <v>0</v>
      </c>
      <c r="I69" s="127">
        <f>'Monthly Data'!CC69</f>
        <v>31</v>
      </c>
      <c r="K69" s="127">
        <f>'Intermediate OLS Model'!$B$5</f>
        <v>-415228.02881662402</v>
      </c>
      <c r="L69" s="186">
        <f>'Intermediate OLS Model'!$B$6*D69</f>
        <v>-391443.24551104114</v>
      </c>
      <c r="M69" s="186">
        <v>0</v>
      </c>
      <c r="N69" s="186">
        <f>'Intermediate OLS Model'!$B$7*F69</f>
        <v>0</v>
      </c>
      <c r="O69" s="186">
        <f>'Intermediate OLS Model'!$B$8*G69</f>
        <v>0</v>
      </c>
      <c r="P69" s="186">
        <f>'Intermediate OLS Model'!$B$9*H69</f>
        <v>0</v>
      </c>
      <c r="Q69" s="186">
        <f>'Intermediate OLS Model'!$B$10*I69</f>
        <v>4597068.1483280482</v>
      </c>
      <c r="R69" s="127">
        <f t="shared" si="5"/>
        <v>3790396.8740003831</v>
      </c>
    </row>
    <row r="70" spans="1:18">
      <c r="A70" s="128">
        <f>'Monthly Data'!A70</f>
        <v>41883</v>
      </c>
      <c r="B70" s="127">
        <f t="shared" si="4"/>
        <v>2014</v>
      </c>
      <c r="C70" s="127">
        <f ca="1">'Monthly Data'!Z70</f>
        <v>4146273.0001031081</v>
      </c>
      <c r="D70" s="127">
        <f>'Monthly Data'!BM70</f>
        <v>69</v>
      </c>
      <c r="E70" s="127">
        <f>'Monthly Data'!BJ70</f>
        <v>6884.5</v>
      </c>
      <c r="F70" s="169">
        <f>'Monthly Data'!BS70</f>
        <v>0</v>
      </c>
      <c r="G70" s="169">
        <f>'Monthly Data'!BT70</f>
        <v>0</v>
      </c>
      <c r="H70" s="169">
        <f>'Monthly Data'!CA70</f>
        <v>1</v>
      </c>
      <c r="I70" s="127">
        <f>'Monthly Data'!CC70</f>
        <v>30</v>
      </c>
      <c r="K70" s="127">
        <f>'Intermediate OLS Model'!$B$5</f>
        <v>-415228.02881662402</v>
      </c>
      <c r="L70" s="186">
        <f>'Intermediate OLS Model'!$B$6*D70</f>
        <v>-397199.76382737997</v>
      </c>
      <c r="M70" s="186">
        <v>0</v>
      </c>
      <c r="N70" s="186">
        <f>'Intermediate OLS Model'!$B$7*F70</f>
        <v>0</v>
      </c>
      <c r="O70" s="186">
        <f>'Intermediate OLS Model'!$B$8*G70</f>
        <v>0</v>
      </c>
      <c r="P70" s="186">
        <f>'Intermediate OLS Model'!$B$9*H70</f>
        <v>219659.05071226999</v>
      </c>
      <c r="Q70" s="186">
        <f>'Intermediate OLS Model'!$B$10*I70</f>
        <v>4448775.6274142396</v>
      </c>
      <c r="R70" s="127">
        <f t="shared" si="5"/>
        <v>3856006.8854825054</v>
      </c>
    </row>
    <row r="71" spans="1:18">
      <c r="A71" s="128">
        <f>'Monthly Data'!A71</f>
        <v>41913</v>
      </c>
      <c r="B71" s="127">
        <f t="shared" si="4"/>
        <v>2014</v>
      </c>
      <c r="C71" s="127">
        <f ca="1">'Monthly Data'!Z71</f>
        <v>4193404.650103108</v>
      </c>
      <c r="D71" s="127">
        <f>'Monthly Data'!BM71</f>
        <v>70</v>
      </c>
      <c r="E71" s="127">
        <f>'Monthly Data'!BJ71</f>
        <v>6901.5</v>
      </c>
      <c r="F71" s="169">
        <f>'Monthly Data'!BS71</f>
        <v>0</v>
      </c>
      <c r="G71" s="169">
        <f>'Monthly Data'!BT71</f>
        <v>0</v>
      </c>
      <c r="H71" s="169">
        <f>'Monthly Data'!CA71</f>
        <v>1</v>
      </c>
      <c r="I71" s="127">
        <f>'Monthly Data'!CC71</f>
        <v>31</v>
      </c>
      <c r="K71" s="127">
        <f>'Intermediate OLS Model'!$B$5</f>
        <v>-415228.02881662402</v>
      </c>
      <c r="L71" s="186">
        <f>'Intermediate OLS Model'!$B$6*D71</f>
        <v>-402956.2821437188</v>
      </c>
      <c r="M71" s="186">
        <v>0</v>
      </c>
      <c r="N71" s="186">
        <f>'Intermediate OLS Model'!$B$7*F71</f>
        <v>0</v>
      </c>
      <c r="O71" s="186">
        <f>'Intermediate OLS Model'!$B$8*G71</f>
        <v>0</v>
      </c>
      <c r="P71" s="186">
        <f>'Intermediate OLS Model'!$B$9*H71</f>
        <v>219659.05071226999</v>
      </c>
      <c r="Q71" s="186">
        <f>'Intermediate OLS Model'!$B$10*I71</f>
        <v>4597068.1483280482</v>
      </c>
      <c r="R71" s="127">
        <f t="shared" si="5"/>
        <v>3998542.8880799753</v>
      </c>
    </row>
    <row r="72" spans="1:18">
      <c r="A72" s="128">
        <f>'Monthly Data'!A72</f>
        <v>41944</v>
      </c>
      <c r="B72" s="127">
        <f t="shared" si="4"/>
        <v>2014</v>
      </c>
      <c r="C72" s="127">
        <f ca="1">'Monthly Data'!Z72</f>
        <v>3890694.840103108</v>
      </c>
      <c r="D72" s="127">
        <f>'Monthly Data'!BM72</f>
        <v>71</v>
      </c>
      <c r="E72" s="127">
        <f>'Monthly Data'!BJ72</f>
        <v>6907.5</v>
      </c>
      <c r="F72" s="169">
        <f>'Monthly Data'!BS72</f>
        <v>0</v>
      </c>
      <c r="G72" s="169">
        <f>'Monthly Data'!BT72</f>
        <v>0</v>
      </c>
      <c r="H72" s="169">
        <f>'Monthly Data'!CA72</f>
        <v>1</v>
      </c>
      <c r="I72" s="127">
        <f>'Monthly Data'!CC72</f>
        <v>30</v>
      </c>
      <c r="K72" s="127">
        <f>'Intermediate OLS Model'!$B$5</f>
        <v>-415228.02881662402</v>
      </c>
      <c r="L72" s="186">
        <f>'Intermediate OLS Model'!$B$6*D72</f>
        <v>-408712.80046005762</v>
      </c>
      <c r="M72" s="186">
        <v>0</v>
      </c>
      <c r="N72" s="186">
        <f>'Intermediate OLS Model'!$B$7*F72</f>
        <v>0</v>
      </c>
      <c r="O72" s="186">
        <f>'Intermediate OLS Model'!$B$8*G72</f>
        <v>0</v>
      </c>
      <c r="P72" s="186">
        <f>'Intermediate OLS Model'!$B$9*H72</f>
        <v>219659.05071226999</v>
      </c>
      <c r="Q72" s="186">
        <f>'Intermediate OLS Model'!$B$10*I72</f>
        <v>4448775.6274142396</v>
      </c>
      <c r="R72" s="127">
        <f t="shared" si="5"/>
        <v>3844493.8488498279</v>
      </c>
    </row>
    <row r="73" spans="1:18">
      <c r="A73" s="128">
        <f>'Monthly Data'!A73</f>
        <v>41974</v>
      </c>
      <c r="B73" s="127">
        <f t="shared" si="4"/>
        <v>2014</v>
      </c>
      <c r="C73" s="127">
        <f ca="1">'Monthly Data'!Z73</f>
        <v>3891709.5801031082</v>
      </c>
      <c r="D73" s="127">
        <f>'Monthly Data'!BM73</f>
        <v>72</v>
      </c>
      <c r="E73" s="127">
        <f>'Monthly Data'!BJ73</f>
        <v>6903.1</v>
      </c>
      <c r="F73" s="169">
        <f>'Monthly Data'!BS73</f>
        <v>0</v>
      </c>
      <c r="G73" s="169">
        <f>'Monthly Data'!BT73</f>
        <v>0</v>
      </c>
      <c r="H73" s="169">
        <f>'Monthly Data'!CA73</f>
        <v>0</v>
      </c>
      <c r="I73" s="127">
        <f>'Monthly Data'!CC73</f>
        <v>31</v>
      </c>
      <c r="K73" s="127">
        <f>'Intermediate OLS Model'!$B$5</f>
        <v>-415228.02881662402</v>
      </c>
      <c r="L73" s="186">
        <f>'Intermediate OLS Model'!$B$6*D73</f>
        <v>-414469.31877639651</v>
      </c>
      <c r="M73" s="186">
        <v>0</v>
      </c>
      <c r="N73" s="186">
        <f>'Intermediate OLS Model'!$B$7*F73</f>
        <v>0</v>
      </c>
      <c r="O73" s="186">
        <f>'Intermediate OLS Model'!$B$8*G73</f>
        <v>0</v>
      </c>
      <c r="P73" s="186">
        <f>'Intermediate OLS Model'!$B$9*H73</f>
        <v>0</v>
      </c>
      <c r="Q73" s="186">
        <f>'Intermediate OLS Model'!$B$10*I73</f>
        <v>4597068.1483280482</v>
      </c>
      <c r="R73" s="127">
        <f t="shared" si="5"/>
        <v>3767370.8007350275</v>
      </c>
    </row>
    <row r="74" spans="1:18">
      <c r="A74" s="128">
        <f>'Monthly Data'!A74</f>
        <v>42005</v>
      </c>
      <c r="B74" s="127">
        <f t="shared" si="4"/>
        <v>2015</v>
      </c>
      <c r="C74" s="127">
        <f ca="1">'Monthly Data'!Z74</f>
        <v>4093961.0032661795</v>
      </c>
      <c r="D74" s="127">
        <f>'Monthly Data'!BM74</f>
        <v>73</v>
      </c>
      <c r="E74" s="127">
        <f>'Monthly Data'!BJ74</f>
        <v>6885.7</v>
      </c>
      <c r="F74" s="169">
        <f>'Monthly Data'!BS74</f>
        <v>0</v>
      </c>
      <c r="G74" s="169">
        <f>'Monthly Data'!BT74</f>
        <v>0</v>
      </c>
      <c r="H74" s="169">
        <f>'Monthly Data'!CA74</f>
        <v>0</v>
      </c>
      <c r="I74" s="127">
        <f>'Monthly Data'!CC74</f>
        <v>31</v>
      </c>
      <c r="K74" s="127">
        <f>'Intermediate OLS Model'!$B$5</f>
        <v>-415228.02881662402</v>
      </c>
      <c r="L74" s="186">
        <f>'Intermediate OLS Model'!$B$6*D74</f>
        <v>-420225.83709273534</v>
      </c>
      <c r="M74" s="186">
        <v>0</v>
      </c>
      <c r="N74" s="186">
        <f>'Intermediate OLS Model'!$B$7*F74</f>
        <v>0</v>
      </c>
      <c r="O74" s="186">
        <f>'Intermediate OLS Model'!$B$8*G74</f>
        <v>0</v>
      </c>
      <c r="P74" s="186">
        <f>'Intermediate OLS Model'!$B$9*H74</f>
        <v>0</v>
      </c>
      <c r="Q74" s="186">
        <f>'Intermediate OLS Model'!$B$10*I74</f>
        <v>4597068.1483280482</v>
      </c>
      <c r="R74" s="127">
        <f t="shared" si="5"/>
        <v>3761614.2824186888</v>
      </c>
    </row>
    <row r="75" spans="1:18">
      <c r="A75" s="128">
        <f>'Monthly Data'!A75</f>
        <v>42036</v>
      </c>
      <c r="B75" s="127">
        <f t="shared" si="4"/>
        <v>2015</v>
      </c>
      <c r="C75" s="127">
        <f ca="1">'Monthly Data'!Z75</f>
        <v>3523842.6232661791</v>
      </c>
      <c r="D75" s="127">
        <f>'Monthly Data'!BM75</f>
        <v>74</v>
      </c>
      <c r="E75" s="127">
        <f>'Monthly Data'!BJ75</f>
        <v>6885.3</v>
      </c>
      <c r="F75" s="169">
        <f>'Monthly Data'!BS75</f>
        <v>0</v>
      </c>
      <c r="G75" s="169">
        <f>'Monthly Data'!BT75</f>
        <v>0</v>
      </c>
      <c r="H75" s="169">
        <f>'Monthly Data'!CA75</f>
        <v>0</v>
      </c>
      <c r="I75" s="127">
        <f>'Monthly Data'!CC75</f>
        <v>28</v>
      </c>
      <c r="K75" s="127">
        <f>'Intermediate OLS Model'!$B$5</f>
        <v>-415228.02881662402</v>
      </c>
      <c r="L75" s="186">
        <f>'Intermediate OLS Model'!$B$6*D75</f>
        <v>-425982.35540907417</v>
      </c>
      <c r="M75" s="186">
        <v>0</v>
      </c>
      <c r="N75" s="186">
        <f>'Intermediate OLS Model'!$B$7*F75</f>
        <v>0</v>
      </c>
      <c r="O75" s="186">
        <f>'Intermediate OLS Model'!$B$8*G75</f>
        <v>0</v>
      </c>
      <c r="P75" s="186">
        <f>'Intermediate OLS Model'!$B$9*H75</f>
        <v>0</v>
      </c>
      <c r="Q75" s="186">
        <f>'Intermediate OLS Model'!$B$10*I75</f>
        <v>4152190.5855866238</v>
      </c>
      <c r="R75" s="127">
        <f t="shared" si="5"/>
        <v>3310980.2013609256</v>
      </c>
    </row>
    <row r="76" spans="1:18">
      <c r="A76" s="128">
        <f>'Monthly Data'!A76</f>
        <v>42064</v>
      </c>
      <c r="B76" s="127">
        <f t="shared" si="4"/>
        <v>2015</v>
      </c>
      <c r="C76" s="127">
        <f ca="1">'Monthly Data'!Z76</f>
        <v>3811662.5532661793</v>
      </c>
      <c r="D76" s="127">
        <f>'Monthly Data'!BM76</f>
        <v>75</v>
      </c>
      <c r="E76" s="127">
        <f>'Monthly Data'!BJ76</f>
        <v>6892.1</v>
      </c>
      <c r="F76" s="169">
        <f>'Monthly Data'!BS76</f>
        <v>0</v>
      </c>
      <c r="G76" s="169">
        <f>'Monthly Data'!BT76</f>
        <v>0</v>
      </c>
      <c r="H76" s="169">
        <f>'Monthly Data'!CA76</f>
        <v>0</v>
      </c>
      <c r="I76" s="127">
        <f>'Monthly Data'!CC76</f>
        <v>31</v>
      </c>
      <c r="K76" s="127">
        <f>'Intermediate OLS Model'!$B$5</f>
        <v>-415228.02881662402</v>
      </c>
      <c r="L76" s="186">
        <f>'Intermediate OLS Model'!$B$6*D76</f>
        <v>-431738.873725413</v>
      </c>
      <c r="M76" s="186">
        <v>0</v>
      </c>
      <c r="N76" s="186">
        <f>'Intermediate OLS Model'!$B$7*F76</f>
        <v>0</v>
      </c>
      <c r="O76" s="186">
        <f>'Intermediate OLS Model'!$B$8*G76</f>
        <v>0</v>
      </c>
      <c r="P76" s="186">
        <f>'Intermediate OLS Model'!$B$9*H76</f>
        <v>0</v>
      </c>
      <c r="Q76" s="186">
        <f>'Intermediate OLS Model'!$B$10*I76</f>
        <v>4597068.1483280482</v>
      </c>
      <c r="R76" s="127">
        <f t="shared" si="5"/>
        <v>3750101.2457860112</v>
      </c>
    </row>
    <row r="77" spans="1:18">
      <c r="A77" s="128">
        <f>'Monthly Data'!A77</f>
        <v>42095</v>
      </c>
      <c r="B77" s="127">
        <f t="shared" si="4"/>
        <v>2015</v>
      </c>
      <c r="C77" s="127">
        <f ca="1">'Monthly Data'!Z77</f>
        <v>3577372.4732661792</v>
      </c>
      <c r="D77" s="127">
        <f>'Monthly Data'!BM77</f>
        <v>76</v>
      </c>
      <c r="E77" s="127">
        <f>'Monthly Data'!BJ77</f>
        <v>6897.3</v>
      </c>
      <c r="F77" s="169">
        <f>'Monthly Data'!BS77</f>
        <v>0</v>
      </c>
      <c r="G77" s="169">
        <f>'Monthly Data'!BT77</f>
        <v>0</v>
      </c>
      <c r="H77" s="169">
        <f>'Monthly Data'!CA77</f>
        <v>0</v>
      </c>
      <c r="I77" s="127">
        <f>'Monthly Data'!CC77</f>
        <v>30</v>
      </c>
      <c r="K77" s="127">
        <f>'Intermediate OLS Model'!$B$5</f>
        <v>-415228.02881662402</v>
      </c>
      <c r="L77" s="186">
        <f>'Intermediate OLS Model'!$B$6*D77</f>
        <v>-437495.39204175182</v>
      </c>
      <c r="M77" s="186">
        <v>0</v>
      </c>
      <c r="N77" s="186">
        <f>'Intermediate OLS Model'!$B$7*F77</f>
        <v>0</v>
      </c>
      <c r="O77" s="186">
        <f>'Intermediate OLS Model'!$B$8*G77</f>
        <v>0</v>
      </c>
      <c r="P77" s="186">
        <f>'Intermediate OLS Model'!$B$9*H77</f>
        <v>0</v>
      </c>
      <c r="Q77" s="186">
        <f>'Intermediate OLS Model'!$B$10*I77</f>
        <v>4448775.6274142396</v>
      </c>
      <c r="R77" s="127">
        <f t="shared" si="5"/>
        <v>3596052.2065558638</v>
      </c>
    </row>
    <row r="78" spans="1:18">
      <c r="A78" s="128">
        <f>'Monthly Data'!A78</f>
        <v>42125</v>
      </c>
      <c r="B78" s="127">
        <f t="shared" si="4"/>
        <v>2015</v>
      </c>
      <c r="C78" s="127">
        <f ca="1">'Monthly Data'!Z78</f>
        <v>3991285.1132661793</v>
      </c>
      <c r="D78" s="127">
        <f>'Monthly Data'!BM78</f>
        <v>77</v>
      </c>
      <c r="E78" s="127">
        <f>'Monthly Data'!BJ78</f>
        <v>6906.5</v>
      </c>
      <c r="F78" s="169">
        <f>'Monthly Data'!BS78</f>
        <v>0</v>
      </c>
      <c r="G78" s="169">
        <f>'Monthly Data'!BT78</f>
        <v>0</v>
      </c>
      <c r="H78" s="169">
        <f>'Monthly Data'!CA78</f>
        <v>0</v>
      </c>
      <c r="I78" s="127">
        <f>'Monthly Data'!CC78</f>
        <v>31</v>
      </c>
      <c r="K78" s="127">
        <f>'Intermediate OLS Model'!$B$5</f>
        <v>-415228.02881662402</v>
      </c>
      <c r="L78" s="186">
        <f>'Intermediate OLS Model'!$B$6*D78</f>
        <v>-443251.91035809071</v>
      </c>
      <c r="M78" s="186">
        <v>0</v>
      </c>
      <c r="N78" s="186">
        <f>'Intermediate OLS Model'!$B$7*F78</f>
        <v>0</v>
      </c>
      <c r="O78" s="186">
        <f>'Intermediate OLS Model'!$B$8*G78</f>
        <v>0</v>
      </c>
      <c r="P78" s="186">
        <f>'Intermediate OLS Model'!$B$9*H78</f>
        <v>0</v>
      </c>
      <c r="Q78" s="186">
        <f>'Intermediate OLS Model'!$B$10*I78</f>
        <v>4597068.1483280482</v>
      </c>
      <c r="R78" s="127">
        <f t="shared" si="5"/>
        <v>3738588.2091533337</v>
      </c>
    </row>
    <row r="79" spans="1:18">
      <c r="A79" s="128">
        <f>'Monthly Data'!A79</f>
        <v>42156</v>
      </c>
      <c r="B79" s="127">
        <f t="shared" si="4"/>
        <v>2015</v>
      </c>
      <c r="C79" s="127">
        <f ca="1">'Monthly Data'!Z79</f>
        <v>3758112.9032661794</v>
      </c>
      <c r="D79" s="127">
        <f>'Monthly Data'!BM79</f>
        <v>78</v>
      </c>
      <c r="E79" s="127">
        <f>'Monthly Data'!BJ79</f>
        <v>6921.3</v>
      </c>
      <c r="F79" s="169">
        <f>'Monthly Data'!BS79</f>
        <v>1</v>
      </c>
      <c r="G79" s="169">
        <f>'Monthly Data'!BT79</f>
        <v>0</v>
      </c>
      <c r="H79" s="169">
        <f>'Monthly Data'!CA79</f>
        <v>0</v>
      </c>
      <c r="I79" s="127">
        <f>'Monthly Data'!CC79</f>
        <v>30</v>
      </c>
      <c r="K79" s="127">
        <f>'Intermediate OLS Model'!$B$5</f>
        <v>-415228.02881662402</v>
      </c>
      <c r="L79" s="186">
        <f>'Intermediate OLS Model'!$B$6*D79</f>
        <v>-449008.42867442954</v>
      </c>
      <c r="M79" s="186">
        <v>0</v>
      </c>
      <c r="N79" s="186">
        <f>'Intermediate OLS Model'!$B$7*F79</f>
        <v>346553.62108035001</v>
      </c>
      <c r="O79" s="186">
        <f>'Intermediate OLS Model'!$B$8*G79</f>
        <v>0</v>
      </c>
      <c r="P79" s="186">
        <f>'Intermediate OLS Model'!$B$9*H79</f>
        <v>0</v>
      </c>
      <c r="Q79" s="186">
        <f>'Intermediate OLS Model'!$B$10*I79</f>
        <v>4448775.6274142396</v>
      </c>
      <c r="R79" s="127">
        <f t="shared" si="5"/>
        <v>3931092.791003536</v>
      </c>
    </row>
    <row r="80" spans="1:18">
      <c r="A80" s="128">
        <f>'Monthly Data'!A80</f>
        <v>42186</v>
      </c>
      <c r="B80" s="127">
        <f t="shared" si="4"/>
        <v>2015</v>
      </c>
      <c r="C80" s="127">
        <f ca="1">'Monthly Data'!Z80</f>
        <v>4199678.1332661798</v>
      </c>
      <c r="D80" s="127">
        <f>'Monthly Data'!BM80</f>
        <v>79</v>
      </c>
      <c r="E80" s="127">
        <f>'Monthly Data'!BJ80</f>
        <v>6941.2</v>
      </c>
      <c r="F80" s="169">
        <f>'Monthly Data'!BS80</f>
        <v>0</v>
      </c>
      <c r="G80" s="169">
        <f>'Monthly Data'!BT80</f>
        <v>1</v>
      </c>
      <c r="H80" s="169">
        <f>'Monthly Data'!CA80</f>
        <v>0</v>
      </c>
      <c r="I80" s="127">
        <f>'Monthly Data'!CC80</f>
        <v>31</v>
      </c>
      <c r="K80" s="127">
        <f>'Intermediate OLS Model'!$B$5</f>
        <v>-415228.02881662402</v>
      </c>
      <c r="L80" s="186">
        <f>'Intermediate OLS Model'!$B$6*D80</f>
        <v>-454764.94699076837</v>
      </c>
      <c r="M80" s="186">
        <v>0</v>
      </c>
      <c r="N80" s="186">
        <f>'Intermediate OLS Model'!$B$7*F80</f>
        <v>0</v>
      </c>
      <c r="O80" s="186">
        <f>'Intermediate OLS Model'!$B$8*G80</f>
        <v>428565.96548408002</v>
      </c>
      <c r="P80" s="186">
        <f>'Intermediate OLS Model'!$B$9*H80</f>
        <v>0</v>
      </c>
      <c r="Q80" s="186">
        <f>'Intermediate OLS Model'!$B$10*I80</f>
        <v>4597068.1483280482</v>
      </c>
      <c r="R80" s="127">
        <f t="shared" si="5"/>
        <v>4155641.138004736</v>
      </c>
    </row>
    <row r="81" spans="1:18">
      <c r="A81" s="128">
        <f>'Monthly Data'!A81</f>
        <v>42217</v>
      </c>
      <c r="B81" s="127">
        <f t="shared" si="4"/>
        <v>2015</v>
      </c>
      <c r="C81" s="127">
        <f ca="1">'Monthly Data'!Z81</f>
        <v>3385911.6132661789</v>
      </c>
      <c r="D81" s="127">
        <f>'Monthly Data'!BM81</f>
        <v>80</v>
      </c>
      <c r="E81" s="127">
        <f>'Monthly Data'!BJ81</f>
        <v>6949.2</v>
      </c>
      <c r="F81" s="169">
        <f>'Monthly Data'!BS81</f>
        <v>0</v>
      </c>
      <c r="G81" s="169">
        <f>'Monthly Data'!BT81</f>
        <v>0</v>
      </c>
      <c r="H81" s="169">
        <f>'Monthly Data'!CA81</f>
        <v>0</v>
      </c>
      <c r="I81" s="127">
        <f>'Monthly Data'!CC81</f>
        <v>31</v>
      </c>
      <c r="K81" s="127">
        <f>'Intermediate OLS Model'!$B$5</f>
        <v>-415228.02881662402</v>
      </c>
      <c r="L81" s="186">
        <f>'Intermediate OLS Model'!$B$6*D81</f>
        <v>-460521.4653071072</v>
      </c>
      <c r="M81" s="186">
        <v>0</v>
      </c>
      <c r="N81" s="186">
        <f>'Intermediate OLS Model'!$B$7*F81</f>
        <v>0</v>
      </c>
      <c r="O81" s="186">
        <f>'Intermediate OLS Model'!$B$8*G81</f>
        <v>0</v>
      </c>
      <c r="P81" s="186">
        <f>'Intermediate OLS Model'!$B$9*H81</f>
        <v>0</v>
      </c>
      <c r="Q81" s="186">
        <f>'Intermediate OLS Model'!$B$10*I81</f>
        <v>4597068.1483280482</v>
      </c>
      <c r="R81" s="127">
        <f t="shared" si="5"/>
        <v>3721318.6542043169</v>
      </c>
    </row>
    <row r="82" spans="1:18">
      <c r="A82" s="128">
        <f>'Monthly Data'!A82</f>
        <v>42248</v>
      </c>
      <c r="B82" s="127">
        <f t="shared" si="4"/>
        <v>2015</v>
      </c>
      <c r="C82" s="127">
        <f ca="1">'Monthly Data'!Z82</f>
        <v>3774070.6732661794</v>
      </c>
      <c r="D82" s="127">
        <f>'Monthly Data'!BM82</f>
        <v>81</v>
      </c>
      <c r="E82" s="127">
        <f>'Monthly Data'!BJ82</f>
        <v>6941.1</v>
      </c>
      <c r="F82" s="169">
        <f>'Monthly Data'!BS82</f>
        <v>0</v>
      </c>
      <c r="G82" s="169">
        <f>'Monthly Data'!BT82</f>
        <v>0</v>
      </c>
      <c r="H82" s="169">
        <f>'Monthly Data'!CA82</f>
        <v>1</v>
      </c>
      <c r="I82" s="127">
        <f>'Monthly Data'!CC82</f>
        <v>30</v>
      </c>
      <c r="K82" s="127">
        <f>'Intermediate OLS Model'!$B$5</f>
        <v>-415228.02881662402</v>
      </c>
      <c r="L82" s="186">
        <f>'Intermediate OLS Model'!$B$6*D82</f>
        <v>-466277.98362344602</v>
      </c>
      <c r="M82" s="186">
        <v>0</v>
      </c>
      <c r="N82" s="186">
        <f>'Intermediate OLS Model'!$B$7*F82</f>
        <v>0</v>
      </c>
      <c r="O82" s="186">
        <f>'Intermediate OLS Model'!$B$8*G82</f>
        <v>0</v>
      </c>
      <c r="P82" s="186">
        <f>'Intermediate OLS Model'!$B$9*H82</f>
        <v>219659.05071226999</v>
      </c>
      <c r="Q82" s="186">
        <f>'Intermediate OLS Model'!$B$10*I82</f>
        <v>4448775.6274142396</v>
      </c>
      <c r="R82" s="127">
        <f t="shared" si="5"/>
        <v>3786928.6656864397</v>
      </c>
    </row>
    <row r="83" spans="1:18">
      <c r="A83" s="128">
        <f>'Monthly Data'!A83</f>
        <v>42278</v>
      </c>
      <c r="B83" s="127">
        <f t="shared" si="4"/>
        <v>2015</v>
      </c>
      <c r="C83" s="127">
        <f ca="1">'Monthly Data'!Z83</f>
        <v>3704194.3132661795</v>
      </c>
      <c r="D83" s="127">
        <f>'Monthly Data'!BM83</f>
        <v>82</v>
      </c>
      <c r="E83" s="127">
        <f>'Monthly Data'!BJ83</f>
        <v>6934.8</v>
      </c>
      <c r="F83" s="169">
        <f>'Monthly Data'!BS83</f>
        <v>0</v>
      </c>
      <c r="G83" s="169">
        <f>'Monthly Data'!BT83</f>
        <v>0</v>
      </c>
      <c r="H83" s="169">
        <f>'Monthly Data'!CA83</f>
        <v>1</v>
      </c>
      <c r="I83" s="127">
        <f>'Monthly Data'!CC83</f>
        <v>31</v>
      </c>
      <c r="K83" s="127">
        <f>'Intermediate OLS Model'!$B$5</f>
        <v>-415228.02881662402</v>
      </c>
      <c r="L83" s="186">
        <f>'Intermediate OLS Model'!$B$6*D83</f>
        <v>-472034.50193978491</v>
      </c>
      <c r="M83" s="186">
        <v>0</v>
      </c>
      <c r="N83" s="186">
        <f>'Intermediate OLS Model'!$B$7*F83</f>
        <v>0</v>
      </c>
      <c r="O83" s="186">
        <f>'Intermediate OLS Model'!$B$8*G83</f>
        <v>0</v>
      </c>
      <c r="P83" s="186">
        <f>'Intermediate OLS Model'!$B$9*H83</f>
        <v>219659.05071226999</v>
      </c>
      <c r="Q83" s="186">
        <f>'Intermediate OLS Model'!$B$10*I83</f>
        <v>4597068.1483280482</v>
      </c>
      <c r="R83" s="127">
        <f t="shared" si="5"/>
        <v>3929464.6682839091</v>
      </c>
    </row>
    <row r="84" spans="1:18">
      <c r="A84" s="128">
        <f>'Monthly Data'!A84</f>
        <v>42309</v>
      </c>
      <c r="B84" s="127">
        <f t="shared" si="4"/>
        <v>2015</v>
      </c>
      <c r="C84" s="127">
        <f ca="1">'Monthly Data'!Z84</f>
        <v>3527052.9232661789</v>
      </c>
      <c r="D84" s="127">
        <f>'Monthly Data'!BM84</f>
        <v>83</v>
      </c>
      <c r="E84" s="127">
        <f>'Monthly Data'!BJ84</f>
        <v>6928.3</v>
      </c>
      <c r="F84" s="169">
        <f>'Monthly Data'!BS84</f>
        <v>0</v>
      </c>
      <c r="G84" s="169">
        <f>'Monthly Data'!BT84</f>
        <v>0</v>
      </c>
      <c r="H84" s="169">
        <f>'Monthly Data'!CA84</f>
        <v>1</v>
      </c>
      <c r="I84" s="127">
        <f>'Monthly Data'!CC84</f>
        <v>30</v>
      </c>
      <c r="K84" s="127">
        <f>'Intermediate OLS Model'!$B$5</f>
        <v>-415228.02881662402</v>
      </c>
      <c r="L84" s="186">
        <f>'Intermediate OLS Model'!$B$6*D84</f>
        <v>-477791.02025612374</v>
      </c>
      <c r="M84" s="186">
        <v>0</v>
      </c>
      <c r="N84" s="186">
        <f>'Intermediate OLS Model'!$B$7*F84</f>
        <v>0</v>
      </c>
      <c r="O84" s="186">
        <f>'Intermediate OLS Model'!$B$8*G84</f>
        <v>0</v>
      </c>
      <c r="P84" s="186">
        <f>'Intermediate OLS Model'!$B$9*H84</f>
        <v>219659.05071226999</v>
      </c>
      <c r="Q84" s="186">
        <f>'Intermediate OLS Model'!$B$10*I84</f>
        <v>4448775.6274142396</v>
      </c>
      <c r="R84" s="127">
        <f t="shared" si="5"/>
        <v>3775415.6290537617</v>
      </c>
    </row>
    <row r="85" spans="1:18">
      <c r="A85" s="128">
        <f>'Monthly Data'!A85</f>
        <v>42339</v>
      </c>
      <c r="B85" s="127">
        <f t="shared" si="4"/>
        <v>2015</v>
      </c>
      <c r="C85" s="127">
        <f ca="1">'Monthly Data'!Z85</f>
        <v>3267111.6732661794</v>
      </c>
      <c r="D85" s="127">
        <f>'Monthly Data'!BM85</f>
        <v>84</v>
      </c>
      <c r="E85" s="127">
        <f>'Monthly Data'!BJ85</f>
        <v>6942.8</v>
      </c>
      <c r="F85" s="169">
        <f>'Monthly Data'!BS85</f>
        <v>0</v>
      </c>
      <c r="G85" s="169">
        <f>'Monthly Data'!BT85</f>
        <v>0</v>
      </c>
      <c r="H85" s="169">
        <f>'Monthly Data'!CA85</f>
        <v>0</v>
      </c>
      <c r="I85" s="127">
        <f>'Monthly Data'!CC85</f>
        <v>31</v>
      </c>
      <c r="K85" s="127">
        <f>'Intermediate OLS Model'!$B$5</f>
        <v>-415228.02881662402</v>
      </c>
      <c r="L85" s="186">
        <f>'Intermediate OLS Model'!$B$6*D85</f>
        <v>-483547.53857246257</v>
      </c>
      <c r="M85" s="186">
        <v>0</v>
      </c>
      <c r="N85" s="186">
        <f>'Intermediate OLS Model'!$B$7*F85</f>
        <v>0</v>
      </c>
      <c r="O85" s="186">
        <f>'Intermediate OLS Model'!$B$8*G85</f>
        <v>0</v>
      </c>
      <c r="P85" s="186">
        <f>'Intermediate OLS Model'!$B$9*H85</f>
        <v>0</v>
      </c>
      <c r="Q85" s="186">
        <f>'Intermediate OLS Model'!$B$10*I85</f>
        <v>4597068.1483280482</v>
      </c>
      <c r="R85" s="127">
        <f t="shared" si="5"/>
        <v>3698292.5809389614</v>
      </c>
    </row>
    <row r="86" spans="1:18">
      <c r="A86" s="128">
        <f>'Monthly Data'!A86</f>
        <v>42370</v>
      </c>
      <c r="B86" s="127">
        <f t="shared" si="4"/>
        <v>2016</v>
      </c>
      <c r="C86" s="127">
        <f ca="1">'Monthly Data'!Z86</f>
        <v>3533933.7732470939</v>
      </c>
      <c r="D86" s="127">
        <f>'Monthly Data'!BM86</f>
        <v>85</v>
      </c>
      <c r="E86" s="127">
        <f>'Monthly Data'!BJ86</f>
        <v>6956.6</v>
      </c>
      <c r="F86" s="169">
        <f>'Monthly Data'!BS86</f>
        <v>0</v>
      </c>
      <c r="G86" s="169">
        <f>'Monthly Data'!BT86</f>
        <v>0</v>
      </c>
      <c r="H86" s="169">
        <f>'Monthly Data'!CA86</f>
        <v>0</v>
      </c>
      <c r="I86" s="127">
        <f>'Monthly Data'!CC86</f>
        <v>31</v>
      </c>
      <c r="K86" s="127">
        <f>'Intermediate OLS Model'!$B$5</f>
        <v>-415228.02881662402</v>
      </c>
      <c r="L86" s="186">
        <f>'Intermediate OLS Model'!$B$6*D86</f>
        <v>-489304.05688880139</v>
      </c>
      <c r="M86" s="186">
        <v>0</v>
      </c>
      <c r="N86" s="186">
        <f>'Intermediate OLS Model'!$B$7*F86</f>
        <v>0</v>
      </c>
      <c r="O86" s="186">
        <f>'Intermediate OLS Model'!$B$8*G86</f>
        <v>0</v>
      </c>
      <c r="P86" s="186">
        <f>'Intermediate OLS Model'!$B$9*H86</f>
        <v>0</v>
      </c>
      <c r="Q86" s="186">
        <f>'Intermediate OLS Model'!$B$10*I86</f>
        <v>4597068.1483280482</v>
      </c>
      <c r="R86" s="127">
        <f t="shared" ref="R86:R117" si="6">SUM(K86:Q86)</f>
        <v>3692536.0626226226</v>
      </c>
    </row>
    <row r="87" spans="1:18">
      <c r="A87" s="128">
        <f>'Monthly Data'!A87</f>
        <v>42401</v>
      </c>
      <c r="B87" s="127">
        <f t="shared" si="4"/>
        <v>2016</v>
      </c>
      <c r="C87" s="127">
        <f ca="1">'Monthly Data'!Z87</f>
        <v>3495480.8832470938</v>
      </c>
      <c r="D87" s="127">
        <f>'Monthly Data'!BM87</f>
        <v>86</v>
      </c>
      <c r="E87" s="127">
        <f>'Monthly Data'!BJ87</f>
        <v>6968.5</v>
      </c>
      <c r="F87" s="169">
        <f>'Monthly Data'!BS87</f>
        <v>0</v>
      </c>
      <c r="G87" s="169">
        <f>'Monthly Data'!BT87</f>
        <v>0</v>
      </c>
      <c r="H87" s="169">
        <f>'Monthly Data'!CA87</f>
        <v>0</v>
      </c>
      <c r="I87" s="127">
        <f>'Monthly Data'!CC87</f>
        <v>29</v>
      </c>
      <c r="K87" s="127">
        <f>'Intermediate OLS Model'!$B$5</f>
        <v>-415228.02881662402</v>
      </c>
      <c r="L87" s="186">
        <f>'Intermediate OLS Model'!$B$6*D87</f>
        <v>-495060.57520514022</v>
      </c>
      <c r="M87" s="186">
        <v>0</v>
      </c>
      <c r="N87" s="186">
        <f>'Intermediate OLS Model'!$B$7*F87</f>
        <v>0</v>
      </c>
      <c r="O87" s="186">
        <f>'Intermediate OLS Model'!$B$8*G87</f>
        <v>0</v>
      </c>
      <c r="P87" s="186">
        <f>'Intermediate OLS Model'!$B$9*H87</f>
        <v>0</v>
      </c>
      <c r="Q87" s="186">
        <f>'Intermediate OLS Model'!$B$10*I87</f>
        <v>4300483.1065004319</v>
      </c>
      <c r="R87" s="127">
        <f t="shared" si="6"/>
        <v>3390194.5024786675</v>
      </c>
    </row>
    <row r="88" spans="1:18">
      <c r="A88" s="128">
        <f>'Monthly Data'!A88</f>
        <v>42430</v>
      </c>
      <c r="B88" s="127">
        <f t="shared" si="4"/>
        <v>2016</v>
      </c>
      <c r="C88" s="127">
        <f ca="1">'Monthly Data'!Z88</f>
        <v>3636082.5632470935</v>
      </c>
      <c r="D88" s="127">
        <f>'Monthly Data'!BM88</f>
        <v>87</v>
      </c>
      <c r="E88" s="127">
        <f>'Monthly Data'!BJ88</f>
        <v>6975.7</v>
      </c>
      <c r="F88" s="169">
        <f>'Monthly Data'!BS88</f>
        <v>0</v>
      </c>
      <c r="G88" s="169">
        <f>'Monthly Data'!BT88</f>
        <v>0</v>
      </c>
      <c r="H88" s="169">
        <f>'Monthly Data'!CA88</f>
        <v>0</v>
      </c>
      <c r="I88" s="127">
        <f>'Monthly Data'!CC88</f>
        <v>31</v>
      </c>
      <c r="K88" s="127">
        <f>'Intermediate OLS Model'!$B$5</f>
        <v>-415228.02881662402</v>
      </c>
      <c r="L88" s="186">
        <f>'Intermediate OLS Model'!$B$6*D88</f>
        <v>-500817.09352147911</v>
      </c>
      <c r="M88" s="186">
        <v>0</v>
      </c>
      <c r="N88" s="186">
        <f>'Intermediate OLS Model'!$B$7*F88</f>
        <v>0</v>
      </c>
      <c r="O88" s="186">
        <f>'Intermediate OLS Model'!$B$8*G88</f>
        <v>0</v>
      </c>
      <c r="P88" s="186">
        <f>'Intermediate OLS Model'!$B$9*H88</f>
        <v>0</v>
      </c>
      <c r="Q88" s="186">
        <f>'Intermediate OLS Model'!$B$10*I88</f>
        <v>4597068.1483280482</v>
      </c>
      <c r="R88" s="127">
        <f t="shared" si="6"/>
        <v>3681023.025989945</v>
      </c>
    </row>
    <row r="89" spans="1:18">
      <c r="A89" s="128">
        <f>'Monthly Data'!A89</f>
        <v>42461</v>
      </c>
      <c r="B89" s="127">
        <f t="shared" si="4"/>
        <v>2016</v>
      </c>
      <c r="C89" s="127">
        <f ca="1">'Monthly Data'!Z89</f>
        <v>3430288.7432470941</v>
      </c>
      <c r="D89" s="127">
        <f>'Monthly Data'!BM89</f>
        <v>88</v>
      </c>
      <c r="E89" s="127">
        <f>'Monthly Data'!BJ89</f>
        <v>6979.7</v>
      </c>
      <c r="F89" s="169">
        <f>'Monthly Data'!BS89</f>
        <v>0</v>
      </c>
      <c r="G89" s="169">
        <f>'Monthly Data'!BT89</f>
        <v>0</v>
      </c>
      <c r="H89" s="169">
        <f>'Monthly Data'!CA89</f>
        <v>0</v>
      </c>
      <c r="I89" s="127">
        <f>'Monthly Data'!CC89</f>
        <v>30</v>
      </c>
      <c r="K89" s="127">
        <f>'Intermediate OLS Model'!$B$5</f>
        <v>-415228.02881662402</v>
      </c>
      <c r="L89" s="186">
        <f>'Intermediate OLS Model'!$B$6*D89</f>
        <v>-506573.61183781794</v>
      </c>
      <c r="M89" s="186">
        <v>0</v>
      </c>
      <c r="N89" s="186">
        <f>'Intermediate OLS Model'!$B$7*F89</f>
        <v>0</v>
      </c>
      <c r="O89" s="186">
        <f>'Intermediate OLS Model'!$B$8*G89</f>
        <v>0</v>
      </c>
      <c r="P89" s="186">
        <f>'Intermediate OLS Model'!$B$9*H89</f>
        <v>0</v>
      </c>
      <c r="Q89" s="186">
        <f>'Intermediate OLS Model'!$B$10*I89</f>
        <v>4448775.6274142396</v>
      </c>
      <c r="R89" s="127">
        <f t="shared" si="6"/>
        <v>3526973.9867597977</v>
      </c>
    </row>
    <row r="90" spans="1:18">
      <c r="A90" s="128">
        <f>'Monthly Data'!A90</f>
        <v>42491</v>
      </c>
      <c r="B90" s="127">
        <f t="shared" si="4"/>
        <v>2016</v>
      </c>
      <c r="C90" s="127">
        <f ca="1">'Monthly Data'!Z90</f>
        <v>3783247.3232470937</v>
      </c>
      <c r="D90" s="127">
        <f>'Monthly Data'!BM90</f>
        <v>89</v>
      </c>
      <c r="E90" s="127">
        <f>'Monthly Data'!BJ90</f>
        <v>6990.5</v>
      </c>
      <c r="F90" s="169">
        <f>'Monthly Data'!BS90</f>
        <v>0</v>
      </c>
      <c r="G90" s="169">
        <f>'Monthly Data'!BT90</f>
        <v>0</v>
      </c>
      <c r="H90" s="169">
        <f>'Monthly Data'!CA90</f>
        <v>0</v>
      </c>
      <c r="I90" s="127">
        <f>'Monthly Data'!CC90</f>
        <v>31</v>
      </c>
      <c r="K90" s="127">
        <f>'Intermediate OLS Model'!$B$5</f>
        <v>-415228.02881662402</v>
      </c>
      <c r="L90" s="186">
        <f>'Intermediate OLS Model'!$B$6*D90</f>
        <v>-512330.13015415677</v>
      </c>
      <c r="M90" s="186">
        <v>0</v>
      </c>
      <c r="N90" s="186">
        <f>'Intermediate OLS Model'!$B$7*F90</f>
        <v>0</v>
      </c>
      <c r="O90" s="186">
        <f>'Intermediate OLS Model'!$B$8*G90</f>
        <v>0</v>
      </c>
      <c r="P90" s="186">
        <f>'Intermediate OLS Model'!$B$9*H90</f>
        <v>0</v>
      </c>
      <c r="Q90" s="186">
        <f>'Intermediate OLS Model'!$B$10*I90</f>
        <v>4597068.1483280482</v>
      </c>
      <c r="R90" s="127">
        <f t="shared" si="6"/>
        <v>3669509.9893572675</v>
      </c>
    </row>
    <row r="91" spans="1:18">
      <c r="A91" s="128">
        <f>'Monthly Data'!A91</f>
        <v>42522</v>
      </c>
      <c r="B91" s="127">
        <f t="shared" si="4"/>
        <v>2016</v>
      </c>
      <c r="C91" s="127">
        <f ca="1">'Monthly Data'!Z91</f>
        <v>4068589.4732470941</v>
      </c>
      <c r="D91" s="127">
        <f>'Monthly Data'!BM91</f>
        <v>90</v>
      </c>
      <c r="E91" s="127">
        <f>'Monthly Data'!BJ91</f>
        <v>6998.8</v>
      </c>
      <c r="F91" s="169">
        <f>'Monthly Data'!BS91</f>
        <v>1</v>
      </c>
      <c r="G91" s="169">
        <f>'Monthly Data'!BT91</f>
        <v>0</v>
      </c>
      <c r="H91" s="169">
        <f>'Monthly Data'!CA91</f>
        <v>0</v>
      </c>
      <c r="I91" s="127">
        <f>'Monthly Data'!CC91</f>
        <v>30</v>
      </c>
      <c r="K91" s="127">
        <f>'Intermediate OLS Model'!$B$5</f>
        <v>-415228.02881662402</v>
      </c>
      <c r="L91" s="186">
        <f>'Intermediate OLS Model'!$B$6*D91</f>
        <v>-518086.64847049559</v>
      </c>
      <c r="M91" s="186">
        <v>0</v>
      </c>
      <c r="N91" s="186">
        <f>'Intermediate OLS Model'!$B$7*F91</f>
        <v>346553.62108035001</v>
      </c>
      <c r="O91" s="186">
        <f>'Intermediate OLS Model'!$B$8*G91</f>
        <v>0</v>
      </c>
      <c r="P91" s="186">
        <f>'Intermediate OLS Model'!$B$9*H91</f>
        <v>0</v>
      </c>
      <c r="Q91" s="186">
        <f>'Intermediate OLS Model'!$B$10*I91</f>
        <v>4448775.6274142396</v>
      </c>
      <c r="R91" s="127">
        <f t="shared" si="6"/>
        <v>3862014.5712074698</v>
      </c>
    </row>
    <row r="92" spans="1:18">
      <c r="A92" s="128">
        <f>'Monthly Data'!A92</f>
        <v>42552</v>
      </c>
      <c r="B92" s="127">
        <f t="shared" si="4"/>
        <v>2016</v>
      </c>
      <c r="C92" s="127">
        <f ca="1">'Monthly Data'!Z92</f>
        <v>3984566.7832470937</v>
      </c>
      <c r="D92" s="127">
        <f>'Monthly Data'!BM92</f>
        <v>91</v>
      </c>
      <c r="E92" s="127">
        <f>'Monthly Data'!BJ92</f>
        <v>6995</v>
      </c>
      <c r="F92" s="169">
        <f>'Monthly Data'!BS92</f>
        <v>0</v>
      </c>
      <c r="G92" s="169">
        <f>'Monthly Data'!BT92</f>
        <v>1</v>
      </c>
      <c r="H92" s="169">
        <f>'Monthly Data'!CA92</f>
        <v>0</v>
      </c>
      <c r="I92" s="127">
        <f>'Monthly Data'!CC92</f>
        <v>31</v>
      </c>
      <c r="K92" s="127">
        <f>'Intermediate OLS Model'!$B$5</f>
        <v>-415228.02881662402</v>
      </c>
      <c r="L92" s="186">
        <f>'Intermediate OLS Model'!$B$6*D92</f>
        <v>-523843.16678683442</v>
      </c>
      <c r="M92" s="186">
        <v>0</v>
      </c>
      <c r="N92" s="186">
        <f>'Intermediate OLS Model'!$B$7*F92</f>
        <v>0</v>
      </c>
      <c r="O92" s="186">
        <f>'Intermediate OLS Model'!$B$8*G92</f>
        <v>428565.96548408002</v>
      </c>
      <c r="P92" s="186">
        <f>'Intermediate OLS Model'!$B$9*H92</f>
        <v>0</v>
      </c>
      <c r="Q92" s="186">
        <f>'Intermediate OLS Model'!$B$10*I92</f>
        <v>4597068.1483280482</v>
      </c>
      <c r="R92" s="127">
        <f t="shared" si="6"/>
        <v>4086562.9182086699</v>
      </c>
    </row>
    <row r="93" spans="1:18">
      <c r="A93" s="128">
        <f>'Monthly Data'!A93</f>
        <v>42583</v>
      </c>
      <c r="B93" s="127">
        <f t="shared" si="4"/>
        <v>2016</v>
      </c>
      <c r="C93" s="127">
        <f ca="1">'Monthly Data'!Z93</f>
        <v>3315041.8332470939</v>
      </c>
      <c r="D93" s="127">
        <f>'Monthly Data'!BM93</f>
        <v>92</v>
      </c>
      <c r="E93" s="127">
        <f>'Monthly Data'!BJ93</f>
        <v>6991</v>
      </c>
      <c r="F93" s="169">
        <f>'Monthly Data'!BS93</f>
        <v>0</v>
      </c>
      <c r="G93" s="169">
        <f>'Monthly Data'!BT93</f>
        <v>0</v>
      </c>
      <c r="H93" s="169">
        <f>'Monthly Data'!CA93</f>
        <v>0</v>
      </c>
      <c r="I93" s="127">
        <f>'Monthly Data'!CC93</f>
        <v>31</v>
      </c>
      <c r="K93" s="127">
        <f>'Intermediate OLS Model'!$B$5</f>
        <v>-415228.02881662402</v>
      </c>
      <c r="L93" s="186">
        <f>'Intermediate OLS Model'!$B$6*D93</f>
        <v>-529599.68510317325</v>
      </c>
      <c r="M93" s="186">
        <v>0</v>
      </c>
      <c r="N93" s="186">
        <f>'Intermediate OLS Model'!$B$7*F93</f>
        <v>0</v>
      </c>
      <c r="O93" s="186">
        <f>'Intermediate OLS Model'!$B$8*G93</f>
        <v>0</v>
      </c>
      <c r="P93" s="186">
        <f>'Intermediate OLS Model'!$B$9*H93</f>
        <v>0</v>
      </c>
      <c r="Q93" s="186">
        <f>'Intermediate OLS Model'!$B$10*I93</f>
        <v>4597068.1483280482</v>
      </c>
      <c r="R93" s="127">
        <f t="shared" si="6"/>
        <v>3652240.4344082512</v>
      </c>
    </row>
    <row r="94" spans="1:18">
      <c r="A94" s="128">
        <f>'Monthly Data'!A94</f>
        <v>42614</v>
      </c>
      <c r="B94" s="127">
        <f t="shared" si="4"/>
        <v>2016</v>
      </c>
      <c r="C94" s="127">
        <f ca="1">'Monthly Data'!Z94</f>
        <v>3610685.643247094</v>
      </c>
      <c r="D94" s="127">
        <f>'Monthly Data'!BM94</f>
        <v>93</v>
      </c>
      <c r="E94" s="127">
        <f>'Monthly Data'!BJ94</f>
        <v>6989.1</v>
      </c>
      <c r="F94" s="169">
        <f>'Monthly Data'!BS94</f>
        <v>0</v>
      </c>
      <c r="G94" s="169">
        <f>'Monthly Data'!BT94</f>
        <v>0</v>
      </c>
      <c r="H94" s="169">
        <f>'Monthly Data'!CA94</f>
        <v>1</v>
      </c>
      <c r="I94" s="127">
        <f>'Monthly Data'!CC94</f>
        <v>30</v>
      </c>
      <c r="K94" s="127">
        <f>'Intermediate OLS Model'!$B$5</f>
        <v>-415228.02881662402</v>
      </c>
      <c r="L94" s="186">
        <f>'Intermediate OLS Model'!$B$6*D94</f>
        <v>-535356.20341951214</v>
      </c>
      <c r="M94" s="186">
        <v>0</v>
      </c>
      <c r="N94" s="186">
        <f>'Intermediate OLS Model'!$B$7*F94</f>
        <v>0</v>
      </c>
      <c r="O94" s="186">
        <f>'Intermediate OLS Model'!$B$8*G94</f>
        <v>0</v>
      </c>
      <c r="P94" s="186">
        <f>'Intermediate OLS Model'!$B$9*H94</f>
        <v>219659.05071226999</v>
      </c>
      <c r="Q94" s="186">
        <f>'Intermediate OLS Model'!$B$10*I94</f>
        <v>4448775.6274142396</v>
      </c>
      <c r="R94" s="127">
        <f t="shared" si="6"/>
        <v>3717850.4458903736</v>
      </c>
    </row>
    <row r="95" spans="1:18">
      <c r="A95" s="128">
        <f>'Monthly Data'!A95</f>
        <v>42644</v>
      </c>
      <c r="B95" s="127">
        <f t="shared" si="4"/>
        <v>2016</v>
      </c>
      <c r="C95" s="127">
        <f ca="1">'Monthly Data'!Z95</f>
        <v>3809029.3432470937</v>
      </c>
      <c r="D95" s="127">
        <f>'Monthly Data'!BM95</f>
        <v>94</v>
      </c>
      <c r="E95" s="127">
        <f>'Monthly Data'!BJ95</f>
        <v>7005.5</v>
      </c>
      <c r="F95" s="169">
        <f>'Monthly Data'!BS95</f>
        <v>0</v>
      </c>
      <c r="G95" s="169">
        <f>'Monthly Data'!BT95</f>
        <v>0</v>
      </c>
      <c r="H95" s="169">
        <f>'Monthly Data'!CA95</f>
        <v>1</v>
      </c>
      <c r="I95" s="127">
        <f>'Monthly Data'!CC95</f>
        <v>31</v>
      </c>
      <c r="K95" s="127">
        <f>'Intermediate OLS Model'!$B$5</f>
        <v>-415228.02881662402</v>
      </c>
      <c r="L95" s="186">
        <f>'Intermediate OLS Model'!$B$6*D95</f>
        <v>-541112.72173585102</v>
      </c>
      <c r="M95" s="186">
        <v>0</v>
      </c>
      <c r="N95" s="186">
        <f>'Intermediate OLS Model'!$B$7*F95</f>
        <v>0</v>
      </c>
      <c r="O95" s="186">
        <f>'Intermediate OLS Model'!$B$8*G95</f>
        <v>0</v>
      </c>
      <c r="P95" s="186">
        <f>'Intermediate OLS Model'!$B$9*H95</f>
        <v>219659.05071226999</v>
      </c>
      <c r="Q95" s="186">
        <f>'Intermediate OLS Model'!$B$10*I95</f>
        <v>4597068.1483280482</v>
      </c>
      <c r="R95" s="127">
        <f t="shared" si="6"/>
        <v>3860386.4484878434</v>
      </c>
    </row>
    <row r="96" spans="1:18">
      <c r="A96" s="128">
        <f>'Monthly Data'!A96</f>
        <v>42675</v>
      </c>
      <c r="B96" s="127">
        <f t="shared" si="4"/>
        <v>2016</v>
      </c>
      <c r="C96" s="127">
        <f ca="1">'Monthly Data'!Z96</f>
        <v>3762256.7532470939</v>
      </c>
      <c r="D96" s="127">
        <f>'Monthly Data'!BM96</f>
        <v>95</v>
      </c>
      <c r="E96" s="127">
        <f>'Monthly Data'!BJ96</f>
        <v>7021.6</v>
      </c>
      <c r="F96" s="169">
        <f>'Monthly Data'!BS96</f>
        <v>0</v>
      </c>
      <c r="G96" s="169">
        <f>'Monthly Data'!BT96</f>
        <v>0</v>
      </c>
      <c r="H96" s="169">
        <f>'Monthly Data'!CA96</f>
        <v>1</v>
      </c>
      <c r="I96" s="127">
        <f>'Monthly Data'!CC96</f>
        <v>30</v>
      </c>
      <c r="K96" s="127">
        <f>'Intermediate OLS Model'!$B$5</f>
        <v>-415228.02881662402</v>
      </c>
      <c r="L96" s="186">
        <f>'Intermediate OLS Model'!$B$6*D96</f>
        <v>-546869.24005218979</v>
      </c>
      <c r="M96" s="186">
        <v>0</v>
      </c>
      <c r="N96" s="186">
        <f>'Intermediate OLS Model'!$B$7*F96</f>
        <v>0</v>
      </c>
      <c r="O96" s="186">
        <f>'Intermediate OLS Model'!$B$8*G96</f>
        <v>0</v>
      </c>
      <c r="P96" s="186">
        <f>'Intermediate OLS Model'!$B$9*H96</f>
        <v>219659.05071226999</v>
      </c>
      <c r="Q96" s="186">
        <f>'Intermediate OLS Model'!$B$10*I96</f>
        <v>4448775.6274142396</v>
      </c>
      <c r="R96" s="127">
        <f t="shared" si="6"/>
        <v>3706337.409257696</v>
      </c>
    </row>
    <row r="97" spans="1:18">
      <c r="A97" s="128">
        <f>'Monthly Data'!A97</f>
        <v>42705</v>
      </c>
      <c r="B97" s="127">
        <f t="shared" si="4"/>
        <v>2016</v>
      </c>
      <c r="C97" s="127">
        <f ca="1">'Monthly Data'!Z97</f>
        <v>4040160.4732470936</v>
      </c>
      <c r="D97" s="127">
        <f>'Monthly Data'!BM97</f>
        <v>96</v>
      </c>
      <c r="E97" s="127">
        <f>'Monthly Data'!BJ97</f>
        <v>7035.1</v>
      </c>
      <c r="F97" s="169">
        <f>'Monthly Data'!BS97</f>
        <v>0</v>
      </c>
      <c r="G97" s="169">
        <f>'Monthly Data'!BT97</f>
        <v>0</v>
      </c>
      <c r="H97" s="169">
        <f>'Monthly Data'!CA97</f>
        <v>0</v>
      </c>
      <c r="I97" s="127">
        <f>'Monthly Data'!CC97</f>
        <v>31</v>
      </c>
      <c r="K97" s="127">
        <f>'Intermediate OLS Model'!$B$5</f>
        <v>-415228.02881662402</v>
      </c>
      <c r="L97" s="186">
        <f>'Intermediate OLS Model'!$B$6*D97</f>
        <v>-552625.75836852868</v>
      </c>
      <c r="M97" s="186">
        <v>0</v>
      </c>
      <c r="N97" s="186">
        <f>'Intermediate OLS Model'!$B$7*F97</f>
        <v>0</v>
      </c>
      <c r="O97" s="186">
        <f>'Intermediate OLS Model'!$B$8*G97</f>
        <v>0</v>
      </c>
      <c r="P97" s="186">
        <f>'Intermediate OLS Model'!$B$9*H97</f>
        <v>0</v>
      </c>
      <c r="Q97" s="186">
        <f>'Intermediate OLS Model'!$B$10*I97</f>
        <v>4597068.1483280482</v>
      </c>
      <c r="R97" s="127">
        <f t="shared" si="6"/>
        <v>3629214.3611428952</v>
      </c>
    </row>
    <row r="98" spans="1:18">
      <c r="A98" s="128">
        <v>42736</v>
      </c>
      <c r="B98" s="127">
        <f t="shared" si="4"/>
        <v>2017</v>
      </c>
      <c r="C98" s="127">
        <f ca="1">'Monthly Data'!Z98</f>
        <v>4673482.8519639345</v>
      </c>
      <c r="D98" s="127">
        <f>D97+1</f>
        <v>97</v>
      </c>
      <c r="E98" s="127">
        <f>'Monthly Data'!BJ98</f>
        <v>7049.2</v>
      </c>
      <c r="F98" s="169">
        <f>'Monthly Data'!BS98</f>
        <v>0</v>
      </c>
      <c r="G98" s="169">
        <f>'Monthly Data'!BT98</f>
        <v>0</v>
      </c>
      <c r="H98" s="169">
        <f>'Monthly Data'!CA98</f>
        <v>0</v>
      </c>
      <c r="I98" s="127">
        <f t="shared" ref="I98:I121" si="7">I86</f>
        <v>31</v>
      </c>
      <c r="K98" s="127">
        <f>'Intermediate OLS Model'!$B$5</f>
        <v>-415228.02881662402</v>
      </c>
      <c r="L98" s="186">
        <f>'Intermediate OLS Model'!$B$6*D98</f>
        <v>-558382.27668486745</v>
      </c>
      <c r="M98" s="186">
        <v>0</v>
      </c>
      <c r="N98" s="186">
        <f>'Intermediate OLS Model'!$B$7*F98</f>
        <v>0</v>
      </c>
      <c r="O98" s="186">
        <f>'Intermediate OLS Model'!$B$8*G98</f>
        <v>0</v>
      </c>
      <c r="P98" s="186">
        <f>'Intermediate OLS Model'!$B$9*H98</f>
        <v>0</v>
      </c>
      <c r="Q98" s="186">
        <f>'Intermediate OLS Model'!$B$10*I98</f>
        <v>4597068.1483280482</v>
      </c>
      <c r="R98" s="127">
        <f t="shared" si="6"/>
        <v>3623457.8428265564</v>
      </c>
    </row>
    <row r="99" spans="1:18">
      <c r="A99" s="128">
        <v>42767</v>
      </c>
      <c r="B99" s="127">
        <f t="shared" si="4"/>
        <v>2017</v>
      </c>
      <c r="C99" s="127">
        <f ca="1">'Monthly Data'!Z99</f>
        <v>3160702.7119639348</v>
      </c>
      <c r="D99" s="127">
        <f t="shared" ref="D99:D145" si="8">D98+1</f>
        <v>98</v>
      </c>
      <c r="E99" s="127">
        <f>'Monthly Data'!BJ99</f>
        <v>7062.5</v>
      </c>
      <c r="F99" s="169">
        <f>'Monthly Data'!BS99</f>
        <v>0</v>
      </c>
      <c r="G99" s="169">
        <f>'Monthly Data'!BT99</f>
        <v>0</v>
      </c>
      <c r="H99" s="169">
        <f>'Monthly Data'!CA99</f>
        <v>0</v>
      </c>
      <c r="I99" s="127">
        <f t="shared" si="7"/>
        <v>29</v>
      </c>
      <c r="K99" s="127">
        <f>'Intermediate OLS Model'!$B$5</f>
        <v>-415228.02881662402</v>
      </c>
      <c r="L99" s="186">
        <f>'Intermediate OLS Model'!$B$6*D99</f>
        <v>-564138.79500120634</v>
      </c>
      <c r="M99" s="186">
        <v>0</v>
      </c>
      <c r="N99" s="186">
        <f>'Intermediate OLS Model'!$B$7*F99</f>
        <v>0</v>
      </c>
      <c r="O99" s="186">
        <f>'Intermediate OLS Model'!$B$8*G99</f>
        <v>0</v>
      </c>
      <c r="P99" s="186">
        <f>'Intermediate OLS Model'!$B$9*H99</f>
        <v>0</v>
      </c>
      <c r="Q99" s="186">
        <f>'Intermediate OLS Model'!$B$10*I99</f>
        <v>4300483.1065004319</v>
      </c>
      <c r="R99" s="127">
        <f t="shared" si="6"/>
        <v>3321116.2826826014</v>
      </c>
    </row>
    <row r="100" spans="1:18">
      <c r="A100" s="128">
        <v>42795</v>
      </c>
      <c r="B100" s="127">
        <f t="shared" si="4"/>
        <v>2017</v>
      </c>
      <c r="C100" s="127">
        <f ca="1">'Monthly Data'!Z100</f>
        <v>3516291.0219639349</v>
      </c>
      <c r="D100" s="127">
        <f t="shared" si="8"/>
        <v>99</v>
      </c>
      <c r="E100" s="127">
        <f>'Monthly Data'!BJ100</f>
        <v>7071</v>
      </c>
      <c r="F100" s="169">
        <f>'Monthly Data'!BS100</f>
        <v>0</v>
      </c>
      <c r="G100" s="169">
        <f>'Monthly Data'!BT100</f>
        <v>0</v>
      </c>
      <c r="H100" s="169">
        <f>'Monthly Data'!CA100</f>
        <v>0</v>
      </c>
      <c r="I100" s="127">
        <f t="shared" si="7"/>
        <v>31</v>
      </c>
      <c r="K100" s="127">
        <f>'Intermediate OLS Model'!$B$5</f>
        <v>-415228.02881662402</v>
      </c>
      <c r="L100" s="186">
        <f>'Intermediate OLS Model'!$B$6*D100</f>
        <v>-569895.31331754522</v>
      </c>
      <c r="M100" s="186">
        <v>0</v>
      </c>
      <c r="N100" s="186">
        <f>'Intermediate OLS Model'!$B$7*F100</f>
        <v>0</v>
      </c>
      <c r="O100" s="186">
        <f>'Intermediate OLS Model'!$B$8*G100</f>
        <v>0</v>
      </c>
      <c r="P100" s="186">
        <f>'Intermediate OLS Model'!$B$9*H100</f>
        <v>0</v>
      </c>
      <c r="Q100" s="186">
        <f>'Intermediate OLS Model'!$B$10*I100</f>
        <v>4597068.1483280482</v>
      </c>
      <c r="R100" s="127">
        <f t="shared" si="6"/>
        <v>3611944.8061938789</v>
      </c>
    </row>
    <row r="101" spans="1:18">
      <c r="A101" s="128">
        <v>42826</v>
      </c>
      <c r="B101" s="127">
        <f t="shared" si="4"/>
        <v>2017</v>
      </c>
      <c r="C101" s="127">
        <f ca="1">'Monthly Data'!Z101</f>
        <v>3257803.3419639347</v>
      </c>
      <c r="D101" s="127">
        <f t="shared" si="8"/>
        <v>100</v>
      </c>
      <c r="E101" s="127">
        <f>'Monthly Data'!BJ101</f>
        <v>7073.2</v>
      </c>
      <c r="F101" s="169">
        <f>'Monthly Data'!BS101</f>
        <v>0</v>
      </c>
      <c r="G101" s="169">
        <f>'Monthly Data'!BT101</f>
        <v>0</v>
      </c>
      <c r="H101" s="169">
        <f>'Monthly Data'!CA101</f>
        <v>0</v>
      </c>
      <c r="I101" s="127">
        <f t="shared" si="7"/>
        <v>30</v>
      </c>
      <c r="K101" s="127">
        <f>'Intermediate OLS Model'!$B$5</f>
        <v>-415228.02881662402</v>
      </c>
      <c r="L101" s="186">
        <f>'Intermediate OLS Model'!$B$6*D101</f>
        <v>-575651.83163388399</v>
      </c>
      <c r="M101" s="186">
        <v>0</v>
      </c>
      <c r="N101" s="186">
        <f>'Intermediate OLS Model'!$B$7*F101</f>
        <v>0</v>
      </c>
      <c r="O101" s="186">
        <f>'Intermediate OLS Model'!$B$8*G101</f>
        <v>0</v>
      </c>
      <c r="P101" s="186">
        <f>'Intermediate OLS Model'!$B$9*H101</f>
        <v>0</v>
      </c>
      <c r="Q101" s="186">
        <f>'Intermediate OLS Model'!$B$10*I101</f>
        <v>4448775.6274142396</v>
      </c>
      <c r="R101" s="127">
        <f t="shared" si="6"/>
        <v>3457895.7669637315</v>
      </c>
    </row>
    <row r="102" spans="1:18">
      <c r="A102" s="128">
        <v>42856</v>
      </c>
      <c r="B102" s="127">
        <f t="shared" si="4"/>
        <v>2017</v>
      </c>
      <c r="C102" s="127">
        <f ca="1">'Monthly Data'!Z102</f>
        <v>3505256.1119639347</v>
      </c>
      <c r="D102" s="127">
        <f t="shared" si="8"/>
        <v>101</v>
      </c>
      <c r="E102" s="127">
        <f>'Monthly Data'!BJ102</f>
        <v>7076.2</v>
      </c>
      <c r="F102" s="169">
        <f>'Monthly Data'!BS102</f>
        <v>0</v>
      </c>
      <c r="G102" s="169">
        <f>'Monthly Data'!BT102</f>
        <v>0</v>
      </c>
      <c r="H102" s="169">
        <f>'Monthly Data'!CA102</f>
        <v>0</v>
      </c>
      <c r="I102" s="127">
        <f t="shared" si="7"/>
        <v>31</v>
      </c>
      <c r="K102" s="127">
        <f>'Intermediate OLS Model'!$B$5</f>
        <v>-415228.02881662402</v>
      </c>
      <c r="L102" s="186">
        <f>'Intermediate OLS Model'!$B$6*D102</f>
        <v>-581408.34995022288</v>
      </c>
      <c r="M102" s="186">
        <v>0</v>
      </c>
      <c r="N102" s="186">
        <f>'Intermediate OLS Model'!$B$7*F102</f>
        <v>0</v>
      </c>
      <c r="O102" s="186">
        <f>'Intermediate OLS Model'!$B$8*G102</f>
        <v>0</v>
      </c>
      <c r="P102" s="186">
        <f>'Intermediate OLS Model'!$B$9*H102</f>
        <v>0</v>
      </c>
      <c r="Q102" s="186">
        <f>'Intermediate OLS Model'!$B$10*I102</f>
        <v>4597068.1483280482</v>
      </c>
      <c r="R102" s="127">
        <f t="shared" si="6"/>
        <v>3600431.7695612013</v>
      </c>
    </row>
    <row r="103" spans="1:18">
      <c r="A103" s="128">
        <v>42887</v>
      </c>
      <c r="B103" s="127">
        <f t="shared" si="4"/>
        <v>2017</v>
      </c>
      <c r="C103" s="127">
        <f ca="1">'Monthly Data'!Z103</f>
        <v>3900962.201963935</v>
      </c>
      <c r="D103" s="127">
        <f t="shared" si="8"/>
        <v>102</v>
      </c>
      <c r="E103" s="127">
        <f>'Monthly Data'!BJ103</f>
        <v>7082.2</v>
      </c>
      <c r="F103" s="169">
        <f>'Monthly Data'!BS103</f>
        <v>1</v>
      </c>
      <c r="G103" s="169">
        <f>'Monthly Data'!BT103</f>
        <v>0</v>
      </c>
      <c r="H103" s="169">
        <f>'Monthly Data'!CA103</f>
        <v>0</v>
      </c>
      <c r="I103" s="127">
        <f t="shared" si="7"/>
        <v>30</v>
      </c>
      <c r="K103" s="127">
        <f>'Intermediate OLS Model'!$B$5</f>
        <v>-415228.02881662402</v>
      </c>
      <c r="L103" s="186">
        <f>'Intermediate OLS Model'!$B$6*D103</f>
        <v>-587164.86826656165</v>
      </c>
      <c r="M103" s="186">
        <v>0</v>
      </c>
      <c r="N103" s="186">
        <f>'Intermediate OLS Model'!$B$7*F103</f>
        <v>346553.62108035001</v>
      </c>
      <c r="O103" s="186">
        <f>'Intermediate OLS Model'!$B$8*G103</f>
        <v>0</v>
      </c>
      <c r="P103" s="186">
        <f>'Intermediate OLS Model'!$B$9*H103</f>
        <v>0</v>
      </c>
      <c r="Q103" s="186">
        <f>'Intermediate OLS Model'!$B$10*I103</f>
        <v>4448775.6274142396</v>
      </c>
      <c r="R103" s="127">
        <f t="shared" si="6"/>
        <v>3792936.3514114041</v>
      </c>
    </row>
    <row r="104" spans="1:18">
      <c r="A104" s="128">
        <v>42917</v>
      </c>
      <c r="B104" s="127">
        <f t="shared" si="4"/>
        <v>2017</v>
      </c>
      <c r="C104" s="127">
        <f ca="1">'Monthly Data'!Z104</f>
        <v>3948803.201963935</v>
      </c>
      <c r="D104" s="127">
        <f t="shared" si="8"/>
        <v>103</v>
      </c>
      <c r="E104" s="127">
        <f>'Monthly Data'!BJ104</f>
        <v>7098</v>
      </c>
      <c r="F104" s="169">
        <f>'Monthly Data'!BS104</f>
        <v>0</v>
      </c>
      <c r="G104" s="169">
        <f>'Monthly Data'!BT104</f>
        <v>1</v>
      </c>
      <c r="H104" s="169">
        <f>'Monthly Data'!CA104</f>
        <v>0</v>
      </c>
      <c r="I104" s="127">
        <f t="shared" si="7"/>
        <v>31</v>
      </c>
      <c r="K104" s="127">
        <f>'Intermediate OLS Model'!$B$5</f>
        <v>-415228.02881662402</v>
      </c>
      <c r="L104" s="186">
        <f>'Intermediate OLS Model'!$B$6*D104</f>
        <v>-592921.38658290054</v>
      </c>
      <c r="M104" s="186">
        <v>0</v>
      </c>
      <c r="N104" s="186">
        <f>'Intermediate OLS Model'!$B$7*F104</f>
        <v>0</v>
      </c>
      <c r="O104" s="186">
        <f>'Intermediate OLS Model'!$B$8*G104</f>
        <v>428565.96548408002</v>
      </c>
      <c r="P104" s="186">
        <f>'Intermediate OLS Model'!$B$9*H104</f>
        <v>0</v>
      </c>
      <c r="Q104" s="186">
        <f>'Intermediate OLS Model'!$B$10*I104</f>
        <v>4597068.1483280482</v>
      </c>
      <c r="R104" s="127">
        <f t="shared" si="6"/>
        <v>4017484.6984126037</v>
      </c>
    </row>
    <row r="105" spans="1:18">
      <c r="A105" s="128">
        <v>42948</v>
      </c>
      <c r="B105" s="186">
        <f t="shared" ref="B105:B121" si="9">YEAR(A105)</f>
        <v>2017</v>
      </c>
      <c r="C105" s="186">
        <f ca="1">'Monthly Data'!Z105</f>
        <v>2923548.0019639349</v>
      </c>
      <c r="D105" s="186">
        <f t="shared" si="8"/>
        <v>104</v>
      </c>
      <c r="E105" s="186">
        <f>'Monthly Data'!BJ105</f>
        <v>7118.8</v>
      </c>
      <c r="F105" s="169">
        <f>'Monthly Data'!BS105</f>
        <v>0</v>
      </c>
      <c r="G105" s="169">
        <f>'Monthly Data'!BT105</f>
        <v>0</v>
      </c>
      <c r="H105" s="169">
        <f>'Monthly Data'!CA105</f>
        <v>0</v>
      </c>
      <c r="I105" s="186">
        <f t="shared" si="7"/>
        <v>31</v>
      </c>
      <c r="K105" s="127">
        <f>'Intermediate OLS Model'!$B$5</f>
        <v>-415228.02881662402</v>
      </c>
      <c r="L105" s="186">
        <f>'Intermediate OLS Model'!$B$6*D105</f>
        <v>-598677.90489923942</v>
      </c>
      <c r="M105" s="186">
        <v>0</v>
      </c>
      <c r="N105" s="186">
        <f>'Intermediate OLS Model'!$B$7*F105</f>
        <v>0</v>
      </c>
      <c r="O105" s="186">
        <f>'Intermediate OLS Model'!$B$8*G105</f>
        <v>0</v>
      </c>
      <c r="P105" s="186">
        <f>'Intermediate OLS Model'!$B$9*H105</f>
        <v>0</v>
      </c>
      <c r="Q105" s="186">
        <f>'Intermediate OLS Model'!$B$10*I105</f>
        <v>4597068.1483280482</v>
      </c>
      <c r="R105" s="127">
        <f t="shared" si="6"/>
        <v>3583162.214612185</v>
      </c>
    </row>
    <row r="106" spans="1:18">
      <c r="A106" s="128">
        <v>42979</v>
      </c>
      <c r="B106" s="186">
        <f t="shared" si="9"/>
        <v>2017</v>
      </c>
      <c r="C106" s="186">
        <f ca="1">'Monthly Data'!Z106</f>
        <v>3551345.6319639347</v>
      </c>
      <c r="D106" s="186">
        <f t="shared" si="8"/>
        <v>105</v>
      </c>
      <c r="E106" s="186">
        <f>'Monthly Data'!BJ106</f>
        <v>7148.9</v>
      </c>
      <c r="F106" s="169">
        <f>'Monthly Data'!BS106</f>
        <v>0</v>
      </c>
      <c r="G106" s="169">
        <f>'Monthly Data'!BT106</f>
        <v>0</v>
      </c>
      <c r="H106" s="169">
        <f>'Monthly Data'!CA106</f>
        <v>1</v>
      </c>
      <c r="I106" s="186">
        <f t="shared" si="7"/>
        <v>30</v>
      </c>
      <c r="K106" s="127">
        <f>'Intermediate OLS Model'!$B$5</f>
        <v>-415228.02881662402</v>
      </c>
      <c r="L106" s="186">
        <f>'Intermediate OLS Model'!$B$6*D106</f>
        <v>-604434.42321557819</v>
      </c>
      <c r="M106" s="186">
        <v>0</v>
      </c>
      <c r="N106" s="186">
        <f>'Intermediate OLS Model'!$B$7*F106</f>
        <v>0</v>
      </c>
      <c r="O106" s="186">
        <f>'Intermediate OLS Model'!$B$8*G106</f>
        <v>0</v>
      </c>
      <c r="P106" s="186">
        <f>'Intermediate OLS Model'!$B$9*H106</f>
        <v>219659.05071226999</v>
      </c>
      <c r="Q106" s="186">
        <f>'Intermediate OLS Model'!$B$10*I106</f>
        <v>4448775.6274142396</v>
      </c>
      <c r="R106" s="127">
        <f t="shared" si="6"/>
        <v>3648772.2260943074</v>
      </c>
    </row>
    <row r="107" spans="1:18">
      <c r="A107" s="128">
        <v>43009</v>
      </c>
      <c r="B107" s="186">
        <f t="shared" si="9"/>
        <v>2017</v>
      </c>
      <c r="C107" s="186">
        <f ca="1">'Monthly Data'!Z107</f>
        <v>4675960.2019639341</v>
      </c>
      <c r="D107" s="186">
        <f t="shared" si="8"/>
        <v>106</v>
      </c>
      <c r="E107" s="186">
        <f>'Monthly Data'!BJ107</f>
        <v>7168.4</v>
      </c>
      <c r="F107" s="169">
        <f>'Monthly Data'!BS107</f>
        <v>0</v>
      </c>
      <c r="G107" s="169">
        <f>'Monthly Data'!BT107</f>
        <v>0</v>
      </c>
      <c r="H107" s="169">
        <f>'Monthly Data'!CA107</f>
        <v>1</v>
      </c>
      <c r="I107" s="186">
        <f t="shared" si="7"/>
        <v>31</v>
      </c>
      <c r="K107" s="127">
        <f>'Intermediate OLS Model'!$B$5</f>
        <v>-415228.02881662402</v>
      </c>
      <c r="L107" s="186">
        <f>'Intermediate OLS Model'!$B$6*D107</f>
        <v>-610190.94153191708</v>
      </c>
      <c r="M107" s="186">
        <v>0</v>
      </c>
      <c r="N107" s="186">
        <f>'Intermediate OLS Model'!$B$7*F107</f>
        <v>0</v>
      </c>
      <c r="O107" s="186">
        <f>'Intermediate OLS Model'!$B$8*G107</f>
        <v>0</v>
      </c>
      <c r="P107" s="186">
        <f>'Intermediate OLS Model'!$B$9*H107</f>
        <v>219659.05071226999</v>
      </c>
      <c r="Q107" s="186">
        <f>'Intermediate OLS Model'!$B$10*I107</f>
        <v>4597068.1483280482</v>
      </c>
      <c r="R107" s="127">
        <f t="shared" si="6"/>
        <v>3791308.2286917772</v>
      </c>
    </row>
    <row r="108" spans="1:18">
      <c r="A108" s="128">
        <v>43040</v>
      </c>
      <c r="B108" s="186">
        <f t="shared" si="9"/>
        <v>2017</v>
      </c>
      <c r="C108" s="186">
        <f ca="1">'Monthly Data'!Z108</f>
        <v>3582167.1319639347</v>
      </c>
      <c r="D108" s="186">
        <f t="shared" si="8"/>
        <v>107</v>
      </c>
      <c r="E108" s="186">
        <f>'Monthly Data'!BJ108</f>
        <v>7192.2</v>
      </c>
      <c r="F108" s="169">
        <f>'Monthly Data'!BS108</f>
        <v>0</v>
      </c>
      <c r="G108" s="169">
        <f>'Monthly Data'!BT108</f>
        <v>0</v>
      </c>
      <c r="H108" s="169">
        <f>'Monthly Data'!CA108</f>
        <v>1</v>
      </c>
      <c r="I108" s="186">
        <f t="shared" si="7"/>
        <v>30</v>
      </c>
      <c r="K108" s="127">
        <f>'Intermediate OLS Model'!$B$5</f>
        <v>-415228.02881662402</v>
      </c>
      <c r="L108" s="186">
        <f>'Intermediate OLS Model'!$B$6*D108</f>
        <v>-615947.45984825585</v>
      </c>
      <c r="M108" s="186">
        <v>0</v>
      </c>
      <c r="N108" s="186">
        <f>'Intermediate OLS Model'!$B$7*F108</f>
        <v>0</v>
      </c>
      <c r="O108" s="186">
        <f>'Intermediate OLS Model'!$B$8*G108</f>
        <v>0</v>
      </c>
      <c r="P108" s="186">
        <f>'Intermediate OLS Model'!$B$9*H108</f>
        <v>219659.05071226999</v>
      </c>
      <c r="Q108" s="186">
        <f>'Intermediate OLS Model'!$B$10*I108</f>
        <v>4448775.6274142396</v>
      </c>
      <c r="R108" s="127">
        <f t="shared" si="6"/>
        <v>3637259.1894616298</v>
      </c>
    </row>
    <row r="109" spans="1:18">
      <c r="A109" s="128">
        <v>43070</v>
      </c>
      <c r="B109" s="186">
        <f t="shared" si="9"/>
        <v>2017</v>
      </c>
      <c r="C109" s="186">
        <f ca="1">'Monthly Data'!Z109</f>
        <v>4051590.7719639349</v>
      </c>
      <c r="D109" s="186">
        <f t="shared" si="8"/>
        <v>108</v>
      </c>
      <c r="E109" s="186">
        <f>'Monthly Data'!BJ109</f>
        <v>7207.4</v>
      </c>
      <c r="F109" s="169">
        <f>'Monthly Data'!BS109</f>
        <v>0</v>
      </c>
      <c r="G109" s="169">
        <f>'Monthly Data'!BT109</f>
        <v>0</v>
      </c>
      <c r="H109" s="169">
        <f>'Monthly Data'!CA109</f>
        <v>0</v>
      </c>
      <c r="I109" s="186">
        <f t="shared" si="7"/>
        <v>31</v>
      </c>
      <c r="K109" s="127">
        <f>'Intermediate OLS Model'!$B$5</f>
        <v>-415228.02881662402</v>
      </c>
      <c r="L109" s="186">
        <f>'Intermediate OLS Model'!$B$6*D109</f>
        <v>-621703.97816459474</v>
      </c>
      <c r="M109" s="186">
        <v>0</v>
      </c>
      <c r="N109" s="186">
        <f>'Intermediate OLS Model'!$B$7*F109</f>
        <v>0</v>
      </c>
      <c r="O109" s="186">
        <f>'Intermediate OLS Model'!$B$8*G109</f>
        <v>0</v>
      </c>
      <c r="P109" s="186">
        <f>'Intermediate OLS Model'!$B$9*H109</f>
        <v>0</v>
      </c>
      <c r="Q109" s="186">
        <f>'Intermediate OLS Model'!$B$10*I109</f>
        <v>4597068.1483280482</v>
      </c>
      <c r="R109" s="127">
        <f t="shared" si="6"/>
        <v>3560136.1413468295</v>
      </c>
    </row>
    <row r="110" spans="1:18">
      <c r="A110" s="128">
        <v>43101</v>
      </c>
      <c r="B110" s="186">
        <f t="shared" si="9"/>
        <v>2018</v>
      </c>
      <c r="C110" s="186">
        <f ca="1">'Monthly Data'!Z110</f>
        <v>3830105.218467033</v>
      </c>
      <c r="D110" s="186">
        <f t="shared" si="8"/>
        <v>109</v>
      </c>
      <c r="E110" s="186">
        <f>'Monthly Data'!BJ110</f>
        <v>7166.6339368397712</v>
      </c>
      <c r="F110" s="169">
        <f>'Monthly Data'!BS110</f>
        <v>0</v>
      </c>
      <c r="G110" s="169">
        <f>'Monthly Data'!BT110</f>
        <v>0</v>
      </c>
      <c r="H110" s="169">
        <f>'Monthly Data'!CA110</f>
        <v>0</v>
      </c>
      <c r="I110" s="186">
        <f t="shared" si="7"/>
        <v>31</v>
      </c>
      <c r="K110" s="127">
        <f>'Intermediate OLS Model'!$B$5</f>
        <v>-415228.02881662402</v>
      </c>
      <c r="L110" s="186">
        <f>'Intermediate OLS Model'!$B$6*D110</f>
        <v>-627460.49648093362</v>
      </c>
      <c r="M110" s="186">
        <v>0</v>
      </c>
      <c r="N110" s="186">
        <f>'Intermediate OLS Model'!$B$7*F110</f>
        <v>0</v>
      </c>
      <c r="O110" s="186">
        <f>'Intermediate OLS Model'!$B$8*G110</f>
        <v>0</v>
      </c>
      <c r="P110" s="186">
        <f>'Intermediate OLS Model'!$B$9*H110</f>
        <v>0</v>
      </c>
      <c r="Q110" s="186">
        <f>'Intermediate OLS Model'!$B$10*I110</f>
        <v>4597068.1483280482</v>
      </c>
      <c r="R110" s="127">
        <f t="shared" si="6"/>
        <v>3554379.6230304902</v>
      </c>
    </row>
    <row r="111" spans="1:18">
      <c r="A111" s="128">
        <v>43132</v>
      </c>
      <c r="B111" s="186">
        <f t="shared" si="9"/>
        <v>2018</v>
      </c>
      <c r="C111" s="186">
        <f ca="1">'Monthly Data'!Z111</f>
        <v>3294091.5384670328</v>
      </c>
      <c r="D111" s="186">
        <f t="shared" si="8"/>
        <v>110</v>
      </c>
      <c r="E111" s="186">
        <f>'Monthly Data'!BJ111</f>
        <v>7119.8728643912718</v>
      </c>
      <c r="F111" s="169">
        <f>'Monthly Data'!BS111</f>
        <v>0</v>
      </c>
      <c r="G111" s="169">
        <f>'Monthly Data'!BT111</f>
        <v>0</v>
      </c>
      <c r="H111" s="169">
        <f>'Monthly Data'!CA111</f>
        <v>0</v>
      </c>
      <c r="I111" s="186">
        <f t="shared" si="7"/>
        <v>29</v>
      </c>
      <c r="K111" s="127">
        <f>'Intermediate OLS Model'!$B$5</f>
        <v>-415228.02881662402</v>
      </c>
      <c r="L111" s="186">
        <f>'Intermediate OLS Model'!$B$6*D111</f>
        <v>-633217.01479727239</v>
      </c>
      <c r="M111" s="186">
        <v>0</v>
      </c>
      <c r="N111" s="186">
        <f>'Intermediate OLS Model'!$B$7*F111</f>
        <v>0</v>
      </c>
      <c r="O111" s="186">
        <f>'Intermediate OLS Model'!$B$8*G111</f>
        <v>0</v>
      </c>
      <c r="P111" s="186">
        <f>'Intermediate OLS Model'!$B$9*H111</f>
        <v>0</v>
      </c>
      <c r="Q111" s="186">
        <f>'Intermediate OLS Model'!$B$10*I111</f>
        <v>4300483.1065004319</v>
      </c>
      <c r="R111" s="127">
        <f t="shared" si="6"/>
        <v>3252038.0628865352</v>
      </c>
    </row>
    <row r="112" spans="1:18">
      <c r="A112" s="128">
        <v>43160</v>
      </c>
      <c r="B112" s="186">
        <f t="shared" si="9"/>
        <v>2018</v>
      </c>
      <c r="C112" s="186">
        <f ca="1">'Monthly Data'!Z112</f>
        <v>3181748.4384670327</v>
      </c>
      <c r="D112" s="186">
        <f t="shared" si="8"/>
        <v>111</v>
      </c>
      <c r="E112" s="186">
        <f>'Monthly Data'!BJ112</f>
        <v>7076.4090470513211</v>
      </c>
      <c r="F112" s="169">
        <f>'Monthly Data'!BS112</f>
        <v>0</v>
      </c>
      <c r="G112" s="169">
        <f>'Monthly Data'!BT112</f>
        <v>0</v>
      </c>
      <c r="H112" s="169">
        <f>'Monthly Data'!CA112</f>
        <v>0</v>
      </c>
      <c r="I112" s="186">
        <f t="shared" si="7"/>
        <v>31</v>
      </c>
      <c r="K112" s="127">
        <f>'Intermediate OLS Model'!$B$5</f>
        <v>-415228.02881662402</v>
      </c>
      <c r="L112" s="186">
        <f>'Intermediate OLS Model'!$B$6*D112</f>
        <v>-638973.53311361128</v>
      </c>
      <c r="M112" s="186">
        <v>0</v>
      </c>
      <c r="N112" s="186">
        <f>'Intermediate OLS Model'!$B$7*F112</f>
        <v>0</v>
      </c>
      <c r="O112" s="186">
        <f>'Intermediate OLS Model'!$B$8*G112</f>
        <v>0</v>
      </c>
      <c r="P112" s="186">
        <f>'Intermediate OLS Model'!$B$9*H112</f>
        <v>0</v>
      </c>
      <c r="Q112" s="186">
        <f>'Intermediate OLS Model'!$B$10*I112</f>
        <v>4597068.1483280482</v>
      </c>
      <c r="R112" s="127">
        <f t="shared" si="6"/>
        <v>3542866.5863978127</v>
      </c>
    </row>
    <row r="113" spans="1:18">
      <c r="A113" s="128">
        <v>43191</v>
      </c>
      <c r="B113" s="186">
        <f t="shared" si="9"/>
        <v>2018</v>
      </c>
      <c r="C113" s="186">
        <f ca="1">'Monthly Data'!Z113</f>
        <v>3438894.3684670329</v>
      </c>
      <c r="D113" s="186">
        <f t="shared" si="8"/>
        <v>112</v>
      </c>
      <c r="E113" s="186">
        <f>'Monthly Data'!BJ113</f>
        <v>7102.4873374552917</v>
      </c>
      <c r="F113" s="169">
        <f>'Monthly Data'!BS113</f>
        <v>0</v>
      </c>
      <c r="G113" s="169">
        <f>'Monthly Data'!BT113</f>
        <v>0</v>
      </c>
      <c r="H113" s="169">
        <f>'Monthly Data'!CA113</f>
        <v>0</v>
      </c>
      <c r="I113" s="186">
        <f t="shared" si="7"/>
        <v>30</v>
      </c>
      <c r="K113" s="127">
        <f>'Intermediate OLS Model'!$B$5</f>
        <v>-415228.02881662402</v>
      </c>
      <c r="L113" s="186">
        <f>'Intermediate OLS Model'!$B$6*D113</f>
        <v>-644730.05142995005</v>
      </c>
      <c r="M113" s="186">
        <v>0</v>
      </c>
      <c r="N113" s="186">
        <f>'Intermediate OLS Model'!$B$7*F113</f>
        <v>0</v>
      </c>
      <c r="O113" s="186">
        <f>'Intermediate OLS Model'!$B$8*G113</f>
        <v>0</v>
      </c>
      <c r="P113" s="186">
        <f>'Intermediate OLS Model'!$B$9*H113</f>
        <v>0</v>
      </c>
      <c r="Q113" s="186">
        <f>'Intermediate OLS Model'!$B$10*I113</f>
        <v>4448775.6274142396</v>
      </c>
      <c r="R113" s="127">
        <f t="shared" si="6"/>
        <v>3388817.5471676653</v>
      </c>
    </row>
    <row r="114" spans="1:18">
      <c r="A114" s="128">
        <v>43221</v>
      </c>
      <c r="B114" s="186">
        <f t="shared" si="9"/>
        <v>2018</v>
      </c>
      <c r="C114" s="186">
        <f ca="1">'Monthly Data'!Z114</f>
        <v>3285743.2084670328</v>
      </c>
      <c r="D114" s="186">
        <f t="shared" si="8"/>
        <v>113</v>
      </c>
      <c r="E114" s="186">
        <f>'Monthly Data'!BJ114</f>
        <v>7168.7321900906645</v>
      </c>
      <c r="F114" s="169">
        <f>'Monthly Data'!BS114</f>
        <v>0</v>
      </c>
      <c r="G114" s="169">
        <f>'Monthly Data'!BT114</f>
        <v>0</v>
      </c>
      <c r="H114" s="169">
        <f>'Monthly Data'!CA114</f>
        <v>0</v>
      </c>
      <c r="I114" s="186">
        <f t="shared" si="7"/>
        <v>31</v>
      </c>
      <c r="K114" s="127">
        <f>'Intermediate OLS Model'!$B$5</f>
        <v>-415228.02881662402</v>
      </c>
      <c r="L114" s="186">
        <f>'Intermediate OLS Model'!$B$6*D114</f>
        <v>-650486.56974628894</v>
      </c>
      <c r="M114" s="186">
        <v>0</v>
      </c>
      <c r="N114" s="186">
        <f>'Intermediate OLS Model'!$B$7*F114</f>
        <v>0</v>
      </c>
      <c r="O114" s="186">
        <f>'Intermediate OLS Model'!$B$8*G114</f>
        <v>0</v>
      </c>
      <c r="P114" s="186">
        <f>'Intermediate OLS Model'!$B$9*H114</f>
        <v>0</v>
      </c>
      <c r="Q114" s="186">
        <f>'Intermediate OLS Model'!$B$10*I114</f>
        <v>4597068.1483280482</v>
      </c>
      <c r="R114" s="127">
        <f t="shared" si="6"/>
        <v>3531353.5497651352</v>
      </c>
    </row>
    <row r="115" spans="1:18">
      <c r="A115" s="128">
        <v>43252</v>
      </c>
      <c r="B115" s="186">
        <f t="shared" si="9"/>
        <v>2018</v>
      </c>
      <c r="C115" s="186">
        <f ca="1">'Monthly Data'!Z115</f>
        <v>3353874.9084670329</v>
      </c>
      <c r="D115" s="186">
        <f t="shared" si="8"/>
        <v>114</v>
      </c>
      <c r="E115" s="186">
        <f>'Monthly Data'!BJ115</f>
        <v>7263.1535863809013</v>
      </c>
      <c r="F115" s="169">
        <f>'Monthly Data'!BS115</f>
        <v>1</v>
      </c>
      <c r="G115" s="169">
        <f>'Monthly Data'!BT115</f>
        <v>0</v>
      </c>
      <c r="H115" s="169">
        <f>'Monthly Data'!CA115</f>
        <v>0</v>
      </c>
      <c r="I115" s="186">
        <f t="shared" si="7"/>
        <v>30</v>
      </c>
      <c r="K115" s="127">
        <f>'Intermediate OLS Model'!$B$5</f>
        <v>-415228.02881662402</v>
      </c>
      <c r="L115" s="186">
        <f>'Intermediate OLS Model'!$B$6*D115</f>
        <v>-656243.08806262782</v>
      </c>
      <c r="M115" s="186">
        <v>0</v>
      </c>
      <c r="N115" s="186">
        <f>'Intermediate OLS Model'!$B$7*F115</f>
        <v>346553.62108035001</v>
      </c>
      <c r="O115" s="186">
        <f>'Intermediate OLS Model'!$B$8*G115</f>
        <v>0</v>
      </c>
      <c r="P115" s="186">
        <f>'Intermediate OLS Model'!$B$9*H115</f>
        <v>0</v>
      </c>
      <c r="Q115" s="186">
        <f>'Intermediate OLS Model'!$B$10*I115</f>
        <v>4448775.6274142396</v>
      </c>
      <c r="R115" s="127">
        <f t="shared" si="6"/>
        <v>3723858.1316153379</v>
      </c>
    </row>
    <row r="116" spans="1:18">
      <c r="A116" s="128">
        <v>43282</v>
      </c>
      <c r="B116" s="186">
        <f t="shared" si="9"/>
        <v>2018</v>
      </c>
      <c r="C116" s="186">
        <f ca="1">'Monthly Data'!Z116</f>
        <v>3983410.6584670329</v>
      </c>
      <c r="D116" s="186">
        <f t="shared" si="8"/>
        <v>115</v>
      </c>
      <c r="E116" s="186">
        <f>'Monthly Data'!BJ116</f>
        <v>7346.3842986663703</v>
      </c>
      <c r="F116" s="169">
        <f>'Monthly Data'!BS116</f>
        <v>0</v>
      </c>
      <c r="G116" s="169">
        <f>'Monthly Data'!BT116</f>
        <v>1</v>
      </c>
      <c r="H116" s="169">
        <f>'Monthly Data'!CA116</f>
        <v>0</v>
      </c>
      <c r="I116" s="186">
        <f t="shared" si="7"/>
        <v>31</v>
      </c>
      <c r="K116" s="127">
        <f>'Intermediate OLS Model'!$B$5</f>
        <v>-415228.02881662402</v>
      </c>
      <c r="L116" s="186">
        <f>'Intermediate OLS Model'!$B$6*D116</f>
        <v>-661999.60637896659</v>
      </c>
      <c r="M116" s="186">
        <v>0</v>
      </c>
      <c r="N116" s="186">
        <f>'Intermediate OLS Model'!$B$7*F116</f>
        <v>0</v>
      </c>
      <c r="O116" s="186">
        <f>'Intermediate OLS Model'!$B$8*G116</f>
        <v>428565.96548408002</v>
      </c>
      <c r="P116" s="186">
        <f>'Intermediate OLS Model'!$B$9*H116</f>
        <v>0</v>
      </c>
      <c r="Q116" s="186">
        <f>'Intermediate OLS Model'!$B$10*I116</f>
        <v>4597068.1483280482</v>
      </c>
      <c r="R116" s="127">
        <f t="shared" si="6"/>
        <v>3948406.4786165375</v>
      </c>
    </row>
    <row r="117" spans="1:18">
      <c r="A117" s="128">
        <v>43313</v>
      </c>
      <c r="B117" s="186">
        <f t="shared" si="9"/>
        <v>2018</v>
      </c>
      <c r="C117" s="186">
        <f ca="1">'Monthly Data'!Z117</f>
        <v>3230274.8984670327</v>
      </c>
      <c r="D117" s="186">
        <f t="shared" si="8"/>
        <v>116</v>
      </c>
      <c r="E117" s="186">
        <f>'Monthly Data'!BJ117</f>
        <v>7349.8813874178613</v>
      </c>
      <c r="F117" s="169">
        <f>'Monthly Data'!BS117</f>
        <v>0</v>
      </c>
      <c r="G117" s="169">
        <f>'Monthly Data'!BT117</f>
        <v>0</v>
      </c>
      <c r="H117" s="169">
        <f>'Monthly Data'!CA117</f>
        <v>0</v>
      </c>
      <c r="I117" s="186">
        <f t="shared" si="7"/>
        <v>31</v>
      </c>
      <c r="K117" s="127">
        <f>'Intermediate OLS Model'!$B$5</f>
        <v>-415228.02881662402</v>
      </c>
      <c r="L117" s="186">
        <f>'Intermediate OLS Model'!$B$6*D117</f>
        <v>-667756.12469530548</v>
      </c>
      <c r="M117" s="186">
        <v>0</v>
      </c>
      <c r="N117" s="186">
        <f>'Intermediate OLS Model'!$B$7*F117</f>
        <v>0</v>
      </c>
      <c r="O117" s="186">
        <f>'Intermediate OLS Model'!$B$8*G117</f>
        <v>0</v>
      </c>
      <c r="P117" s="186">
        <f>'Intermediate OLS Model'!$B$9*H117</f>
        <v>0</v>
      </c>
      <c r="Q117" s="186">
        <f>'Intermediate OLS Model'!$B$10*I117</f>
        <v>4597068.1483280482</v>
      </c>
      <c r="R117" s="127">
        <f t="shared" si="6"/>
        <v>3514083.9948161189</v>
      </c>
    </row>
    <row r="118" spans="1:18">
      <c r="A118" s="128">
        <v>43344</v>
      </c>
      <c r="B118" s="186">
        <f t="shared" si="9"/>
        <v>2018</v>
      </c>
      <c r="C118" s="186">
        <f ca="1">'Monthly Data'!Z118</f>
        <v>3384714.4784670328</v>
      </c>
      <c r="D118" s="186">
        <f t="shared" si="8"/>
        <v>117</v>
      </c>
      <c r="E118" s="186">
        <f>'Monthly Data'!BJ118</f>
        <v>7309.115324257632</v>
      </c>
      <c r="F118" s="169">
        <f>'Monthly Data'!BS118</f>
        <v>0</v>
      </c>
      <c r="G118" s="169">
        <f>'Monthly Data'!BT118</f>
        <v>0</v>
      </c>
      <c r="H118" s="169">
        <f>'Monthly Data'!CA118</f>
        <v>1</v>
      </c>
      <c r="I118" s="186">
        <f t="shared" si="7"/>
        <v>30</v>
      </c>
      <c r="K118" s="127">
        <f>'Intermediate OLS Model'!$B$5</f>
        <v>-415228.02881662402</v>
      </c>
      <c r="L118" s="186">
        <f>'Intermediate OLS Model'!$B$6*D118</f>
        <v>-673512.64301164425</v>
      </c>
      <c r="M118" s="186">
        <v>0</v>
      </c>
      <c r="N118" s="186">
        <f>'Intermediate OLS Model'!$B$7*F118</f>
        <v>0</v>
      </c>
      <c r="O118" s="186">
        <f>'Intermediate OLS Model'!$B$8*G118</f>
        <v>0</v>
      </c>
      <c r="P118" s="186">
        <f>'Intermediate OLS Model'!$B$9*H118</f>
        <v>219659.05071226999</v>
      </c>
      <c r="Q118" s="186">
        <f>'Intermediate OLS Model'!$B$10*I118</f>
        <v>4448775.6274142396</v>
      </c>
      <c r="R118" s="127">
        <f t="shared" ref="R118:R145" si="10">SUM(K118:Q118)</f>
        <v>3579694.0062982412</v>
      </c>
    </row>
    <row r="119" spans="1:18">
      <c r="A119" s="128">
        <v>43374</v>
      </c>
      <c r="B119" s="186">
        <f t="shared" si="9"/>
        <v>2018</v>
      </c>
      <c r="C119" s="186">
        <f ca="1">'Monthly Data'!Z119</f>
        <v>3691608.7784670331</v>
      </c>
      <c r="D119" s="186">
        <f t="shared" si="8"/>
        <v>118</v>
      </c>
      <c r="E119" s="186">
        <f>'Monthly Data'!BJ119</f>
        <v>7268.3492610974017</v>
      </c>
      <c r="F119" s="169">
        <f>'Monthly Data'!BS119</f>
        <v>0</v>
      </c>
      <c r="G119" s="169">
        <f>'Monthly Data'!BT119</f>
        <v>0</v>
      </c>
      <c r="H119" s="169">
        <f>'Monthly Data'!CA119</f>
        <v>1</v>
      </c>
      <c r="I119" s="186">
        <f t="shared" si="7"/>
        <v>31</v>
      </c>
      <c r="K119" s="127">
        <f>'Intermediate OLS Model'!$B$5</f>
        <v>-415228.02881662402</v>
      </c>
      <c r="L119" s="186">
        <f>'Intermediate OLS Model'!$B$6*D119</f>
        <v>-679269.16132798314</v>
      </c>
      <c r="M119" s="186">
        <v>0</v>
      </c>
      <c r="N119" s="186">
        <f>'Intermediate OLS Model'!$B$7*F119</f>
        <v>0</v>
      </c>
      <c r="O119" s="186">
        <f>'Intermediate OLS Model'!$B$8*G119</f>
        <v>0</v>
      </c>
      <c r="P119" s="186">
        <f>'Intermediate OLS Model'!$B$9*H119</f>
        <v>219659.05071226999</v>
      </c>
      <c r="Q119" s="186">
        <f>'Intermediate OLS Model'!$B$10*I119</f>
        <v>4597068.1483280482</v>
      </c>
      <c r="R119" s="127">
        <f t="shared" si="10"/>
        <v>3722230.008895711</v>
      </c>
    </row>
    <row r="120" spans="1:18">
      <c r="A120" s="128">
        <v>43405</v>
      </c>
      <c r="B120" s="186">
        <f t="shared" si="9"/>
        <v>2018</v>
      </c>
      <c r="C120" s="186">
        <f ca="1">'Monthly Data'!Z120</f>
        <v>3541248.8384670331</v>
      </c>
      <c r="D120" s="186">
        <f t="shared" si="8"/>
        <v>119</v>
      </c>
      <c r="E120" s="186">
        <f>'Monthly Data'!BJ120</f>
        <v>7272.9454348850759</v>
      </c>
      <c r="F120" s="169">
        <f>'Monthly Data'!BS120</f>
        <v>0</v>
      </c>
      <c r="G120" s="169">
        <f>'Monthly Data'!BT120</f>
        <v>0</v>
      </c>
      <c r="H120" s="169">
        <f>'Monthly Data'!CA120</f>
        <v>1</v>
      </c>
      <c r="I120" s="186">
        <f t="shared" si="7"/>
        <v>30</v>
      </c>
      <c r="K120" s="127">
        <f>'Intermediate OLS Model'!$B$5</f>
        <v>-415228.02881662402</v>
      </c>
      <c r="L120" s="186">
        <f>'Intermediate OLS Model'!$B$6*D120</f>
        <v>-685025.67964432202</v>
      </c>
      <c r="M120" s="186">
        <v>0</v>
      </c>
      <c r="N120" s="186">
        <f>'Intermediate OLS Model'!$B$7*F120</f>
        <v>0</v>
      </c>
      <c r="O120" s="186">
        <f>'Intermediate OLS Model'!$B$8*G120</f>
        <v>0</v>
      </c>
      <c r="P120" s="186">
        <f>'Intermediate OLS Model'!$B$9*H120</f>
        <v>219659.05071226999</v>
      </c>
      <c r="Q120" s="186">
        <f>'Intermediate OLS Model'!$B$10*I120</f>
        <v>4448775.6274142396</v>
      </c>
      <c r="R120" s="127">
        <f t="shared" si="10"/>
        <v>3568180.9696655637</v>
      </c>
    </row>
    <row r="121" spans="1:18">
      <c r="A121" s="128">
        <v>43435</v>
      </c>
      <c r="B121" s="186">
        <f t="shared" si="9"/>
        <v>2018</v>
      </c>
      <c r="C121" s="186">
        <f ca="1">'Monthly Data'!Z121</f>
        <v>3941344.4184670327</v>
      </c>
      <c r="D121" s="186">
        <f t="shared" si="8"/>
        <v>120</v>
      </c>
      <c r="E121" s="186">
        <f>'Monthly Data'!BJ121</f>
        <v>7296.6257215737387</v>
      </c>
      <c r="F121" s="169">
        <f>'Monthly Data'!BS121</f>
        <v>0</v>
      </c>
      <c r="G121" s="169">
        <f>'Monthly Data'!BT121</f>
        <v>0</v>
      </c>
      <c r="H121" s="169">
        <f>'Monthly Data'!CA121</f>
        <v>0</v>
      </c>
      <c r="I121" s="186">
        <f t="shared" si="7"/>
        <v>31</v>
      </c>
      <c r="K121" s="127">
        <f>'Intermediate OLS Model'!$B$5</f>
        <v>-415228.02881662402</v>
      </c>
      <c r="L121" s="186">
        <f>'Intermediate OLS Model'!$B$6*D121</f>
        <v>-690782.19796066079</v>
      </c>
      <c r="M121" s="186">
        <v>0</v>
      </c>
      <c r="N121" s="186">
        <f>'Intermediate OLS Model'!$B$7*F121</f>
        <v>0</v>
      </c>
      <c r="O121" s="186">
        <f>'Intermediate OLS Model'!$B$8*G121</f>
        <v>0</v>
      </c>
      <c r="P121" s="186">
        <f>'Intermediate OLS Model'!$B$9*H121</f>
        <v>0</v>
      </c>
      <c r="Q121" s="186">
        <f>'Intermediate OLS Model'!$B$10*I121</f>
        <v>4597068.1483280482</v>
      </c>
      <c r="R121" s="127">
        <f t="shared" si="10"/>
        <v>3491057.9215507633</v>
      </c>
    </row>
    <row r="122" spans="1:18">
      <c r="A122" s="128">
        <v>43466</v>
      </c>
      <c r="B122" s="127">
        <f t="shared" ref="B122:B145" si="11">YEAR(A122)</f>
        <v>2019</v>
      </c>
      <c r="D122" s="127">
        <f t="shared" si="8"/>
        <v>121</v>
      </c>
      <c r="E122" s="127">
        <f>E110*(1+Employment!L$4)</f>
        <v>7341.4998048986618</v>
      </c>
      <c r="F122" s="169">
        <f t="shared" ref="F122:H122" si="12">F74</f>
        <v>0</v>
      </c>
      <c r="G122" s="169">
        <f t="shared" si="12"/>
        <v>0</v>
      </c>
      <c r="H122" s="169">
        <f t="shared" si="12"/>
        <v>0</v>
      </c>
      <c r="I122" s="127">
        <f t="shared" ref="I122:I129" si="13">I110</f>
        <v>31</v>
      </c>
      <c r="K122" s="127">
        <f>'Intermediate OLS Model'!$B$5</f>
        <v>-415228.02881662402</v>
      </c>
      <c r="L122" s="186">
        <f>'Intermediate OLS Model'!$B$6*D122</f>
        <v>-696538.71627699968</v>
      </c>
      <c r="M122" s="186">
        <v>0</v>
      </c>
      <c r="N122" s="186">
        <f>'Intermediate OLS Model'!$B$7*F122</f>
        <v>0</v>
      </c>
      <c r="O122" s="186">
        <f>'Intermediate OLS Model'!$B$8*G122</f>
        <v>0</v>
      </c>
      <c r="P122" s="186">
        <f>'Intermediate OLS Model'!$B$9*H122</f>
        <v>0</v>
      </c>
      <c r="Q122" s="186">
        <f>'Intermediate OLS Model'!$B$10*I122</f>
        <v>4597068.1483280482</v>
      </c>
      <c r="R122" s="127">
        <f t="shared" si="10"/>
        <v>3485301.4032344245</v>
      </c>
    </row>
    <row r="123" spans="1:18">
      <c r="A123" s="128">
        <v>43497</v>
      </c>
      <c r="B123" s="127">
        <f t="shared" si="11"/>
        <v>2019</v>
      </c>
      <c r="D123" s="127">
        <f t="shared" si="8"/>
        <v>122</v>
      </c>
      <c r="E123" s="127">
        <f>E111*(1+Employment!L$4)</f>
        <v>7293.5977622824184</v>
      </c>
      <c r="F123" s="169">
        <f t="shared" ref="F123:H123" si="14">F75</f>
        <v>0</v>
      </c>
      <c r="G123" s="169">
        <f t="shared" si="14"/>
        <v>0</v>
      </c>
      <c r="H123" s="169">
        <f t="shared" si="14"/>
        <v>0</v>
      </c>
      <c r="I123" s="127">
        <f t="shared" si="13"/>
        <v>29</v>
      </c>
      <c r="K123" s="127">
        <f>'Intermediate OLS Model'!$B$5</f>
        <v>-415228.02881662402</v>
      </c>
      <c r="L123" s="186">
        <f>'Intermediate OLS Model'!$B$6*D123</f>
        <v>-702295.23459333845</v>
      </c>
      <c r="M123" s="186">
        <v>0</v>
      </c>
      <c r="N123" s="186">
        <f>'Intermediate OLS Model'!$B$7*F123</f>
        <v>0</v>
      </c>
      <c r="O123" s="186">
        <f>'Intermediate OLS Model'!$B$8*G123</f>
        <v>0</v>
      </c>
      <c r="P123" s="186">
        <f>'Intermediate OLS Model'!$B$9*H123</f>
        <v>0</v>
      </c>
      <c r="Q123" s="186">
        <f>'Intermediate OLS Model'!$B$10*I123</f>
        <v>4300483.1065004319</v>
      </c>
      <c r="R123" s="127">
        <f t="shared" si="10"/>
        <v>3182959.8430904695</v>
      </c>
    </row>
    <row r="124" spans="1:18">
      <c r="A124" s="128">
        <v>43525</v>
      </c>
      <c r="B124" s="127">
        <f t="shared" si="11"/>
        <v>2019</v>
      </c>
      <c r="D124" s="127">
        <f t="shared" si="8"/>
        <v>123</v>
      </c>
      <c r="E124" s="127">
        <f>E112*(1+Employment!L$4)</f>
        <v>7249.0734277993733</v>
      </c>
      <c r="F124" s="169">
        <f t="shared" ref="F124:H124" si="15">F76</f>
        <v>0</v>
      </c>
      <c r="G124" s="169">
        <f t="shared" si="15"/>
        <v>0</v>
      </c>
      <c r="H124" s="169">
        <f t="shared" si="15"/>
        <v>0</v>
      </c>
      <c r="I124" s="127">
        <f t="shared" si="13"/>
        <v>31</v>
      </c>
      <c r="K124" s="127">
        <f>'Intermediate OLS Model'!$B$5</f>
        <v>-415228.02881662402</v>
      </c>
      <c r="L124" s="186">
        <f>'Intermediate OLS Model'!$B$6*D124</f>
        <v>-708051.75290967734</v>
      </c>
      <c r="M124" s="186">
        <v>0</v>
      </c>
      <c r="N124" s="186">
        <f>'Intermediate OLS Model'!$B$7*F124</f>
        <v>0</v>
      </c>
      <c r="O124" s="186">
        <f>'Intermediate OLS Model'!$B$8*G124</f>
        <v>0</v>
      </c>
      <c r="P124" s="186">
        <f>'Intermediate OLS Model'!$B$9*H124</f>
        <v>0</v>
      </c>
      <c r="Q124" s="186">
        <f>'Intermediate OLS Model'!$B$10*I124</f>
        <v>4597068.1483280482</v>
      </c>
      <c r="R124" s="127">
        <f t="shared" si="10"/>
        <v>3473788.3666017465</v>
      </c>
    </row>
    <row r="125" spans="1:18">
      <c r="A125" s="128">
        <v>43556</v>
      </c>
      <c r="B125" s="127">
        <f t="shared" si="11"/>
        <v>2019</v>
      </c>
      <c r="D125" s="127">
        <f t="shared" si="8"/>
        <v>124</v>
      </c>
      <c r="E125" s="127">
        <f>E113*(1+Employment!L$4)</f>
        <v>7275.7880284892008</v>
      </c>
      <c r="F125" s="169">
        <f t="shared" ref="F125:H125" si="16">F77</f>
        <v>0</v>
      </c>
      <c r="G125" s="169">
        <f t="shared" si="16"/>
        <v>0</v>
      </c>
      <c r="H125" s="169">
        <f t="shared" si="16"/>
        <v>0</v>
      </c>
      <c r="I125" s="127">
        <f t="shared" si="13"/>
        <v>30</v>
      </c>
      <c r="K125" s="127">
        <f>'Intermediate OLS Model'!$B$5</f>
        <v>-415228.02881662402</v>
      </c>
      <c r="L125" s="186">
        <f>'Intermediate OLS Model'!$B$6*D125</f>
        <v>-713808.27122601622</v>
      </c>
      <c r="M125" s="186">
        <v>0</v>
      </c>
      <c r="N125" s="186">
        <f>'Intermediate OLS Model'!$B$7*F125</f>
        <v>0</v>
      </c>
      <c r="O125" s="186">
        <f>'Intermediate OLS Model'!$B$8*G125</f>
        <v>0</v>
      </c>
      <c r="P125" s="186">
        <f>'Intermediate OLS Model'!$B$9*H125</f>
        <v>0</v>
      </c>
      <c r="Q125" s="186">
        <f>'Intermediate OLS Model'!$B$10*I125</f>
        <v>4448775.6274142396</v>
      </c>
      <c r="R125" s="127">
        <f t="shared" si="10"/>
        <v>3319739.3273715992</v>
      </c>
    </row>
    <row r="126" spans="1:18">
      <c r="A126" s="128">
        <v>43586</v>
      </c>
      <c r="B126" s="127">
        <f t="shared" si="11"/>
        <v>2019</v>
      </c>
      <c r="D126" s="127">
        <f t="shared" si="8"/>
        <v>125</v>
      </c>
      <c r="E126" s="127">
        <f>E114*(1+Employment!L$4)</f>
        <v>7343.6492555288769</v>
      </c>
      <c r="F126" s="169">
        <f t="shared" ref="F126:H126" si="17">F78</f>
        <v>0</v>
      </c>
      <c r="G126" s="169">
        <f t="shared" si="17"/>
        <v>0</v>
      </c>
      <c r="H126" s="169">
        <f t="shared" si="17"/>
        <v>0</v>
      </c>
      <c r="I126" s="127">
        <f t="shared" si="13"/>
        <v>31</v>
      </c>
      <c r="K126" s="127">
        <f>'Intermediate OLS Model'!$B$5</f>
        <v>-415228.02881662402</v>
      </c>
      <c r="L126" s="186">
        <f>'Intermediate OLS Model'!$B$6*D126</f>
        <v>-719564.78954235499</v>
      </c>
      <c r="M126" s="186">
        <v>0</v>
      </c>
      <c r="N126" s="186">
        <f>'Intermediate OLS Model'!$B$7*F126</f>
        <v>0</v>
      </c>
      <c r="O126" s="186">
        <f>'Intermediate OLS Model'!$B$8*G126</f>
        <v>0</v>
      </c>
      <c r="P126" s="186">
        <f>'Intermediate OLS Model'!$B$9*H126</f>
        <v>0</v>
      </c>
      <c r="Q126" s="186">
        <f>'Intermediate OLS Model'!$B$10*I126</f>
        <v>4597068.1483280482</v>
      </c>
      <c r="R126" s="127">
        <f t="shared" si="10"/>
        <v>3462275.329969069</v>
      </c>
    </row>
    <row r="127" spans="1:18">
      <c r="A127" s="128">
        <v>43617</v>
      </c>
      <c r="B127" s="127">
        <f t="shared" si="11"/>
        <v>2019</v>
      </c>
      <c r="D127" s="127">
        <f t="shared" si="8"/>
        <v>126</v>
      </c>
      <c r="E127" s="127">
        <f>E115*(1+Employment!L$4)</f>
        <v>7440.3745338885947</v>
      </c>
      <c r="F127" s="169">
        <f t="shared" ref="F127:H127" si="18">F79</f>
        <v>1</v>
      </c>
      <c r="G127" s="169">
        <f t="shared" si="18"/>
        <v>0</v>
      </c>
      <c r="H127" s="169">
        <f t="shared" si="18"/>
        <v>0</v>
      </c>
      <c r="I127" s="127">
        <f t="shared" si="13"/>
        <v>30</v>
      </c>
      <c r="K127" s="127">
        <f>'Intermediate OLS Model'!$B$5</f>
        <v>-415228.02881662402</v>
      </c>
      <c r="L127" s="186">
        <f>'Intermediate OLS Model'!$B$6*D127</f>
        <v>-725321.30785869388</v>
      </c>
      <c r="M127" s="186">
        <v>0</v>
      </c>
      <c r="N127" s="186">
        <f>'Intermediate OLS Model'!$B$7*F127</f>
        <v>346553.62108035001</v>
      </c>
      <c r="O127" s="186">
        <f>'Intermediate OLS Model'!$B$8*G127</f>
        <v>0</v>
      </c>
      <c r="P127" s="186">
        <f>'Intermediate OLS Model'!$B$9*H127</f>
        <v>0</v>
      </c>
      <c r="Q127" s="186">
        <f>'Intermediate OLS Model'!$B$10*I127</f>
        <v>4448775.6274142396</v>
      </c>
      <c r="R127" s="127">
        <f t="shared" si="10"/>
        <v>3654779.9118192717</v>
      </c>
    </row>
    <row r="128" spans="1:18">
      <c r="A128" s="128">
        <v>43647</v>
      </c>
      <c r="B128" s="127">
        <f t="shared" si="11"/>
        <v>2019</v>
      </c>
      <c r="D128" s="127">
        <f t="shared" si="8"/>
        <v>127</v>
      </c>
      <c r="E128" s="127">
        <f>E116*(1+Employment!L$4)</f>
        <v>7525.6360755538299</v>
      </c>
      <c r="F128" s="169">
        <f t="shared" ref="F128:H128" si="19">F80</f>
        <v>0</v>
      </c>
      <c r="G128" s="169">
        <f t="shared" si="19"/>
        <v>1</v>
      </c>
      <c r="H128" s="169">
        <f t="shared" si="19"/>
        <v>0</v>
      </c>
      <c r="I128" s="127">
        <f t="shared" si="13"/>
        <v>31</v>
      </c>
      <c r="K128" s="127">
        <f>'Intermediate OLS Model'!$B$5</f>
        <v>-415228.02881662402</v>
      </c>
      <c r="L128" s="186">
        <f>'Intermediate OLS Model'!$B$6*D128</f>
        <v>-731077.82617503265</v>
      </c>
      <c r="M128" s="186">
        <v>0</v>
      </c>
      <c r="N128" s="186">
        <f>'Intermediate OLS Model'!$B$7*F128</f>
        <v>0</v>
      </c>
      <c r="O128" s="186">
        <f>'Intermediate OLS Model'!$B$8*G128</f>
        <v>428565.96548408002</v>
      </c>
      <c r="P128" s="186">
        <f>'Intermediate OLS Model'!$B$9*H128</f>
        <v>0</v>
      </c>
      <c r="Q128" s="186">
        <f>'Intermediate OLS Model'!$B$10*I128</f>
        <v>4597068.1483280482</v>
      </c>
      <c r="R128" s="127">
        <f t="shared" si="10"/>
        <v>3879328.2588204714</v>
      </c>
    </row>
    <row r="129" spans="1:18">
      <c r="A129" s="128">
        <v>43678</v>
      </c>
      <c r="B129" s="127">
        <f t="shared" si="11"/>
        <v>2019</v>
      </c>
      <c r="D129" s="127">
        <f t="shared" si="8"/>
        <v>128</v>
      </c>
      <c r="E129" s="127">
        <f>E117*(1+Employment!L$4)</f>
        <v>7529.2184932708569</v>
      </c>
      <c r="F129" s="169">
        <f t="shared" ref="F129:H129" si="20">F81</f>
        <v>0</v>
      </c>
      <c r="G129" s="169">
        <f t="shared" si="20"/>
        <v>0</v>
      </c>
      <c r="H129" s="169">
        <f t="shared" si="20"/>
        <v>0</v>
      </c>
      <c r="I129" s="127">
        <f t="shared" si="13"/>
        <v>31</v>
      </c>
      <c r="K129" s="127">
        <f>'Intermediate OLS Model'!$B$5</f>
        <v>-415228.02881662402</v>
      </c>
      <c r="L129" s="186">
        <f>'Intermediate OLS Model'!$B$6*D129</f>
        <v>-736834.34449137154</v>
      </c>
      <c r="M129" s="186">
        <v>0</v>
      </c>
      <c r="N129" s="186">
        <f>'Intermediate OLS Model'!$B$7*F129</f>
        <v>0</v>
      </c>
      <c r="O129" s="186">
        <f>'Intermediate OLS Model'!$B$8*G129</f>
        <v>0</v>
      </c>
      <c r="P129" s="186">
        <f>'Intermediate OLS Model'!$B$9*H129</f>
        <v>0</v>
      </c>
      <c r="Q129" s="186">
        <f>'Intermediate OLS Model'!$B$10*I129</f>
        <v>4597068.1483280482</v>
      </c>
      <c r="R129" s="127">
        <f t="shared" si="10"/>
        <v>3445005.7750200527</v>
      </c>
    </row>
    <row r="130" spans="1:18">
      <c r="A130" s="128">
        <v>43709</v>
      </c>
      <c r="B130" s="127">
        <f t="shared" si="11"/>
        <v>2019</v>
      </c>
      <c r="D130" s="127">
        <f t="shared" si="8"/>
        <v>129</v>
      </c>
      <c r="E130" s="127">
        <f>E118*(1+Employment!L$4)</f>
        <v>7487.4577381695181</v>
      </c>
      <c r="F130" s="169">
        <f t="shared" ref="F130:H130" si="21">F82</f>
        <v>0</v>
      </c>
      <c r="G130" s="169">
        <f t="shared" si="21"/>
        <v>0</v>
      </c>
      <c r="H130" s="169">
        <f t="shared" si="21"/>
        <v>1</v>
      </c>
      <c r="I130" s="127">
        <f t="shared" ref="I130:I145" si="22">I118</f>
        <v>30</v>
      </c>
      <c r="K130" s="127">
        <f>'Intermediate OLS Model'!$B$5</f>
        <v>-415228.02881662402</v>
      </c>
      <c r="L130" s="186">
        <f>'Intermediate OLS Model'!$B$6*D130</f>
        <v>-742590.86280771042</v>
      </c>
      <c r="M130" s="186">
        <v>0</v>
      </c>
      <c r="N130" s="186">
        <f>'Intermediate OLS Model'!$B$7*F130</f>
        <v>0</v>
      </c>
      <c r="O130" s="186">
        <f>'Intermediate OLS Model'!$B$8*G130</f>
        <v>0</v>
      </c>
      <c r="P130" s="186">
        <f>'Intermediate OLS Model'!$B$9*H130</f>
        <v>219659.05071226999</v>
      </c>
      <c r="Q130" s="186">
        <f>'Intermediate OLS Model'!$B$10*I130</f>
        <v>4448775.6274142396</v>
      </c>
      <c r="R130" s="127">
        <f t="shared" si="10"/>
        <v>3510615.786502175</v>
      </c>
    </row>
    <row r="131" spans="1:18">
      <c r="A131" s="128">
        <v>43739</v>
      </c>
      <c r="B131" s="127">
        <f t="shared" si="11"/>
        <v>2019</v>
      </c>
      <c r="D131" s="127">
        <f t="shared" si="8"/>
        <v>130</v>
      </c>
      <c r="E131" s="127">
        <f>E119*(1+Employment!L$4)</f>
        <v>7445.6969830681783</v>
      </c>
      <c r="F131" s="169">
        <f t="shared" ref="F131:H131" si="23">F83</f>
        <v>0</v>
      </c>
      <c r="G131" s="169">
        <f t="shared" si="23"/>
        <v>0</v>
      </c>
      <c r="H131" s="169">
        <f t="shared" si="23"/>
        <v>1</v>
      </c>
      <c r="I131" s="127">
        <f t="shared" si="22"/>
        <v>31</v>
      </c>
      <c r="K131" s="127">
        <f>'Intermediate OLS Model'!$B$5</f>
        <v>-415228.02881662402</v>
      </c>
      <c r="L131" s="186">
        <f>'Intermediate OLS Model'!$B$6*D131</f>
        <v>-748347.38112404919</v>
      </c>
      <c r="M131" s="186">
        <v>0</v>
      </c>
      <c r="N131" s="186">
        <f>'Intermediate OLS Model'!$B$7*F131</f>
        <v>0</v>
      </c>
      <c r="O131" s="186">
        <f>'Intermediate OLS Model'!$B$8*G131</f>
        <v>0</v>
      </c>
      <c r="P131" s="186">
        <f>'Intermediate OLS Model'!$B$9*H131</f>
        <v>219659.05071226999</v>
      </c>
      <c r="Q131" s="186">
        <f>'Intermediate OLS Model'!$B$10*I131</f>
        <v>4597068.1483280482</v>
      </c>
      <c r="R131" s="127">
        <f t="shared" si="10"/>
        <v>3653151.7890996449</v>
      </c>
    </row>
    <row r="132" spans="1:18">
      <c r="A132" s="128">
        <v>43770</v>
      </c>
      <c r="B132" s="127">
        <f t="shared" si="11"/>
        <v>2019</v>
      </c>
      <c r="D132" s="127">
        <f t="shared" si="8"/>
        <v>131</v>
      </c>
      <c r="E132" s="127">
        <f>E120*(1+Employment!L$4)</f>
        <v>7450.4053034962717</v>
      </c>
      <c r="F132" s="169">
        <f t="shared" ref="F132:H132" si="24">F84</f>
        <v>0</v>
      </c>
      <c r="G132" s="169">
        <f t="shared" si="24"/>
        <v>0</v>
      </c>
      <c r="H132" s="169">
        <f t="shared" si="24"/>
        <v>1</v>
      </c>
      <c r="I132" s="127">
        <f t="shared" si="22"/>
        <v>30</v>
      </c>
      <c r="K132" s="127">
        <f>'Intermediate OLS Model'!$B$5</f>
        <v>-415228.02881662402</v>
      </c>
      <c r="L132" s="186">
        <f>'Intermediate OLS Model'!$B$6*D132</f>
        <v>-754103.89944038808</v>
      </c>
      <c r="M132" s="186">
        <v>0</v>
      </c>
      <c r="N132" s="186">
        <f>'Intermediate OLS Model'!$B$7*F132</f>
        <v>0</v>
      </c>
      <c r="O132" s="186">
        <f>'Intermediate OLS Model'!$B$8*G132</f>
        <v>0</v>
      </c>
      <c r="P132" s="186">
        <f>'Intermediate OLS Model'!$B$9*H132</f>
        <v>219659.05071226999</v>
      </c>
      <c r="Q132" s="186">
        <f>'Intermediate OLS Model'!$B$10*I132</f>
        <v>4448775.6274142396</v>
      </c>
      <c r="R132" s="127">
        <f t="shared" si="10"/>
        <v>3499102.7498694975</v>
      </c>
    </row>
    <row r="133" spans="1:18">
      <c r="A133" s="128">
        <v>43800</v>
      </c>
      <c r="B133" s="127">
        <f t="shared" si="11"/>
        <v>2019</v>
      </c>
      <c r="D133" s="127">
        <f t="shared" si="8"/>
        <v>132</v>
      </c>
      <c r="E133" s="127">
        <f>E121*(1+Employment!L$4)</f>
        <v>7474.6633891801375</v>
      </c>
      <c r="F133" s="169">
        <f t="shared" ref="F133:H133" si="25">F85</f>
        <v>0</v>
      </c>
      <c r="G133" s="169">
        <f t="shared" si="25"/>
        <v>0</v>
      </c>
      <c r="H133" s="169">
        <f t="shared" si="25"/>
        <v>0</v>
      </c>
      <c r="I133" s="127">
        <f t="shared" si="22"/>
        <v>31</v>
      </c>
      <c r="K133" s="127">
        <f>'Intermediate OLS Model'!$B$5</f>
        <v>-415228.02881662402</v>
      </c>
      <c r="L133" s="186">
        <f>'Intermediate OLS Model'!$B$6*D133</f>
        <v>-759860.41775672685</v>
      </c>
      <c r="M133" s="186">
        <v>0</v>
      </c>
      <c r="N133" s="186">
        <f>'Intermediate OLS Model'!$B$7*F133</f>
        <v>0</v>
      </c>
      <c r="O133" s="186">
        <f>'Intermediate OLS Model'!$B$8*G133</f>
        <v>0</v>
      </c>
      <c r="P133" s="186">
        <f>'Intermediate OLS Model'!$B$9*H133</f>
        <v>0</v>
      </c>
      <c r="Q133" s="186">
        <f>'Intermediate OLS Model'!$B$10*I133</f>
        <v>4597068.1483280482</v>
      </c>
      <c r="R133" s="127">
        <f t="shared" si="10"/>
        <v>3421979.7017546976</v>
      </c>
    </row>
    <row r="134" spans="1:18">
      <c r="A134" s="128">
        <v>43831</v>
      </c>
      <c r="B134" s="127">
        <f t="shared" si="11"/>
        <v>2020</v>
      </c>
      <c r="D134" s="127">
        <f t="shared" si="8"/>
        <v>133</v>
      </c>
      <c r="E134" s="127">
        <f>E122*(1+Employment!L$5)</f>
        <v>7417.8514028696072</v>
      </c>
      <c r="F134" s="169">
        <f t="shared" ref="F134:H134" si="26">F86</f>
        <v>0</v>
      </c>
      <c r="G134" s="169">
        <f t="shared" si="26"/>
        <v>0</v>
      </c>
      <c r="H134" s="169">
        <f t="shared" si="26"/>
        <v>0</v>
      </c>
      <c r="I134" s="127">
        <f t="shared" si="22"/>
        <v>31</v>
      </c>
      <c r="K134" s="127">
        <f>'Intermediate OLS Model'!$B$5</f>
        <v>-415228.02881662402</v>
      </c>
      <c r="L134" s="186">
        <f>'Intermediate OLS Model'!$B$6*D134</f>
        <v>-765616.93607306574</v>
      </c>
      <c r="M134" s="186">
        <v>0</v>
      </c>
      <c r="N134" s="186">
        <f>'Intermediate OLS Model'!$B$7*F134</f>
        <v>0</v>
      </c>
      <c r="O134" s="186">
        <f>'Intermediate OLS Model'!$B$8*G134</f>
        <v>0</v>
      </c>
      <c r="P134" s="186">
        <f>'Intermediate OLS Model'!$B$9*H134</f>
        <v>0</v>
      </c>
      <c r="Q134" s="186">
        <f>'Intermediate OLS Model'!$B$10*I134</f>
        <v>4597068.1483280482</v>
      </c>
      <c r="R134" s="127">
        <f t="shared" si="10"/>
        <v>3416223.1834383584</v>
      </c>
    </row>
    <row r="135" spans="1:18">
      <c r="A135" s="128">
        <v>43862</v>
      </c>
      <c r="B135" s="127">
        <f t="shared" si="11"/>
        <v>2020</v>
      </c>
      <c r="D135" s="127">
        <f t="shared" si="8"/>
        <v>134</v>
      </c>
      <c r="E135" s="127">
        <f>E123*(1+Employment!L$5)</f>
        <v>7369.4511790101551</v>
      </c>
      <c r="F135" s="169">
        <f t="shared" ref="F135:H135" si="27">F87</f>
        <v>0</v>
      </c>
      <c r="G135" s="169">
        <f t="shared" si="27"/>
        <v>0</v>
      </c>
      <c r="H135" s="169">
        <f t="shared" si="27"/>
        <v>0</v>
      </c>
      <c r="I135" s="127">
        <f t="shared" si="22"/>
        <v>29</v>
      </c>
      <c r="K135" s="127">
        <f>'Intermediate OLS Model'!$B$5</f>
        <v>-415228.02881662402</v>
      </c>
      <c r="L135" s="186">
        <f>'Intermediate OLS Model'!$B$6*D135</f>
        <v>-771373.45438940462</v>
      </c>
      <c r="M135" s="186">
        <v>0</v>
      </c>
      <c r="N135" s="186">
        <f>'Intermediate OLS Model'!$B$7*F135</f>
        <v>0</v>
      </c>
      <c r="O135" s="186">
        <f>'Intermediate OLS Model'!$B$8*G135</f>
        <v>0</v>
      </c>
      <c r="P135" s="186">
        <f>'Intermediate OLS Model'!$B$9*H135</f>
        <v>0</v>
      </c>
      <c r="Q135" s="186">
        <f>'Intermediate OLS Model'!$B$10*I135</f>
        <v>4300483.1065004319</v>
      </c>
      <c r="R135" s="127">
        <f t="shared" si="10"/>
        <v>3113881.6232944033</v>
      </c>
    </row>
    <row r="136" spans="1:18">
      <c r="A136" s="128">
        <v>43891</v>
      </c>
      <c r="B136" s="127">
        <f t="shared" si="11"/>
        <v>2020</v>
      </c>
      <c r="D136" s="127">
        <f t="shared" si="8"/>
        <v>135</v>
      </c>
      <c r="E136" s="127">
        <f>E124*(1+Employment!L$5)</f>
        <v>7324.4637914484865</v>
      </c>
      <c r="F136" s="169">
        <f t="shared" ref="F136:H136" si="28">F88</f>
        <v>0</v>
      </c>
      <c r="G136" s="169">
        <f t="shared" si="28"/>
        <v>0</v>
      </c>
      <c r="H136" s="169">
        <f t="shared" si="28"/>
        <v>0</v>
      </c>
      <c r="I136" s="127">
        <f t="shared" si="22"/>
        <v>31</v>
      </c>
      <c r="K136" s="127">
        <f>'Intermediate OLS Model'!$B$5</f>
        <v>-415228.02881662402</v>
      </c>
      <c r="L136" s="186">
        <f>'Intermediate OLS Model'!$B$6*D136</f>
        <v>-777129.97270574339</v>
      </c>
      <c r="M136" s="186">
        <v>0</v>
      </c>
      <c r="N136" s="186">
        <f>'Intermediate OLS Model'!$B$7*F136</f>
        <v>0</v>
      </c>
      <c r="O136" s="186">
        <f>'Intermediate OLS Model'!$B$8*G136</f>
        <v>0</v>
      </c>
      <c r="P136" s="186">
        <f>'Intermediate OLS Model'!$B$9*H136</f>
        <v>0</v>
      </c>
      <c r="Q136" s="186">
        <f>'Intermediate OLS Model'!$B$10*I136</f>
        <v>4597068.1483280482</v>
      </c>
      <c r="R136" s="127">
        <f t="shared" si="10"/>
        <v>3404710.1468056808</v>
      </c>
    </row>
    <row r="137" spans="1:18">
      <c r="A137" s="128">
        <v>43922</v>
      </c>
      <c r="B137" s="127">
        <f t="shared" si="11"/>
        <v>2020</v>
      </c>
      <c r="D137" s="127">
        <f t="shared" si="8"/>
        <v>136</v>
      </c>
      <c r="E137" s="127">
        <f>E125*(1+Employment!L$5)</f>
        <v>7351.4562239854886</v>
      </c>
      <c r="F137" s="169">
        <f t="shared" ref="F137:H137" si="29">F89</f>
        <v>0</v>
      </c>
      <c r="G137" s="169">
        <f t="shared" si="29"/>
        <v>0</v>
      </c>
      <c r="H137" s="169">
        <f t="shared" si="29"/>
        <v>0</v>
      </c>
      <c r="I137" s="127">
        <f t="shared" si="22"/>
        <v>30</v>
      </c>
      <c r="K137" s="127">
        <f>'Intermediate OLS Model'!$B$5</f>
        <v>-415228.02881662402</v>
      </c>
      <c r="L137" s="186">
        <f>'Intermediate OLS Model'!$B$6*D137</f>
        <v>-782886.49102208228</v>
      </c>
      <c r="M137" s="186">
        <v>0</v>
      </c>
      <c r="N137" s="186">
        <f>'Intermediate OLS Model'!$B$7*F137</f>
        <v>0</v>
      </c>
      <c r="O137" s="186">
        <f>'Intermediate OLS Model'!$B$8*G137</f>
        <v>0</v>
      </c>
      <c r="P137" s="186">
        <f>'Intermediate OLS Model'!$B$9*H137</f>
        <v>0</v>
      </c>
      <c r="Q137" s="186">
        <f>'Intermediate OLS Model'!$B$10*I137</f>
        <v>4448775.6274142396</v>
      </c>
      <c r="R137" s="127">
        <f t="shared" si="10"/>
        <v>3250661.107575533</v>
      </c>
    </row>
    <row r="138" spans="1:18">
      <c r="A138" s="128">
        <v>43952</v>
      </c>
      <c r="B138" s="127">
        <f t="shared" si="11"/>
        <v>2020</v>
      </c>
      <c r="D138" s="127">
        <f t="shared" si="8"/>
        <v>137</v>
      </c>
      <c r="E138" s="127">
        <f>E126*(1+Employment!L$5)</f>
        <v>7420.0232077863766</v>
      </c>
      <c r="F138" s="169">
        <f t="shared" ref="F138:H138" si="30">F90</f>
        <v>0</v>
      </c>
      <c r="G138" s="169">
        <f t="shared" si="30"/>
        <v>0</v>
      </c>
      <c r="H138" s="169">
        <f t="shared" si="30"/>
        <v>0</v>
      </c>
      <c r="I138" s="127">
        <f t="shared" si="22"/>
        <v>31</v>
      </c>
      <c r="K138" s="127">
        <f>'Intermediate OLS Model'!$B$5</f>
        <v>-415228.02881662402</v>
      </c>
      <c r="L138" s="186">
        <f>'Intermediate OLS Model'!$B$6*D138</f>
        <v>-788643.00933842105</v>
      </c>
      <c r="M138" s="186">
        <v>0</v>
      </c>
      <c r="N138" s="186">
        <f>'Intermediate OLS Model'!$B$7*F138</f>
        <v>0</v>
      </c>
      <c r="O138" s="186">
        <f>'Intermediate OLS Model'!$B$8*G138</f>
        <v>0</v>
      </c>
      <c r="P138" s="186">
        <f>'Intermediate OLS Model'!$B$9*H138</f>
        <v>0</v>
      </c>
      <c r="Q138" s="186">
        <f>'Intermediate OLS Model'!$B$10*I138</f>
        <v>4597068.1483280482</v>
      </c>
      <c r="R138" s="127">
        <f t="shared" si="10"/>
        <v>3393197.1101730028</v>
      </c>
    </row>
    <row r="139" spans="1:18">
      <c r="A139" s="128">
        <v>43983</v>
      </c>
      <c r="B139" s="127">
        <f t="shared" si="11"/>
        <v>2020</v>
      </c>
      <c r="D139" s="127">
        <f t="shared" si="8"/>
        <v>138</v>
      </c>
      <c r="E139" s="127">
        <f>E127*(1+Employment!L$5)</f>
        <v>7517.754429041036</v>
      </c>
      <c r="F139" s="169">
        <f t="shared" ref="F139:H139" si="31">F91</f>
        <v>1</v>
      </c>
      <c r="G139" s="169">
        <f t="shared" si="31"/>
        <v>0</v>
      </c>
      <c r="H139" s="169">
        <f t="shared" si="31"/>
        <v>0</v>
      </c>
      <c r="I139" s="127">
        <f t="shared" si="22"/>
        <v>30</v>
      </c>
      <c r="K139" s="127">
        <f>'Intermediate OLS Model'!$B$5</f>
        <v>-415228.02881662402</v>
      </c>
      <c r="L139" s="186">
        <f>'Intermediate OLS Model'!$B$6*D139</f>
        <v>-794399.52765475994</v>
      </c>
      <c r="M139" s="186">
        <v>0</v>
      </c>
      <c r="N139" s="186">
        <f>'Intermediate OLS Model'!$B$7*F139</f>
        <v>346553.62108035001</v>
      </c>
      <c r="O139" s="186">
        <f>'Intermediate OLS Model'!$B$8*G139</f>
        <v>0</v>
      </c>
      <c r="P139" s="186">
        <f>'Intermediate OLS Model'!$B$9*H139</f>
        <v>0</v>
      </c>
      <c r="Q139" s="186">
        <f>'Intermediate OLS Model'!$B$10*I139</f>
        <v>4448775.6274142396</v>
      </c>
      <c r="R139" s="127">
        <f t="shared" si="10"/>
        <v>3585701.6920232056</v>
      </c>
    </row>
    <row r="140" spans="1:18">
      <c r="A140" s="128">
        <v>44013</v>
      </c>
      <c r="B140" s="127">
        <f t="shared" si="11"/>
        <v>2020</v>
      </c>
      <c r="D140" s="127">
        <f t="shared" si="8"/>
        <v>139</v>
      </c>
      <c r="E140" s="127">
        <f>E128*(1+Employment!L$5)</f>
        <v>7603.9026907395892</v>
      </c>
      <c r="F140" s="169">
        <f t="shared" ref="F140:H140" si="32">F92</f>
        <v>0</v>
      </c>
      <c r="G140" s="169">
        <f t="shared" si="32"/>
        <v>1</v>
      </c>
      <c r="H140" s="169">
        <f t="shared" si="32"/>
        <v>0</v>
      </c>
      <c r="I140" s="127">
        <f t="shared" si="22"/>
        <v>31</v>
      </c>
      <c r="K140" s="127">
        <f>'Intermediate OLS Model'!$B$5</f>
        <v>-415228.02881662402</v>
      </c>
      <c r="L140" s="186">
        <f>'Intermediate OLS Model'!$B$6*D140</f>
        <v>-800156.04597109882</v>
      </c>
      <c r="M140" s="186">
        <v>0</v>
      </c>
      <c r="N140" s="186">
        <f>'Intermediate OLS Model'!$B$7*F140</f>
        <v>0</v>
      </c>
      <c r="O140" s="186">
        <f>'Intermediate OLS Model'!$B$8*G140</f>
        <v>428565.96548408002</v>
      </c>
      <c r="P140" s="186">
        <f>'Intermediate OLS Model'!$B$9*H140</f>
        <v>0</v>
      </c>
      <c r="Q140" s="186">
        <f>'Intermediate OLS Model'!$B$10*I140</f>
        <v>4597068.1483280482</v>
      </c>
      <c r="R140" s="127">
        <f t="shared" si="10"/>
        <v>3810250.0390244052</v>
      </c>
    </row>
    <row r="141" spans="1:18">
      <c r="A141" s="128">
        <v>44044</v>
      </c>
      <c r="B141" s="127">
        <f t="shared" si="11"/>
        <v>2020</v>
      </c>
      <c r="D141" s="127">
        <f t="shared" si="8"/>
        <v>140</v>
      </c>
      <c r="E141" s="127">
        <f>E129*(1+Employment!L$5)</f>
        <v>7607.5223656008739</v>
      </c>
      <c r="F141" s="169">
        <f t="shared" ref="F141:H141" si="33">F93</f>
        <v>0</v>
      </c>
      <c r="G141" s="169">
        <f t="shared" si="33"/>
        <v>0</v>
      </c>
      <c r="H141" s="169">
        <f t="shared" si="33"/>
        <v>0</v>
      </c>
      <c r="I141" s="127">
        <f t="shared" si="22"/>
        <v>31</v>
      </c>
      <c r="K141" s="127">
        <f>'Intermediate OLS Model'!$B$5</f>
        <v>-415228.02881662402</v>
      </c>
      <c r="L141" s="186">
        <f>'Intermediate OLS Model'!$B$6*D141</f>
        <v>-805912.56428743759</v>
      </c>
      <c r="M141" s="186">
        <v>0</v>
      </c>
      <c r="N141" s="186">
        <f>'Intermediate OLS Model'!$B$7*F141</f>
        <v>0</v>
      </c>
      <c r="O141" s="186">
        <f>'Intermediate OLS Model'!$B$8*G141</f>
        <v>0</v>
      </c>
      <c r="P141" s="186">
        <f>'Intermediate OLS Model'!$B$9*H141</f>
        <v>0</v>
      </c>
      <c r="Q141" s="186">
        <f>'Intermediate OLS Model'!$B$10*I141</f>
        <v>4597068.1483280482</v>
      </c>
      <c r="R141" s="127">
        <f t="shared" si="10"/>
        <v>3375927.5552239865</v>
      </c>
    </row>
    <row r="142" spans="1:18">
      <c r="A142" s="128">
        <v>44075</v>
      </c>
      <c r="B142" s="127">
        <f t="shared" si="11"/>
        <v>2020</v>
      </c>
      <c r="D142" s="127">
        <f t="shared" si="8"/>
        <v>141</v>
      </c>
      <c r="E142" s="127">
        <f>E130*(1+Employment!L$5)</f>
        <v>7565.3272986464808</v>
      </c>
      <c r="F142" s="169">
        <f t="shared" ref="F142:H142" si="34">F94</f>
        <v>0</v>
      </c>
      <c r="G142" s="169">
        <f t="shared" si="34"/>
        <v>0</v>
      </c>
      <c r="H142" s="169">
        <f t="shared" si="34"/>
        <v>1</v>
      </c>
      <c r="I142" s="127">
        <f t="shared" si="22"/>
        <v>30</v>
      </c>
      <c r="K142" s="127">
        <f>'Intermediate OLS Model'!$B$5</f>
        <v>-415228.02881662402</v>
      </c>
      <c r="L142" s="186">
        <f>'Intermediate OLS Model'!$B$6*D142</f>
        <v>-811669.08260377648</v>
      </c>
      <c r="M142" s="186">
        <v>0</v>
      </c>
      <c r="N142" s="186">
        <f>'Intermediate OLS Model'!$B$7*F142</f>
        <v>0</v>
      </c>
      <c r="O142" s="186">
        <f>'Intermediate OLS Model'!$B$8*G142</f>
        <v>0</v>
      </c>
      <c r="P142" s="186">
        <f>'Intermediate OLS Model'!$B$9*H142</f>
        <v>219659.05071226999</v>
      </c>
      <c r="Q142" s="186">
        <f>'Intermediate OLS Model'!$B$10*I142</f>
        <v>4448775.6274142396</v>
      </c>
      <c r="R142" s="127">
        <f t="shared" si="10"/>
        <v>3441537.5667061089</v>
      </c>
    </row>
    <row r="143" spans="1:18">
      <c r="A143" s="128">
        <v>44105</v>
      </c>
      <c r="B143" s="127">
        <f t="shared" si="11"/>
        <v>2020</v>
      </c>
      <c r="D143" s="127">
        <f t="shared" si="8"/>
        <v>142</v>
      </c>
      <c r="E143" s="127">
        <f>E131*(1+Employment!L$5)</f>
        <v>7523.1322316920869</v>
      </c>
      <c r="F143" s="169">
        <f t="shared" ref="F143:H143" si="35">F95</f>
        <v>0</v>
      </c>
      <c r="G143" s="169">
        <f t="shared" si="35"/>
        <v>0</v>
      </c>
      <c r="H143" s="169">
        <f t="shared" si="35"/>
        <v>1</v>
      </c>
      <c r="I143" s="127">
        <f t="shared" si="22"/>
        <v>31</v>
      </c>
      <c r="K143" s="127">
        <f>'Intermediate OLS Model'!$B$5</f>
        <v>-415228.02881662402</v>
      </c>
      <c r="L143" s="186">
        <f>'Intermediate OLS Model'!$B$6*D143</f>
        <v>-817425.60092011525</v>
      </c>
      <c r="M143" s="186">
        <v>0</v>
      </c>
      <c r="N143" s="186">
        <f>'Intermediate OLS Model'!$B$7*F143</f>
        <v>0</v>
      </c>
      <c r="O143" s="186">
        <f>'Intermediate OLS Model'!$B$8*G143</f>
        <v>0</v>
      </c>
      <c r="P143" s="186">
        <f>'Intermediate OLS Model'!$B$9*H143</f>
        <v>219659.05071226999</v>
      </c>
      <c r="Q143" s="186">
        <f>'Intermediate OLS Model'!$B$10*I143</f>
        <v>4597068.1483280482</v>
      </c>
      <c r="R143" s="127">
        <f t="shared" si="10"/>
        <v>3584073.5693035787</v>
      </c>
    </row>
    <row r="144" spans="1:18">
      <c r="A144" s="128">
        <v>44136</v>
      </c>
      <c r="B144" s="127">
        <f t="shared" si="11"/>
        <v>2020</v>
      </c>
      <c r="D144" s="127">
        <f t="shared" si="8"/>
        <v>143</v>
      </c>
      <c r="E144" s="127">
        <f>E132*(1+Employment!L$5)</f>
        <v>7527.8895186526324</v>
      </c>
      <c r="F144" s="169">
        <f t="shared" ref="F144:H144" si="36">F96</f>
        <v>0</v>
      </c>
      <c r="G144" s="169">
        <f t="shared" si="36"/>
        <v>0</v>
      </c>
      <c r="H144" s="169">
        <f t="shared" si="36"/>
        <v>1</v>
      </c>
      <c r="I144" s="127">
        <f t="shared" si="22"/>
        <v>30</v>
      </c>
      <c r="K144" s="127">
        <f>'Intermediate OLS Model'!$B$5</f>
        <v>-415228.02881662402</v>
      </c>
      <c r="L144" s="186">
        <f>'Intermediate OLS Model'!$B$6*D144</f>
        <v>-823182.11923645413</v>
      </c>
      <c r="M144" s="186">
        <v>0</v>
      </c>
      <c r="N144" s="186">
        <f>'Intermediate OLS Model'!$B$7*F144</f>
        <v>0</v>
      </c>
      <c r="O144" s="186">
        <f>'Intermediate OLS Model'!$B$8*G144</f>
        <v>0</v>
      </c>
      <c r="P144" s="186">
        <f>'Intermediate OLS Model'!$B$9*H144</f>
        <v>219659.05071226999</v>
      </c>
      <c r="Q144" s="186">
        <f>'Intermediate OLS Model'!$B$10*I144</f>
        <v>4448775.6274142396</v>
      </c>
      <c r="R144" s="127">
        <f t="shared" si="10"/>
        <v>3430024.5300734313</v>
      </c>
    </row>
    <row r="145" spans="1:18">
      <c r="A145" s="128">
        <v>44166</v>
      </c>
      <c r="B145" s="127">
        <f t="shared" si="11"/>
        <v>2020</v>
      </c>
      <c r="D145" s="127">
        <f t="shared" si="8"/>
        <v>144</v>
      </c>
      <c r="E145" s="127">
        <f>E133*(1+Employment!L$5)</f>
        <v>7552.3998884276107</v>
      </c>
      <c r="F145" s="169">
        <f t="shared" ref="F145:H145" si="37">F97</f>
        <v>0</v>
      </c>
      <c r="G145" s="169">
        <f t="shared" si="37"/>
        <v>0</v>
      </c>
      <c r="H145" s="169">
        <f t="shared" si="37"/>
        <v>0</v>
      </c>
      <c r="I145" s="127">
        <f t="shared" si="22"/>
        <v>31</v>
      </c>
      <c r="K145" s="127">
        <f>'Intermediate OLS Model'!$B$5</f>
        <v>-415228.02881662402</v>
      </c>
      <c r="L145" s="186">
        <f>'Intermediate OLS Model'!$B$6*D145</f>
        <v>-828938.63755279302</v>
      </c>
      <c r="M145" s="186">
        <v>0</v>
      </c>
      <c r="N145" s="186">
        <f>'Intermediate OLS Model'!$B$7*F145</f>
        <v>0</v>
      </c>
      <c r="O145" s="186">
        <f>'Intermediate OLS Model'!$B$8*G145</f>
        <v>0</v>
      </c>
      <c r="P145" s="186">
        <f>'Intermediate OLS Model'!$B$9*H145</f>
        <v>0</v>
      </c>
      <c r="Q145" s="186">
        <f>'Intermediate OLS Model'!$B$10*I145</f>
        <v>4597068.1483280482</v>
      </c>
      <c r="R145" s="127">
        <f t="shared" si="10"/>
        <v>3352901.4819586314</v>
      </c>
    </row>
    <row r="146" spans="1:18">
      <c r="A146" s="12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289"/>
  <sheetViews>
    <sheetView workbookViewId="0">
      <selection activeCell="Q75" sqref="Q75"/>
    </sheetView>
  </sheetViews>
  <sheetFormatPr defaultColWidth="8.83203125" defaultRowHeight="12.75"/>
  <cols>
    <col min="1" max="1" width="10.6640625" style="4" customWidth="1"/>
    <col min="2" max="2" width="9.83203125" style="4" customWidth="1"/>
    <col min="3" max="4" width="8.83203125" style="4"/>
    <col min="5" max="5" width="20.83203125" style="4" customWidth="1"/>
    <col min="6" max="6" width="11.1640625" style="4" bestFit="1" customWidth="1"/>
    <col min="7" max="7" width="9.6640625" style="4" customWidth="1"/>
    <col min="8" max="9" width="11.1640625" style="4" bestFit="1" customWidth="1"/>
    <col min="10" max="10" width="12.83203125" style="4" customWidth="1"/>
    <col min="11" max="13" width="9.1640625" style="4" bestFit="1" customWidth="1"/>
    <col min="14" max="14" width="10" style="4" bestFit="1" customWidth="1"/>
    <col min="15" max="17" width="11.1640625" style="4" bestFit="1" customWidth="1"/>
    <col min="18" max="18" width="10" style="4" bestFit="1" customWidth="1"/>
    <col min="19" max="19" width="8.83203125" style="4"/>
    <col min="20" max="20" width="10" style="4" bestFit="1" customWidth="1"/>
    <col min="21" max="21" width="8.83203125" style="4"/>
    <col min="22" max="22" width="10.6640625" style="4" bestFit="1" customWidth="1"/>
    <col min="23" max="16384" width="8.83203125" style="4"/>
  </cols>
  <sheetData>
    <row r="1" spans="1:18">
      <c r="B1" s="4" t="s">
        <v>43</v>
      </c>
      <c r="C1" s="4" t="s">
        <v>44</v>
      </c>
      <c r="E1" s="5" t="s">
        <v>43</v>
      </c>
      <c r="F1" s="6" t="s">
        <v>45</v>
      </c>
      <c r="G1" s="6" t="s">
        <v>46</v>
      </c>
      <c r="H1" s="6" t="s">
        <v>47</v>
      </c>
      <c r="I1" s="6" t="s">
        <v>48</v>
      </c>
      <c r="J1" s="6" t="s">
        <v>49</v>
      </c>
      <c r="K1" s="6" t="s">
        <v>50</v>
      </c>
      <c r="L1" s="6" t="s">
        <v>51</v>
      </c>
      <c r="M1" s="7" t="s">
        <v>52</v>
      </c>
      <c r="N1" s="7" t="s">
        <v>53</v>
      </c>
      <c r="O1" s="7" t="s">
        <v>54</v>
      </c>
      <c r="P1" s="7" t="s">
        <v>55</v>
      </c>
      <c r="Q1" s="7" t="s">
        <v>56</v>
      </c>
    </row>
    <row r="2" spans="1:18">
      <c r="A2" s="8">
        <v>34700</v>
      </c>
      <c r="B2" s="4">
        <v>604.4</v>
      </c>
      <c r="C2" s="4">
        <v>0</v>
      </c>
      <c r="E2" s="4">
        <v>1995</v>
      </c>
      <c r="F2" s="4">
        <f t="shared" ref="F2:Q18" ca="1" si="0">OFFSET($B$2,(ROW()-2)*12+COLUMN()-6,0)</f>
        <v>604.4</v>
      </c>
      <c r="G2" s="4">
        <f t="shared" ca="1" si="0"/>
        <v>608.5</v>
      </c>
      <c r="H2" s="4">
        <f t="shared" ca="1" si="0"/>
        <v>444.19999999999993</v>
      </c>
      <c r="I2" s="4">
        <f t="shared" ca="1" si="0"/>
        <v>329.49999999999983</v>
      </c>
      <c r="J2" s="4">
        <f t="shared" ca="1" si="0"/>
        <v>98.000000000000028</v>
      </c>
      <c r="K2" s="4">
        <f t="shared" ca="1" si="0"/>
        <v>10.799999999999999</v>
      </c>
      <c r="L2" s="4">
        <f t="shared" ca="1" si="0"/>
        <v>0.5</v>
      </c>
      <c r="M2" s="4">
        <f t="shared" ca="1" si="0"/>
        <v>0</v>
      </c>
      <c r="N2" s="4">
        <f t="shared" ca="1" si="0"/>
        <v>70.7</v>
      </c>
      <c r="O2" s="4">
        <f t="shared" ca="1" si="0"/>
        <v>155.6</v>
      </c>
      <c r="P2" s="4">
        <f t="shared" ca="1" si="0"/>
        <v>468.29999999999995</v>
      </c>
      <c r="Q2" s="4">
        <f t="shared" ca="1" si="0"/>
        <v>642.09999999999991</v>
      </c>
    </row>
    <row r="3" spans="1:18">
      <c r="A3" s="8">
        <v>34731</v>
      </c>
      <c r="B3" s="4">
        <v>608.5</v>
      </c>
      <c r="C3" s="4">
        <v>0</v>
      </c>
      <c r="E3" s="4">
        <f>E2+1</f>
        <v>1996</v>
      </c>
      <c r="F3" s="4">
        <f t="shared" ca="1" si="0"/>
        <v>684.89999999999986</v>
      </c>
      <c r="G3" s="4">
        <f t="shared" ca="1" si="0"/>
        <v>608.79999999999995</v>
      </c>
      <c r="H3" s="4">
        <f t="shared" ca="1" si="0"/>
        <v>563</v>
      </c>
      <c r="I3" s="4">
        <f t="shared" ca="1" si="0"/>
        <v>319.49999999999989</v>
      </c>
      <c r="J3" s="4">
        <f t="shared" ca="1" si="0"/>
        <v>150.89999999999998</v>
      </c>
      <c r="K3" s="4">
        <f t="shared" ca="1" si="0"/>
        <v>3.2</v>
      </c>
      <c r="L3" s="4">
        <f t="shared" ca="1" si="0"/>
        <v>0.89999999999999991</v>
      </c>
      <c r="M3" s="4">
        <f t="shared" ca="1" si="0"/>
        <v>0</v>
      </c>
      <c r="N3" s="4">
        <f t="shared" ca="1" si="0"/>
        <v>41.5</v>
      </c>
      <c r="O3" s="4">
        <f t="shared" ca="1" si="0"/>
        <v>197.29999999999998</v>
      </c>
      <c r="P3" s="4">
        <f t="shared" ca="1" si="0"/>
        <v>473.70000000000005</v>
      </c>
      <c r="Q3" s="4">
        <f t="shared" ca="1" si="0"/>
        <v>549.29999999999995</v>
      </c>
    </row>
    <row r="4" spans="1:18">
      <c r="A4" s="8">
        <v>34759</v>
      </c>
      <c r="B4" s="4">
        <v>444.19999999999993</v>
      </c>
      <c r="C4" s="4">
        <v>0</v>
      </c>
      <c r="E4" s="4">
        <f t="shared" ref="E4:E24" si="1">E3+1</f>
        <v>1997</v>
      </c>
      <c r="F4" s="4">
        <f t="shared" ca="1" si="0"/>
        <v>688.09999999999991</v>
      </c>
      <c r="G4" s="4">
        <f t="shared" ca="1" si="0"/>
        <v>500.50000000000006</v>
      </c>
      <c r="H4" s="4">
        <f t="shared" ca="1" si="0"/>
        <v>455.19999999999993</v>
      </c>
      <c r="I4" s="4">
        <f t="shared" ca="1" si="0"/>
        <v>305.19999999999987</v>
      </c>
      <c r="J4" s="4">
        <f t="shared" ca="1" si="0"/>
        <v>204.59999999999991</v>
      </c>
      <c r="K4" s="4">
        <f t="shared" ca="1" si="0"/>
        <v>15.199999999999996</v>
      </c>
      <c r="L4" s="4">
        <f t="shared" ca="1" si="0"/>
        <v>0</v>
      </c>
      <c r="M4" s="4">
        <f t="shared" ca="1" si="0"/>
        <v>2.9</v>
      </c>
      <c r="N4" s="4">
        <f t="shared" ca="1" si="0"/>
        <v>34.400000000000006</v>
      </c>
      <c r="O4" s="4">
        <f t="shared" ca="1" si="0"/>
        <v>210.70000000000002</v>
      </c>
      <c r="P4" s="4">
        <f t="shared" ca="1" si="0"/>
        <v>427.29999999999995</v>
      </c>
      <c r="Q4" s="4">
        <f t="shared" ca="1" si="0"/>
        <v>534.09999999999991</v>
      </c>
    </row>
    <row r="5" spans="1:18">
      <c r="A5" s="8">
        <v>34790</v>
      </c>
      <c r="B5" s="4">
        <v>329.49999999999983</v>
      </c>
      <c r="C5" s="4">
        <v>0</v>
      </c>
      <c r="E5" s="4">
        <f t="shared" si="1"/>
        <v>1998</v>
      </c>
      <c r="F5" s="4">
        <f t="shared" ca="1" si="0"/>
        <v>532.90000000000009</v>
      </c>
      <c r="G5" s="4">
        <f t="shared" ca="1" si="0"/>
        <v>429.89999999999992</v>
      </c>
      <c r="H5" s="4">
        <f t="shared" ca="1" si="0"/>
        <v>424.09999999999997</v>
      </c>
      <c r="I5" s="4">
        <f t="shared" ca="1" si="0"/>
        <v>232.7999999999999</v>
      </c>
      <c r="J5" s="4">
        <f t="shared" ca="1" si="0"/>
        <v>28.299999999999997</v>
      </c>
      <c r="K5" s="4">
        <f t="shared" ca="1" si="0"/>
        <v>42.100000000000009</v>
      </c>
      <c r="L5" s="4">
        <f t="shared" ca="1" si="0"/>
        <v>0</v>
      </c>
      <c r="M5" s="4">
        <f t="shared" ca="1" si="0"/>
        <v>0.5</v>
      </c>
      <c r="N5" s="4">
        <f t="shared" ca="1" si="0"/>
        <v>13.100000000000001</v>
      </c>
      <c r="O5" s="4">
        <f t="shared" ca="1" si="0"/>
        <v>158.89999999999998</v>
      </c>
      <c r="P5" s="4">
        <f t="shared" ca="1" si="0"/>
        <v>314.19999999999993</v>
      </c>
      <c r="Q5" s="4">
        <f t="shared" ca="1" si="0"/>
        <v>467.00000000000006</v>
      </c>
    </row>
    <row r="6" spans="1:18">
      <c r="A6" s="8">
        <v>34820</v>
      </c>
      <c r="B6" s="4">
        <v>98.000000000000028</v>
      </c>
      <c r="C6" s="4">
        <v>9.8999999999999986</v>
      </c>
      <c r="E6" s="4">
        <f t="shared" si="1"/>
        <v>1999</v>
      </c>
      <c r="F6" s="4">
        <f t="shared" ca="1" si="0"/>
        <v>689.20000000000027</v>
      </c>
      <c r="G6" s="4">
        <f t="shared" ca="1" si="0"/>
        <v>480.4</v>
      </c>
      <c r="H6" s="4">
        <f t="shared" ca="1" si="0"/>
        <v>492.49999999999994</v>
      </c>
      <c r="I6" s="4">
        <f t="shared" ca="1" si="0"/>
        <v>229.59999999999997</v>
      </c>
      <c r="J6" s="4">
        <f t="shared" ca="1" si="0"/>
        <v>58.300000000000011</v>
      </c>
      <c r="K6" s="4">
        <f t="shared" ca="1" si="0"/>
        <v>17.599999999999998</v>
      </c>
      <c r="L6" s="4">
        <f t="shared" ca="1" si="0"/>
        <v>0</v>
      </c>
      <c r="M6" s="4">
        <f t="shared" ca="1" si="0"/>
        <v>0.5</v>
      </c>
      <c r="N6" s="4">
        <f t="shared" ca="1" si="0"/>
        <v>30.799999999999997</v>
      </c>
      <c r="O6" s="4">
        <f t="shared" ca="1" si="0"/>
        <v>204.09999999999997</v>
      </c>
      <c r="P6" s="4">
        <f t="shared" ca="1" si="0"/>
        <v>312.19999999999993</v>
      </c>
      <c r="Q6" s="4">
        <f t="shared" ca="1" si="0"/>
        <v>533.10000000000014</v>
      </c>
    </row>
    <row r="7" spans="1:18">
      <c r="A7" s="8">
        <v>34851</v>
      </c>
      <c r="B7" s="4">
        <v>10.799999999999999</v>
      </c>
      <c r="C7" s="4">
        <v>122.6</v>
      </c>
      <c r="E7" s="4">
        <f t="shared" si="1"/>
        <v>2000</v>
      </c>
      <c r="F7" s="4">
        <f t="shared" ca="1" si="0"/>
        <v>652.79999999999995</v>
      </c>
      <c r="G7" s="4">
        <f t="shared" ca="1" si="0"/>
        <v>497.1</v>
      </c>
      <c r="H7" s="4">
        <f t="shared" ca="1" si="0"/>
        <v>348.29999999999995</v>
      </c>
      <c r="I7" s="4">
        <f t="shared" ca="1" si="0"/>
        <v>275.2999999999999</v>
      </c>
      <c r="J7" s="4">
        <f t="shared" ca="1" si="0"/>
        <v>74.000000000000014</v>
      </c>
      <c r="K7" s="4">
        <f t="shared" ca="1" si="0"/>
        <v>14.8</v>
      </c>
      <c r="L7" s="4">
        <f t="shared" ca="1" si="0"/>
        <v>0</v>
      </c>
      <c r="M7" s="4">
        <f t="shared" ca="1" si="0"/>
        <v>3.4000000000000004</v>
      </c>
      <c r="N7" s="4">
        <f t="shared" ca="1" si="0"/>
        <v>61.400000000000006</v>
      </c>
      <c r="O7" s="4">
        <f t="shared" ca="1" si="0"/>
        <v>148.4</v>
      </c>
      <c r="P7" s="4">
        <f t="shared" ca="1" si="0"/>
        <v>386.6</v>
      </c>
      <c r="Q7" s="4">
        <f t="shared" ca="1" si="0"/>
        <v>741.09999999999991</v>
      </c>
    </row>
    <row r="8" spans="1:18">
      <c r="A8" s="8">
        <v>34881</v>
      </c>
      <c r="B8" s="4">
        <v>0.5</v>
      </c>
      <c r="C8" s="4">
        <v>188.60000000000002</v>
      </c>
      <c r="E8" s="4">
        <f t="shared" si="1"/>
        <v>2001</v>
      </c>
      <c r="F8" s="4">
        <f t="shared" ca="1" si="0"/>
        <v>626.20000000000005</v>
      </c>
      <c r="G8" s="4">
        <f t="shared" ca="1" si="0"/>
        <v>516.69999999999993</v>
      </c>
      <c r="H8" s="4">
        <f t="shared" ca="1" si="0"/>
        <v>499.49999999999994</v>
      </c>
      <c r="I8" s="4">
        <f t="shared" ca="1" si="0"/>
        <v>231.59999999999997</v>
      </c>
      <c r="J8" s="4">
        <f t="shared" ca="1" si="0"/>
        <v>67.300000000000011</v>
      </c>
      <c r="K8" s="4">
        <f t="shared" ca="1" si="0"/>
        <v>22.5</v>
      </c>
      <c r="L8" s="4">
        <f t="shared" ca="1" si="0"/>
        <v>2.7</v>
      </c>
      <c r="M8" s="4">
        <f t="shared" ca="1" si="0"/>
        <v>0</v>
      </c>
      <c r="N8" s="4">
        <f t="shared" ca="1" si="0"/>
        <v>60.800000000000011</v>
      </c>
      <c r="O8" s="4">
        <f t="shared" ca="1" si="0"/>
        <v>191.79999999999998</v>
      </c>
      <c r="P8" s="4">
        <f t="shared" ca="1" si="0"/>
        <v>254.39999999999992</v>
      </c>
      <c r="Q8" s="4">
        <f t="shared" ca="1" si="0"/>
        <v>470</v>
      </c>
    </row>
    <row r="9" spans="1:18">
      <c r="A9" s="8">
        <v>34912</v>
      </c>
      <c r="B9" s="4">
        <v>0</v>
      </c>
      <c r="C9" s="4">
        <v>214.90000000000009</v>
      </c>
      <c r="E9" s="4">
        <f t="shared" si="1"/>
        <v>2002</v>
      </c>
      <c r="F9" s="4">
        <f t="shared" ca="1" si="0"/>
        <v>524.70000000000005</v>
      </c>
      <c r="G9" s="4">
        <f t="shared" ca="1" si="0"/>
        <v>476.09999999999997</v>
      </c>
      <c r="H9" s="4">
        <f t="shared" ca="1" si="0"/>
        <v>486.19999999999987</v>
      </c>
      <c r="I9" s="4">
        <f t="shared" ca="1" si="0"/>
        <v>259.7999999999999</v>
      </c>
      <c r="J9" s="4">
        <f t="shared" ca="1" si="0"/>
        <v>170.8</v>
      </c>
      <c r="K9" s="4">
        <f t="shared" ca="1" si="0"/>
        <v>12</v>
      </c>
      <c r="L9" s="4">
        <f t="shared" ca="1" si="0"/>
        <v>0</v>
      </c>
      <c r="M9" s="4">
        <f t="shared" ca="1" si="0"/>
        <v>0</v>
      </c>
      <c r="N9" s="4">
        <f t="shared" ca="1" si="0"/>
        <v>14.5</v>
      </c>
      <c r="O9" s="4">
        <f t="shared" ca="1" si="0"/>
        <v>240.79999999999993</v>
      </c>
      <c r="P9" s="4">
        <f t="shared" ca="1" si="0"/>
        <v>402.19999999999993</v>
      </c>
      <c r="Q9" s="4">
        <f t="shared" ca="1" si="0"/>
        <v>582.90000000000009</v>
      </c>
    </row>
    <row r="10" spans="1:18">
      <c r="A10" s="8">
        <v>34943</v>
      </c>
      <c r="B10" s="4">
        <v>70.7</v>
      </c>
      <c r="C10" s="4">
        <v>37</v>
      </c>
      <c r="E10" s="4">
        <f t="shared" si="1"/>
        <v>2003</v>
      </c>
      <c r="F10" s="4">
        <f t="shared" ca="1" si="0"/>
        <v>730.59999999999991</v>
      </c>
      <c r="G10" s="4">
        <f t="shared" ca="1" si="0"/>
        <v>621.69999999999993</v>
      </c>
      <c r="H10" s="4">
        <f t="shared" ca="1" si="0"/>
        <v>490.29999999999995</v>
      </c>
      <c r="I10" s="4">
        <f t="shared" ca="1" si="0"/>
        <v>289.79999999999984</v>
      </c>
      <c r="J10" s="4">
        <f t="shared" ca="1" si="0"/>
        <v>128.50000000000003</v>
      </c>
      <c r="K10" s="4">
        <f t="shared" ca="1" si="0"/>
        <v>27.6</v>
      </c>
      <c r="L10" s="4">
        <f t="shared" ca="1" si="0"/>
        <v>0</v>
      </c>
      <c r="M10" s="4">
        <f t="shared" ca="1" si="0"/>
        <v>0</v>
      </c>
      <c r="N10" s="4">
        <f t="shared" ca="1" si="0"/>
        <v>42.7</v>
      </c>
      <c r="O10" s="4">
        <f t="shared" ca="1" si="0"/>
        <v>218.59999999999997</v>
      </c>
      <c r="P10" s="4">
        <f t="shared" ca="1" si="0"/>
        <v>335.49999999999994</v>
      </c>
      <c r="Q10" s="4">
        <f t="shared" ca="1" si="0"/>
        <v>531.90000000000009</v>
      </c>
    </row>
    <row r="11" spans="1:18">
      <c r="A11" s="8">
        <v>34973</v>
      </c>
      <c r="B11" s="4">
        <v>155.6</v>
      </c>
      <c r="C11" s="4">
        <v>7.3</v>
      </c>
      <c r="E11" s="4">
        <f t="shared" si="1"/>
        <v>2004</v>
      </c>
      <c r="F11" s="4">
        <f t="shared" ca="1" si="0"/>
        <v>748.19999999999993</v>
      </c>
      <c r="G11" s="4">
        <f t="shared" ca="1" si="0"/>
        <v>557.70000000000005</v>
      </c>
      <c r="H11" s="4">
        <f t="shared" ca="1" si="0"/>
        <v>408.99999999999989</v>
      </c>
      <c r="I11" s="4">
        <f t="shared" ca="1" si="0"/>
        <v>239.89999999999992</v>
      </c>
      <c r="J11" s="4">
        <f t="shared" ca="1" si="0"/>
        <v>93.700000000000031</v>
      </c>
      <c r="K11" s="4">
        <f t="shared" ca="1" si="0"/>
        <v>16</v>
      </c>
      <c r="L11" s="4">
        <f t="shared" ca="1" si="0"/>
        <v>2.2000000000000002</v>
      </c>
      <c r="M11" s="4">
        <f t="shared" ca="1" si="0"/>
        <v>3.7</v>
      </c>
      <c r="N11" s="4">
        <f t="shared" ca="1" si="0"/>
        <v>18.7</v>
      </c>
      <c r="O11" s="4">
        <f t="shared" ca="1" si="0"/>
        <v>176.89999999999998</v>
      </c>
      <c r="P11" s="4">
        <f t="shared" ca="1" si="0"/>
        <v>343.49999999999989</v>
      </c>
      <c r="Q11" s="4">
        <f t="shared" ca="1" si="0"/>
        <v>589.10000000000014</v>
      </c>
    </row>
    <row r="12" spans="1:18">
      <c r="A12" s="8">
        <v>35004</v>
      </c>
      <c r="B12" s="4">
        <v>468.29999999999995</v>
      </c>
      <c r="C12" s="4">
        <v>0</v>
      </c>
      <c r="E12" s="4">
        <f t="shared" si="1"/>
        <v>2005</v>
      </c>
      <c r="F12" s="4">
        <f t="shared" ca="1" si="0"/>
        <v>688.99999999999989</v>
      </c>
      <c r="G12" s="4">
        <f t="shared" ca="1" si="0"/>
        <v>543.30000000000007</v>
      </c>
      <c r="H12" s="4">
        <f t="shared" ca="1" si="0"/>
        <v>523.4</v>
      </c>
      <c r="I12" s="4">
        <f t="shared" ca="1" si="0"/>
        <v>228.5</v>
      </c>
      <c r="J12" s="4">
        <f t="shared" ca="1" si="0"/>
        <v>134.4</v>
      </c>
      <c r="K12" s="4">
        <f t="shared" ca="1" si="0"/>
        <v>3.4000000000000004</v>
      </c>
      <c r="L12" s="4">
        <f t="shared" ca="1" si="0"/>
        <v>0</v>
      </c>
      <c r="M12" s="4">
        <f t="shared" ca="1" si="0"/>
        <v>0</v>
      </c>
      <c r="N12" s="4">
        <f t="shared" ca="1" si="0"/>
        <v>13.5</v>
      </c>
      <c r="O12" s="4">
        <f t="shared" ca="1" si="0"/>
        <v>175.69999999999996</v>
      </c>
      <c r="P12" s="4">
        <f t="shared" ca="1" si="0"/>
        <v>344.8</v>
      </c>
      <c r="Q12" s="4">
        <f t="shared" ca="1" si="0"/>
        <v>637.60000000000025</v>
      </c>
    </row>
    <row r="13" spans="1:18">
      <c r="A13" s="8">
        <v>35034</v>
      </c>
      <c r="B13" s="4">
        <v>642.09999999999991</v>
      </c>
      <c r="C13" s="4">
        <v>0</v>
      </c>
      <c r="E13" s="4">
        <f t="shared" si="1"/>
        <v>2006</v>
      </c>
      <c r="F13" s="4">
        <f t="shared" ca="1" si="0"/>
        <v>486.69999999999993</v>
      </c>
      <c r="G13" s="4">
        <f t="shared" ca="1" si="0"/>
        <v>530.70000000000005</v>
      </c>
      <c r="H13" s="4">
        <f t="shared" ca="1" si="0"/>
        <v>450.49999999999983</v>
      </c>
      <c r="I13" s="4">
        <f t="shared" ca="1" si="0"/>
        <v>211.6999999999999</v>
      </c>
      <c r="J13" s="4">
        <f t="shared" ca="1" si="0"/>
        <v>99.800000000000011</v>
      </c>
      <c r="K13" s="4">
        <f t="shared" ca="1" si="0"/>
        <v>10.3</v>
      </c>
      <c r="L13" s="4">
        <f t="shared" ca="1" si="0"/>
        <v>0</v>
      </c>
      <c r="M13" s="4">
        <f t="shared" ca="1" si="0"/>
        <v>0</v>
      </c>
      <c r="N13" s="4">
        <f t="shared" ca="1" si="0"/>
        <v>44.400000000000006</v>
      </c>
      <c r="O13" s="4">
        <f t="shared" ca="1" si="0"/>
        <v>243.09999999999991</v>
      </c>
      <c r="P13" s="4">
        <f t="shared" ca="1" si="0"/>
        <v>353.09999999999991</v>
      </c>
      <c r="Q13" s="4">
        <f t="shared" ca="1" si="0"/>
        <v>457.89999999999986</v>
      </c>
    </row>
    <row r="14" spans="1:18">
      <c r="A14" s="8">
        <v>35065</v>
      </c>
      <c r="B14" s="4">
        <v>684.89999999999986</v>
      </c>
      <c r="C14" s="4">
        <v>0</v>
      </c>
      <c r="E14" s="4">
        <f t="shared" si="1"/>
        <v>2007</v>
      </c>
      <c r="F14" s="4">
        <f t="shared" ca="1" si="0"/>
        <v>588</v>
      </c>
      <c r="G14" s="4">
        <f t="shared" ca="1" si="0"/>
        <v>675.8</v>
      </c>
      <c r="H14" s="4">
        <f t="shared" ca="1" si="0"/>
        <v>417.69999999999993</v>
      </c>
      <c r="I14" s="4">
        <f t="shared" ca="1" si="0"/>
        <v>287.09999999999991</v>
      </c>
      <c r="J14" s="4">
        <f t="shared" ca="1" si="0"/>
        <v>85.8</v>
      </c>
      <c r="K14" s="4">
        <f t="shared" ca="1" si="0"/>
        <v>9.7999999999999989</v>
      </c>
      <c r="L14" s="4">
        <f t="shared" ca="1" si="0"/>
        <v>0.7</v>
      </c>
      <c r="M14" s="4">
        <f t="shared" ca="1" si="0"/>
        <v>3.9000000000000004</v>
      </c>
      <c r="N14" s="4">
        <f t="shared" ca="1" si="0"/>
        <v>24.099999999999998</v>
      </c>
      <c r="O14" s="4">
        <f t="shared" ca="1" si="0"/>
        <v>110.4</v>
      </c>
      <c r="P14" s="4">
        <f t="shared" ca="1" si="0"/>
        <v>402.3</v>
      </c>
      <c r="Q14" s="4">
        <f t="shared" ca="1" si="0"/>
        <v>593.40000000000009</v>
      </c>
    </row>
    <row r="15" spans="1:18">
      <c r="A15" s="8">
        <v>35096</v>
      </c>
      <c r="B15" s="4">
        <v>608.79999999999995</v>
      </c>
      <c r="C15" s="4">
        <v>0</v>
      </c>
      <c r="E15" s="4">
        <f t="shared" si="1"/>
        <v>2008</v>
      </c>
      <c r="F15" s="4">
        <f t="shared" ca="1" si="0"/>
        <v>602.20000000000005</v>
      </c>
      <c r="G15" s="4">
        <f t="shared" ca="1" si="0"/>
        <v>616.1</v>
      </c>
      <c r="H15" s="4">
        <f t="shared" ca="1" si="0"/>
        <v>523.70000000000005</v>
      </c>
      <c r="I15" s="4">
        <f t="shared" ca="1" si="0"/>
        <v>212.59999999999991</v>
      </c>
      <c r="J15" s="4">
        <f t="shared" ca="1" si="0"/>
        <v>138.4</v>
      </c>
      <c r="K15" s="4">
        <f t="shared" ca="1" si="0"/>
        <v>5</v>
      </c>
      <c r="L15" s="4">
        <f t="shared" ca="1" si="0"/>
        <v>0.5</v>
      </c>
      <c r="M15" s="4">
        <f t="shared" ca="1" si="0"/>
        <v>1.5</v>
      </c>
      <c r="N15" s="4">
        <f t="shared" ca="1" si="0"/>
        <v>16.7</v>
      </c>
      <c r="O15" s="4">
        <f t="shared" ca="1" si="0"/>
        <v>218.89999999999998</v>
      </c>
      <c r="P15" s="4">
        <f t="shared" ca="1" si="0"/>
        <v>410.9</v>
      </c>
      <c r="Q15" s="4">
        <f t="shared" ca="1" si="0"/>
        <v>631.00000000000011</v>
      </c>
      <c r="R15" s="119"/>
    </row>
    <row r="16" spans="1:18">
      <c r="A16" s="8">
        <v>35125</v>
      </c>
      <c r="B16" s="4">
        <v>563</v>
      </c>
      <c r="C16" s="4">
        <v>0</v>
      </c>
      <c r="E16" s="4">
        <f t="shared" si="1"/>
        <v>2009</v>
      </c>
      <c r="F16" s="4">
        <f t="shared" ca="1" si="0"/>
        <v>768.79999999999973</v>
      </c>
      <c r="G16" s="4">
        <f t="shared" ca="1" si="0"/>
        <v>540</v>
      </c>
      <c r="H16" s="4">
        <f t="shared" ca="1" si="0"/>
        <v>456.7999999999999</v>
      </c>
      <c r="I16" s="4">
        <f t="shared" ca="1" si="0"/>
        <v>263.29999999999995</v>
      </c>
      <c r="J16" s="4">
        <f t="shared" ca="1" si="0"/>
        <v>83.40000000000002</v>
      </c>
      <c r="K16" s="4">
        <f t="shared" ca="1" si="0"/>
        <v>25.299999999999997</v>
      </c>
      <c r="L16" s="4">
        <f t="shared" ca="1" si="0"/>
        <v>0.5</v>
      </c>
      <c r="M16" s="4">
        <f t="shared" ca="1" si="0"/>
        <v>5.9</v>
      </c>
      <c r="N16" s="4">
        <f t="shared" ca="1" si="0"/>
        <v>26.2</v>
      </c>
      <c r="O16" s="4">
        <f t="shared" ca="1" si="0"/>
        <v>230.79999999999995</v>
      </c>
      <c r="P16" s="4">
        <f t="shared" ca="1" si="0"/>
        <v>305.49999999999989</v>
      </c>
      <c r="Q16" s="4">
        <f t="shared" ca="1" si="0"/>
        <v>582</v>
      </c>
      <c r="R16" s="119"/>
    </row>
    <row r="17" spans="1:32">
      <c r="A17" s="8">
        <v>35156</v>
      </c>
      <c r="B17" s="4">
        <v>319.49999999999989</v>
      </c>
      <c r="C17" s="4">
        <v>0.8</v>
      </c>
      <c r="E17" s="4">
        <f t="shared" si="1"/>
        <v>2010</v>
      </c>
      <c r="F17" s="4">
        <f t="shared" ca="1" si="0"/>
        <v>663.29999999999984</v>
      </c>
      <c r="G17" s="4">
        <f t="shared" ca="1" si="0"/>
        <v>557.29999999999995</v>
      </c>
      <c r="H17" s="4">
        <f t="shared" ca="1" si="0"/>
        <v>393.39999999999986</v>
      </c>
      <c r="I17" s="4">
        <f t="shared" ca="1" si="0"/>
        <v>174.9</v>
      </c>
      <c r="J17" s="4">
        <f t="shared" ca="1" si="0"/>
        <v>84.300000000000011</v>
      </c>
      <c r="K17" s="4">
        <f t="shared" ca="1" si="0"/>
        <v>3.9000000000000004</v>
      </c>
      <c r="L17" s="4">
        <f t="shared" ca="1" si="0"/>
        <v>0</v>
      </c>
      <c r="M17" s="4">
        <f t="shared" ca="1" si="0"/>
        <v>0</v>
      </c>
      <c r="N17" s="4">
        <f t="shared" ca="1" si="0"/>
        <v>38</v>
      </c>
      <c r="O17" s="4">
        <f t="shared" ca="1" si="0"/>
        <v>157.6</v>
      </c>
      <c r="P17" s="4">
        <f t="shared" ca="1" si="0"/>
        <v>376.59999999999991</v>
      </c>
      <c r="Q17" s="4">
        <f t="shared" ca="1" si="0"/>
        <v>645.59999999999991</v>
      </c>
      <c r="R17" s="119"/>
    </row>
    <row r="18" spans="1:32">
      <c r="A18" s="8">
        <v>35186</v>
      </c>
      <c r="B18" s="4">
        <v>150.89999999999998</v>
      </c>
      <c r="C18" s="4">
        <v>27.500000000000004</v>
      </c>
      <c r="E18" s="4">
        <f t="shared" si="1"/>
        <v>2011</v>
      </c>
      <c r="F18" s="4">
        <f t="shared" ca="1" si="0"/>
        <v>703.59999999999991</v>
      </c>
      <c r="G18" s="4">
        <f t="shared" ca="1" si="0"/>
        <v>583.20000000000005</v>
      </c>
      <c r="H18" s="4">
        <f t="shared" ca="1" si="0"/>
        <v>514.30000000000007</v>
      </c>
      <c r="I18" s="4">
        <f t="shared" ca="1" si="0"/>
        <v>278.59999999999985</v>
      </c>
      <c r="J18" s="4">
        <f t="shared" ca="1" si="0"/>
        <v>105.20000000000003</v>
      </c>
      <c r="K18" s="4">
        <f t="shared" ca="1" si="0"/>
        <v>7.6000000000000005</v>
      </c>
      <c r="L18" s="4">
        <f t="shared" ca="1" si="0"/>
        <v>0</v>
      </c>
      <c r="M18" s="4">
        <f t="shared" ca="1" si="0"/>
        <v>0</v>
      </c>
      <c r="N18" s="4">
        <f t="shared" ca="1" si="0"/>
        <v>51.4</v>
      </c>
      <c r="O18" s="4">
        <f t="shared" ca="1" si="0"/>
        <v>185.29999999999998</v>
      </c>
      <c r="P18" s="4">
        <f t="shared" ca="1" si="0"/>
        <v>297.2999999999999</v>
      </c>
      <c r="Q18" s="4">
        <f t="shared" ca="1" si="0"/>
        <v>485.4</v>
      </c>
      <c r="R18" s="119"/>
    </row>
    <row r="19" spans="1:32">
      <c r="A19" s="8">
        <v>35217</v>
      </c>
      <c r="B19" s="4">
        <v>3.2</v>
      </c>
      <c r="C19" s="4">
        <v>111.49999999999999</v>
      </c>
      <c r="E19" s="4">
        <f t="shared" si="1"/>
        <v>2012</v>
      </c>
      <c r="F19" s="4">
        <f t="shared" ref="F19:Q25" ca="1" si="2">OFFSET($B$2,(ROW()-2)*12+COLUMN()-6,0)</f>
        <v>559.59999999999991</v>
      </c>
      <c r="G19" s="4">
        <f t="shared" ca="1" si="2"/>
        <v>492.40000000000003</v>
      </c>
      <c r="H19" s="4">
        <f t="shared" ca="1" si="2"/>
        <v>250.79999999999995</v>
      </c>
      <c r="I19" s="4">
        <f t="shared" ca="1" si="2"/>
        <v>252.49999999999991</v>
      </c>
      <c r="J19" s="4">
        <f t="shared" ca="1" si="2"/>
        <v>48.2</v>
      </c>
      <c r="K19" s="4">
        <f t="shared" ca="1" si="2"/>
        <v>10.3</v>
      </c>
      <c r="L19" s="4">
        <f t="shared" ca="1" si="2"/>
        <v>0</v>
      </c>
      <c r="M19" s="4">
        <f t="shared" ca="1" si="2"/>
        <v>0.7</v>
      </c>
      <c r="N19" s="4">
        <f t="shared" ca="1" si="2"/>
        <v>53.2</v>
      </c>
      <c r="O19" s="4">
        <f t="shared" ca="1" si="2"/>
        <v>207.19999999999996</v>
      </c>
      <c r="P19" s="4">
        <f t="shared" ca="1" si="2"/>
        <v>405.49999999999994</v>
      </c>
      <c r="Q19" s="4">
        <f t="shared" ca="1" si="2"/>
        <v>484.20000000000005</v>
      </c>
      <c r="R19" s="119"/>
    </row>
    <row r="20" spans="1:32">
      <c r="A20" s="8">
        <v>35247</v>
      </c>
      <c r="B20" s="4">
        <v>0.89999999999999991</v>
      </c>
      <c r="C20" s="4">
        <v>122.79999999999997</v>
      </c>
      <c r="E20" s="4">
        <f t="shared" si="1"/>
        <v>2013</v>
      </c>
      <c r="F20" s="4">
        <f t="shared" ca="1" si="2"/>
        <v>598.19999999999993</v>
      </c>
      <c r="G20" s="4">
        <f t="shared" ca="1" si="2"/>
        <v>574.80000000000007</v>
      </c>
      <c r="H20" s="4">
        <f t="shared" ca="1" si="2"/>
        <v>505.20000000000005</v>
      </c>
      <c r="I20" s="4">
        <f t="shared" ca="1" si="2"/>
        <v>300.19999999999993</v>
      </c>
      <c r="J20" s="4">
        <f t="shared" ca="1" si="2"/>
        <v>73.300000000000011</v>
      </c>
      <c r="K20" s="4">
        <f t="shared" ca="1" si="2"/>
        <v>14.700000000000001</v>
      </c>
      <c r="L20" s="4">
        <f t="shared" ca="1" si="2"/>
        <v>1.5</v>
      </c>
      <c r="M20" s="4">
        <f t="shared" ca="1" si="2"/>
        <v>1.2</v>
      </c>
      <c r="N20" s="4">
        <f t="shared" ca="1" si="2"/>
        <v>41.2</v>
      </c>
      <c r="O20" s="4">
        <f t="shared" ca="1" si="2"/>
        <v>170.49999999999997</v>
      </c>
      <c r="P20" s="4">
        <f t="shared" ca="1" si="2"/>
        <v>424.9</v>
      </c>
      <c r="Q20" s="4">
        <f t="shared" ca="1" si="2"/>
        <v>614.30000000000007</v>
      </c>
      <c r="R20" s="119"/>
    </row>
    <row r="21" spans="1:32">
      <c r="A21" s="8">
        <v>35278</v>
      </c>
      <c r="B21" s="4">
        <v>0</v>
      </c>
      <c r="C21" s="4">
        <v>152.4</v>
      </c>
      <c r="E21" s="4">
        <f t="shared" si="1"/>
        <v>2014</v>
      </c>
      <c r="F21" s="4">
        <f t="shared" ca="1" si="2"/>
        <v>784.99999999999977</v>
      </c>
      <c r="G21" s="4">
        <f t="shared" ca="1" si="2"/>
        <v>674.19999999999982</v>
      </c>
      <c r="H21" s="4">
        <f t="shared" ca="1" si="2"/>
        <v>591.90000000000009</v>
      </c>
      <c r="I21" s="4">
        <f t="shared" ca="1" si="2"/>
        <v>253.7</v>
      </c>
      <c r="J21" s="4">
        <f t="shared" ca="1" si="2"/>
        <v>90.600000000000009</v>
      </c>
      <c r="K21" s="4">
        <f t="shared" ca="1" si="2"/>
        <v>2.4000000000000004</v>
      </c>
      <c r="L21" s="4">
        <f t="shared" ca="1" si="2"/>
        <v>0.7</v>
      </c>
      <c r="M21" s="4">
        <f t="shared" ca="1" si="2"/>
        <v>0.7</v>
      </c>
      <c r="N21" s="4">
        <f t="shared" ca="1" si="2"/>
        <v>57.20000000000001</v>
      </c>
      <c r="O21" s="4">
        <f t="shared" ca="1" si="2"/>
        <v>179.7</v>
      </c>
      <c r="P21" s="4">
        <f t="shared" ca="1" si="2"/>
        <v>442</v>
      </c>
      <c r="Q21" s="4">
        <f t="shared" ca="1" si="2"/>
        <v>513.9</v>
      </c>
      <c r="R21" s="119"/>
      <c r="T21" s="119"/>
    </row>
    <row r="22" spans="1:32">
      <c r="A22" s="8">
        <v>35309</v>
      </c>
      <c r="B22" s="4">
        <v>41.5</v>
      </c>
      <c r="C22" s="4">
        <v>48.79999999999999</v>
      </c>
      <c r="E22" s="4">
        <f t="shared" si="1"/>
        <v>2015</v>
      </c>
      <c r="F22" s="4">
        <f t="shared" ca="1" si="2"/>
        <v>724.69999999999982</v>
      </c>
      <c r="G22" s="4">
        <f t="shared" ca="1" si="2"/>
        <v>757.39999999999986</v>
      </c>
      <c r="H22" s="4">
        <f t="shared" ca="1" si="2"/>
        <v>508.7</v>
      </c>
      <c r="I22" s="4">
        <f t="shared" ca="1" si="2"/>
        <v>257.39999999999992</v>
      </c>
      <c r="J22" s="4">
        <f t="shared" ca="1" si="2"/>
        <v>68.7</v>
      </c>
      <c r="K22" s="4">
        <f t="shared" ca="1" si="2"/>
        <v>13.1</v>
      </c>
      <c r="L22" s="4">
        <f t="shared" ca="1" si="2"/>
        <v>1.9</v>
      </c>
      <c r="M22" s="4">
        <f t="shared" ca="1" si="2"/>
        <v>3.2</v>
      </c>
      <c r="N22" s="4">
        <f t="shared" ca="1" si="2"/>
        <v>10.8</v>
      </c>
      <c r="O22" s="4">
        <f t="shared" ca="1" si="2"/>
        <v>157.80000000000001</v>
      </c>
      <c r="P22" s="4">
        <f t="shared" ca="1" si="2"/>
        <v>286.60000000000002</v>
      </c>
      <c r="Q22" s="4">
        <f t="shared" ca="1" si="2"/>
        <v>392.2</v>
      </c>
      <c r="R22" s="119"/>
      <c r="T22" s="119"/>
    </row>
    <row r="23" spans="1:32">
      <c r="A23" s="8">
        <v>35339</v>
      </c>
      <c r="B23" s="4">
        <v>197.29999999999998</v>
      </c>
      <c r="C23" s="4">
        <v>4.3</v>
      </c>
      <c r="E23" s="4">
        <v>2016</v>
      </c>
      <c r="F23" s="4">
        <f t="shared" ca="1" si="2"/>
        <v>618.5</v>
      </c>
      <c r="G23" s="4">
        <f t="shared" ca="1" si="2"/>
        <v>510.5</v>
      </c>
      <c r="H23" s="4">
        <f t="shared" ca="1" si="2"/>
        <v>350.9</v>
      </c>
      <c r="I23" s="4">
        <f t="shared" ca="1" si="2"/>
        <v>315.20000000000005</v>
      </c>
      <c r="J23" s="4">
        <f t="shared" ca="1" si="2"/>
        <v>110.9</v>
      </c>
      <c r="K23" s="4">
        <f t="shared" ca="1" si="2"/>
        <v>5.6</v>
      </c>
      <c r="L23" s="4">
        <f t="shared" ca="1" si="2"/>
        <v>0</v>
      </c>
      <c r="M23" s="4">
        <f t="shared" ca="1" si="2"/>
        <v>0</v>
      </c>
      <c r="N23" s="4">
        <f t="shared" ca="1" si="2"/>
        <v>8</v>
      </c>
      <c r="O23" s="4">
        <f t="shared" ca="1" si="2"/>
        <v>146</v>
      </c>
      <c r="P23" s="4">
        <f t="shared" ca="1" si="2"/>
        <v>290.7</v>
      </c>
      <c r="Q23" s="4">
        <f t="shared" ca="1" si="2"/>
        <v>581.1</v>
      </c>
      <c r="T23" s="119"/>
    </row>
    <row r="24" spans="1:32">
      <c r="A24" s="8">
        <v>35370</v>
      </c>
      <c r="B24" s="4">
        <v>473.70000000000005</v>
      </c>
      <c r="C24" s="4">
        <v>0</v>
      </c>
      <c r="E24" s="119">
        <f t="shared" si="1"/>
        <v>2017</v>
      </c>
      <c r="F24" s="119">
        <f t="shared" ca="1" si="2"/>
        <v>570.4</v>
      </c>
      <c r="G24" s="119">
        <f t="shared" ca="1" si="2"/>
        <v>411.8</v>
      </c>
      <c r="H24" s="119">
        <f t="shared" ca="1" si="2"/>
        <v>469.7</v>
      </c>
      <c r="I24" s="119">
        <f t="shared" ca="1" si="2"/>
        <v>177.1</v>
      </c>
      <c r="J24" s="119">
        <f t="shared" ca="1" si="2"/>
        <v>124.4</v>
      </c>
      <c r="K24" s="119">
        <f t="shared" ca="1" si="2"/>
        <v>2.9</v>
      </c>
      <c r="L24" s="119">
        <f t="shared" ca="1" si="2"/>
        <v>0</v>
      </c>
      <c r="M24" s="119">
        <f t="shared" ca="1" si="2"/>
        <v>1.9</v>
      </c>
      <c r="N24" s="119">
        <f t="shared" ca="1" si="2"/>
        <v>27.4</v>
      </c>
      <c r="O24" s="119">
        <f t="shared" ca="1" si="2"/>
        <v>124.6</v>
      </c>
      <c r="P24" s="119">
        <f t="shared" ca="1" si="2"/>
        <v>379.5</v>
      </c>
      <c r="Q24" s="119">
        <f t="shared" ca="1" si="2"/>
        <v>634.4</v>
      </c>
      <c r="R24" s="119"/>
      <c r="S24" s="119"/>
      <c r="T24" s="119"/>
    </row>
    <row r="25" spans="1:32">
      <c r="A25" s="8">
        <v>35400</v>
      </c>
      <c r="B25" s="4">
        <v>549.29999999999995</v>
      </c>
      <c r="C25" s="4">
        <v>0</v>
      </c>
      <c r="E25" s="4">
        <v>2018</v>
      </c>
      <c r="F25" s="119">
        <f t="shared" ca="1" si="2"/>
        <v>671.40000000000009</v>
      </c>
      <c r="G25" s="119">
        <f t="shared" ca="1" si="2"/>
        <v>497.29999999999995</v>
      </c>
      <c r="H25" s="119">
        <f t="shared" ca="1" si="2"/>
        <v>510.59999999999997</v>
      </c>
      <c r="I25" s="119">
        <f t="shared" ca="1" si="2"/>
        <v>334.19999999999993</v>
      </c>
      <c r="J25" s="119">
        <f t="shared" ca="1" si="2"/>
        <v>44.6</v>
      </c>
      <c r="K25" s="119">
        <f t="shared" ca="1" si="2"/>
        <v>4</v>
      </c>
      <c r="L25" s="119">
        <f t="shared" ca="1" si="2"/>
        <v>0</v>
      </c>
      <c r="M25" s="119">
        <f t="shared" ca="1" si="2"/>
        <v>0</v>
      </c>
      <c r="N25" s="119">
        <f t="shared" ca="1" si="2"/>
        <v>29.7</v>
      </c>
      <c r="O25" s="119">
        <f t="shared" ca="1" si="2"/>
        <v>207.89999999999995</v>
      </c>
      <c r="P25" s="119">
        <f t="shared" ca="1" si="2"/>
        <v>454.9</v>
      </c>
      <c r="Q25" s="119">
        <f t="shared" ca="1" si="2"/>
        <v>500.59999999999991</v>
      </c>
      <c r="R25" s="119"/>
      <c r="S25" s="119"/>
      <c r="T25" s="119"/>
    </row>
    <row r="26" spans="1:32">
      <c r="A26" s="8">
        <v>35431</v>
      </c>
      <c r="B26" s="4">
        <v>688.09999999999991</v>
      </c>
      <c r="C26" s="4">
        <v>0</v>
      </c>
      <c r="E26" s="4">
        <v>2019</v>
      </c>
      <c r="F26" s="93">
        <f ca="1">TREND(F$5:F$24,$E$5:$E$24,$E26)</f>
        <v>663.38729323308235</v>
      </c>
      <c r="G26" s="93">
        <f t="shared" ref="G26:Q27" ca="1" si="3">TREND(G$5:G$24,$E$5:$E$24,$E26)</f>
        <v>606.46984962405986</v>
      </c>
      <c r="H26" s="93">
        <f t="shared" ca="1" si="3"/>
        <v>458.21481203007522</v>
      </c>
      <c r="I26" s="93">
        <f t="shared" ca="1" si="3"/>
        <v>253.83368421052626</v>
      </c>
      <c r="J26" s="93">
        <f t="shared" ca="1" si="3"/>
        <v>101.90338345864666</v>
      </c>
      <c r="K26" s="93">
        <f t="shared" ca="1" si="3"/>
        <v>1.4325563909769699</v>
      </c>
      <c r="L26" s="93">
        <f t="shared" ca="1" si="3"/>
        <v>0.57736842105263175</v>
      </c>
      <c r="M26" s="93">
        <f t="shared" ca="1" si="3"/>
        <v>1.6412030075187971</v>
      </c>
      <c r="N26" s="93">
        <f t="shared" ca="1" si="3"/>
        <v>30.594360902255573</v>
      </c>
      <c r="O26" s="93">
        <f t="shared" ca="1" si="3"/>
        <v>160.81022556391008</v>
      </c>
      <c r="P26" s="93">
        <f t="shared" ca="1" si="3"/>
        <v>374.12451127819531</v>
      </c>
      <c r="Q26" s="93">
        <f t="shared" ca="1" si="3"/>
        <v>549.53270676691727</v>
      </c>
      <c r="R26" s="93"/>
      <c r="T26" s="119"/>
    </row>
    <row r="27" spans="1:32">
      <c r="A27" s="8">
        <v>35462</v>
      </c>
      <c r="B27" s="4">
        <v>500.50000000000006</v>
      </c>
      <c r="C27" s="4">
        <v>0</v>
      </c>
      <c r="E27" s="4">
        <v>2020</v>
      </c>
      <c r="F27" s="93">
        <f ca="1">TREND(F$5:F$24,$E$5:$E$24,$E27)</f>
        <v>665.14879699248104</v>
      </c>
      <c r="G27" s="93">
        <f t="shared" ca="1" si="3"/>
        <v>611.17548872180487</v>
      </c>
      <c r="H27" s="93">
        <f t="shared" ca="1" si="3"/>
        <v>458.46436090225569</v>
      </c>
      <c r="I27" s="93">
        <f t="shared" ca="1" si="3"/>
        <v>254.29052631578941</v>
      </c>
      <c r="J27" s="93">
        <f t="shared" ca="1" si="3"/>
        <v>102.64150375939857</v>
      </c>
      <c r="K27" s="93">
        <f t="shared" ca="1" si="3"/>
        <v>0.39669172932326546</v>
      </c>
      <c r="L27" s="93">
        <f t="shared" ca="1" si="3"/>
        <v>0.58105263157894704</v>
      </c>
      <c r="M27" s="93">
        <f t="shared" ca="1" si="3"/>
        <v>1.6660902255639058</v>
      </c>
      <c r="N27" s="93">
        <f t="shared" ca="1" si="3"/>
        <v>30.410827067669118</v>
      </c>
      <c r="O27" s="93">
        <f t="shared" ca="1" si="3"/>
        <v>158.93676691729343</v>
      </c>
      <c r="P27" s="93">
        <f t="shared" ca="1" si="3"/>
        <v>375.92533834586447</v>
      </c>
      <c r="Q27" s="93">
        <f t="shared" ca="1" si="3"/>
        <v>548.76120300751859</v>
      </c>
      <c r="R27" s="93"/>
      <c r="T27" s="119"/>
    </row>
    <row r="28" spans="1:32">
      <c r="A28" s="8">
        <v>35490</v>
      </c>
      <c r="B28" s="4">
        <v>455.19999999999993</v>
      </c>
      <c r="C28" s="4">
        <v>0</v>
      </c>
      <c r="E28" s="9" t="s">
        <v>57</v>
      </c>
      <c r="F28" s="4">
        <f t="shared" ref="F28:Q28" ca="1" si="4">AVERAGE(F15:F24)</f>
        <v>659.42999999999984</v>
      </c>
      <c r="G28" s="119">
        <f t="shared" ca="1" si="4"/>
        <v>571.77</v>
      </c>
      <c r="H28" s="119">
        <f t="shared" ca="1" si="4"/>
        <v>456.53999999999996</v>
      </c>
      <c r="I28" s="119">
        <f t="shared" ca="1" si="4"/>
        <v>248.54999999999995</v>
      </c>
      <c r="J28" s="119">
        <f t="shared" ca="1" si="4"/>
        <v>92.740000000000009</v>
      </c>
      <c r="K28" s="119">
        <f t="shared" ca="1" si="4"/>
        <v>9.08</v>
      </c>
      <c r="L28" s="119">
        <f t="shared" ca="1" si="4"/>
        <v>0.51</v>
      </c>
      <c r="M28" s="119">
        <f t="shared" ca="1" si="4"/>
        <v>1.51</v>
      </c>
      <c r="N28" s="119">
        <f t="shared" ca="1" si="4"/>
        <v>33.01</v>
      </c>
      <c r="O28" s="119">
        <f t="shared" ca="1" si="4"/>
        <v>177.83999999999997</v>
      </c>
      <c r="P28" s="119">
        <f t="shared" ca="1" si="4"/>
        <v>361.94999999999993</v>
      </c>
      <c r="Q28" s="119">
        <f t="shared" ca="1" si="4"/>
        <v>556.41000000000008</v>
      </c>
      <c r="R28" s="93"/>
      <c r="T28" s="119"/>
    </row>
    <row r="29" spans="1:32">
      <c r="A29" s="8">
        <v>35521</v>
      </c>
      <c r="B29" s="4">
        <v>305.19999999999987</v>
      </c>
      <c r="C29" s="4">
        <v>0.3</v>
      </c>
      <c r="E29" s="9" t="s">
        <v>58</v>
      </c>
      <c r="F29" s="4">
        <f t="shared" ref="F29:Q29" ca="1" si="5">AVERAGE(F5:F24)</f>
        <v>643.13</v>
      </c>
      <c r="G29" s="119">
        <f t="shared" ca="1" si="5"/>
        <v>552.35499999999979</v>
      </c>
      <c r="H29" s="119">
        <f t="shared" ca="1" si="5"/>
        <v>455.34499999999997</v>
      </c>
      <c r="I29" s="119">
        <f t="shared" ca="1" si="5"/>
        <v>248.57999999999993</v>
      </c>
      <c r="J29" s="119">
        <f t="shared" ca="1" si="5"/>
        <v>93.41500000000002</v>
      </c>
      <c r="K29" s="119">
        <f t="shared" ca="1" si="5"/>
        <v>13.345000000000002</v>
      </c>
      <c r="L29" s="119">
        <f t="shared" ca="1" si="5"/>
        <v>0.53500000000000003</v>
      </c>
      <c r="M29" s="119">
        <f t="shared" ca="1" si="5"/>
        <v>1.355</v>
      </c>
      <c r="N29" s="119">
        <f t="shared" ca="1" si="5"/>
        <v>32.704999999999998</v>
      </c>
      <c r="O29" s="119">
        <f t="shared" ca="1" si="5"/>
        <v>182.35499999999996</v>
      </c>
      <c r="P29" s="119">
        <f t="shared" ca="1" si="5"/>
        <v>353.41499999999996</v>
      </c>
      <c r="Q29" s="119">
        <f t="shared" ca="1" si="5"/>
        <v>558.40499999999997</v>
      </c>
      <c r="R29" s="119"/>
      <c r="T29" s="119"/>
    </row>
    <row r="30" spans="1:32">
      <c r="A30" s="8">
        <v>35551</v>
      </c>
      <c r="B30" s="4">
        <v>204.59999999999991</v>
      </c>
      <c r="C30" s="4">
        <v>0</v>
      </c>
      <c r="R30" s="119"/>
      <c r="S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F30" s="119"/>
    </row>
    <row r="31" spans="1:32">
      <c r="A31" s="8">
        <v>35582</v>
      </c>
      <c r="B31" s="4">
        <v>15.199999999999996</v>
      </c>
      <c r="C31" s="4">
        <v>106.5</v>
      </c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F31" s="93"/>
    </row>
    <row r="32" spans="1:32">
      <c r="A32" s="8">
        <v>35612</v>
      </c>
      <c r="B32" s="4">
        <v>0</v>
      </c>
      <c r="C32" s="4">
        <v>145.5</v>
      </c>
      <c r="R32" s="119"/>
    </row>
    <row r="33" spans="1:32">
      <c r="A33" s="8">
        <v>35643</v>
      </c>
      <c r="B33" s="4">
        <v>2.9</v>
      </c>
      <c r="C33" s="4">
        <v>85.799999999999969</v>
      </c>
      <c r="E33" s="5" t="s">
        <v>44</v>
      </c>
      <c r="F33" s="6" t="s">
        <v>45</v>
      </c>
      <c r="G33" s="6" t="s">
        <v>46</v>
      </c>
      <c r="H33" s="6" t="s">
        <v>47</v>
      </c>
      <c r="I33" s="6" t="s">
        <v>48</v>
      </c>
      <c r="J33" s="6" t="s">
        <v>49</v>
      </c>
      <c r="K33" s="6" t="s">
        <v>50</v>
      </c>
      <c r="L33" s="6" t="s">
        <v>51</v>
      </c>
      <c r="M33" s="7" t="s">
        <v>52</v>
      </c>
      <c r="N33" s="7" t="s">
        <v>53</v>
      </c>
      <c r="O33" s="7" t="s">
        <v>54</v>
      </c>
      <c r="P33" s="7" t="s">
        <v>55</v>
      </c>
      <c r="Q33" s="7" t="s">
        <v>56</v>
      </c>
      <c r="R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</row>
    <row r="34" spans="1:32">
      <c r="A34" s="8">
        <v>35674</v>
      </c>
      <c r="B34" s="4">
        <v>34.400000000000006</v>
      </c>
      <c r="C34" s="4">
        <v>41.3</v>
      </c>
      <c r="E34" s="4">
        <v>1995</v>
      </c>
      <c r="F34" s="4">
        <f t="shared" ref="F34:F50" ca="1" si="6">OFFSET($C$2,(ROW()-34)*12+COLUMN()-6,0)</f>
        <v>0</v>
      </c>
      <c r="G34" s="4">
        <f t="shared" ref="G34:Q49" ca="1" si="7">OFFSET($C$2,(ROW()-34)*12+COLUMN()-6,0)</f>
        <v>0</v>
      </c>
      <c r="H34" s="4">
        <f t="shared" ca="1" si="7"/>
        <v>0</v>
      </c>
      <c r="I34" s="4">
        <f t="shared" ca="1" si="7"/>
        <v>0</v>
      </c>
      <c r="J34" s="4">
        <f t="shared" ca="1" si="7"/>
        <v>9.8999999999999986</v>
      </c>
      <c r="K34" s="4">
        <f t="shared" ca="1" si="7"/>
        <v>122.6</v>
      </c>
      <c r="L34" s="4">
        <f t="shared" ca="1" si="7"/>
        <v>188.60000000000002</v>
      </c>
      <c r="M34" s="4">
        <f t="shared" ca="1" si="7"/>
        <v>214.90000000000009</v>
      </c>
      <c r="N34" s="4">
        <f t="shared" ca="1" si="7"/>
        <v>37</v>
      </c>
      <c r="O34" s="4">
        <f t="shared" ca="1" si="7"/>
        <v>7.3</v>
      </c>
      <c r="P34" s="4">
        <f t="shared" ca="1" si="7"/>
        <v>0</v>
      </c>
      <c r="Q34" s="4">
        <f t="shared" ca="1" si="7"/>
        <v>0</v>
      </c>
      <c r="R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</row>
    <row r="35" spans="1:32">
      <c r="A35" s="8">
        <v>35704</v>
      </c>
      <c r="B35" s="4">
        <v>210.70000000000002</v>
      </c>
      <c r="C35" s="4">
        <v>28.6</v>
      </c>
      <c r="E35" s="4">
        <v>1996</v>
      </c>
      <c r="F35" s="4">
        <f t="shared" ca="1" si="6"/>
        <v>0</v>
      </c>
      <c r="G35" s="4">
        <f t="shared" ca="1" si="7"/>
        <v>0</v>
      </c>
      <c r="H35" s="4">
        <f t="shared" ca="1" si="7"/>
        <v>0</v>
      </c>
      <c r="I35" s="4">
        <f t="shared" ca="1" si="7"/>
        <v>0.8</v>
      </c>
      <c r="J35" s="4">
        <f t="shared" ca="1" si="7"/>
        <v>27.500000000000004</v>
      </c>
      <c r="K35" s="4">
        <f t="shared" ca="1" si="7"/>
        <v>111.49999999999999</v>
      </c>
      <c r="L35" s="4">
        <f t="shared" ca="1" si="7"/>
        <v>122.79999999999997</v>
      </c>
      <c r="M35" s="4">
        <f t="shared" ca="1" si="7"/>
        <v>152.4</v>
      </c>
      <c r="N35" s="4">
        <f t="shared" ca="1" si="7"/>
        <v>48.79999999999999</v>
      </c>
      <c r="O35" s="4">
        <f t="shared" ca="1" si="7"/>
        <v>4.3</v>
      </c>
      <c r="P35" s="4">
        <f t="shared" ca="1" si="7"/>
        <v>0</v>
      </c>
      <c r="Q35" s="4">
        <f t="shared" ca="1" si="7"/>
        <v>0</v>
      </c>
      <c r="R35" s="119"/>
    </row>
    <row r="36" spans="1:32">
      <c r="A36" s="8">
        <v>35735</v>
      </c>
      <c r="B36" s="4">
        <v>427.29999999999995</v>
      </c>
      <c r="C36" s="4">
        <v>0</v>
      </c>
      <c r="E36" s="4">
        <v>1997</v>
      </c>
      <c r="F36" s="4">
        <f t="shared" ca="1" si="6"/>
        <v>0</v>
      </c>
      <c r="G36" s="4">
        <f t="shared" ca="1" si="7"/>
        <v>0</v>
      </c>
      <c r="H36" s="4">
        <f t="shared" ca="1" si="7"/>
        <v>0</v>
      </c>
      <c r="I36" s="4">
        <f t="shared" ca="1" si="7"/>
        <v>0.3</v>
      </c>
      <c r="J36" s="4">
        <f t="shared" ca="1" si="7"/>
        <v>0</v>
      </c>
      <c r="K36" s="4">
        <f t="shared" ca="1" si="7"/>
        <v>106.5</v>
      </c>
      <c r="L36" s="4">
        <f t="shared" ca="1" si="7"/>
        <v>145.5</v>
      </c>
      <c r="M36" s="4">
        <f t="shared" ca="1" si="7"/>
        <v>85.799999999999969</v>
      </c>
      <c r="N36" s="4">
        <f t="shared" ca="1" si="7"/>
        <v>41.3</v>
      </c>
      <c r="O36" s="4">
        <f t="shared" ca="1" si="7"/>
        <v>28.6</v>
      </c>
      <c r="P36" s="4">
        <f t="shared" ca="1" si="7"/>
        <v>0</v>
      </c>
      <c r="Q36" s="4">
        <f t="shared" ca="1" si="7"/>
        <v>0</v>
      </c>
      <c r="R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</row>
    <row r="37" spans="1:32">
      <c r="A37" s="8">
        <v>35765</v>
      </c>
      <c r="B37" s="4">
        <v>534.09999999999991</v>
      </c>
      <c r="C37" s="4">
        <v>0</v>
      </c>
      <c r="E37" s="4">
        <v>1998</v>
      </c>
      <c r="F37" s="4">
        <f t="shared" ca="1" si="6"/>
        <v>0</v>
      </c>
      <c r="G37" s="4">
        <f t="shared" ca="1" si="7"/>
        <v>0</v>
      </c>
      <c r="H37" s="4">
        <f t="shared" ca="1" si="7"/>
        <v>7.1</v>
      </c>
      <c r="I37" s="4">
        <f t="shared" ca="1" si="7"/>
        <v>0</v>
      </c>
      <c r="J37" s="4">
        <f t="shared" ca="1" si="7"/>
        <v>66.399999999999991</v>
      </c>
      <c r="K37" s="4">
        <f t="shared" ca="1" si="7"/>
        <v>133.4</v>
      </c>
      <c r="L37" s="4">
        <f t="shared" ca="1" si="7"/>
        <v>177.89999999999998</v>
      </c>
      <c r="M37" s="4">
        <f t="shared" ca="1" si="7"/>
        <v>169.20000000000002</v>
      </c>
      <c r="N37" s="4">
        <f t="shared" ca="1" si="7"/>
        <v>100.8</v>
      </c>
      <c r="O37" s="4">
        <f t="shared" ca="1" si="7"/>
        <v>5.6</v>
      </c>
      <c r="P37" s="4">
        <f t="shared" ca="1" si="7"/>
        <v>0</v>
      </c>
      <c r="Q37" s="4">
        <f t="shared" ca="1" si="7"/>
        <v>0</v>
      </c>
      <c r="R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F37" s="119"/>
    </row>
    <row r="38" spans="1:32">
      <c r="A38" s="8">
        <v>35796</v>
      </c>
      <c r="B38" s="4">
        <v>532.90000000000009</v>
      </c>
      <c r="C38" s="4">
        <v>0</v>
      </c>
      <c r="E38" s="4">
        <v>1999</v>
      </c>
      <c r="F38" s="4">
        <f t="shared" ca="1" si="6"/>
        <v>0</v>
      </c>
      <c r="G38" s="4">
        <f t="shared" ca="1" si="7"/>
        <v>0</v>
      </c>
      <c r="H38" s="4">
        <f t="shared" ca="1" si="7"/>
        <v>0</v>
      </c>
      <c r="I38" s="4">
        <f t="shared" ca="1" si="7"/>
        <v>0</v>
      </c>
      <c r="J38" s="4">
        <f t="shared" ca="1" si="7"/>
        <v>35.6</v>
      </c>
      <c r="K38" s="4">
        <f t="shared" ca="1" si="7"/>
        <v>147.69999999999999</v>
      </c>
      <c r="L38" s="4">
        <f t="shared" ca="1" si="7"/>
        <v>245.40000000000012</v>
      </c>
      <c r="M38" s="4">
        <f t="shared" ca="1" si="7"/>
        <v>120.69999999999997</v>
      </c>
      <c r="N38" s="4">
        <f t="shared" ca="1" si="7"/>
        <v>68.399999999999977</v>
      </c>
      <c r="O38" s="4">
        <f t="shared" ca="1" si="7"/>
        <v>3.5</v>
      </c>
      <c r="P38" s="4">
        <f t="shared" ca="1" si="7"/>
        <v>0</v>
      </c>
      <c r="Q38" s="4">
        <f t="shared" ca="1" si="7"/>
        <v>0</v>
      </c>
      <c r="R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F38" s="119"/>
    </row>
    <row r="39" spans="1:32">
      <c r="A39" s="8">
        <v>35827</v>
      </c>
      <c r="B39" s="4">
        <v>429.89999999999992</v>
      </c>
      <c r="C39" s="4">
        <v>0</v>
      </c>
      <c r="E39" s="4">
        <v>2000</v>
      </c>
      <c r="F39" s="4">
        <f t="shared" ca="1" si="6"/>
        <v>0</v>
      </c>
      <c r="G39" s="4">
        <f t="shared" ca="1" si="7"/>
        <v>0</v>
      </c>
      <c r="H39" s="4">
        <f t="shared" ca="1" si="7"/>
        <v>1.8</v>
      </c>
      <c r="I39" s="4">
        <f t="shared" ca="1" si="7"/>
        <v>0.3</v>
      </c>
      <c r="J39" s="4">
        <f t="shared" ca="1" si="7"/>
        <v>47.099999999999987</v>
      </c>
      <c r="K39" s="4">
        <f t="shared" ca="1" si="7"/>
        <v>120.59999999999998</v>
      </c>
      <c r="L39" s="4">
        <f t="shared" ca="1" si="7"/>
        <v>113.69999999999997</v>
      </c>
      <c r="M39" s="4">
        <f t="shared" ca="1" si="7"/>
        <v>131.5</v>
      </c>
      <c r="N39" s="4">
        <f t="shared" ca="1" si="7"/>
        <v>62.499999999999993</v>
      </c>
      <c r="O39" s="4">
        <f t="shared" ca="1" si="7"/>
        <v>6.1</v>
      </c>
      <c r="P39" s="4">
        <f t="shared" ca="1" si="7"/>
        <v>0</v>
      </c>
      <c r="Q39" s="4">
        <f t="shared" ca="1" si="7"/>
        <v>0</v>
      </c>
      <c r="R39" s="119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F39" s="119"/>
    </row>
    <row r="40" spans="1:32">
      <c r="A40" s="8">
        <v>35855</v>
      </c>
      <c r="B40" s="4">
        <v>424.09999999999997</v>
      </c>
      <c r="C40" s="4">
        <v>7.1</v>
      </c>
      <c r="E40" s="4">
        <v>2001</v>
      </c>
      <c r="F40" s="4">
        <f t="shared" ca="1" si="6"/>
        <v>0</v>
      </c>
      <c r="G40" s="4">
        <f t="shared" ca="1" si="7"/>
        <v>0</v>
      </c>
      <c r="H40" s="4">
        <f t="shared" ca="1" si="7"/>
        <v>0</v>
      </c>
      <c r="I40" s="4">
        <f t="shared" ca="1" si="7"/>
        <v>3.8</v>
      </c>
      <c r="J40" s="4">
        <f t="shared" ca="1" si="7"/>
        <v>31.300000000000004</v>
      </c>
      <c r="K40" s="4">
        <f t="shared" ca="1" si="7"/>
        <v>123.29999999999998</v>
      </c>
      <c r="L40" s="4">
        <f t="shared" ca="1" si="7"/>
        <v>172.20000000000005</v>
      </c>
      <c r="M40" s="4">
        <f t="shared" ca="1" si="7"/>
        <v>185.70000000000007</v>
      </c>
      <c r="N40" s="4">
        <f t="shared" ca="1" si="7"/>
        <v>42.899999999999984</v>
      </c>
      <c r="O40" s="4">
        <f t="shared" ca="1" si="7"/>
        <v>4.5999999999999996</v>
      </c>
      <c r="P40" s="4">
        <f t="shared" ca="1" si="7"/>
        <v>0</v>
      </c>
      <c r="Q40" s="4">
        <f t="shared" ca="1" si="7"/>
        <v>0</v>
      </c>
      <c r="R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F40" s="119"/>
    </row>
    <row r="41" spans="1:32">
      <c r="A41" s="8">
        <v>35886</v>
      </c>
      <c r="B41" s="4">
        <v>232.7999999999999</v>
      </c>
      <c r="C41" s="4">
        <v>0</v>
      </c>
      <c r="E41" s="4">
        <v>2002</v>
      </c>
      <c r="F41" s="4">
        <f t="shared" ca="1" si="6"/>
        <v>0</v>
      </c>
      <c r="G41" s="4">
        <f t="shared" ca="1" si="7"/>
        <v>0</v>
      </c>
      <c r="H41" s="4">
        <f t="shared" ca="1" si="7"/>
        <v>0</v>
      </c>
      <c r="I41" s="4">
        <f t="shared" ca="1" si="7"/>
        <v>22.6</v>
      </c>
      <c r="J41" s="4">
        <f t="shared" ca="1" si="7"/>
        <v>16.5</v>
      </c>
      <c r="K41" s="4">
        <f t="shared" ca="1" si="7"/>
        <v>132</v>
      </c>
      <c r="L41" s="4">
        <f t="shared" ca="1" si="7"/>
        <v>216.30000000000004</v>
      </c>
      <c r="M41" s="4">
        <f t="shared" ca="1" si="7"/>
        <v>168.30000000000004</v>
      </c>
      <c r="N41" s="4">
        <f t="shared" ca="1" si="7"/>
        <v>105.19999999999999</v>
      </c>
      <c r="O41" s="4">
        <f t="shared" ca="1" si="7"/>
        <v>16.100000000000001</v>
      </c>
      <c r="P41" s="4">
        <f t="shared" ca="1" si="7"/>
        <v>0</v>
      </c>
      <c r="Q41" s="4">
        <f t="shared" ca="1" si="7"/>
        <v>0</v>
      </c>
      <c r="R41" s="119"/>
    </row>
    <row r="42" spans="1:32">
      <c r="A42" s="8">
        <v>35916</v>
      </c>
      <c r="B42" s="4">
        <v>28.299999999999997</v>
      </c>
      <c r="C42" s="4">
        <v>66.399999999999991</v>
      </c>
      <c r="E42" s="4">
        <v>2003</v>
      </c>
      <c r="F42" s="4">
        <f t="shared" ca="1" si="6"/>
        <v>0</v>
      </c>
      <c r="G42" s="4">
        <f t="shared" ca="1" si="7"/>
        <v>0</v>
      </c>
      <c r="H42" s="4">
        <f t="shared" ca="1" si="7"/>
        <v>0</v>
      </c>
      <c r="I42" s="4">
        <f t="shared" ca="1" si="7"/>
        <v>5.0999999999999996</v>
      </c>
      <c r="J42" s="4">
        <f t="shared" ca="1" si="7"/>
        <v>2.6</v>
      </c>
      <c r="K42" s="4">
        <f t="shared" ca="1" si="7"/>
        <v>72.8</v>
      </c>
      <c r="L42" s="4">
        <f t="shared" ca="1" si="7"/>
        <v>156.4</v>
      </c>
      <c r="M42" s="4">
        <f t="shared" ca="1" si="7"/>
        <v>163.80000000000001</v>
      </c>
      <c r="N42" s="4">
        <f t="shared" ca="1" si="7"/>
        <v>48.3</v>
      </c>
      <c r="O42" s="4">
        <f t="shared" ca="1" si="7"/>
        <v>3</v>
      </c>
      <c r="P42" s="4">
        <f t="shared" ca="1" si="7"/>
        <v>0</v>
      </c>
      <c r="Q42" s="4">
        <f t="shared" ca="1" si="7"/>
        <v>0</v>
      </c>
      <c r="R42" s="119"/>
    </row>
    <row r="43" spans="1:32">
      <c r="A43" s="8">
        <v>35947</v>
      </c>
      <c r="B43" s="4">
        <v>42.100000000000009</v>
      </c>
      <c r="C43" s="4">
        <v>133.4</v>
      </c>
      <c r="E43" s="4">
        <v>2004</v>
      </c>
      <c r="F43" s="4">
        <f t="shared" ca="1" si="6"/>
        <v>0</v>
      </c>
      <c r="G43" s="4">
        <f t="shared" ca="1" si="7"/>
        <v>0</v>
      </c>
      <c r="H43" s="4">
        <f t="shared" ca="1" si="7"/>
        <v>0</v>
      </c>
      <c r="I43" s="4">
        <f t="shared" ca="1" si="7"/>
        <v>12.100000000000001</v>
      </c>
      <c r="J43" s="4">
        <f t="shared" ca="1" si="7"/>
        <v>37.4</v>
      </c>
      <c r="K43" s="4">
        <f t="shared" ca="1" si="7"/>
        <v>76.999999999999986</v>
      </c>
      <c r="L43" s="4">
        <f t="shared" ca="1" si="7"/>
        <v>138.5</v>
      </c>
      <c r="M43" s="4">
        <f t="shared" ca="1" si="7"/>
        <v>90.09999999999998</v>
      </c>
      <c r="N43" s="4">
        <f t="shared" ca="1" si="7"/>
        <v>77.999999999999986</v>
      </c>
      <c r="O43" s="4">
        <f t="shared" ca="1" si="7"/>
        <v>2.8</v>
      </c>
      <c r="P43" s="4">
        <f t="shared" ca="1" si="7"/>
        <v>0</v>
      </c>
      <c r="Q43" s="4">
        <f t="shared" ca="1" si="7"/>
        <v>0</v>
      </c>
      <c r="R43" s="119"/>
    </row>
    <row r="44" spans="1:32">
      <c r="A44" s="8">
        <v>35977</v>
      </c>
      <c r="B44" s="4">
        <v>0</v>
      </c>
      <c r="C44" s="4">
        <v>177.89999999999998</v>
      </c>
      <c r="E44" s="4">
        <v>2005</v>
      </c>
      <c r="F44" s="4">
        <f t="shared" ca="1" si="6"/>
        <v>0</v>
      </c>
      <c r="G44" s="4">
        <f t="shared" ca="1" si="7"/>
        <v>0</v>
      </c>
      <c r="H44" s="4">
        <f t="shared" ca="1" si="7"/>
        <v>0</v>
      </c>
      <c r="I44" s="4">
        <f t="shared" ca="1" si="7"/>
        <v>2.8</v>
      </c>
      <c r="J44" s="4">
        <f t="shared" ca="1" si="7"/>
        <v>8.1</v>
      </c>
      <c r="K44" s="4">
        <f t="shared" ca="1" si="7"/>
        <v>174.20000000000002</v>
      </c>
      <c r="L44" s="4">
        <f t="shared" ca="1" si="7"/>
        <v>203.80000000000007</v>
      </c>
      <c r="M44" s="4">
        <f t="shared" ca="1" si="7"/>
        <v>192.20000000000007</v>
      </c>
      <c r="N44" s="4">
        <f t="shared" ca="1" si="7"/>
        <v>91.6</v>
      </c>
      <c r="O44" s="4">
        <f t="shared" ca="1" si="7"/>
        <v>23.9</v>
      </c>
      <c r="P44" s="4">
        <f t="shared" ca="1" si="7"/>
        <v>0</v>
      </c>
      <c r="Q44" s="4">
        <f t="shared" ca="1" si="7"/>
        <v>0</v>
      </c>
      <c r="R44" s="119"/>
    </row>
    <row r="45" spans="1:32">
      <c r="A45" s="8">
        <v>36008</v>
      </c>
      <c r="B45" s="4">
        <v>0.5</v>
      </c>
      <c r="C45" s="4">
        <v>169.20000000000002</v>
      </c>
      <c r="E45" s="4">
        <v>2006</v>
      </c>
      <c r="F45" s="4">
        <f t="shared" ca="1" si="6"/>
        <v>0</v>
      </c>
      <c r="G45" s="4">
        <f t="shared" ca="1" si="7"/>
        <v>0</v>
      </c>
      <c r="H45" s="4">
        <f t="shared" ca="1" si="7"/>
        <v>0</v>
      </c>
      <c r="I45" s="4">
        <f t="shared" ca="1" si="7"/>
        <v>0.8</v>
      </c>
      <c r="J45" s="4">
        <f t="shared" ca="1" si="7"/>
        <v>46.2</v>
      </c>
      <c r="K45" s="4">
        <f t="shared" ca="1" si="7"/>
        <v>90.799999999999983</v>
      </c>
      <c r="L45" s="4">
        <f t="shared" ca="1" si="7"/>
        <v>206.00000000000006</v>
      </c>
      <c r="M45" s="4">
        <f t="shared" ca="1" si="7"/>
        <v>155.30000000000001</v>
      </c>
      <c r="N45" s="4">
        <f t="shared" ca="1" si="7"/>
        <v>27.900000000000002</v>
      </c>
      <c r="O45" s="4">
        <f t="shared" ca="1" si="7"/>
        <v>1.8</v>
      </c>
      <c r="P45" s="4">
        <f t="shared" ca="1" si="7"/>
        <v>0</v>
      </c>
      <c r="Q45" s="4">
        <f t="shared" ca="1" si="7"/>
        <v>0</v>
      </c>
      <c r="R45" s="119"/>
    </row>
    <row r="46" spans="1:32">
      <c r="A46" s="8">
        <v>36039</v>
      </c>
      <c r="B46" s="4">
        <v>13.100000000000001</v>
      </c>
      <c r="C46" s="4">
        <v>100.8</v>
      </c>
      <c r="E46" s="4">
        <v>2007</v>
      </c>
      <c r="F46" s="4">
        <f t="shared" ca="1" si="6"/>
        <v>0</v>
      </c>
      <c r="G46" s="4">
        <f t="shared" ca="1" si="7"/>
        <v>0</v>
      </c>
      <c r="H46" s="4">
        <f t="shared" ca="1" si="7"/>
        <v>4</v>
      </c>
      <c r="I46" s="4">
        <f t="shared" ca="1" si="7"/>
        <v>2.8</v>
      </c>
      <c r="J46" s="4">
        <f t="shared" ca="1" si="7"/>
        <v>48.099999999999994</v>
      </c>
      <c r="K46" s="4">
        <f t="shared" ca="1" si="7"/>
        <v>131.6</v>
      </c>
      <c r="L46" s="4">
        <f t="shared" ca="1" si="7"/>
        <v>144</v>
      </c>
      <c r="M46" s="4">
        <f t="shared" ca="1" si="7"/>
        <v>173.3</v>
      </c>
      <c r="N46" s="4">
        <f t="shared" ca="1" si="7"/>
        <v>77.299999999999983</v>
      </c>
      <c r="O46" s="4">
        <f t="shared" ca="1" si="7"/>
        <v>40.699999999999996</v>
      </c>
      <c r="P46" s="4">
        <f t="shared" ca="1" si="7"/>
        <v>0</v>
      </c>
      <c r="Q46" s="4">
        <f t="shared" ca="1" si="7"/>
        <v>0</v>
      </c>
      <c r="R46" s="119"/>
    </row>
    <row r="47" spans="1:32">
      <c r="A47" s="8">
        <v>36069</v>
      </c>
      <c r="B47" s="4">
        <v>158.89999999999998</v>
      </c>
      <c r="C47" s="4">
        <v>5.6</v>
      </c>
      <c r="E47" s="4">
        <v>2008</v>
      </c>
      <c r="F47" s="4">
        <f t="shared" ca="1" si="6"/>
        <v>0</v>
      </c>
      <c r="G47" s="4">
        <f t="shared" ca="1" si="7"/>
        <v>0</v>
      </c>
      <c r="H47" s="4">
        <f t="shared" ca="1" si="7"/>
        <v>0</v>
      </c>
      <c r="I47" s="4">
        <f t="shared" ca="1" si="7"/>
        <v>1.5</v>
      </c>
      <c r="J47" s="4">
        <f t="shared" ca="1" si="7"/>
        <v>13.399999999999999</v>
      </c>
      <c r="K47" s="4">
        <f t="shared" ca="1" si="7"/>
        <v>120.39999999999998</v>
      </c>
      <c r="L47" s="4">
        <f t="shared" ca="1" si="7"/>
        <v>180.50000000000006</v>
      </c>
      <c r="M47" s="4">
        <f t="shared" ca="1" si="7"/>
        <v>137.09999999999997</v>
      </c>
      <c r="N47" s="4">
        <f t="shared" ca="1" si="7"/>
        <v>56.099999999999994</v>
      </c>
      <c r="O47" s="4">
        <f t="shared" ca="1" si="7"/>
        <v>2.2999999999999998</v>
      </c>
      <c r="P47" s="4">
        <f t="shared" ca="1" si="7"/>
        <v>0</v>
      </c>
      <c r="Q47" s="4">
        <f t="shared" ca="1" si="7"/>
        <v>0</v>
      </c>
      <c r="R47" s="119"/>
    </row>
    <row r="48" spans="1:32">
      <c r="A48" s="8">
        <v>36100</v>
      </c>
      <c r="B48" s="4">
        <v>314.19999999999993</v>
      </c>
      <c r="C48" s="4">
        <v>0</v>
      </c>
      <c r="E48" s="4">
        <v>2009</v>
      </c>
      <c r="F48" s="4">
        <f t="shared" ca="1" si="6"/>
        <v>0</v>
      </c>
      <c r="G48" s="4">
        <f t="shared" ca="1" si="7"/>
        <v>0</v>
      </c>
      <c r="H48" s="4">
        <f t="shared" ca="1" si="7"/>
        <v>0</v>
      </c>
      <c r="I48" s="4">
        <f t="shared" ca="1" si="7"/>
        <v>10.399999999999999</v>
      </c>
      <c r="J48" s="4">
        <f t="shared" ca="1" si="7"/>
        <v>12.899999999999999</v>
      </c>
      <c r="K48" s="4">
        <f t="shared" ca="1" si="7"/>
        <v>79.399999999999991</v>
      </c>
      <c r="L48" s="4">
        <f t="shared" ca="1" si="7"/>
        <v>100.19999999999999</v>
      </c>
      <c r="M48" s="4">
        <f t="shared" ca="1" si="7"/>
        <v>133.4</v>
      </c>
      <c r="N48" s="4">
        <f t="shared" ca="1" si="7"/>
        <v>54.699999999999989</v>
      </c>
      <c r="O48" s="4">
        <f t="shared" ca="1" si="7"/>
        <v>0</v>
      </c>
      <c r="P48" s="4">
        <f t="shared" ca="1" si="7"/>
        <v>0</v>
      </c>
      <c r="Q48" s="4">
        <f t="shared" ca="1" si="7"/>
        <v>0</v>
      </c>
      <c r="R48" s="119"/>
    </row>
    <row r="49" spans="1:32">
      <c r="A49" s="8">
        <v>36130</v>
      </c>
      <c r="B49" s="4">
        <v>467.00000000000006</v>
      </c>
      <c r="C49" s="4">
        <v>0</v>
      </c>
      <c r="E49" s="4">
        <v>2010</v>
      </c>
      <c r="F49" s="4">
        <f t="shared" ca="1" si="6"/>
        <v>0</v>
      </c>
      <c r="G49" s="4">
        <f t="shared" ca="1" si="7"/>
        <v>0</v>
      </c>
      <c r="H49" s="4">
        <f t="shared" ca="1" si="7"/>
        <v>0</v>
      </c>
      <c r="I49" s="4">
        <f t="shared" ca="1" si="7"/>
        <v>5</v>
      </c>
      <c r="J49" s="4">
        <f t="shared" ca="1" si="7"/>
        <v>59.699999999999989</v>
      </c>
      <c r="K49" s="4">
        <f t="shared" ca="1" si="7"/>
        <v>135.89999999999998</v>
      </c>
      <c r="L49" s="4">
        <f t="shared" ca="1" si="7"/>
        <v>227.00000000000006</v>
      </c>
      <c r="M49" s="4">
        <f t="shared" ca="1" si="7"/>
        <v>211.80000000000004</v>
      </c>
      <c r="N49" s="4">
        <f t="shared" ca="1" si="7"/>
        <v>59.699999999999989</v>
      </c>
      <c r="O49" s="4">
        <f t="shared" ca="1" si="7"/>
        <v>1.4000000000000001</v>
      </c>
      <c r="P49" s="4">
        <f t="shared" ca="1" si="7"/>
        <v>0</v>
      </c>
      <c r="Q49" s="4">
        <f t="shared" ca="1" si="7"/>
        <v>0</v>
      </c>
      <c r="R49" s="119"/>
    </row>
    <row r="50" spans="1:32">
      <c r="A50" s="8">
        <v>36161</v>
      </c>
      <c r="B50" s="4">
        <v>689.20000000000027</v>
      </c>
      <c r="C50" s="4">
        <v>0</v>
      </c>
      <c r="E50" s="4">
        <v>2011</v>
      </c>
      <c r="F50" s="4">
        <f t="shared" ca="1" si="6"/>
        <v>0</v>
      </c>
      <c r="G50" s="4">
        <f t="shared" ref="G50:Q50" ca="1" si="8">OFFSET($C$2,(ROW()-34)*12+COLUMN()-6,0)</f>
        <v>0</v>
      </c>
      <c r="H50" s="4">
        <f t="shared" ca="1" si="8"/>
        <v>0</v>
      </c>
      <c r="I50" s="4">
        <f t="shared" ca="1" si="8"/>
        <v>0.5</v>
      </c>
      <c r="J50" s="4">
        <f t="shared" ca="1" si="8"/>
        <v>37.200000000000003</v>
      </c>
      <c r="K50" s="4">
        <f t="shared" ca="1" si="8"/>
        <v>115.89999999999998</v>
      </c>
      <c r="L50" s="4">
        <f t="shared" ca="1" si="8"/>
        <v>255.50000000000006</v>
      </c>
      <c r="M50" s="4">
        <f t="shared" ca="1" si="8"/>
        <v>159.50000000000003</v>
      </c>
      <c r="N50" s="4">
        <f t="shared" ca="1" si="8"/>
        <v>60.199999999999989</v>
      </c>
      <c r="O50" s="4">
        <f t="shared" ca="1" si="8"/>
        <v>2.6999999999999997</v>
      </c>
      <c r="P50" s="4">
        <f t="shared" ca="1" si="8"/>
        <v>0</v>
      </c>
      <c r="Q50" s="4">
        <f t="shared" ca="1" si="8"/>
        <v>0</v>
      </c>
      <c r="R50" s="119"/>
    </row>
    <row r="51" spans="1:32">
      <c r="A51" s="8">
        <v>36192</v>
      </c>
      <c r="B51" s="4">
        <v>480.4</v>
      </c>
      <c r="C51" s="4">
        <v>0</v>
      </c>
      <c r="E51" s="4">
        <v>2012</v>
      </c>
      <c r="F51" s="4">
        <f t="shared" ref="F51:Q57" ca="1" si="9">OFFSET($C$2,(ROW()-34)*12+COLUMN()-6,0)</f>
        <v>0</v>
      </c>
      <c r="G51" s="4">
        <f t="shared" ca="1" si="9"/>
        <v>0</v>
      </c>
      <c r="H51" s="4">
        <f t="shared" ca="1" si="9"/>
        <v>4.8</v>
      </c>
      <c r="I51" s="4">
        <f t="shared" ca="1" si="9"/>
        <v>4.3</v>
      </c>
      <c r="J51" s="4">
        <f t="shared" ca="1" si="9"/>
        <v>59.3</v>
      </c>
      <c r="K51" s="4">
        <f t="shared" ca="1" si="9"/>
        <v>147.09999999999997</v>
      </c>
      <c r="L51" s="4">
        <f t="shared" ca="1" si="9"/>
        <v>235.50000000000009</v>
      </c>
      <c r="M51" s="4">
        <f t="shared" ca="1" si="9"/>
        <v>143.69999999999999</v>
      </c>
      <c r="N51" s="4">
        <f t="shared" ca="1" si="9"/>
        <v>50.29999999999999</v>
      </c>
      <c r="O51" s="4">
        <f t="shared" ca="1" si="9"/>
        <v>5.6</v>
      </c>
      <c r="P51" s="4">
        <f t="shared" ca="1" si="9"/>
        <v>0</v>
      </c>
      <c r="Q51" s="4">
        <f t="shared" ca="1" si="9"/>
        <v>0</v>
      </c>
      <c r="R51" s="119"/>
      <c r="S51" s="119"/>
    </row>
    <row r="52" spans="1:32">
      <c r="A52" s="8">
        <v>36220</v>
      </c>
      <c r="B52" s="4">
        <v>492.49999999999994</v>
      </c>
      <c r="C52" s="4">
        <v>0</v>
      </c>
      <c r="E52" s="4">
        <v>2013</v>
      </c>
      <c r="F52" s="4">
        <f t="shared" ca="1" si="9"/>
        <v>0</v>
      </c>
      <c r="G52" s="4">
        <f t="shared" ca="1" si="9"/>
        <v>0</v>
      </c>
      <c r="H52" s="4">
        <f t="shared" ca="1" si="9"/>
        <v>0</v>
      </c>
      <c r="I52" s="4">
        <f t="shared" ca="1" si="9"/>
        <v>0</v>
      </c>
      <c r="J52" s="4">
        <f t="shared" ca="1" si="9"/>
        <v>59.899999999999991</v>
      </c>
      <c r="K52" s="4">
        <f t="shared" ca="1" si="9"/>
        <v>103.49999999999999</v>
      </c>
      <c r="L52" s="4">
        <f t="shared" ca="1" si="9"/>
        <v>174.80000000000004</v>
      </c>
      <c r="M52" s="4">
        <f t="shared" ca="1" si="9"/>
        <v>134.29999999999998</v>
      </c>
      <c r="N52" s="4">
        <f t="shared" ca="1" si="9"/>
        <v>65.3</v>
      </c>
      <c r="O52" s="4">
        <f t="shared" ca="1" si="9"/>
        <v>19.899999999999999</v>
      </c>
      <c r="P52" s="4">
        <f t="shared" ca="1" si="9"/>
        <v>0</v>
      </c>
      <c r="Q52" s="4">
        <f t="shared" ca="1" si="9"/>
        <v>0</v>
      </c>
      <c r="R52" s="119"/>
      <c r="S52" s="119"/>
    </row>
    <row r="53" spans="1:32">
      <c r="A53" s="8">
        <v>36251</v>
      </c>
      <c r="B53" s="4">
        <v>229.59999999999997</v>
      </c>
      <c r="C53" s="4">
        <v>0</v>
      </c>
      <c r="E53" s="4">
        <v>2014</v>
      </c>
      <c r="F53" s="4">
        <f t="shared" ca="1" si="9"/>
        <v>0</v>
      </c>
      <c r="G53" s="4">
        <f t="shared" ca="1" si="9"/>
        <v>0</v>
      </c>
      <c r="H53" s="4">
        <f t="shared" ca="1" si="9"/>
        <v>0</v>
      </c>
      <c r="I53" s="4">
        <f t="shared" ca="1" si="9"/>
        <v>0</v>
      </c>
      <c r="J53" s="4">
        <f t="shared" ca="1" si="9"/>
        <v>36.4</v>
      </c>
      <c r="K53" s="4">
        <f t="shared" ca="1" si="9"/>
        <v>123.29999999999997</v>
      </c>
      <c r="L53" s="4">
        <f t="shared" ca="1" si="9"/>
        <v>113.59999999999997</v>
      </c>
      <c r="M53" s="4">
        <f t="shared" ca="1" si="9"/>
        <v>130.19999999999996</v>
      </c>
      <c r="N53" s="4">
        <f t="shared" ca="1" si="9"/>
        <v>50.499999999999979</v>
      </c>
      <c r="O53" s="4">
        <f t="shared" ca="1" si="9"/>
        <v>3.9</v>
      </c>
      <c r="P53" s="4">
        <f t="shared" ca="1" si="9"/>
        <v>0</v>
      </c>
      <c r="Q53" s="4">
        <f t="shared" ca="1" si="9"/>
        <v>0</v>
      </c>
      <c r="R53" s="119"/>
      <c r="S53" s="119"/>
    </row>
    <row r="54" spans="1:32">
      <c r="A54" s="8">
        <v>36281</v>
      </c>
      <c r="B54" s="4">
        <v>58.300000000000011</v>
      </c>
      <c r="C54" s="4">
        <v>35.6</v>
      </c>
      <c r="E54" s="4">
        <v>2015</v>
      </c>
      <c r="F54" s="4">
        <f t="shared" ca="1" si="9"/>
        <v>0</v>
      </c>
      <c r="G54" s="4">
        <f t="shared" ca="1" si="9"/>
        <v>0</v>
      </c>
      <c r="H54" s="4">
        <f t="shared" ca="1" si="9"/>
        <v>0</v>
      </c>
      <c r="I54" s="4">
        <f t="shared" ca="1" si="9"/>
        <v>0</v>
      </c>
      <c r="J54" s="4">
        <f t="shared" ca="1" si="9"/>
        <v>64.099999999999994</v>
      </c>
      <c r="K54" s="4">
        <f t="shared" ca="1" si="9"/>
        <v>89.59999999999998</v>
      </c>
      <c r="L54" s="4">
        <f t="shared" ca="1" si="9"/>
        <v>152.89999999999998</v>
      </c>
      <c r="M54" s="4">
        <f t="shared" ca="1" si="9"/>
        <v>138.69999999999999</v>
      </c>
      <c r="N54" s="4">
        <f t="shared" ca="1" si="9"/>
        <v>109.19999999999997</v>
      </c>
      <c r="O54" s="4">
        <f t="shared" ca="1" si="9"/>
        <v>2.6</v>
      </c>
      <c r="P54" s="4">
        <f t="shared" ca="1" si="9"/>
        <v>0.5</v>
      </c>
      <c r="Q54" s="4">
        <f t="shared" ca="1" si="9"/>
        <v>0</v>
      </c>
      <c r="R54" s="119"/>
      <c r="S54" s="119"/>
    </row>
    <row r="55" spans="1:32">
      <c r="A55" s="8">
        <v>36312</v>
      </c>
      <c r="B55" s="4">
        <v>17.599999999999998</v>
      </c>
      <c r="C55" s="4">
        <v>147.69999999999999</v>
      </c>
      <c r="E55" s="4">
        <v>2016</v>
      </c>
      <c r="F55" s="4">
        <f t="shared" ca="1" si="9"/>
        <v>0</v>
      </c>
      <c r="G55" s="4">
        <f t="shared" ca="1" si="9"/>
        <v>0</v>
      </c>
      <c r="H55" s="4">
        <f t="shared" ca="1" si="9"/>
        <v>0</v>
      </c>
      <c r="I55" s="4">
        <f t="shared" ca="1" si="9"/>
        <v>0</v>
      </c>
      <c r="J55" s="4">
        <f t="shared" ca="1" si="9"/>
        <v>47</v>
      </c>
      <c r="K55" s="4">
        <f t="shared" ca="1" si="9"/>
        <v>127.2</v>
      </c>
      <c r="L55" s="4">
        <f t="shared" ca="1" si="9"/>
        <v>213.1</v>
      </c>
      <c r="M55" s="4">
        <f t="shared" ca="1" si="9"/>
        <v>219</v>
      </c>
      <c r="N55" s="4">
        <f t="shared" ca="1" si="9"/>
        <v>90.1</v>
      </c>
      <c r="O55" s="4">
        <f t="shared" ca="1" si="9"/>
        <v>22.7</v>
      </c>
      <c r="P55" s="4">
        <f t="shared" ca="1" si="9"/>
        <v>0</v>
      </c>
      <c r="Q55" s="4">
        <f t="shared" ca="1" si="9"/>
        <v>0</v>
      </c>
      <c r="R55" s="119"/>
      <c r="S55" s="119"/>
    </row>
    <row r="56" spans="1:32">
      <c r="A56" s="8">
        <v>36342</v>
      </c>
      <c r="B56" s="4">
        <v>0</v>
      </c>
      <c r="C56" s="4">
        <v>245.40000000000012</v>
      </c>
      <c r="E56" s="119">
        <v>2017</v>
      </c>
      <c r="F56" s="119">
        <f t="shared" ca="1" si="9"/>
        <v>0</v>
      </c>
      <c r="G56" s="119">
        <f t="shared" ca="1" si="9"/>
        <v>0</v>
      </c>
      <c r="H56" s="119">
        <f t="shared" ca="1" si="9"/>
        <v>0</v>
      </c>
      <c r="I56" s="119">
        <f t="shared" ca="1" si="9"/>
        <v>6.1</v>
      </c>
      <c r="J56" s="119">
        <f t="shared" ca="1" si="9"/>
        <v>28.5</v>
      </c>
      <c r="K56" s="119">
        <f t="shared" ca="1" si="9"/>
        <v>128.1</v>
      </c>
      <c r="L56" s="119">
        <f t="shared" ca="1" si="9"/>
        <v>179.5</v>
      </c>
      <c r="M56" s="119">
        <f t="shared" ca="1" si="9"/>
        <v>121.4</v>
      </c>
      <c r="N56" s="119">
        <f t="shared" ca="1" si="9"/>
        <v>80.7</v>
      </c>
      <c r="O56" s="119">
        <f t="shared" ca="1" si="9"/>
        <v>24.9</v>
      </c>
      <c r="P56" s="119">
        <f t="shared" ca="1" si="9"/>
        <v>0</v>
      </c>
      <c r="Q56" s="119">
        <f t="shared" ca="1" si="9"/>
        <v>0</v>
      </c>
      <c r="R56" s="119"/>
      <c r="S56" s="119"/>
      <c r="T56" s="119"/>
    </row>
    <row r="57" spans="1:32">
      <c r="A57" s="8">
        <v>36373</v>
      </c>
      <c r="B57" s="4">
        <v>0.5</v>
      </c>
      <c r="C57" s="4">
        <v>120.69999999999997</v>
      </c>
      <c r="E57" s="4">
        <v>2018</v>
      </c>
      <c r="F57" s="119">
        <f t="shared" ca="1" si="9"/>
        <v>0</v>
      </c>
      <c r="G57" s="119">
        <f t="shared" ca="1" si="9"/>
        <v>0</v>
      </c>
      <c r="H57" s="119">
        <f t="shared" ca="1" si="9"/>
        <v>0</v>
      </c>
      <c r="I57" s="119">
        <f t="shared" ca="1" si="9"/>
        <v>0</v>
      </c>
      <c r="J57" s="119">
        <f t="shared" ca="1" si="9"/>
        <v>68.7</v>
      </c>
      <c r="K57" s="119">
        <f t="shared" ca="1" si="9"/>
        <v>122.39999999999998</v>
      </c>
      <c r="L57" s="119">
        <f t="shared" ca="1" si="9"/>
        <v>204.00000000000006</v>
      </c>
      <c r="M57" s="119">
        <f t="shared" ca="1" si="9"/>
        <v>204.40000000000003</v>
      </c>
      <c r="N57" s="119">
        <f t="shared" ca="1" si="9"/>
        <v>109.19999999999999</v>
      </c>
      <c r="O57" s="119">
        <f t="shared" ca="1" si="9"/>
        <v>24.1</v>
      </c>
      <c r="P57" s="119">
        <f t="shared" ca="1" si="9"/>
        <v>0</v>
      </c>
      <c r="Q57" s="119">
        <f t="shared" ca="1" si="9"/>
        <v>0</v>
      </c>
      <c r="R57" s="93"/>
      <c r="S57" s="119"/>
      <c r="T57" s="119"/>
    </row>
    <row r="58" spans="1:32">
      <c r="A58" s="8">
        <v>36404</v>
      </c>
      <c r="B58" s="4">
        <v>30.799999999999997</v>
      </c>
      <c r="C58" s="4">
        <v>68.399999999999977</v>
      </c>
      <c r="E58" s="4">
        <v>2019</v>
      </c>
      <c r="F58" s="93">
        <f ca="1">MAX(TREND(F$38:F$57,$E$38:$E$57,$E58),0)</f>
        <v>0</v>
      </c>
      <c r="G58" s="93">
        <f t="shared" ref="G58:Q59" ca="1" si="10">MAX(TREND(G$38:G$57,$E$38:$E$57,$E58),0)</f>
        <v>0</v>
      </c>
      <c r="H58" s="93">
        <f t="shared" ca="1" si="10"/>
        <v>0.4589473684210521</v>
      </c>
      <c r="I58" s="93">
        <f t="shared" ca="1" si="10"/>
        <v>0.80473684210528518</v>
      </c>
      <c r="J58" s="93">
        <f t="shared" ca="1" si="10"/>
        <v>54.492105263157555</v>
      </c>
      <c r="K58" s="93">
        <f t="shared" ca="1" si="10"/>
        <v>117.00157894736839</v>
      </c>
      <c r="L58" s="93">
        <f t="shared" ca="1" si="10"/>
        <v>186.50263157894744</v>
      </c>
      <c r="M58" s="93">
        <f t="shared" ca="1" si="10"/>
        <v>166.4157894736843</v>
      </c>
      <c r="N58" s="93">
        <f t="shared" ca="1" si="10"/>
        <v>81.821052631578823</v>
      </c>
      <c r="O58" s="93">
        <f t="shared" ca="1" si="10"/>
        <v>16.369473684210561</v>
      </c>
      <c r="P58" s="93">
        <f t="shared" ca="1" si="10"/>
        <v>7.6315789473683893E-2</v>
      </c>
      <c r="Q58" s="93">
        <f t="shared" ca="1" si="10"/>
        <v>0</v>
      </c>
      <c r="R58" s="93"/>
      <c r="S58" s="119"/>
      <c r="T58" s="119"/>
    </row>
    <row r="59" spans="1:32">
      <c r="A59" s="8">
        <v>36434</v>
      </c>
      <c r="B59" s="4">
        <v>204.09999999999997</v>
      </c>
      <c r="C59" s="4">
        <v>3.5</v>
      </c>
      <c r="E59" s="4">
        <v>2020</v>
      </c>
      <c r="F59" s="93">
        <f ca="1">MAX(TREND(F$38:F$57,$E$38:$E$57,$E59),0)</f>
        <v>0</v>
      </c>
      <c r="G59" s="93">
        <f t="shared" ca="1" si="10"/>
        <v>0</v>
      </c>
      <c r="H59" s="93">
        <f t="shared" ca="1" si="10"/>
        <v>0.45218045112781802</v>
      </c>
      <c r="I59" s="93">
        <f t="shared" ca="1" si="10"/>
        <v>0.50947368421054762</v>
      </c>
      <c r="J59" s="93">
        <f t="shared" ca="1" si="10"/>
        <v>56.062781954887214</v>
      </c>
      <c r="K59" s="93">
        <f t="shared" ca="1" si="10"/>
        <v>116.89315789473682</v>
      </c>
      <c r="L59" s="93">
        <f t="shared" ca="1" si="10"/>
        <v>186.96526315789481</v>
      </c>
      <c r="M59" s="93">
        <f t="shared" ca="1" si="10"/>
        <v>167.43443609022574</v>
      </c>
      <c r="N59" s="93">
        <f t="shared" ca="1" si="10"/>
        <v>83.003533834586506</v>
      </c>
      <c r="O59" s="93">
        <f t="shared" ca="1" si="10"/>
        <v>16.916090225563948</v>
      </c>
      <c r="P59" s="93">
        <f t="shared" ca="1" si="10"/>
        <v>8.120300751879661E-2</v>
      </c>
      <c r="Q59" s="93">
        <f t="shared" ca="1" si="10"/>
        <v>0</v>
      </c>
      <c r="R59" s="93"/>
      <c r="S59" s="119"/>
      <c r="T59" s="119"/>
    </row>
    <row r="60" spans="1:32">
      <c r="A60" s="8">
        <v>36465</v>
      </c>
      <c r="B60" s="4">
        <v>312.19999999999993</v>
      </c>
      <c r="C60" s="4">
        <v>0</v>
      </c>
      <c r="E60" s="9" t="s">
        <v>57</v>
      </c>
      <c r="F60" s="4">
        <f ca="1">AVERAGE(F48:F57)</f>
        <v>0</v>
      </c>
      <c r="G60" s="119">
        <f ca="1">AVERAGE(G48:G57)</f>
        <v>0</v>
      </c>
      <c r="H60" s="119">
        <f t="shared" ref="H60:Q60" ca="1" si="11">AVERAGE(H48:H57)</f>
        <v>0.48</v>
      </c>
      <c r="I60" s="119">
        <f t="shared" ca="1" si="11"/>
        <v>2.63</v>
      </c>
      <c r="J60" s="119">
        <f t="shared" ca="1" si="11"/>
        <v>47.37</v>
      </c>
      <c r="K60" s="119">
        <f t="shared" ca="1" si="11"/>
        <v>117.23999999999997</v>
      </c>
      <c r="L60" s="119">
        <f t="shared" ca="1" si="11"/>
        <v>185.60999999999999</v>
      </c>
      <c r="M60" s="119">
        <f t="shared" ca="1" si="11"/>
        <v>159.64000000000001</v>
      </c>
      <c r="N60" s="119">
        <f t="shared" ca="1" si="11"/>
        <v>72.989999999999981</v>
      </c>
      <c r="O60" s="119">
        <f t="shared" ca="1" si="11"/>
        <v>10.779999999999998</v>
      </c>
      <c r="P60" s="119">
        <f t="shared" ca="1" si="11"/>
        <v>0.05</v>
      </c>
      <c r="Q60" s="119">
        <f t="shared" ca="1" si="11"/>
        <v>0</v>
      </c>
      <c r="R60" s="93"/>
      <c r="S60" s="119"/>
      <c r="T60" s="119"/>
    </row>
    <row r="61" spans="1:32">
      <c r="A61" s="8">
        <v>36495</v>
      </c>
      <c r="B61" s="4">
        <v>533.10000000000014</v>
      </c>
      <c r="C61" s="4">
        <v>0</v>
      </c>
      <c r="E61" s="9" t="s">
        <v>58</v>
      </c>
      <c r="F61" s="4">
        <f ca="1">AVERAGE(F38:F57)</f>
        <v>0</v>
      </c>
      <c r="G61" s="119">
        <f t="shared" ref="G61:Q61" ca="1" si="12">AVERAGE(G38:G57)</f>
        <v>0</v>
      </c>
      <c r="H61" s="119">
        <f t="shared" ca="1" si="12"/>
        <v>0.53</v>
      </c>
      <c r="I61" s="119">
        <f t="shared" ca="1" si="12"/>
        <v>3.9049999999999989</v>
      </c>
      <c r="J61" s="119">
        <f t="shared" ca="1" si="12"/>
        <v>38</v>
      </c>
      <c r="K61" s="119">
        <f t="shared" ca="1" si="12"/>
        <v>118.13999999999999</v>
      </c>
      <c r="L61" s="119">
        <f t="shared" ca="1" si="12"/>
        <v>181.64500000000004</v>
      </c>
      <c r="M61" s="119">
        <f t="shared" ca="1" si="12"/>
        <v>155.72</v>
      </c>
      <c r="N61" s="119">
        <f t="shared" ca="1" si="12"/>
        <v>69.405000000000001</v>
      </c>
      <c r="O61" s="119">
        <f t="shared" ca="1" si="12"/>
        <v>10.629999999999999</v>
      </c>
      <c r="P61" s="119">
        <f t="shared" ca="1" si="12"/>
        <v>2.5000000000000001E-2</v>
      </c>
      <c r="Q61" s="119">
        <f t="shared" ca="1" si="12"/>
        <v>0</v>
      </c>
      <c r="R61" s="93"/>
    </row>
    <row r="62" spans="1:32">
      <c r="A62" s="8">
        <v>36526</v>
      </c>
      <c r="B62" s="4">
        <v>652.79999999999995</v>
      </c>
      <c r="C62" s="4">
        <v>0</v>
      </c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</row>
    <row r="63" spans="1:32">
      <c r="A63" s="8">
        <v>36557</v>
      </c>
      <c r="B63" s="4">
        <v>497.1</v>
      </c>
      <c r="C63" s="4">
        <v>0</v>
      </c>
      <c r="F63" s="4">
        <f ca="1">AVERAGE(F38:F57)</f>
        <v>0</v>
      </c>
      <c r="G63" s="119">
        <f t="shared" ref="G63:Q63" ca="1" si="13">AVERAGE(G38:G57)</f>
        <v>0</v>
      </c>
      <c r="H63" s="119">
        <f t="shared" ca="1" si="13"/>
        <v>0.53</v>
      </c>
      <c r="I63" s="119">
        <f t="shared" ca="1" si="13"/>
        <v>3.9049999999999989</v>
      </c>
      <c r="J63" s="119">
        <f t="shared" ca="1" si="13"/>
        <v>38</v>
      </c>
      <c r="K63" s="119">
        <f t="shared" ca="1" si="13"/>
        <v>118.13999999999999</v>
      </c>
      <c r="L63" s="119">
        <f t="shared" ca="1" si="13"/>
        <v>181.64500000000004</v>
      </c>
      <c r="M63" s="119">
        <f t="shared" ca="1" si="13"/>
        <v>155.72</v>
      </c>
      <c r="N63" s="119">
        <f t="shared" ca="1" si="13"/>
        <v>69.405000000000001</v>
      </c>
      <c r="O63" s="119">
        <f t="shared" ca="1" si="13"/>
        <v>10.629999999999999</v>
      </c>
      <c r="P63" s="119">
        <f t="shared" ca="1" si="13"/>
        <v>2.5000000000000001E-2</v>
      </c>
      <c r="Q63" s="119">
        <f t="shared" ca="1" si="13"/>
        <v>0</v>
      </c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F63" s="93"/>
    </row>
    <row r="64" spans="1:32">
      <c r="A64" s="8">
        <v>36586</v>
      </c>
      <c r="B64" s="4">
        <v>348.29999999999995</v>
      </c>
      <c r="C64" s="4">
        <v>1.8</v>
      </c>
      <c r="F64" s="93">
        <f ca="1">TREND(F$38:F$57,$E$38:$E$57,$E58)</f>
        <v>0</v>
      </c>
      <c r="G64" s="93">
        <f t="shared" ref="G64:Q64" ca="1" si="14">TREND(G$38:G$57,$E$38:$E$57,$E58)</f>
        <v>0</v>
      </c>
      <c r="H64" s="93">
        <f t="shared" ca="1" si="14"/>
        <v>0.4589473684210521</v>
      </c>
      <c r="I64" s="93">
        <f t="shared" ca="1" si="14"/>
        <v>0.80473684210528518</v>
      </c>
      <c r="J64" s="93">
        <f t="shared" ca="1" si="14"/>
        <v>54.492105263157555</v>
      </c>
      <c r="K64" s="93">
        <f t="shared" ca="1" si="14"/>
        <v>117.00157894736839</v>
      </c>
      <c r="L64" s="93">
        <f t="shared" ca="1" si="14"/>
        <v>186.50263157894744</v>
      </c>
      <c r="M64" s="93">
        <f t="shared" ca="1" si="14"/>
        <v>166.4157894736843</v>
      </c>
      <c r="N64" s="93">
        <f t="shared" ca="1" si="14"/>
        <v>81.821052631578823</v>
      </c>
      <c r="O64" s="93">
        <f t="shared" ca="1" si="14"/>
        <v>16.369473684210561</v>
      </c>
      <c r="P64" s="93">
        <f t="shared" ca="1" si="14"/>
        <v>7.6315789473683893E-2</v>
      </c>
      <c r="Q64" s="93">
        <f t="shared" ca="1" si="14"/>
        <v>0</v>
      </c>
    </row>
    <row r="65" spans="1:13">
      <c r="A65" s="8">
        <v>36617</v>
      </c>
      <c r="B65" s="4">
        <v>275.2999999999999</v>
      </c>
      <c r="C65" s="4">
        <v>0.3</v>
      </c>
    </row>
    <row r="66" spans="1:13">
      <c r="A66" s="8">
        <v>36647</v>
      </c>
      <c r="B66" s="4">
        <v>74.000000000000014</v>
      </c>
      <c r="C66" s="4">
        <v>47.099999999999987</v>
      </c>
    </row>
    <row r="67" spans="1:13" ht="15">
      <c r="A67" s="8">
        <v>36678</v>
      </c>
      <c r="B67" s="4">
        <v>14.8</v>
      </c>
      <c r="C67" s="4">
        <v>120.59999999999998</v>
      </c>
      <c r="E67" s="10" t="s">
        <v>59</v>
      </c>
      <c r="J67" s="10" t="s">
        <v>60</v>
      </c>
    </row>
    <row r="68" spans="1:13">
      <c r="A68" s="8">
        <v>36708</v>
      </c>
      <c r="B68" s="4">
        <v>0</v>
      </c>
      <c r="C68" s="4">
        <v>113.69999999999997</v>
      </c>
      <c r="G68" s="11" t="s">
        <v>43</v>
      </c>
      <c r="H68" s="11" t="s">
        <v>44</v>
      </c>
      <c r="L68" s="4" t="s">
        <v>43</v>
      </c>
      <c r="M68" s="4" t="s">
        <v>44</v>
      </c>
    </row>
    <row r="69" spans="1:13">
      <c r="A69" s="8">
        <v>36739</v>
      </c>
      <c r="B69" s="4">
        <v>3.4000000000000004</v>
      </c>
      <c r="C69" s="4">
        <v>131.5</v>
      </c>
      <c r="E69" s="4" t="s">
        <v>61</v>
      </c>
      <c r="F69" s="4" t="s">
        <v>62</v>
      </c>
      <c r="G69" s="4">
        <f ca="1">OFFSET($F$28,0,(ROW()-ROW(G$69)))</f>
        <v>659.42999999999984</v>
      </c>
      <c r="H69" s="4">
        <f t="shared" ref="H69:H80" ca="1" si="15">OFFSET($F$60,0,(ROW()-ROW(H$69)))</f>
        <v>0</v>
      </c>
      <c r="J69" s="4" t="s">
        <v>61</v>
      </c>
      <c r="K69" s="4" t="s">
        <v>62</v>
      </c>
      <c r="L69" s="12">
        <f ca="1">OFFSET($F$27,0,(ROW()-ROW(G$69)))</f>
        <v>665.14879699248104</v>
      </c>
      <c r="M69" s="12">
        <f ca="1">OFFSET($F$59,0,(ROW()-ROW(G$69)))</f>
        <v>0</v>
      </c>
    </row>
    <row r="70" spans="1:13">
      <c r="A70" s="8">
        <v>36770</v>
      </c>
      <c r="B70" s="4">
        <v>61.400000000000006</v>
      </c>
      <c r="C70" s="4">
        <v>62.499999999999993</v>
      </c>
      <c r="E70" s="4" t="s">
        <v>61</v>
      </c>
      <c r="F70" s="4" t="s">
        <v>63</v>
      </c>
      <c r="G70" s="4">
        <f t="shared" ref="G70:G80" ca="1" si="16">OFFSET($F$28,0,(ROW()-ROW(G$69)))</f>
        <v>571.77</v>
      </c>
      <c r="H70" s="4">
        <f t="shared" ca="1" si="15"/>
        <v>0</v>
      </c>
      <c r="J70" s="4" t="s">
        <v>61</v>
      </c>
      <c r="K70" s="4" t="s">
        <v>63</v>
      </c>
      <c r="L70" s="12">
        <f t="shared" ref="L70:L80" ca="1" si="17">OFFSET($F$27,0,(ROW()-ROW(G$69)))</f>
        <v>611.17548872180487</v>
      </c>
      <c r="M70" s="12">
        <f t="shared" ref="M70:M80" ca="1" si="18">OFFSET($F$59,0,(ROW()-ROW(G$69)))</f>
        <v>0</v>
      </c>
    </row>
    <row r="71" spans="1:13">
      <c r="A71" s="8">
        <v>36800</v>
      </c>
      <c r="B71" s="4">
        <v>148.4</v>
      </c>
      <c r="C71" s="4">
        <v>6.1</v>
      </c>
      <c r="E71" s="4" t="s">
        <v>61</v>
      </c>
      <c r="F71" s="4" t="s">
        <v>64</v>
      </c>
      <c r="G71" s="4">
        <f t="shared" ca="1" si="16"/>
        <v>456.53999999999996</v>
      </c>
      <c r="H71" s="4">
        <f t="shared" ca="1" si="15"/>
        <v>0.48</v>
      </c>
      <c r="J71" s="4" t="s">
        <v>61</v>
      </c>
      <c r="K71" s="4" t="s">
        <v>64</v>
      </c>
      <c r="L71" s="12">
        <f t="shared" ca="1" si="17"/>
        <v>458.46436090225569</v>
      </c>
      <c r="M71" s="12">
        <f t="shared" ca="1" si="18"/>
        <v>0.45218045112781802</v>
      </c>
    </row>
    <row r="72" spans="1:13">
      <c r="A72" s="8">
        <v>36831</v>
      </c>
      <c r="B72" s="4">
        <v>386.6</v>
      </c>
      <c r="C72" s="4">
        <v>0</v>
      </c>
      <c r="E72" s="4" t="s">
        <v>61</v>
      </c>
      <c r="F72" s="4" t="s">
        <v>65</v>
      </c>
      <c r="G72" s="4">
        <f t="shared" ca="1" si="16"/>
        <v>248.54999999999995</v>
      </c>
      <c r="H72" s="4">
        <f t="shared" ca="1" si="15"/>
        <v>2.63</v>
      </c>
      <c r="J72" s="4" t="s">
        <v>61</v>
      </c>
      <c r="K72" s="4" t="s">
        <v>65</v>
      </c>
      <c r="L72" s="12">
        <f t="shared" ca="1" si="17"/>
        <v>254.29052631578941</v>
      </c>
      <c r="M72" s="12">
        <f t="shared" ca="1" si="18"/>
        <v>0.50947368421054762</v>
      </c>
    </row>
    <row r="73" spans="1:13">
      <c r="A73" s="8">
        <v>36861</v>
      </c>
      <c r="B73" s="4">
        <v>741.09999999999991</v>
      </c>
      <c r="C73" s="4">
        <v>0</v>
      </c>
      <c r="E73" s="4" t="s">
        <v>61</v>
      </c>
      <c r="F73" s="4" t="s">
        <v>49</v>
      </c>
      <c r="G73" s="4">
        <f t="shared" ca="1" si="16"/>
        <v>92.740000000000009</v>
      </c>
      <c r="H73" s="4">
        <f t="shared" ca="1" si="15"/>
        <v>47.37</v>
      </c>
      <c r="J73" s="4" t="s">
        <v>61</v>
      </c>
      <c r="K73" s="4" t="s">
        <v>49</v>
      </c>
      <c r="L73" s="12">
        <f t="shared" ca="1" si="17"/>
        <v>102.64150375939857</v>
      </c>
      <c r="M73" s="12">
        <f t="shared" ca="1" si="18"/>
        <v>56.062781954887214</v>
      </c>
    </row>
    <row r="74" spans="1:13">
      <c r="A74" s="8">
        <v>36892</v>
      </c>
      <c r="B74" s="4">
        <v>626.20000000000005</v>
      </c>
      <c r="C74" s="4">
        <v>0</v>
      </c>
      <c r="E74" s="4" t="s">
        <v>61</v>
      </c>
      <c r="F74" s="4" t="s">
        <v>50</v>
      </c>
      <c r="G74" s="4">
        <f t="shared" ca="1" si="16"/>
        <v>9.08</v>
      </c>
      <c r="H74" s="4">
        <f t="shared" ca="1" si="15"/>
        <v>117.23999999999997</v>
      </c>
      <c r="J74" s="4" t="s">
        <v>61</v>
      </c>
      <c r="K74" s="4" t="s">
        <v>50</v>
      </c>
      <c r="L74" s="12">
        <f t="shared" ca="1" si="17"/>
        <v>0.39669172932326546</v>
      </c>
      <c r="M74" s="12">
        <f t="shared" ca="1" si="18"/>
        <v>116.89315789473682</v>
      </c>
    </row>
    <row r="75" spans="1:13">
      <c r="A75" s="8">
        <v>36923</v>
      </c>
      <c r="B75" s="4">
        <v>516.69999999999993</v>
      </c>
      <c r="C75" s="4">
        <v>0</v>
      </c>
      <c r="E75" s="4" t="s">
        <v>61</v>
      </c>
      <c r="F75" s="4" t="s">
        <v>51</v>
      </c>
      <c r="G75" s="4">
        <f t="shared" ca="1" si="16"/>
        <v>0.51</v>
      </c>
      <c r="H75" s="4">
        <f t="shared" ca="1" si="15"/>
        <v>185.60999999999999</v>
      </c>
      <c r="J75" s="4" t="s">
        <v>61</v>
      </c>
      <c r="K75" s="4" t="s">
        <v>51</v>
      </c>
      <c r="L75" s="12">
        <f t="shared" ca="1" si="17"/>
        <v>0.58105263157894704</v>
      </c>
      <c r="M75" s="12">
        <f t="shared" ca="1" si="18"/>
        <v>186.96526315789481</v>
      </c>
    </row>
    <row r="76" spans="1:13">
      <c r="A76" s="8">
        <v>36951</v>
      </c>
      <c r="B76" s="4">
        <v>499.49999999999994</v>
      </c>
      <c r="C76" s="4">
        <v>0</v>
      </c>
      <c r="E76" s="4" t="s">
        <v>61</v>
      </c>
      <c r="F76" s="4" t="s">
        <v>52</v>
      </c>
      <c r="G76" s="4">
        <f t="shared" ca="1" si="16"/>
        <v>1.51</v>
      </c>
      <c r="H76" s="4">
        <f t="shared" ca="1" si="15"/>
        <v>159.64000000000001</v>
      </c>
      <c r="J76" s="4" t="s">
        <v>61</v>
      </c>
      <c r="K76" s="4" t="s">
        <v>52</v>
      </c>
      <c r="L76" s="12">
        <f t="shared" ca="1" si="17"/>
        <v>1.6660902255639058</v>
      </c>
      <c r="M76" s="12">
        <f t="shared" ca="1" si="18"/>
        <v>167.43443609022574</v>
      </c>
    </row>
    <row r="77" spans="1:13">
      <c r="A77" s="8">
        <v>36982</v>
      </c>
      <c r="B77" s="4">
        <v>231.59999999999997</v>
      </c>
      <c r="C77" s="4">
        <v>3.8</v>
      </c>
      <c r="E77" s="4" t="s">
        <v>61</v>
      </c>
      <c r="F77" s="4" t="s">
        <v>66</v>
      </c>
      <c r="G77" s="4">
        <f t="shared" ca="1" si="16"/>
        <v>33.01</v>
      </c>
      <c r="H77" s="4">
        <f t="shared" ca="1" si="15"/>
        <v>72.989999999999981</v>
      </c>
      <c r="J77" s="4" t="s">
        <v>61</v>
      </c>
      <c r="K77" s="4" t="s">
        <v>66</v>
      </c>
      <c r="L77" s="12">
        <f t="shared" ca="1" si="17"/>
        <v>30.410827067669118</v>
      </c>
      <c r="M77" s="12">
        <f t="shared" ca="1" si="18"/>
        <v>83.003533834586506</v>
      </c>
    </row>
    <row r="78" spans="1:13">
      <c r="A78" s="8">
        <v>37012</v>
      </c>
      <c r="B78" s="4">
        <v>67.300000000000011</v>
      </c>
      <c r="C78" s="4">
        <v>31.300000000000004</v>
      </c>
      <c r="E78" s="4" t="s">
        <v>61</v>
      </c>
      <c r="F78" s="4" t="s">
        <v>67</v>
      </c>
      <c r="G78" s="4">
        <f t="shared" ca="1" si="16"/>
        <v>177.83999999999997</v>
      </c>
      <c r="H78" s="4">
        <f t="shared" ca="1" si="15"/>
        <v>10.779999999999998</v>
      </c>
      <c r="J78" s="4" t="s">
        <v>61</v>
      </c>
      <c r="K78" s="4" t="s">
        <v>67</v>
      </c>
      <c r="L78" s="12">
        <f t="shared" ca="1" si="17"/>
        <v>158.93676691729343</v>
      </c>
      <c r="M78" s="12">
        <f t="shared" ca="1" si="18"/>
        <v>16.916090225563948</v>
      </c>
    </row>
    <row r="79" spans="1:13">
      <c r="A79" s="8">
        <v>37043</v>
      </c>
      <c r="B79" s="4">
        <v>22.5</v>
      </c>
      <c r="C79" s="4">
        <v>123.29999999999998</v>
      </c>
      <c r="E79" s="4" t="s">
        <v>61</v>
      </c>
      <c r="F79" s="4" t="s">
        <v>68</v>
      </c>
      <c r="G79" s="4">
        <f t="shared" ca="1" si="16"/>
        <v>361.94999999999993</v>
      </c>
      <c r="H79" s="4">
        <f t="shared" ca="1" si="15"/>
        <v>0.05</v>
      </c>
      <c r="J79" s="4" t="s">
        <v>61</v>
      </c>
      <c r="K79" s="4" t="s">
        <v>68</v>
      </c>
      <c r="L79" s="12">
        <f t="shared" ca="1" si="17"/>
        <v>375.92533834586447</v>
      </c>
      <c r="M79" s="12">
        <f t="shared" ca="1" si="18"/>
        <v>8.120300751879661E-2</v>
      </c>
    </row>
    <row r="80" spans="1:13">
      <c r="A80" s="8">
        <v>37073</v>
      </c>
      <c r="B80" s="4">
        <v>2.7</v>
      </c>
      <c r="C80" s="4">
        <v>172.20000000000005</v>
      </c>
      <c r="E80" s="4" t="s">
        <v>61</v>
      </c>
      <c r="F80" s="4" t="s">
        <v>69</v>
      </c>
      <c r="G80" s="4">
        <f t="shared" ca="1" si="16"/>
        <v>556.41000000000008</v>
      </c>
      <c r="H80" s="4">
        <f t="shared" ca="1" si="15"/>
        <v>0</v>
      </c>
      <c r="J80" s="4" t="s">
        <v>61</v>
      </c>
      <c r="K80" s="4" t="s">
        <v>69</v>
      </c>
      <c r="L80" s="12">
        <f t="shared" ca="1" si="17"/>
        <v>548.76120300751859</v>
      </c>
      <c r="M80" s="12">
        <f t="shared" ca="1" si="18"/>
        <v>0</v>
      </c>
    </row>
    <row r="81" spans="1:13">
      <c r="A81" s="8">
        <v>37104</v>
      </c>
      <c r="B81" s="4">
        <v>0</v>
      </c>
      <c r="C81" s="4">
        <v>185.70000000000007</v>
      </c>
      <c r="G81" s="12"/>
      <c r="H81" s="12"/>
      <c r="L81" s="12"/>
      <c r="M81" s="12"/>
    </row>
    <row r="82" spans="1:13">
      <c r="A82" s="8">
        <v>37135</v>
      </c>
      <c r="B82" s="4">
        <v>60.800000000000011</v>
      </c>
      <c r="C82" s="4">
        <v>42.899999999999984</v>
      </c>
    </row>
    <row r="83" spans="1:13">
      <c r="A83" s="8">
        <v>37165</v>
      </c>
      <c r="B83" s="4">
        <v>191.79999999999998</v>
      </c>
      <c r="C83" s="4">
        <v>4.5999999999999996</v>
      </c>
    </row>
    <row r="84" spans="1:13">
      <c r="A84" s="8">
        <v>37196</v>
      </c>
      <c r="B84" s="4">
        <v>254.39999999999992</v>
      </c>
      <c r="C84" s="4">
        <v>0</v>
      </c>
    </row>
    <row r="85" spans="1:13">
      <c r="A85" s="8">
        <v>37226</v>
      </c>
      <c r="B85" s="4">
        <v>470</v>
      </c>
      <c r="C85" s="4">
        <v>0</v>
      </c>
    </row>
    <row r="86" spans="1:13">
      <c r="A86" s="8">
        <v>37257</v>
      </c>
      <c r="B86" s="4">
        <v>524.70000000000005</v>
      </c>
      <c r="C86" s="4">
        <v>0</v>
      </c>
    </row>
    <row r="87" spans="1:13">
      <c r="A87" s="8">
        <v>37288</v>
      </c>
      <c r="B87" s="4">
        <v>476.09999999999997</v>
      </c>
      <c r="C87" s="4">
        <v>0</v>
      </c>
    </row>
    <row r="88" spans="1:13">
      <c r="A88" s="8">
        <v>37316</v>
      </c>
      <c r="B88" s="4">
        <v>486.19999999999987</v>
      </c>
      <c r="C88" s="4">
        <v>0</v>
      </c>
    </row>
    <row r="89" spans="1:13">
      <c r="A89" s="8">
        <v>37347</v>
      </c>
      <c r="B89" s="4">
        <v>259.7999999999999</v>
      </c>
      <c r="C89" s="4">
        <v>22.6</v>
      </c>
    </row>
    <row r="90" spans="1:13">
      <c r="A90" s="8">
        <v>37377</v>
      </c>
      <c r="B90" s="4">
        <v>170.8</v>
      </c>
      <c r="C90" s="4">
        <v>16.5</v>
      </c>
    </row>
    <row r="91" spans="1:13">
      <c r="A91" s="8">
        <v>37408</v>
      </c>
      <c r="B91" s="4">
        <v>12</v>
      </c>
      <c r="C91" s="4">
        <v>132</v>
      </c>
    </row>
    <row r="92" spans="1:13">
      <c r="A92" s="8">
        <v>37438</v>
      </c>
      <c r="B92" s="4">
        <v>0</v>
      </c>
      <c r="C92" s="4">
        <v>216.30000000000004</v>
      </c>
    </row>
    <row r="93" spans="1:13">
      <c r="A93" s="8">
        <v>37469</v>
      </c>
      <c r="B93" s="4">
        <v>0</v>
      </c>
      <c r="C93" s="4">
        <v>168.30000000000004</v>
      </c>
    </row>
    <row r="94" spans="1:13">
      <c r="A94" s="8">
        <v>37500</v>
      </c>
      <c r="B94" s="4">
        <v>14.5</v>
      </c>
      <c r="C94" s="4">
        <v>105.19999999999999</v>
      </c>
    </row>
    <row r="95" spans="1:13">
      <c r="A95" s="8">
        <v>37530</v>
      </c>
      <c r="B95" s="4">
        <v>240.79999999999993</v>
      </c>
      <c r="C95" s="4">
        <v>16.100000000000001</v>
      </c>
    </row>
    <row r="96" spans="1:13">
      <c r="A96" s="8">
        <v>37561</v>
      </c>
      <c r="B96" s="4">
        <v>402.19999999999993</v>
      </c>
      <c r="C96" s="4">
        <v>0</v>
      </c>
    </row>
    <row r="97" spans="1:3">
      <c r="A97" s="8">
        <v>37591</v>
      </c>
      <c r="B97" s="4">
        <v>582.90000000000009</v>
      </c>
      <c r="C97" s="4">
        <v>0</v>
      </c>
    </row>
    <row r="98" spans="1:3">
      <c r="A98" s="8">
        <v>37622</v>
      </c>
      <c r="B98" s="4">
        <v>730.59999999999991</v>
      </c>
      <c r="C98" s="4">
        <v>0</v>
      </c>
    </row>
    <row r="99" spans="1:3">
      <c r="A99" s="8">
        <v>37653</v>
      </c>
      <c r="B99" s="4">
        <v>621.69999999999993</v>
      </c>
      <c r="C99" s="4">
        <v>0</v>
      </c>
    </row>
    <row r="100" spans="1:3">
      <c r="A100" s="8">
        <v>37681</v>
      </c>
      <c r="B100" s="4">
        <v>490.29999999999995</v>
      </c>
      <c r="C100" s="4">
        <v>0</v>
      </c>
    </row>
    <row r="101" spans="1:3">
      <c r="A101" s="8">
        <v>37712</v>
      </c>
      <c r="B101" s="4">
        <v>289.79999999999984</v>
      </c>
      <c r="C101" s="4">
        <v>5.0999999999999996</v>
      </c>
    </row>
    <row r="102" spans="1:3">
      <c r="A102" s="8">
        <v>37742</v>
      </c>
      <c r="B102" s="4">
        <v>128.50000000000003</v>
      </c>
      <c r="C102" s="4">
        <v>2.6</v>
      </c>
    </row>
    <row r="103" spans="1:3">
      <c r="A103" s="8">
        <v>37773</v>
      </c>
      <c r="B103" s="4">
        <v>27.6</v>
      </c>
      <c r="C103" s="4">
        <v>72.8</v>
      </c>
    </row>
    <row r="104" spans="1:3">
      <c r="A104" s="8">
        <v>37803</v>
      </c>
      <c r="B104" s="4">
        <v>0</v>
      </c>
      <c r="C104" s="4">
        <v>156.4</v>
      </c>
    </row>
    <row r="105" spans="1:3">
      <c r="A105" s="8">
        <v>37834</v>
      </c>
      <c r="B105" s="4">
        <v>0</v>
      </c>
      <c r="C105" s="4">
        <v>163.80000000000001</v>
      </c>
    </row>
    <row r="106" spans="1:3">
      <c r="A106" s="8">
        <v>37865</v>
      </c>
      <c r="B106" s="4">
        <v>42.7</v>
      </c>
      <c r="C106" s="4">
        <v>48.3</v>
      </c>
    </row>
    <row r="107" spans="1:3">
      <c r="A107" s="8">
        <v>37895</v>
      </c>
      <c r="B107" s="4">
        <v>218.59999999999997</v>
      </c>
      <c r="C107" s="4">
        <v>3</v>
      </c>
    </row>
    <row r="108" spans="1:3">
      <c r="A108" s="8">
        <v>37926</v>
      </c>
      <c r="B108" s="4">
        <v>335.49999999999994</v>
      </c>
      <c r="C108" s="4">
        <v>0</v>
      </c>
    </row>
    <row r="109" spans="1:3">
      <c r="A109" s="8">
        <v>37956</v>
      </c>
      <c r="B109" s="4">
        <v>531.90000000000009</v>
      </c>
      <c r="C109" s="4">
        <v>0</v>
      </c>
    </row>
    <row r="110" spans="1:3">
      <c r="A110" s="8">
        <v>37987</v>
      </c>
      <c r="B110" s="4">
        <v>748.19999999999993</v>
      </c>
      <c r="C110" s="4">
        <v>0</v>
      </c>
    </row>
    <row r="111" spans="1:3">
      <c r="A111" s="8">
        <v>38018</v>
      </c>
      <c r="B111" s="4">
        <v>557.70000000000005</v>
      </c>
      <c r="C111" s="4">
        <v>0</v>
      </c>
    </row>
    <row r="112" spans="1:3">
      <c r="A112" s="8">
        <v>38047</v>
      </c>
      <c r="B112" s="4">
        <v>408.99999999999989</v>
      </c>
      <c r="C112" s="4">
        <v>0</v>
      </c>
    </row>
    <row r="113" spans="1:3">
      <c r="A113" s="8">
        <v>38078</v>
      </c>
      <c r="B113" s="4">
        <v>239.89999999999992</v>
      </c>
      <c r="C113" s="4">
        <v>12.100000000000001</v>
      </c>
    </row>
    <row r="114" spans="1:3">
      <c r="A114" s="8">
        <v>38108</v>
      </c>
      <c r="B114" s="4">
        <v>93.700000000000031</v>
      </c>
      <c r="C114" s="4">
        <v>37.4</v>
      </c>
    </row>
    <row r="115" spans="1:3">
      <c r="A115" s="8">
        <v>38139</v>
      </c>
      <c r="B115" s="4">
        <v>16</v>
      </c>
      <c r="C115" s="4">
        <v>76.999999999999986</v>
      </c>
    </row>
    <row r="116" spans="1:3">
      <c r="A116" s="8">
        <v>38169</v>
      </c>
      <c r="B116" s="4">
        <v>2.2000000000000002</v>
      </c>
      <c r="C116" s="4">
        <v>138.5</v>
      </c>
    </row>
    <row r="117" spans="1:3">
      <c r="A117" s="8">
        <v>38200</v>
      </c>
      <c r="B117" s="4">
        <v>3.7</v>
      </c>
      <c r="C117" s="4">
        <v>90.09999999999998</v>
      </c>
    </row>
    <row r="118" spans="1:3">
      <c r="A118" s="8">
        <v>38231</v>
      </c>
      <c r="B118" s="4">
        <v>18.7</v>
      </c>
      <c r="C118" s="4">
        <v>77.999999999999986</v>
      </c>
    </row>
    <row r="119" spans="1:3">
      <c r="A119" s="8">
        <v>38261</v>
      </c>
      <c r="B119" s="4">
        <v>176.89999999999998</v>
      </c>
      <c r="C119" s="4">
        <v>2.8</v>
      </c>
    </row>
    <row r="120" spans="1:3">
      <c r="A120" s="8">
        <v>38292</v>
      </c>
      <c r="B120" s="4">
        <v>343.49999999999989</v>
      </c>
      <c r="C120" s="4">
        <v>0</v>
      </c>
    </row>
    <row r="121" spans="1:3">
      <c r="A121" s="8">
        <v>38322</v>
      </c>
      <c r="B121" s="4">
        <v>589.10000000000014</v>
      </c>
      <c r="C121" s="4">
        <v>0</v>
      </c>
    </row>
    <row r="122" spans="1:3">
      <c r="A122" s="8">
        <v>38353</v>
      </c>
      <c r="B122" s="4">
        <v>688.99999999999989</v>
      </c>
      <c r="C122" s="4">
        <v>0</v>
      </c>
    </row>
    <row r="123" spans="1:3">
      <c r="A123" s="8">
        <v>38384</v>
      </c>
      <c r="B123" s="4">
        <v>543.30000000000007</v>
      </c>
      <c r="C123" s="4">
        <v>0</v>
      </c>
    </row>
    <row r="124" spans="1:3">
      <c r="A124" s="8">
        <v>38412</v>
      </c>
      <c r="B124" s="4">
        <v>523.4</v>
      </c>
      <c r="C124" s="4">
        <v>0</v>
      </c>
    </row>
    <row r="125" spans="1:3">
      <c r="A125" s="8">
        <v>38443</v>
      </c>
      <c r="B125" s="4">
        <v>228.5</v>
      </c>
      <c r="C125" s="4">
        <v>2.8</v>
      </c>
    </row>
    <row r="126" spans="1:3">
      <c r="A126" s="8">
        <v>38473</v>
      </c>
      <c r="B126" s="4">
        <v>134.4</v>
      </c>
      <c r="C126" s="4">
        <v>8.1</v>
      </c>
    </row>
    <row r="127" spans="1:3">
      <c r="A127" s="8">
        <v>38504</v>
      </c>
      <c r="B127" s="4">
        <v>3.4000000000000004</v>
      </c>
      <c r="C127" s="4">
        <v>174.20000000000002</v>
      </c>
    </row>
    <row r="128" spans="1:3">
      <c r="A128" s="8">
        <v>38534</v>
      </c>
      <c r="B128" s="4">
        <v>0</v>
      </c>
      <c r="C128" s="4">
        <v>203.80000000000007</v>
      </c>
    </row>
    <row r="129" spans="1:3">
      <c r="A129" s="8">
        <v>38565</v>
      </c>
      <c r="B129" s="4">
        <v>0</v>
      </c>
      <c r="C129" s="4">
        <v>192.20000000000007</v>
      </c>
    </row>
    <row r="130" spans="1:3">
      <c r="A130" s="8">
        <v>38596</v>
      </c>
      <c r="B130" s="4">
        <v>13.5</v>
      </c>
      <c r="C130" s="4">
        <v>91.6</v>
      </c>
    </row>
    <row r="131" spans="1:3">
      <c r="A131" s="8">
        <v>38626</v>
      </c>
      <c r="B131" s="4">
        <v>175.69999999999996</v>
      </c>
      <c r="C131" s="4">
        <v>23.9</v>
      </c>
    </row>
    <row r="132" spans="1:3">
      <c r="A132" s="8">
        <v>38657</v>
      </c>
      <c r="B132" s="4">
        <v>344.8</v>
      </c>
      <c r="C132" s="4">
        <v>0</v>
      </c>
    </row>
    <row r="133" spans="1:3">
      <c r="A133" s="8">
        <v>38687</v>
      </c>
      <c r="B133" s="4">
        <v>637.60000000000025</v>
      </c>
      <c r="C133" s="4">
        <v>0</v>
      </c>
    </row>
    <row r="134" spans="1:3">
      <c r="A134" s="8">
        <v>38718</v>
      </c>
      <c r="B134" s="4">
        <v>486.69999999999993</v>
      </c>
      <c r="C134" s="4">
        <v>0</v>
      </c>
    </row>
    <row r="135" spans="1:3">
      <c r="A135" s="8">
        <v>38749</v>
      </c>
      <c r="B135" s="4">
        <v>530.70000000000005</v>
      </c>
      <c r="C135" s="4">
        <v>0</v>
      </c>
    </row>
    <row r="136" spans="1:3">
      <c r="A136" s="8">
        <v>38777</v>
      </c>
      <c r="B136" s="4">
        <v>450.49999999999983</v>
      </c>
      <c r="C136" s="4">
        <v>0</v>
      </c>
    </row>
    <row r="137" spans="1:3">
      <c r="A137" s="8">
        <v>38808</v>
      </c>
      <c r="B137" s="4">
        <v>211.6999999999999</v>
      </c>
      <c r="C137" s="4">
        <v>0.8</v>
      </c>
    </row>
    <row r="138" spans="1:3">
      <c r="A138" s="8">
        <v>38838</v>
      </c>
      <c r="B138" s="4">
        <v>99.800000000000011</v>
      </c>
      <c r="C138" s="4">
        <v>46.2</v>
      </c>
    </row>
    <row r="139" spans="1:3">
      <c r="A139" s="8">
        <v>38869</v>
      </c>
      <c r="B139" s="4">
        <v>10.3</v>
      </c>
      <c r="C139" s="4">
        <v>90.799999999999983</v>
      </c>
    </row>
    <row r="140" spans="1:3">
      <c r="A140" s="8">
        <v>38899</v>
      </c>
      <c r="B140" s="4">
        <v>0</v>
      </c>
      <c r="C140" s="4">
        <v>206.00000000000006</v>
      </c>
    </row>
    <row r="141" spans="1:3">
      <c r="A141" s="8">
        <v>38930</v>
      </c>
      <c r="B141" s="4">
        <v>0</v>
      </c>
      <c r="C141" s="4">
        <v>155.30000000000001</v>
      </c>
    </row>
    <row r="142" spans="1:3">
      <c r="A142" s="8">
        <v>38961</v>
      </c>
      <c r="B142" s="4">
        <v>44.400000000000006</v>
      </c>
      <c r="C142" s="4">
        <v>27.900000000000002</v>
      </c>
    </row>
    <row r="143" spans="1:3">
      <c r="A143" s="8">
        <v>38991</v>
      </c>
      <c r="B143" s="4">
        <v>243.09999999999991</v>
      </c>
      <c r="C143" s="4">
        <v>1.8</v>
      </c>
    </row>
    <row r="144" spans="1:3">
      <c r="A144" s="8">
        <v>39022</v>
      </c>
      <c r="B144" s="4">
        <v>353.09999999999991</v>
      </c>
      <c r="C144" s="4">
        <v>0</v>
      </c>
    </row>
    <row r="145" spans="1:3">
      <c r="A145" s="8">
        <v>39052</v>
      </c>
      <c r="B145" s="4">
        <v>457.89999999999986</v>
      </c>
      <c r="C145" s="4">
        <v>0</v>
      </c>
    </row>
    <row r="146" spans="1:3">
      <c r="A146" s="8">
        <v>39083</v>
      </c>
      <c r="B146" s="4">
        <v>588</v>
      </c>
      <c r="C146" s="4">
        <v>0</v>
      </c>
    </row>
    <row r="147" spans="1:3">
      <c r="A147" s="8">
        <v>39114</v>
      </c>
      <c r="B147" s="4">
        <v>675.8</v>
      </c>
      <c r="C147" s="4">
        <v>0</v>
      </c>
    </row>
    <row r="148" spans="1:3">
      <c r="A148" s="8">
        <v>39142</v>
      </c>
      <c r="B148" s="4">
        <v>417.69999999999993</v>
      </c>
      <c r="C148" s="4">
        <v>4</v>
      </c>
    </row>
    <row r="149" spans="1:3">
      <c r="A149" s="8">
        <v>39173</v>
      </c>
      <c r="B149" s="4">
        <v>287.09999999999991</v>
      </c>
      <c r="C149" s="4">
        <v>2.8</v>
      </c>
    </row>
    <row r="150" spans="1:3">
      <c r="A150" s="8">
        <v>39203</v>
      </c>
      <c r="B150" s="4">
        <v>85.8</v>
      </c>
      <c r="C150" s="4">
        <v>48.099999999999994</v>
      </c>
    </row>
    <row r="151" spans="1:3">
      <c r="A151" s="8">
        <v>39234</v>
      </c>
      <c r="B151" s="4">
        <v>9.7999999999999989</v>
      </c>
      <c r="C151" s="4">
        <v>131.6</v>
      </c>
    </row>
    <row r="152" spans="1:3">
      <c r="A152" s="8">
        <v>39264</v>
      </c>
      <c r="B152" s="4">
        <v>0.7</v>
      </c>
      <c r="C152" s="4">
        <v>144</v>
      </c>
    </row>
    <row r="153" spans="1:3">
      <c r="A153" s="8">
        <v>39295</v>
      </c>
      <c r="B153" s="4">
        <v>3.9000000000000004</v>
      </c>
      <c r="C153" s="4">
        <v>173.3</v>
      </c>
    </row>
    <row r="154" spans="1:3">
      <c r="A154" s="8">
        <v>39326</v>
      </c>
      <c r="B154" s="4">
        <v>24.099999999999998</v>
      </c>
      <c r="C154" s="4">
        <v>77.299999999999983</v>
      </c>
    </row>
    <row r="155" spans="1:3">
      <c r="A155" s="8">
        <v>39356</v>
      </c>
      <c r="B155" s="4">
        <v>110.4</v>
      </c>
      <c r="C155" s="4">
        <v>40.699999999999996</v>
      </c>
    </row>
    <row r="156" spans="1:3">
      <c r="A156" s="8">
        <v>39387</v>
      </c>
      <c r="B156" s="4">
        <v>402.3</v>
      </c>
      <c r="C156" s="4">
        <v>0</v>
      </c>
    </row>
    <row r="157" spans="1:3">
      <c r="A157" s="8">
        <v>39417</v>
      </c>
      <c r="B157" s="4">
        <v>593.40000000000009</v>
      </c>
      <c r="C157" s="4">
        <v>0</v>
      </c>
    </row>
    <row r="158" spans="1:3">
      <c r="A158" s="8">
        <v>39448</v>
      </c>
      <c r="B158" s="4">
        <v>602.20000000000005</v>
      </c>
      <c r="C158" s="4">
        <v>0</v>
      </c>
    </row>
    <row r="159" spans="1:3">
      <c r="A159" s="8">
        <v>39479</v>
      </c>
      <c r="B159" s="4">
        <v>616.1</v>
      </c>
      <c r="C159" s="4">
        <v>0</v>
      </c>
    </row>
    <row r="160" spans="1:3">
      <c r="A160" s="8">
        <v>39508</v>
      </c>
      <c r="B160" s="4">
        <v>523.70000000000005</v>
      </c>
      <c r="C160" s="4">
        <v>0</v>
      </c>
    </row>
    <row r="161" spans="1:3">
      <c r="A161" s="8">
        <v>39539</v>
      </c>
      <c r="B161" s="4">
        <v>212.59999999999991</v>
      </c>
      <c r="C161" s="4">
        <v>1.5</v>
      </c>
    </row>
    <row r="162" spans="1:3">
      <c r="A162" s="8">
        <v>39569</v>
      </c>
      <c r="B162" s="4">
        <v>138.4</v>
      </c>
      <c r="C162" s="4">
        <v>13.399999999999999</v>
      </c>
    </row>
    <row r="163" spans="1:3">
      <c r="A163" s="8">
        <v>39600</v>
      </c>
      <c r="B163" s="4">
        <v>5</v>
      </c>
      <c r="C163" s="4">
        <v>120.39999999999998</v>
      </c>
    </row>
    <row r="164" spans="1:3">
      <c r="A164" s="8">
        <v>39630</v>
      </c>
      <c r="B164" s="4">
        <v>0.5</v>
      </c>
      <c r="C164" s="4">
        <v>180.50000000000006</v>
      </c>
    </row>
    <row r="165" spans="1:3">
      <c r="A165" s="8">
        <v>39661</v>
      </c>
      <c r="B165" s="4">
        <v>1.5</v>
      </c>
      <c r="C165" s="4">
        <v>137.09999999999997</v>
      </c>
    </row>
    <row r="166" spans="1:3">
      <c r="A166" s="8">
        <v>39692</v>
      </c>
      <c r="B166" s="4">
        <v>16.7</v>
      </c>
      <c r="C166" s="4">
        <v>56.099999999999994</v>
      </c>
    </row>
    <row r="167" spans="1:3">
      <c r="A167" s="8">
        <v>39722</v>
      </c>
      <c r="B167" s="4">
        <v>218.89999999999998</v>
      </c>
      <c r="C167" s="4">
        <v>2.2999999999999998</v>
      </c>
    </row>
    <row r="168" spans="1:3">
      <c r="A168" s="8">
        <v>39753</v>
      </c>
      <c r="B168" s="4">
        <v>410.9</v>
      </c>
      <c r="C168" s="4">
        <v>0</v>
      </c>
    </row>
    <row r="169" spans="1:3">
      <c r="A169" s="8">
        <v>39783</v>
      </c>
      <c r="B169" s="4">
        <v>631.00000000000011</v>
      </c>
      <c r="C169" s="4">
        <v>0</v>
      </c>
    </row>
    <row r="170" spans="1:3">
      <c r="A170" s="8">
        <v>39814</v>
      </c>
      <c r="B170" s="4">
        <v>768.79999999999973</v>
      </c>
      <c r="C170" s="4">
        <v>0</v>
      </c>
    </row>
    <row r="171" spans="1:3">
      <c r="A171" s="8">
        <v>39845</v>
      </c>
      <c r="B171" s="4">
        <v>540</v>
      </c>
      <c r="C171" s="4">
        <v>0</v>
      </c>
    </row>
    <row r="172" spans="1:3">
      <c r="A172" s="8">
        <v>39873</v>
      </c>
      <c r="B172" s="4">
        <v>456.7999999999999</v>
      </c>
      <c r="C172" s="4">
        <v>0</v>
      </c>
    </row>
    <row r="173" spans="1:3">
      <c r="A173" s="8">
        <v>39904</v>
      </c>
      <c r="B173" s="4">
        <v>263.29999999999995</v>
      </c>
      <c r="C173" s="4">
        <v>10.399999999999999</v>
      </c>
    </row>
    <row r="174" spans="1:3">
      <c r="A174" s="8">
        <v>39934</v>
      </c>
      <c r="B174" s="4">
        <v>83.40000000000002</v>
      </c>
      <c r="C174" s="4">
        <v>12.899999999999999</v>
      </c>
    </row>
    <row r="175" spans="1:3">
      <c r="A175" s="8">
        <v>39965</v>
      </c>
      <c r="B175" s="4">
        <v>25.299999999999997</v>
      </c>
      <c r="C175" s="4">
        <v>79.399999999999991</v>
      </c>
    </row>
    <row r="176" spans="1:3">
      <c r="A176" s="8">
        <v>39995</v>
      </c>
      <c r="B176" s="4">
        <v>0.5</v>
      </c>
      <c r="C176" s="4">
        <v>100.19999999999999</v>
      </c>
    </row>
    <row r="177" spans="1:3">
      <c r="A177" s="8">
        <v>40026</v>
      </c>
      <c r="B177" s="4">
        <v>5.9</v>
      </c>
      <c r="C177" s="4">
        <v>133.4</v>
      </c>
    </row>
    <row r="178" spans="1:3">
      <c r="A178" s="8">
        <v>40057</v>
      </c>
      <c r="B178" s="4">
        <v>26.2</v>
      </c>
      <c r="C178" s="4">
        <v>54.699999999999989</v>
      </c>
    </row>
    <row r="179" spans="1:3">
      <c r="A179" s="8">
        <v>40087</v>
      </c>
      <c r="B179" s="4">
        <v>230.79999999999995</v>
      </c>
      <c r="C179" s="4">
        <v>0</v>
      </c>
    </row>
    <row r="180" spans="1:3">
      <c r="A180" s="8">
        <v>40118</v>
      </c>
      <c r="B180" s="4">
        <v>305.49999999999989</v>
      </c>
      <c r="C180" s="4">
        <v>0</v>
      </c>
    </row>
    <row r="181" spans="1:3">
      <c r="A181" s="8">
        <v>40148</v>
      </c>
      <c r="B181" s="4">
        <v>582</v>
      </c>
      <c r="C181" s="4">
        <v>0</v>
      </c>
    </row>
    <row r="182" spans="1:3">
      <c r="A182" s="8">
        <v>40179</v>
      </c>
      <c r="B182" s="4">
        <v>663.29999999999984</v>
      </c>
      <c r="C182" s="4">
        <v>0</v>
      </c>
    </row>
    <row r="183" spans="1:3">
      <c r="A183" s="8">
        <v>40210</v>
      </c>
      <c r="B183" s="4">
        <v>557.29999999999995</v>
      </c>
      <c r="C183" s="4">
        <v>0</v>
      </c>
    </row>
    <row r="184" spans="1:3">
      <c r="A184" s="8">
        <v>40238</v>
      </c>
      <c r="B184" s="4">
        <v>393.39999999999986</v>
      </c>
      <c r="C184" s="4">
        <v>0</v>
      </c>
    </row>
    <row r="185" spans="1:3">
      <c r="A185" s="8">
        <v>40269</v>
      </c>
      <c r="B185" s="4">
        <v>174.9</v>
      </c>
      <c r="C185" s="4">
        <v>5</v>
      </c>
    </row>
    <row r="186" spans="1:3">
      <c r="A186" s="8">
        <v>40299</v>
      </c>
      <c r="B186" s="4">
        <v>84.300000000000011</v>
      </c>
      <c r="C186" s="4">
        <v>59.699999999999989</v>
      </c>
    </row>
    <row r="187" spans="1:3">
      <c r="A187" s="8">
        <v>40330</v>
      </c>
      <c r="B187" s="4">
        <v>3.9000000000000004</v>
      </c>
      <c r="C187" s="4">
        <v>135.89999999999998</v>
      </c>
    </row>
    <row r="188" spans="1:3">
      <c r="A188" s="8">
        <v>40360</v>
      </c>
      <c r="B188" s="4">
        <v>0</v>
      </c>
      <c r="C188" s="4">
        <v>227.00000000000006</v>
      </c>
    </row>
    <row r="189" spans="1:3">
      <c r="A189" s="8">
        <v>40391</v>
      </c>
      <c r="B189" s="4">
        <v>0</v>
      </c>
      <c r="C189" s="4">
        <v>211.80000000000004</v>
      </c>
    </row>
    <row r="190" spans="1:3">
      <c r="A190" s="8">
        <v>40422</v>
      </c>
      <c r="B190" s="4">
        <v>38</v>
      </c>
      <c r="C190" s="4">
        <v>59.699999999999989</v>
      </c>
    </row>
    <row r="191" spans="1:3">
      <c r="A191" s="8">
        <v>40452</v>
      </c>
      <c r="B191" s="4">
        <v>157.6</v>
      </c>
      <c r="C191" s="4">
        <v>1.4000000000000001</v>
      </c>
    </row>
    <row r="192" spans="1:3">
      <c r="A192" s="8">
        <v>40483</v>
      </c>
      <c r="B192" s="4">
        <v>376.59999999999991</v>
      </c>
      <c r="C192" s="4">
        <v>0</v>
      </c>
    </row>
    <row r="193" spans="1:3">
      <c r="A193" s="8">
        <v>40513</v>
      </c>
      <c r="B193" s="4">
        <v>645.59999999999991</v>
      </c>
      <c r="C193" s="4">
        <v>0</v>
      </c>
    </row>
    <row r="194" spans="1:3">
      <c r="A194" s="8">
        <v>40544</v>
      </c>
      <c r="B194" s="4">
        <v>703.59999999999991</v>
      </c>
      <c r="C194" s="4">
        <v>0</v>
      </c>
    </row>
    <row r="195" spans="1:3">
      <c r="A195" s="8">
        <v>40575</v>
      </c>
      <c r="B195" s="4">
        <v>583.20000000000005</v>
      </c>
      <c r="C195" s="4">
        <v>0</v>
      </c>
    </row>
    <row r="196" spans="1:3">
      <c r="A196" s="8">
        <v>40603</v>
      </c>
      <c r="B196" s="4">
        <v>514.30000000000007</v>
      </c>
      <c r="C196" s="4">
        <v>0</v>
      </c>
    </row>
    <row r="197" spans="1:3">
      <c r="A197" s="8">
        <v>40634</v>
      </c>
      <c r="B197" s="4">
        <v>278.59999999999985</v>
      </c>
      <c r="C197" s="4">
        <v>0.5</v>
      </c>
    </row>
    <row r="198" spans="1:3">
      <c r="A198" s="8">
        <v>40664</v>
      </c>
      <c r="B198" s="4">
        <v>105.20000000000003</v>
      </c>
      <c r="C198" s="4">
        <v>37.200000000000003</v>
      </c>
    </row>
    <row r="199" spans="1:3">
      <c r="A199" s="8">
        <v>40695</v>
      </c>
      <c r="B199" s="4">
        <v>7.6000000000000005</v>
      </c>
      <c r="C199" s="4">
        <v>115.89999999999998</v>
      </c>
    </row>
    <row r="200" spans="1:3">
      <c r="A200" s="8">
        <v>40725</v>
      </c>
      <c r="B200" s="4">
        <v>0</v>
      </c>
      <c r="C200" s="4">
        <v>255.50000000000006</v>
      </c>
    </row>
    <row r="201" spans="1:3">
      <c r="A201" s="8">
        <v>40756</v>
      </c>
      <c r="B201" s="4">
        <v>0</v>
      </c>
      <c r="C201" s="4">
        <v>159.50000000000003</v>
      </c>
    </row>
    <row r="202" spans="1:3">
      <c r="A202" s="8">
        <v>40787</v>
      </c>
      <c r="B202" s="4">
        <v>51.4</v>
      </c>
      <c r="C202" s="4">
        <v>60.199999999999989</v>
      </c>
    </row>
    <row r="203" spans="1:3">
      <c r="A203" s="8">
        <v>40817</v>
      </c>
      <c r="B203" s="4">
        <v>185.29999999999998</v>
      </c>
      <c r="C203" s="4">
        <v>2.6999999999999997</v>
      </c>
    </row>
    <row r="204" spans="1:3">
      <c r="A204" s="8">
        <v>40848</v>
      </c>
      <c r="B204" s="4">
        <v>297.2999999999999</v>
      </c>
      <c r="C204" s="4">
        <v>0</v>
      </c>
    </row>
    <row r="205" spans="1:3">
      <c r="A205" s="8">
        <v>40878</v>
      </c>
      <c r="B205" s="4">
        <v>485.4</v>
      </c>
      <c r="C205" s="4">
        <v>0</v>
      </c>
    </row>
    <row r="206" spans="1:3">
      <c r="A206" s="8">
        <v>40909</v>
      </c>
      <c r="B206" s="4">
        <v>559.59999999999991</v>
      </c>
      <c r="C206" s="4">
        <v>0</v>
      </c>
    </row>
    <row r="207" spans="1:3">
      <c r="A207" s="8">
        <v>40940</v>
      </c>
      <c r="B207" s="4">
        <v>492.40000000000003</v>
      </c>
      <c r="C207" s="4">
        <v>0</v>
      </c>
    </row>
    <row r="208" spans="1:3">
      <c r="A208" s="8">
        <v>40969</v>
      </c>
      <c r="B208" s="4">
        <v>250.79999999999995</v>
      </c>
      <c r="C208" s="4">
        <v>4.8</v>
      </c>
    </row>
    <row r="209" spans="1:3">
      <c r="A209" s="8">
        <v>41000</v>
      </c>
      <c r="B209" s="4">
        <v>252.49999999999991</v>
      </c>
      <c r="C209" s="4">
        <v>4.3</v>
      </c>
    </row>
    <row r="210" spans="1:3">
      <c r="A210" s="8">
        <v>41030</v>
      </c>
      <c r="B210" s="4">
        <v>48.2</v>
      </c>
      <c r="C210" s="4">
        <v>59.3</v>
      </c>
    </row>
    <row r="211" spans="1:3">
      <c r="A211" s="8">
        <v>41061</v>
      </c>
      <c r="B211" s="4">
        <v>10.3</v>
      </c>
      <c r="C211" s="4">
        <v>147.09999999999997</v>
      </c>
    </row>
    <row r="212" spans="1:3">
      <c r="A212" s="8">
        <v>41091</v>
      </c>
      <c r="B212" s="4">
        <v>0</v>
      </c>
      <c r="C212" s="4">
        <v>235.50000000000009</v>
      </c>
    </row>
    <row r="213" spans="1:3">
      <c r="A213" s="8">
        <v>41122</v>
      </c>
      <c r="B213" s="4">
        <v>0.7</v>
      </c>
      <c r="C213" s="4">
        <v>143.69999999999999</v>
      </c>
    </row>
    <row r="214" spans="1:3">
      <c r="A214" s="8">
        <v>41153</v>
      </c>
      <c r="B214" s="4">
        <v>53.2</v>
      </c>
      <c r="C214" s="4">
        <v>50.29999999999999</v>
      </c>
    </row>
    <row r="215" spans="1:3">
      <c r="A215" s="8">
        <v>41183</v>
      </c>
      <c r="B215" s="4">
        <v>207.19999999999996</v>
      </c>
      <c r="C215" s="4">
        <v>5.6</v>
      </c>
    </row>
    <row r="216" spans="1:3">
      <c r="A216" s="8">
        <v>41214</v>
      </c>
      <c r="B216" s="4">
        <v>405.49999999999994</v>
      </c>
      <c r="C216" s="4">
        <v>0</v>
      </c>
    </row>
    <row r="217" spans="1:3">
      <c r="A217" s="8">
        <v>41244</v>
      </c>
      <c r="B217" s="4">
        <v>484.20000000000005</v>
      </c>
      <c r="C217" s="4">
        <v>0</v>
      </c>
    </row>
    <row r="218" spans="1:3">
      <c r="A218" s="8">
        <v>41275</v>
      </c>
      <c r="B218" s="4">
        <v>598.19999999999993</v>
      </c>
      <c r="C218" s="4">
        <v>0</v>
      </c>
    </row>
    <row r="219" spans="1:3">
      <c r="A219" s="8">
        <v>41306</v>
      </c>
      <c r="B219" s="4">
        <v>574.80000000000007</v>
      </c>
      <c r="C219" s="4">
        <v>0</v>
      </c>
    </row>
    <row r="220" spans="1:3">
      <c r="A220" s="8">
        <v>41334</v>
      </c>
      <c r="B220" s="4">
        <v>505.20000000000005</v>
      </c>
      <c r="C220" s="4">
        <v>0</v>
      </c>
    </row>
    <row r="221" spans="1:3">
      <c r="A221" s="8">
        <v>41365</v>
      </c>
      <c r="B221" s="4">
        <v>300.19999999999993</v>
      </c>
      <c r="C221" s="4">
        <v>0</v>
      </c>
    </row>
    <row r="222" spans="1:3">
      <c r="A222" s="8">
        <v>41395</v>
      </c>
      <c r="B222" s="4">
        <v>73.300000000000011</v>
      </c>
      <c r="C222" s="4">
        <v>59.899999999999991</v>
      </c>
    </row>
    <row r="223" spans="1:3">
      <c r="A223" s="8">
        <v>41426</v>
      </c>
      <c r="B223" s="4">
        <v>14.700000000000001</v>
      </c>
      <c r="C223" s="4">
        <v>103.49999999999999</v>
      </c>
    </row>
    <row r="224" spans="1:3">
      <c r="A224" s="8">
        <v>41456</v>
      </c>
      <c r="B224" s="4">
        <v>1.5</v>
      </c>
      <c r="C224" s="4">
        <v>174.80000000000004</v>
      </c>
    </row>
    <row r="225" spans="1:3">
      <c r="A225" s="8">
        <v>41487</v>
      </c>
      <c r="B225" s="4">
        <v>1.2</v>
      </c>
      <c r="C225" s="4">
        <v>134.29999999999998</v>
      </c>
    </row>
    <row r="226" spans="1:3">
      <c r="A226" s="8">
        <v>41518</v>
      </c>
      <c r="B226" s="4">
        <v>41.2</v>
      </c>
      <c r="C226" s="4">
        <v>65.3</v>
      </c>
    </row>
    <row r="227" spans="1:3">
      <c r="A227" s="8">
        <v>41548</v>
      </c>
      <c r="B227" s="4">
        <v>170.49999999999997</v>
      </c>
      <c r="C227" s="4">
        <v>19.899999999999999</v>
      </c>
    </row>
    <row r="228" spans="1:3">
      <c r="A228" s="8">
        <v>41579</v>
      </c>
      <c r="B228" s="4">
        <v>424.9</v>
      </c>
      <c r="C228" s="4">
        <v>0</v>
      </c>
    </row>
    <row r="229" spans="1:3">
      <c r="A229" s="8">
        <v>41609</v>
      </c>
      <c r="B229" s="4">
        <v>614.30000000000007</v>
      </c>
      <c r="C229" s="4">
        <v>0</v>
      </c>
    </row>
    <row r="230" spans="1:3">
      <c r="A230" s="8">
        <v>41640</v>
      </c>
      <c r="B230" s="4">
        <v>784.99999999999977</v>
      </c>
      <c r="C230" s="4">
        <v>0</v>
      </c>
    </row>
    <row r="231" spans="1:3">
      <c r="A231" s="8">
        <v>41671</v>
      </c>
      <c r="B231" s="4">
        <v>674.19999999999982</v>
      </c>
      <c r="C231" s="4">
        <v>0</v>
      </c>
    </row>
    <row r="232" spans="1:3">
      <c r="A232" s="8">
        <v>41699</v>
      </c>
      <c r="B232" s="4">
        <v>591.90000000000009</v>
      </c>
      <c r="C232" s="4">
        <v>0</v>
      </c>
    </row>
    <row r="233" spans="1:3">
      <c r="A233" s="8">
        <v>41730</v>
      </c>
      <c r="B233" s="4">
        <v>253.7</v>
      </c>
      <c r="C233" s="4">
        <v>0</v>
      </c>
    </row>
    <row r="234" spans="1:3">
      <c r="A234" s="8">
        <v>41760</v>
      </c>
      <c r="B234" s="4">
        <v>90.600000000000009</v>
      </c>
      <c r="C234" s="4">
        <v>36.4</v>
      </c>
    </row>
    <row r="235" spans="1:3">
      <c r="A235" s="8">
        <v>41791</v>
      </c>
      <c r="B235" s="4">
        <v>2.4000000000000004</v>
      </c>
      <c r="C235" s="4">
        <v>123.29999999999997</v>
      </c>
    </row>
    <row r="236" spans="1:3">
      <c r="A236" s="8">
        <v>41821</v>
      </c>
      <c r="B236" s="4">
        <v>0.7</v>
      </c>
      <c r="C236" s="4">
        <v>113.59999999999997</v>
      </c>
    </row>
    <row r="237" spans="1:3">
      <c r="A237" s="8">
        <v>41852</v>
      </c>
      <c r="B237" s="4">
        <v>0.7</v>
      </c>
      <c r="C237" s="4">
        <v>130.19999999999996</v>
      </c>
    </row>
    <row r="238" spans="1:3">
      <c r="A238" s="8">
        <v>41883</v>
      </c>
      <c r="B238" s="4">
        <v>57.20000000000001</v>
      </c>
      <c r="C238" s="4">
        <v>50.499999999999979</v>
      </c>
    </row>
    <row r="239" spans="1:3">
      <c r="A239" s="8">
        <v>41913</v>
      </c>
      <c r="B239" s="4">
        <v>179.7</v>
      </c>
      <c r="C239" s="4">
        <v>3.9</v>
      </c>
    </row>
    <row r="240" spans="1:3">
      <c r="A240" s="8">
        <v>41944</v>
      </c>
      <c r="B240" s="4">
        <v>442</v>
      </c>
      <c r="C240" s="4">
        <v>0</v>
      </c>
    </row>
    <row r="241" spans="1:3">
      <c r="A241" s="8">
        <v>41974</v>
      </c>
      <c r="B241" s="4">
        <v>513.9</v>
      </c>
      <c r="C241" s="4">
        <v>0</v>
      </c>
    </row>
    <row r="242" spans="1:3">
      <c r="A242" s="8">
        <v>42005</v>
      </c>
      <c r="B242" s="4">
        <v>724.69999999999982</v>
      </c>
      <c r="C242" s="4">
        <v>0</v>
      </c>
    </row>
    <row r="243" spans="1:3">
      <c r="A243" s="8">
        <v>42036</v>
      </c>
      <c r="B243" s="4">
        <v>757.39999999999986</v>
      </c>
      <c r="C243" s="4">
        <v>0</v>
      </c>
    </row>
    <row r="244" spans="1:3">
      <c r="A244" s="8">
        <v>42064</v>
      </c>
      <c r="B244" s="4">
        <v>508.7</v>
      </c>
      <c r="C244" s="4">
        <v>0</v>
      </c>
    </row>
    <row r="245" spans="1:3">
      <c r="A245" s="8">
        <v>42095</v>
      </c>
      <c r="B245" s="4">
        <v>257.39999999999992</v>
      </c>
      <c r="C245" s="4">
        <v>0</v>
      </c>
    </row>
    <row r="246" spans="1:3">
      <c r="A246" s="8">
        <v>42125</v>
      </c>
      <c r="B246" s="4">
        <v>68.7</v>
      </c>
      <c r="C246" s="4">
        <v>64.099999999999994</v>
      </c>
    </row>
    <row r="247" spans="1:3">
      <c r="A247" s="8">
        <v>42156</v>
      </c>
      <c r="B247" s="4">
        <v>13.1</v>
      </c>
      <c r="C247" s="4">
        <v>89.59999999999998</v>
      </c>
    </row>
    <row r="248" spans="1:3">
      <c r="A248" s="8">
        <v>42186</v>
      </c>
      <c r="B248" s="4">
        <v>1.9</v>
      </c>
      <c r="C248" s="4">
        <v>152.89999999999998</v>
      </c>
    </row>
    <row r="249" spans="1:3">
      <c r="A249" s="8">
        <v>42217</v>
      </c>
      <c r="B249" s="4">
        <v>3.2</v>
      </c>
      <c r="C249" s="4">
        <v>138.69999999999999</v>
      </c>
    </row>
    <row r="250" spans="1:3">
      <c r="A250" s="8">
        <v>42248</v>
      </c>
      <c r="B250" s="4">
        <v>10.8</v>
      </c>
      <c r="C250" s="4">
        <v>109.19999999999997</v>
      </c>
    </row>
    <row r="251" spans="1:3">
      <c r="A251" s="8">
        <v>42278</v>
      </c>
      <c r="B251" s="4">
        <v>157.80000000000001</v>
      </c>
      <c r="C251" s="4">
        <v>2.6</v>
      </c>
    </row>
    <row r="252" spans="1:3">
      <c r="A252" s="8">
        <v>42309</v>
      </c>
      <c r="B252" s="4">
        <v>286.60000000000002</v>
      </c>
      <c r="C252" s="4">
        <v>0.5</v>
      </c>
    </row>
    <row r="253" spans="1:3">
      <c r="A253" s="8">
        <v>42339</v>
      </c>
      <c r="B253" s="4">
        <v>392.2</v>
      </c>
      <c r="C253" s="4">
        <f>C133</f>
        <v>0</v>
      </c>
    </row>
    <row r="254" spans="1:3">
      <c r="A254" s="8">
        <v>42370</v>
      </c>
      <c r="B254" s="4">
        <v>618.5</v>
      </c>
      <c r="C254" s="4">
        <v>0</v>
      </c>
    </row>
    <row r="255" spans="1:3">
      <c r="A255" s="8">
        <v>42401</v>
      </c>
      <c r="B255" s="4">
        <v>510.5</v>
      </c>
      <c r="C255" s="4">
        <v>0</v>
      </c>
    </row>
    <row r="256" spans="1:3">
      <c r="A256" s="8">
        <v>42430</v>
      </c>
      <c r="B256" s="4">
        <v>350.9</v>
      </c>
      <c r="C256" s="4">
        <v>0</v>
      </c>
    </row>
    <row r="257" spans="1:3">
      <c r="A257" s="8">
        <v>42461</v>
      </c>
      <c r="B257" s="4">
        <f>221.9+17.3+17.5+19.5+16+9.5+13.5</f>
        <v>315.20000000000005</v>
      </c>
      <c r="C257" s="4">
        <v>0</v>
      </c>
    </row>
    <row r="258" spans="1:3">
      <c r="A258" s="8">
        <v>42491</v>
      </c>
      <c r="B258" s="4">
        <v>110.9</v>
      </c>
      <c r="C258" s="4">
        <v>47</v>
      </c>
    </row>
    <row r="259" spans="1:3">
      <c r="A259" s="8">
        <v>42522</v>
      </c>
      <c r="B259" s="4">
        <v>5.6</v>
      </c>
      <c r="C259" s="4">
        <v>127.2</v>
      </c>
    </row>
    <row r="260" spans="1:3">
      <c r="A260" s="8">
        <v>42552</v>
      </c>
      <c r="B260" s="4">
        <v>0</v>
      </c>
      <c r="C260" s="4">
        <v>213.1</v>
      </c>
    </row>
    <row r="261" spans="1:3">
      <c r="A261" s="8">
        <v>42583</v>
      </c>
      <c r="B261" s="4">
        <v>0</v>
      </c>
      <c r="C261" s="4">
        <f>205.4+8+5.6</f>
        <v>219</v>
      </c>
    </row>
    <row r="262" spans="1:3">
      <c r="A262" s="8">
        <v>42614</v>
      </c>
      <c r="B262" s="4">
        <v>8</v>
      </c>
      <c r="C262" s="4">
        <v>90.1</v>
      </c>
    </row>
    <row r="263" spans="1:3">
      <c r="A263" s="8">
        <v>42644</v>
      </c>
      <c r="B263" s="4">
        <v>146</v>
      </c>
      <c r="C263" s="4">
        <v>22.7</v>
      </c>
    </row>
    <row r="264" spans="1:3">
      <c r="A264" s="8">
        <v>42675</v>
      </c>
      <c r="B264" s="4">
        <v>290.7</v>
      </c>
      <c r="C264" s="4">
        <v>0</v>
      </c>
    </row>
    <row r="265" spans="1:3">
      <c r="A265" s="8">
        <v>42705</v>
      </c>
      <c r="B265" s="4">
        <v>581.1</v>
      </c>
      <c r="C265" s="4">
        <v>0</v>
      </c>
    </row>
    <row r="266" spans="1:3">
      <c r="A266" s="8">
        <v>42736</v>
      </c>
      <c r="B266" s="4">
        <v>570.4</v>
      </c>
      <c r="C266" s="4">
        <v>0</v>
      </c>
    </row>
    <row r="267" spans="1:3">
      <c r="A267" s="8">
        <v>42767</v>
      </c>
      <c r="B267" s="4">
        <v>411.8</v>
      </c>
      <c r="C267" s="4">
        <v>0</v>
      </c>
    </row>
    <row r="268" spans="1:3">
      <c r="A268" s="8">
        <v>42795</v>
      </c>
      <c r="B268" s="4">
        <v>469.7</v>
      </c>
      <c r="C268" s="4">
        <v>0</v>
      </c>
    </row>
    <row r="269" spans="1:3">
      <c r="A269" s="8">
        <v>42826</v>
      </c>
      <c r="B269" s="4">
        <v>177.1</v>
      </c>
      <c r="C269" s="4">
        <v>6.1</v>
      </c>
    </row>
    <row r="270" spans="1:3">
      <c r="A270" s="8">
        <v>42856</v>
      </c>
      <c r="B270" s="4">
        <v>124.4</v>
      </c>
      <c r="C270" s="4">
        <v>28.5</v>
      </c>
    </row>
    <row r="271" spans="1:3">
      <c r="A271" s="8">
        <v>42887</v>
      </c>
      <c r="B271" s="4">
        <v>2.9</v>
      </c>
      <c r="C271" s="4">
        <v>128.1</v>
      </c>
    </row>
    <row r="272" spans="1:3">
      <c r="A272" s="8">
        <v>42917</v>
      </c>
      <c r="B272" s="4">
        <v>0</v>
      </c>
      <c r="C272" s="4">
        <v>179.5</v>
      </c>
    </row>
    <row r="273" spans="1:3">
      <c r="A273" s="8">
        <v>42948</v>
      </c>
      <c r="B273" s="4">
        <v>1.9</v>
      </c>
      <c r="C273" s="4">
        <v>121.4</v>
      </c>
    </row>
    <row r="274" spans="1:3">
      <c r="A274" s="8">
        <v>42979</v>
      </c>
      <c r="B274" s="4">
        <v>27.4</v>
      </c>
      <c r="C274" s="4">
        <v>80.7</v>
      </c>
    </row>
    <row r="275" spans="1:3">
      <c r="A275" s="8">
        <v>43009</v>
      </c>
      <c r="B275" s="4">
        <v>124.6</v>
      </c>
      <c r="C275" s="4">
        <v>24.9</v>
      </c>
    </row>
    <row r="276" spans="1:3">
      <c r="A276" s="8">
        <v>43040</v>
      </c>
      <c r="B276" s="4">
        <v>379.5</v>
      </c>
      <c r="C276" s="4">
        <v>0</v>
      </c>
    </row>
    <row r="277" spans="1:3">
      <c r="A277" s="8">
        <v>43070</v>
      </c>
      <c r="B277" s="4">
        <v>634.4</v>
      </c>
      <c r="C277" s="4">
        <v>0</v>
      </c>
    </row>
    <row r="278" spans="1:3">
      <c r="A278" s="8">
        <v>43101</v>
      </c>
      <c r="B278" s="4">
        <v>671.40000000000009</v>
      </c>
      <c r="C278" s="4">
        <v>0</v>
      </c>
    </row>
    <row r="279" spans="1:3">
      <c r="A279" s="8">
        <v>43132</v>
      </c>
      <c r="B279" s="4">
        <v>497.29999999999995</v>
      </c>
      <c r="C279" s="4">
        <v>0</v>
      </c>
    </row>
    <row r="280" spans="1:3">
      <c r="A280" s="8">
        <v>43160</v>
      </c>
      <c r="B280" s="4">
        <v>510.59999999999997</v>
      </c>
      <c r="C280" s="4">
        <v>0</v>
      </c>
    </row>
    <row r="281" spans="1:3">
      <c r="A281" s="8">
        <v>43191</v>
      </c>
      <c r="B281" s="4">
        <v>334.19999999999993</v>
      </c>
      <c r="C281" s="4">
        <v>0</v>
      </c>
    </row>
    <row r="282" spans="1:3">
      <c r="A282" s="8">
        <v>43221</v>
      </c>
      <c r="B282" s="4">
        <v>44.6</v>
      </c>
      <c r="C282" s="4">
        <v>68.7</v>
      </c>
    </row>
    <row r="283" spans="1:3">
      <c r="A283" s="8">
        <v>43252</v>
      </c>
      <c r="B283" s="4">
        <v>4</v>
      </c>
      <c r="C283" s="4">
        <v>122.39999999999998</v>
      </c>
    </row>
    <row r="284" spans="1:3">
      <c r="A284" s="8">
        <v>43282</v>
      </c>
      <c r="B284" s="4">
        <v>0</v>
      </c>
      <c r="C284" s="4">
        <v>204.00000000000006</v>
      </c>
    </row>
    <row r="285" spans="1:3">
      <c r="A285" s="8">
        <v>43313</v>
      </c>
      <c r="B285" s="4">
        <v>0</v>
      </c>
      <c r="C285" s="4">
        <v>204.40000000000003</v>
      </c>
    </row>
    <row r="286" spans="1:3">
      <c r="A286" s="8">
        <v>43344</v>
      </c>
      <c r="B286" s="4">
        <v>29.7</v>
      </c>
      <c r="C286" s="4">
        <v>109.19999999999999</v>
      </c>
    </row>
    <row r="287" spans="1:3">
      <c r="A287" s="8">
        <v>43374</v>
      </c>
      <c r="B287" s="4">
        <v>207.89999999999995</v>
      </c>
      <c r="C287" s="4">
        <v>24.1</v>
      </c>
    </row>
    <row r="288" spans="1:3">
      <c r="A288" s="8">
        <v>43405</v>
      </c>
      <c r="B288" s="4">
        <v>454.9</v>
      </c>
      <c r="C288" s="4">
        <v>0</v>
      </c>
    </row>
    <row r="289" spans="1:3">
      <c r="A289" s="8">
        <v>43435</v>
      </c>
      <c r="B289" s="4">
        <v>500.59999999999991</v>
      </c>
      <c r="C289" s="4"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90D90-52A4-4037-8E7E-B9832342187E}">
  <dimension ref="A1:R145"/>
  <sheetViews>
    <sheetView topLeftCell="A121" workbookViewId="0">
      <selection activeCell="L4" sqref="L4"/>
    </sheetView>
  </sheetViews>
  <sheetFormatPr defaultRowHeight="12.75"/>
  <cols>
    <col min="1" max="1" width="10.33203125" style="127" bestFit="1" customWidth="1"/>
    <col min="2" max="2" width="5" style="127" bestFit="1" customWidth="1"/>
    <col min="3" max="3" width="18.6640625" style="127" bestFit="1" customWidth="1"/>
    <col min="4" max="4" width="7.5" style="127" customWidth="1"/>
    <col min="5" max="5" width="12.1640625" style="127" bestFit="1" customWidth="1"/>
    <col min="6" max="6" width="9" style="127" bestFit="1" customWidth="1"/>
    <col min="7" max="8" width="3.83203125" style="127" bestFit="1" customWidth="1"/>
    <col min="9" max="9" width="5.33203125" style="127" bestFit="1" customWidth="1"/>
    <col min="10" max="10" width="9.33203125" style="127"/>
    <col min="11" max="11" width="12.6640625" style="127" bestFit="1" customWidth="1"/>
    <col min="12" max="13" width="12" style="127" bestFit="1" customWidth="1"/>
    <col min="14" max="15" width="12.6640625" style="127" bestFit="1" customWidth="1"/>
    <col min="16" max="16" width="12" style="127" bestFit="1" customWidth="1"/>
    <col min="17" max="17" width="12.6640625" style="127" bestFit="1" customWidth="1"/>
    <col min="18" max="18" width="12" style="127" bestFit="1" customWidth="1"/>
    <col min="19" max="16384" width="9.33203125" style="127"/>
  </cols>
  <sheetData>
    <row r="1" spans="1:18">
      <c r="A1" s="127" t="s">
        <v>123</v>
      </c>
      <c r="B1" s="127" t="s">
        <v>124</v>
      </c>
      <c r="C1" s="127" t="str">
        <f>'Monthly Data'!AE1</f>
        <v>Large_Use_NO_CDM</v>
      </c>
      <c r="D1" s="127" t="str">
        <f>'Monthly Data'!BI1</f>
        <v>CDD</v>
      </c>
      <c r="E1" s="168" t="str">
        <f>'Monthly Data'!BJ1</f>
        <v>Ont_Empl</v>
      </c>
      <c r="F1" s="127" t="str">
        <f>'Monthly Data'!BM1</f>
        <v>Trend</v>
      </c>
      <c r="G1" s="127" t="str">
        <f>'Monthly Data'!BT1</f>
        <v>Jul</v>
      </c>
      <c r="H1" s="127" t="str">
        <f>'Monthly Data'!BY1</f>
        <v>Dec</v>
      </c>
      <c r="I1" s="127" t="str">
        <f>'Monthly Data'!CC1</f>
        <v>Month Days</v>
      </c>
      <c r="K1" s="127" t="s">
        <v>91</v>
      </c>
      <c r="L1" s="127" t="str">
        <f t="shared" ref="L1:Q1" si="0">D1</f>
        <v>CDD</v>
      </c>
      <c r="M1" s="127" t="str">
        <f t="shared" si="0"/>
        <v>Ont_Empl</v>
      </c>
      <c r="N1" s="127" t="str">
        <f t="shared" si="0"/>
        <v>Trend</v>
      </c>
      <c r="O1" s="127" t="str">
        <f t="shared" si="0"/>
        <v>Jul</v>
      </c>
      <c r="P1" s="127" t="str">
        <f t="shared" si="0"/>
        <v>Dec</v>
      </c>
      <c r="Q1" s="127" t="str">
        <f t="shared" si="0"/>
        <v>Month Days</v>
      </c>
      <c r="R1" s="127" t="s">
        <v>125</v>
      </c>
    </row>
    <row r="2" spans="1:18">
      <c r="A2" s="128">
        <f>'Monthly Data'!A2</f>
        <v>39814</v>
      </c>
      <c r="B2" s="127">
        <f t="shared" ref="B2:B53" si="1">YEAR(A2)</f>
        <v>2009</v>
      </c>
      <c r="C2" s="127">
        <f ca="1">'Monthly Data'!AE2</f>
        <v>24657854.515772</v>
      </c>
      <c r="D2" s="144">
        <f ca="1">Weather!M69</f>
        <v>0</v>
      </c>
      <c r="E2" s="168">
        <f>'Monthly Data'!BJ2</f>
        <v>6541.6</v>
      </c>
      <c r="F2" s="127">
        <f>'Monthly Data'!BM2</f>
        <v>1</v>
      </c>
      <c r="G2" s="127">
        <f>'Monthly Data'!BT2</f>
        <v>0</v>
      </c>
      <c r="H2" s="127">
        <f>'Monthly Data'!BY2</f>
        <v>0</v>
      </c>
      <c r="I2" s="127">
        <f>'Monthly Data'!CC2</f>
        <v>31</v>
      </c>
      <c r="K2" s="127">
        <f>'Large Use OLS Model'!$B$5</f>
        <v>-19707994.0131674</v>
      </c>
      <c r="L2" s="127">
        <f ca="1">'Large Use OLS Model'!$B$6*D2</f>
        <v>0</v>
      </c>
      <c r="M2" s="186">
        <f>'Large Use OLS Model'!$B$7*E2</f>
        <v>22435880.350870017</v>
      </c>
      <c r="N2" s="127">
        <v>0</v>
      </c>
      <c r="O2" s="127">
        <f>'Large Use OLS Model'!$B$8*G2</f>
        <v>0</v>
      </c>
      <c r="P2" s="127">
        <f>'Large Use OLS Model'!$B$9*H2</f>
        <v>0</v>
      </c>
      <c r="Q2" s="127">
        <f>'Large Use OLS Model'!$B$10*I2</f>
        <v>21377604.951162424</v>
      </c>
      <c r="R2" s="127">
        <f t="shared" ref="R2:R53" ca="1" si="2">SUM(K2:Q2)</f>
        <v>24105491.288865041</v>
      </c>
    </row>
    <row r="3" spans="1:18">
      <c r="A3" s="128">
        <f>'Monthly Data'!A3</f>
        <v>39845</v>
      </c>
      <c r="B3" s="127">
        <f t="shared" si="1"/>
        <v>2009</v>
      </c>
      <c r="C3" s="127">
        <f ca="1">'Monthly Data'!AE3</f>
        <v>22260143.476391003</v>
      </c>
      <c r="D3" s="144">
        <f ca="1">Weather!M70</f>
        <v>0</v>
      </c>
      <c r="E3" s="168">
        <f>'Monthly Data'!BJ3</f>
        <v>6506</v>
      </c>
      <c r="F3" s="127">
        <f>'Monthly Data'!BM3</f>
        <v>2</v>
      </c>
      <c r="G3" s="127">
        <f>'Monthly Data'!BT3</f>
        <v>0</v>
      </c>
      <c r="H3" s="127">
        <f>'Monthly Data'!BY3</f>
        <v>0</v>
      </c>
      <c r="I3" s="127">
        <f>'Monthly Data'!CC3</f>
        <v>28</v>
      </c>
      <c r="K3" s="127">
        <f>'Large Use OLS Model'!$B$5</f>
        <v>-19707994.0131674</v>
      </c>
      <c r="L3" s="127">
        <f ca="1">'Large Use OLS Model'!$B$6*D3</f>
        <v>0</v>
      </c>
      <c r="M3" s="186">
        <f>'Large Use OLS Model'!$B$7*E3</f>
        <v>22313782.18826592</v>
      </c>
      <c r="N3" s="186">
        <v>0</v>
      </c>
      <c r="O3" s="186">
        <f>'Large Use OLS Model'!$B$8*G3</f>
        <v>0</v>
      </c>
      <c r="P3" s="186">
        <f>'Large Use OLS Model'!$B$9*H3</f>
        <v>0</v>
      </c>
      <c r="Q3" s="186">
        <f>'Large Use OLS Model'!$B$10*I3</f>
        <v>19308804.472017676</v>
      </c>
      <c r="R3" s="127">
        <f t="shared" ca="1" si="2"/>
        <v>21914592.647116195</v>
      </c>
    </row>
    <row r="4" spans="1:18">
      <c r="A4" s="128">
        <f>'Monthly Data'!A4</f>
        <v>39873</v>
      </c>
      <c r="B4" s="127">
        <f t="shared" si="1"/>
        <v>2009</v>
      </c>
      <c r="C4" s="127">
        <f ca="1">'Monthly Data'!AE4</f>
        <v>20653970.599032998</v>
      </c>
      <c r="D4" s="144">
        <f ca="1">Weather!M71</f>
        <v>0.45218045112781802</v>
      </c>
      <c r="E4" s="168">
        <f>'Monthly Data'!BJ4</f>
        <v>6466.8</v>
      </c>
      <c r="F4" s="127">
        <f>'Monthly Data'!BM4</f>
        <v>3</v>
      </c>
      <c r="G4" s="127">
        <f>'Monthly Data'!BT4</f>
        <v>0</v>
      </c>
      <c r="H4" s="127">
        <f>'Monthly Data'!BY4</f>
        <v>0</v>
      </c>
      <c r="I4" s="127">
        <f>'Monthly Data'!CC4</f>
        <v>31</v>
      </c>
      <c r="K4" s="127">
        <f>'Large Use OLS Model'!$B$5</f>
        <v>-19707994.0131674</v>
      </c>
      <c r="L4" s="186">
        <f ca="1">'Large Use OLS Model'!$B$6*D4</f>
        <v>11949.392587196318</v>
      </c>
      <c r="M4" s="186">
        <f>'Large Use OLS Model'!$B$7*E4</f>
        <v>22179337.020454664</v>
      </c>
      <c r="N4" s="186">
        <v>0</v>
      </c>
      <c r="O4" s="186">
        <f>'Large Use OLS Model'!$B$8*G4</f>
        <v>0</v>
      </c>
      <c r="P4" s="186">
        <f>'Large Use OLS Model'!$B$9*H4</f>
        <v>0</v>
      </c>
      <c r="Q4" s="186">
        <f>'Large Use OLS Model'!$B$10*I4</f>
        <v>21377604.951162424</v>
      </c>
      <c r="R4" s="127">
        <f t="shared" ca="1" si="2"/>
        <v>23860897.351036884</v>
      </c>
    </row>
    <row r="5" spans="1:18">
      <c r="A5" s="128">
        <f>'Monthly Data'!A5</f>
        <v>39904</v>
      </c>
      <c r="B5" s="127">
        <f t="shared" si="1"/>
        <v>2009</v>
      </c>
      <c r="C5" s="127">
        <f ca="1">'Monthly Data'!AE5</f>
        <v>19934511.746649001</v>
      </c>
      <c r="D5" s="144">
        <f ca="1">Weather!M72</f>
        <v>0.50947368421054762</v>
      </c>
      <c r="E5" s="168">
        <f>'Monthly Data'!BJ5</f>
        <v>6445.5</v>
      </c>
      <c r="F5" s="127">
        <f>'Monthly Data'!BM5</f>
        <v>4</v>
      </c>
      <c r="G5" s="127">
        <f>'Monthly Data'!BT5</f>
        <v>0</v>
      </c>
      <c r="H5" s="127">
        <f>'Monthly Data'!BY5</f>
        <v>0</v>
      </c>
      <c r="I5" s="127">
        <f>'Monthly Data'!CC5</f>
        <v>30</v>
      </c>
      <c r="K5" s="127">
        <f>'Large Use OLS Model'!$B$5</f>
        <v>-19707994.0131674</v>
      </c>
      <c r="L5" s="186">
        <f ca="1">'Large Use OLS Model'!$B$6*D5</f>
        <v>13463.432685541387</v>
      </c>
      <c r="M5" s="186">
        <f>'Large Use OLS Model'!$B$7*E5</f>
        <v>22106283.906312324</v>
      </c>
      <c r="N5" s="186">
        <v>0</v>
      </c>
      <c r="O5" s="186">
        <f>'Large Use OLS Model'!$B$8*G5</f>
        <v>0</v>
      </c>
      <c r="P5" s="186">
        <f>'Large Use OLS Model'!$B$9*H5</f>
        <v>0</v>
      </c>
      <c r="Q5" s="186">
        <f>'Large Use OLS Model'!$B$10*I5</f>
        <v>20688004.791447509</v>
      </c>
      <c r="R5" s="127">
        <f t="shared" ca="1" si="2"/>
        <v>23099758.117277976</v>
      </c>
    </row>
    <row r="6" spans="1:18">
      <c r="A6" s="128">
        <f>'Monthly Data'!A6</f>
        <v>39934</v>
      </c>
      <c r="B6" s="127">
        <f t="shared" si="1"/>
        <v>2009</v>
      </c>
      <c r="C6" s="127">
        <f ca="1">'Monthly Data'!AE6</f>
        <v>20696037.706291001</v>
      </c>
      <c r="D6" s="144">
        <f ca="1">Weather!M73</f>
        <v>56.062781954887214</v>
      </c>
      <c r="E6" s="168">
        <f>'Monthly Data'!BJ6</f>
        <v>6420.3</v>
      </c>
      <c r="F6" s="127">
        <f>'Monthly Data'!BM6</f>
        <v>5</v>
      </c>
      <c r="G6" s="127">
        <f>'Monthly Data'!BT6</f>
        <v>0</v>
      </c>
      <c r="H6" s="127">
        <f>'Monthly Data'!BY6</f>
        <v>0</v>
      </c>
      <c r="I6" s="127">
        <f>'Monthly Data'!CC6</f>
        <v>31</v>
      </c>
      <c r="K6" s="127">
        <f>'Large Use OLS Model'!$B$5</f>
        <v>-19707994.0131674</v>
      </c>
      <c r="L6" s="186">
        <f ca="1">'Large Use OLS Model'!$B$6*D6</f>
        <v>1481524.0009567935</v>
      </c>
      <c r="M6" s="186">
        <f>'Large Use OLS Model'!$B$7*E6</f>
        <v>22019854.869862232</v>
      </c>
      <c r="N6" s="186">
        <v>0</v>
      </c>
      <c r="O6" s="186">
        <f>'Large Use OLS Model'!$B$8*G6</f>
        <v>0</v>
      </c>
      <c r="P6" s="186">
        <f>'Large Use OLS Model'!$B$9*H6</f>
        <v>0</v>
      </c>
      <c r="Q6" s="186">
        <f>'Large Use OLS Model'!$B$10*I6</f>
        <v>21377604.951162424</v>
      </c>
      <c r="R6" s="127">
        <f t="shared" ca="1" si="2"/>
        <v>25170989.808814049</v>
      </c>
    </row>
    <row r="7" spans="1:18">
      <c r="A7" s="128">
        <f>'Monthly Data'!A7</f>
        <v>39965</v>
      </c>
      <c r="B7" s="127">
        <f t="shared" si="1"/>
        <v>2009</v>
      </c>
      <c r="C7" s="127">
        <f ca="1">'Monthly Data'!AE7</f>
        <v>23177348.254234999</v>
      </c>
      <c r="D7" s="144">
        <f ca="1">Weather!M74</f>
        <v>116.89315789473682</v>
      </c>
      <c r="E7" s="168">
        <f>'Monthly Data'!BJ7</f>
        <v>6393.2</v>
      </c>
      <c r="F7" s="127">
        <f>'Monthly Data'!BM7</f>
        <v>6</v>
      </c>
      <c r="G7" s="127">
        <f>'Monthly Data'!BT7</f>
        <v>0</v>
      </c>
      <c r="H7" s="127">
        <f>'Monthly Data'!BY7</f>
        <v>0</v>
      </c>
      <c r="I7" s="127">
        <f>'Monthly Data'!CC7</f>
        <v>30</v>
      </c>
      <c r="K7" s="127">
        <f>'Large Use OLS Model'!$B$5</f>
        <v>-19707994.0131674</v>
      </c>
      <c r="L7" s="186">
        <f ca="1">'Large Use OLS Model'!$B$6*D7</f>
        <v>3089037.1995460331</v>
      </c>
      <c r="M7" s="186">
        <f>'Large Use OLS Model'!$B$7*E7</f>
        <v>21926909.358441696</v>
      </c>
      <c r="N7" s="186">
        <v>0</v>
      </c>
      <c r="O7" s="186">
        <f>'Large Use OLS Model'!$B$8*G7</f>
        <v>0</v>
      </c>
      <c r="P7" s="186">
        <f>'Large Use OLS Model'!$B$9*H7</f>
        <v>0</v>
      </c>
      <c r="Q7" s="186">
        <f>'Large Use OLS Model'!$B$10*I7</f>
        <v>20688004.791447509</v>
      </c>
      <c r="R7" s="127">
        <f t="shared" ca="1" si="2"/>
        <v>25995957.336267836</v>
      </c>
    </row>
    <row r="8" spans="1:18">
      <c r="A8" s="128">
        <f>'Monthly Data'!A8</f>
        <v>39995</v>
      </c>
      <c r="B8" s="127">
        <f t="shared" si="1"/>
        <v>2009</v>
      </c>
      <c r="C8" s="127">
        <f ca="1">'Monthly Data'!AE8</f>
        <v>24105091.778898001</v>
      </c>
      <c r="D8" s="144">
        <f ca="1">Weather!M75</f>
        <v>186.96526315789481</v>
      </c>
      <c r="E8" s="168">
        <f>'Monthly Data'!BJ8</f>
        <v>6390.2</v>
      </c>
      <c r="F8" s="127">
        <f>'Monthly Data'!BM8</f>
        <v>7</v>
      </c>
      <c r="G8" s="127">
        <f>'Monthly Data'!BT8</f>
        <v>1</v>
      </c>
      <c r="H8" s="127">
        <f>'Monthly Data'!BY8</f>
        <v>0</v>
      </c>
      <c r="I8" s="127">
        <f>'Monthly Data'!CC8</f>
        <v>31</v>
      </c>
      <c r="K8" s="127">
        <f>'Large Use OLS Model'!$B$5</f>
        <v>-19707994.0131674</v>
      </c>
      <c r="L8" s="186">
        <f ca="1">'Large Use OLS Model'!$B$6*D8</f>
        <v>4940773.8084869953</v>
      </c>
      <c r="M8" s="186">
        <f>'Large Use OLS Model'!$B$7*E8</f>
        <v>21916620.187435731</v>
      </c>
      <c r="N8" s="186">
        <v>0</v>
      </c>
      <c r="O8" s="186">
        <f>'Large Use OLS Model'!$B$8*G8</f>
        <v>-1563237.6990636101</v>
      </c>
      <c r="P8" s="186">
        <f>'Large Use OLS Model'!$B$9*H8</f>
        <v>0</v>
      </c>
      <c r="Q8" s="186">
        <f>'Large Use OLS Model'!$B$10*I8</f>
        <v>21377604.951162424</v>
      </c>
      <c r="R8" s="127">
        <f t="shared" ca="1" si="2"/>
        <v>26963767.234854139</v>
      </c>
    </row>
    <row r="9" spans="1:18">
      <c r="A9" s="128">
        <f>'Monthly Data'!A9</f>
        <v>40026</v>
      </c>
      <c r="B9" s="127">
        <f t="shared" si="1"/>
        <v>2009</v>
      </c>
      <c r="C9" s="127">
        <f ca="1">'Monthly Data'!AE9</f>
        <v>25408029.314557001</v>
      </c>
      <c r="D9" s="144">
        <f ca="1">Weather!M76</f>
        <v>167.43443609022574</v>
      </c>
      <c r="E9" s="168">
        <f>'Monthly Data'!BJ9</f>
        <v>6401</v>
      </c>
      <c r="F9" s="127">
        <f>'Monthly Data'!BM9</f>
        <v>8</v>
      </c>
      <c r="G9" s="127">
        <f>'Monthly Data'!BT9</f>
        <v>0</v>
      </c>
      <c r="H9" s="127">
        <f>'Monthly Data'!BY9</f>
        <v>0</v>
      </c>
      <c r="I9" s="127">
        <f>'Monthly Data'!CC9</f>
        <v>31</v>
      </c>
      <c r="K9" s="127">
        <f>'Large Use OLS Model'!$B$5</f>
        <v>-19707994.0131674</v>
      </c>
      <c r="L9" s="186">
        <f ca="1">'Large Use OLS Model'!$B$6*D9</f>
        <v>4424649.0631510941</v>
      </c>
      <c r="M9" s="186">
        <f>'Large Use OLS Model'!$B$7*E9</f>
        <v>21953661.2030572</v>
      </c>
      <c r="N9" s="186">
        <v>0</v>
      </c>
      <c r="O9" s="186">
        <f>'Large Use OLS Model'!$B$8*G9</f>
        <v>0</v>
      </c>
      <c r="P9" s="186">
        <f>'Large Use OLS Model'!$B$9*H9</f>
        <v>0</v>
      </c>
      <c r="Q9" s="186">
        <f>'Large Use OLS Model'!$B$10*I9</f>
        <v>21377604.951162424</v>
      </c>
      <c r="R9" s="127">
        <f t="shared" ca="1" si="2"/>
        <v>28047921.204203319</v>
      </c>
    </row>
    <row r="10" spans="1:18">
      <c r="A10" s="128">
        <f>'Monthly Data'!A10</f>
        <v>40057</v>
      </c>
      <c r="B10" s="127">
        <f t="shared" si="1"/>
        <v>2009</v>
      </c>
      <c r="C10" s="127">
        <f ca="1">'Monthly Data'!AE10</f>
        <v>24750387.851640001</v>
      </c>
      <c r="D10" s="144">
        <f ca="1">Weather!M77</f>
        <v>83.003533834586506</v>
      </c>
      <c r="E10" s="168">
        <f>'Monthly Data'!BJ10</f>
        <v>6421.2</v>
      </c>
      <c r="F10" s="127">
        <f>'Monthly Data'!BM10</f>
        <v>9</v>
      </c>
      <c r="G10" s="127">
        <f>'Monthly Data'!BT10</f>
        <v>0</v>
      </c>
      <c r="H10" s="127">
        <f>'Monthly Data'!BY10</f>
        <v>0</v>
      </c>
      <c r="I10" s="127">
        <f>'Monthly Data'!CC10</f>
        <v>30</v>
      </c>
      <c r="K10" s="127">
        <f>'Large Use OLS Model'!$B$5</f>
        <v>-19707994.0131674</v>
      </c>
      <c r="L10" s="186">
        <f ca="1">'Large Use OLS Model'!$B$6*D10</f>
        <v>2193464.5990119162</v>
      </c>
      <c r="M10" s="186">
        <f>'Large Use OLS Model'!$B$7*E10</f>
        <v>22022941.62116402</v>
      </c>
      <c r="N10" s="186">
        <v>0</v>
      </c>
      <c r="O10" s="186">
        <f>'Large Use OLS Model'!$B$8*G10</f>
        <v>0</v>
      </c>
      <c r="P10" s="186">
        <f>'Large Use OLS Model'!$B$9*H10</f>
        <v>0</v>
      </c>
      <c r="Q10" s="186">
        <f>'Large Use OLS Model'!$B$10*I10</f>
        <v>20688004.791447509</v>
      </c>
      <c r="R10" s="127">
        <f t="shared" ca="1" si="2"/>
        <v>25196416.998456046</v>
      </c>
    </row>
    <row r="11" spans="1:18">
      <c r="A11" s="128">
        <f>'Monthly Data'!A11</f>
        <v>40087</v>
      </c>
      <c r="B11" s="127">
        <f t="shared" si="1"/>
        <v>2009</v>
      </c>
      <c r="C11" s="127">
        <f ca="1">'Monthly Data'!AE11</f>
        <v>22390724.243762001</v>
      </c>
      <c r="D11" s="144">
        <f ca="1">Weather!M78</f>
        <v>16.916090225563948</v>
      </c>
      <c r="E11" s="168">
        <f>'Monthly Data'!BJ11</f>
        <v>6438.2</v>
      </c>
      <c r="F11" s="127">
        <f>'Monthly Data'!BM11</f>
        <v>10</v>
      </c>
      <c r="G11" s="127">
        <f>'Monthly Data'!BT11</f>
        <v>0</v>
      </c>
      <c r="H11" s="127">
        <f>'Monthly Data'!BY11</f>
        <v>0</v>
      </c>
      <c r="I11" s="127">
        <f>'Monthly Data'!CC11</f>
        <v>31</v>
      </c>
      <c r="K11" s="127">
        <f>'Large Use OLS Model'!$B$5</f>
        <v>-19707994.0131674</v>
      </c>
      <c r="L11" s="186">
        <f ca="1">'Large Use OLS Model'!$B$6*D11</f>
        <v>447027.29328862514</v>
      </c>
      <c r="M11" s="186">
        <f>'Large Use OLS Model'!$B$7*E11</f>
        <v>22081246.923531145</v>
      </c>
      <c r="N11" s="186">
        <v>0</v>
      </c>
      <c r="O11" s="186">
        <f>'Large Use OLS Model'!$B$8*G11</f>
        <v>0</v>
      </c>
      <c r="P11" s="186">
        <f>'Large Use OLS Model'!$B$9*H11</f>
        <v>0</v>
      </c>
      <c r="Q11" s="186">
        <f>'Large Use OLS Model'!$B$10*I11</f>
        <v>21377604.951162424</v>
      </c>
      <c r="R11" s="127">
        <f t="shared" ca="1" si="2"/>
        <v>24197885.154814795</v>
      </c>
    </row>
    <row r="12" spans="1:18">
      <c r="A12" s="128">
        <f>'Monthly Data'!A12</f>
        <v>40118</v>
      </c>
      <c r="B12" s="127">
        <f t="shared" si="1"/>
        <v>2009</v>
      </c>
      <c r="C12" s="127">
        <f ca="1">'Monthly Data'!AE12</f>
        <v>21830185.762596998</v>
      </c>
      <c r="D12" s="144">
        <f ca="1">Weather!M79</f>
        <v>8.120300751879661E-2</v>
      </c>
      <c r="E12" s="168">
        <f>'Monthly Data'!BJ12</f>
        <v>6454</v>
      </c>
      <c r="F12" s="127">
        <f>'Monthly Data'!BM12</f>
        <v>11</v>
      </c>
      <c r="G12" s="127">
        <f>'Monthly Data'!BT12</f>
        <v>0</v>
      </c>
      <c r="H12" s="127">
        <f>'Monthly Data'!BY12</f>
        <v>0</v>
      </c>
      <c r="I12" s="127">
        <f>'Monthly Data'!CC12</f>
        <v>30</v>
      </c>
      <c r="K12" s="127">
        <f>'Large Use OLS Model'!$B$5</f>
        <v>-19707994.0131674</v>
      </c>
      <c r="L12" s="186">
        <f ca="1">'Large Use OLS Model'!$B$6*D12</f>
        <v>2145.8836039527778</v>
      </c>
      <c r="M12" s="186">
        <f>'Large Use OLS Model'!$B$7*E12</f>
        <v>22135436.557495885</v>
      </c>
      <c r="N12" s="186">
        <v>0</v>
      </c>
      <c r="O12" s="186">
        <f>'Large Use OLS Model'!$B$8*G12</f>
        <v>0</v>
      </c>
      <c r="P12" s="186">
        <f>'Large Use OLS Model'!$B$9*H12</f>
        <v>0</v>
      </c>
      <c r="Q12" s="186">
        <f>'Large Use OLS Model'!$B$10*I12</f>
        <v>20688004.791447509</v>
      </c>
      <c r="R12" s="127">
        <f t="shared" ca="1" si="2"/>
        <v>23117593.219379947</v>
      </c>
    </row>
    <row r="13" spans="1:18">
      <c r="A13" s="128">
        <f>'Monthly Data'!A13</f>
        <v>40148</v>
      </c>
      <c r="B13" s="127">
        <f t="shared" si="1"/>
        <v>2009</v>
      </c>
      <c r="C13" s="127">
        <f ca="1">'Monthly Data'!AE13</f>
        <v>22001519.052356999</v>
      </c>
      <c r="D13" s="144">
        <f ca="1">Weather!M80</f>
        <v>0</v>
      </c>
      <c r="E13" s="168">
        <f>'Monthly Data'!BJ13</f>
        <v>6458.5</v>
      </c>
      <c r="F13" s="127">
        <f>'Monthly Data'!BM13</f>
        <v>12</v>
      </c>
      <c r="G13" s="127">
        <f>'Monthly Data'!BT13</f>
        <v>0</v>
      </c>
      <c r="H13" s="127">
        <f>'Monthly Data'!BY13</f>
        <v>1</v>
      </c>
      <c r="I13" s="127">
        <f>'Monthly Data'!CC13</f>
        <v>31</v>
      </c>
      <c r="K13" s="127">
        <f>'Large Use OLS Model'!$B$5</f>
        <v>-19707994.0131674</v>
      </c>
      <c r="L13" s="186">
        <f ca="1">'Large Use OLS Model'!$B$6*D13</f>
        <v>0</v>
      </c>
      <c r="M13" s="186">
        <f>'Large Use OLS Model'!$B$7*E13</f>
        <v>22150870.314004831</v>
      </c>
      <c r="N13" s="186">
        <v>0</v>
      </c>
      <c r="O13" s="186">
        <f>'Large Use OLS Model'!$B$8*G13</f>
        <v>0</v>
      </c>
      <c r="P13" s="186">
        <f>'Large Use OLS Model'!$B$9*H13</f>
        <v>-2219022.2541699898</v>
      </c>
      <c r="Q13" s="186">
        <f>'Large Use OLS Model'!$B$10*I13</f>
        <v>21377604.951162424</v>
      </c>
      <c r="R13" s="127">
        <f t="shared" ca="1" si="2"/>
        <v>21601458.997829866</v>
      </c>
    </row>
    <row r="14" spans="1:18">
      <c r="A14" s="128">
        <f>'Monthly Data'!A14</f>
        <v>40179</v>
      </c>
      <c r="B14" s="127">
        <f t="shared" si="1"/>
        <v>2010</v>
      </c>
      <c r="C14" s="127">
        <f ca="1">'Monthly Data'!AE14</f>
        <v>23267481.492624</v>
      </c>
      <c r="D14" s="127">
        <f t="shared" ref="D14:D65" ca="1" si="3">D2</f>
        <v>0</v>
      </c>
      <c r="E14" s="168">
        <f>'Monthly Data'!BJ14</f>
        <v>6466.9</v>
      </c>
      <c r="F14" s="127">
        <f>'Monthly Data'!BM14</f>
        <v>13</v>
      </c>
      <c r="G14" s="127">
        <f>'Monthly Data'!BT14</f>
        <v>0</v>
      </c>
      <c r="H14" s="127">
        <f>'Monthly Data'!BY14</f>
        <v>0</v>
      </c>
      <c r="I14" s="127">
        <f>'Monthly Data'!CC14</f>
        <v>31</v>
      </c>
      <c r="K14" s="127">
        <f>'Large Use OLS Model'!$B$5</f>
        <v>-19707994.0131674</v>
      </c>
      <c r="L14" s="186">
        <f ca="1">'Large Use OLS Model'!$B$6*D14</f>
        <v>0</v>
      </c>
      <c r="M14" s="186">
        <f>'Large Use OLS Model'!$B$7*E14</f>
        <v>22179679.992821526</v>
      </c>
      <c r="N14" s="186">
        <v>0</v>
      </c>
      <c r="O14" s="186">
        <f>'Large Use OLS Model'!$B$8*G14</f>
        <v>0</v>
      </c>
      <c r="P14" s="186">
        <f>'Large Use OLS Model'!$B$9*H14</f>
        <v>0</v>
      </c>
      <c r="Q14" s="186">
        <f>'Large Use OLS Model'!$B$10*I14</f>
        <v>21377604.951162424</v>
      </c>
      <c r="R14" s="127">
        <f t="shared" ca="1" si="2"/>
        <v>23849290.93081655</v>
      </c>
    </row>
    <row r="15" spans="1:18">
      <c r="A15" s="128">
        <f>'Monthly Data'!A15</f>
        <v>40210</v>
      </c>
      <c r="B15" s="127">
        <f t="shared" si="1"/>
        <v>2010</v>
      </c>
      <c r="C15" s="127">
        <f ca="1">'Monthly Data'!AE15</f>
        <v>21795460.432082001</v>
      </c>
      <c r="D15" s="127">
        <f t="shared" ca="1" si="3"/>
        <v>0</v>
      </c>
      <c r="E15" s="168">
        <f>'Monthly Data'!BJ15</f>
        <v>6471</v>
      </c>
      <c r="F15" s="127">
        <f>'Monthly Data'!BM15</f>
        <v>14</v>
      </c>
      <c r="G15" s="127">
        <f>'Monthly Data'!BT15</f>
        <v>0</v>
      </c>
      <c r="H15" s="127">
        <f>'Monthly Data'!BY15</f>
        <v>0</v>
      </c>
      <c r="I15" s="127">
        <f>'Monthly Data'!CC15</f>
        <v>28</v>
      </c>
      <c r="K15" s="127">
        <f>'Large Use OLS Model'!$B$5</f>
        <v>-19707994.0131674</v>
      </c>
      <c r="L15" s="186">
        <f ca="1">'Large Use OLS Model'!$B$6*D15</f>
        <v>0</v>
      </c>
      <c r="M15" s="186">
        <f>'Large Use OLS Model'!$B$7*E15</f>
        <v>22193741.859863013</v>
      </c>
      <c r="N15" s="186">
        <v>0</v>
      </c>
      <c r="O15" s="186">
        <f>'Large Use OLS Model'!$B$8*G15</f>
        <v>0</v>
      </c>
      <c r="P15" s="186">
        <f>'Large Use OLS Model'!$B$9*H15</f>
        <v>0</v>
      </c>
      <c r="Q15" s="186">
        <f>'Large Use OLS Model'!$B$10*I15</f>
        <v>19308804.472017676</v>
      </c>
      <c r="R15" s="127">
        <f t="shared" ca="1" si="2"/>
        <v>21794552.318713289</v>
      </c>
    </row>
    <row r="16" spans="1:18">
      <c r="A16" s="128">
        <f>'Monthly Data'!A16</f>
        <v>40238</v>
      </c>
      <c r="B16" s="127">
        <f t="shared" si="1"/>
        <v>2010</v>
      </c>
      <c r="C16" s="127">
        <f ca="1">'Monthly Data'!AE16</f>
        <v>23702308.642981</v>
      </c>
      <c r="D16" s="127">
        <f t="shared" ca="1" si="3"/>
        <v>0.45218045112781802</v>
      </c>
      <c r="E16" s="168">
        <f>'Monthly Data'!BJ16</f>
        <v>6477.5</v>
      </c>
      <c r="F16" s="127">
        <f>'Monthly Data'!BM16</f>
        <v>15</v>
      </c>
      <c r="G16" s="127">
        <f>'Monthly Data'!BT16</f>
        <v>0</v>
      </c>
      <c r="H16" s="127">
        <f>'Monthly Data'!BY16</f>
        <v>0</v>
      </c>
      <c r="I16" s="127">
        <f>'Monthly Data'!CC16</f>
        <v>31</v>
      </c>
      <c r="K16" s="127">
        <f>'Large Use OLS Model'!$B$5</f>
        <v>-19707994.0131674</v>
      </c>
      <c r="L16" s="186">
        <f ca="1">'Large Use OLS Model'!$B$6*D16</f>
        <v>11949.392587196318</v>
      </c>
      <c r="M16" s="186">
        <f>'Large Use OLS Model'!$B$7*E16</f>
        <v>22216035.063709266</v>
      </c>
      <c r="N16" s="186">
        <v>0</v>
      </c>
      <c r="O16" s="186">
        <f>'Large Use OLS Model'!$B$8*G16</f>
        <v>0</v>
      </c>
      <c r="P16" s="186">
        <f>'Large Use OLS Model'!$B$9*H16</f>
        <v>0</v>
      </c>
      <c r="Q16" s="186">
        <f>'Large Use OLS Model'!$B$10*I16</f>
        <v>21377604.951162424</v>
      </c>
      <c r="R16" s="127">
        <f t="shared" ca="1" si="2"/>
        <v>23897595.394291487</v>
      </c>
    </row>
    <row r="17" spans="1:18">
      <c r="A17" s="128">
        <f>'Monthly Data'!A17</f>
        <v>40269</v>
      </c>
      <c r="B17" s="127">
        <f t="shared" si="1"/>
        <v>2010</v>
      </c>
      <c r="C17" s="127">
        <f ca="1">'Monthly Data'!AE17</f>
        <v>22434537.258079</v>
      </c>
      <c r="D17" s="127">
        <f t="shared" ca="1" si="3"/>
        <v>0.50947368421054762</v>
      </c>
      <c r="E17" s="168">
        <f>'Monthly Data'!BJ17</f>
        <v>6485</v>
      </c>
      <c r="F17" s="127">
        <f>'Monthly Data'!BM17</f>
        <v>16</v>
      </c>
      <c r="G17" s="127">
        <f>'Monthly Data'!BT17</f>
        <v>0</v>
      </c>
      <c r="H17" s="127">
        <f>'Monthly Data'!BY17</f>
        <v>0</v>
      </c>
      <c r="I17" s="127">
        <f>'Monthly Data'!CC17</f>
        <v>30</v>
      </c>
      <c r="K17" s="127">
        <f>'Large Use OLS Model'!$B$5</f>
        <v>-19707994.0131674</v>
      </c>
      <c r="L17" s="186">
        <f ca="1">'Large Use OLS Model'!$B$6*D17</f>
        <v>13463.432685541387</v>
      </c>
      <c r="M17" s="186">
        <f>'Large Use OLS Model'!$B$7*E17</f>
        <v>22241757.991224173</v>
      </c>
      <c r="N17" s="186">
        <v>0</v>
      </c>
      <c r="O17" s="186">
        <f>'Large Use OLS Model'!$B$8*G17</f>
        <v>0</v>
      </c>
      <c r="P17" s="186">
        <f>'Large Use OLS Model'!$B$9*H17</f>
        <v>0</v>
      </c>
      <c r="Q17" s="186">
        <f>'Large Use OLS Model'!$B$10*I17</f>
        <v>20688004.791447509</v>
      </c>
      <c r="R17" s="127">
        <f t="shared" ca="1" si="2"/>
        <v>23235232.202189825</v>
      </c>
    </row>
    <row r="18" spans="1:18">
      <c r="A18" s="128">
        <f>'Monthly Data'!A18</f>
        <v>40299</v>
      </c>
      <c r="B18" s="127">
        <f t="shared" si="1"/>
        <v>2010</v>
      </c>
      <c r="C18" s="127">
        <f ca="1">'Monthly Data'!AE18</f>
        <v>24754424.438850001</v>
      </c>
      <c r="D18" s="127">
        <f t="shared" ca="1" si="3"/>
        <v>56.062781954887214</v>
      </c>
      <c r="E18" s="168">
        <f>'Monthly Data'!BJ18</f>
        <v>6506.8</v>
      </c>
      <c r="F18" s="127">
        <f>'Monthly Data'!BM18</f>
        <v>17</v>
      </c>
      <c r="G18" s="127">
        <f>'Monthly Data'!BT18</f>
        <v>0</v>
      </c>
      <c r="H18" s="127">
        <f>'Monthly Data'!BY18</f>
        <v>0</v>
      </c>
      <c r="I18" s="127">
        <f>'Monthly Data'!CC18</f>
        <v>31</v>
      </c>
      <c r="K18" s="127">
        <f>'Large Use OLS Model'!$B$5</f>
        <v>-19707994.0131674</v>
      </c>
      <c r="L18" s="186">
        <f ca="1">'Large Use OLS Model'!$B$6*D18</f>
        <v>1481524.0009567935</v>
      </c>
      <c r="M18" s="186">
        <f>'Large Use OLS Model'!$B$7*E18</f>
        <v>22316525.967200842</v>
      </c>
      <c r="N18" s="186">
        <v>0</v>
      </c>
      <c r="O18" s="186">
        <f>'Large Use OLS Model'!$B$8*G18</f>
        <v>0</v>
      </c>
      <c r="P18" s="186">
        <f>'Large Use OLS Model'!$B$9*H18</f>
        <v>0</v>
      </c>
      <c r="Q18" s="186">
        <f>'Large Use OLS Model'!$B$10*I18</f>
        <v>21377604.951162424</v>
      </c>
      <c r="R18" s="127">
        <f t="shared" ca="1" si="2"/>
        <v>25467660.906152658</v>
      </c>
    </row>
    <row r="19" spans="1:18">
      <c r="A19" s="128">
        <f>'Monthly Data'!A19</f>
        <v>40330</v>
      </c>
      <c r="B19" s="127">
        <f t="shared" si="1"/>
        <v>2010</v>
      </c>
      <c r="C19" s="127">
        <f ca="1">'Monthly Data'!AE19</f>
        <v>27908850.407844998</v>
      </c>
      <c r="D19" s="127">
        <f t="shared" ca="1" si="3"/>
        <v>116.89315789473682</v>
      </c>
      <c r="E19" s="168">
        <f>'Monthly Data'!BJ19</f>
        <v>6540.8</v>
      </c>
      <c r="F19" s="127">
        <f>'Monthly Data'!BM19</f>
        <v>18</v>
      </c>
      <c r="G19" s="127">
        <f>'Monthly Data'!BT19</f>
        <v>0</v>
      </c>
      <c r="H19" s="127">
        <f>'Monthly Data'!BY19</f>
        <v>0</v>
      </c>
      <c r="I19" s="127">
        <f>'Monthly Data'!CC19</f>
        <v>30</v>
      </c>
      <c r="K19" s="127">
        <f>'Large Use OLS Model'!$B$5</f>
        <v>-19707994.0131674</v>
      </c>
      <c r="L19" s="186">
        <f ca="1">'Large Use OLS Model'!$B$6*D19</f>
        <v>3089037.1995460331</v>
      </c>
      <c r="M19" s="186">
        <f>'Large Use OLS Model'!$B$7*E19</f>
        <v>22433136.571935095</v>
      </c>
      <c r="N19" s="186">
        <v>0</v>
      </c>
      <c r="O19" s="186">
        <f>'Large Use OLS Model'!$B$8*G19</f>
        <v>0</v>
      </c>
      <c r="P19" s="186">
        <f>'Large Use OLS Model'!$B$9*H19</f>
        <v>0</v>
      </c>
      <c r="Q19" s="186">
        <f>'Large Use OLS Model'!$B$10*I19</f>
        <v>20688004.791447509</v>
      </c>
      <c r="R19" s="127">
        <f t="shared" ca="1" si="2"/>
        <v>26502184.549761236</v>
      </c>
    </row>
    <row r="20" spans="1:18">
      <c r="A20" s="128">
        <f>'Monthly Data'!A20</f>
        <v>40360</v>
      </c>
      <c r="B20" s="127">
        <f t="shared" si="1"/>
        <v>2010</v>
      </c>
      <c r="C20" s="127">
        <f ca="1">'Monthly Data'!AE20</f>
        <v>28114606.937438</v>
      </c>
      <c r="D20" s="127">
        <f t="shared" ca="1" si="3"/>
        <v>186.96526315789481</v>
      </c>
      <c r="E20" s="168">
        <f>'Monthly Data'!BJ20</f>
        <v>6561</v>
      </c>
      <c r="F20" s="127">
        <f>'Monthly Data'!BM20</f>
        <v>19</v>
      </c>
      <c r="G20" s="127">
        <f>'Monthly Data'!BT20</f>
        <v>1</v>
      </c>
      <c r="H20" s="127">
        <f>'Monthly Data'!BY20</f>
        <v>0</v>
      </c>
      <c r="I20" s="127">
        <f>'Monthly Data'!CC20</f>
        <v>31</v>
      </c>
      <c r="K20" s="127">
        <f>'Large Use OLS Model'!$B$5</f>
        <v>-19707994.0131674</v>
      </c>
      <c r="L20" s="186">
        <f ca="1">'Large Use OLS Model'!$B$6*D20</f>
        <v>4940773.8084869953</v>
      </c>
      <c r="M20" s="186">
        <f>'Large Use OLS Model'!$B$7*E20</f>
        <v>22502416.990041912</v>
      </c>
      <c r="N20" s="186">
        <v>0</v>
      </c>
      <c r="O20" s="186">
        <f>'Large Use OLS Model'!$B$8*G20</f>
        <v>-1563237.6990636101</v>
      </c>
      <c r="P20" s="186">
        <f>'Large Use OLS Model'!$B$9*H20</f>
        <v>0</v>
      </c>
      <c r="Q20" s="186">
        <f>'Large Use OLS Model'!$B$10*I20</f>
        <v>21377604.951162424</v>
      </c>
      <c r="R20" s="127">
        <f t="shared" ca="1" si="2"/>
        <v>27549564.03746032</v>
      </c>
    </row>
    <row r="21" spans="1:18">
      <c r="A21" s="128">
        <f>'Monthly Data'!A21</f>
        <v>40391</v>
      </c>
      <c r="B21" s="127">
        <f t="shared" si="1"/>
        <v>2010</v>
      </c>
      <c r="C21" s="127">
        <f ca="1">'Monthly Data'!AE21</f>
        <v>28003793.798920002</v>
      </c>
      <c r="D21" s="127">
        <f t="shared" ca="1" si="3"/>
        <v>167.43443609022574</v>
      </c>
      <c r="E21" s="168">
        <f>'Monthly Data'!BJ21</f>
        <v>6568.9</v>
      </c>
      <c r="F21" s="127">
        <f>'Monthly Data'!BM21</f>
        <v>20</v>
      </c>
      <c r="G21" s="127">
        <f>'Monthly Data'!BT21</f>
        <v>0</v>
      </c>
      <c r="H21" s="127">
        <f>'Monthly Data'!BY21</f>
        <v>0</v>
      </c>
      <c r="I21" s="127">
        <f>'Monthly Data'!CC21</f>
        <v>31</v>
      </c>
      <c r="K21" s="127">
        <f>'Large Use OLS Model'!$B$5</f>
        <v>-19707994.0131674</v>
      </c>
      <c r="L21" s="186">
        <f ca="1">'Large Use OLS Model'!$B$6*D21</f>
        <v>4424649.0631510941</v>
      </c>
      <c r="M21" s="186">
        <f>'Large Use OLS Model'!$B$7*E21</f>
        <v>22529511.807024281</v>
      </c>
      <c r="N21" s="186">
        <v>0</v>
      </c>
      <c r="O21" s="186">
        <f>'Large Use OLS Model'!$B$8*G21</f>
        <v>0</v>
      </c>
      <c r="P21" s="186">
        <f>'Large Use OLS Model'!$B$9*H21</f>
        <v>0</v>
      </c>
      <c r="Q21" s="186">
        <f>'Large Use OLS Model'!$B$10*I21</f>
        <v>21377604.951162424</v>
      </c>
      <c r="R21" s="127">
        <f t="shared" ca="1" si="2"/>
        <v>28623771.808170401</v>
      </c>
    </row>
    <row r="22" spans="1:18">
      <c r="A22" s="128">
        <f>'Monthly Data'!A22</f>
        <v>40422</v>
      </c>
      <c r="B22" s="127">
        <f t="shared" si="1"/>
        <v>2010</v>
      </c>
      <c r="C22" s="127">
        <f ca="1">'Monthly Data'!AE22</f>
        <v>25632165.922669999</v>
      </c>
      <c r="D22" s="127">
        <f t="shared" ca="1" si="3"/>
        <v>83.003533834586506</v>
      </c>
      <c r="E22" s="168">
        <f>'Monthly Data'!BJ22</f>
        <v>6556</v>
      </c>
      <c r="F22" s="127">
        <f>'Monthly Data'!BM22</f>
        <v>21</v>
      </c>
      <c r="G22" s="127">
        <f>'Monthly Data'!BT22</f>
        <v>0</v>
      </c>
      <c r="H22" s="127">
        <f>'Monthly Data'!BY22</f>
        <v>0</v>
      </c>
      <c r="I22" s="127">
        <f>'Monthly Data'!CC22</f>
        <v>30</v>
      </c>
      <c r="K22" s="127">
        <f>'Large Use OLS Model'!$B$5</f>
        <v>-19707994.0131674</v>
      </c>
      <c r="L22" s="186">
        <f ca="1">'Large Use OLS Model'!$B$6*D22</f>
        <v>2193464.5990119162</v>
      </c>
      <c r="M22" s="186">
        <f>'Large Use OLS Model'!$B$7*E22</f>
        <v>22485268.37169864</v>
      </c>
      <c r="N22" s="186">
        <v>0</v>
      </c>
      <c r="O22" s="186">
        <f>'Large Use OLS Model'!$B$8*G22</f>
        <v>0</v>
      </c>
      <c r="P22" s="186">
        <f>'Large Use OLS Model'!$B$9*H22</f>
        <v>0</v>
      </c>
      <c r="Q22" s="186">
        <f>'Large Use OLS Model'!$B$10*I22</f>
        <v>20688004.791447509</v>
      </c>
      <c r="R22" s="127">
        <f t="shared" ca="1" si="2"/>
        <v>25658743.748990666</v>
      </c>
    </row>
    <row r="23" spans="1:18">
      <c r="A23" s="128">
        <f>'Monthly Data'!A23</f>
        <v>40452</v>
      </c>
      <c r="B23" s="127">
        <f t="shared" si="1"/>
        <v>2010</v>
      </c>
      <c r="C23" s="127">
        <f ca="1">'Monthly Data'!AE23</f>
        <v>22852757.804852001</v>
      </c>
      <c r="D23" s="127">
        <f t="shared" ca="1" si="3"/>
        <v>16.916090225563948</v>
      </c>
      <c r="E23" s="168">
        <f>'Monthly Data'!BJ23</f>
        <v>6551.6</v>
      </c>
      <c r="F23" s="127">
        <f>'Monthly Data'!BM23</f>
        <v>22</v>
      </c>
      <c r="G23" s="127">
        <f>'Monthly Data'!BT23</f>
        <v>0</v>
      </c>
      <c r="H23" s="127">
        <f>'Monthly Data'!BY23</f>
        <v>0</v>
      </c>
      <c r="I23" s="127">
        <f>'Monthly Data'!CC23</f>
        <v>31</v>
      </c>
      <c r="K23" s="127">
        <f>'Large Use OLS Model'!$B$5</f>
        <v>-19707994.0131674</v>
      </c>
      <c r="L23" s="186">
        <f ca="1">'Large Use OLS Model'!$B$6*D23</f>
        <v>447027.29328862514</v>
      </c>
      <c r="M23" s="186">
        <f>'Large Use OLS Model'!$B$7*E23</f>
        <v>22470177.587556563</v>
      </c>
      <c r="N23" s="186">
        <v>0</v>
      </c>
      <c r="O23" s="186">
        <f>'Large Use OLS Model'!$B$8*G23</f>
        <v>0</v>
      </c>
      <c r="P23" s="186">
        <f>'Large Use OLS Model'!$B$9*H23</f>
        <v>0</v>
      </c>
      <c r="Q23" s="186">
        <f>'Large Use OLS Model'!$B$10*I23</f>
        <v>21377604.951162424</v>
      </c>
      <c r="R23" s="127">
        <f t="shared" ca="1" si="2"/>
        <v>24586815.818840213</v>
      </c>
    </row>
    <row r="24" spans="1:18">
      <c r="A24" s="128">
        <f>'Monthly Data'!A24</f>
        <v>40483</v>
      </c>
      <c r="B24" s="127">
        <f t="shared" si="1"/>
        <v>2010</v>
      </c>
      <c r="C24" s="127">
        <f ca="1">'Monthly Data'!AE24</f>
        <v>23723679.543327</v>
      </c>
      <c r="D24" s="127">
        <f t="shared" ca="1" si="3"/>
        <v>8.120300751879661E-2</v>
      </c>
      <c r="E24" s="168">
        <f>'Monthly Data'!BJ24</f>
        <v>6555.7</v>
      </c>
      <c r="F24" s="127">
        <f>'Monthly Data'!BM24</f>
        <v>23</v>
      </c>
      <c r="G24" s="127">
        <f>'Monthly Data'!BT24</f>
        <v>0</v>
      </c>
      <c r="H24" s="127">
        <f>'Monthly Data'!BY24</f>
        <v>0</v>
      </c>
      <c r="I24" s="127">
        <f>'Monthly Data'!CC24</f>
        <v>30</v>
      </c>
      <c r="K24" s="127">
        <f>'Large Use OLS Model'!$B$5</f>
        <v>-19707994.0131674</v>
      </c>
      <c r="L24" s="186">
        <f ca="1">'Large Use OLS Model'!$B$6*D24</f>
        <v>2145.8836039527778</v>
      </c>
      <c r="M24" s="186">
        <f>'Large Use OLS Model'!$B$7*E24</f>
        <v>22484239.454598043</v>
      </c>
      <c r="N24" s="186">
        <v>0</v>
      </c>
      <c r="O24" s="186">
        <f>'Large Use OLS Model'!$B$8*G24</f>
        <v>0</v>
      </c>
      <c r="P24" s="186">
        <f>'Large Use OLS Model'!$B$9*H24</f>
        <v>0</v>
      </c>
      <c r="Q24" s="186">
        <f>'Large Use OLS Model'!$B$10*I24</f>
        <v>20688004.791447509</v>
      </c>
      <c r="R24" s="127">
        <f t="shared" ca="1" si="2"/>
        <v>23466396.116482105</v>
      </c>
    </row>
    <row r="25" spans="1:18">
      <c r="A25" s="128">
        <f>'Monthly Data'!A25</f>
        <v>40513</v>
      </c>
      <c r="B25" s="127">
        <f t="shared" si="1"/>
        <v>2010</v>
      </c>
      <c r="C25" s="127">
        <f ca="1">'Monthly Data'!AE25</f>
        <v>22899884.576402999</v>
      </c>
      <c r="D25" s="127">
        <f t="shared" ca="1" si="3"/>
        <v>0</v>
      </c>
      <c r="E25" s="168">
        <f>'Monthly Data'!BJ25</f>
        <v>6578.3</v>
      </c>
      <c r="F25" s="127">
        <f>'Monthly Data'!BM25</f>
        <v>24</v>
      </c>
      <c r="G25" s="127">
        <f>'Monthly Data'!BT25</f>
        <v>0</v>
      </c>
      <c r="H25" s="127">
        <f>'Monthly Data'!BY25</f>
        <v>1</v>
      </c>
      <c r="I25" s="127">
        <f>'Monthly Data'!CC25</f>
        <v>31</v>
      </c>
      <c r="K25" s="127">
        <f>'Large Use OLS Model'!$B$5</f>
        <v>-19707994.0131674</v>
      </c>
      <c r="L25" s="186">
        <f ca="1">'Large Use OLS Model'!$B$6*D25</f>
        <v>0</v>
      </c>
      <c r="M25" s="186">
        <f>'Large Use OLS Model'!$B$7*E25</f>
        <v>22561751.209509637</v>
      </c>
      <c r="N25" s="186">
        <v>0</v>
      </c>
      <c r="O25" s="186">
        <f>'Large Use OLS Model'!$B$8*G25</f>
        <v>0</v>
      </c>
      <c r="P25" s="186">
        <f>'Large Use OLS Model'!$B$9*H25</f>
        <v>-2219022.2541699898</v>
      </c>
      <c r="Q25" s="186">
        <f>'Large Use OLS Model'!$B$10*I25</f>
        <v>21377604.951162424</v>
      </c>
      <c r="R25" s="127">
        <f t="shared" ca="1" si="2"/>
        <v>22012339.893334672</v>
      </c>
    </row>
    <row r="26" spans="1:18">
      <c r="A26" s="128">
        <f>'Monthly Data'!A26</f>
        <v>40544</v>
      </c>
      <c r="B26" s="127">
        <f t="shared" si="1"/>
        <v>2011</v>
      </c>
      <c r="C26" s="127">
        <f ca="1">'Monthly Data'!AE26</f>
        <v>25034209.612390783</v>
      </c>
      <c r="D26" s="127">
        <f t="shared" ca="1" si="3"/>
        <v>0</v>
      </c>
      <c r="E26" s="168">
        <f>'Monthly Data'!BJ26</f>
        <v>6606.3</v>
      </c>
      <c r="F26" s="127">
        <f>'Monthly Data'!BM26</f>
        <v>25</v>
      </c>
      <c r="G26" s="127">
        <f>'Monthly Data'!BT26</f>
        <v>0</v>
      </c>
      <c r="H26" s="127">
        <f>'Monthly Data'!BY26</f>
        <v>0</v>
      </c>
      <c r="I26" s="127">
        <f>'Monthly Data'!CC26</f>
        <v>31</v>
      </c>
      <c r="K26" s="127">
        <f>'Large Use OLS Model'!$B$5</f>
        <v>-19707994.0131674</v>
      </c>
      <c r="L26" s="186">
        <f ca="1">'Large Use OLS Model'!$B$6*D26</f>
        <v>0</v>
      </c>
      <c r="M26" s="186">
        <f>'Large Use OLS Model'!$B$7*E26</f>
        <v>22657783.472231962</v>
      </c>
      <c r="N26" s="186">
        <v>0</v>
      </c>
      <c r="O26" s="186">
        <f>'Large Use OLS Model'!$B$8*G26</f>
        <v>0</v>
      </c>
      <c r="P26" s="186">
        <f>'Large Use OLS Model'!$B$9*H26</f>
        <v>0</v>
      </c>
      <c r="Q26" s="186">
        <f>'Large Use OLS Model'!$B$10*I26</f>
        <v>21377604.951162424</v>
      </c>
      <c r="R26" s="127">
        <f t="shared" ca="1" si="2"/>
        <v>24327394.410226986</v>
      </c>
    </row>
    <row r="27" spans="1:18">
      <c r="A27" s="128">
        <f>'Monthly Data'!A27</f>
        <v>40575</v>
      </c>
      <c r="B27" s="127">
        <f t="shared" si="1"/>
        <v>2011</v>
      </c>
      <c r="C27" s="127">
        <f ca="1">'Monthly Data'!AE27</f>
        <v>23164195.346903782</v>
      </c>
      <c r="D27" s="127">
        <f t="shared" ca="1" si="3"/>
        <v>0</v>
      </c>
      <c r="E27" s="168">
        <f>'Monthly Data'!BJ27</f>
        <v>6619.5</v>
      </c>
      <c r="F27" s="127">
        <f>'Monthly Data'!BM27</f>
        <v>26</v>
      </c>
      <c r="G27" s="127">
        <f>'Monthly Data'!BT27</f>
        <v>0</v>
      </c>
      <c r="H27" s="127">
        <f>'Monthly Data'!BY27</f>
        <v>0</v>
      </c>
      <c r="I27" s="127">
        <f>'Monthly Data'!CC27</f>
        <v>28</v>
      </c>
      <c r="K27" s="127">
        <f>'Large Use OLS Model'!$B$5</f>
        <v>-19707994.0131674</v>
      </c>
      <c r="L27" s="186">
        <f ca="1">'Large Use OLS Model'!$B$6*D27</f>
        <v>0</v>
      </c>
      <c r="M27" s="186">
        <f>'Large Use OLS Model'!$B$7*E27</f>
        <v>22703055.8246582</v>
      </c>
      <c r="N27" s="186">
        <v>0</v>
      </c>
      <c r="O27" s="186">
        <f>'Large Use OLS Model'!$B$8*G27</f>
        <v>0</v>
      </c>
      <c r="P27" s="186">
        <f>'Large Use OLS Model'!$B$9*H27</f>
        <v>0</v>
      </c>
      <c r="Q27" s="186">
        <f>'Large Use OLS Model'!$B$10*I27</f>
        <v>19308804.472017676</v>
      </c>
      <c r="R27" s="127">
        <f t="shared" ca="1" si="2"/>
        <v>22303866.283508476</v>
      </c>
    </row>
    <row r="28" spans="1:18">
      <c r="A28" s="128">
        <f>'Monthly Data'!A28</f>
        <v>40603</v>
      </c>
      <c r="B28" s="127">
        <f t="shared" si="1"/>
        <v>2011</v>
      </c>
      <c r="C28" s="127">
        <f ca="1">'Monthly Data'!AE28</f>
        <v>26459090.230250776</v>
      </c>
      <c r="D28" s="127">
        <f t="shared" ca="1" si="3"/>
        <v>0.45218045112781802</v>
      </c>
      <c r="E28" s="168">
        <f>'Monthly Data'!BJ28</f>
        <v>6628.6</v>
      </c>
      <c r="F28" s="127">
        <f>'Monthly Data'!BM28</f>
        <v>27</v>
      </c>
      <c r="G28" s="127">
        <f>'Monthly Data'!BT28</f>
        <v>0</v>
      </c>
      <c r="H28" s="127">
        <f>'Monthly Data'!BY28</f>
        <v>0</v>
      </c>
      <c r="I28" s="127">
        <f>'Monthly Data'!CC28</f>
        <v>31</v>
      </c>
      <c r="K28" s="127">
        <f>'Large Use OLS Model'!$B$5</f>
        <v>-19707994.0131674</v>
      </c>
      <c r="L28" s="186">
        <f ca="1">'Large Use OLS Model'!$B$6*D28</f>
        <v>11949.392587196318</v>
      </c>
      <c r="M28" s="186">
        <f>'Large Use OLS Model'!$B$7*E28</f>
        <v>22734266.310042955</v>
      </c>
      <c r="N28" s="186">
        <v>0</v>
      </c>
      <c r="O28" s="186">
        <f>'Large Use OLS Model'!$B$8*G28</f>
        <v>0</v>
      </c>
      <c r="P28" s="186">
        <f>'Large Use OLS Model'!$B$9*H28</f>
        <v>0</v>
      </c>
      <c r="Q28" s="186">
        <f>'Large Use OLS Model'!$B$10*I28</f>
        <v>21377604.951162424</v>
      </c>
      <c r="R28" s="127">
        <f t="shared" ca="1" si="2"/>
        <v>24415826.640625175</v>
      </c>
    </row>
    <row r="29" spans="1:18">
      <c r="A29" s="128">
        <f>'Monthly Data'!A29</f>
        <v>40634</v>
      </c>
      <c r="B29" s="127">
        <f t="shared" si="1"/>
        <v>2011</v>
      </c>
      <c r="C29" s="127">
        <f ca="1">'Monthly Data'!AE29</f>
        <v>25022567.66299478</v>
      </c>
      <c r="D29" s="127">
        <f t="shared" ca="1" si="3"/>
        <v>0.50947368421054762</v>
      </c>
      <c r="E29" s="168">
        <f>'Monthly Data'!BJ29</f>
        <v>6635.5</v>
      </c>
      <c r="F29" s="127">
        <f>'Monthly Data'!BM29</f>
        <v>28</v>
      </c>
      <c r="G29" s="127">
        <f>'Monthly Data'!BT29</f>
        <v>0</v>
      </c>
      <c r="H29" s="127">
        <f>'Monthly Data'!BY29</f>
        <v>0</v>
      </c>
      <c r="I29" s="127">
        <f>'Monthly Data'!CC29</f>
        <v>30</v>
      </c>
      <c r="K29" s="127">
        <f>'Large Use OLS Model'!$B$5</f>
        <v>-19707994.0131674</v>
      </c>
      <c r="L29" s="186">
        <f ca="1">'Large Use OLS Model'!$B$6*D29</f>
        <v>13463.432685541387</v>
      </c>
      <c r="M29" s="186">
        <f>'Large Use OLS Model'!$B$7*E29</f>
        <v>22757931.403356671</v>
      </c>
      <c r="N29" s="186">
        <v>0</v>
      </c>
      <c r="O29" s="186">
        <f>'Large Use OLS Model'!$B$8*G29</f>
        <v>0</v>
      </c>
      <c r="P29" s="186">
        <f>'Large Use OLS Model'!$B$9*H29</f>
        <v>0</v>
      </c>
      <c r="Q29" s="186">
        <f>'Large Use OLS Model'!$B$10*I29</f>
        <v>20688004.791447509</v>
      </c>
      <c r="R29" s="127">
        <f t="shared" ca="1" si="2"/>
        <v>23751405.614322323</v>
      </c>
    </row>
    <row r="30" spans="1:18">
      <c r="A30" s="128">
        <f>'Monthly Data'!A30</f>
        <v>40664</v>
      </c>
      <c r="B30" s="127">
        <f t="shared" si="1"/>
        <v>2011</v>
      </c>
      <c r="C30" s="127">
        <f ca="1">'Monthly Data'!AE30</f>
        <v>26704085.36537778</v>
      </c>
      <c r="D30" s="127">
        <f t="shared" ca="1" si="3"/>
        <v>56.062781954887214</v>
      </c>
      <c r="E30" s="168">
        <f>'Monthly Data'!BJ30</f>
        <v>6645.8</v>
      </c>
      <c r="F30" s="127">
        <f>'Monthly Data'!BM30</f>
        <v>29</v>
      </c>
      <c r="G30" s="127">
        <f>'Monthly Data'!BT30</f>
        <v>0</v>
      </c>
      <c r="H30" s="127">
        <f>'Monthly Data'!BY30</f>
        <v>0</v>
      </c>
      <c r="I30" s="127">
        <f>'Monthly Data'!CC30</f>
        <v>31</v>
      </c>
      <c r="K30" s="127">
        <f>'Large Use OLS Model'!$B$5</f>
        <v>-19707994.0131674</v>
      </c>
      <c r="L30" s="186">
        <f ca="1">'Large Use OLS Model'!$B$6*D30</f>
        <v>1481524.0009567935</v>
      </c>
      <c r="M30" s="186">
        <f>'Large Use OLS Model'!$B$7*E30</f>
        <v>22793257.557143811</v>
      </c>
      <c r="N30" s="186">
        <v>0</v>
      </c>
      <c r="O30" s="186">
        <f>'Large Use OLS Model'!$B$8*G30</f>
        <v>0</v>
      </c>
      <c r="P30" s="186">
        <f>'Large Use OLS Model'!$B$9*H30</f>
        <v>0</v>
      </c>
      <c r="Q30" s="186">
        <f>'Large Use OLS Model'!$B$10*I30</f>
        <v>21377604.951162424</v>
      </c>
      <c r="R30" s="127">
        <f t="shared" ca="1" si="2"/>
        <v>25944392.496095628</v>
      </c>
    </row>
    <row r="31" spans="1:18">
      <c r="A31" s="128">
        <f>'Monthly Data'!A31</f>
        <v>40695</v>
      </c>
      <c r="B31" s="127">
        <f t="shared" si="1"/>
        <v>2011</v>
      </c>
      <c r="C31" s="127">
        <f ca="1">'Monthly Data'!AE31</f>
        <v>28111785.629975785</v>
      </c>
      <c r="D31" s="127">
        <f t="shared" ca="1" si="3"/>
        <v>116.89315789473682</v>
      </c>
      <c r="E31" s="168">
        <f>'Monthly Data'!BJ31</f>
        <v>6662</v>
      </c>
      <c r="F31" s="127">
        <f>'Monthly Data'!BM31</f>
        <v>30</v>
      </c>
      <c r="G31" s="127">
        <f>'Monthly Data'!BT31</f>
        <v>0</v>
      </c>
      <c r="H31" s="127">
        <f>'Monthly Data'!BY31</f>
        <v>0</v>
      </c>
      <c r="I31" s="127">
        <f>'Monthly Data'!CC31</f>
        <v>30</v>
      </c>
      <c r="K31" s="127">
        <f>'Large Use OLS Model'!$B$5</f>
        <v>-19707994.0131674</v>
      </c>
      <c r="L31" s="186">
        <f ca="1">'Large Use OLS Model'!$B$6*D31</f>
        <v>3089037.1995460331</v>
      </c>
      <c r="M31" s="186">
        <f>'Large Use OLS Model'!$B$7*E31</f>
        <v>22848819.080576014</v>
      </c>
      <c r="N31" s="186">
        <v>0</v>
      </c>
      <c r="O31" s="186">
        <f>'Large Use OLS Model'!$B$8*G31</f>
        <v>0</v>
      </c>
      <c r="P31" s="186">
        <f>'Large Use OLS Model'!$B$9*H31</f>
        <v>0</v>
      </c>
      <c r="Q31" s="186">
        <f>'Large Use OLS Model'!$B$10*I31</f>
        <v>20688004.791447509</v>
      </c>
      <c r="R31" s="127">
        <f t="shared" ca="1" si="2"/>
        <v>26917867.058402158</v>
      </c>
    </row>
    <row r="32" spans="1:18">
      <c r="A32" s="128">
        <f>'Monthly Data'!A32</f>
        <v>40725</v>
      </c>
      <c r="B32" s="127">
        <f t="shared" si="1"/>
        <v>2011</v>
      </c>
      <c r="C32" s="127">
        <f ca="1">'Monthly Data'!AE32</f>
        <v>30190116.641824778</v>
      </c>
      <c r="D32" s="127">
        <f t="shared" ca="1" si="3"/>
        <v>186.96526315789481</v>
      </c>
      <c r="E32" s="168">
        <f>'Monthly Data'!BJ32</f>
        <v>6665.8</v>
      </c>
      <c r="F32" s="127">
        <f>'Monthly Data'!BM32</f>
        <v>31</v>
      </c>
      <c r="G32" s="127">
        <f>'Monthly Data'!BT32</f>
        <v>1</v>
      </c>
      <c r="H32" s="127">
        <f>'Monthly Data'!BY32</f>
        <v>0</v>
      </c>
      <c r="I32" s="127">
        <f>'Monthly Data'!CC32</f>
        <v>31</v>
      </c>
      <c r="K32" s="127">
        <f>'Large Use OLS Model'!$B$5</f>
        <v>-19707994.0131674</v>
      </c>
      <c r="L32" s="186">
        <f ca="1">'Large Use OLS Model'!$B$6*D32</f>
        <v>4940773.8084869953</v>
      </c>
      <c r="M32" s="186">
        <f>'Large Use OLS Model'!$B$7*E32</f>
        <v>22861852.0305169</v>
      </c>
      <c r="N32" s="186">
        <v>0</v>
      </c>
      <c r="O32" s="186">
        <f>'Large Use OLS Model'!$B$8*G32</f>
        <v>-1563237.6990636101</v>
      </c>
      <c r="P32" s="186">
        <f>'Large Use OLS Model'!$B$9*H32</f>
        <v>0</v>
      </c>
      <c r="Q32" s="186">
        <f>'Large Use OLS Model'!$B$10*I32</f>
        <v>21377604.951162424</v>
      </c>
      <c r="R32" s="127">
        <f t="shared" ca="1" si="2"/>
        <v>27908999.077935308</v>
      </c>
    </row>
    <row r="33" spans="1:18">
      <c r="A33" s="128">
        <f>'Monthly Data'!A33</f>
        <v>40756</v>
      </c>
      <c r="B33" s="127">
        <f t="shared" si="1"/>
        <v>2011</v>
      </c>
      <c r="C33" s="127">
        <f ca="1">'Monthly Data'!AE33</f>
        <v>30861622.659266785</v>
      </c>
      <c r="D33" s="127">
        <f t="shared" ca="1" si="3"/>
        <v>167.43443609022574</v>
      </c>
      <c r="E33" s="168">
        <f>'Monthly Data'!BJ33</f>
        <v>6677.5</v>
      </c>
      <c r="F33" s="127">
        <f>'Monthly Data'!BM33</f>
        <v>32</v>
      </c>
      <c r="G33" s="127">
        <f>'Monthly Data'!BT33</f>
        <v>0</v>
      </c>
      <c r="H33" s="127">
        <f>'Monthly Data'!BY33</f>
        <v>0</v>
      </c>
      <c r="I33" s="127">
        <f>'Monthly Data'!CC33</f>
        <v>31</v>
      </c>
      <c r="K33" s="127">
        <f>'Large Use OLS Model'!$B$5</f>
        <v>-19707994.0131674</v>
      </c>
      <c r="L33" s="186">
        <f ca="1">'Large Use OLS Model'!$B$6*D33</f>
        <v>4424649.0631510941</v>
      </c>
      <c r="M33" s="186">
        <f>'Large Use OLS Model'!$B$7*E33</f>
        <v>22901979.797440156</v>
      </c>
      <c r="N33" s="186">
        <v>0</v>
      </c>
      <c r="O33" s="186">
        <f>'Large Use OLS Model'!$B$8*G33</f>
        <v>0</v>
      </c>
      <c r="P33" s="186">
        <f>'Large Use OLS Model'!$B$9*H33</f>
        <v>0</v>
      </c>
      <c r="Q33" s="186">
        <f>'Large Use OLS Model'!$B$10*I33</f>
        <v>21377604.951162424</v>
      </c>
      <c r="R33" s="127">
        <f t="shared" ca="1" si="2"/>
        <v>28996239.798586275</v>
      </c>
    </row>
    <row r="34" spans="1:18">
      <c r="A34" s="128">
        <f>'Monthly Data'!A34</f>
        <v>40787</v>
      </c>
      <c r="B34" s="127">
        <f t="shared" si="1"/>
        <v>2011</v>
      </c>
      <c r="C34" s="127">
        <f ca="1">'Monthly Data'!AE34</f>
        <v>28060858.582085781</v>
      </c>
      <c r="D34" s="127">
        <f t="shared" ca="1" si="3"/>
        <v>83.003533834586506</v>
      </c>
      <c r="E34" s="168">
        <f>'Monthly Data'!BJ34</f>
        <v>6674.4</v>
      </c>
      <c r="F34" s="127">
        <f>'Monthly Data'!BM34</f>
        <v>33</v>
      </c>
      <c r="G34" s="127">
        <f>'Monthly Data'!BT34</f>
        <v>0</v>
      </c>
      <c r="H34" s="127">
        <f>'Monthly Data'!BY34</f>
        <v>0</v>
      </c>
      <c r="I34" s="127">
        <f>'Monthly Data'!CC34</f>
        <v>30</v>
      </c>
      <c r="K34" s="127">
        <f>'Large Use OLS Model'!$B$5</f>
        <v>-19707994.0131674</v>
      </c>
      <c r="L34" s="186">
        <f ca="1">'Large Use OLS Model'!$B$6*D34</f>
        <v>2193464.5990119162</v>
      </c>
      <c r="M34" s="186">
        <f>'Large Use OLS Model'!$B$7*E34</f>
        <v>22891347.654067326</v>
      </c>
      <c r="N34" s="186">
        <v>0</v>
      </c>
      <c r="O34" s="186">
        <f>'Large Use OLS Model'!$B$8*G34</f>
        <v>0</v>
      </c>
      <c r="P34" s="186">
        <f>'Large Use OLS Model'!$B$9*H34</f>
        <v>0</v>
      </c>
      <c r="Q34" s="186">
        <f>'Large Use OLS Model'!$B$10*I34</f>
        <v>20688004.791447509</v>
      </c>
      <c r="R34" s="127">
        <f t="shared" ca="1" si="2"/>
        <v>26064823.031359352</v>
      </c>
    </row>
    <row r="35" spans="1:18">
      <c r="A35" s="128">
        <f>'Monthly Data'!A35</f>
        <v>40817</v>
      </c>
      <c r="B35" s="127">
        <f t="shared" si="1"/>
        <v>2011</v>
      </c>
      <c r="C35" s="127">
        <f ca="1">'Monthly Data'!AE35</f>
        <v>27577133.736433782</v>
      </c>
      <c r="D35" s="127">
        <f t="shared" ca="1" si="3"/>
        <v>16.916090225563948</v>
      </c>
      <c r="E35" s="168">
        <f>'Monthly Data'!BJ35</f>
        <v>6668.1</v>
      </c>
      <c r="F35" s="127">
        <f>'Monthly Data'!BM35</f>
        <v>34</v>
      </c>
      <c r="G35" s="127">
        <f>'Monthly Data'!BT35</f>
        <v>0</v>
      </c>
      <c r="H35" s="127">
        <f>'Monthly Data'!BY35</f>
        <v>0</v>
      </c>
      <c r="I35" s="127">
        <f>'Monthly Data'!CC35</f>
        <v>31</v>
      </c>
      <c r="K35" s="127">
        <f>'Large Use OLS Model'!$B$5</f>
        <v>-19707994.0131674</v>
      </c>
      <c r="L35" s="186">
        <f ca="1">'Large Use OLS Model'!$B$6*D35</f>
        <v>447027.29328862514</v>
      </c>
      <c r="M35" s="186">
        <f>'Large Use OLS Model'!$B$7*E35</f>
        <v>22869740.394954808</v>
      </c>
      <c r="N35" s="186">
        <v>0</v>
      </c>
      <c r="O35" s="186">
        <f>'Large Use OLS Model'!$B$8*G35</f>
        <v>0</v>
      </c>
      <c r="P35" s="186">
        <f>'Large Use OLS Model'!$B$9*H35</f>
        <v>0</v>
      </c>
      <c r="Q35" s="186">
        <f>'Large Use OLS Model'!$B$10*I35</f>
        <v>21377604.951162424</v>
      </c>
      <c r="R35" s="127">
        <f t="shared" ca="1" si="2"/>
        <v>24986378.626238458</v>
      </c>
    </row>
    <row r="36" spans="1:18">
      <c r="A36" s="128">
        <f>'Monthly Data'!A36</f>
        <v>40848</v>
      </c>
      <c r="B36" s="127">
        <f t="shared" si="1"/>
        <v>2011</v>
      </c>
      <c r="C36" s="127">
        <f ca="1">'Monthly Data'!AE36</f>
        <v>25509610.906105783</v>
      </c>
      <c r="D36" s="127">
        <f t="shared" ca="1" si="3"/>
        <v>8.120300751879661E-2</v>
      </c>
      <c r="E36" s="168">
        <f>'Monthly Data'!BJ36</f>
        <v>6662.8</v>
      </c>
      <c r="F36" s="127">
        <f>'Monthly Data'!BM36</f>
        <v>35</v>
      </c>
      <c r="G36" s="127">
        <f>'Monthly Data'!BT36</f>
        <v>0</v>
      </c>
      <c r="H36" s="127">
        <f>'Monthly Data'!BY36</f>
        <v>0</v>
      </c>
      <c r="I36" s="127">
        <f>'Monthly Data'!CC36</f>
        <v>30</v>
      </c>
      <c r="K36" s="127">
        <f>'Large Use OLS Model'!$B$5</f>
        <v>-19707994.0131674</v>
      </c>
      <c r="L36" s="186">
        <f ca="1">'Large Use OLS Model'!$B$6*D36</f>
        <v>2145.8836039527778</v>
      </c>
      <c r="M36" s="186">
        <f>'Large Use OLS Model'!$B$7*E36</f>
        <v>22851562.85951094</v>
      </c>
      <c r="N36" s="186">
        <v>0</v>
      </c>
      <c r="O36" s="186">
        <f>'Large Use OLS Model'!$B$8*G36</f>
        <v>0</v>
      </c>
      <c r="P36" s="186">
        <f>'Large Use OLS Model'!$B$9*H36</f>
        <v>0</v>
      </c>
      <c r="Q36" s="186">
        <f>'Large Use OLS Model'!$B$10*I36</f>
        <v>20688004.791447509</v>
      </c>
      <c r="R36" s="127">
        <f t="shared" ca="1" si="2"/>
        <v>23833719.521395002</v>
      </c>
    </row>
    <row r="37" spans="1:18">
      <c r="A37" s="128">
        <f>'Monthly Data'!A37</f>
        <v>40878</v>
      </c>
      <c r="B37" s="127">
        <f t="shared" si="1"/>
        <v>2011</v>
      </c>
      <c r="C37" s="127">
        <f ca="1">'Monthly Data'!AE37</f>
        <v>24520015.174318783</v>
      </c>
      <c r="D37" s="127">
        <f t="shared" ca="1" si="3"/>
        <v>0</v>
      </c>
      <c r="E37" s="168">
        <f>'Monthly Data'!BJ37</f>
        <v>6667.5</v>
      </c>
      <c r="F37" s="127">
        <f>'Monthly Data'!BM37</f>
        <v>36</v>
      </c>
      <c r="G37" s="127">
        <f>'Monthly Data'!BT37</f>
        <v>0</v>
      </c>
      <c r="H37" s="127">
        <f>'Monthly Data'!BY37</f>
        <v>1</v>
      </c>
      <c r="I37" s="127">
        <f>'Monthly Data'!CC37</f>
        <v>31</v>
      </c>
      <c r="K37" s="127">
        <f>'Large Use OLS Model'!$B$5</f>
        <v>-19707994.0131674</v>
      </c>
      <c r="L37" s="186">
        <f ca="1">'Large Use OLS Model'!$B$6*D37</f>
        <v>0</v>
      </c>
      <c r="M37" s="186">
        <f>'Large Use OLS Model'!$B$7*E37</f>
        <v>22867682.560753614</v>
      </c>
      <c r="N37" s="186">
        <v>0</v>
      </c>
      <c r="O37" s="186">
        <f>'Large Use OLS Model'!$B$8*G37</f>
        <v>0</v>
      </c>
      <c r="P37" s="186">
        <f>'Large Use OLS Model'!$B$9*H37</f>
        <v>-2219022.2541699898</v>
      </c>
      <c r="Q37" s="186">
        <f>'Large Use OLS Model'!$B$10*I37</f>
        <v>21377604.951162424</v>
      </c>
      <c r="R37" s="127">
        <f t="shared" ca="1" si="2"/>
        <v>22318271.244578648</v>
      </c>
    </row>
    <row r="38" spans="1:18">
      <c r="A38" s="128">
        <f>'Monthly Data'!A38</f>
        <v>40909</v>
      </c>
      <c r="B38" s="127">
        <f t="shared" si="1"/>
        <v>2012</v>
      </c>
      <c r="C38" s="127">
        <f ca="1">'Monthly Data'!AE38</f>
        <v>24619746.910415377</v>
      </c>
      <c r="D38" s="127">
        <f t="shared" ca="1" si="3"/>
        <v>0</v>
      </c>
      <c r="E38" s="168">
        <f>'Monthly Data'!BJ38</f>
        <v>6673.6</v>
      </c>
      <c r="F38" s="127">
        <f>'Monthly Data'!BM38</f>
        <v>37</v>
      </c>
      <c r="G38" s="127">
        <f>'Monthly Data'!BT38</f>
        <v>0</v>
      </c>
      <c r="H38" s="127">
        <f>'Monthly Data'!BY38</f>
        <v>0</v>
      </c>
      <c r="I38" s="127">
        <f>'Monthly Data'!CC38</f>
        <v>31</v>
      </c>
      <c r="K38" s="127">
        <f>'Large Use OLS Model'!$B$5</f>
        <v>-19707994.0131674</v>
      </c>
      <c r="L38" s="186">
        <f ca="1">'Large Use OLS Model'!$B$6*D38</f>
        <v>0</v>
      </c>
      <c r="M38" s="186">
        <f>'Large Use OLS Model'!$B$7*E38</f>
        <v>22888603.875132408</v>
      </c>
      <c r="N38" s="186">
        <v>0</v>
      </c>
      <c r="O38" s="186">
        <f>'Large Use OLS Model'!$B$8*G38</f>
        <v>0</v>
      </c>
      <c r="P38" s="186">
        <f>'Large Use OLS Model'!$B$9*H38</f>
        <v>0</v>
      </c>
      <c r="Q38" s="186">
        <f>'Large Use OLS Model'!$B$10*I38</f>
        <v>21377604.951162424</v>
      </c>
      <c r="R38" s="127">
        <f t="shared" ca="1" si="2"/>
        <v>24558214.813127432</v>
      </c>
    </row>
    <row r="39" spans="1:18">
      <c r="A39" s="128">
        <f>'Monthly Data'!A39</f>
        <v>40940</v>
      </c>
      <c r="B39" s="127">
        <f t="shared" si="1"/>
        <v>2012</v>
      </c>
      <c r="C39" s="127">
        <f ca="1">'Monthly Data'!AE39</f>
        <v>23358346.485932376</v>
      </c>
      <c r="D39" s="127">
        <f t="shared" ca="1" si="3"/>
        <v>0</v>
      </c>
      <c r="E39" s="168">
        <f>'Monthly Data'!BJ39</f>
        <v>6670.7</v>
      </c>
      <c r="F39" s="127">
        <f>'Monthly Data'!BM39</f>
        <v>38</v>
      </c>
      <c r="G39" s="127">
        <f>'Monthly Data'!BT39</f>
        <v>0</v>
      </c>
      <c r="H39" s="127">
        <f>'Monthly Data'!BY39</f>
        <v>0</v>
      </c>
      <c r="I39" s="127">
        <f>'Monthly Data'!CC39</f>
        <v>29</v>
      </c>
      <c r="K39" s="127">
        <f>'Large Use OLS Model'!$B$5</f>
        <v>-19707994.0131674</v>
      </c>
      <c r="L39" s="186">
        <f ca="1">'Large Use OLS Model'!$B$6*D39</f>
        <v>0</v>
      </c>
      <c r="M39" s="186">
        <f>'Large Use OLS Model'!$B$7*E39</f>
        <v>22878657.676493306</v>
      </c>
      <c r="N39" s="186">
        <v>0</v>
      </c>
      <c r="O39" s="186">
        <f>'Large Use OLS Model'!$B$8*G39</f>
        <v>0</v>
      </c>
      <c r="P39" s="186">
        <f>'Large Use OLS Model'!$B$9*H39</f>
        <v>0</v>
      </c>
      <c r="Q39" s="186">
        <f>'Large Use OLS Model'!$B$10*I39</f>
        <v>19998404.63173259</v>
      </c>
      <c r="R39" s="127">
        <f t="shared" ca="1" si="2"/>
        <v>23169068.295058496</v>
      </c>
    </row>
    <row r="40" spans="1:18">
      <c r="A40" s="128">
        <f>'Monthly Data'!A40</f>
        <v>40969</v>
      </c>
      <c r="B40" s="127">
        <f t="shared" si="1"/>
        <v>2012</v>
      </c>
      <c r="C40" s="127">
        <f ca="1">'Monthly Data'!AE40</f>
        <v>25697582.403648376</v>
      </c>
      <c r="D40" s="127">
        <f t="shared" ca="1" si="3"/>
        <v>0.45218045112781802</v>
      </c>
      <c r="E40" s="168">
        <f>'Monthly Data'!BJ40</f>
        <v>6674</v>
      </c>
      <c r="F40" s="127">
        <f>'Monthly Data'!BM40</f>
        <v>39</v>
      </c>
      <c r="G40" s="127">
        <f>'Monthly Data'!BT40</f>
        <v>0</v>
      </c>
      <c r="H40" s="127">
        <f>'Monthly Data'!BY40</f>
        <v>0</v>
      </c>
      <c r="I40" s="127">
        <f>'Monthly Data'!CC40</f>
        <v>31</v>
      </c>
      <c r="K40" s="127">
        <f>'Large Use OLS Model'!$B$5</f>
        <v>-19707994.0131674</v>
      </c>
      <c r="L40" s="186">
        <f ca="1">'Large Use OLS Model'!$B$6*D40</f>
        <v>11949.392587196318</v>
      </c>
      <c r="M40" s="186">
        <f>'Large Use OLS Model'!$B$7*E40</f>
        <v>22889975.764599867</v>
      </c>
      <c r="N40" s="186">
        <v>0</v>
      </c>
      <c r="O40" s="186">
        <f>'Large Use OLS Model'!$B$8*G40</f>
        <v>0</v>
      </c>
      <c r="P40" s="186">
        <f>'Large Use OLS Model'!$B$9*H40</f>
        <v>0</v>
      </c>
      <c r="Q40" s="186">
        <f>'Large Use OLS Model'!$B$10*I40</f>
        <v>21377604.951162424</v>
      </c>
      <c r="R40" s="127">
        <f t="shared" ca="1" si="2"/>
        <v>24571536.095182087</v>
      </c>
    </row>
    <row r="41" spans="1:18">
      <c r="A41" s="128">
        <f>'Monthly Data'!A41</f>
        <v>41000</v>
      </c>
      <c r="B41" s="127">
        <f t="shared" si="1"/>
        <v>2012</v>
      </c>
      <c r="C41" s="127">
        <f ca="1">'Monthly Data'!AE41</f>
        <v>22724090.569431376</v>
      </c>
      <c r="D41" s="127">
        <f t="shared" ca="1" si="3"/>
        <v>0.50947368421054762</v>
      </c>
      <c r="E41" s="168">
        <f>'Monthly Data'!BJ41</f>
        <v>6685.8</v>
      </c>
      <c r="F41" s="127">
        <f>'Monthly Data'!BM41</f>
        <v>40</v>
      </c>
      <c r="G41" s="127">
        <f>'Monthly Data'!BT41</f>
        <v>0</v>
      </c>
      <c r="H41" s="127">
        <f>'Monthly Data'!BY41</f>
        <v>0</v>
      </c>
      <c r="I41" s="127">
        <f>'Monthly Data'!CC41</f>
        <v>30</v>
      </c>
      <c r="K41" s="127">
        <f>'Large Use OLS Model'!$B$5</f>
        <v>-19707994.0131674</v>
      </c>
      <c r="L41" s="186">
        <f ca="1">'Large Use OLS Model'!$B$6*D41</f>
        <v>13463.432685541387</v>
      </c>
      <c r="M41" s="186">
        <f>'Large Use OLS Model'!$B$7*E41</f>
        <v>22930446.503889989</v>
      </c>
      <c r="N41" s="186">
        <v>0</v>
      </c>
      <c r="O41" s="186">
        <f>'Large Use OLS Model'!$B$8*G41</f>
        <v>0</v>
      </c>
      <c r="P41" s="186">
        <f>'Large Use OLS Model'!$B$9*H41</f>
        <v>0</v>
      </c>
      <c r="Q41" s="186">
        <f>'Large Use OLS Model'!$B$10*I41</f>
        <v>20688004.791447509</v>
      </c>
      <c r="R41" s="127">
        <f t="shared" ca="1" si="2"/>
        <v>23923920.714855641</v>
      </c>
    </row>
    <row r="42" spans="1:18">
      <c r="A42" s="128">
        <f>'Monthly Data'!A42</f>
        <v>41030</v>
      </c>
      <c r="B42" s="127">
        <f t="shared" si="1"/>
        <v>2012</v>
      </c>
      <c r="C42" s="127">
        <f ca="1">'Monthly Data'!AE42</f>
        <v>26147718.708103377</v>
      </c>
      <c r="D42" s="127">
        <f t="shared" ca="1" si="3"/>
        <v>56.062781954887214</v>
      </c>
      <c r="E42" s="168">
        <f>'Monthly Data'!BJ42</f>
        <v>6690.1</v>
      </c>
      <c r="F42" s="127">
        <f>'Monthly Data'!BM42</f>
        <v>41</v>
      </c>
      <c r="G42" s="127">
        <f>'Monthly Data'!BT42</f>
        <v>0</v>
      </c>
      <c r="H42" s="127">
        <f>'Monthly Data'!BY42</f>
        <v>0</v>
      </c>
      <c r="I42" s="127">
        <f>'Monthly Data'!CC42</f>
        <v>31</v>
      </c>
      <c r="K42" s="127">
        <f>'Large Use OLS Model'!$B$5</f>
        <v>-19707994.0131674</v>
      </c>
      <c r="L42" s="186">
        <f ca="1">'Large Use OLS Model'!$B$6*D42</f>
        <v>1481524.0009567935</v>
      </c>
      <c r="M42" s="186">
        <f>'Large Use OLS Model'!$B$7*E42</f>
        <v>22945194.315665204</v>
      </c>
      <c r="N42" s="186">
        <v>0</v>
      </c>
      <c r="O42" s="186">
        <f>'Large Use OLS Model'!$B$8*G42</f>
        <v>0</v>
      </c>
      <c r="P42" s="186">
        <f>'Large Use OLS Model'!$B$9*H42</f>
        <v>0</v>
      </c>
      <c r="Q42" s="186">
        <f>'Large Use OLS Model'!$B$10*I42</f>
        <v>21377604.951162424</v>
      </c>
      <c r="R42" s="127">
        <f t="shared" ca="1" si="2"/>
        <v>26096329.25461702</v>
      </c>
    </row>
    <row r="43" spans="1:18">
      <c r="A43" s="128">
        <f>'Monthly Data'!A43</f>
        <v>41061</v>
      </c>
      <c r="B43" s="127">
        <f t="shared" si="1"/>
        <v>2012</v>
      </c>
      <c r="C43" s="127">
        <f ca="1">'Monthly Data'!AE43</f>
        <v>27110911.66941338</v>
      </c>
      <c r="D43" s="127">
        <f t="shared" ca="1" si="3"/>
        <v>116.89315789473682</v>
      </c>
      <c r="E43" s="168">
        <f>'Monthly Data'!BJ43</f>
        <v>6693.3</v>
      </c>
      <c r="F43" s="127">
        <f>'Monthly Data'!BM43</f>
        <v>42</v>
      </c>
      <c r="G43" s="127">
        <f>'Monthly Data'!BT43</f>
        <v>0</v>
      </c>
      <c r="H43" s="127">
        <f>'Monthly Data'!BY43</f>
        <v>0</v>
      </c>
      <c r="I43" s="127">
        <f>'Monthly Data'!CC43</f>
        <v>30</v>
      </c>
      <c r="K43" s="127">
        <f>'Large Use OLS Model'!$B$5</f>
        <v>-19707994.0131674</v>
      </c>
      <c r="L43" s="186">
        <f ca="1">'Large Use OLS Model'!$B$6*D43</f>
        <v>3089037.1995460331</v>
      </c>
      <c r="M43" s="186">
        <f>'Large Use OLS Model'!$B$7*E43</f>
        <v>22956169.4314049</v>
      </c>
      <c r="N43" s="186">
        <v>0</v>
      </c>
      <c r="O43" s="186">
        <f>'Large Use OLS Model'!$B$8*G43</f>
        <v>0</v>
      </c>
      <c r="P43" s="186">
        <f>'Large Use OLS Model'!$B$9*H43</f>
        <v>0</v>
      </c>
      <c r="Q43" s="186">
        <f>'Large Use OLS Model'!$B$10*I43</f>
        <v>20688004.791447509</v>
      </c>
      <c r="R43" s="127">
        <f t="shared" ca="1" si="2"/>
        <v>27025217.409231044</v>
      </c>
    </row>
    <row r="44" spans="1:18">
      <c r="A44" s="128">
        <f>'Monthly Data'!A44</f>
        <v>41091</v>
      </c>
      <c r="B44" s="127">
        <f t="shared" si="1"/>
        <v>2012</v>
      </c>
      <c r="C44" s="127">
        <f ca="1">'Monthly Data'!AE44</f>
        <v>28651532.946666375</v>
      </c>
      <c r="D44" s="127">
        <f t="shared" ca="1" si="3"/>
        <v>186.96526315789481</v>
      </c>
      <c r="E44" s="168">
        <f>'Monthly Data'!BJ44</f>
        <v>6694.6</v>
      </c>
      <c r="F44" s="127">
        <f>'Monthly Data'!BM44</f>
        <v>43</v>
      </c>
      <c r="G44" s="127">
        <f>'Monthly Data'!BT44</f>
        <v>1</v>
      </c>
      <c r="H44" s="127">
        <f>'Monthly Data'!BY44</f>
        <v>0</v>
      </c>
      <c r="I44" s="127">
        <f>'Monthly Data'!CC44</f>
        <v>31</v>
      </c>
      <c r="K44" s="127">
        <f>'Large Use OLS Model'!$B$5</f>
        <v>-19707994.0131674</v>
      </c>
      <c r="L44" s="186">
        <f ca="1">'Large Use OLS Model'!$B$6*D44</f>
        <v>4940773.8084869953</v>
      </c>
      <c r="M44" s="186">
        <f>'Large Use OLS Model'!$B$7*E44</f>
        <v>22960628.07217415</v>
      </c>
      <c r="N44" s="186">
        <v>0</v>
      </c>
      <c r="O44" s="186">
        <f>'Large Use OLS Model'!$B$8*G44</f>
        <v>-1563237.6990636101</v>
      </c>
      <c r="P44" s="186">
        <f>'Large Use OLS Model'!$B$9*H44</f>
        <v>0</v>
      </c>
      <c r="Q44" s="186">
        <f>'Large Use OLS Model'!$B$10*I44</f>
        <v>21377604.951162424</v>
      </c>
      <c r="R44" s="127">
        <f t="shared" ca="1" si="2"/>
        <v>28007775.119592559</v>
      </c>
    </row>
    <row r="45" spans="1:18">
      <c r="A45" s="128">
        <f>'Monthly Data'!A45</f>
        <v>41122</v>
      </c>
      <c r="B45" s="127">
        <f t="shared" si="1"/>
        <v>2012</v>
      </c>
      <c r="C45" s="127">
        <f ca="1">'Monthly Data'!AE45</f>
        <v>29135996.964846376</v>
      </c>
      <c r="D45" s="127">
        <f t="shared" ca="1" si="3"/>
        <v>167.43443609022574</v>
      </c>
      <c r="E45" s="168">
        <f>'Monthly Data'!BJ45</f>
        <v>6703.3</v>
      </c>
      <c r="F45" s="127">
        <f>'Monthly Data'!BM45</f>
        <v>44</v>
      </c>
      <c r="G45" s="127">
        <f>'Monthly Data'!BT45</f>
        <v>0</v>
      </c>
      <c r="H45" s="127">
        <f>'Monthly Data'!BY45</f>
        <v>0</v>
      </c>
      <c r="I45" s="127">
        <f>'Monthly Data'!CC45</f>
        <v>31</v>
      </c>
      <c r="K45" s="127">
        <f>'Large Use OLS Model'!$B$5</f>
        <v>-19707994.0131674</v>
      </c>
      <c r="L45" s="186">
        <f ca="1">'Large Use OLS Model'!$B$6*D45</f>
        <v>4424649.0631510941</v>
      </c>
      <c r="M45" s="186">
        <f>'Large Use OLS Model'!$B$7*E45</f>
        <v>22990466.668091442</v>
      </c>
      <c r="N45" s="186">
        <v>0</v>
      </c>
      <c r="O45" s="186">
        <f>'Large Use OLS Model'!$B$8*G45</f>
        <v>0</v>
      </c>
      <c r="P45" s="186">
        <f>'Large Use OLS Model'!$B$9*H45</f>
        <v>0</v>
      </c>
      <c r="Q45" s="186">
        <f>'Large Use OLS Model'!$B$10*I45</f>
        <v>21377604.951162424</v>
      </c>
      <c r="R45" s="127">
        <f t="shared" ca="1" si="2"/>
        <v>29084726.669237562</v>
      </c>
    </row>
    <row r="46" spans="1:18">
      <c r="A46" s="128">
        <f>'Monthly Data'!A46</f>
        <v>41153</v>
      </c>
      <c r="B46" s="127">
        <f t="shared" si="1"/>
        <v>2012</v>
      </c>
      <c r="C46" s="127">
        <f ca="1">'Monthly Data'!AE46</f>
        <v>26827518.381083377</v>
      </c>
      <c r="D46" s="127">
        <f t="shared" ca="1" si="3"/>
        <v>83.003533834586506</v>
      </c>
      <c r="E46" s="168">
        <f>'Monthly Data'!BJ46</f>
        <v>6707.4</v>
      </c>
      <c r="F46" s="127">
        <f>'Monthly Data'!BM46</f>
        <v>45</v>
      </c>
      <c r="G46" s="127">
        <f>'Monthly Data'!BT46</f>
        <v>0</v>
      </c>
      <c r="H46" s="127">
        <f>'Monthly Data'!BY46</f>
        <v>0</v>
      </c>
      <c r="I46" s="127">
        <f>'Monthly Data'!CC46</f>
        <v>30</v>
      </c>
      <c r="K46" s="127">
        <f>'Large Use OLS Model'!$B$5</f>
        <v>-19707994.0131674</v>
      </c>
      <c r="L46" s="186">
        <f ca="1">'Large Use OLS Model'!$B$6*D46</f>
        <v>2193464.5990119162</v>
      </c>
      <c r="M46" s="186">
        <f>'Large Use OLS Model'!$B$7*E46</f>
        <v>23004528.535132926</v>
      </c>
      <c r="N46" s="186">
        <v>0</v>
      </c>
      <c r="O46" s="186">
        <f>'Large Use OLS Model'!$B$8*G46</f>
        <v>0</v>
      </c>
      <c r="P46" s="186">
        <f>'Large Use OLS Model'!$B$9*H46</f>
        <v>0</v>
      </c>
      <c r="Q46" s="186">
        <f>'Large Use OLS Model'!$B$10*I46</f>
        <v>20688004.791447509</v>
      </c>
      <c r="R46" s="127">
        <f t="shared" ca="1" si="2"/>
        <v>26178003.912424952</v>
      </c>
    </row>
    <row r="47" spans="1:18">
      <c r="A47" s="128">
        <f>'Monthly Data'!A47</f>
        <v>41183</v>
      </c>
      <c r="B47" s="127">
        <f t="shared" si="1"/>
        <v>2012</v>
      </c>
      <c r="C47" s="127">
        <f ca="1">'Monthly Data'!AE47</f>
        <v>26040528.23985038</v>
      </c>
      <c r="D47" s="127">
        <f t="shared" ca="1" si="3"/>
        <v>16.916090225563948</v>
      </c>
      <c r="E47" s="168">
        <f>'Monthly Data'!BJ47</f>
        <v>6710</v>
      </c>
      <c r="F47" s="127">
        <f>'Monthly Data'!BM47</f>
        <v>46</v>
      </c>
      <c r="G47" s="127">
        <f>'Monthly Data'!BT47</f>
        <v>0</v>
      </c>
      <c r="H47" s="127">
        <f>'Monthly Data'!BY47</f>
        <v>0</v>
      </c>
      <c r="I47" s="127">
        <f>'Monthly Data'!CC47</f>
        <v>31</v>
      </c>
      <c r="K47" s="127">
        <f>'Large Use OLS Model'!$B$5</f>
        <v>-19707994.0131674</v>
      </c>
      <c r="L47" s="186">
        <f ca="1">'Large Use OLS Model'!$B$6*D47</f>
        <v>447027.29328862514</v>
      </c>
      <c r="M47" s="186">
        <f>'Large Use OLS Model'!$B$7*E47</f>
        <v>23013445.816671427</v>
      </c>
      <c r="N47" s="186">
        <v>0</v>
      </c>
      <c r="O47" s="186">
        <f>'Large Use OLS Model'!$B$8*G47</f>
        <v>0</v>
      </c>
      <c r="P47" s="186">
        <f>'Large Use OLS Model'!$B$9*H47</f>
        <v>0</v>
      </c>
      <c r="Q47" s="186">
        <f>'Large Use OLS Model'!$B$10*I47</f>
        <v>21377604.951162424</v>
      </c>
      <c r="R47" s="127">
        <f t="shared" ca="1" si="2"/>
        <v>25130084.047955077</v>
      </c>
    </row>
    <row r="48" spans="1:18">
      <c r="A48" s="128">
        <f>'Monthly Data'!A48</f>
        <v>41214</v>
      </c>
      <c r="B48" s="127">
        <f t="shared" si="1"/>
        <v>2012</v>
      </c>
      <c r="C48" s="127">
        <f ca="1">'Monthly Data'!AE48</f>
        <v>24522347.921087377</v>
      </c>
      <c r="D48" s="127">
        <f t="shared" ca="1" si="3"/>
        <v>8.120300751879661E-2</v>
      </c>
      <c r="E48" s="168">
        <f>'Monthly Data'!BJ48</f>
        <v>6722.4</v>
      </c>
      <c r="F48" s="127">
        <f>'Monthly Data'!BM48</f>
        <v>47</v>
      </c>
      <c r="G48" s="127">
        <f>'Monthly Data'!BT48</f>
        <v>0</v>
      </c>
      <c r="H48" s="127">
        <f>'Monthly Data'!BY48</f>
        <v>0</v>
      </c>
      <c r="I48" s="127">
        <f>'Monthly Data'!CC48</f>
        <v>30</v>
      </c>
      <c r="K48" s="127">
        <f>'Large Use OLS Model'!$B$5</f>
        <v>-19707994.0131674</v>
      </c>
      <c r="L48" s="186">
        <f ca="1">'Large Use OLS Model'!$B$6*D48</f>
        <v>2145.8836039527778</v>
      </c>
      <c r="M48" s="186">
        <f>'Large Use OLS Model'!$B$7*E48</f>
        <v>23055974.390162744</v>
      </c>
      <c r="N48" s="186">
        <v>0</v>
      </c>
      <c r="O48" s="186">
        <f>'Large Use OLS Model'!$B$8*G48</f>
        <v>0</v>
      </c>
      <c r="P48" s="186">
        <f>'Large Use OLS Model'!$B$9*H48</f>
        <v>0</v>
      </c>
      <c r="Q48" s="186">
        <f>'Large Use OLS Model'!$B$10*I48</f>
        <v>20688004.791447509</v>
      </c>
      <c r="R48" s="127">
        <f t="shared" ca="1" si="2"/>
        <v>24038131.052046806</v>
      </c>
    </row>
    <row r="49" spans="1:18">
      <c r="A49" s="128">
        <f>'Monthly Data'!A49</f>
        <v>41244</v>
      </c>
      <c r="B49" s="127">
        <f t="shared" si="1"/>
        <v>2012</v>
      </c>
      <c r="C49" s="127">
        <f ca="1">'Monthly Data'!AE49</f>
        <v>22515876.246065378</v>
      </c>
      <c r="D49" s="127">
        <f t="shared" ca="1" si="3"/>
        <v>0</v>
      </c>
      <c r="E49" s="168">
        <f>'Monthly Data'!BJ49</f>
        <v>6740.6</v>
      </c>
      <c r="F49" s="127">
        <f>'Monthly Data'!BM49</f>
        <v>48</v>
      </c>
      <c r="G49" s="127">
        <f>'Monthly Data'!BT49</f>
        <v>0</v>
      </c>
      <c r="H49" s="127">
        <f>'Monthly Data'!BY49</f>
        <v>1</v>
      </c>
      <c r="I49" s="127">
        <f>'Monthly Data'!CC49</f>
        <v>31</v>
      </c>
      <c r="K49" s="127">
        <f>'Large Use OLS Model'!$B$5</f>
        <v>-19707994.0131674</v>
      </c>
      <c r="L49" s="186">
        <f ca="1">'Large Use OLS Model'!$B$6*D49</f>
        <v>0</v>
      </c>
      <c r="M49" s="186">
        <f>'Large Use OLS Model'!$B$7*E49</f>
        <v>23118395.360932257</v>
      </c>
      <c r="N49" s="186">
        <v>0</v>
      </c>
      <c r="O49" s="186">
        <f>'Large Use OLS Model'!$B$8*G49</f>
        <v>0</v>
      </c>
      <c r="P49" s="186">
        <f>'Large Use OLS Model'!$B$9*H49</f>
        <v>-2219022.2541699898</v>
      </c>
      <c r="Q49" s="186">
        <f>'Large Use OLS Model'!$B$10*I49</f>
        <v>21377604.951162424</v>
      </c>
      <c r="R49" s="127">
        <f t="shared" ca="1" si="2"/>
        <v>22568984.044757292</v>
      </c>
    </row>
    <row r="50" spans="1:18">
      <c r="A50" s="128">
        <f>'Monthly Data'!A50</f>
        <v>41275</v>
      </c>
      <c r="B50" s="127">
        <f t="shared" si="1"/>
        <v>2013</v>
      </c>
      <c r="C50" s="127">
        <f ca="1">'Monthly Data'!AE50</f>
        <v>23925452.935251616</v>
      </c>
      <c r="D50" s="127">
        <f t="shared" ca="1" si="3"/>
        <v>0</v>
      </c>
      <c r="E50" s="168">
        <f>'Monthly Data'!BJ50</f>
        <v>6758.8</v>
      </c>
      <c r="F50" s="127">
        <f>'Monthly Data'!BM50</f>
        <v>49</v>
      </c>
      <c r="G50" s="127">
        <f>'Monthly Data'!BT50</f>
        <v>0</v>
      </c>
      <c r="H50" s="127">
        <f>'Monthly Data'!BY50</f>
        <v>0</v>
      </c>
      <c r="I50" s="127">
        <f>'Monthly Data'!CC50</f>
        <v>31</v>
      </c>
      <c r="K50" s="127">
        <f>'Large Use OLS Model'!$B$5</f>
        <v>-19707994.0131674</v>
      </c>
      <c r="L50" s="186">
        <f ca="1">'Large Use OLS Model'!$B$6*D50</f>
        <v>0</v>
      </c>
      <c r="M50" s="186">
        <f>'Large Use OLS Model'!$B$7*E50</f>
        <v>23180816.331701767</v>
      </c>
      <c r="N50" s="186">
        <v>0</v>
      </c>
      <c r="O50" s="186">
        <f>'Large Use OLS Model'!$B$8*G50</f>
        <v>0</v>
      </c>
      <c r="P50" s="186">
        <f>'Large Use OLS Model'!$B$9*H50</f>
        <v>0</v>
      </c>
      <c r="Q50" s="186">
        <f>'Large Use OLS Model'!$B$10*I50</f>
        <v>21377604.951162424</v>
      </c>
      <c r="R50" s="127">
        <f t="shared" ca="1" si="2"/>
        <v>24850427.269696791</v>
      </c>
    </row>
    <row r="51" spans="1:18">
      <c r="A51" s="128">
        <f>'Monthly Data'!A51</f>
        <v>41306</v>
      </c>
      <c r="B51" s="127">
        <f t="shared" si="1"/>
        <v>2013</v>
      </c>
      <c r="C51" s="127">
        <f ca="1">'Monthly Data'!AE51</f>
        <v>22074898.569297619</v>
      </c>
      <c r="D51" s="127">
        <f t="shared" ca="1" si="3"/>
        <v>0</v>
      </c>
      <c r="E51" s="168">
        <f>'Monthly Data'!BJ51</f>
        <v>6775.5</v>
      </c>
      <c r="F51" s="127">
        <f>'Monthly Data'!BM51</f>
        <v>50</v>
      </c>
      <c r="G51" s="127">
        <f>'Monthly Data'!BT51</f>
        <v>0</v>
      </c>
      <c r="H51" s="127">
        <f>'Monthly Data'!BY51</f>
        <v>0</v>
      </c>
      <c r="I51" s="127">
        <f>'Monthly Data'!CC51</f>
        <v>28</v>
      </c>
      <c r="K51" s="127">
        <f>'Large Use OLS Model'!$B$5</f>
        <v>-19707994.0131674</v>
      </c>
      <c r="L51" s="186">
        <f ca="1">'Large Use OLS Model'!$B$6*D51</f>
        <v>0</v>
      </c>
      <c r="M51" s="186">
        <f>'Large Use OLS Model'!$B$7*E51</f>
        <v>23238092.716968294</v>
      </c>
      <c r="N51" s="186">
        <v>0</v>
      </c>
      <c r="O51" s="186">
        <f>'Large Use OLS Model'!$B$8*G51</f>
        <v>0</v>
      </c>
      <c r="P51" s="186">
        <f>'Large Use OLS Model'!$B$9*H51</f>
        <v>0</v>
      </c>
      <c r="Q51" s="186">
        <f>'Large Use OLS Model'!$B$10*I51</f>
        <v>19308804.472017676</v>
      </c>
      <c r="R51" s="127">
        <f t="shared" ca="1" si="2"/>
        <v>22838903.17581857</v>
      </c>
    </row>
    <row r="52" spans="1:18">
      <c r="A52" s="128">
        <f>'Monthly Data'!A52</f>
        <v>41334</v>
      </c>
      <c r="B52" s="127">
        <f t="shared" si="1"/>
        <v>2013</v>
      </c>
      <c r="C52" s="127">
        <f ca="1">'Monthly Data'!AE52</f>
        <v>25957172.465708617</v>
      </c>
      <c r="D52" s="127">
        <f t="shared" ca="1" si="3"/>
        <v>0.45218045112781802</v>
      </c>
      <c r="E52" s="168">
        <f>'Monthly Data'!BJ52</f>
        <v>6781.1</v>
      </c>
      <c r="F52" s="127">
        <f>'Monthly Data'!BM52</f>
        <v>51</v>
      </c>
      <c r="G52" s="127">
        <f>'Monthly Data'!BT52</f>
        <v>0</v>
      </c>
      <c r="H52" s="127">
        <f>'Monthly Data'!BY52</f>
        <v>0</v>
      </c>
      <c r="I52" s="127">
        <f>'Monthly Data'!CC52</f>
        <v>31</v>
      </c>
      <c r="K52" s="127">
        <f>'Large Use OLS Model'!$B$5</f>
        <v>-19707994.0131674</v>
      </c>
      <c r="L52" s="186">
        <f ca="1">'Large Use OLS Model'!$B$6*D52</f>
        <v>11949.392587196318</v>
      </c>
      <c r="M52" s="186">
        <f>'Large Use OLS Model'!$B$7*E52</f>
        <v>23257299.16951276</v>
      </c>
      <c r="N52" s="186">
        <v>0</v>
      </c>
      <c r="O52" s="186">
        <f>'Large Use OLS Model'!$B$8*G52</f>
        <v>0</v>
      </c>
      <c r="P52" s="186">
        <f>'Large Use OLS Model'!$B$9*H52</f>
        <v>0</v>
      </c>
      <c r="Q52" s="186">
        <f>'Large Use OLS Model'!$B$10*I52</f>
        <v>21377604.951162424</v>
      </c>
      <c r="R52" s="127">
        <f t="shared" ca="1" si="2"/>
        <v>24938859.50009498</v>
      </c>
    </row>
    <row r="53" spans="1:18">
      <c r="A53" s="128">
        <f>'Monthly Data'!A53</f>
        <v>41365</v>
      </c>
      <c r="B53" s="127">
        <f t="shared" si="1"/>
        <v>2013</v>
      </c>
      <c r="C53" s="127">
        <f ca="1">'Monthly Data'!AE53</f>
        <v>25334732.869080614</v>
      </c>
      <c r="D53" s="127">
        <f t="shared" ca="1" si="3"/>
        <v>0.50947368421054762</v>
      </c>
      <c r="E53" s="168">
        <f>'Monthly Data'!BJ53</f>
        <v>6788.9</v>
      </c>
      <c r="F53" s="127">
        <f>'Monthly Data'!BM53</f>
        <v>52</v>
      </c>
      <c r="G53" s="127">
        <f>'Monthly Data'!BT53</f>
        <v>0</v>
      </c>
      <c r="H53" s="127">
        <f>'Monthly Data'!BY53</f>
        <v>0</v>
      </c>
      <c r="I53" s="127">
        <f>'Monthly Data'!CC53</f>
        <v>30</v>
      </c>
      <c r="K53" s="127">
        <f>'Large Use OLS Model'!$B$5</f>
        <v>-19707994.0131674</v>
      </c>
      <c r="L53" s="186">
        <f ca="1">'Large Use OLS Model'!$B$6*D53</f>
        <v>13463.432685541387</v>
      </c>
      <c r="M53" s="186">
        <f>'Large Use OLS Model'!$B$7*E53</f>
        <v>23284051.014128264</v>
      </c>
      <c r="N53" s="186">
        <v>0</v>
      </c>
      <c r="O53" s="186">
        <f>'Large Use OLS Model'!$B$8*G53</f>
        <v>0</v>
      </c>
      <c r="P53" s="186">
        <f>'Large Use OLS Model'!$B$9*H53</f>
        <v>0</v>
      </c>
      <c r="Q53" s="186">
        <f>'Large Use OLS Model'!$B$10*I53</f>
        <v>20688004.791447509</v>
      </c>
      <c r="R53" s="127">
        <f t="shared" ca="1" si="2"/>
        <v>24277525.225093916</v>
      </c>
    </row>
    <row r="54" spans="1:18">
      <c r="A54" s="128">
        <f>'Monthly Data'!A54</f>
        <v>41395</v>
      </c>
      <c r="B54" s="127">
        <f t="shared" ref="B54:B109" si="4">YEAR(A54)</f>
        <v>2013</v>
      </c>
      <c r="C54" s="127">
        <f ca="1">'Monthly Data'!AE54</f>
        <v>26406281.115671616</v>
      </c>
      <c r="D54" s="127">
        <f t="shared" ca="1" si="3"/>
        <v>56.062781954887214</v>
      </c>
      <c r="E54" s="168">
        <f>'Monthly Data'!BJ54</f>
        <v>6801.1</v>
      </c>
      <c r="F54" s="127">
        <f>'Monthly Data'!BM54</f>
        <v>53</v>
      </c>
      <c r="G54" s="127">
        <f>'Monthly Data'!BT54</f>
        <v>0</v>
      </c>
      <c r="H54" s="127">
        <f>'Monthly Data'!BY54</f>
        <v>0</v>
      </c>
      <c r="I54" s="127">
        <f>'Monthly Data'!CC54</f>
        <v>31</v>
      </c>
      <c r="K54" s="127">
        <f>'Large Use OLS Model'!$B$5</f>
        <v>-19707994.0131674</v>
      </c>
      <c r="L54" s="186">
        <f ca="1">'Large Use OLS Model'!$B$6*D54</f>
        <v>1481524.0009567935</v>
      </c>
      <c r="M54" s="186">
        <f>'Large Use OLS Model'!$B$7*E54</f>
        <v>23325893.642885849</v>
      </c>
      <c r="N54" s="186">
        <v>0</v>
      </c>
      <c r="O54" s="186">
        <f>'Large Use OLS Model'!$B$8*G54</f>
        <v>0</v>
      </c>
      <c r="P54" s="186">
        <f>'Large Use OLS Model'!$B$9*H54</f>
        <v>0</v>
      </c>
      <c r="Q54" s="186">
        <f>'Large Use OLS Model'!$B$10*I54</f>
        <v>21377604.951162424</v>
      </c>
      <c r="R54" s="127">
        <f t="shared" ref="R54:R117" ca="1" si="5">SUM(K54:Q54)</f>
        <v>26477028.581837665</v>
      </c>
    </row>
    <row r="55" spans="1:18">
      <c r="A55" s="128">
        <f>'Monthly Data'!A55</f>
        <v>41426</v>
      </c>
      <c r="B55" s="127">
        <f t="shared" si="4"/>
        <v>2013</v>
      </c>
      <c r="C55" s="127">
        <f ca="1">'Monthly Data'!AE55</f>
        <v>26304525.374992616</v>
      </c>
      <c r="D55" s="127">
        <f t="shared" ca="1" si="3"/>
        <v>116.89315789473682</v>
      </c>
      <c r="E55" s="168">
        <f>'Monthly Data'!BJ55</f>
        <v>6815.2</v>
      </c>
      <c r="F55" s="127">
        <f>'Monthly Data'!BM55</f>
        <v>54</v>
      </c>
      <c r="G55" s="127">
        <f>'Monthly Data'!BT55</f>
        <v>0</v>
      </c>
      <c r="H55" s="127">
        <f>'Monthly Data'!BY55</f>
        <v>0</v>
      </c>
      <c r="I55" s="127">
        <f>'Monthly Data'!CC55</f>
        <v>30</v>
      </c>
      <c r="K55" s="127">
        <f>'Large Use OLS Model'!$B$5</f>
        <v>-19707994.0131674</v>
      </c>
      <c r="L55" s="186">
        <f ca="1">'Large Use OLS Model'!$B$6*D55</f>
        <v>3089037.1995460331</v>
      </c>
      <c r="M55" s="186">
        <f>'Large Use OLS Model'!$B$7*E55</f>
        <v>23374252.746613875</v>
      </c>
      <c r="N55" s="186">
        <v>0</v>
      </c>
      <c r="O55" s="186">
        <f>'Large Use OLS Model'!$B$8*G55</f>
        <v>0</v>
      </c>
      <c r="P55" s="186">
        <f>'Large Use OLS Model'!$B$9*H55</f>
        <v>0</v>
      </c>
      <c r="Q55" s="186">
        <f>'Large Use OLS Model'!$B$10*I55</f>
        <v>20688004.791447509</v>
      </c>
      <c r="R55" s="127">
        <f t="shared" ca="1" si="5"/>
        <v>27443300.724440016</v>
      </c>
    </row>
    <row r="56" spans="1:18">
      <c r="A56" s="128">
        <f>'Monthly Data'!A56</f>
        <v>41456</v>
      </c>
      <c r="B56" s="127">
        <f t="shared" si="4"/>
        <v>2013</v>
      </c>
      <c r="C56" s="127">
        <f ca="1">'Monthly Data'!AE56</f>
        <v>25876608.308857616</v>
      </c>
      <c r="D56" s="127">
        <f t="shared" ca="1" si="3"/>
        <v>186.96526315789481</v>
      </c>
      <c r="E56" s="168">
        <f>'Monthly Data'!BJ56</f>
        <v>6826.2</v>
      </c>
      <c r="F56" s="127">
        <f>'Monthly Data'!BM56</f>
        <v>55</v>
      </c>
      <c r="G56" s="127">
        <f>'Monthly Data'!BT56</f>
        <v>1</v>
      </c>
      <c r="H56" s="127">
        <f>'Monthly Data'!BY56</f>
        <v>0</v>
      </c>
      <c r="I56" s="127">
        <f>'Monthly Data'!CC56</f>
        <v>31</v>
      </c>
      <c r="K56" s="127">
        <f>'Large Use OLS Model'!$B$5</f>
        <v>-19707994.0131674</v>
      </c>
      <c r="L56" s="186">
        <f ca="1">'Large Use OLS Model'!$B$6*D56</f>
        <v>4940773.8084869953</v>
      </c>
      <c r="M56" s="186">
        <f>'Large Use OLS Model'!$B$7*E56</f>
        <v>23411979.706969075</v>
      </c>
      <c r="N56" s="186">
        <v>0</v>
      </c>
      <c r="O56" s="186">
        <f>'Large Use OLS Model'!$B$8*G56</f>
        <v>-1563237.6990636101</v>
      </c>
      <c r="P56" s="186">
        <f>'Large Use OLS Model'!$B$9*H56</f>
        <v>0</v>
      </c>
      <c r="Q56" s="186">
        <f>'Large Use OLS Model'!$B$10*I56</f>
        <v>21377604.951162424</v>
      </c>
      <c r="R56" s="127">
        <f t="shared" ca="1" si="5"/>
        <v>28459126.754387483</v>
      </c>
    </row>
    <row r="57" spans="1:18">
      <c r="A57" s="128">
        <f>'Monthly Data'!A57</f>
        <v>41487</v>
      </c>
      <c r="B57" s="127">
        <f t="shared" si="4"/>
        <v>2013</v>
      </c>
      <c r="C57" s="127">
        <f ca="1">'Monthly Data'!AE57</f>
        <v>27134287.862933617</v>
      </c>
      <c r="D57" s="127">
        <f t="shared" ca="1" si="3"/>
        <v>167.43443609022574</v>
      </c>
      <c r="E57" s="168">
        <f>'Monthly Data'!BJ57</f>
        <v>6833.9</v>
      </c>
      <c r="F57" s="127">
        <f>'Monthly Data'!BM57</f>
        <v>56</v>
      </c>
      <c r="G57" s="127">
        <f>'Monthly Data'!BT57</f>
        <v>0</v>
      </c>
      <c r="H57" s="127">
        <f>'Monthly Data'!BY57</f>
        <v>0</v>
      </c>
      <c r="I57" s="127">
        <f>'Monthly Data'!CC57</f>
        <v>31</v>
      </c>
      <c r="K57" s="127">
        <f>'Large Use OLS Model'!$B$5</f>
        <v>-19707994.0131674</v>
      </c>
      <c r="L57" s="186">
        <f ca="1">'Large Use OLS Model'!$B$6*D57</f>
        <v>4424649.0631510941</v>
      </c>
      <c r="M57" s="186">
        <f>'Large Use OLS Model'!$B$7*E57</f>
        <v>23438388.579217713</v>
      </c>
      <c r="N57" s="186">
        <v>0</v>
      </c>
      <c r="O57" s="186">
        <f>'Large Use OLS Model'!$B$8*G57</f>
        <v>0</v>
      </c>
      <c r="P57" s="186">
        <f>'Large Use OLS Model'!$B$9*H57</f>
        <v>0</v>
      </c>
      <c r="Q57" s="186">
        <f>'Large Use OLS Model'!$B$10*I57</f>
        <v>21377604.951162424</v>
      </c>
      <c r="R57" s="127">
        <f t="shared" ca="1" si="5"/>
        <v>29532648.580363832</v>
      </c>
    </row>
    <row r="58" spans="1:18">
      <c r="A58" s="128">
        <f>'Monthly Data'!A58</f>
        <v>41518</v>
      </c>
      <c r="B58" s="127">
        <f t="shared" si="4"/>
        <v>2013</v>
      </c>
      <c r="C58" s="127">
        <f ca="1">'Monthly Data'!AE58</f>
        <v>24944209.616773617</v>
      </c>
      <c r="D58" s="127">
        <f t="shared" ca="1" si="3"/>
        <v>83.003533834586506</v>
      </c>
      <c r="E58" s="168">
        <f>'Monthly Data'!BJ58</f>
        <v>6843.3</v>
      </c>
      <c r="F58" s="127">
        <f>'Monthly Data'!BM58</f>
        <v>57</v>
      </c>
      <c r="G58" s="127">
        <f>'Monthly Data'!BT58</f>
        <v>0</v>
      </c>
      <c r="H58" s="127">
        <f>'Monthly Data'!BY58</f>
        <v>0</v>
      </c>
      <c r="I58" s="127">
        <f>'Monthly Data'!CC58</f>
        <v>30</v>
      </c>
      <c r="K58" s="127">
        <f>'Large Use OLS Model'!$B$5</f>
        <v>-19707994.0131674</v>
      </c>
      <c r="L58" s="186">
        <f ca="1">'Large Use OLS Model'!$B$6*D58</f>
        <v>2193464.5990119162</v>
      </c>
      <c r="M58" s="186">
        <f>'Large Use OLS Model'!$B$7*E58</f>
        <v>23470627.981703069</v>
      </c>
      <c r="N58" s="186">
        <v>0</v>
      </c>
      <c r="O58" s="186">
        <f>'Large Use OLS Model'!$B$8*G58</f>
        <v>0</v>
      </c>
      <c r="P58" s="186">
        <f>'Large Use OLS Model'!$B$9*H58</f>
        <v>0</v>
      </c>
      <c r="Q58" s="186">
        <f>'Large Use OLS Model'!$B$10*I58</f>
        <v>20688004.791447509</v>
      </c>
      <c r="R58" s="127">
        <f t="shared" ca="1" si="5"/>
        <v>26644103.358995095</v>
      </c>
    </row>
    <row r="59" spans="1:18">
      <c r="A59" s="128">
        <f>'Monthly Data'!A59</f>
        <v>41548</v>
      </c>
      <c r="B59" s="127">
        <f t="shared" si="4"/>
        <v>2013</v>
      </c>
      <c r="C59" s="127">
        <f ca="1">'Monthly Data'!AE59</f>
        <v>25745628.725316614</v>
      </c>
      <c r="D59" s="127">
        <f t="shared" ca="1" si="3"/>
        <v>16.916090225563948</v>
      </c>
      <c r="E59" s="168">
        <f>'Monthly Data'!BJ59</f>
        <v>6850.3</v>
      </c>
      <c r="F59" s="127">
        <f>'Monthly Data'!BM59</f>
        <v>58</v>
      </c>
      <c r="G59" s="127">
        <f>'Monthly Data'!BT59</f>
        <v>0</v>
      </c>
      <c r="H59" s="127">
        <f>'Monthly Data'!BY59</f>
        <v>0</v>
      </c>
      <c r="I59" s="127">
        <f>'Monthly Data'!CC59</f>
        <v>31</v>
      </c>
      <c r="K59" s="127">
        <f>'Large Use OLS Model'!$B$5</f>
        <v>-19707994.0131674</v>
      </c>
      <c r="L59" s="186">
        <f ca="1">'Large Use OLS Model'!$B$6*D59</f>
        <v>447027.29328862514</v>
      </c>
      <c r="M59" s="186">
        <f>'Large Use OLS Model'!$B$7*E59</f>
        <v>23494636.047383651</v>
      </c>
      <c r="N59" s="186">
        <v>0</v>
      </c>
      <c r="O59" s="186">
        <f>'Large Use OLS Model'!$B$8*G59</f>
        <v>0</v>
      </c>
      <c r="P59" s="186">
        <f>'Large Use OLS Model'!$B$9*H59</f>
        <v>0</v>
      </c>
      <c r="Q59" s="186">
        <f>'Large Use OLS Model'!$B$10*I59</f>
        <v>21377604.951162424</v>
      </c>
      <c r="R59" s="127">
        <f t="shared" ca="1" si="5"/>
        <v>25611274.278667301</v>
      </c>
    </row>
    <row r="60" spans="1:18">
      <c r="A60" s="128">
        <f>'Monthly Data'!A60</f>
        <v>41579</v>
      </c>
      <c r="B60" s="127">
        <f t="shared" si="4"/>
        <v>2013</v>
      </c>
      <c r="C60" s="127">
        <f ca="1">'Monthly Data'!AE60</f>
        <v>24932264.781123616</v>
      </c>
      <c r="D60" s="127">
        <f t="shared" ca="1" si="3"/>
        <v>8.120300751879661E-2</v>
      </c>
      <c r="E60" s="168">
        <f>'Monthly Data'!BJ60</f>
        <v>6854</v>
      </c>
      <c r="F60" s="127">
        <f>'Monthly Data'!BM60</f>
        <v>59</v>
      </c>
      <c r="G60" s="127">
        <f>'Monthly Data'!BT60</f>
        <v>0</v>
      </c>
      <c r="H60" s="127">
        <f>'Monthly Data'!BY60</f>
        <v>0</v>
      </c>
      <c r="I60" s="127">
        <f>'Monthly Data'!CC60</f>
        <v>30</v>
      </c>
      <c r="K60" s="127">
        <f>'Large Use OLS Model'!$B$5</f>
        <v>-19707994.0131674</v>
      </c>
      <c r="L60" s="186">
        <f ca="1">'Large Use OLS Model'!$B$6*D60</f>
        <v>2145.8836039527778</v>
      </c>
      <c r="M60" s="186">
        <f>'Large Use OLS Model'!$B$7*E60</f>
        <v>23507326.024957672</v>
      </c>
      <c r="N60" s="186">
        <v>0</v>
      </c>
      <c r="O60" s="186">
        <f>'Large Use OLS Model'!$B$8*G60</f>
        <v>0</v>
      </c>
      <c r="P60" s="186">
        <f>'Large Use OLS Model'!$B$9*H60</f>
        <v>0</v>
      </c>
      <c r="Q60" s="186">
        <f>'Large Use OLS Model'!$B$10*I60</f>
        <v>20688004.791447509</v>
      </c>
      <c r="R60" s="127">
        <f t="shared" ca="1" si="5"/>
        <v>24489482.686841734</v>
      </c>
    </row>
    <row r="61" spans="1:18">
      <c r="A61" s="128">
        <f>'Monthly Data'!A61</f>
        <v>41609</v>
      </c>
      <c r="B61" s="127">
        <f t="shared" si="4"/>
        <v>2013</v>
      </c>
      <c r="C61" s="127">
        <f ca="1">'Monthly Data'!AE61</f>
        <v>22639929.518798616</v>
      </c>
      <c r="D61" s="127">
        <f t="shared" ca="1" si="3"/>
        <v>0</v>
      </c>
      <c r="E61" s="168">
        <f>'Monthly Data'!BJ61</f>
        <v>6850.4</v>
      </c>
      <c r="F61" s="127">
        <f>'Monthly Data'!BM61</f>
        <v>60</v>
      </c>
      <c r="G61" s="127">
        <f>'Monthly Data'!BT61</f>
        <v>0</v>
      </c>
      <c r="H61" s="127">
        <f>'Monthly Data'!BY61</f>
        <v>1</v>
      </c>
      <c r="I61" s="127">
        <f>'Monthly Data'!CC61</f>
        <v>31</v>
      </c>
      <c r="K61" s="127">
        <f>'Large Use OLS Model'!$B$5</f>
        <v>-19707994.0131674</v>
      </c>
      <c r="L61" s="186">
        <f ca="1">'Large Use OLS Model'!$B$6*D61</f>
        <v>0</v>
      </c>
      <c r="M61" s="186">
        <f>'Large Use OLS Model'!$B$7*E61</f>
        <v>23494979.019750513</v>
      </c>
      <c r="N61" s="186">
        <v>0</v>
      </c>
      <c r="O61" s="186">
        <f>'Large Use OLS Model'!$B$8*G61</f>
        <v>0</v>
      </c>
      <c r="P61" s="186">
        <f>'Large Use OLS Model'!$B$9*H61</f>
        <v>-2219022.2541699898</v>
      </c>
      <c r="Q61" s="186">
        <f>'Large Use OLS Model'!$B$10*I61</f>
        <v>21377604.951162424</v>
      </c>
      <c r="R61" s="127">
        <f t="shared" ca="1" si="5"/>
        <v>22945567.703575548</v>
      </c>
    </row>
    <row r="62" spans="1:18">
      <c r="A62" s="128">
        <f>'Monthly Data'!A62</f>
        <v>41640</v>
      </c>
      <c r="B62" s="127">
        <f t="shared" si="4"/>
        <v>2014</v>
      </c>
      <c r="C62" s="127">
        <f ca="1">'Monthly Data'!AE62</f>
        <v>26670683.232928887</v>
      </c>
      <c r="D62" s="127">
        <f t="shared" ca="1" si="3"/>
        <v>0</v>
      </c>
      <c r="E62" s="168">
        <f>'Monthly Data'!BJ62</f>
        <v>6848.3</v>
      </c>
      <c r="F62" s="127">
        <f>'Monthly Data'!BM62</f>
        <v>61</v>
      </c>
      <c r="G62" s="127">
        <f>'Monthly Data'!BT62</f>
        <v>0</v>
      </c>
      <c r="H62" s="127">
        <f>'Monthly Data'!BY62</f>
        <v>0</v>
      </c>
      <c r="I62" s="127">
        <f>'Monthly Data'!CC62</f>
        <v>31</v>
      </c>
      <c r="K62" s="127">
        <f>'Large Use OLS Model'!$B$5</f>
        <v>-19707994.0131674</v>
      </c>
      <c r="L62" s="186">
        <f ca="1">'Large Use OLS Model'!$B$6*D62</f>
        <v>0</v>
      </c>
      <c r="M62" s="186">
        <f>'Large Use OLS Model'!$B$7*E62</f>
        <v>23487776.60004634</v>
      </c>
      <c r="N62" s="186">
        <v>0</v>
      </c>
      <c r="O62" s="186">
        <f>'Large Use OLS Model'!$B$8*G62</f>
        <v>0</v>
      </c>
      <c r="P62" s="186">
        <f>'Large Use OLS Model'!$B$9*H62</f>
        <v>0</v>
      </c>
      <c r="Q62" s="186">
        <f>'Large Use OLS Model'!$B$10*I62</f>
        <v>21377604.951162424</v>
      </c>
      <c r="R62" s="127">
        <f t="shared" ca="1" si="5"/>
        <v>25157387.538041364</v>
      </c>
    </row>
    <row r="63" spans="1:18">
      <c r="A63" s="128">
        <f>'Monthly Data'!A63</f>
        <v>41671</v>
      </c>
      <c r="B63" s="127">
        <f t="shared" si="4"/>
        <v>2014</v>
      </c>
      <c r="C63" s="127">
        <f ca="1">'Monthly Data'!AE63</f>
        <v>23471289.154199887</v>
      </c>
      <c r="D63" s="127">
        <f t="shared" ca="1" si="3"/>
        <v>0</v>
      </c>
      <c r="E63" s="168">
        <f>'Monthly Data'!BJ63</f>
        <v>6850</v>
      </c>
      <c r="F63" s="127">
        <f>'Monthly Data'!BM63</f>
        <v>62</v>
      </c>
      <c r="G63" s="127">
        <f>'Monthly Data'!BT63</f>
        <v>0</v>
      </c>
      <c r="H63" s="127">
        <f>'Monthly Data'!BY63</f>
        <v>0</v>
      </c>
      <c r="I63" s="127">
        <f>'Monthly Data'!CC63</f>
        <v>28</v>
      </c>
      <c r="K63" s="127">
        <f>'Large Use OLS Model'!$B$5</f>
        <v>-19707994.0131674</v>
      </c>
      <c r="L63" s="186">
        <f ca="1">'Large Use OLS Model'!$B$6*D63</f>
        <v>0</v>
      </c>
      <c r="M63" s="186">
        <f>'Large Use OLS Model'!$B$7*E63</f>
        <v>23493607.130283054</v>
      </c>
      <c r="N63" s="186">
        <v>0</v>
      </c>
      <c r="O63" s="186">
        <f>'Large Use OLS Model'!$B$8*G63</f>
        <v>0</v>
      </c>
      <c r="P63" s="186">
        <f>'Large Use OLS Model'!$B$9*H63</f>
        <v>0</v>
      </c>
      <c r="Q63" s="186">
        <f>'Large Use OLS Model'!$B$10*I63</f>
        <v>19308804.472017676</v>
      </c>
      <c r="R63" s="127">
        <f t="shared" ca="1" si="5"/>
        <v>23094417.58913333</v>
      </c>
    </row>
    <row r="64" spans="1:18">
      <c r="A64" s="128">
        <f>'Monthly Data'!A64</f>
        <v>41699</v>
      </c>
      <c r="B64" s="127">
        <f t="shared" si="4"/>
        <v>2014</v>
      </c>
      <c r="C64" s="127">
        <f ca="1">'Monthly Data'!AE64</f>
        <v>25265167.314199887</v>
      </c>
      <c r="D64" s="127">
        <f t="shared" ca="1" si="3"/>
        <v>0.45218045112781802</v>
      </c>
      <c r="E64" s="168">
        <f>'Monthly Data'!BJ64</f>
        <v>6856.4</v>
      </c>
      <c r="F64" s="127">
        <f>'Monthly Data'!BM64</f>
        <v>63</v>
      </c>
      <c r="G64" s="127">
        <f>'Monthly Data'!BT64</f>
        <v>0</v>
      </c>
      <c r="H64" s="127">
        <f>'Monthly Data'!BY64</f>
        <v>0</v>
      </c>
      <c r="I64" s="127">
        <f>'Monthly Data'!CC64</f>
        <v>31</v>
      </c>
      <c r="K64" s="127">
        <f>'Large Use OLS Model'!$B$5</f>
        <v>-19707994.0131674</v>
      </c>
      <c r="L64" s="186">
        <f ca="1">'Large Use OLS Model'!$B$6*D64</f>
        <v>11949.392587196318</v>
      </c>
      <c r="M64" s="186">
        <f>'Large Use OLS Model'!$B$7*E64</f>
        <v>23515557.361762438</v>
      </c>
      <c r="N64" s="186">
        <v>0</v>
      </c>
      <c r="O64" s="186">
        <f>'Large Use OLS Model'!$B$8*G64</f>
        <v>0</v>
      </c>
      <c r="P64" s="186">
        <f>'Large Use OLS Model'!$B$9*H64</f>
        <v>0</v>
      </c>
      <c r="Q64" s="186">
        <f>'Large Use OLS Model'!$B$10*I64</f>
        <v>21377604.951162424</v>
      </c>
      <c r="R64" s="127">
        <f t="shared" ca="1" si="5"/>
        <v>25197117.692344658</v>
      </c>
    </row>
    <row r="65" spans="1:18">
      <c r="A65" s="128">
        <f>'Monthly Data'!A65</f>
        <v>41730</v>
      </c>
      <c r="B65" s="127">
        <f t="shared" si="4"/>
        <v>2014</v>
      </c>
      <c r="C65" s="127">
        <f ca="1">'Monthly Data'!AE65</f>
        <v>22877973.494199887</v>
      </c>
      <c r="D65" s="127">
        <f t="shared" ca="1" si="3"/>
        <v>0.50947368421054762</v>
      </c>
      <c r="E65" s="168">
        <f>'Monthly Data'!BJ65</f>
        <v>6869.6</v>
      </c>
      <c r="F65" s="127">
        <f>'Monthly Data'!BM65</f>
        <v>64</v>
      </c>
      <c r="G65" s="127">
        <f>'Monthly Data'!BT65</f>
        <v>0</v>
      </c>
      <c r="H65" s="127">
        <f>'Monthly Data'!BY65</f>
        <v>0</v>
      </c>
      <c r="I65" s="127">
        <f>'Monthly Data'!CC65</f>
        <v>30</v>
      </c>
      <c r="K65" s="127">
        <f>'Large Use OLS Model'!$B$5</f>
        <v>-19707994.0131674</v>
      </c>
      <c r="L65" s="186">
        <f ca="1">'Large Use OLS Model'!$B$6*D65</f>
        <v>13463.432685541387</v>
      </c>
      <c r="M65" s="186">
        <f>'Large Use OLS Model'!$B$7*E65</f>
        <v>23560829.71418868</v>
      </c>
      <c r="N65" s="186">
        <v>0</v>
      </c>
      <c r="O65" s="186">
        <f>'Large Use OLS Model'!$B$8*G65</f>
        <v>0</v>
      </c>
      <c r="P65" s="186">
        <f>'Large Use OLS Model'!$B$9*H65</f>
        <v>0</v>
      </c>
      <c r="Q65" s="186">
        <f>'Large Use OLS Model'!$B$10*I65</f>
        <v>20688004.791447509</v>
      </c>
      <c r="R65" s="127">
        <f t="shared" ca="1" si="5"/>
        <v>24554303.925154332</v>
      </c>
    </row>
    <row r="66" spans="1:18">
      <c r="A66" s="128">
        <f>'Monthly Data'!A66</f>
        <v>41760</v>
      </c>
      <c r="B66" s="127">
        <f t="shared" si="4"/>
        <v>2014</v>
      </c>
      <c r="C66" s="127">
        <f ca="1">'Monthly Data'!AE66</f>
        <v>28623709.664199885</v>
      </c>
      <c r="D66" s="127">
        <f t="shared" ref="D66:D129" ca="1" si="6">D54</f>
        <v>56.062781954887214</v>
      </c>
      <c r="E66" s="168">
        <f>'Monthly Data'!BJ66</f>
        <v>6870.6</v>
      </c>
      <c r="F66" s="127">
        <f>'Monthly Data'!BM66</f>
        <v>65</v>
      </c>
      <c r="G66" s="127">
        <f>'Monthly Data'!BT66</f>
        <v>0</v>
      </c>
      <c r="H66" s="127">
        <f>'Monthly Data'!BY66</f>
        <v>0</v>
      </c>
      <c r="I66" s="127">
        <f>'Monthly Data'!CC66</f>
        <v>31</v>
      </c>
      <c r="K66" s="127">
        <f>'Large Use OLS Model'!$B$5</f>
        <v>-19707994.0131674</v>
      </c>
      <c r="L66" s="186">
        <f ca="1">'Large Use OLS Model'!$B$6*D66</f>
        <v>1481524.0009567935</v>
      </c>
      <c r="M66" s="186">
        <f>'Large Use OLS Model'!$B$7*E66</f>
        <v>23564259.437857337</v>
      </c>
      <c r="N66" s="186">
        <v>0</v>
      </c>
      <c r="O66" s="186">
        <f>'Large Use OLS Model'!$B$8*G66</f>
        <v>0</v>
      </c>
      <c r="P66" s="186">
        <f>'Large Use OLS Model'!$B$9*H66</f>
        <v>0</v>
      </c>
      <c r="Q66" s="186">
        <f>'Large Use OLS Model'!$B$10*I66</f>
        <v>21377604.951162424</v>
      </c>
      <c r="R66" s="127">
        <f t="shared" ca="1" si="5"/>
        <v>26715394.376809154</v>
      </c>
    </row>
    <row r="67" spans="1:18">
      <c r="A67" s="128">
        <f>'Monthly Data'!A67</f>
        <v>41791</v>
      </c>
      <c r="B67" s="127">
        <f t="shared" si="4"/>
        <v>2014</v>
      </c>
      <c r="C67" s="127">
        <f ca="1">'Monthly Data'!AE67</f>
        <v>30426752.654199883</v>
      </c>
      <c r="D67" s="127">
        <f t="shared" ca="1" si="6"/>
        <v>116.89315789473682</v>
      </c>
      <c r="E67" s="168">
        <f>'Monthly Data'!BJ67</f>
        <v>6865.4</v>
      </c>
      <c r="F67" s="127">
        <f>'Monthly Data'!BM67</f>
        <v>66</v>
      </c>
      <c r="G67" s="127">
        <f>'Monthly Data'!BT67</f>
        <v>0</v>
      </c>
      <c r="H67" s="127">
        <f>'Monthly Data'!BY67</f>
        <v>0</v>
      </c>
      <c r="I67" s="127">
        <f>'Monthly Data'!CC67</f>
        <v>30</v>
      </c>
      <c r="K67" s="127">
        <f>'Large Use OLS Model'!$B$5</f>
        <v>-19707994.0131674</v>
      </c>
      <c r="L67" s="186">
        <f ca="1">'Large Use OLS Model'!$B$6*D67</f>
        <v>3089037.1995460331</v>
      </c>
      <c r="M67" s="186">
        <f>'Large Use OLS Model'!$B$7*E67</f>
        <v>23546424.874780331</v>
      </c>
      <c r="N67" s="186">
        <v>0</v>
      </c>
      <c r="O67" s="186">
        <f>'Large Use OLS Model'!$B$8*G67</f>
        <v>0</v>
      </c>
      <c r="P67" s="186">
        <f>'Large Use OLS Model'!$B$9*H67</f>
        <v>0</v>
      </c>
      <c r="Q67" s="186">
        <f>'Large Use OLS Model'!$B$10*I67</f>
        <v>20688004.791447509</v>
      </c>
      <c r="R67" s="127">
        <f t="shared" ca="1" si="5"/>
        <v>27615472.852606475</v>
      </c>
    </row>
    <row r="68" spans="1:18">
      <c r="A68" s="128">
        <f>'Monthly Data'!A68</f>
        <v>41821</v>
      </c>
      <c r="B68" s="127">
        <f t="shared" si="4"/>
        <v>2014</v>
      </c>
      <c r="C68" s="127">
        <f ca="1">'Monthly Data'!AE68</f>
        <v>28757284.464199886</v>
      </c>
      <c r="D68" s="127">
        <f t="shared" ca="1" si="6"/>
        <v>186.96526315789481</v>
      </c>
      <c r="E68" s="168">
        <f>'Monthly Data'!BJ68</f>
        <v>6864.4</v>
      </c>
      <c r="F68" s="127">
        <f>'Monthly Data'!BM68</f>
        <v>67</v>
      </c>
      <c r="G68" s="127">
        <f>'Monthly Data'!BT68</f>
        <v>1</v>
      </c>
      <c r="H68" s="127">
        <f>'Monthly Data'!BY68</f>
        <v>0</v>
      </c>
      <c r="I68" s="127">
        <f>'Monthly Data'!CC68</f>
        <v>31</v>
      </c>
      <c r="K68" s="127">
        <f>'Large Use OLS Model'!$B$5</f>
        <v>-19707994.0131674</v>
      </c>
      <c r="L68" s="186">
        <f ca="1">'Large Use OLS Model'!$B$6*D68</f>
        <v>4940773.8084869953</v>
      </c>
      <c r="M68" s="186">
        <f>'Large Use OLS Model'!$B$7*E68</f>
        <v>23542995.151111674</v>
      </c>
      <c r="N68" s="186">
        <v>0</v>
      </c>
      <c r="O68" s="186">
        <f>'Large Use OLS Model'!$B$8*G68</f>
        <v>-1563237.6990636101</v>
      </c>
      <c r="P68" s="186">
        <f>'Large Use OLS Model'!$B$9*H68</f>
        <v>0</v>
      </c>
      <c r="Q68" s="186">
        <f>'Large Use OLS Model'!$B$10*I68</f>
        <v>21377604.951162424</v>
      </c>
      <c r="R68" s="127">
        <f t="shared" ca="1" si="5"/>
        <v>28590142.198530082</v>
      </c>
    </row>
    <row r="69" spans="1:18">
      <c r="A69" s="128">
        <f>'Monthly Data'!A69</f>
        <v>41852</v>
      </c>
      <c r="B69" s="127">
        <f t="shared" si="4"/>
        <v>2014</v>
      </c>
      <c r="C69" s="127">
        <f ca="1">'Monthly Data'!AE69</f>
        <v>29410529.954199888</v>
      </c>
      <c r="D69" s="127">
        <f t="shared" ca="1" si="6"/>
        <v>167.43443609022574</v>
      </c>
      <c r="E69" s="168">
        <f>'Monthly Data'!BJ69</f>
        <v>6869.9</v>
      </c>
      <c r="F69" s="127">
        <f>'Monthly Data'!BM69</f>
        <v>68</v>
      </c>
      <c r="G69" s="127">
        <f>'Monthly Data'!BT69</f>
        <v>0</v>
      </c>
      <c r="H69" s="127">
        <f>'Monthly Data'!BY69</f>
        <v>0</v>
      </c>
      <c r="I69" s="127">
        <f>'Monthly Data'!CC69</f>
        <v>31</v>
      </c>
      <c r="K69" s="127">
        <f>'Large Use OLS Model'!$B$5</f>
        <v>-19707994.0131674</v>
      </c>
      <c r="L69" s="186">
        <f ca="1">'Large Use OLS Model'!$B$6*D69</f>
        <v>4424649.0631510941</v>
      </c>
      <c r="M69" s="186">
        <f>'Large Use OLS Model'!$B$7*E69</f>
        <v>23561858.631289274</v>
      </c>
      <c r="N69" s="186">
        <v>0</v>
      </c>
      <c r="O69" s="186">
        <f>'Large Use OLS Model'!$B$8*G69</f>
        <v>0</v>
      </c>
      <c r="P69" s="186">
        <f>'Large Use OLS Model'!$B$9*H69</f>
        <v>0</v>
      </c>
      <c r="Q69" s="186">
        <f>'Large Use OLS Model'!$B$10*I69</f>
        <v>21377604.951162424</v>
      </c>
      <c r="R69" s="127">
        <f t="shared" ca="1" si="5"/>
        <v>29656118.632435393</v>
      </c>
    </row>
    <row r="70" spans="1:18">
      <c r="A70" s="128">
        <f>'Monthly Data'!A70</f>
        <v>41883</v>
      </c>
      <c r="B70" s="127">
        <f t="shared" si="4"/>
        <v>2014</v>
      </c>
      <c r="C70" s="127">
        <f ca="1">'Monthly Data'!AE70</f>
        <v>23959161.474199884</v>
      </c>
      <c r="D70" s="127">
        <f t="shared" ca="1" si="6"/>
        <v>83.003533834586506</v>
      </c>
      <c r="E70" s="168">
        <f>'Monthly Data'!BJ70</f>
        <v>6884.5</v>
      </c>
      <c r="F70" s="127">
        <f>'Monthly Data'!BM70</f>
        <v>69</v>
      </c>
      <c r="G70" s="127">
        <f>'Monthly Data'!BT70</f>
        <v>0</v>
      </c>
      <c r="H70" s="127">
        <f>'Monthly Data'!BY70</f>
        <v>0</v>
      </c>
      <c r="I70" s="127">
        <f>'Monthly Data'!CC70</f>
        <v>30</v>
      </c>
      <c r="K70" s="127">
        <f>'Large Use OLS Model'!$B$5</f>
        <v>-19707994.0131674</v>
      </c>
      <c r="L70" s="186">
        <f ca="1">'Large Use OLS Model'!$B$6*D70</f>
        <v>2193464.5990119162</v>
      </c>
      <c r="M70" s="186">
        <f>'Large Use OLS Model'!$B$7*E70</f>
        <v>23611932.596851632</v>
      </c>
      <c r="N70" s="186">
        <v>0</v>
      </c>
      <c r="O70" s="186">
        <f>'Large Use OLS Model'!$B$8*G70</f>
        <v>0</v>
      </c>
      <c r="P70" s="186">
        <f>'Large Use OLS Model'!$B$9*H70</f>
        <v>0</v>
      </c>
      <c r="Q70" s="186">
        <f>'Large Use OLS Model'!$B$10*I70</f>
        <v>20688004.791447509</v>
      </c>
      <c r="R70" s="127">
        <f t="shared" ca="1" si="5"/>
        <v>26785407.974143658</v>
      </c>
    </row>
    <row r="71" spans="1:18">
      <c r="A71" s="128">
        <f>'Monthly Data'!A71</f>
        <v>41913</v>
      </c>
      <c r="B71" s="127">
        <f t="shared" si="4"/>
        <v>2014</v>
      </c>
      <c r="C71" s="127">
        <f ca="1">'Monthly Data'!AE71</f>
        <v>25930142.964199886</v>
      </c>
      <c r="D71" s="127">
        <f t="shared" ca="1" si="6"/>
        <v>16.916090225563948</v>
      </c>
      <c r="E71" s="168">
        <f>'Monthly Data'!BJ71</f>
        <v>6901.5</v>
      </c>
      <c r="F71" s="127">
        <f>'Monthly Data'!BM71</f>
        <v>70</v>
      </c>
      <c r="G71" s="127">
        <f>'Monthly Data'!BT71</f>
        <v>0</v>
      </c>
      <c r="H71" s="127">
        <f>'Monthly Data'!BY71</f>
        <v>0</v>
      </c>
      <c r="I71" s="127">
        <f>'Monthly Data'!CC71</f>
        <v>31</v>
      </c>
      <c r="K71" s="127">
        <f>'Large Use OLS Model'!$B$5</f>
        <v>-19707994.0131674</v>
      </c>
      <c r="L71" s="186">
        <f ca="1">'Large Use OLS Model'!$B$6*D71</f>
        <v>447027.29328862514</v>
      </c>
      <c r="M71" s="186">
        <f>'Large Use OLS Model'!$B$7*E71</f>
        <v>23670237.899218757</v>
      </c>
      <c r="N71" s="186">
        <v>0</v>
      </c>
      <c r="O71" s="186">
        <f>'Large Use OLS Model'!$B$8*G71</f>
        <v>0</v>
      </c>
      <c r="P71" s="186">
        <f>'Large Use OLS Model'!$B$9*H71</f>
        <v>0</v>
      </c>
      <c r="Q71" s="186">
        <f>'Large Use OLS Model'!$B$10*I71</f>
        <v>21377604.951162424</v>
      </c>
      <c r="R71" s="127">
        <f t="shared" ca="1" si="5"/>
        <v>25786876.130502407</v>
      </c>
    </row>
    <row r="72" spans="1:18">
      <c r="A72" s="128">
        <f>'Monthly Data'!A72</f>
        <v>41944</v>
      </c>
      <c r="B72" s="127">
        <f t="shared" si="4"/>
        <v>2014</v>
      </c>
      <c r="C72" s="127">
        <f ca="1">'Monthly Data'!AE72</f>
        <v>24626116.624199886</v>
      </c>
      <c r="D72" s="127">
        <f t="shared" ca="1" si="6"/>
        <v>8.120300751879661E-2</v>
      </c>
      <c r="E72" s="168">
        <f>'Monthly Data'!BJ72</f>
        <v>6907.5</v>
      </c>
      <c r="F72" s="127">
        <f>'Monthly Data'!BM72</f>
        <v>71</v>
      </c>
      <c r="G72" s="127">
        <f>'Monthly Data'!BT72</f>
        <v>0</v>
      </c>
      <c r="H72" s="127">
        <f>'Monthly Data'!BY72</f>
        <v>0</v>
      </c>
      <c r="I72" s="127">
        <f>'Monthly Data'!CC72</f>
        <v>30</v>
      </c>
      <c r="K72" s="127">
        <f>'Large Use OLS Model'!$B$5</f>
        <v>-19707994.0131674</v>
      </c>
      <c r="L72" s="186">
        <f ca="1">'Large Use OLS Model'!$B$6*D72</f>
        <v>2145.8836039527778</v>
      </c>
      <c r="M72" s="186">
        <f>'Large Use OLS Model'!$B$7*E72</f>
        <v>23690816.241230685</v>
      </c>
      <c r="N72" s="186">
        <v>0</v>
      </c>
      <c r="O72" s="186">
        <f>'Large Use OLS Model'!$B$8*G72</f>
        <v>0</v>
      </c>
      <c r="P72" s="186">
        <f>'Large Use OLS Model'!$B$9*H72</f>
        <v>0</v>
      </c>
      <c r="Q72" s="186">
        <f>'Large Use OLS Model'!$B$10*I72</f>
        <v>20688004.791447509</v>
      </c>
      <c r="R72" s="127">
        <f t="shared" ca="1" si="5"/>
        <v>24672972.903114747</v>
      </c>
    </row>
    <row r="73" spans="1:18">
      <c r="A73" s="128">
        <f>'Monthly Data'!A73</f>
        <v>41974</v>
      </c>
      <c r="B73" s="127">
        <f t="shared" si="4"/>
        <v>2014</v>
      </c>
      <c r="C73" s="127">
        <f ca="1">'Monthly Data'!AE73</f>
        <v>22876540.304199886</v>
      </c>
      <c r="D73" s="127">
        <f t="shared" ca="1" si="6"/>
        <v>0</v>
      </c>
      <c r="E73" s="168">
        <f>'Monthly Data'!BJ73</f>
        <v>6903.1</v>
      </c>
      <c r="F73" s="127">
        <f>'Monthly Data'!BM73</f>
        <v>72</v>
      </c>
      <c r="G73" s="127">
        <f>'Monthly Data'!BT73</f>
        <v>0</v>
      </c>
      <c r="H73" s="127">
        <f>'Monthly Data'!BY73</f>
        <v>1</v>
      </c>
      <c r="I73" s="127">
        <f>'Monthly Data'!CC73</f>
        <v>31</v>
      </c>
      <c r="K73" s="127">
        <f>'Large Use OLS Model'!$B$5</f>
        <v>-19707994.0131674</v>
      </c>
      <c r="L73" s="186">
        <f ca="1">'Large Use OLS Model'!$B$6*D73</f>
        <v>0</v>
      </c>
      <c r="M73" s="186">
        <f>'Large Use OLS Model'!$B$7*E73</f>
        <v>23675725.457088605</v>
      </c>
      <c r="N73" s="186">
        <v>0</v>
      </c>
      <c r="O73" s="186">
        <f>'Large Use OLS Model'!$B$8*G73</f>
        <v>0</v>
      </c>
      <c r="P73" s="186">
        <f>'Large Use OLS Model'!$B$9*H73</f>
        <v>-2219022.2541699898</v>
      </c>
      <c r="Q73" s="186">
        <f>'Large Use OLS Model'!$B$10*I73</f>
        <v>21377604.951162424</v>
      </c>
      <c r="R73" s="127">
        <f t="shared" ca="1" si="5"/>
        <v>23126314.140913639</v>
      </c>
    </row>
    <row r="74" spans="1:18">
      <c r="A74" s="128">
        <f>'Monthly Data'!A74</f>
        <v>42005</v>
      </c>
      <c r="B74" s="127">
        <f t="shared" si="4"/>
        <v>2015</v>
      </c>
      <c r="C74" s="127">
        <f ca="1">'Monthly Data'!AE74</f>
        <v>23987700.533313058</v>
      </c>
      <c r="D74" s="127">
        <f t="shared" ca="1" si="6"/>
        <v>0</v>
      </c>
      <c r="E74" s="168">
        <f>'Monthly Data'!BJ74</f>
        <v>6885.7</v>
      </c>
      <c r="F74" s="127">
        <f>'Monthly Data'!BM74</f>
        <v>73</v>
      </c>
      <c r="G74" s="127">
        <f>'Monthly Data'!BT74</f>
        <v>0</v>
      </c>
      <c r="H74" s="127">
        <f>'Monthly Data'!BY74</f>
        <v>0</v>
      </c>
      <c r="I74" s="127">
        <f>'Monthly Data'!CC74</f>
        <v>31</v>
      </c>
      <c r="K74" s="127">
        <f>'Large Use OLS Model'!$B$5</f>
        <v>-19707994.0131674</v>
      </c>
      <c r="L74" s="186">
        <f ca="1">'Large Use OLS Model'!$B$6*D74</f>
        <v>0</v>
      </c>
      <c r="M74" s="186">
        <f>'Large Use OLS Model'!$B$7*E74</f>
        <v>23616048.265254017</v>
      </c>
      <c r="N74" s="186">
        <v>0</v>
      </c>
      <c r="O74" s="186">
        <f>'Large Use OLS Model'!$B$8*G74</f>
        <v>0</v>
      </c>
      <c r="P74" s="186">
        <f>'Large Use OLS Model'!$B$9*H74</f>
        <v>0</v>
      </c>
      <c r="Q74" s="186">
        <f>'Large Use OLS Model'!$B$10*I74</f>
        <v>21377604.951162424</v>
      </c>
      <c r="R74" s="127">
        <f t="shared" ca="1" si="5"/>
        <v>25285659.203249041</v>
      </c>
    </row>
    <row r="75" spans="1:18">
      <c r="A75" s="128">
        <f>'Monthly Data'!A75</f>
        <v>42036</v>
      </c>
      <c r="B75" s="127">
        <f t="shared" si="4"/>
        <v>2015</v>
      </c>
      <c r="C75" s="127">
        <f ca="1">'Monthly Data'!AE75</f>
        <v>23738766.70331306</v>
      </c>
      <c r="D75" s="127">
        <f t="shared" ca="1" si="6"/>
        <v>0</v>
      </c>
      <c r="E75" s="168">
        <f>'Monthly Data'!BJ75</f>
        <v>6885.3</v>
      </c>
      <c r="F75" s="127">
        <f>'Monthly Data'!BM75</f>
        <v>74</v>
      </c>
      <c r="G75" s="127">
        <f>'Monthly Data'!BT75</f>
        <v>0</v>
      </c>
      <c r="H75" s="127">
        <f>'Monthly Data'!BY75</f>
        <v>0</v>
      </c>
      <c r="I75" s="127">
        <f>'Monthly Data'!CC75</f>
        <v>28</v>
      </c>
      <c r="K75" s="127">
        <f>'Large Use OLS Model'!$B$5</f>
        <v>-19707994.0131674</v>
      </c>
      <c r="L75" s="186">
        <f ca="1">'Large Use OLS Model'!$B$6*D75</f>
        <v>0</v>
      </c>
      <c r="M75" s="186">
        <f>'Large Use OLS Model'!$B$7*E75</f>
        <v>23614676.375786554</v>
      </c>
      <c r="N75" s="186">
        <v>0</v>
      </c>
      <c r="O75" s="186">
        <f>'Large Use OLS Model'!$B$8*G75</f>
        <v>0</v>
      </c>
      <c r="P75" s="186">
        <f>'Large Use OLS Model'!$B$9*H75</f>
        <v>0</v>
      </c>
      <c r="Q75" s="186">
        <f>'Large Use OLS Model'!$B$10*I75</f>
        <v>19308804.472017676</v>
      </c>
      <c r="R75" s="127">
        <f t="shared" ca="1" si="5"/>
        <v>23215486.83463683</v>
      </c>
    </row>
    <row r="76" spans="1:18">
      <c r="A76" s="128">
        <f>'Monthly Data'!A76</f>
        <v>42064</v>
      </c>
      <c r="B76" s="127">
        <f t="shared" si="4"/>
        <v>2015</v>
      </c>
      <c r="C76" s="127">
        <f ca="1">'Monthly Data'!AE76</f>
        <v>25313211.343313061</v>
      </c>
      <c r="D76" s="127">
        <f t="shared" ca="1" si="6"/>
        <v>0.45218045112781802</v>
      </c>
      <c r="E76" s="168">
        <f>'Monthly Data'!BJ76</f>
        <v>6892.1</v>
      </c>
      <c r="F76" s="127">
        <f>'Monthly Data'!BM76</f>
        <v>75</v>
      </c>
      <c r="G76" s="127">
        <f>'Monthly Data'!BT76</f>
        <v>0</v>
      </c>
      <c r="H76" s="127">
        <f>'Monthly Data'!BY76</f>
        <v>0</v>
      </c>
      <c r="I76" s="127">
        <f>'Monthly Data'!CC76</f>
        <v>31</v>
      </c>
      <c r="K76" s="127">
        <f>'Large Use OLS Model'!$B$5</f>
        <v>-19707994.0131674</v>
      </c>
      <c r="L76" s="186">
        <f ca="1">'Large Use OLS Model'!$B$6*D76</f>
        <v>11949.392587196318</v>
      </c>
      <c r="M76" s="186">
        <f>'Large Use OLS Model'!$B$7*E76</f>
        <v>23637998.496733405</v>
      </c>
      <c r="N76" s="186">
        <v>0</v>
      </c>
      <c r="O76" s="186">
        <f>'Large Use OLS Model'!$B$8*G76</f>
        <v>0</v>
      </c>
      <c r="P76" s="186">
        <f>'Large Use OLS Model'!$B$9*H76</f>
        <v>0</v>
      </c>
      <c r="Q76" s="186">
        <f>'Large Use OLS Model'!$B$10*I76</f>
        <v>21377604.951162424</v>
      </c>
      <c r="R76" s="127">
        <f t="shared" ca="1" si="5"/>
        <v>25319558.827315625</v>
      </c>
    </row>
    <row r="77" spans="1:18">
      <c r="A77" s="128">
        <f>'Monthly Data'!A77</f>
        <v>42095</v>
      </c>
      <c r="B77" s="127">
        <f t="shared" si="4"/>
        <v>2015</v>
      </c>
      <c r="C77" s="127">
        <f ca="1">'Monthly Data'!AE77</f>
        <v>24471161.113313057</v>
      </c>
      <c r="D77" s="127">
        <f t="shared" ca="1" si="6"/>
        <v>0.50947368421054762</v>
      </c>
      <c r="E77" s="168">
        <f>'Monthly Data'!BJ77</f>
        <v>6897.3</v>
      </c>
      <c r="F77" s="127">
        <f>'Monthly Data'!BM77</f>
        <v>76</v>
      </c>
      <c r="G77" s="127">
        <f>'Monthly Data'!BT77</f>
        <v>0</v>
      </c>
      <c r="H77" s="127">
        <f>'Monthly Data'!BY77</f>
        <v>0</v>
      </c>
      <c r="I77" s="127">
        <f>'Monthly Data'!CC77</f>
        <v>30</v>
      </c>
      <c r="K77" s="127">
        <f>'Large Use OLS Model'!$B$5</f>
        <v>-19707994.0131674</v>
      </c>
      <c r="L77" s="186">
        <f ca="1">'Large Use OLS Model'!$B$6*D77</f>
        <v>13463.432685541387</v>
      </c>
      <c r="M77" s="186">
        <f>'Large Use OLS Model'!$B$7*E77</f>
        <v>23655833.059810407</v>
      </c>
      <c r="N77" s="186">
        <v>0</v>
      </c>
      <c r="O77" s="186">
        <f>'Large Use OLS Model'!$B$8*G77</f>
        <v>0</v>
      </c>
      <c r="P77" s="186">
        <f>'Large Use OLS Model'!$B$9*H77</f>
        <v>0</v>
      </c>
      <c r="Q77" s="186">
        <f>'Large Use OLS Model'!$B$10*I77</f>
        <v>20688004.791447509</v>
      </c>
      <c r="R77" s="127">
        <f t="shared" ca="1" si="5"/>
        <v>24649307.270776059</v>
      </c>
    </row>
    <row r="78" spans="1:18">
      <c r="A78" s="128">
        <f>'Monthly Data'!A78</f>
        <v>42125</v>
      </c>
      <c r="B78" s="127">
        <f t="shared" si="4"/>
        <v>2015</v>
      </c>
      <c r="C78" s="127">
        <f ca="1">'Monthly Data'!AE78</f>
        <v>27691400.053313062</v>
      </c>
      <c r="D78" s="127">
        <f t="shared" ca="1" si="6"/>
        <v>56.062781954887214</v>
      </c>
      <c r="E78" s="168">
        <f>'Monthly Data'!BJ78</f>
        <v>6906.5</v>
      </c>
      <c r="F78" s="127">
        <f>'Monthly Data'!BM78</f>
        <v>77</v>
      </c>
      <c r="G78" s="127">
        <f>'Monthly Data'!BT78</f>
        <v>0</v>
      </c>
      <c r="H78" s="127">
        <f>'Monthly Data'!BY78</f>
        <v>0</v>
      </c>
      <c r="I78" s="127">
        <f>'Monthly Data'!CC78</f>
        <v>31</v>
      </c>
      <c r="K78" s="127">
        <f>'Large Use OLS Model'!$B$5</f>
        <v>-19707994.0131674</v>
      </c>
      <c r="L78" s="186">
        <f ca="1">'Large Use OLS Model'!$B$6*D78</f>
        <v>1481524.0009567935</v>
      </c>
      <c r="M78" s="186">
        <f>'Large Use OLS Model'!$B$7*E78</f>
        <v>23687386.517562028</v>
      </c>
      <c r="N78" s="186">
        <v>0</v>
      </c>
      <c r="O78" s="186">
        <f>'Large Use OLS Model'!$B$8*G78</f>
        <v>0</v>
      </c>
      <c r="P78" s="186">
        <f>'Large Use OLS Model'!$B$9*H78</f>
        <v>0</v>
      </c>
      <c r="Q78" s="186">
        <f>'Large Use OLS Model'!$B$10*I78</f>
        <v>21377604.951162424</v>
      </c>
      <c r="R78" s="127">
        <f t="shared" ca="1" si="5"/>
        <v>26838521.456513844</v>
      </c>
    </row>
    <row r="79" spans="1:18">
      <c r="A79" s="128">
        <f>'Monthly Data'!A79</f>
        <v>42156</v>
      </c>
      <c r="B79" s="127">
        <f t="shared" si="4"/>
        <v>2015</v>
      </c>
      <c r="C79" s="127">
        <f ca="1">'Monthly Data'!AE79</f>
        <v>28284245.943313062</v>
      </c>
      <c r="D79" s="127">
        <f t="shared" ca="1" si="6"/>
        <v>116.89315789473682</v>
      </c>
      <c r="E79" s="168">
        <f>'Monthly Data'!BJ79</f>
        <v>6921.3</v>
      </c>
      <c r="F79" s="127">
        <f>'Monthly Data'!BM79</f>
        <v>78</v>
      </c>
      <c r="G79" s="127">
        <f>'Monthly Data'!BT79</f>
        <v>0</v>
      </c>
      <c r="H79" s="127">
        <f>'Monthly Data'!BY79</f>
        <v>0</v>
      </c>
      <c r="I79" s="127">
        <f>'Monthly Data'!CC79</f>
        <v>30</v>
      </c>
      <c r="K79" s="127">
        <f>'Large Use OLS Model'!$B$5</f>
        <v>-19707994.0131674</v>
      </c>
      <c r="L79" s="186">
        <f ca="1">'Large Use OLS Model'!$B$6*D79</f>
        <v>3089037.1995460331</v>
      </c>
      <c r="M79" s="186">
        <f>'Large Use OLS Model'!$B$7*E79</f>
        <v>23738146.427858114</v>
      </c>
      <c r="N79" s="186">
        <v>0</v>
      </c>
      <c r="O79" s="186">
        <f>'Large Use OLS Model'!$B$8*G79</f>
        <v>0</v>
      </c>
      <c r="P79" s="186">
        <f>'Large Use OLS Model'!$B$9*H79</f>
        <v>0</v>
      </c>
      <c r="Q79" s="186">
        <f>'Large Use OLS Model'!$B$10*I79</f>
        <v>20688004.791447509</v>
      </c>
      <c r="R79" s="127">
        <f t="shared" ca="1" si="5"/>
        <v>27807194.405684255</v>
      </c>
    </row>
    <row r="80" spans="1:18">
      <c r="A80" s="128">
        <f>'Monthly Data'!A80</f>
        <v>42186</v>
      </c>
      <c r="B80" s="127">
        <f t="shared" si="4"/>
        <v>2015</v>
      </c>
      <c r="C80" s="127">
        <f ca="1">'Monthly Data'!AE80</f>
        <v>28027417.573313057</v>
      </c>
      <c r="D80" s="127">
        <f t="shared" ca="1" si="6"/>
        <v>186.96526315789481</v>
      </c>
      <c r="E80" s="168">
        <f>'Monthly Data'!BJ80</f>
        <v>6941.2</v>
      </c>
      <c r="F80" s="127">
        <f>'Monthly Data'!BM80</f>
        <v>79</v>
      </c>
      <c r="G80" s="127">
        <f>'Monthly Data'!BT80</f>
        <v>1</v>
      </c>
      <c r="H80" s="127">
        <f>'Monthly Data'!BY80</f>
        <v>0</v>
      </c>
      <c r="I80" s="127">
        <f>'Monthly Data'!CC80</f>
        <v>31</v>
      </c>
      <c r="K80" s="127">
        <f>'Large Use OLS Model'!$B$5</f>
        <v>-19707994.0131674</v>
      </c>
      <c r="L80" s="186">
        <f ca="1">'Large Use OLS Model'!$B$6*D80</f>
        <v>4940773.8084869953</v>
      </c>
      <c r="M80" s="186">
        <f>'Large Use OLS Model'!$B$7*E80</f>
        <v>23806397.928864338</v>
      </c>
      <c r="N80" s="186">
        <v>0</v>
      </c>
      <c r="O80" s="186">
        <f>'Large Use OLS Model'!$B$8*G80</f>
        <v>-1563237.6990636101</v>
      </c>
      <c r="P80" s="186">
        <f>'Large Use OLS Model'!$B$9*H80</f>
        <v>0</v>
      </c>
      <c r="Q80" s="186">
        <f>'Large Use OLS Model'!$B$10*I80</f>
        <v>21377604.951162424</v>
      </c>
      <c r="R80" s="127">
        <f t="shared" ca="1" si="5"/>
        <v>28853544.976282746</v>
      </c>
    </row>
    <row r="81" spans="1:18">
      <c r="A81" s="128">
        <f>'Monthly Data'!A81</f>
        <v>42217</v>
      </c>
      <c r="B81" s="127">
        <f t="shared" si="4"/>
        <v>2015</v>
      </c>
      <c r="C81" s="127">
        <f ca="1">'Monthly Data'!AE81</f>
        <v>29750781.553313062</v>
      </c>
      <c r="D81" s="127">
        <f t="shared" ca="1" si="6"/>
        <v>167.43443609022574</v>
      </c>
      <c r="E81" s="168">
        <f>'Monthly Data'!BJ81</f>
        <v>6949.2</v>
      </c>
      <c r="F81" s="127">
        <f>'Monthly Data'!BM81</f>
        <v>80</v>
      </c>
      <c r="G81" s="127">
        <f>'Monthly Data'!BT81</f>
        <v>0</v>
      </c>
      <c r="H81" s="127">
        <f>'Monthly Data'!BY81</f>
        <v>0</v>
      </c>
      <c r="I81" s="127">
        <f>'Monthly Data'!CC81</f>
        <v>31</v>
      </c>
      <c r="K81" s="127">
        <f>'Large Use OLS Model'!$B$5</f>
        <v>-19707994.0131674</v>
      </c>
      <c r="L81" s="186">
        <f ca="1">'Large Use OLS Model'!$B$6*D81</f>
        <v>4424649.0631510941</v>
      </c>
      <c r="M81" s="186">
        <f>'Large Use OLS Model'!$B$7*E81</f>
        <v>23833835.718213573</v>
      </c>
      <c r="N81" s="186">
        <v>0</v>
      </c>
      <c r="O81" s="186">
        <f>'Large Use OLS Model'!$B$8*G81</f>
        <v>0</v>
      </c>
      <c r="P81" s="186">
        <f>'Large Use OLS Model'!$B$9*H81</f>
        <v>0</v>
      </c>
      <c r="Q81" s="186">
        <f>'Large Use OLS Model'!$B$10*I81</f>
        <v>21377604.951162424</v>
      </c>
      <c r="R81" s="127">
        <f t="shared" ca="1" si="5"/>
        <v>29928095.719359692</v>
      </c>
    </row>
    <row r="82" spans="1:18">
      <c r="A82" s="128">
        <f>'Monthly Data'!A82</f>
        <v>42248</v>
      </c>
      <c r="B82" s="127">
        <f t="shared" si="4"/>
        <v>2015</v>
      </c>
      <c r="C82" s="127">
        <f ca="1">'Monthly Data'!AE82</f>
        <v>26713798.003313057</v>
      </c>
      <c r="D82" s="127">
        <f t="shared" ca="1" si="6"/>
        <v>83.003533834586506</v>
      </c>
      <c r="E82" s="168">
        <f>'Monthly Data'!BJ82</f>
        <v>6941.1</v>
      </c>
      <c r="F82" s="127">
        <f>'Monthly Data'!BM82</f>
        <v>81</v>
      </c>
      <c r="G82" s="127">
        <f>'Monthly Data'!BT82</f>
        <v>0</v>
      </c>
      <c r="H82" s="127">
        <f>'Monthly Data'!BY82</f>
        <v>0</v>
      </c>
      <c r="I82" s="127">
        <f>'Monthly Data'!CC82</f>
        <v>30</v>
      </c>
      <c r="K82" s="127">
        <f>'Large Use OLS Model'!$B$5</f>
        <v>-19707994.0131674</v>
      </c>
      <c r="L82" s="186">
        <f ca="1">'Large Use OLS Model'!$B$6*D82</f>
        <v>2193464.5990119162</v>
      </c>
      <c r="M82" s="186">
        <f>'Large Use OLS Model'!$B$7*E82</f>
        <v>23806054.956497476</v>
      </c>
      <c r="N82" s="186">
        <v>0</v>
      </c>
      <c r="O82" s="186">
        <f>'Large Use OLS Model'!$B$8*G82</f>
        <v>0</v>
      </c>
      <c r="P82" s="186">
        <f>'Large Use OLS Model'!$B$9*H82</f>
        <v>0</v>
      </c>
      <c r="Q82" s="186">
        <f>'Large Use OLS Model'!$B$10*I82</f>
        <v>20688004.791447509</v>
      </c>
      <c r="R82" s="127">
        <f t="shared" ca="1" si="5"/>
        <v>26979530.333789501</v>
      </c>
    </row>
    <row r="83" spans="1:18">
      <c r="A83" s="128">
        <f>'Monthly Data'!A83</f>
        <v>42278</v>
      </c>
      <c r="B83" s="127">
        <f t="shared" si="4"/>
        <v>2015</v>
      </c>
      <c r="C83" s="127">
        <f ca="1">'Monthly Data'!AE83</f>
        <v>25441621.893313058</v>
      </c>
      <c r="D83" s="127">
        <f t="shared" ca="1" si="6"/>
        <v>16.916090225563948</v>
      </c>
      <c r="E83" s="168">
        <f>'Monthly Data'!BJ83</f>
        <v>6934.8</v>
      </c>
      <c r="F83" s="127">
        <f>'Monthly Data'!BM83</f>
        <v>82</v>
      </c>
      <c r="G83" s="127">
        <f>'Monthly Data'!BT83</f>
        <v>0</v>
      </c>
      <c r="H83" s="127">
        <f>'Monthly Data'!BY83</f>
        <v>0</v>
      </c>
      <c r="I83" s="127">
        <f>'Monthly Data'!CC83</f>
        <v>31</v>
      </c>
      <c r="K83" s="127">
        <f>'Large Use OLS Model'!$B$5</f>
        <v>-19707994.0131674</v>
      </c>
      <c r="L83" s="186">
        <f ca="1">'Large Use OLS Model'!$B$6*D83</f>
        <v>447027.29328862514</v>
      </c>
      <c r="M83" s="186">
        <f>'Large Use OLS Model'!$B$7*E83</f>
        <v>23784447.69738495</v>
      </c>
      <c r="N83" s="186">
        <v>0</v>
      </c>
      <c r="O83" s="186">
        <f>'Large Use OLS Model'!$B$8*G83</f>
        <v>0</v>
      </c>
      <c r="P83" s="186">
        <f>'Large Use OLS Model'!$B$9*H83</f>
        <v>0</v>
      </c>
      <c r="Q83" s="186">
        <f>'Large Use OLS Model'!$B$10*I83</f>
        <v>21377604.951162424</v>
      </c>
      <c r="R83" s="127">
        <f t="shared" ca="1" si="5"/>
        <v>25901085.9286686</v>
      </c>
    </row>
    <row r="84" spans="1:18">
      <c r="A84" s="128">
        <f>'Monthly Data'!A84</f>
        <v>42309</v>
      </c>
      <c r="B84" s="127">
        <f t="shared" si="4"/>
        <v>2015</v>
      </c>
      <c r="C84" s="127">
        <f ca="1">'Monthly Data'!AE84</f>
        <v>24220410.913313061</v>
      </c>
      <c r="D84" s="127">
        <f t="shared" ca="1" si="6"/>
        <v>8.120300751879661E-2</v>
      </c>
      <c r="E84" s="168">
        <f>'Monthly Data'!BJ84</f>
        <v>6928.3</v>
      </c>
      <c r="F84" s="127">
        <f>'Monthly Data'!BM84</f>
        <v>83</v>
      </c>
      <c r="G84" s="127">
        <f>'Monthly Data'!BT84</f>
        <v>0</v>
      </c>
      <c r="H84" s="127">
        <f>'Monthly Data'!BY84</f>
        <v>0</v>
      </c>
      <c r="I84" s="127">
        <f>'Monthly Data'!CC84</f>
        <v>30</v>
      </c>
      <c r="K84" s="127">
        <f>'Large Use OLS Model'!$B$5</f>
        <v>-19707994.0131674</v>
      </c>
      <c r="L84" s="186">
        <f ca="1">'Large Use OLS Model'!$B$6*D84</f>
        <v>2145.8836039527778</v>
      </c>
      <c r="M84" s="186">
        <f>'Large Use OLS Model'!$B$7*E84</f>
        <v>23762154.493538696</v>
      </c>
      <c r="N84" s="186">
        <v>0</v>
      </c>
      <c r="O84" s="186">
        <f>'Large Use OLS Model'!$B$8*G84</f>
        <v>0</v>
      </c>
      <c r="P84" s="186">
        <f>'Large Use OLS Model'!$B$9*H84</f>
        <v>0</v>
      </c>
      <c r="Q84" s="186">
        <f>'Large Use OLS Model'!$B$10*I84</f>
        <v>20688004.791447509</v>
      </c>
      <c r="R84" s="127">
        <f t="shared" ca="1" si="5"/>
        <v>24744311.155422758</v>
      </c>
    </row>
    <row r="85" spans="1:18">
      <c r="A85" s="128">
        <f>'Monthly Data'!A85</f>
        <v>42339</v>
      </c>
      <c r="B85" s="127">
        <f t="shared" si="4"/>
        <v>2015</v>
      </c>
      <c r="C85" s="127">
        <f ca="1">'Monthly Data'!AE85</f>
        <v>23661661.963313058</v>
      </c>
      <c r="D85" s="127">
        <f t="shared" ca="1" si="6"/>
        <v>0</v>
      </c>
      <c r="E85" s="168">
        <f>'Monthly Data'!BJ85</f>
        <v>6942.8</v>
      </c>
      <c r="F85" s="127">
        <f>'Monthly Data'!BM85</f>
        <v>84</v>
      </c>
      <c r="G85" s="127">
        <f>'Monthly Data'!BT85</f>
        <v>0</v>
      </c>
      <c r="H85" s="127">
        <f>'Monthly Data'!BY85</f>
        <v>1</v>
      </c>
      <c r="I85" s="127">
        <f>'Monthly Data'!CC85</f>
        <v>31</v>
      </c>
      <c r="K85" s="127">
        <f>'Large Use OLS Model'!$B$5</f>
        <v>-19707994.0131674</v>
      </c>
      <c r="L85" s="186">
        <f ca="1">'Large Use OLS Model'!$B$6*D85</f>
        <v>0</v>
      </c>
      <c r="M85" s="186">
        <f>'Large Use OLS Model'!$B$7*E85</f>
        <v>23811885.486734185</v>
      </c>
      <c r="N85" s="186">
        <v>0</v>
      </c>
      <c r="O85" s="186">
        <f>'Large Use OLS Model'!$B$8*G85</f>
        <v>0</v>
      </c>
      <c r="P85" s="186">
        <f>'Large Use OLS Model'!$B$9*H85</f>
        <v>-2219022.2541699898</v>
      </c>
      <c r="Q85" s="186">
        <f>'Large Use OLS Model'!$B$10*I85</f>
        <v>21377604.951162424</v>
      </c>
      <c r="R85" s="127">
        <f t="shared" ca="1" si="5"/>
        <v>23262474.17055922</v>
      </c>
    </row>
    <row r="86" spans="1:18">
      <c r="A86" s="128">
        <f>'Monthly Data'!A86</f>
        <v>42370</v>
      </c>
      <c r="B86" s="127">
        <f t="shared" si="4"/>
        <v>2016</v>
      </c>
      <c r="C86" s="127">
        <f ca="1">'Monthly Data'!AE86</f>
        <v>25090154.590573408</v>
      </c>
      <c r="D86" s="127">
        <f t="shared" ca="1" si="6"/>
        <v>0</v>
      </c>
      <c r="E86" s="168">
        <f>'Monthly Data'!BJ86</f>
        <v>6956.6</v>
      </c>
      <c r="F86" s="127">
        <f>'Monthly Data'!BM86</f>
        <v>85</v>
      </c>
      <c r="G86" s="127">
        <f>'Monthly Data'!BT86</f>
        <v>0</v>
      </c>
      <c r="H86" s="127">
        <f>'Monthly Data'!BY86</f>
        <v>0</v>
      </c>
      <c r="I86" s="127">
        <f>'Monthly Data'!CC86</f>
        <v>31</v>
      </c>
      <c r="K86" s="127">
        <f>'Large Use OLS Model'!$B$5</f>
        <v>-19707994.0131674</v>
      </c>
      <c r="L86" s="186">
        <f ca="1">'Large Use OLS Model'!$B$6*D86</f>
        <v>0</v>
      </c>
      <c r="M86" s="186">
        <f>'Large Use OLS Model'!$B$7*E86</f>
        <v>23859215.673361618</v>
      </c>
      <c r="N86" s="186">
        <v>0</v>
      </c>
      <c r="O86" s="186">
        <f>'Large Use OLS Model'!$B$8*G86</f>
        <v>0</v>
      </c>
      <c r="P86" s="186">
        <f>'Large Use OLS Model'!$B$9*H86</f>
        <v>0</v>
      </c>
      <c r="Q86" s="186">
        <f>'Large Use OLS Model'!$B$10*I86</f>
        <v>21377604.951162424</v>
      </c>
      <c r="R86" s="127">
        <f t="shared" ca="1" si="5"/>
        <v>25528826.611356642</v>
      </c>
    </row>
    <row r="87" spans="1:18">
      <c r="A87" s="128">
        <f>'Monthly Data'!A87</f>
        <v>42401</v>
      </c>
      <c r="B87" s="127">
        <f t="shared" si="4"/>
        <v>2016</v>
      </c>
      <c r="C87" s="127">
        <f ca="1">'Monthly Data'!AE87</f>
        <v>24396990.330573406</v>
      </c>
      <c r="D87" s="127">
        <f t="shared" ca="1" si="6"/>
        <v>0</v>
      </c>
      <c r="E87" s="168">
        <f>'Monthly Data'!BJ87</f>
        <v>6968.5</v>
      </c>
      <c r="F87" s="127">
        <f>'Monthly Data'!BM87</f>
        <v>86</v>
      </c>
      <c r="G87" s="127">
        <f>'Monthly Data'!BT87</f>
        <v>0</v>
      </c>
      <c r="H87" s="127">
        <f>'Monthly Data'!BY87</f>
        <v>0</v>
      </c>
      <c r="I87" s="127">
        <f>'Monthly Data'!CC87</f>
        <v>29</v>
      </c>
      <c r="K87" s="127">
        <f>'Large Use OLS Model'!$B$5</f>
        <v>-19707994.0131674</v>
      </c>
      <c r="L87" s="186">
        <f ca="1">'Large Use OLS Model'!$B$6*D87</f>
        <v>0</v>
      </c>
      <c r="M87" s="186">
        <f>'Large Use OLS Model'!$B$7*E87</f>
        <v>23900029.385018606</v>
      </c>
      <c r="N87" s="186">
        <v>0</v>
      </c>
      <c r="O87" s="186">
        <f>'Large Use OLS Model'!$B$8*G87</f>
        <v>0</v>
      </c>
      <c r="P87" s="186">
        <f>'Large Use OLS Model'!$B$9*H87</f>
        <v>0</v>
      </c>
      <c r="Q87" s="186">
        <f>'Large Use OLS Model'!$B$10*I87</f>
        <v>19998404.63173259</v>
      </c>
      <c r="R87" s="127">
        <f t="shared" ca="1" si="5"/>
        <v>24190440.003583796</v>
      </c>
    </row>
    <row r="88" spans="1:18">
      <c r="A88" s="128">
        <f>'Monthly Data'!A88</f>
        <v>42430</v>
      </c>
      <c r="B88" s="127">
        <f t="shared" si="4"/>
        <v>2016</v>
      </c>
      <c r="C88" s="127">
        <f ca="1">'Monthly Data'!AE88</f>
        <v>27149345.800573409</v>
      </c>
      <c r="D88" s="127">
        <f t="shared" ca="1" si="6"/>
        <v>0.45218045112781802</v>
      </c>
      <c r="E88" s="168">
        <f>'Monthly Data'!BJ88</f>
        <v>6975.7</v>
      </c>
      <c r="F88" s="127">
        <f>'Monthly Data'!BM88</f>
        <v>87</v>
      </c>
      <c r="G88" s="127">
        <f>'Monthly Data'!BT88</f>
        <v>0</v>
      </c>
      <c r="H88" s="127">
        <f>'Monthly Data'!BY88</f>
        <v>0</v>
      </c>
      <c r="I88" s="127">
        <f>'Monthly Data'!CC88</f>
        <v>31</v>
      </c>
      <c r="K88" s="127">
        <f>'Large Use OLS Model'!$B$5</f>
        <v>-19707994.0131674</v>
      </c>
      <c r="L88" s="186">
        <f ca="1">'Large Use OLS Model'!$B$6*D88</f>
        <v>11949.392587196318</v>
      </c>
      <c r="M88" s="186">
        <f>'Large Use OLS Model'!$B$7*E88</f>
        <v>23924723.395432916</v>
      </c>
      <c r="N88" s="186">
        <v>0</v>
      </c>
      <c r="O88" s="186">
        <f>'Large Use OLS Model'!$B$8*G88</f>
        <v>0</v>
      </c>
      <c r="P88" s="186">
        <f>'Large Use OLS Model'!$B$9*H88</f>
        <v>0</v>
      </c>
      <c r="Q88" s="186">
        <f>'Large Use OLS Model'!$B$10*I88</f>
        <v>21377604.951162424</v>
      </c>
      <c r="R88" s="127">
        <f t="shared" ca="1" si="5"/>
        <v>25606283.726015136</v>
      </c>
    </row>
    <row r="89" spans="1:18">
      <c r="A89" s="128">
        <f>'Monthly Data'!A89</f>
        <v>42461</v>
      </c>
      <c r="B89" s="127">
        <f t="shared" si="4"/>
        <v>2016</v>
      </c>
      <c r="C89" s="127">
        <f ca="1">'Monthly Data'!AE89</f>
        <v>27647505.130573407</v>
      </c>
      <c r="D89" s="127">
        <f t="shared" ca="1" si="6"/>
        <v>0.50947368421054762</v>
      </c>
      <c r="E89" s="168">
        <f>'Monthly Data'!BJ89</f>
        <v>6979.7</v>
      </c>
      <c r="F89" s="127">
        <f>'Monthly Data'!BM89</f>
        <v>88</v>
      </c>
      <c r="G89" s="127">
        <f>'Monthly Data'!BT89</f>
        <v>0</v>
      </c>
      <c r="H89" s="127">
        <f>'Monthly Data'!BY89</f>
        <v>0</v>
      </c>
      <c r="I89" s="127">
        <f>'Monthly Data'!CC89</f>
        <v>30</v>
      </c>
      <c r="K89" s="127">
        <f>'Large Use OLS Model'!$B$5</f>
        <v>-19707994.0131674</v>
      </c>
      <c r="L89" s="186">
        <f ca="1">'Large Use OLS Model'!$B$6*D89</f>
        <v>13463.432685541387</v>
      </c>
      <c r="M89" s="186">
        <f>'Large Use OLS Model'!$B$7*E89</f>
        <v>23938442.290107537</v>
      </c>
      <c r="N89" s="186">
        <v>0</v>
      </c>
      <c r="O89" s="186">
        <f>'Large Use OLS Model'!$B$8*G89</f>
        <v>0</v>
      </c>
      <c r="P89" s="186">
        <f>'Large Use OLS Model'!$B$9*H89</f>
        <v>0</v>
      </c>
      <c r="Q89" s="186">
        <f>'Large Use OLS Model'!$B$10*I89</f>
        <v>20688004.791447509</v>
      </c>
      <c r="R89" s="127">
        <f t="shared" ca="1" si="5"/>
        <v>24931916.501073189</v>
      </c>
    </row>
    <row r="90" spans="1:18">
      <c r="A90" s="128">
        <f>'Monthly Data'!A90</f>
        <v>42491</v>
      </c>
      <c r="B90" s="127">
        <f t="shared" si="4"/>
        <v>2016</v>
      </c>
      <c r="C90" s="127">
        <f ca="1">'Monthly Data'!AE90</f>
        <v>28570914.350573409</v>
      </c>
      <c r="D90" s="127">
        <f t="shared" ca="1" si="6"/>
        <v>56.062781954887214</v>
      </c>
      <c r="E90" s="168">
        <f>'Monthly Data'!BJ90</f>
        <v>6990.5</v>
      </c>
      <c r="F90" s="127">
        <f>'Monthly Data'!BM90</f>
        <v>89</v>
      </c>
      <c r="G90" s="127">
        <f>'Monthly Data'!BT90</f>
        <v>0</v>
      </c>
      <c r="H90" s="127">
        <f>'Monthly Data'!BY90</f>
        <v>0</v>
      </c>
      <c r="I90" s="127">
        <f>'Monthly Data'!CC90</f>
        <v>31</v>
      </c>
      <c r="K90" s="127">
        <f>'Large Use OLS Model'!$B$5</f>
        <v>-19707994.0131674</v>
      </c>
      <c r="L90" s="186">
        <f ca="1">'Large Use OLS Model'!$B$6*D90</f>
        <v>1481524.0009567935</v>
      </c>
      <c r="M90" s="186">
        <f>'Large Use OLS Model'!$B$7*E90</f>
        <v>23975483.305729005</v>
      </c>
      <c r="N90" s="186">
        <v>0</v>
      </c>
      <c r="O90" s="186">
        <f>'Large Use OLS Model'!$B$8*G90</f>
        <v>0</v>
      </c>
      <c r="P90" s="186">
        <f>'Large Use OLS Model'!$B$9*H90</f>
        <v>0</v>
      </c>
      <c r="Q90" s="186">
        <f>'Large Use OLS Model'!$B$10*I90</f>
        <v>21377604.951162424</v>
      </c>
      <c r="R90" s="127">
        <f t="shared" ca="1" si="5"/>
        <v>27126618.244680822</v>
      </c>
    </row>
    <row r="91" spans="1:18">
      <c r="A91" s="128">
        <f>'Monthly Data'!A91</f>
        <v>42522</v>
      </c>
      <c r="B91" s="127">
        <f t="shared" si="4"/>
        <v>2016</v>
      </c>
      <c r="C91" s="127">
        <f ca="1">'Monthly Data'!AE91</f>
        <v>29314407.180573408</v>
      </c>
      <c r="D91" s="127">
        <f t="shared" ca="1" si="6"/>
        <v>116.89315789473682</v>
      </c>
      <c r="E91" s="168">
        <f>'Monthly Data'!BJ91</f>
        <v>6998.8</v>
      </c>
      <c r="F91" s="127">
        <f>'Monthly Data'!BM91</f>
        <v>90</v>
      </c>
      <c r="G91" s="127">
        <f>'Monthly Data'!BT91</f>
        <v>0</v>
      </c>
      <c r="H91" s="127">
        <f>'Monthly Data'!BY91</f>
        <v>0</v>
      </c>
      <c r="I91" s="127">
        <f>'Monthly Data'!CC91</f>
        <v>30</v>
      </c>
      <c r="K91" s="127">
        <f>'Large Use OLS Model'!$B$5</f>
        <v>-19707994.0131674</v>
      </c>
      <c r="L91" s="186">
        <f ca="1">'Large Use OLS Model'!$B$6*D91</f>
        <v>3089037.1995460331</v>
      </c>
      <c r="M91" s="186">
        <f>'Large Use OLS Model'!$B$7*E91</f>
        <v>24003950.012178838</v>
      </c>
      <c r="N91" s="186">
        <v>0</v>
      </c>
      <c r="O91" s="186">
        <f>'Large Use OLS Model'!$B$8*G91</f>
        <v>0</v>
      </c>
      <c r="P91" s="186">
        <f>'Large Use OLS Model'!$B$9*H91</f>
        <v>0</v>
      </c>
      <c r="Q91" s="186">
        <f>'Large Use OLS Model'!$B$10*I91</f>
        <v>20688004.791447509</v>
      </c>
      <c r="R91" s="127">
        <f t="shared" ca="1" si="5"/>
        <v>28072997.990004979</v>
      </c>
    </row>
    <row r="92" spans="1:18">
      <c r="A92" s="128">
        <f>'Monthly Data'!A92</f>
        <v>42552</v>
      </c>
      <c r="B92" s="127">
        <f t="shared" si="4"/>
        <v>2016</v>
      </c>
      <c r="C92" s="127">
        <f ca="1">'Monthly Data'!AE92</f>
        <v>30213662.17057341</v>
      </c>
      <c r="D92" s="127">
        <f t="shared" ca="1" si="6"/>
        <v>186.96526315789481</v>
      </c>
      <c r="E92" s="168">
        <f>'Monthly Data'!BJ92</f>
        <v>6995</v>
      </c>
      <c r="F92" s="127">
        <f>'Monthly Data'!BM92</f>
        <v>91</v>
      </c>
      <c r="G92" s="127">
        <f>'Monthly Data'!BT92</f>
        <v>1</v>
      </c>
      <c r="H92" s="127">
        <f>'Monthly Data'!BY92</f>
        <v>0</v>
      </c>
      <c r="I92" s="127">
        <f>'Monthly Data'!CC92</f>
        <v>31</v>
      </c>
      <c r="K92" s="127">
        <f>'Large Use OLS Model'!$B$5</f>
        <v>-19707994.0131674</v>
      </c>
      <c r="L92" s="186">
        <f ca="1">'Large Use OLS Model'!$B$6*D92</f>
        <v>4940773.8084869953</v>
      </c>
      <c r="M92" s="186">
        <f>'Large Use OLS Model'!$B$7*E92</f>
        <v>23990917.062237948</v>
      </c>
      <c r="N92" s="186">
        <v>0</v>
      </c>
      <c r="O92" s="186">
        <f>'Large Use OLS Model'!$B$8*G92</f>
        <v>-1563237.6990636101</v>
      </c>
      <c r="P92" s="186">
        <f>'Large Use OLS Model'!$B$9*H92</f>
        <v>0</v>
      </c>
      <c r="Q92" s="186">
        <f>'Large Use OLS Model'!$B$10*I92</f>
        <v>21377604.951162424</v>
      </c>
      <c r="R92" s="127">
        <f t="shared" ca="1" si="5"/>
        <v>29038064.109656356</v>
      </c>
    </row>
    <row r="93" spans="1:18">
      <c r="A93" s="128">
        <f>'Monthly Data'!A93</f>
        <v>42583</v>
      </c>
      <c r="B93" s="127">
        <f t="shared" si="4"/>
        <v>2016</v>
      </c>
      <c r="C93" s="127">
        <f ca="1">'Monthly Data'!AE93</f>
        <v>31803691.650573406</v>
      </c>
      <c r="D93" s="127">
        <f t="shared" ca="1" si="6"/>
        <v>167.43443609022574</v>
      </c>
      <c r="E93" s="168">
        <f>'Monthly Data'!BJ93</f>
        <v>6991</v>
      </c>
      <c r="F93" s="127">
        <f>'Monthly Data'!BM93</f>
        <v>92</v>
      </c>
      <c r="G93" s="127">
        <f>'Monthly Data'!BT93</f>
        <v>0</v>
      </c>
      <c r="H93" s="127">
        <f>'Monthly Data'!BY93</f>
        <v>0</v>
      </c>
      <c r="I93" s="127">
        <f>'Monthly Data'!CC93</f>
        <v>31</v>
      </c>
      <c r="K93" s="127">
        <f>'Large Use OLS Model'!$B$5</f>
        <v>-19707994.0131674</v>
      </c>
      <c r="L93" s="186">
        <f ca="1">'Large Use OLS Model'!$B$6*D93</f>
        <v>4424649.0631510941</v>
      </c>
      <c r="M93" s="186">
        <f>'Large Use OLS Model'!$B$7*E93</f>
        <v>23977198.16756333</v>
      </c>
      <c r="N93" s="186">
        <v>0</v>
      </c>
      <c r="O93" s="186">
        <f>'Large Use OLS Model'!$B$8*G93</f>
        <v>0</v>
      </c>
      <c r="P93" s="186">
        <f>'Large Use OLS Model'!$B$9*H93</f>
        <v>0</v>
      </c>
      <c r="Q93" s="186">
        <f>'Large Use OLS Model'!$B$10*I93</f>
        <v>21377604.951162424</v>
      </c>
      <c r="R93" s="127">
        <f t="shared" ca="1" si="5"/>
        <v>30071458.168709449</v>
      </c>
    </row>
    <row r="94" spans="1:18">
      <c r="A94" s="128">
        <f>'Monthly Data'!A94</f>
        <v>42614</v>
      </c>
      <c r="B94" s="127">
        <f t="shared" si="4"/>
        <v>2016</v>
      </c>
      <c r="C94" s="127">
        <f ca="1">'Monthly Data'!AE94</f>
        <v>28562406.850573409</v>
      </c>
      <c r="D94" s="127">
        <f t="shared" ca="1" si="6"/>
        <v>83.003533834586506</v>
      </c>
      <c r="E94" s="168">
        <f>'Monthly Data'!BJ94</f>
        <v>6989.1</v>
      </c>
      <c r="F94" s="127">
        <f>'Monthly Data'!BM94</f>
        <v>93</v>
      </c>
      <c r="G94" s="127">
        <f>'Monthly Data'!BT94</f>
        <v>0</v>
      </c>
      <c r="H94" s="127">
        <f>'Monthly Data'!BY94</f>
        <v>0</v>
      </c>
      <c r="I94" s="127">
        <f>'Monthly Data'!CC94</f>
        <v>30</v>
      </c>
      <c r="K94" s="127">
        <f>'Large Use OLS Model'!$B$5</f>
        <v>-19707994.0131674</v>
      </c>
      <c r="L94" s="186">
        <f ca="1">'Large Use OLS Model'!$B$6*D94</f>
        <v>2193464.5990119162</v>
      </c>
      <c r="M94" s="186">
        <f>'Large Use OLS Model'!$B$7*E94</f>
        <v>23970681.692592889</v>
      </c>
      <c r="N94" s="186">
        <v>0</v>
      </c>
      <c r="O94" s="186">
        <f>'Large Use OLS Model'!$B$8*G94</f>
        <v>0</v>
      </c>
      <c r="P94" s="186">
        <f>'Large Use OLS Model'!$B$9*H94</f>
        <v>0</v>
      </c>
      <c r="Q94" s="186">
        <f>'Large Use OLS Model'!$B$10*I94</f>
        <v>20688004.791447509</v>
      </c>
      <c r="R94" s="127">
        <f t="shared" ca="1" si="5"/>
        <v>27144157.069884915</v>
      </c>
    </row>
    <row r="95" spans="1:18">
      <c r="A95" s="128">
        <f>'Monthly Data'!A95</f>
        <v>42644</v>
      </c>
      <c r="B95" s="127">
        <f t="shared" si="4"/>
        <v>2016</v>
      </c>
      <c r="C95" s="127">
        <f ca="1">'Monthly Data'!AE95</f>
        <v>27098824.600573409</v>
      </c>
      <c r="D95" s="127">
        <f t="shared" ca="1" si="6"/>
        <v>16.916090225563948</v>
      </c>
      <c r="E95" s="168">
        <f>'Monthly Data'!BJ95</f>
        <v>7005.5</v>
      </c>
      <c r="F95" s="127">
        <f>'Monthly Data'!BM95</f>
        <v>94</v>
      </c>
      <c r="G95" s="127">
        <f>'Monthly Data'!BT95</f>
        <v>0</v>
      </c>
      <c r="H95" s="127">
        <f>'Monthly Data'!BY95</f>
        <v>0</v>
      </c>
      <c r="I95" s="127">
        <f>'Monthly Data'!CC95</f>
        <v>31</v>
      </c>
      <c r="K95" s="127">
        <f>'Large Use OLS Model'!$B$5</f>
        <v>-19707994.0131674</v>
      </c>
      <c r="L95" s="186">
        <f ca="1">'Large Use OLS Model'!$B$6*D95</f>
        <v>447027.29328862514</v>
      </c>
      <c r="M95" s="186">
        <f>'Large Use OLS Model'!$B$7*E95</f>
        <v>24026929.160758819</v>
      </c>
      <c r="N95" s="186">
        <v>0</v>
      </c>
      <c r="O95" s="186">
        <f>'Large Use OLS Model'!$B$8*G95</f>
        <v>0</v>
      </c>
      <c r="P95" s="186">
        <f>'Large Use OLS Model'!$B$9*H95</f>
        <v>0</v>
      </c>
      <c r="Q95" s="186">
        <f>'Large Use OLS Model'!$B$10*I95</f>
        <v>21377604.951162424</v>
      </c>
      <c r="R95" s="127">
        <f t="shared" ca="1" si="5"/>
        <v>26143567.392042469</v>
      </c>
    </row>
    <row r="96" spans="1:18">
      <c r="A96" s="128">
        <f>'Monthly Data'!A96</f>
        <v>42675</v>
      </c>
      <c r="B96" s="127">
        <f t="shared" si="4"/>
        <v>2016</v>
      </c>
      <c r="C96" s="127">
        <f ca="1">'Monthly Data'!AE96</f>
        <v>25594458.180573408</v>
      </c>
      <c r="D96" s="127">
        <f t="shared" ca="1" si="6"/>
        <v>8.120300751879661E-2</v>
      </c>
      <c r="E96" s="168">
        <f>'Monthly Data'!BJ96</f>
        <v>7021.6</v>
      </c>
      <c r="F96" s="127">
        <f>'Monthly Data'!BM96</f>
        <v>95</v>
      </c>
      <c r="G96" s="127">
        <f>'Monthly Data'!BT96</f>
        <v>0</v>
      </c>
      <c r="H96" s="127">
        <f>'Monthly Data'!BY96</f>
        <v>0</v>
      </c>
      <c r="I96" s="127">
        <f>'Monthly Data'!CC96</f>
        <v>30</v>
      </c>
      <c r="K96" s="127">
        <f>'Large Use OLS Model'!$B$5</f>
        <v>-19707994.0131674</v>
      </c>
      <c r="L96" s="186">
        <f ca="1">'Large Use OLS Model'!$B$6*D96</f>
        <v>2145.8836039527778</v>
      </c>
      <c r="M96" s="186">
        <f>'Large Use OLS Model'!$B$7*E96</f>
        <v>24082147.71182416</v>
      </c>
      <c r="N96" s="186">
        <v>0</v>
      </c>
      <c r="O96" s="186">
        <f>'Large Use OLS Model'!$B$8*G96</f>
        <v>0</v>
      </c>
      <c r="P96" s="186">
        <f>'Large Use OLS Model'!$B$9*H96</f>
        <v>0</v>
      </c>
      <c r="Q96" s="186">
        <f>'Large Use OLS Model'!$B$10*I96</f>
        <v>20688004.791447509</v>
      </c>
      <c r="R96" s="127">
        <f t="shared" ca="1" si="5"/>
        <v>25064304.373708222</v>
      </c>
    </row>
    <row r="97" spans="1:18">
      <c r="A97" s="128">
        <f>'Monthly Data'!A97</f>
        <v>42705</v>
      </c>
      <c r="B97" s="127">
        <f t="shared" si="4"/>
        <v>2016</v>
      </c>
      <c r="C97" s="127">
        <f ca="1">'Monthly Data'!AE97</f>
        <v>23271647.370573409</v>
      </c>
      <c r="D97" s="127">
        <f t="shared" ca="1" si="6"/>
        <v>0</v>
      </c>
      <c r="E97" s="168">
        <f>'Monthly Data'!BJ97</f>
        <v>7035.1</v>
      </c>
      <c r="F97" s="127">
        <f>'Monthly Data'!BM97</f>
        <v>96</v>
      </c>
      <c r="G97" s="127">
        <f>'Monthly Data'!BT97</f>
        <v>0</v>
      </c>
      <c r="H97" s="127">
        <f>'Monthly Data'!BY97</f>
        <v>1</v>
      </c>
      <c r="I97" s="127">
        <f>'Monthly Data'!CC97</f>
        <v>31</v>
      </c>
      <c r="K97" s="127">
        <f>'Large Use OLS Model'!$B$5</f>
        <v>-19707994.0131674</v>
      </c>
      <c r="L97" s="186">
        <f ca="1">'Large Use OLS Model'!$B$6*D97</f>
        <v>0</v>
      </c>
      <c r="M97" s="186">
        <f>'Large Use OLS Model'!$B$7*E97</f>
        <v>24128448.981350996</v>
      </c>
      <c r="N97" s="186">
        <v>0</v>
      </c>
      <c r="O97" s="186">
        <f>'Large Use OLS Model'!$B$8*G97</f>
        <v>0</v>
      </c>
      <c r="P97" s="186">
        <f>'Large Use OLS Model'!$B$9*H97</f>
        <v>-2219022.2541699898</v>
      </c>
      <c r="Q97" s="186">
        <f>'Large Use OLS Model'!$B$10*I97</f>
        <v>21377604.951162424</v>
      </c>
      <c r="R97" s="127">
        <f t="shared" ca="1" si="5"/>
        <v>23579037.66517603</v>
      </c>
    </row>
    <row r="98" spans="1:18">
      <c r="A98" s="128">
        <v>42736</v>
      </c>
      <c r="B98" s="127">
        <f t="shared" si="4"/>
        <v>2017</v>
      </c>
      <c r="C98" s="127">
        <f ca="1">'Monthly Data'!AE98</f>
        <v>24541033.237536147</v>
      </c>
      <c r="D98" s="127">
        <f t="shared" ca="1" si="6"/>
        <v>0</v>
      </c>
      <c r="E98" s="168">
        <f>'Monthly Data'!BJ98</f>
        <v>7049.2</v>
      </c>
      <c r="F98" s="127">
        <f>F97+1</f>
        <v>97</v>
      </c>
      <c r="G98" s="127">
        <f>G86</f>
        <v>0</v>
      </c>
      <c r="H98" s="127">
        <f>'Monthly Data'!BY98</f>
        <v>0</v>
      </c>
      <c r="I98" s="127">
        <f t="shared" ref="I98" si="7">I86</f>
        <v>31</v>
      </c>
      <c r="K98" s="127">
        <f>'Large Use OLS Model'!$B$5</f>
        <v>-19707994.0131674</v>
      </c>
      <c r="L98" s="186">
        <f ca="1">'Large Use OLS Model'!$B$6*D98</f>
        <v>0</v>
      </c>
      <c r="M98" s="186">
        <f>'Large Use OLS Model'!$B$7*E98</f>
        <v>24176808.085079022</v>
      </c>
      <c r="N98" s="186">
        <v>0</v>
      </c>
      <c r="O98" s="186">
        <f>'Large Use OLS Model'!$B$8*G98</f>
        <v>0</v>
      </c>
      <c r="P98" s="186">
        <f>'Large Use OLS Model'!$B$9*H98</f>
        <v>0</v>
      </c>
      <c r="Q98" s="186">
        <f>'Large Use OLS Model'!$B$10*I98</f>
        <v>21377604.951162424</v>
      </c>
      <c r="R98" s="127">
        <f t="shared" ca="1" si="5"/>
        <v>25846419.023074046</v>
      </c>
    </row>
    <row r="99" spans="1:18">
      <c r="A99" s="128">
        <v>42767</v>
      </c>
      <c r="B99" s="127">
        <f t="shared" si="4"/>
        <v>2017</v>
      </c>
      <c r="C99" s="127">
        <f ca="1">'Monthly Data'!AE99</f>
        <v>22499336.237536147</v>
      </c>
      <c r="D99" s="127">
        <f t="shared" ca="1" si="6"/>
        <v>0</v>
      </c>
      <c r="E99" s="168">
        <f>'Monthly Data'!BJ99</f>
        <v>7062.5</v>
      </c>
      <c r="F99" s="127">
        <f t="shared" ref="F99:F145" si="8">F98+1</f>
        <v>98</v>
      </c>
      <c r="G99" s="127">
        <f t="shared" ref="G99:I114" si="9">G87</f>
        <v>0</v>
      </c>
      <c r="H99" s="127">
        <f>'Monthly Data'!BY99</f>
        <v>0</v>
      </c>
      <c r="I99" s="127">
        <f t="shared" si="9"/>
        <v>29</v>
      </c>
      <c r="K99" s="127">
        <f>'Large Use OLS Model'!$B$5</f>
        <v>-19707994.0131674</v>
      </c>
      <c r="L99" s="186">
        <f ca="1">'Large Use OLS Model'!$B$6*D99</f>
        <v>0</v>
      </c>
      <c r="M99" s="186">
        <f>'Large Use OLS Model'!$B$7*E99</f>
        <v>24222423.409872126</v>
      </c>
      <c r="N99" s="186">
        <v>0</v>
      </c>
      <c r="O99" s="186">
        <f>'Large Use OLS Model'!$B$8*G99</f>
        <v>0</v>
      </c>
      <c r="P99" s="186">
        <f>'Large Use OLS Model'!$B$9*H99</f>
        <v>0</v>
      </c>
      <c r="Q99" s="186">
        <f>'Large Use OLS Model'!$B$10*I99</f>
        <v>19998404.63173259</v>
      </c>
      <c r="R99" s="127">
        <f t="shared" ca="1" si="5"/>
        <v>24512834.028437316</v>
      </c>
    </row>
    <row r="100" spans="1:18">
      <c r="A100" s="128">
        <v>42795</v>
      </c>
      <c r="B100" s="127">
        <f t="shared" si="4"/>
        <v>2017</v>
      </c>
      <c r="C100" s="127">
        <f ca="1">'Monthly Data'!AE100</f>
        <v>24743226.817536149</v>
      </c>
      <c r="D100" s="127">
        <f t="shared" ca="1" si="6"/>
        <v>0.45218045112781802</v>
      </c>
      <c r="E100" s="168">
        <f>'Monthly Data'!BJ100</f>
        <v>7071</v>
      </c>
      <c r="F100" s="127">
        <f t="shared" si="8"/>
        <v>99</v>
      </c>
      <c r="G100" s="127">
        <f t="shared" si="9"/>
        <v>0</v>
      </c>
      <c r="H100" s="127">
        <f>'Monthly Data'!BY100</f>
        <v>0</v>
      </c>
      <c r="I100" s="127">
        <f t="shared" si="9"/>
        <v>31</v>
      </c>
      <c r="K100" s="127">
        <f>'Large Use OLS Model'!$B$5</f>
        <v>-19707994.0131674</v>
      </c>
      <c r="L100" s="186">
        <f ca="1">'Large Use OLS Model'!$B$6*D100</f>
        <v>11949.392587196318</v>
      </c>
      <c r="M100" s="186">
        <f>'Large Use OLS Model'!$B$7*E100</f>
        <v>24251576.061055686</v>
      </c>
      <c r="N100" s="186">
        <v>0</v>
      </c>
      <c r="O100" s="186">
        <f>'Large Use OLS Model'!$B$8*G100</f>
        <v>0</v>
      </c>
      <c r="P100" s="186">
        <f>'Large Use OLS Model'!$B$9*H100</f>
        <v>0</v>
      </c>
      <c r="Q100" s="186">
        <f>'Large Use OLS Model'!$B$10*I100</f>
        <v>21377604.951162424</v>
      </c>
      <c r="R100" s="127">
        <f t="shared" ca="1" si="5"/>
        <v>25933136.391637906</v>
      </c>
    </row>
    <row r="101" spans="1:18">
      <c r="A101" s="128">
        <v>42826</v>
      </c>
      <c r="B101" s="127">
        <f t="shared" si="4"/>
        <v>2017</v>
      </c>
      <c r="C101" s="127">
        <f ca="1">'Monthly Data'!AE101</f>
        <v>23949395.767536148</v>
      </c>
      <c r="D101" s="127">
        <f t="shared" ca="1" si="6"/>
        <v>0.50947368421054762</v>
      </c>
      <c r="E101" s="168">
        <f>'Monthly Data'!BJ101</f>
        <v>7073.2</v>
      </c>
      <c r="F101" s="127">
        <f t="shared" si="8"/>
        <v>100</v>
      </c>
      <c r="G101" s="127">
        <f t="shared" si="9"/>
        <v>0</v>
      </c>
      <c r="H101" s="127">
        <f>'Monthly Data'!BY101</f>
        <v>0</v>
      </c>
      <c r="I101" s="127">
        <f t="shared" si="9"/>
        <v>30</v>
      </c>
      <c r="K101" s="127">
        <f>'Large Use OLS Model'!$B$5</f>
        <v>-19707994.0131674</v>
      </c>
      <c r="L101" s="186">
        <f ca="1">'Large Use OLS Model'!$B$6*D101</f>
        <v>13463.432685541387</v>
      </c>
      <c r="M101" s="186">
        <f>'Large Use OLS Model'!$B$7*E101</f>
        <v>24259121.453126729</v>
      </c>
      <c r="N101" s="186">
        <v>0</v>
      </c>
      <c r="O101" s="186">
        <f>'Large Use OLS Model'!$B$8*G101</f>
        <v>0</v>
      </c>
      <c r="P101" s="186">
        <f>'Large Use OLS Model'!$B$9*H101</f>
        <v>0</v>
      </c>
      <c r="Q101" s="186">
        <f>'Large Use OLS Model'!$B$10*I101</f>
        <v>20688004.791447509</v>
      </c>
      <c r="R101" s="127">
        <f t="shared" ca="1" si="5"/>
        <v>25252595.664092381</v>
      </c>
    </row>
    <row r="102" spans="1:18">
      <c r="A102" s="128">
        <v>42856</v>
      </c>
      <c r="B102" s="127">
        <f t="shared" si="4"/>
        <v>2017</v>
      </c>
      <c r="C102" s="127">
        <f ca="1">'Monthly Data'!AE102</f>
        <v>25751167.427536149</v>
      </c>
      <c r="D102" s="127">
        <f t="shared" ca="1" si="6"/>
        <v>56.062781954887214</v>
      </c>
      <c r="E102" s="168">
        <f>'Monthly Data'!BJ102</f>
        <v>7076.2</v>
      </c>
      <c r="F102" s="127">
        <f t="shared" si="8"/>
        <v>101</v>
      </c>
      <c r="G102" s="127">
        <f t="shared" si="9"/>
        <v>0</v>
      </c>
      <c r="H102" s="127">
        <f>'Monthly Data'!BY102</f>
        <v>0</v>
      </c>
      <c r="I102" s="127">
        <f t="shared" si="9"/>
        <v>31</v>
      </c>
      <c r="K102" s="127">
        <f>'Large Use OLS Model'!$B$5</f>
        <v>-19707994.0131674</v>
      </c>
      <c r="L102" s="186">
        <f ca="1">'Large Use OLS Model'!$B$6*D102</f>
        <v>1481524.0009567935</v>
      </c>
      <c r="M102" s="186">
        <f>'Large Use OLS Model'!$B$7*E102</f>
        <v>24269410.624132689</v>
      </c>
      <c r="N102" s="186">
        <v>0</v>
      </c>
      <c r="O102" s="186">
        <f>'Large Use OLS Model'!$B$8*G102</f>
        <v>0</v>
      </c>
      <c r="P102" s="186">
        <f>'Large Use OLS Model'!$B$9*H102</f>
        <v>0</v>
      </c>
      <c r="Q102" s="186">
        <f>'Large Use OLS Model'!$B$10*I102</f>
        <v>21377604.951162424</v>
      </c>
      <c r="R102" s="127">
        <f t="shared" ca="1" si="5"/>
        <v>27420545.563084505</v>
      </c>
    </row>
    <row r="103" spans="1:18">
      <c r="A103" s="128">
        <v>42887</v>
      </c>
      <c r="B103" s="127">
        <f t="shared" si="4"/>
        <v>2017</v>
      </c>
      <c r="C103" s="127">
        <f ca="1">'Monthly Data'!AE103</f>
        <v>28230853.497536149</v>
      </c>
      <c r="D103" s="127">
        <f t="shared" ca="1" si="6"/>
        <v>116.89315789473682</v>
      </c>
      <c r="E103" s="168">
        <f>'Monthly Data'!BJ103</f>
        <v>7082.2</v>
      </c>
      <c r="F103" s="127">
        <f t="shared" si="8"/>
        <v>102</v>
      </c>
      <c r="G103" s="127">
        <f t="shared" si="9"/>
        <v>0</v>
      </c>
      <c r="H103" s="127">
        <f>'Monthly Data'!BY103</f>
        <v>0</v>
      </c>
      <c r="I103" s="127">
        <f t="shared" si="9"/>
        <v>30</v>
      </c>
      <c r="K103" s="127">
        <f>'Large Use OLS Model'!$B$5</f>
        <v>-19707994.0131674</v>
      </c>
      <c r="L103" s="186">
        <f ca="1">'Large Use OLS Model'!$B$6*D103</f>
        <v>3089037.1995460331</v>
      </c>
      <c r="M103" s="186">
        <f>'Large Use OLS Model'!$B$7*E103</f>
        <v>24289988.966144618</v>
      </c>
      <c r="N103" s="186">
        <v>0</v>
      </c>
      <c r="O103" s="186">
        <f>'Large Use OLS Model'!$B$8*G103</f>
        <v>0</v>
      </c>
      <c r="P103" s="186">
        <f>'Large Use OLS Model'!$B$9*H103</f>
        <v>0</v>
      </c>
      <c r="Q103" s="186">
        <f>'Large Use OLS Model'!$B$10*I103</f>
        <v>20688004.791447509</v>
      </c>
      <c r="R103" s="127">
        <f t="shared" ca="1" si="5"/>
        <v>28359036.943970762</v>
      </c>
    </row>
    <row r="104" spans="1:18">
      <c r="A104" s="128">
        <v>42917</v>
      </c>
      <c r="B104" s="127">
        <f t="shared" si="4"/>
        <v>2017</v>
      </c>
      <c r="C104" s="127">
        <f ca="1">'Monthly Data'!AE104</f>
        <v>29806897.697536148</v>
      </c>
      <c r="D104" s="127">
        <f t="shared" ca="1" si="6"/>
        <v>186.96526315789481</v>
      </c>
      <c r="E104" s="168">
        <f>'Monthly Data'!BJ104</f>
        <v>7098</v>
      </c>
      <c r="F104" s="127">
        <f t="shared" si="8"/>
        <v>103</v>
      </c>
      <c r="G104" s="127">
        <f t="shared" si="9"/>
        <v>1</v>
      </c>
      <c r="H104" s="127">
        <f>'Monthly Data'!BY104</f>
        <v>0</v>
      </c>
      <c r="I104" s="127">
        <f t="shared" si="9"/>
        <v>31</v>
      </c>
      <c r="K104" s="127">
        <f>'Large Use OLS Model'!$B$5</f>
        <v>-19707994.0131674</v>
      </c>
      <c r="L104" s="186">
        <f ca="1">'Large Use OLS Model'!$B$6*D104</f>
        <v>4940773.8084869953</v>
      </c>
      <c r="M104" s="186">
        <f>'Large Use OLS Model'!$B$7*E104</f>
        <v>24344178.600109357</v>
      </c>
      <c r="N104" s="186">
        <v>0</v>
      </c>
      <c r="O104" s="186">
        <f>'Large Use OLS Model'!$B$8*G104</f>
        <v>-1563237.6990636101</v>
      </c>
      <c r="P104" s="186">
        <f>'Large Use OLS Model'!$B$9*H104</f>
        <v>0</v>
      </c>
      <c r="Q104" s="186">
        <f>'Large Use OLS Model'!$B$10*I104</f>
        <v>21377604.951162424</v>
      </c>
      <c r="R104" s="127">
        <f t="shared" ca="1" si="5"/>
        <v>29391325.647527765</v>
      </c>
    </row>
    <row r="105" spans="1:18">
      <c r="A105" s="128">
        <v>42948</v>
      </c>
      <c r="B105" s="127">
        <f t="shared" si="4"/>
        <v>2017</v>
      </c>
      <c r="C105" s="127">
        <f ca="1">'Monthly Data'!AE105</f>
        <v>28084142.757536147</v>
      </c>
      <c r="D105" s="127">
        <f t="shared" ca="1" si="6"/>
        <v>167.43443609022574</v>
      </c>
      <c r="E105" s="168">
        <f>'Monthly Data'!BJ105</f>
        <v>7118.8</v>
      </c>
      <c r="F105" s="127">
        <f t="shared" si="8"/>
        <v>104</v>
      </c>
      <c r="G105" s="127">
        <f t="shared" si="9"/>
        <v>0</v>
      </c>
      <c r="H105" s="127">
        <f>'Monthly Data'!BY105</f>
        <v>0</v>
      </c>
      <c r="I105" s="127">
        <f t="shared" si="9"/>
        <v>31</v>
      </c>
      <c r="K105" s="127">
        <f>'Large Use OLS Model'!$B$5</f>
        <v>-19707994.0131674</v>
      </c>
      <c r="L105" s="186">
        <f ca="1">'Large Use OLS Model'!$B$6*D105</f>
        <v>4424649.0631510941</v>
      </c>
      <c r="M105" s="186">
        <f>'Large Use OLS Model'!$B$7*E105</f>
        <v>24415516.852417372</v>
      </c>
      <c r="N105" s="186">
        <v>0</v>
      </c>
      <c r="O105" s="186">
        <f>'Large Use OLS Model'!$B$8*G105</f>
        <v>0</v>
      </c>
      <c r="P105" s="186">
        <f>'Large Use OLS Model'!$B$9*H105</f>
        <v>0</v>
      </c>
      <c r="Q105" s="186">
        <f>'Large Use OLS Model'!$B$10*I105</f>
        <v>21377604.951162424</v>
      </c>
      <c r="R105" s="127">
        <f t="shared" ca="1" si="5"/>
        <v>30509776.853563491</v>
      </c>
    </row>
    <row r="106" spans="1:18">
      <c r="A106" s="128">
        <v>42979</v>
      </c>
      <c r="B106" s="127">
        <f t="shared" si="4"/>
        <v>2017</v>
      </c>
      <c r="C106" s="127">
        <f ca="1">'Monthly Data'!AE106</f>
        <v>27096573.647536147</v>
      </c>
      <c r="D106" s="127">
        <f t="shared" ca="1" si="6"/>
        <v>83.003533834586506</v>
      </c>
      <c r="E106" s="168">
        <f>'Monthly Data'!BJ106</f>
        <v>7148.9</v>
      </c>
      <c r="F106" s="127">
        <f t="shared" si="8"/>
        <v>105</v>
      </c>
      <c r="G106" s="127">
        <f t="shared" si="9"/>
        <v>0</v>
      </c>
      <c r="H106" s="127">
        <f>'Monthly Data'!BY106</f>
        <v>0</v>
      </c>
      <c r="I106" s="127">
        <f t="shared" si="9"/>
        <v>30</v>
      </c>
      <c r="K106" s="127">
        <f>'Large Use OLS Model'!$B$5</f>
        <v>-19707994.0131674</v>
      </c>
      <c r="L106" s="186">
        <f ca="1">'Large Use OLS Model'!$B$6*D106</f>
        <v>2193464.5990119162</v>
      </c>
      <c r="M106" s="186">
        <f>'Large Use OLS Model'!$B$7*E106</f>
        <v>24518751.53484387</v>
      </c>
      <c r="N106" s="186">
        <v>0</v>
      </c>
      <c r="O106" s="186">
        <f>'Large Use OLS Model'!$B$8*G106</f>
        <v>0</v>
      </c>
      <c r="P106" s="186">
        <f>'Large Use OLS Model'!$B$9*H106</f>
        <v>0</v>
      </c>
      <c r="Q106" s="186">
        <f>'Large Use OLS Model'!$B$10*I106</f>
        <v>20688004.791447509</v>
      </c>
      <c r="R106" s="127">
        <f t="shared" ca="1" si="5"/>
        <v>27692226.912135895</v>
      </c>
    </row>
    <row r="107" spans="1:18">
      <c r="A107" s="128">
        <v>43009</v>
      </c>
      <c r="B107" s="127">
        <f t="shared" si="4"/>
        <v>2017</v>
      </c>
      <c r="C107" s="127">
        <f ca="1">'Monthly Data'!AE107</f>
        <v>26885972.587536149</v>
      </c>
      <c r="D107" s="127">
        <f t="shared" ca="1" si="6"/>
        <v>16.916090225563948</v>
      </c>
      <c r="E107" s="168">
        <f>'Monthly Data'!BJ107</f>
        <v>7168.4</v>
      </c>
      <c r="F107" s="127">
        <f t="shared" si="8"/>
        <v>106</v>
      </c>
      <c r="G107" s="127">
        <f t="shared" si="9"/>
        <v>0</v>
      </c>
      <c r="H107" s="127">
        <f>'Monthly Data'!BY107</f>
        <v>0</v>
      </c>
      <c r="I107" s="127">
        <f t="shared" si="9"/>
        <v>31</v>
      </c>
      <c r="K107" s="127">
        <f>'Large Use OLS Model'!$B$5</f>
        <v>-19707994.0131674</v>
      </c>
      <c r="L107" s="186">
        <f ca="1">'Large Use OLS Model'!$B$6*D107</f>
        <v>447027.29328862514</v>
      </c>
      <c r="M107" s="186">
        <f>'Large Use OLS Model'!$B$7*E107</f>
        <v>24585631.14638263</v>
      </c>
      <c r="N107" s="186">
        <v>0</v>
      </c>
      <c r="O107" s="186">
        <f>'Large Use OLS Model'!$B$8*G107</f>
        <v>0</v>
      </c>
      <c r="P107" s="186">
        <f>'Large Use OLS Model'!$B$9*H107</f>
        <v>0</v>
      </c>
      <c r="Q107" s="186">
        <f>'Large Use OLS Model'!$B$10*I107</f>
        <v>21377604.951162424</v>
      </c>
      <c r="R107" s="127">
        <f t="shared" ca="1" si="5"/>
        <v>26702269.37766628</v>
      </c>
    </row>
    <row r="108" spans="1:18">
      <c r="A108" s="128">
        <v>43040</v>
      </c>
      <c r="B108" s="127">
        <f t="shared" si="4"/>
        <v>2017</v>
      </c>
      <c r="C108" s="127">
        <f ca="1">'Monthly Data'!AE108</f>
        <v>24700471.057536148</v>
      </c>
      <c r="D108" s="127">
        <f t="shared" ca="1" si="6"/>
        <v>8.120300751879661E-2</v>
      </c>
      <c r="E108" s="168">
        <f>'Monthly Data'!BJ108</f>
        <v>7192.2</v>
      </c>
      <c r="F108" s="127">
        <f t="shared" si="8"/>
        <v>107</v>
      </c>
      <c r="G108" s="127">
        <f t="shared" si="9"/>
        <v>0</v>
      </c>
      <c r="H108" s="127">
        <f>'Monthly Data'!BY108</f>
        <v>0</v>
      </c>
      <c r="I108" s="127">
        <f t="shared" si="9"/>
        <v>30</v>
      </c>
      <c r="K108" s="127">
        <f>'Large Use OLS Model'!$B$5</f>
        <v>-19707994.0131674</v>
      </c>
      <c r="L108" s="186">
        <f ca="1">'Large Use OLS Model'!$B$6*D108</f>
        <v>2145.8836039527778</v>
      </c>
      <c r="M108" s="186">
        <f>'Large Use OLS Model'!$B$7*E108</f>
        <v>24667258.569696609</v>
      </c>
      <c r="N108" s="186">
        <v>0</v>
      </c>
      <c r="O108" s="186">
        <f>'Large Use OLS Model'!$B$8*G108</f>
        <v>0</v>
      </c>
      <c r="P108" s="186">
        <f>'Large Use OLS Model'!$B$9*H108</f>
        <v>0</v>
      </c>
      <c r="Q108" s="186">
        <f>'Large Use OLS Model'!$B$10*I108</f>
        <v>20688004.791447509</v>
      </c>
      <c r="R108" s="127">
        <f t="shared" ca="1" si="5"/>
        <v>25649415.231580671</v>
      </c>
    </row>
    <row r="109" spans="1:18">
      <c r="A109" s="128">
        <v>43070</v>
      </c>
      <c r="B109" s="127">
        <f t="shared" si="4"/>
        <v>2017</v>
      </c>
      <c r="C109" s="127">
        <f ca="1">'Monthly Data'!AE109</f>
        <v>23760465.877536148</v>
      </c>
      <c r="D109" s="127">
        <f t="shared" ca="1" si="6"/>
        <v>0</v>
      </c>
      <c r="E109" s="168">
        <f>'Monthly Data'!BJ109</f>
        <v>7207.4</v>
      </c>
      <c r="F109" s="127">
        <f t="shared" si="8"/>
        <v>108</v>
      </c>
      <c r="G109" s="127">
        <f t="shared" si="9"/>
        <v>0</v>
      </c>
      <c r="H109" s="127">
        <f>'Monthly Data'!BY109</f>
        <v>1</v>
      </c>
      <c r="I109" s="127">
        <f t="shared" si="9"/>
        <v>31</v>
      </c>
      <c r="K109" s="127">
        <f>'Large Use OLS Model'!$B$5</f>
        <v>-19707994.0131674</v>
      </c>
      <c r="L109" s="186">
        <f ca="1">'Large Use OLS Model'!$B$6*D109</f>
        <v>0</v>
      </c>
      <c r="M109" s="186">
        <f>'Large Use OLS Model'!$B$7*E109</f>
        <v>24719390.369460154</v>
      </c>
      <c r="N109" s="186">
        <v>0</v>
      </c>
      <c r="O109" s="186">
        <f>'Large Use OLS Model'!$B$8*G109</f>
        <v>0</v>
      </c>
      <c r="P109" s="186">
        <f>'Large Use OLS Model'!$B$9*H109</f>
        <v>-2219022.2541699898</v>
      </c>
      <c r="Q109" s="186">
        <f>'Large Use OLS Model'!$B$10*I109</f>
        <v>21377604.951162424</v>
      </c>
      <c r="R109" s="127">
        <f t="shared" ca="1" si="5"/>
        <v>24169979.053285189</v>
      </c>
    </row>
    <row r="110" spans="1:18">
      <c r="A110" s="128">
        <v>43101</v>
      </c>
      <c r="B110" s="186">
        <f t="shared" ref="B110:B121" si="10">YEAR(A110)</f>
        <v>2018</v>
      </c>
      <c r="C110" s="186">
        <f ca="1">'Monthly Data'!AE110</f>
        <v>25945759.032864273</v>
      </c>
      <c r="D110" s="186">
        <f t="shared" ca="1" si="6"/>
        <v>0</v>
      </c>
      <c r="E110" s="168">
        <f>'Monthly Data'!BJ110</f>
        <v>7166.6339368397712</v>
      </c>
      <c r="F110" s="186">
        <f t="shared" si="8"/>
        <v>109</v>
      </c>
      <c r="G110" s="186">
        <f t="shared" ref="G110" si="11">G98</f>
        <v>0</v>
      </c>
      <c r="H110" s="186">
        <f>'Monthly Data'!BY110</f>
        <v>0</v>
      </c>
      <c r="I110" s="127">
        <f t="shared" si="9"/>
        <v>31</v>
      </c>
      <c r="K110" s="127">
        <f>'Large Use OLS Model'!$B$5</f>
        <v>-19707994.0131674</v>
      </c>
      <c r="L110" s="186">
        <f ca="1">'Large Use OLS Model'!$B$6*D110</f>
        <v>0</v>
      </c>
      <c r="M110" s="186">
        <f>'Large Use OLS Model'!$B$7*E110</f>
        <v>24579574.037761658</v>
      </c>
      <c r="N110" s="186">
        <v>0</v>
      </c>
      <c r="O110" s="186">
        <f>'Large Use OLS Model'!$B$8*G110</f>
        <v>0</v>
      </c>
      <c r="P110" s="186">
        <f>'Large Use OLS Model'!$B$9*H110</f>
        <v>0</v>
      </c>
      <c r="Q110" s="186">
        <f>'Large Use OLS Model'!$B$10*I110</f>
        <v>21377604.951162424</v>
      </c>
      <c r="R110" s="127">
        <f t="shared" ca="1" si="5"/>
        <v>26249184.975756682</v>
      </c>
    </row>
    <row r="111" spans="1:18">
      <c r="A111" s="128">
        <v>43132</v>
      </c>
      <c r="B111" s="186">
        <f t="shared" si="10"/>
        <v>2018</v>
      </c>
      <c r="C111" s="186">
        <f ca="1">'Monthly Data'!AE111</f>
        <v>23723363.452864274</v>
      </c>
      <c r="D111" s="186">
        <f t="shared" ca="1" si="6"/>
        <v>0</v>
      </c>
      <c r="E111" s="168">
        <f>'Monthly Data'!BJ111</f>
        <v>7119.8728643912718</v>
      </c>
      <c r="F111" s="186">
        <f t="shared" si="8"/>
        <v>110</v>
      </c>
      <c r="G111" s="186">
        <f t="shared" ref="G111" si="12">G99</f>
        <v>0</v>
      </c>
      <c r="H111" s="186">
        <f>'Monthly Data'!BY111</f>
        <v>0</v>
      </c>
      <c r="I111" s="127">
        <f t="shared" si="9"/>
        <v>29</v>
      </c>
      <c r="K111" s="127">
        <f>'Large Use OLS Model'!$B$5</f>
        <v>-19707994.0131674</v>
      </c>
      <c r="L111" s="186">
        <f ca="1">'Large Use OLS Model'!$B$6*D111</f>
        <v>0</v>
      </c>
      <c r="M111" s="186">
        <f>'Large Use OLS Model'!$B$7*E111</f>
        <v>24419196.480813373</v>
      </c>
      <c r="N111" s="186">
        <v>0</v>
      </c>
      <c r="O111" s="186">
        <f>'Large Use OLS Model'!$B$8*G111</f>
        <v>0</v>
      </c>
      <c r="P111" s="186">
        <f>'Large Use OLS Model'!$B$9*H111</f>
        <v>0</v>
      </c>
      <c r="Q111" s="186">
        <f>'Large Use OLS Model'!$B$10*I111</f>
        <v>19998404.63173259</v>
      </c>
      <c r="R111" s="127">
        <f t="shared" ca="1" si="5"/>
        <v>24709607.099378563</v>
      </c>
    </row>
    <row r="112" spans="1:18">
      <c r="A112" s="128">
        <v>43160</v>
      </c>
      <c r="B112" s="186">
        <f t="shared" si="10"/>
        <v>2018</v>
      </c>
      <c r="C112" s="186">
        <f ca="1">'Monthly Data'!AE112</f>
        <v>27257041.482864272</v>
      </c>
      <c r="D112" s="186">
        <f t="shared" ca="1" si="6"/>
        <v>0.45218045112781802</v>
      </c>
      <c r="E112" s="168">
        <f>'Monthly Data'!BJ112</f>
        <v>7076.4090470513211</v>
      </c>
      <c r="F112" s="186">
        <f t="shared" si="8"/>
        <v>111</v>
      </c>
      <c r="G112" s="186">
        <f t="shared" ref="G112" si="13">G100</f>
        <v>0</v>
      </c>
      <c r="H112" s="186">
        <f>'Monthly Data'!BY112</f>
        <v>0</v>
      </c>
      <c r="I112" s="127">
        <f t="shared" si="9"/>
        <v>31</v>
      </c>
      <c r="K112" s="127">
        <f>'Large Use OLS Model'!$B$5</f>
        <v>-19707994.0131674</v>
      </c>
      <c r="L112" s="186">
        <f ca="1">'Large Use OLS Model'!$B$6*D112</f>
        <v>11949.392587196318</v>
      </c>
      <c r="M112" s="186">
        <f>'Large Use OLS Model'!$B$7*E112</f>
        <v>24270127.597752471</v>
      </c>
      <c r="N112" s="186">
        <v>0</v>
      </c>
      <c r="O112" s="186">
        <f>'Large Use OLS Model'!$B$8*G112</f>
        <v>0</v>
      </c>
      <c r="P112" s="186">
        <f>'Large Use OLS Model'!$B$9*H112</f>
        <v>0</v>
      </c>
      <c r="Q112" s="186">
        <f>'Large Use OLS Model'!$B$10*I112</f>
        <v>21377604.951162424</v>
      </c>
      <c r="R112" s="127">
        <f t="shared" ca="1" si="5"/>
        <v>25951687.928334691</v>
      </c>
    </row>
    <row r="113" spans="1:18">
      <c r="A113" s="128">
        <v>43191</v>
      </c>
      <c r="B113" s="186">
        <f t="shared" si="10"/>
        <v>2018</v>
      </c>
      <c r="C113" s="186">
        <f ca="1">'Monthly Data'!AE113</f>
        <v>25500957.362864275</v>
      </c>
      <c r="D113" s="186">
        <f t="shared" ca="1" si="6"/>
        <v>0.50947368421054762</v>
      </c>
      <c r="E113" s="168">
        <f>'Monthly Data'!BJ113</f>
        <v>7102.4873374552917</v>
      </c>
      <c r="F113" s="186">
        <f t="shared" si="8"/>
        <v>112</v>
      </c>
      <c r="G113" s="186">
        <f t="shared" ref="G113" si="14">G101</f>
        <v>0</v>
      </c>
      <c r="H113" s="186">
        <f>'Monthly Data'!BY113</f>
        <v>0</v>
      </c>
      <c r="I113" s="127">
        <f t="shared" si="9"/>
        <v>30</v>
      </c>
      <c r="K113" s="127">
        <f>'Large Use OLS Model'!$B$5</f>
        <v>-19707994.0131674</v>
      </c>
      <c r="L113" s="186">
        <f ca="1">'Large Use OLS Model'!$B$6*D113</f>
        <v>13463.432685541387</v>
      </c>
      <c r="M113" s="186">
        <f>'Large Use OLS Model'!$B$7*E113</f>
        <v>24359568.92758901</v>
      </c>
      <c r="N113" s="186">
        <v>0</v>
      </c>
      <c r="O113" s="186">
        <f>'Large Use OLS Model'!$B$8*G113</f>
        <v>0</v>
      </c>
      <c r="P113" s="186">
        <f>'Large Use OLS Model'!$B$9*H113</f>
        <v>0</v>
      </c>
      <c r="Q113" s="186">
        <f>'Large Use OLS Model'!$B$10*I113</f>
        <v>20688004.791447509</v>
      </c>
      <c r="R113" s="127">
        <f t="shared" ca="1" si="5"/>
        <v>25353043.138554662</v>
      </c>
    </row>
    <row r="114" spans="1:18">
      <c r="A114" s="128">
        <v>43221</v>
      </c>
      <c r="B114" s="186">
        <f t="shared" si="10"/>
        <v>2018</v>
      </c>
      <c r="C114" s="186">
        <f ca="1">'Monthly Data'!AE114</f>
        <v>29537487.852864273</v>
      </c>
      <c r="D114" s="186">
        <f t="shared" ca="1" si="6"/>
        <v>56.062781954887214</v>
      </c>
      <c r="E114" s="168">
        <f>'Monthly Data'!BJ114</f>
        <v>7168.7321900906645</v>
      </c>
      <c r="F114" s="186">
        <f t="shared" si="8"/>
        <v>113</v>
      </c>
      <c r="G114" s="186">
        <f t="shared" ref="G114" si="15">G102</f>
        <v>0</v>
      </c>
      <c r="H114" s="186">
        <f>'Monthly Data'!BY114</f>
        <v>0</v>
      </c>
      <c r="I114" s="127">
        <f t="shared" si="9"/>
        <v>31</v>
      </c>
      <c r="K114" s="127">
        <f>'Large Use OLS Model'!$B$5</f>
        <v>-19707994.0131674</v>
      </c>
      <c r="L114" s="186">
        <f ca="1">'Large Use OLS Model'!$B$6*D114</f>
        <v>1481524.0009567935</v>
      </c>
      <c r="M114" s="186">
        <f>'Large Use OLS Model'!$B$7*E114</f>
        <v>24586770.466599077</v>
      </c>
      <c r="N114" s="186">
        <v>0</v>
      </c>
      <c r="O114" s="186">
        <f>'Large Use OLS Model'!$B$8*G114</f>
        <v>0</v>
      </c>
      <c r="P114" s="186">
        <f>'Large Use OLS Model'!$B$9*H114</f>
        <v>0</v>
      </c>
      <c r="Q114" s="186">
        <f>'Large Use OLS Model'!$B$10*I114</f>
        <v>21377604.951162424</v>
      </c>
      <c r="R114" s="127">
        <f t="shared" ca="1" si="5"/>
        <v>27737905.405550893</v>
      </c>
    </row>
    <row r="115" spans="1:18">
      <c r="A115" s="128">
        <v>43252</v>
      </c>
      <c r="B115" s="186">
        <f t="shared" si="10"/>
        <v>2018</v>
      </c>
      <c r="C115" s="186">
        <f ca="1">'Monthly Data'!AE115</f>
        <v>30656694.902864274</v>
      </c>
      <c r="D115" s="186">
        <f t="shared" ca="1" si="6"/>
        <v>116.89315789473682</v>
      </c>
      <c r="E115" s="168">
        <f>'Monthly Data'!BJ115</f>
        <v>7263.1535863809013</v>
      </c>
      <c r="F115" s="186">
        <f t="shared" si="8"/>
        <v>114</v>
      </c>
      <c r="G115" s="186">
        <f t="shared" ref="G115" si="16">G103</f>
        <v>0</v>
      </c>
      <c r="H115" s="186">
        <f>'Monthly Data'!BY115</f>
        <v>0</v>
      </c>
      <c r="I115" s="127">
        <f t="shared" ref="G115:I130" si="17">I103</f>
        <v>30</v>
      </c>
      <c r="K115" s="127">
        <f>'Large Use OLS Model'!$B$5</f>
        <v>-19707994.0131674</v>
      </c>
      <c r="L115" s="186">
        <f ca="1">'Large Use OLS Model'!$B$6*D115</f>
        <v>3089037.1995460331</v>
      </c>
      <c r="M115" s="186">
        <f>'Large Use OLS Model'!$B$7*E115</f>
        <v>24910609.764283106</v>
      </c>
      <c r="N115" s="186">
        <v>0</v>
      </c>
      <c r="O115" s="186">
        <f>'Large Use OLS Model'!$B$8*G115</f>
        <v>0</v>
      </c>
      <c r="P115" s="186">
        <f>'Large Use OLS Model'!$B$9*H115</f>
        <v>0</v>
      </c>
      <c r="Q115" s="186">
        <f>'Large Use OLS Model'!$B$10*I115</f>
        <v>20688004.791447509</v>
      </c>
      <c r="R115" s="127">
        <f t="shared" ca="1" si="5"/>
        <v>28979657.742109247</v>
      </c>
    </row>
    <row r="116" spans="1:18">
      <c r="A116" s="128">
        <v>43282</v>
      </c>
      <c r="B116" s="186">
        <f t="shared" si="10"/>
        <v>2018</v>
      </c>
      <c r="C116" s="186">
        <f ca="1">'Monthly Data'!AE116</f>
        <v>30904161.792864271</v>
      </c>
      <c r="D116" s="186">
        <f t="shared" ca="1" si="6"/>
        <v>186.96526315789481</v>
      </c>
      <c r="E116" s="168">
        <f>'Monthly Data'!BJ116</f>
        <v>7346.3842986663703</v>
      </c>
      <c r="F116" s="186">
        <f t="shared" si="8"/>
        <v>115</v>
      </c>
      <c r="G116" s="186">
        <f t="shared" ref="G116" si="18">G104</f>
        <v>1</v>
      </c>
      <c r="H116" s="186">
        <f>'Monthly Data'!BY116</f>
        <v>0</v>
      </c>
      <c r="I116" s="127">
        <f t="shared" si="17"/>
        <v>31</v>
      </c>
      <c r="K116" s="127">
        <f>'Large Use OLS Model'!$B$5</f>
        <v>-19707994.0131674</v>
      </c>
      <c r="L116" s="186">
        <f ca="1">'Large Use OLS Model'!$B$6*D116</f>
        <v>4940773.8084869953</v>
      </c>
      <c r="M116" s="186">
        <f>'Large Use OLS Model'!$B$7*E116</f>
        <v>25196068.108167548</v>
      </c>
      <c r="N116" s="186">
        <v>0</v>
      </c>
      <c r="O116" s="186">
        <f>'Large Use OLS Model'!$B$8*G116</f>
        <v>-1563237.6990636101</v>
      </c>
      <c r="P116" s="186">
        <f>'Large Use OLS Model'!$B$9*H116</f>
        <v>0</v>
      </c>
      <c r="Q116" s="186">
        <f>'Large Use OLS Model'!$B$10*I116</f>
        <v>21377604.951162424</v>
      </c>
      <c r="R116" s="127">
        <f t="shared" ca="1" si="5"/>
        <v>30243215.155585956</v>
      </c>
    </row>
    <row r="117" spans="1:18">
      <c r="A117" s="128">
        <v>43313</v>
      </c>
      <c r="B117" s="186">
        <f t="shared" si="10"/>
        <v>2018</v>
      </c>
      <c r="C117" s="186">
        <f ca="1">'Monthly Data'!AE117</f>
        <v>30192199.592864275</v>
      </c>
      <c r="D117" s="186">
        <f t="shared" ca="1" si="6"/>
        <v>167.43443609022574</v>
      </c>
      <c r="E117" s="168">
        <f>'Monthly Data'!BJ117</f>
        <v>7349.8813874178613</v>
      </c>
      <c r="F117" s="186">
        <f t="shared" si="8"/>
        <v>116</v>
      </c>
      <c r="G117" s="186">
        <f t="shared" ref="G117" si="19">G105</f>
        <v>0</v>
      </c>
      <c r="H117" s="186">
        <f>'Monthly Data'!BY117</f>
        <v>0</v>
      </c>
      <c r="I117" s="127">
        <f t="shared" si="17"/>
        <v>31</v>
      </c>
      <c r="K117" s="127">
        <f>'Large Use OLS Model'!$B$5</f>
        <v>-19707994.0131674</v>
      </c>
      <c r="L117" s="186">
        <f ca="1">'Large Use OLS Model'!$B$6*D117</f>
        <v>4424649.0631510941</v>
      </c>
      <c r="M117" s="186">
        <f>'Large Use OLS Model'!$B$7*E117</f>
        <v>25208062.156229921</v>
      </c>
      <c r="N117" s="186">
        <v>0</v>
      </c>
      <c r="O117" s="186">
        <f>'Large Use OLS Model'!$B$8*G117</f>
        <v>0</v>
      </c>
      <c r="P117" s="186">
        <f>'Large Use OLS Model'!$B$9*H117</f>
        <v>0</v>
      </c>
      <c r="Q117" s="186">
        <f>'Large Use OLS Model'!$B$10*I117</f>
        <v>21377604.951162424</v>
      </c>
      <c r="R117" s="127">
        <f t="shared" ca="1" si="5"/>
        <v>31302322.15737604</v>
      </c>
    </row>
    <row r="118" spans="1:18">
      <c r="A118" s="128">
        <v>43344</v>
      </c>
      <c r="B118" s="186">
        <f t="shared" si="10"/>
        <v>2018</v>
      </c>
      <c r="C118" s="186">
        <f ca="1">'Monthly Data'!AE118</f>
        <v>28299525.392864272</v>
      </c>
      <c r="D118" s="186">
        <f t="shared" ca="1" si="6"/>
        <v>83.003533834586506</v>
      </c>
      <c r="E118" s="168">
        <f>'Monthly Data'!BJ118</f>
        <v>7309.115324257632</v>
      </c>
      <c r="F118" s="186">
        <f t="shared" si="8"/>
        <v>117</v>
      </c>
      <c r="G118" s="186">
        <f t="shared" ref="G118" si="20">G106</f>
        <v>0</v>
      </c>
      <c r="H118" s="186">
        <f>'Monthly Data'!BY118</f>
        <v>0</v>
      </c>
      <c r="I118" s="127">
        <f t="shared" si="17"/>
        <v>30</v>
      </c>
      <c r="K118" s="127">
        <f>'Large Use OLS Model'!$B$5</f>
        <v>-19707994.0131674</v>
      </c>
      <c r="L118" s="186">
        <f ca="1">'Large Use OLS Model'!$B$6*D118</f>
        <v>2193464.5990119162</v>
      </c>
      <c r="M118" s="186">
        <f>'Large Use OLS Model'!$B$7*E118</f>
        <v>25068245.824531421</v>
      </c>
      <c r="N118" s="186">
        <v>0</v>
      </c>
      <c r="O118" s="186">
        <f>'Large Use OLS Model'!$B$8*G118</f>
        <v>0</v>
      </c>
      <c r="P118" s="186">
        <f>'Large Use OLS Model'!$B$9*H118</f>
        <v>0</v>
      </c>
      <c r="Q118" s="186">
        <f>'Large Use OLS Model'!$B$10*I118</f>
        <v>20688004.791447509</v>
      </c>
      <c r="R118" s="127">
        <f t="shared" ref="R118:R145" ca="1" si="21">SUM(K118:Q118)</f>
        <v>28241721.201823447</v>
      </c>
    </row>
    <row r="119" spans="1:18">
      <c r="A119" s="128">
        <v>43374</v>
      </c>
      <c r="B119" s="186">
        <f t="shared" si="10"/>
        <v>2018</v>
      </c>
      <c r="C119" s="186">
        <f ca="1">'Monthly Data'!AE119</f>
        <v>25590231.122864276</v>
      </c>
      <c r="D119" s="186">
        <f t="shared" ca="1" si="6"/>
        <v>16.916090225563948</v>
      </c>
      <c r="E119" s="168">
        <f>'Monthly Data'!BJ119</f>
        <v>7268.3492610974017</v>
      </c>
      <c r="F119" s="186">
        <f t="shared" si="8"/>
        <v>118</v>
      </c>
      <c r="G119" s="186">
        <f t="shared" ref="G119" si="22">G107</f>
        <v>0</v>
      </c>
      <c r="H119" s="186">
        <f>'Monthly Data'!BY119</f>
        <v>0</v>
      </c>
      <c r="I119" s="127">
        <f t="shared" si="17"/>
        <v>31</v>
      </c>
      <c r="K119" s="127">
        <f>'Large Use OLS Model'!$B$5</f>
        <v>-19707994.0131674</v>
      </c>
      <c r="L119" s="186">
        <f ca="1">'Large Use OLS Model'!$B$6*D119</f>
        <v>447027.29328862514</v>
      </c>
      <c r="M119" s="186">
        <f>'Large Use OLS Model'!$B$7*E119</f>
        <v>24928429.492832914</v>
      </c>
      <c r="N119" s="186">
        <v>0</v>
      </c>
      <c r="O119" s="186">
        <f>'Large Use OLS Model'!$B$8*G119</f>
        <v>0</v>
      </c>
      <c r="P119" s="186">
        <f>'Large Use OLS Model'!$B$9*H119</f>
        <v>0</v>
      </c>
      <c r="Q119" s="186">
        <f>'Large Use OLS Model'!$B$10*I119</f>
        <v>21377604.951162424</v>
      </c>
      <c r="R119" s="127">
        <f t="shared" ca="1" si="21"/>
        <v>27045067.724116564</v>
      </c>
    </row>
    <row r="120" spans="1:18">
      <c r="A120" s="128">
        <v>43405</v>
      </c>
      <c r="B120" s="186">
        <f t="shared" si="10"/>
        <v>2018</v>
      </c>
      <c r="C120" s="186">
        <f ca="1">'Monthly Data'!AE120</f>
        <v>23444500.422864273</v>
      </c>
      <c r="D120" s="186">
        <f t="shared" ca="1" si="6"/>
        <v>8.120300751879661E-2</v>
      </c>
      <c r="E120" s="168">
        <f>'Monthly Data'!BJ120</f>
        <v>7272.9454348850759</v>
      </c>
      <c r="F120" s="186">
        <f t="shared" si="8"/>
        <v>119</v>
      </c>
      <c r="G120" s="186">
        <f t="shared" ref="G120" si="23">G108</f>
        <v>0</v>
      </c>
      <c r="H120" s="186">
        <f>'Monthly Data'!BY120</f>
        <v>0</v>
      </c>
      <c r="I120" s="127">
        <f t="shared" si="17"/>
        <v>30</v>
      </c>
      <c r="K120" s="127">
        <f>'Large Use OLS Model'!$B$5</f>
        <v>-19707994.0131674</v>
      </c>
      <c r="L120" s="186">
        <f ca="1">'Large Use OLS Model'!$B$6*D120</f>
        <v>2145.8836039527778</v>
      </c>
      <c r="M120" s="186">
        <f>'Large Use OLS Model'!$B$7*E120</f>
        <v>24944193.098857749</v>
      </c>
      <c r="N120" s="186">
        <v>0</v>
      </c>
      <c r="O120" s="186">
        <f>'Large Use OLS Model'!$B$8*G120</f>
        <v>0</v>
      </c>
      <c r="P120" s="186">
        <f>'Large Use OLS Model'!$B$9*H120</f>
        <v>0</v>
      </c>
      <c r="Q120" s="186">
        <f>'Large Use OLS Model'!$B$10*I120</f>
        <v>20688004.791447509</v>
      </c>
      <c r="R120" s="127">
        <f t="shared" ca="1" si="21"/>
        <v>25926349.760741811</v>
      </c>
    </row>
    <row r="121" spans="1:18">
      <c r="A121" s="128">
        <v>43435</v>
      </c>
      <c r="B121" s="186">
        <f t="shared" si="10"/>
        <v>2018</v>
      </c>
      <c r="C121" s="186">
        <f ca="1">'Monthly Data'!AE121</f>
        <v>21912885.452864274</v>
      </c>
      <c r="D121" s="186">
        <f t="shared" ca="1" si="6"/>
        <v>0</v>
      </c>
      <c r="E121" s="168">
        <f>'Monthly Data'!BJ121</f>
        <v>7296.6257215737387</v>
      </c>
      <c r="F121" s="186">
        <f t="shared" si="8"/>
        <v>120</v>
      </c>
      <c r="G121" s="186">
        <f t="shared" ref="G121" si="24">G109</f>
        <v>0</v>
      </c>
      <c r="H121" s="186">
        <f>'Monthly Data'!BY121</f>
        <v>1</v>
      </c>
      <c r="I121" s="127">
        <f t="shared" si="17"/>
        <v>31</v>
      </c>
      <c r="K121" s="127">
        <f>'Large Use OLS Model'!$B$5</f>
        <v>-19707994.0131674</v>
      </c>
      <c r="L121" s="186">
        <f ca="1">'Large Use OLS Model'!$B$6*D121</f>
        <v>0</v>
      </c>
      <c r="M121" s="186">
        <f>'Large Use OLS Model'!$B$7*E121</f>
        <v>25025409.938594382</v>
      </c>
      <c r="N121" s="186">
        <v>0</v>
      </c>
      <c r="O121" s="186">
        <f>'Large Use OLS Model'!$B$8*G121</f>
        <v>0</v>
      </c>
      <c r="P121" s="186">
        <f>'Large Use OLS Model'!$B$9*H121</f>
        <v>-2219022.2541699898</v>
      </c>
      <c r="Q121" s="186">
        <f>'Large Use OLS Model'!$B$10*I121</f>
        <v>21377604.951162424</v>
      </c>
      <c r="R121" s="127">
        <f t="shared" ca="1" si="21"/>
        <v>24475998.622419417</v>
      </c>
    </row>
    <row r="122" spans="1:18">
      <c r="A122" s="128">
        <v>43466</v>
      </c>
      <c r="B122" s="127">
        <f t="shared" ref="B122:B145" si="25">YEAR(A122)</f>
        <v>2019</v>
      </c>
      <c r="D122" s="127">
        <f t="shared" ca="1" si="6"/>
        <v>0</v>
      </c>
      <c r="E122" s="168">
        <f>E110*(1+Employment!$L$4)</f>
        <v>7341.4998048986618</v>
      </c>
      <c r="F122" s="127">
        <f t="shared" si="8"/>
        <v>121</v>
      </c>
      <c r="G122" s="127">
        <f t="shared" si="17"/>
        <v>0</v>
      </c>
      <c r="H122" s="127">
        <f t="shared" si="17"/>
        <v>0</v>
      </c>
      <c r="I122" s="127">
        <f t="shared" si="17"/>
        <v>31</v>
      </c>
      <c r="K122" s="127">
        <f>'Large Use OLS Model'!$B$5</f>
        <v>-19707994.0131674</v>
      </c>
      <c r="L122" s="186">
        <f ca="1">'Large Use OLS Model'!$B$6*D122</f>
        <v>0</v>
      </c>
      <c r="M122" s="186">
        <f>'Large Use OLS Model'!$B$7*E122</f>
        <v>25179315.644283041</v>
      </c>
      <c r="N122" s="186">
        <v>0</v>
      </c>
      <c r="O122" s="186">
        <f>'Large Use OLS Model'!$B$8*G122</f>
        <v>0</v>
      </c>
      <c r="P122" s="186">
        <f>'Large Use OLS Model'!$B$9*H122</f>
        <v>0</v>
      </c>
      <c r="Q122" s="186">
        <f>'Large Use OLS Model'!$B$10*I122</f>
        <v>21377604.951162424</v>
      </c>
      <c r="R122" s="127">
        <f t="shared" ca="1" si="21"/>
        <v>26848926.582278065</v>
      </c>
    </row>
    <row r="123" spans="1:18">
      <c r="A123" s="128">
        <v>43497</v>
      </c>
      <c r="B123" s="127">
        <f t="shared" si="25"/>
        <v>2019</v>
      </c>
      <c r="D123" s="127">
        <f t="shared" ca="1" si="6"/>
        <v>0</v>
      </c>
      <c r="E123" s="168">
        <f>E111*(1+Employment!$L$4)</f>
        <v>7293.5977622824184</v>
      </c>
      <c r="F123" s="127">
        <f t="shared" si="8"/>
        <v>122</v>
      </c>
      <c r="G123" s="127">
        <f t="shared" si="17"/>
        <v>0</v>
      </c>
      <c r="H123" s="127">
        <f t="shared" si="17"/>
        <v>0</v>
      </c>
      <c r="I123" s="127">
        <f t="shared" si="17"/>
        <v>29</v>
      </c>
      <c r="K123" s="127">
        <f>'Large Use OLS Model'!$B$5</f>
        <v>-19707994.0131674</v>
      </c>
      <c r="L123" s="186">
        <f ca="1">'Large Use OLS Model'!$B$6*D123</f>
        <v>0</v>
      </c>
      <c r="M123" s="186">
        <f>'Large Use OLS Model'!$B$7*E123</f>
        <v>25015024.874945216</v>
      </c>
      <c r="N123" s="186">
        <v>0</v>
      </c>
      <c r="O123" s="186">
        <f>'Large Use OLS Model'!$B$8*G123</f>
        <v>0</v>
      </c>
      <c r="P123" s="186">
        <f>'Large Use OLS Model'!$B$9*H123</f>
        <v>0</v>
      </c>
      <c r="Q123" s="186">
        <f>'Large Use OLS Model'!$B$10*I123</f>
        <v>19998404.63173259</v>
      </c>
      <c r="R123" s="127">
        <f t="shared" ca="1" si="21"/>
        <v>25305435.493510406</v>
      </c>
    </row>
    <row r="124" spans="1:18">
      <c r="A124" s="128">
        <v>43525</v>
      </c>
      <c r="B124" s="127">
        <f t="shared" si="25"/>
        <v>2019</v>
      </c>
      <c r="D124" s="127">
        <f t="shared" ca="1" si="6"/>
        <v>0.45218045112781802</v>
      </c>
      <c r="E124" s="168">
        <f>E112*(1+Employment!$L$4)</f>
        <v>7249.0734277993733</v>
      </c>
      <c r="F124" s="127">
        <f t="shared" si="8"/>
        <v>123</v>
      </c>
      <c r="G124" s="127">
        <f t="shared" si="17"/>
        <v>0</v>
      </c>
      <c r="H124" s="127">
        <f t="shared" si="17"/>
        <v>0</v>
      </c>
      <c r="I124" s="127">
        <f t="shared" si="17"/>
        <v>31</v>
      </c>
      <c r="K124" s="127">
        <f>'Large Use OLS Model'!$B$5</f>
        <v>-19707994.0131674</v>
      </c>
      <c r="L124" s="186">
        <f ca="1">'Large Use OLS Model'!$B$6*D124</f>
        <v>11949.392587196318</v>
      </c>
      <c r="M124" s="186">
        <f>'Large Use OLS Model'!$B$7*E124</f>
        <v>24862318.71113763</v>
      </c>
      <c r="N124" s="186">
        <v>0</v>
      </c>
      <c r="O124" s="186">
        <f>'Large Use OLS Model'!$B$8*G124</f>
        <v>0</v>
      </c>
      <c r="P124" s="186">
        <f>'Large Use OLS Model'!$B$9*H124</f>
        <v>0</v>
      </c>
      <c r="Q124" s="186">
        <f>'Large Use OLS Model'!$B$10*I124</f>
        <v>21377604.951162424</v>
      </c>
      <c r="R124" s="127">
        <f t="shared" ca="1" si="21"/>
        <v>26543879.04171985</v>
      </c>
    </row>
    <row r="125" spans="1:18">
      <c r="A125" s="128">
        <v>43556</v>
      </c>
      <c r="B125" s="127">
        <f t="shared" si="25"/>
        <v>2019</v>
      </c>
      <c r="D125" s="127">
        <f t="shared" ca="1" si="6"/>
        <v>0.50947368421054762</v>
      </c>
      <c r="E125" s="168">
        <f>E113*(1+Employment!$L$4)</f>
        <v>7275.7880284892008</v>
      </c>
      <c r="F125" s="127">
        <f t="shared" si="8"/>
        <v>124</v>
      </c>
      <c r="G125" s="127">
        <f t="shared" si="17"/>
        <v>0</v>
      </c>
      <c r="H125" s="127">
        <f t="shared" si="17"/>
        <v>0</v>
      </c>
      <c r="I125" s="127">
        <f t="shared" si="17"/>
        <v>30</v>
      </c>
      <c r="K125" s="127">
        <f>'Large Use OLS Model'!$B$5</f>
        <v>-19707994.0131674</v>
      </c>
      <c r="L125" s="186">
        <f ca="1">'Large Use OLS Model'!$B$6*D125</f>
        <v>13463.432685541387</v>
      </c>
      <c r="M125" s="186">
        <f>'Large Use OLS Model'!$B$7*E125</f>
        <v>24953942.409422185</v>
      </c>
      <c r="N125" s="186">
        <v>0</v>
      </c>
      <c r="O125" s="186">
        <f>'Large Use OLS Model'!$B$8*G125</f>
        <v>0</v>
      </c>
      <c r="P125" s="186">
        <f>'Large Use OLS Model'!$B$9*H125</f>
        <v>0</v>
      </c>
      <c r="Q125" s="186">
        <f>'Large Use OLS Model'!$B$10*I125</f>
        <v>20688004.791447509</v>
      </c>
      <c r="R125" s="127">
        <f t="shared" ca="1" si="21"/>
        <v>25947416.620387837</v>
      </c>
    </row>
    <row r="126" spans="1:18">
      <c r="A126" s="128">
        <v>43586</v>
      </c>
      <c r="B126" s="127">
        <f t="shared" si="25"/>
        <v>2019</v>
      </c>
      <c r="D126" s="127">
        <f t="shared" ca="1" si="6"/>
        <v>56.062781954887214</v>
      </c>
      <c r="E126" s="168">
        <f>E114*(1+Employment!$L$4)</f>
        <v>7343.6492555288769</v>
      </c>
      <c r="F126" s="127">
        <f t="shared" si="8"/>
        <v>125</v>
      </c>
      <c r="G126" s="127">
        <f t="shared" si="17"/>
        <v>0</v>
      </c>
      <c r="H126" s="127">
        <f t="shared" si="17"/>
        <v>0</v>
      </c>
      <c r="I126" s="127">
        <f t="shared" si="17"/>
        <v>31</v>
      </c>
      <c r="K126" s="127">
        <f>'Large Use OLS Model'!$B$5</f>
        <v>-19707994.0131674</v>
      </c>
      <c r="L126" s="186">
        <f ca="1">'Large Use OLS Model'!$B$6*D126</f>
        <v>1481524.0009567935</v>
      </c>
      <c r="M126" s="186">
        <f>'Large Use OLS Model'!$B$7*E126</f>
        <v>25186687.665984094</v>
      </c>
      <c r="N126" s="186">
        <v>0</v>
      </c>
      <c r="O126" s="186">
        <f>'Large Use OLS Model'!$B$8*G126</f>
        <v>0</v>
      </c>
      <c r="P126" s="186">
        <f>'Large Use OLS Model'!$B$9*H126</f>
        <v>0</v>
      </c>
      <c r="Q126" s="186">
        <f>'Large Use OLS Model'!$B$10*I126</f>
        <v>21377604.951162424</v>
      </c>
      <c r="R126" s="127">
        <f t="shared" ca="1" si="21"/>
        <v>28337822.604935911</v>
      </c>
    </row>
    <row r="127" spans="1:18">
      <c r="A127" s="128">
        <v>43617</v>
      </c>
      <c r="B127" s="127">
        <f t="shared" si="25"/>
        <v>2019</v>
      </c>
      <c r="D127" s="127">
        <f t="shared" ca="1" si="6"/>
        <v>116.89315789473682</v>
      </c>
      <c r="E127" s="168">
        <f>E115*(1+Employment!$L$4)</f>
        <v>7440.3745338885947</v>
      </c>
      <c r="F127" s="127">
        <f t="shared" si="8"/>
        <v>126</v>
      </c>
      <c r="G127" s="127">
        <f t="shared" si="17"/>
        <v>0</v>
      </c>
      <c r="H127" s="127">
        <f t="shared" si="17"/>
        <v>0</v>
      </c>
      <c r="I127" s="127">
        <f t="shared" si="17"/>
        <v>30</v>
      </c>
      <c r="K127" s="127">
        <f>'Large Use OLS Model'!$B$5</f>
        <v>-19707994.0131674</v>
      </c>
      <c r="L127" s="186">
        <f ca="1">'Large Use OLS Model'!$B$6*D127</f>
        <v>3089037.1995460331</v>
      </c>
      <c r="M127" s="186">
        <f>'Large Use OLS Model'!$B$7*E127</f>
        <v>25518428.642531611</v>
      </c>
      <c r="N127" s="186">
        <v>0</v>
      </c>
      <c r="O127" s="186">
        <f>'Large Use OLS Model'!$B$8*G127</f>
        <v>0</v>
      </c>
      <c r="P127" s="186">
        <f>'Large Use OLS Model'!$B$9*H127</f>
        <v>0</v>
      </c>
      <c r="Q127" s="186">
        <f>'Large Use OLS Model'!$B$10*I127</f>
        <v>20688004.791447509</v>
      </c>
      <c r="R127" s="127">
        <f t="shared" ca="1" si="21"/>
        <v>29587476.620357752</v>
      </c>
    </row>
    <row r="128" spans="1:18">
      <c r="A128" s="128">
        <v>43647</v>
      </c>
      <c r="B128" s="127">
        <f t="shared" si="25"/>
        <v>2019</v>
      </c>
      <c r="D128" s="127">
        <f t="shared" ca="1" si="6"/>
        <v>186.96526315789481</v>
      </c>
      <c r="E128" s="168">
        <f>E116*(1+Employment!$L$4)</f>
        <v>7525.6360755538299</v>
      </c>
      <c r="F128" s="127">
        <f t="shared" si="8"/>
        <v>127</v>
      </c>
      <c r="G128" s="127">
        <f t="shared" si="17"/>
        <v>1</v>
      </c>
      <c r="H128" s="127">
        <f t="shared" si="17"/>
        <v>0</v>
      </c>
      <c r="I128" s="127">
        <f t="shared" si="17"/>
        <v>31</v>
      </c>
      <c r="K128" s="127">
        <f>'Large Use OLS Model'!$B$5</f>
        <v>-19707994.0131674</v>
      </c>
      <c r="L128" s="186">
        <f ca="1">'Large Use OLS Model'!$B$6*D128</f>
        <v>4940773.8084869953</v>
      </c>
      <c r="M128" s="186">
        <f>'Large Use OLS Model'!$B$7*E128</f>
        <v>25810852.170006834</v>
      </c>
      <c r="N128" s="186">
        <v>0</v>
      </c>
      <c r="O128" s="186">
        <f>'Large Use OLS Model'!$B$8*G128</f>
        <v>-1563237.6990636101</v>
      </c>
      <c r="P128" s="186">
        <f>'Large Use OLS Model'!$B$9*H128</f>
        <v>0</v>
      </c>
      <c r="Q128" s="186">
        <f>'Large Use OLS Model'!$B$10*I128</f>
        <v>21377604.951162424</v>
      </c>
      <c r="R128" s="127">
        <f t="shared" ca="1" si="21"/>
        <v>30857999.217425242</v>
      </c>
    </row>
    <row r="129" spans="1:18">
      <c r="A129" s="128">
        <v>43678</v>
      </c>
      <c r="B129" s="127">
        <f t="shared" si="25"/>
        <v>2019</v>
      </c>
      <c r="D129" s="127">
        <f t="shared" ca="1" si="6"/>
        <v>167.43443609022574</v>
      </c>
      <c r="E129" s="168">
        <f>E117*(1+Employment!$L$4)</f>
        <v>7529.2184932708569</v>
      </c>
      <c r="F129" s="127">
        <f t="shared" si="8"/>
        <v>128</v>
      </c>
      <c r="G129" s="127">
        <f t="shared" si="17"/>
        <v>0</v>
      </c>
      <c r="H129" s="127">
        <f t="shared" si="17"/>
        <v>0</v>
      </c>
      <c r="I129" s="127">
        <f t="shared" si="17"/>
        <v>31</v>
      </c>
      <c r="K129" s="127">
        <f>'Large Use OLS Model'!$B$5</f>
        <v>-19707994.0131674</v>
      </c>
      <c r="L129" s="186">
        <f ca="1">'Large Use OLS Model'!$B$6*D129</f>
        <v>4424649.0631510941</v>
      </c>
      <c r="M129" s="186">
        <f>'Large Use OLS Model'!$B$7*E129</f>
        <v>25823138.872841932</v>
      </c>
      <c r="N129" s="186">
        <v>0</v>
      </c>
      <c r="O129" s="186">
        <f>'Large Use OLS Model'!$B$8*G129</f>
        <v>0</v>
      </c>
      <c r="P129" s="186">
        <f>'Large Use OLS Model'!$B$9*H129</f>
        <v>0</v>
      </c>
      <c r="Q129" s="186">
        <f>'Large Use OLS Model'!$B$10*I129</f>
        <v>21377604.951162424</v>
      </c>
      <c r="R129" s="127">
        <f t="shared" ca="1" si="21"/>
        <v>31917398.873988051</v>
      </c>
    </row>
    <row r="130" spans="1:18">
      <c r="A130" s="128">
        <v>43709</v>
      </c>
      <c r="B130" s="127">
        <f t="shared" si="25"/>
        <v>2019</v>
      </c>
      <c r="D130" s="127">
        <f t="shared" ref="D130:D145" ca="1" si="26">D118</f>
        <v>83.003533834586506</v>
      </c>
      <c r="E130" s="168">
        <f>E118*(1+Employment!$L$4)</f>
        <v>7487.4577381695181</v>
      </c>
      <c r="F130" s="127">
        <f t="shared" si="8"/>
        <v>129</v>
      </c>
      <c r="G130" s="127">
        <f t="shared" si="17"/>
        <v>0</v>
      </c>
      <c r="H130" s="127">
        <f t="shared" si="17"/>
        <v>0</v>
      </c>
      <c r="I130" s="127">
        <f t="shared" si="17"/>
        <v>30</v>
      </c>
      <c r="K130" s="127">
        <f>'Large Use OLS Model'!$B$5</f>
        <v>-19707994.0131674</v>
      </c>
      <c r="L130" s="186">
        <f ca="1">'Large Use OLS Model'!$B$6*D130</f>
        <v>2193464.5990119162</v>
      </c>
      <c r="M130" s="186">
        <f>'Large Use OLS Model'!$B$7*E130</f>
        <v>25679911.022649985</v>
      </c>
      <c r="N130" s="186">
        <v>0</v>
      </c>
      <c r="O130" s="186">
        <f>'Large Use OLS Model'!$B$8*G130</f>
        <v>0</v>
      </c>
      <c r="P130" s="186">
        <f>'Large Use OLS Model'!$B$9*H130</f>
        <v>0</v>
      </c>
      <c r="Q130" s="186">
        <f>'Large Use OLS Model'!$B$10*I130</f>
        <v>20688004.791447509</v>
      </c>
      <c r="R130" s="127">
        <f t="shared" ca="1" si="21"/>
        <v>28853386.399942011</v>
      </c>
    </row>
    <row r="131" spans="1:18">
      <c r="A131" s="128">
        <v>43739</v>
      </c>
      <c r="B131" s="127">
        <f t="shared" si="25"/>
        <v>2019</v>
      </c>
      <c r="D131" s="127">
        <f t="shared" ca="1" si="26"/>
        <v>16.916090225563948</v>
      </c>
      <c r="E131" s="168">
        <f>E119*(1+Employment!$L$4)</f>
        <v>7445.6969830681783</v>
      </c>
      <c r="F131" s="127">
        <f t="shared" si="8"/>
        <v>130</v>
      </c>
      <c r="G131" s="127">
        <f t="shared" ref="G131:I145" si="27">G119</f>
        <v>0</v>
      </c>
      <c r="H131" s="127">
        <f t="shared" si="27"/>
        <v>0</v>
      </c>
      <c r="I131" s="127">
        <f t="shared" si="27"/>
        <v>31</v>
      </c>
      <c r="K131" s="127">
        <f>'Large Use OLS Model'!$B$5</f>
        <v>-19707994.0131674</v>
      </c>
      <c r="L131" s="186">
        <f ca="1">'Large Use OLS Model'!$B$6*D131</f>
        <v>447027.29328862514</v>
      </c>
      <c r="M131" s="186">
        <f>'Large Use OLS Model'!$B$7*E131</f>
        <v>25536683.172458038</v>
      </c>
      <c r="N131" s="186">
        <v>0</v>
      </c>
      <c r="O131" s="186">
        <f>'Large Use OLS Model'!$B$8*G131</f>
        <v>0</v>
      </c>
      <c r="P131" s="186">
        <f>'Large Use OLS Model'!$B$9*H131</f>
        <v>0</v>
      </c>
      <c r="Q131" s="186">
        <f>'Large Use OLS Model'!$B$10*I131</f>
        <v>21377604.951162424</v>
      </c>
      <c r="R131" s="127">
        <f t="shared" ca="1" si="21"/>
        <v>27653321.403741688</v>
      </c>
    </row>
    <row r="132" spans="1:18">
      <c r="A132" s="128">
        <v>43770</v>
      </c>
      <c r="B132" s="127">
        <f t="shared" si="25"/>
        <v>2019</v>
      </c>
      <c r="D132" s="127">
        <f t="shared" ca="1" si="26"/>
        <v>8.120300751879661E-2</v>
      </c>
      <c r="E132" s="168">
        <f>E120*(1+Employment!$L$4)</f>
        <v>7450.4053034962717</v>
      </c>
      <c r="F132" s="127">
        <f t="shared" si="8"/>
        <v>131</v>
      </c>
      <c r="G132" s="127">
        <f t="shared" si="27"/>
        <v>0</v>
      </c>
      <c r="H132" s="127">
        <f t="shared" si="27"/>
        <v>0</v>
      </c>
      <c r="I132" s="127">
        <f t="shared" si="27"/>
        <v>30</v>
      </c>
      <c r="K132" s="127">
        <f>'Large Use OLS Model'!$B$5</f>
        <v>-19707994.0131674</v>
      </c>
      <c r="L132" s="186">
        <f ca="1">'Large Use OLS Model'!$B$6*D132</f>
        <v>2145.8836039527778</v>
      </c>
      <c r="M132" s="186">
        <f>'Large Use OLS Model'!$B$7*E132</f>
        <v>25552831.410469878</v>
      </c>
      <c r="N132" s="186">
        <v>0</v>
      </c>
      <c r="O132" s="186">
        <f>'Large Use OLS Model'!$B$8*G132</f>
        <v>0</v>
      </c>
      <c r="P132" s="186">
        <f>'Large Use OLS Model'!$B$9*H132</f>
        <v>0</v>
      </c>
      <c r="Q132" s="186">
        <f>'Large Use OLS Model'!$B$10*I132</f>
        <v>20688004.791447509</v>
      </c>
      <c r="R132" s="127">
        <f t="shared" ca="1" si="21"/>
        <v>26534988.07235394</v>
      </c>
    </row>
    <row r="133" spans="1:18">
      <c r="A133" s="128">
        <v>43800</v>
      </c>
      <c r="B133" s="127">
        <f t="shared" si="25"/>
        <v>2019</v>
      </c>
      <c r="D133" s="127">
        <f t="shared" ca="1" si="26"/>
        <v>0</v>
      </c>
      <c r="E133" s="168">
        <f>E121*(1+Employment!$L$4)</f>
        <v>7474.6633891801375</v>
      </c>
      <c r="F133" s="127">
        <f t="shared" si="8"/>
        <v>132</v>
      </c>
      <c r="G133" s="127">
        <f t="shared" si="27"/>
        <v>0</v>
      </c>
      <c r="H133" s="127">
        <f t="shared" si="27"/>
        <v>1</v>
      </c>
      <c r="I133" s="127">
        <f t="shared" si="27"/>
        <v>31</v>
      </c>
      <c r="K133" s="127">
        <f>'Large Use OLS Model'!$B$5</f>
        <v>-19707994.0131674</v>
      </c>
      <c r="L133" s="186">
        <f ca="1">'Large Use OLS Model'!$B$6*D133</f>
        <v>0</v>
      </c>
      <c r="M133" s="186">
        <f>'Large Use OLS Model'!$B$7*E133</f>
        <v>25636029.941096082</v>
      </c>
      <c r="N133" s="186">
        <v>0</v>
      </c>
      <c r="O133" s="186">
        <f>'Large Use OLS Model'!$B$8*G133</f>
        <v>0</v>
      </c>
      <c r="P133" s="186">
        <f>'Large Use OLS Model'!$B$9*H133</f>
        <v>-2219022.2541699898</v>
      </c>
      <c r="Q133" s="186">
        <f>'Large Use OLS Model'!$B$10*I133</f>
        <v>21377604.951162424</v>
      </c>
      <c r="R133" s="127">
        <f t="shared" ca="1" si="21"/>
        <v>25086618.624921117</v>
      </c>
    </row>
    <row r="134" spans="1:18">
      <c r="A134" s="128">
        <v>43831</v>
      </c>
      <c r="B134" s="127">
        <f t="shared" si="25"/>
        <v>2020</v>
      </c>
      <c r="D134" s="127">
        <f t="shared" ca="1" si="26"/>
        <v>0</v>
      </c>
      <c r="E134" s="168">
        <f>E122*(1+Employment!$L$5)</f>
        <v>7417.8514028696072</v>
      </c>
      <c r="F134" s="127">
        <f t="shared" si="8"/>
        <v>133</v>
      </c>
      <c r="G134" s="127">
        <f t="shared" si="27"/>
        <v>0</v>
      </c>
      <c r="H134" s="127">
        <f t="shared" si="27"/>
        <v>0</v>
      </c>
      <c r="I134" s="127">
        <f t="shared" si="27"/>
        <v>31</v>
      </c>
      <c r="K134" s="127">
        <f>'Large Use OLS Model'!$B$5</f>
        <v>-19707994.0131674</v>
      </c>
      <c r="L134" s="186">
        <f ca="1">'Large Use OLS Model'!$B$6*D134</f>
        <v>0</v>
      </c>
      <c r="M134" s="186">
        <f>'Large Use OLS Model'!$B$7*E134</f>
        <v>25441180.526983585</v>
      </c>
      <c r="N134" s="186">
        <v>0</v>
      </c>
      <c r="O134" s="186">
        <f>'Large Use OLS Model'!$B$8*G134</f>
        <v>0</v>
      </c>
      <c r="P134" s="186">
        <f>'Large Use OLS Model'!$B$9*H134</f>
        <v>0</v>
      </c>
      <c r="Q134" s="186">
        <f>'Large Use OLS Model'!$B$10*I134</f>
        <v>21377604.951162424</v>
      </c>
      <c r="R134" s="127">
        <f t="shared" ca="1" si="21"/>
        <v>27110791.464978609</v>
      </c>
    </row>
    <row r="135" spans="1:18">
      <c r="A135" s="128">
        <v>43862</v>
      </c>
      <c r="B135" s="127">
        <f t="shared" si="25"/>
        <v>2020</v>
      </c>
      <c r="D135" s="127">
        <f t="shared" ca="1" si="26"/>
        <v>0</v>
      </c>
      <c r="E135" s="168">
        <f>E123*(1+Employment!$L$5)</f>
        <v>7369.4511790101551</v>
      </c>
      <c r="F135" s="127">
        <f t="shared" si="8"/>
        <v>134</v>
      </c>
      <c r="G135" s="127">
        <f t="shared" si="27"/>
        <v>0</v>
      </c>
      <c r="H135" s="127">
        <f t="shared" si="27"/>
        <v>0</v>
      </c>
      <c r="I135" s="127">
        <f t="shared" si="27"/>
        <v>29</v>
      </c>
      <c r="K135" s="127">
        <f>'Large Use OLS Model'!$B$5</f>
        <v>-19707994.0131674</v>
      </c>
      <c r="L135" s="186">
        <f ca="1">'Large Use OLS Model'!$B$6*D135</f>
        <v>0</v>
      </c>
      <c r="M135" s="186">
        <f>'Large Use OLS Model'!$B$7*E135</f>
        <v>25275181.133644648</v>
      </c>
      <c r="N135" s="186">
        <v>0</v>
      </c>
      <c r="O135" s="186">
        <f>'Large Use OLS Model'!$B$8*G135</f>
        <v>0</v>
      </c>
      <c r="P135" s="186">
        <f>'Large Use OLS Model'!$B$9*H135</f>
        <v>0</v>
      </c>
      <c r="Q135" s="186">
        <f>'Large Use OLS Model'!$B$10*I135</f>
        <v>19998404.63173259</v>
      </c>
      <c r="R135" s="127">
        <f t="shared" ca="1" si="21"/>
        <v>25565591.752209838</v>
      </c>
    </row>
    <row r="136" spans="1:18">
      <c r="A136" s="128">
        <v>43891</v>
      </c>
      <c r="B136" s="127">
        <f t="shared" si="25"/>
        <v>2020</v>
      </c>
      <c r="D136" s="127">
        <f t="shared" ca="1" si="26"/>
        <v>0.45218045112781802</v>
      </c>
      <c r="E136" s="168">
        <f>E124*(1+Employment!$L$5)</f>
        <v>7324.4637914484865</v>
      </c>
      <c r="F136" s="127">
        <f t="shared" si="8"/>
        <v>135</v>
      </c>
      <c r="G136" s="127">
        <f t="shared" si="27"/>
        <v>0</v>
      </c>
      <c r="H136" s="127">
        <f t="shared" si="27"/>
        <v>0</v>
      </c>
      <c r="I136" s="127">
        <f t="shared" si="27"/>
        <v>31</v>
      </c>
      <c r="K136" s="127">
        <f>'Large Use OLS Model'!$B$5</f>
        <v>-19707994.0131674</v>
      </c>
      <c r="L136" s="186">
        <f ca="1">'Large Use OLS Model'!$B$6*D136</f>
        <v>11949.392587196318</v>
      </c>
      <c r="M136" s="186">
        <f>'Large Use OLS Model'!$B$7*E136</f>
        <v>25120886.82573346</v>
      </c>
      <c r="N136" s="186">
        <v>0</v>
      </c>
      <c r="O136" s="186">
        <f>'Large Use OLS Model'!$B$8*G136</f>
        <v>0</v>
      </c>
      <c r="P136" s="186">
        <f>'Large Use OLS Model'!$B$9*H136</f>
        <v>0</v>
      </c>
      <c r="Q136" s="186">
        <f>'Large Use OLS Model'!$B$10*I136</f>
        <v>21377604.951162424</v>
      </c>
      <c r="R136" s="127">
        <f t="shared" ca="1" si="21"/>
        <v>26802447.156315681</v>
      </c>
    </row>
    <row r="137" spans="1:18">
      <c r="A137" s="128">
        <v>43922</v>
      </c>
      <c r="B137" s="127">
        <f t="shared" si="25"/>
        <v>2020</v>
      </c>
      <c r="D137" s="127">
        <f t="shared" ca="1" si="26"/>
        <v>0.50947368421054762</v>
      </c>
      <c r="E137" s="168">
        <f>E125*(1+Employment!$L$5)</f>
        <v>7351.4562239854886</v>
      </c>
      <c r="F137" s="127">
        <f t="shared" si="8"/>
        <v>136</v>
      </c>
      <c r="G137" s="127">
        <f t="shared" si="27"/>
        <v>0</v>
      </c>
      <c r="H137" s="127">
        <f t="shared" si="27"/>
        <v>0</v>
      </c>
      <c r="I137" s="127">
        <f t="shared" si="27"/>
        <v>30</v>
      </c>
      <c r="K137" s="127">
        <f>'Large Use OLS Model'!$B$5</f>
        <v>-19707994.0131674</v>
      </c>
      <c r="L137" s="186">
        <f ca="1">'Large Use OLS Model'!$B$6*D137</f>
        <v>13463.432685541387</v>
      </c>
      <c r="M137" s="186">
        <f>'Large Use OLS Model'!$B$7*E137</f>
        <v>25213463.410480175</v>
      </c>
      <c r="N137" s="186">
        <v>0</v>
      </c>
      <c r="O137" s="186">
        <f>'Large Use OLS Model'!$B$8*G137</f>
        <v>0</v>
      </c>
      <c r="P137" s="186">
        <f>'Large Use OLS Model'!$B$9*H137</f>
        <v>0</v>
      </c>
      <c r="Q137" s="186">
        <f>'Large Use OLS Model'!$B$10*I137</f>
        <v>20688004.791447509</v>
      </c>
      <c r="R137" s="127">
        <f t="shared" ca="1" si="21"/>
        <v>26206937.621445827</v>
      </c>
    </row>
    <row r="138" spans="1:18">
      <c r="A138" s="128">
        <v>43952</v>
      </c>
      <c r="B138" s="127">
        <f t="shared" si="25"/>
        <v>2020</v>
      </c>
      <c r="D138" s="127">
        <f t="shared" ca="1" si="26"/>
        <v>56.062781954887214</v>
      </c>
      <c r="E138" s="168">
        <f>E126*(1+Employment!$L$5)</f>
        <v>7420.0232077863766</v>
      </c>
      <c r="F138" s="127">
        <f t="shared" si="8"/>
        <v>137</v>
      </c>
      <c r="G138" s="127">
        <f t="shared" si="27"/>
        <v>0</v>
      </c>
      <c r="H138" s="127">
        <f t="shared" si="27"/>
        <v>0</v>
      </c>
      <c r="I138" s="127">
        <f t="shared" si="27"/>
        <v>31</v>
      </c>
      <c r="K138" s="127">
        <f>'Large Use OLS Model'!$B$5</f>
        <v>-19707994.0131674</v>
      </c>
      <c r="L138" s="186">
        <f ca="1">'Large Use OLS Model'!$B$6*D138</f>
        <v>1481524.0009567935</v>
      </c>
      <c r="M138" s="186">
        <f>'Large Use OLS Model'!$B$7*E138</f>
        <v>25448629.217710327</v>
      </c>
      <c r="N138" s="186">
        <v>0</v>
      </c>
      <c r="O138" s="186">
        <f>'Large Use OLS Model'!$B$8*G138</f>
        <v>0</v>
      </c>
      <c r="P138" s="186">
        <f>'Large Use OLS Model'!$B$9*H138</f>
        <v>0</v>
      </c>
      <c r="Q138" s="186">
        <f>'Large Use OLS Model'!$B$10*I138</f>
        <v>21377604.951162424</v>
      </c>
      <c r="R138" s="127">
        <f t="shared" ca="1" si="21"/>
        <v>28599764.156662144</v>
      </c>
    </row>
    <row r="139" spans="1:18">
      <c r="A139" s="128">
        <v>43983</v>
      </c>
      <c r="B139" s="127">
        <f t="shared" si="25"/>
        <v>2020</v>
      </c>
      <c r="D139" s="127">
        <f t="shared" ca="1" si="26"/>
        <v>116.89315789473682</v>
      </c>
      <c r="E139" s="168">
        <f>E127*(1+Employment!$L$5)</f>
        <v>7517.754429041036</v>
      </c>
      <c r="F139" s="127">
        <f t="shared" si="8"/>
        <v>138</v>
      </c>
      <c r="G139" s="127">
        <f t="shared" si="27"/>
        <v>0</v>
      </c>
      <c r="H139" s="127">
        <f t="shared" si="27"/>
        <v>0</v>
      </c>
      <c r="I139" s="127">
        <f t="shared" si="27"/>
        <v>30</v>
      </c>
      <c r="K139" s="127">
        <f>'Large Use OLS Model'!$B$5</f>
        <v>-19707994.0131674</v>
      </c>
      <c r="L139" s="186">
        <f ca="1">'Large Use OLS Model'!$B$6*D139</f>
        <v>3089037.1995460331</v>
      </c>
      <c r="M139" s="186">
        <f>'Large Use OLS Model'!$B$7*E139</f>
        <v>25783820.30041394</v>
      </c>
      <c r="N139" s="186">
        <v>0</v>
      </c>
      <c r="O139" s="186">
        <f>'Large Use OLS Model'!$B$8*G139</f>
        <v>0</v>
      </c>
      <c r="P139" s="186">
        <f>'Large Use OLS Model'!$B$9*H139</f>
        <v>0</v>
      </c>
      <c r="Q139" s="186">
        <f>'Large Use OLS Model'!$B$10*I139</f>
        <v>20688004.791447509</v>
      </c>
      <c r="R139" s="127">
        <f t="shared" ca="1" si="21"/>
        <v>29852868.278240085</v>
      </c>
    </row>
    <row r="140" spans="1:18">
      <c r="A140" s="128">
        <v>44013</v>
      </c>
      <c r="B140" s="127">
        <f t="shared" si="25"/>
        <v>2020</v>
      </c>
      <c r="D140" s="127">
        <f t="shared" ca="1" si="26"/>
        <v>186.96526315789481</v>
      </c>
      <c r="E140" s="168">
        <f>E128*(1+Employment!$L$5)</f>
        <v>7603.9026907395892</v>
      </c>
      <c r="F140" s="127">
        <f t="shared" si="8"/>
        <v>139</v>
      </c>
      <c r="G140" s="127">
        <f t="shared" si="27"/>
        <v>1</v>
      </c>
      <c r="H140" s="127">
        <f t="shared" si="27"/>
        <v>0</v>
      </c>
      <c r="I140" s="127">
        <f t="shared" si="27"/>
        <v>31</v>
      </c>
      <c r="K140" s="127">
        <f>'Large Use OLS Model'!$B$5</f>
        <v>-19707994.0131674</v>
      </c>
      <c r="L140" s="186">
        <f ca="1">'Large Use OLS Model'!$B$6*D140</f>
        <v>4940773.8084869953</v>
      </c>
      <c r="M140" s="186">
        <f>'Large Use OLS Model'!$B$7*E140</f>
        <v>26079285.032574903</v>
      </c>
      <c r="N140" s="186">
        <v>0</v>
      </c>
      <c r="O140" s="186">
        <f>'Large Use OLS Model'!$B$8*G140</f>
        <v>-1563237.6990636101</v>
      </c>
      <c r="P140" s="186">
        <f>'Large Use OLS Model'!$B$9*H140</f>
        <v>0</v>
      </c>
      <c r="Q140" s="186">
        <f>'Large Use OLS Model'!$B$10*I140</f>
        <v>21377604.951162424</v>
      </c>
      <c r="R140" s="127">
        <f t="shared" ca="1" si="21"/>
        <v>31126432.079993311</v>
      </c>
    </row>
    <row r="141" spans="1:18">
      <c r="A141" s="128">
        <v>44044</v>
      </c>
      <c r="B141" s="127">
        <f t="shared" si="25"/>
        <v>2020</v>
      </c>
      <c r="D141" s="127">
        <f t="shared" ca="1" si="26"/>
        <v>167.43443609022574</v>
      </c>
      <c r="E141" s="168">
        <f>E129*(1+Employment!$L$5)</f>
        <v>7607.5223656008739</v>
      </c>
      <c r="F141" s="127">
        <f t="shared" si="8"/>
        <v>140</v>
      </c>
      <c r="G141" s="127">
        <f t="shared" si="27"/>
        <v>0</v>
      </c>
      <c r="H141" s="127">
        <f t="shared" si="27"/>
        <v>0</v>
      </c>
      <c r="I141" s="127">
        <f t="shared" si="27"/>
        <v>31</v>
      </c>
      <c r="K141" s="127">
        <f>'Large Use OLS Model'!$B$5</f>
        <v>-19707994.0131674</v>
      </c>
      <c r="L141" s="186">
        <f ca="1">'Large Use OLS Model'!$B$6*D141</f>
        <v>4424649.0631510941</v>
      </c>
      <c r="M141" s="186">
        <f>'Large Use OLS Model'!$B$7*E141</f>
        <v>26091699.517119486</v>
      </c>
      <c r="N141" s="186">
        <v>0</v>
      </c>
      <c r="O141" s="186">
        <f>'Large Use OLS Model'!$B$8*G141</f>
        <v>0</v>
      </c>
      <c r="P141" s="186">
        <f>'Large Use OLS Model'!$B$9*H141</f>
        <v>0</v>
      </c>
      <c r="Q141" s="186">
        <f>'Large Use OLS Model'!$B$10*I141</f>
        <v>21377604.951162424</v>
      </c>
      <c r="R141" s="127">
        <f t="shared" ca="1" si="21"/>
        <v>32185959.518265605</v>
      </c>
    </row>
    <row r="142" spans="1:18">
      <c r="A142" s="128">
        <v>44075</v>
      </c>
      <c r="B142" s="127">
        <f t="shared" si="25"/>
        <v>2020</v>
      </c>
      <c r="D142" s="127">
        <f t="shared" ca="1" si="26"/>
        <v>83.003533834586506</v>
      </c>
      <c r="E142" s="168">
        <f>E130*(1+Employment!$L$5)</f>
        <v>7565.3272986464808</v>
      </c>
      <c r="F142" s="127">
        <f t="shared" si="8"/>
        <v>141</v>
      </c>
      <c r="G142" s="127">
        <f t="shared" si="27"/>
        <v>0</v>
      </c>
      <c r="H142" s="127">
        <f t="shared" si="27"/>
        <v>0</v>
      </c>
      <c r="I142" s="127">
        <f t="shared" si="27"/>
        <v>30</v>
      </c>
      <c r="K142" s="127">
        <f>'Large Use OLS Model'!$B$5</f>
        <v>-19707994.0131674</v>
      </c>
      <c r="L142" s="186">
        <f ca="1">'Large Use OLS Model'!$B$6*D142</f>
        <v>2193464.5990119162</v>
      </c>
      <c r="M142" s="186">
        <f>'Large Use OLS Model'!$B$7*E142</f>
        <v>25946982.097285546</v>
      </c>
      <c r="N142" s="186">
        <v>0</v>
      </c>
      <c r="O142" s="186">
        <f>'Large Use OLS Model'!$B$8*G142</f>
        <v>0</v>
      </c>
      <c r="P142" s="186">
        <f>'Large Use OLS Model'!$B$9*H142</f>
        <v>0</v>
      </c>
      <c r="Q142" s="186">
        <f>'Large Use OLS Model'!$B$10*I142</f>
        <v>20688004.791447509</v>
      </c>
      <c r="R142" s="127">
        <f t="shared" ca="1" si="21"/>
        <v>29120457.474577572</v>
      </c>
    </row>
    <row r="143" spans="1:18">
      <c r="A143" s="128">
        <v>44105</v>
      </c>
      <c r="B143" s="127">
        <f t="shared" si="25"/>
        <v>2020</v>
      </c>
      <c r="D143" s="127">
        <f t="shared" ca="1" si="26"/>
        <v>16.916090225563948</v>
      </c>
      <c r="E143" s="168">
        <f>E131*(1+Employment!$L$5)</f>
        <v>7523.1322316920869</v>
      </c>
      <c r="F143" s="127">
        <f t="shared" si="8"/>
        <v>142</v>
      </c>
      <c r="G143" s="127">
        <f t="shared" si="27"/>
        <v>0</v>
      </c>
      <c r="H143" s="127">
        <f t="shared" si="27"/>
        <v>0</v>
      </c>
      <c r="I143" s="127">
        <f t="shared" si="27"/>
        <v>31</v>
      </c>
      <c r="K143" s="127">
        <f>'Large Use OLS Model'!$B$5</f>
        <v>-19707994.0131674</v>
      </c>
      <c r="L143" s="186">
        <f ca="1">'Large Use OLS Model'!$B$6*D143</f>
        <v>447027.29328862514</v>
      </c>
      <c r="M143" s="186">
        <f>'Large Use OLS Model'!$B$7*E143</f>
        <v>25802264.677451599</v>
      </c>
      <c r="N143" s="186">
        <v>0</v>
      </c>
      <c r="O143" s="186">
        <f>'Large Use OLS Model'!$B$8*G143</f>
        <v>0</v>
      </c>
      <c r="P143" s="186">
        <f>'Large Use OLS Model'!$B$9*H143</f>
        <v>0</v>
      </c>
      <c r="Q143" s="186">
        <f>'Large Use OLS Model'!$B$10*I143</f>
        <v>21377604.951162424</v>
      </c>
      <c r="R143" s="127">
        <f t="shared" ca="1" si="21"/>
        <v>27918902.908735249</v>
      </c>
    </row>
    <row r="144" spans="1:18">
      <c r="A144" s="128">
        <v>44136</v>
      </c>
      <c r="B144" s="127">
        <f t="shared" si="25"/>
        <v>2020</v>
      </c>
      <c r="D144" s="127">
        <f t="shared" ca="1" si="26"/>
        <v>8.120300751879661E-2</v>
      </c>
      <c r="E144" s="168">
        <f>E132*(1+Employment!$L$5)</f>
        <v>7527.8895186526324</v>
      </c>
      <c r="F144" s="127">
        <f t="shared" si="8"/>
        <v>143</v>
      </c>
      <c r="G144" s="127">
        <f t="shared" si="27"/>
        <v>0</v>
      </c>
      <c r="H144" s="127">
        <f t="shared" si="27"/>
        <v>0</v>
      </c>
      <c r="I144" s="127">
        <f t="shared" si="27"/>
        <v>30</v>
      </c>
      <c r="K144" s="127">
        <f>'Large Use OLS Model'!$B$5</f>
        <v>-19707994.0131674</v>
      </c>
      <c r="L144" s="186">
        <f ca="1">'Large Use OLS Model'!$B$6*D144</f>
        <v>2145.8836039527778</v>
      </c>
      <c r="M144" s="186">
        <f>'Large Use OLS Model'!$B$7*E144</f>
        <v>25818580.857138764</v>
      </c>
      <c r="N144" s="186">
        <v>0</v>
      </c>
      <c r="O144" s="186">
        <f>'Large Use OLS Model'!$B$8*G144</f>
        <v>0</v>
      </c>
      <c r="P144" s="186">
        <f>'Large Use OLS Model'!$B$9*H144</f>
        <v>0</v>
      </c>
      <c r="Q144" s="186">
        <f>'Large Use OLS Model'!$B$10*I144</f>
        <v>20688004.791447509</v>
      </c>
      <c r="R144" s="127">
        <f t="shared" ca="1" si="21"/>
        <v>26800737.519022826</v>
      </c>
    </row>
    <row r="145" spans="1:18">
      <c r="A145" s="128">
        <v>44166</v>
      </c>
      <c r="B145" s="127">
        <f t="shared" si="25"/>
        <v>2020</v>
      </c>
      <c r="D145" s="127">
        <f t="shared" ca="1" si="26"/>
        <v>0</v>
      </c>
      <c r="E145" s="168">
        <f>E133*(1+Employment!$L$5)</f>
        <v>7552.3998884276107</v>
      </c>
      <c r="F145" s="127">
        <f t="shared" si="8"/>
        <v>144</v>
      </c>
      <c r="G145" s="127">
        <f t="shared" si="27"/>
        <v>0</v>
      </c>
      <c r="H145" s="127">
        <f t="shared" si="27"/>
        <v>1</v>
      </c>
      <c r="I145" s="127">
        <f t="shared" si="27"/>
        <v>31</v>
      </c>
      <c r="K145" s="127">
        <f>'Large Use OLS Model'!$B$5</f>
        <v>-19707994.0131674</v>
      </c>
      <c r="L145" s="186">
        <f ca="1">'Large Use OLS Model'!$B$6*D145</f>
        <v>0</v>
      </c>
      <c r="M145" s="186">
        <f>'Large Use OLS Model'!$B$7*E145</f>
        <v>25902644.652483482</v>
      </c>
      <c r="N145" s="186">
        <v>0</v>
      </c>
      <c r="O145" s="186">
        <f>'Large Use OLS Model'!$B$8*G145</f>
        <v>0</v>
      </c>
      <c r="P145" s="186">
        <f>'Large Use OLS Model'!$B$9*H145</f>
        <v>-2219022.2541699898</v>
      </c>
      <c r="Q145" s="186">
        <f>'Large Use OLS Model'!$B$10*I145</f>
        <v>21377604.951162424</v>
      </c>
      <c r="R145" s="127">
        <f t="shared" ca="1" si="21"/>
        <v>25353233.336308517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874F0-9543-4A52-8FC4-D22121D2B937}">
  <dimension ref="A1:R145"/>
  <sheetViews>
    <sheetView topLeftCell="A109" workbookViewId="0">
      <selection activeCell="AB55" sqref="AB55"/>
    </sheetView>
  </sheetViews>
  <sheetFormatPr defaultRowHeight="12.75"/>
  <cols>
    <col min="1" max="1" width="10.33203125" style="186" bestFit="1" customWidth="1"/>
    <col min="2" max="2" width="5" style="186" bestFit="1" customWidth="1"/>
    <col min="3" max="3" width="18.6640625" style="186" bestFit="1" customWidth="1"/>
    <col min="4" max="4" width="7.5" style="186" customWidth="1"/>
    <col min="5" max="5" width="12.1640625" style="186" bestFit="1" customWidth="1"/>
    <col min="6" max="6" width="9" style="186" bestFit="1" customWidth="1"/>
    <col min="7" max="8" width="3.83203125" style="186" bestFit="1" customWidth="1"/>
    <col min="9" max="9" width="5.33203125" style="186" bestFit="1" customWidth="1"/>
    <col min="10" max="10" width="9.33203125" style="186"/>
    <col min="11" max="11" width="12.6640625" style="186" bestFit="1" customWidth="1"/>
    <col min="12" max="13" width="12" style="186" bestFit="1" customWidth="1"/>
    <col min="14" max="15" width="12.6640625" style="186" bestFit="1" customWidth="1"/>
    <col min="16" max="16" width="12" style="186" bestFit="1" customWidth="1"/>
    <col min="17" max="17" width="12.6640625" style="186" bestFit="1" customWidth="1"/>
    <col min="18" max="18" width="12" style="186" bestFit="1" customWidth="1"/>
    <col min="19" max="16384" width="9.33203125" style="186"/>
  </cols>
  <sheetData>
    <row r="1" spans="1:18">
      <c r="A1" s="186" t="s">
        <v>123</v>
      </c>
      <c r="B1" s="186" t="s">
        <v>124</v>
      </c>
      <c r="C1" s="186" t="str">
        <f>'Monthly Data'!AE1</f>
        <v>Large_Use_NO_CDM</v>
      </c>
      <c r="D1" s="186" t="str">
        <f>'Monthly Data'!BI1</f>
        <v>CDD</v>
      </c>
      <c r="E1" s="168" t="str">
        <f>'Monthly Data'!BJ1</f>
        <v>Ont_Empl</v>
      </c>
      <c r="F1" s="186" t="str">
        <f>'Monthly Data'!BM1</f>
        <v>Trend</v>
      </c>
      <c r="G1" s="186" t="str">
        <f>'Monthly Data'!BT1</f>
        <v>Jul</v>
      </c>
      <c r="H1" s="186" t="str">
        <f>'Monthly Data'!BY1</f>
        <v>Dec</v>
      </c>
      <c r="I1" s="186" t="str">
        <f>'Monthly Data'!CC1</f>
        <v>Month Days</v>
      </c>
      <c r="K1" s="186" t="s">
        <v>91</v>
      </c>
      <c r="L1" s="186" t="str">
        <f t="shared" ref="L1:Q1" si="0">D1</f>
        <v>CDD</v>
      </c>
      <c r="M1" s="186" t="str">
        <f t="shared" si="0"/>
        <v>Ont_Empl</v>
      </c>
      <c r="N1" s="186" t="str">
        <f t="shared" si="0"/>
        <v>Trend</v>
      </c>
      <c r="O1" s="186" t="str">
        <f t="shared" si="0"/>
        <v>Jul</v>
      </c>
      <c r="P1" s="186" t="str">
        <f t="shared" si="0"/>
        <v>Dec</v>
      </c>
      <c r="Q1" s="186" t="str">
        <f t="shared" si="0"/>
        <v>Month Days</v>
      </c>
      <c r="R1" s="186" t="s">
        <v>125</v>
      </c>
    </row>
    <row r="2" spans="1:18">
      <c r="A2" s="128">
        <f>'Monthly Data'!A2</f>
        <v>39814</v>
      </c>
      <c r="B2" s="186">
        <f t="shared" ref="B2:B65" si="1">YEAR(A2)</f>
        <v>2009</v>
      </c>
      <c r="C2" s="186">
        <f ca="1">'Monthly Data'!AQ2</f>
        <v>22028250.725647919</v>
      </c>
      <c r="D2" s="144">
        <f ca="1">Weather!M69</f>
        <v>0</v>
      </c>
      <c r="E2" s="168">
        <f>'Monthly Data'!BJ2</f>
        <v>6541.6</v>
      </c>
      <c r="F2" s="186">
        <f>'Monthly Data'!BM2</f>
        <v>1</v>
      </c>
      <c r="G2" s="186">
        <f>'Monthly Data'!BT2</f>
        <v>0</v>
      </c>
      <c r="H2" s="186">
        <f>'Monthly Data'!BY2</f>
        <v>0</v>
      </c>
      <c r="I2" s="186">
        <f>'Monthly Data'!CC2</f>
        <v>31</v>
      </c>
      <c r="K2" s="186">
        <f>'Large Use OLS Model (LC)'!$B$5</f>
        <v>-11585185.4436178</v>
      </c>
      <c r="L2" s="186">
        <f ca="1">'Large Use OLS Model (LC)'!$B$6*D2</f>
        <v>0</v>
      </c>
      <c r="M2" s="186">
        <f>'Large Use OLS Model (LC)'!$B$7*E2</f>
        <v>13603360.300978674</v>
      </c>
      <c r="N2" s="186">
        <v>0</v>
      </c>
      <c r="O2" s="186">
        <f>'Large Use OLS Model (LC)'!$B$8*G2</f>
        <v>0</v>
      </c>
      <c r="P2" s="186">
        <f>'Large Use OLS Model (LC)'!$B$9*H2</f>
        <v>0</v>
      </c>
      <c r="Q2" s="186">
        <f>'Large Use OLS Model (LC)'!$B$10*I2</f>
        <v>18122355.210333746</v>
      </c>
      <c r="R2" s="186">
        <f t="shared" ref="R2:R65" ca="1" si="2">SUM(K2:Q2)</f>
        <v>20140530.067694619</v>
      </c>
    </row>
    <row r="3" spans="1:18">
      <c r="A3" s="128">
        <f>'Monthly Data'!A3</f>
        <v>39845</v>
      </c>
      <c r="B3" s="186">
        <f t="shared" si="1"/>
        <v>2009</v>
      </c>
      <c r="C3" s="186">
        <f ca="1">'Monthly Data'!AQ3</f>
        <v>19634474.347390488</v>
      </c>
      <c r="D3" s="144">
        <f ca="1">Weather!M70</f>
        <v>0</v>
      </c>
      <c r="E3" s="168">
        <f>'Monthly Data'!BJ3</f>
        <v>6506</v>
      </c>
      <c r="F3" s="186">
        <f>'Monthly Data'!BM3</f>
        <v>2</v>
      </c>
      <c r="G3" s="186">
        <f>'Monthly Data'!BT3</f>
        <v>0</v>
      </c>
      <c r="H3" s="186">
        <f>'Monthly Data'!BY3</f>
        <v>0</v>
      </c>
      <c r="I3" s="186">
        <f>'Monthly Data'!CC3</f>
        <v>28</v>
      </c>
      <c r="K3" s="186">
        <f>'Large Use OLS Model (LC)'!$B$5</f>
        <v>-11585185.4436178</v>
      </c>
      <c r="L3" s="186">
        <f ca="1">'Large Use OLS Model (LC)'!$B$6*D3</f>
        <v>0</v>
      </c>
      <c r="M3" s="186">
        <f>'Large Use OLS Model (LC)'!$B$7*E3</f>
        <v>13529329.539893489</v>
      </c>
      <c r="N3" s="186">
        <v>0</v>
      </c>
      <c r="O3" s="186">
        <f>'Large Use OLS Model (LC)'!$B$8*G3</f>
        <v>0</v>
      </c>
      <c r="P3" s="186">
        <f>'Large Use OLS Model (LC)'!$B$9*H3</f>
        <v>0</v>
      </c>
      <c r="Q3" s="186">
        <f>'Large Use OLS Model (LC)'!$B$10*I3</f>
        <v>16368578.899656285</v>
      </c>
      <c r="R3" s="186">
        <f t="shared" ca="1" si="2"/>
        <v>18312722.995931976</v>
      </c>
    </row>
    <row r="4" spans="1:18">
      <c r="A4" s="128">
        <f>'Monthly Data'!A4</f>
        <v>39873</v>
      </c>
      <c r="B4" s="186">
        <f t="shared" si="1"/>
        <v>2009</v>
      </c>
      <c r="C4" s="186">
        <f ca="1">'Monthly Data'!AQ4</f>
        <v>19328255.735383421</v>
      </c>
      <c r="D4" s="144">
        <f ca="1">Weather!M71</f>
        <v>0.45218045112781802</v>
      </c>
      <c r="E4" s="168">
        <f>'Monthly Data'!BJ4</f>
        <v>6466.8</v>
      </c>
      <c r="F4" s="186">
        <f>'Monthly Data'!BM4</f>
        <v>3</v>
      </c>
      <c r="G4" s="186">
        <f>'Monthly Data'!BT4</f>
        <v>0</v>
      </c>
      <c r="H4" s="186">
        <f>'Monthly Data'!BY4</f>
        <v>0</v>
      </c>
      <c r="I4" s="186">
        <f>'Monthly Data'!CC4</f>
        <v>31</v>
      </c>
      <c r="K4" s="186">
        <f>'Large Use OLS Model (LC)'!$B$5</f>
        <v>-11585185.4436178</v>
      </c>
      <c r="L4" s="186">
        <f ca="1">'Large Use OLS Model (LC)'!$B$6*D4</f>
        <v>11630.490819611816</v>
      </c>
      <c r="M4" s="186">
        <f>'Large Use OLS Model (LC)'!$B$7*E4</f>
        <v>13447812.522069354</v>
      </c>
      <c r="N4" s="186">
        <v>0</v>
      </c>
      <c r="O4" s="186">
        <f>'Large Use OLS Model (LC)'!$B$8*G4</f>
        <v>0</v>
      </c>
      <c r="P4" s="186">
        <f>'Large Use OLS Model (LC)'!$B$9*H4</f>
        <v>0</v>
      </c>
      <c r="Q4" s="186">
        <f>'Large Use OLS Model (LC)'!$B$10*I4</f>
        <v>18122355.210333746</v>
      </c>
      <c r="R4" s="186">
        <f t="shared" ca="1" si="2"/>
        <v>19996612.779604912</v>
      </c>
    </row>
    <row r="5" spans="1:18">
      <c r="A5" s="128">
        <f>'Monthly Data'!A5</f>
        <v>39904</v>
      </c>
      <c r="B5" s="186">
        <f t="shared" si="1"/>
        <v>2009</v>
      </c>
      <c r="C5" s="186">
        <f ca="1">'Monthly Data'!AQ5</f>
        <v>18204586.06263255</v>
      </c>
      <c r="D5" s="144">
        <f ca="1">Weather!M72</f>
        <v>0.50947368421054762</v>
      </c>
      <c r="E5" s="168">
        <f>'Monthly Data'!BJ5</f>
        <v>6445.5</v>
      </c>
      <c r="F5" s="186">
        <f>'Monthly Data'!BM5</f>
        <v>4</v>
      </c>
      <c r="G5" s="186">
        <f>'Monthly Data'!BT5</f>
        <v>0</v>
      </c>
      <c r="H5" s="186">
        <f>'Monthly Data'!BY5</f>
        <v>0</v>
      </c>
      <c r="I5" s="186">
        <f>'Monthly Data'!CC5</f>
        <v>30</v>
      </c>
      <c r="K5" s="186">
        <f>'Large Use OLS Model (LC)'!$B$5</f>
        <v>-11585185.4436178</v>
      </c>
      <c r="L5" s="186">
        <f ca="1">'Large Use OLS Model (LC)'!$B$6*D5</f>
        <v>13104.124674707888</v>
      </c>
      <c r="M5" s="186">
        <f>'Large Use OLS Model (LC)'!$B$7*E5</f>
        <v>13403518.836363893</v>
      </c>
      <c r="N5" s="186">
        <v>0</v>
      </c>
      <c r="O5" s="186">
        <f>'Large Use OLS Model (LC)'!$B$8*G5</f>
        <v>0</v>
      </c>
      <c r="P5" s="186">
        <f>'Large Use OLS Model (LC)'!$B$9*H5</f>
        <v>0</v>
      </c>
      <c r="Q5" s="186">
        <f>'Large Use OLS Model (LC)'!$B$10*I5</f>
        <v>17537763.106774591</v>
      </c>
      <c r="R5" s="186">
        <f t="shared" ca="1" si="2"/>
        <v>19369200.624195389</v>
      </c>
    </row>
    <row r="6" spans="1:18">
      <c r="A6" s="128">
        <f>'Monthly Data'!A6</f>
        <v>39934</v>
      </c>
      <c r="B6" s="186">
        <f t="shared" si="1"/>
        <v>2009</v>
      </c>
      <c r="C6" s="186">
        <f ca="1">'Monthly Data'!AQ6</f>
        <v>18282543.475076191</v>
      </c>
      <c r="D6" s="144">
        <f ca="1">Weather!M73</f>
        <v>56.062781954887214</v>
      </c>
      <c r="E6" s="168">
        <f>'Monthly Data'!BJ6</f>
        <v>6420.3</v>
      </c>
      <c r="F6" s="186">
        <f>'Monthly Data'!BM6</f>
        <v>5</v>
      </c>
      <c r="G6" s="186">
        <f>'Monthly Data'!BT6</f>
        <v>0</v>
      </c>
      <c r="H6" s="186">
        <f>'Monthly Data'!BY6</f>
        <v>0</v>
      </c>
      <c r="I6" s="186">
        <f>'Monthly Data'!CC6</f>
        <v>31</v>
      </c>
      <c r="K6" s="186">
        <f>'Large Use OLS Model (LC)'!$B$5</f>
        <v>-11585185.4436178</v>
      </c>
      <c r="L6" s="186">
        <f ca="1">'Large Use OLS Model (LC)'!$B$6*D6</f>
        <v>1441985.5374594755</v>
      </c>
      <c r="M6" s="186">
        <f>'Large Use OLS Model (LC)'!$B$7*E6</f>
        <v>13351115.039191235</v>
      </c>
      <c r="N6" s="186">
        <v>0</v>
      </c>
      <c r="O6" s="186">
        <f>'Large Use OLS Model (LC)'!$B$8*G6</f>
        <v>0</v>
      </c>
      <c r="P6" s="186">
        <f>'Large Use OLS Model (LC)'!$B$9*H6</f>
        <v>0</v>
      </c>
      <c r="Q6" s="186">
        <f>'Large Use OLS Model (LC)'!$B$10*I6</f>
        <v>18122355.210333746</v>
      </c>
      <c r="R6" s="186">
        <f t="shared" ca="1" si="2"/>
        <v>21330270.343366656</v>
      </c>
    </row>
    <row r="7" spans="1:18">
      <c r="A7" s="128">
        <f>'Monthly Data'!A7</f>
        <v>39965</v>
      </c>
      <c r="B7" s="186">
        <f t="shared" si="1"/>
        <v>2009</v>
      </c>
      <c r="C7" s="186">
        <f ca="1">'Monthly Data'!AQ7</f>
        <v>21113808.408363659</v>
      </c>
      <c r="D7" s="144">
        <f ca="1">Weather!M74</f>
        <v>116.89315789473682</v>
      </c>
      <c r="E7" s="168">
        <f>'Monthly Data'!BJ7</f>
        <v>6393.2</v>
      </c>
      <c r="F7" s="186">
        <f>'Monthly Data'!BM7</f>
        <v>6</v>
      </c>
      <c r="G7" s="186">
        <f>'Monthly Data'!BT7</f>
        <v>0</v>
      </c>
      <c r="H7" s="186">
        <f>'Monthly Data'!BY7</f>
        <v>0</v>
      </c>
      <c r="I7" s="186">
        <f>'Monthly Data'!CC7</f>
        <v>30</v>
      </c>
      <c r="K7" s="186">
        <f>'Large Use OLS Model (LC)'!$B$5</f>
        <v>-11585185.4436178</v>
      </c>
      <c r="L7" s="186">
        <f ca="1">'Large Use OLS Model (LC)'!$B$6*D7</f>
        <v>3006597.9110314827</v>
      </c>
      <c r="M7" s="186">
        <f>'Large Use OLS Model (LC)'!$B$7*E7</f>
        <v>13294760.162073018</v>
      </c>
      <c r="N7" s="186">
        <v>0</v>
      </c>
      <c r="O7" s="186">
        <f>'Large Use OLS Model (LC)'!$B$8*G7</f>
        <v>0</v>
      </c>
      <c r="P7" s="186">
        <f>'Large Use OLS Model (LC)'!$B$9*H7</f>
        <v>0</v>
      </c>
      <c r="Q7" s="186">
        <f>'Large Use OLS Model (LC)'!$B$10*I7</f>
        <v>17537763.106774591</v>
      </c>
      <c r="R7" s="186">
        <f t="shared" ca="1" si="2"/>
        <v>22253935.736261293</v>
      </c>
    </row>
    <row r="8" spans="1:18">
      <c r="A8" s="128">
        <f>'Monthly Data'!A8</f>
        <v>39995</v>
      </c>
      <c r="B8" s="186">
        <f t="shared" si="1"/>
        <v>2009</v>
      </c>
      <c r="C8" s="186">
        <f ca="1">'Monthly Data'!AQ8</f>
        <v>22008982.677487984</v>
      </c>
      <c r="D8" s="144">
        <f ca="1">Weather!M75</f>
        <v>186.96526315789481</v>
      </c>
      <c r="E8" s="168">
        <f>'Monthly Data'!BJ8</f>
        <v>6390.2</v>
      </c>
      <c r="F8" s="186">
        <f>'Monthly Data'!BM8</f>
        <v>7</v>
      </c>
      <c r="G8" s="186">
        <f>'Monthly Data'!BT8</f>
        <v>1</v>
      </c>
      <c r="H8" s="186">
        <f>'Monthly Data'!BY8</f>
        <v>0</v>
      </c>
      <c r="I8" s="186">
        <f>'Monthly Data'!CC8</f>
        <v>31</v>
      </c>
      <c r="K8" s="186">
        <f>'Large Use OLS Model (LC)'!$B$5</f>
        <v>-11585185.4436178</v>
      </c>
      <c r="L8" s="186">
        <f ca="1">'Large Use OLS Model (LC)'!$B$6*D8</f>
        <v>4808915.9346022606</v>
      </c>
      <c r="M8" s="186">
        <f>'Large Use OLS Model (LC)'!$B$7*E8</f>
        <v>13288521.614790559</v>
      </c>
      <c r="N8" s="186">
        <v>0</v>
      </c>
      <c r="O8" s="186">
        <f>'Large Use OLS Model (LC)'!$B$8*G8</f>
        <v>-947874.12245155603</v>
      </c>
      <c r="P8" s="186">
        <f>'Large Use OLS Model (LC)'!$B$9*H8</f>
        <v>0</v>
      </c>
      <c r="Q8" s="186">
        <f>'Large Use OLS Model (LC)'!$B$10*I8</f>
        <v>18122355.210333746</v>
      </c>
      <c r="R8" s="186">
        <f t="shared" ca="1" si="2"/>
        <v>23686733.193657208</v>
      </c>
    </row>
    <row r="9" spans="1:18">
      <c r="A9" s="128">
        <f>'Monthly Data'!A9</f>
        <v>40026</v>
      </c>
      <c r="B9" s="186">
        <f t="shared" si="1"/>
        <v>2009</v>
      </c>
      <c r="C9" s="186">
        <f ca="1">'Monthly Data'!AQ9</f>
        <v>22872095.056904018</v>
      </c>
      <c r="D9" s="144">
        <f ca="1">Weather!M76</f>
        <v>167.43443609022574</v>
      </c>
      <c r="E9" s="168">
        <f>'Monthly Data'!BJ9</f>
        <v>6401</v>
      </c>
      <c r="F9" s="186">
        <f>'Monthly Data'!BM9</f>
        <v>8</v>
      </c>
      <c r="G9" s="186">
        <f>'Monthly Data'!BT9</f>
        <v>0</v>
      </c>
      <c r="H9" s="186">
        <f>'Monthly Data'!BY9</f>
        <v>0</v>
      </c>
      <c r="I9" s="186">
        <f>'Monthly Data'!CC9</f>
        <v>31</v>
      </c>
      <c r="K9" s="186">
        <f>'Large Use OLS Model (LC)'!$B$5</f>
        <v>-11585185.4436178</v>
      </c>
      <c r="L9" s="186">
        <f ca="1">'Large Use OLS Model (LC)'!$B$6*D9</f>
        <v>4306565.370035856</v>
      </c>
      <c r="M9" s="186">
        <f>'Large Use OLS Model (LC)'!$B$7*E9</f>
        <v>13310980.385007413</v>
      </c>
      <c r="N9" s="186">
        <v>0</v>
      </c>
      <c r="O9" s="186">
        <f>'Large Use OLS Model (LC)'!$B$8*G9</f>
        <v>0</v>
      </c>
      <c r="P9" s="186">
        <f>'Large Use OLS Model (LC)'!$B$9*H9</f>
        <v>0</v>
      </c>
      <c r="Q9" s="186">
        <f>'Large Use OLS Model (LC)'!$B$10*I9</f>
        <v>18122355.210333746</v>
      </c>
      <c r="R9" s="186">
        <f t="shared" ca="1" si="2"/>
        <v>24154715.521759216</v>
      </c>
    </row>
    <row r="10" spans="1:18">
      <c r="A10" s="128">
        <f>'Monthly Data'!A10</f>
        <v>40057</v>
      </c>
      <c r="B10" s="186">
        <f t="shared" si="1"/>
        <v>2009</v>
      </c>
      <c r="C10" s="186">
        <f ca="1">'Monthly Data'!AQ10</f>
        <v>20688385.851761155</v>
      </c>
      <c r="D10" s="144">
        <f ca="1">Weather!M77</f>
        <v>83.003533834586506</v>
      </c>
      <c r="E10" s="168">
        <f>'Monthly Data'!BJ10</f>
        <v>6421.2</v>
      </c>
      <c r="F10" s="186">
        <f>'Monthly Data'!BM10</f>
        <v>9</v>
      </c>
      <c r="G10" s="186">
        <f>'Monthly Data'!BT10</f>
        <v>0</v>
      </c>
      <c r="H10" s="186">
        <f>'Monthly Data'!BY10</f>
        <v>0</v>
      </c>
      <c r="I10" s="186">
        <f>'Monthly Data'!CC10</f>
        <v>30</v>
      </c>
      <c r="K10" s="186">
        <f>'Large Use OLS Model (LC)'!$B$5</f>
        <v>-11585185.4436178</v>
      </c>
      <c r="L10" s="186">
        <f ca="1">'Large Use OLS Model (LC)'!$B$6*D10</f>
        <v>2134926.0806182334</v>
      </c>
      <c r="M10" s="186">
        <f>'Large Use OLS Model (LC)'!$B$7*E10</f>
        <v>13352986.603375971</v>
      </c>
      <c r="N10" s="186">
        <v>0</v>
      </c>
      <c r="O10" s="186">
        <f>'Large Use OLS Model (LC)'!$B$8*G10</f>
        <v>0</v>
      </c>
      <c r="P10" s="186">
        <f>'Large Use OLS Model (LC)'!$B$9*H10</f>
        <v>0</v>
      </c>
      <c r="Q10" s="186">
        <f>'Large Use OLS Model (LC)'!$B$10*I10</f>
        <v>17537763.106774591</v>
      </c>
      <c r="R10" s="186">
        <f t="shared" ca="1" si="2"/>
        <v>21440490.347150996</v>
      </c>
    </row>
    <row r="11" spans="1:18">
      <c r="A11" s="128">
        <f>'Monthly Data'!A11</f>
        <v>40087</v>
      </c>
      <c r="B11" s="186">
        <f t="shared" si="1"/>
        <v>2009</v>
      </c>
      <c r="C11" s="186">
        <f ca="1">'Monthly Data'!AQ11</f>
        <v>18370827.816093475</v>
      </c>
      <c r="D11" s="144">
        <f ca="1">Weather!M78</f>
        <v>16.916090225563948</v>
      </c>
      <c r="E11" s="168">
        <f>'Monthly Data'!BJ11</f>
        <v>6438.2</v>
      </c>
      <c r="F11" s="186">
        <f>'Monthly Data'!BM11</f>
        <v>10</v>
      </c>
      <c r="G11" s="186">
        <f>'Monthly Data'!BT11</f>
        <v>0</v>
      </c>
      <c r="H11" s="186">
        <f>'Monthly Data'!BY11</f>
        <v>0</v>
      </c>
      <c r="I11" s="186">
        <f>'Monthly Data'!CC11</f>
        <v>31</v>
      </c>
      <c r="K11" s="186">
        <f>'Large Use OLS Model (LC)'!$B$5</f>
        <v>-11585185.4436178</v>
      </c>
      <c r="L11" s="186">
        <f ca="1">'Large Use OLS Model (LC)'!$B$6*D11</f>
        <v>435097.16437638173</v>
      </c>
      <c r="M11" s="186">
        <f>'Large Use OLS Model (LC)'!$B$7*E11</f>
        <v>13388338.371309908</v>
      </c>
      <c r="N11" s="186">
        <v>0</v>
      </c>
      <c r="O11" s="186">
        <f>'Large Use OLS Model (LC)'!$B$8*G11</f>
        <v>0</v>
      </c>
      <c r="P11" s="186">
        <f>'Large Use OLS Model (LC)'!$B$9*H11</f>
        <v>0</v>
      </c>
      <c r="Q11" s="186">
        <f>'Large Use OLS Model (LC)'!$B$10*I11</f>
        <v>18122355.210333746</v>
      </c>
      <c r="R11" s="186">
        <f t="shared" ca="1" si="2"/>
        <v>20360605.302402236</v>
      </c>
    </row>
    <row r="12" spans="1:18">
      <c r="A12" s="128">
        <f>'Monthly Data'!A12</f>
        <v>40118</v>
      </c>
      <c r="B12" s="186">
        <f t="shared" si="1"/>
        <v>2009</v>
      </c>
      <c r="C12" s="186">
        <f ca="1">'Monthly Data'!AQ12</f>
        <v>17897159.701150067</v>
      </c>
      <c r="D12" s="144">
        <f ca="1">Weather!M79</f>
        <v>8.120300751879661E-2</v>
      </c>
      <c r="E12" s="168">
        <f>'Monthly Data'!BJ12</f>
        <v>6454</v>
      </c>
      <c r="F12" s="186">
        <f>'Monthly Data'!BM12</f>
        <v>11</v>
      </c>
      <c r="G12" s="186">
        <f>'Monthly Data'!BT12</f>
        <v>0</v>
      </c>
      <c r="H12" s="186">
        <f>'Monthly Data'!BY12</f>
        <v>0</v>
      </c>
      <c r="I12" s="186">
        <f>'Monthly Data'!CC12</f>
        <v>30</v>
      </c>
      <c r="K12" s="186">
        <f>'Large Use OLS Model (LC)'!$B$5</f>
        <v>-11585185.4436178</v>
      </c>
      <c r="L12" s="186">
        <f ca="1">'Large Use OLS Model (LC)'!$B$6*D12</f>
        <v>2088.6149127337453</v>
      </c>
      <c r="M12" s="186">
        <f>'Large Use OLS Model (LC)'!$B$7*E12</f>
        <v>13421194.72033086</v>
      </c>
      <c r="N12" s="186">
        <v>0</v>
      </c>
      <c r="O12" s="186">
        <f>'Large Use OLS Model (LC)'!$B$8*G12</f>
        <v>0</v>
      </c>
      <c r="P12" s="186">
        <f>'Large Use OLS Model (LC)'!$B$9*H12</f>
        <v>0</v>
      </c>
      <c r="Q12" s="186">
        <f>'Large Use OLS Model (LC)'!$B$10*I12</f>
        <v>17537763.106774591</v>
      </c>
      <c r="R12" s="186">
        <f t="shared" ca="1" si="2"/>
        <v>19375860.998400383</v>
      </c>
    </row>
    <row r="13" spans="1:18">
      <c r="A13" s="128">
        <f>'Monthly Data'!A13</f>
        <v>40148</v>
      </c>
      <c r="B13" s="186">
        <f t="shared" si="1"/>
        <v>2009</v>
      </c>
      <c r="C13" s="186">
        <f ca="1">'Monthly Data'!AQ13</f>
        <v>18512763.173234116</v>
      </c>
      <c r="D13" s="144">
        <f ca="1">Weather!M80</f>
        <v>0</v>
      </c>
      <c r="E13" s="168">
        <f>'Monthly Data'!BJ13</f>
        <v>6458.5</v>
      </c>
      <c r="F13" s="186">
        <f>'Monthly Data'!BM13</f>
        <v>12</v>
      </c>
      <c r="G13" s="186">
        <f>'Monthly Data'!BT13</f>
        <v>0</v>
      </c>
      <c r="H13" s="186">
        <f>'Monthly Data'!BY13</f>
        <v>1</v>
      </c>
      <c r="I13" s="186">
        <f>'Monthly Data'!CC13</f>
        <v>31</v>
      </c>
      <c r="K13" s="186">
        <f>'Large Use OLS Model (LC)'!$B$5</f>
        <v>-11585185.4436178</v>
      </c>
      <c r="L13" s="186">
        <f ca="1">'Large Use OLS Model (LC)'!$B$6*D13</f>
        <v>0</v>
      </c>
      <c r="M13" s="186">
        <f>'Large Use OLS Model (LC)'!$B$7*E13</f>
        <v>13430552.54125455</v>
      </c>
      <c r="N13" s="186">
        <v>0</v>
      </c>
      <c r="O13" s="186">
        <f>'Large Use OLS Model (LC)'!$B$8*G13</f>
        <v>0</v>
      </c>
      <c r="P13" s="186">
        <f>'Large Use OLS Model (LC)'!$B$9*H13</f>
        <v>-1776727.9579078101</v>
      </c>
      <c r="Q13" s="186">
        <f>'Large Use OLS Model (LC)'!$B$10*I13</f>
        <v>18122355.210333746</v>
      </c>
      <c r="R13" s="186">
        <f t="shared" ca="1" si="2"/>
        <v>18190994.350062687</v>
      </c>
    </row>
    <row r="14" spans="1:18">
      <c r="A14" s="128">
        <f>'Monthly Data'!A14</f>
        <v>40179</v>
      </c>
      <c r="B14" s="186">
        <f t="shared" si="1"/>
        <v>2010</v>
      </c>
      <c r="C14" s="186">
        <f ca="1">'Monthly Data'!AQ14</f>
        <v>19044313.514603201</v>
      </c>
      <c r="D14" s="186">
        <f t="shared" ref="D14:D77" ca="1" si="3">D2</f>
        <v>0</v>
      </c>
      <c r="E14" s="168">
        <f>'Monthly Data'!BJ14</f>
        <v>6466.9</v>
      </c>
      <c r="F14" s="186">
        <f>'Monthly Data'!BM14</f>
        <v>13</v>
      </c>
      <c r="G14" s="186">
        <f>'Monthly Data'!BT14</f>
        <v>0</v>
      </c>
      <c r="H14" s="186">
        <f>'Monthly Data'!BY14</f>
        <v>0</v>
      </c>
      <c r="I14" s="186">
        <f>'Monthly Data'!CC14</f>
        <v>31</v>
      </c>
      <c r="K14" s="186">
        <f>'Large Use OLS Model (LC)'!$B$5</f>
        <v>-11585185.4436178</v>
      </c>
      <c r="L14" s="186">
        <f ca="1">'Large Use OLS Model (LC)'!$B$6*D14</f>
        <v>0</v>
      </c>
      <c r="M14" s="186">
        <f>'Large Use OLS Model (LC)'!$B$7*E14</f>
        <v>13448020.473645436</v>
      </c>
      <c r="N14" s="186">
        <v>0</v>
      </c>
      <c r="O14" s="186">
        <f>'Large Use OLS Model (LC)'!$B$8*G14</f>
        <v>0</v>
      </c>
      <c r="P14" s="186">
        <f>'Large Use OLS Model (LC)'!$B$9*H14</f>
        <v>0</v>
      </c>
      <c r="Q14" s="186">
        <f>'Large Use OLS Model (LC)'!$B$10*I14</f>
        <v>18122355.210333746</v>
      </c>
      <c r="R14" s="186">
        <f t="shared" ca="1" si="2"/>
        <v>19985190.240361381</v>
      </c>
    </row>
    <row r="15" spans="1:18">
      <c r="A15" s="128">
        <f>'Monthly Data'!A15</f>
        <v>40210</v>
      </c>
      <c r="B15" s="186">
        <f t="shared" si="1"/>
        <v>2010</v>
      </c>
      <c r="C15" s="186">
        <f ca="1">'Monthly Data'!AQ15</f>
        <v>17686133.268556133</v>
      </c>
      <c r="D15" s="186">
        <f t="shared" ca="1" si="3"/>
        <v>0</v>
      </c>
      <c r="E15" s="168">
        <f>'Monthly Data'!BJ15</f>
        <v>6471</v>
      </c>
      <c r="F15" s="186">
        <f>'Monthly Data'!BM15</f>
        <v>14</v>
      </c>
      <c r="G15" s="186">
        <f>'Monthly Data'!BT15</f>
        <v>0</v>
      </c>
      <c r="H15" s="186">
        <f>'Monthly Data'!BY15</f>
        <v>0</v>
      </c>
      <c r="I15" s="186">
        <f>'Monthly Data'!CC15</f>
        <v>28</v>
      </c>
      <c r="K15" s="186">
        <f>'Large Use OLS Model (LC)'!$B$5</f>
        <v>-11585185.4436178</v>
      </c>
      <c r="L15" s="186">
        <f ca="1">'Large Use OLS Model (LC)'!$B$6*D15</f>
        <v>0</v>
      </c>
      <c r="M15" s="186">
        <f>'Large Use OLS Model (LC)'!$B$7*E15</f>
        <v>13456546.488264797</v>
      </c>
      <c r="N15" s="186">
        <v>0</v>
      </c>
      <c r="O15" s="186">
        <f>'Large Use OLS Model (LC)'!$B$8*G15</f>
        <v>0</v>
      </c>
      <c r="P15" s="186">
        <f>'Large Use OLS Model (LC)'!$B$9*H15</f>
        <v>0</v>
      </c>
      <c r="Q15" s="186">
        <f>'Large Use OLS Model (LC)'!$B$10*I15</f>
        <v>16368578.899656285</v>
      </c>
      <c r="R15" s="186">
        <f t="shared" ca="1" si="2"/>
        <v>18239939.944303282</v>
      </c>
    </row>
    <row r="16" spans="1:18">
      <c r="A16" s="128">
        <f>'Monthly Data'!A16</f>
        <v>40238</v>
      </c>
      <c r="B16" s="186">
        <f t="shared" si="1"/>
        <v>2010</v>
      </c>
      <c r="C16" s="186">
        <f ca="1">'Monthly Data'!AQ16</f>
        <v>19479538.882481217</v>
      </c>
      <c r="D16" s="186">
        <f t="shared" ca="1" si="3"/>
        <v>0.45218045112781802</v>
      </c>
      <c r="E16" s="168">
        <f>'Monthly Data'!BJ16</f>
        <v>6477.5</v>
      </c>
      <c r="F16" s="186">
        <f>'Monthly Data'!BM16</f>
        <v>15</v>
      </c>
      <c r="G16" s="186">
        <f>'Monthly Data'!BT16</f>
        <v>0</v>
      </c>
      <c r="H16" s="186">
        <f>'Monthly Data'!BY16</f>
        <v>0</v>
      </c>
      <c r="I16" s="186">
        <f>'Monthly Data'!CC16</f>
        <v>31</v>
      </c>
      <c r="K16" s="186">
        <f>'Large Use OLS Model (LC)'!$B$5</f>
        <v>-11585185.4436178</v>
      </c>
      <c r="L16" s="186">
        <f ca="1">'Large Use OLS Model (LC)'!$B$6*D16</f>
        <v>11630.490819611816</v>
      </c>
      <c r="M16" s="186">
        <f>'Large Use OLS Model (LC)'!$B$7*E16</f>
        <v>13470063.340710126</v>
      </c>
      <c r="N16" s="186">
        <v>0</v>
      </c>
      <c r="O16" s="186">
        <f>'Large Use OLS Model (LC)'!$B$8*G16</f>
        <v>0</v>
      </c>
      <c r="P16" s="186">
        <f>'Large Use OLS Model (LC)'!$B$9*H16</f>
        <v>0</v>
      </c>
      <c r="Q16" s="186">
        <f>'Large Use OLS Model (LC)'!$B$10*I16</f>
        <v>18122355.210333746</v>
      </c>
      <c r="R16" s="186">
        <f t="shared" ca="1" si="2"/>
        <v>20018863.598245684</v>
      </c>
    </row>
    <row r="17" spans="1:18">
      <c r="A17" s="128">
        <f>'Monthly Data'!A17</f>
        <v>40269</v>
      </c>
      <c r="B17" s="186">
        <f t="shared" si="1"/>
        <v>2010</v>
      </c>
      <c r="C17" s="186">
        <f ca="1">'Monthly Data'!AQ17</f>
        <v>18625659.098729182</v>
      </c>
      <c r="D17" s="186">
        <f t="shared" ca="1" si="3"/>
        <v>0.50947368421054762</v>
      </c>
      <c r="E17" s="168">
        <f>'Monthly Data'!BJ17</f>
        <v>6485</v>
      </c>
      <c r="F17" s="186">
        <f>'Monthly Data'!BM17</f>
        <v>16</v>
      </c>
      <c r="G17" s="186">
        <f>'Monthly Data'!BT17</f>
        <v>0</v>
      </c>
      <c r="H17" s="186">
        <f>'Monthly Data'!BY17</f>
        <v>0</v>
      </c>
      <c r="I17" s="186">
        <f>'Monthly Data'!CC17</f>
        <v>30</v>
      </c>
      <c r="K17" s="186">
        <f>'Large Use OLS Model (LC)'!$B$5</f>
        <v>-11585185.4436178</v>
      </c>
      <c r="L17" s="186">
        <f ca="1">'Large Use OLS Model (LC)'!$B$6*D17</f>
        <v>13104.124674707888</v>
      </c>
      <c r="M17" s="186">
        <f>'Large Use OLS Model (LC)'!$B$7*E17</f>
        <v>13485659.708916275</v>
      </c>
      <c r="N17" s="186">
        <v>0</v>
      </c>
      <c r="O17" s="186">
        <f>'Large Use OLS Model (LC)'!$B$8*G17</f>
        <v>0</v>
      </c>
      <c r="P17" s="186">
        <f>'Large Use OLS Model (LC)'!$B$9*H17</f>
        <v>0</v>
      </c>
      <c r="Q17" s="186">
        <f>'Large Use OLS Model (LC)'!$B$10*I17</f>
        <v>17537763.106774591</v>
      </c>
      <c r="R17" s="186">
        <f t="shared" ca="1" si="2"/>
        <v>19451341.496747773</v>
      </c>
    </row>
    <row r="18" spans="1:18">
      <c r="A18" s="128">
        <f>'Monthly Data'!A18</f>
        <v>40299</v>
      </c>
      <c r="B18" s="186">
        <f t="shared" si="1"/>
        <v>2010</v>
      </c>
      <c r="C18" s="186">
        <f ca="1">'Monthly Data'!AQ18</f>
        <v>20816001.059037603</v>
      </c>
      <c r="D18" s="186">
        <f t="shared" ca="1" si="3"/>
        <v>56.062781954887214</v>
      </c>
      <c r="E18" s="168">
        <f>'Monthly Data'!BJ18</f>
        <v>6506.8</v>
      </c>
      <c r="F18" s="186">
        <f>'Monthly Data'!BM18</f>
        <v>17</v>
      </c>
      <c r="G18" s="186">
        <f>'Monthly Data'!BT18</f>
        <v>0</v>
      </c>
      <c r="H18" s="186">
        <f>'Monthly Data'!BY18</f>
        <v>0</v>
      </c>
      <c r="I18" s="186">
        <f>'Monthly Data'!CC18</f>
        <v>31</v>
      </c>
      <c r="K18" s="186">
        <f>'Large Use OLS Model (LC)'!$B$5</f>
        <v>-11585185.4436178</v>
      </c>
      <c r="L18" s="186">
        <f ca="1">'Large Use OLS Model (LC)'!$B$6*D18</f>
        <v>1441985.5374594755</v>
      </c>
      <c r="M18" s="186">
        <f>'Large Use OLS Model (LC)'!$B$7*E18</f>
        <v>13530993.152502146</v>
      </c>
      <c r="N18" s="186">
        <v>0</v>
      </c>
      <c r="O18" s="186">
        <f>'Large Use OLS Model (LC)'!$B$8*G18</f>
        <v>0</v>
      </c>
      <c r="P18" s="186">
        <f>'Large Use OLS Model (LC)'!$B$9*H18</f>
        <v>0</v>
      </c>
      <c r="Q18" s="186">
        <f>'Large Use OLS Model (LC)'!$B$10*I18</f>
        <v>18122355.210333746</v>
      </c>
      <c r="R18" s="186">
        <f t="shared" ca="1" si="2"/>
        <v>21510148.456677567</v>
      </c>
    </row>
    <row r="19" spans="1:18">
      <c r="A19" s="128">
        <f>'Monthly Data'!A19</f>
        <v>40330</v>
      </c>
      <c r="B19" s="186">
        <f t="shared" si="1"/>
        <v>2010</v>
      </c>
      <c r="C19" s="186">
        <f ca="1">'Monthly Data'!AQ19</f>
        <v>23509898.345266234</v>
      </c>
      <c r="D19" s="186">
        <f t="shared" ca="1" si="3"/>
        <v>116.89315789473682</v>
      </c>
      <c r="E19" s="168">
        <f>'Monthly Data'!BJ19</f>
        <v>6540.8</v>
      </c>
      <c r="F19" s="186">
        <f>'Monthly Data'!BM19</f>
        <v>18</v>
      </c>
      <c r="G19" s="186">
        <f>'Monthly Data'!BT19</f>
        <v>0</v>
      </c>
      <c r="H19" s="186">
        <f>'Monthly Data'!BY19</f>
        <v>0</v>
      </c>
      <c r="I19" s="186">
        <f>'Monthly Data'!CC19</f>
        <v>30</v>
      </c>
      <c r="K19" s="186">
        <f>'Large Use OLS Model (LC)'!$B$5</f>
        <v>-11585185.4436178</v>
      </c>
      <c r="L19" s="186">
        <f ca="1">'Large Use OLS Model (LC)'!$B$6*D19</f>
        <v>3006597.9110314827</v>
      </c>
      <c r="M19" s="186">
        <f>'Large Use OLS Model (LC)'!$B$7*E19</f>
        <v>13601696.688370017</v>
      </c>
      <c r="N19" s="186">
        <v>0</v>
      </c>
      <c r="O19" s="186">
        <f>'Large Use OLS Model (LC)'!$B$8*G19</f>
        <v>0</v>
      </c>
      <c r="P19" s="186">
        <f>'Large Use OLS Model (LC)'!$B$9*H19</f>
        <v>0</v>
      </c>
      <c r="Q19" s="186">
        <f>'Large Use OLS Model (LC)'!$B$10*I19</f>
        <v>17537763.106774591</v>
      </c>
      <c r="R19" s="186">
        <f t="shared" ca="1" si="2"/>
        <v>22560872.262558289</v>
      </c>
    </row>
    <row r="20" spans="1:18">
      <c r="A20" s="128">
        <f>'Monthly Data'!A20</f>
        <v>40360</v>
      </c>
      <c r="B20" s="186">
        <f t="shared" si="1"/>
        <v>2010</v>
      </c>
      <c r="C20" s="186">
        <f ca="1">'Monthly Data'!AQ20</f>
        <v>24336162.481910329</v>
      </c>
      <c r="D20" s="186">
        <f t="shared" ca="1" si="3"/>
        <v>186.96526315789481</v>
      </c>
      <c r="E20" s="168">
        <f>'Monthly Data'!BJ20</f>
        <v>6561</v>
      </c>
      <c r="F20" s="186">
        <f>'Monthly Data'!BM20</f>
        <v>19</v>
      </c>
      <c r="G20" s="186">
        <f>'Monthly Data'!BT20</f>
        <v>1</v>
      </c>
      <c r="H20" s="186">
        <f>'Monthly Data'!BY20</f>
        <v>0</v>
      </c>
      <c r="I20" s="186">
        <f>'Monthly Data'!CC20</f>
        <v>31</v>
      </c>
      <c r="K20" s="186">
        <f>'Large Use OLS Model (LC)'!$B$5</f>
        <v>-11585185.4436178</v>
      </c>
      <c r="L20" s="186">
        <f ca="1">'Large Use OLS Model (LC)'!$B$6*D20</f>
        <v>4808915.9346022606</v>
      </c>
      <c r="M20" s="186">
        <f>'Large Use OLS Model (LC)'!$B$7*E20</f>
        <v>13643702.906738577</v>
      </c>
      <c r="N20" s="186">
        <v>0</v>
      </c>
      <c r="O20" s="186">
        <f>'Large Use OLS Model (LC)'!$B$8*G20</f>
        <v>-947874.12245155603</v>
      </c>
      <c r="P20" s="186">
        <f>'Large Use OLS Model (LC)'!$B$9*H20</f>
        <v>0</v>
      </c>
      <c r="Q20" s="186">
        <f>'Large Use OLS Model (LC)'!$B$10*I20</f>
        <v>18122355.210333746</v>
      </c>
      <c r="R20" s="186">
        <f t="shared" ca="1" si="2"/>
        <v>24041914.485605229</v>
      </c>
    </row>
    <row r="21" spans="1:18">
      <c r="A21" s="128">
        <f>'Monthly Data'!A21</f>
        <v>40391</v>
      </c>
      <c r="B21" s="186">
        <f t="shared" si="1"/>
        <v>2010</v>
      </c>
      <c r="C21" s="186">
        <f ca="1">'Monthly Data'!AQ21</f>
        <v>23181072.6356427</v>
      </c>
      <c r="D21" s="186">
        <f t="shared" ca="1" si="3"/>
        <v>167.43443609022574</v>
      </c>
      <c r="E21" s="168">
        <f>'Monthly Data'!BJ21</f>
        <v>6568.9</v>
      </c>
      <c r="F21" s="186">
        <f>'Monthly Data'!BM21</f>
        <v>20</v>
      </c>
      <c r="G21" s="186">
        <f>'Monthly Data'!BT21</f>
        <v>0</v>
      </c>
      <c r="H21" s="186">
        <f>'Monthly Data'!BY21</f>
        <v>0</v>
      </c>
      <c r="I21" s="186">
        <f>'Monthly Data'!CC21</f>
        <v>31</v>
      </c>
      <c r="K21" s="186">
        <f>'Large Use OLS Model (LC)'!$B$5</f>
        <v>-11585185.4436178</v>
      </c>
      <c r="L21" s="186">
        <f ca="1">'Large Use OLS Model (LC)'!$B$6*D21</f>
        <v>4306565.370035856</v>
      </c>
      <c r="M21" s="186">
        <f>'Large Use OLS Model (LC)'!$B$7*E21</f>
        <v>13660131.081249053</v>
      </c>
      <c r="N21" s="186">
        <v>0</v>
      </c>
      <c r="O21" s="186">
        <f>'Large Use OLS Model (LC)'!$B$8*G21</f>
        <v>0</v>
      </c>
      <c r="P21" s="186">
        <f>'Large Use OLS Model (LC)'!$B$9*H21</f>
        <v>0</v>
      </c>
      <c r="Q21" s="186">
        <f>'Large Use OLS Model (LC)'!$B$10*I21</f>
        <v>18122355.210333746</v>
      </c>
      <c r="R21" s="186">
        <f t="shared" ca="1" si="2"/>
        <v>24503866.218000855</v>
      </c>
    </row>
    <row r="22" spans="1:18">
      <c r="A22" s="128">
        <f>'Monthly Data'!A22</f>
        <v>40422</v>
      </c>
      <c r="B22" s="186">
        <f t="shared" si="1"/>
        <v>2010</v>
      </c>
      <c r="C22" s="186">
        <f ca="1">'Monthly Data'!AQ22</f>
        <v>21387323.124149039</v>
      </c>
      <c r="D22" s="186">
        <f t="shared" ca="1" si="3"/>
        <v>83.003533834586506</v>
      </c>
      <c r="E22" s="168">
        <f>'Monthly Data'!BJ22</f>
        <v>6556</v>
      </c>
      <c r="F22" s="186">
        <f>'Monthly Data'!BM22</f>
        <v>21</v>
      </c>
      <c r="G22" s="186">
        <f>'Monthly Data'!BT22</f>
        <v>0</v>
      </c>
      <c r="H22" s="186">
        <f>'Monthly Data'!BY22</f>
        <v>0</v>
      </c>
      <c r="I22" s="186">
        <f>'Monthly Data'!CC22</f>
        <v>30</v>
      </c>
      <c r="K22" s="186">
        <f>'Large Use OLS Model (LC)'!$B$5</f>
        <v>-11585185.4436178</v>
      </c>
      <c r="L22" s="186">
        <f ca="1">'Large Use OLS Model (LC)'!$B$6*D22</f>
        <v>2134926.0806182334</v>
      </c>
      <c r="M22" s="186">
        <f>'Large Use OLS Model (LC)'!$B$7*E22</f>
        <v>13633305.327934477</v>
      </c>
      <c r="N22" s="186">
        <v>0</v>
      </c>
      <c r="O22" s="186">
        <f>'Large Use OLS Model (LC)'!$B$8*G22</f>
        <v>0</v>
      </c>
      <c r="P22" s="186">
        <f>'Large Use OLS Model (LC)'!$B$9*H22</f>
        <v>0</v>
      </c>
      <c r="Q22" s="186">
        <f>'Large Use OLS Model (LC)'!$B$10*I22</f>
        <v>17537763.106774591</v>
      </c>
      <c r="R22" s="186">
        <f t="shared" ca="1" si="2"/>
        <v>21720809.071709502</v>
      </c>
    </row>
    <row r="23" spans="1:18">
      <c r="A23" s="128">
        <f>'Monthly Data'!A23</f>
        <v>40452</v>
      </c>
      <c r="B23" s="186">
        <f t="shared" si="1"/>
        <v>2010</v>
      </c>
      <c r="C23" s="186">
        <f ca="1">'Monthly Data'!AQ23</f>
        <v>18384718.318803035</v>
      </c>
      <c r="D23" s="186">
        <f t="shared" ca="1" si="3"/>
        <v>16.916090225563948</v>
      </c>
      <c r="E23" s="168">
        <f>'Monthly Data'!BJ23</f>
        <v>6551.6</v>
      </c>
      <c r="F23" s="186">
        <f>'Monthly Data'!BM23</f>
        <v>22</v>
      </c>
      <c r="G23" s="186">
        <f>'Monthly Data'!BT23</f>
        <v>0</v>
      </c>
      <c r="H23" s="186">
        <f>'Monthly Data'!BY23</f>
        <v>0</v>
      </c>
      <c r="I23" s="186">
        <f>'Monthly Data'!CC23</f>
        <v>31</v>
      </c>
      <c r="K23" s="186">
        <f>'Large Use OLS Model (LC)'!$B$5</f>
        <v>-11585185.4436178</v>
      </c>
      <c r="L23" s="186">
        <f ca="1">'Large Use OLS Model (LC)'!$B$6*D23</f>
        <v>435097.16437638173</v>
      </c>
      <c r="M23" s="186">
        <f>'Large Use OLS Model (LC)'!$B$7*E23</f>
        <v>13624155.458586872</v>
      </c>
      <c r="N23" s="186">
        <v>0</v>
      </c>
      <c r="O23" s="186">
        <f>'Large Use OLS Model (LC)'!$B$8*G23</f>
        <v>0</v>
      </c>
      <c r="P23" s="186">
        <f>'Large Use OLS Model (LC)'!$B$9*H23</f>
        <v>0</v>
      </c>
      <c r="Q23" s="186">
        <f>'Large Use OLS Model (LC)'!$B$10*I23</f>
        <v>18122355.210333746</v>
      </c>
      <c r="R23" s="186">
        <f t="shared" ca="1" si="2"/>
        <v>20596422.389679201</v>
      </c>
    </row>
    <row r="24" spans="1:18">
      <c r="A24" s="128">
        <f>'Monthly Data'!A24</f>
        <v>40483</v>
      </c>
      <c r="B24" s="186">
        <f t="shared" si="1"/>
        <v>2010</v>
      </c>
      <c r="C24" s="186">
        <f ca="1">'Monthly Data'!AQ24</f>
        <v>19335451.797419466</v>
      </c>
      <c r="D24" s="186">
        <f t="shared" ca="1" si="3"/>
        <v>8.120300751879661E-2</v>
      </c>
      <c r="E24" s="168">
        <f>'Monthly Data'!BJ24</f>
        <v>6555.7</v>
      </c>
      <c r="F24" s="186">
        <f>'Monthly Data'!BM24</f>
        <v>23</v>
      </c>
      <c r="G24" s="186">
        <f>'Monthly Data'!BT24</f>
        <v>0</v>
      </c>
      <c r="H24" s="186">
        <f>'Monthly Data'!BY24</f>
        <v>0</v>
      </c>
      <c r="I24" s="186">
        <f>'Monthly Data'!CC24</f>
        <v>30</v>
      </c>
      <c r="K24" s="186">
        <f>'Large Use OLS Model (LC)'!$B$5</f>
        <v>-11585185.4436178</v>
      </c>
      <c r="L24" s="186">
        <f ca="1">'Large Use OLS Model (LC)'!$B$6*D24</f>
        <v>2088.6149127337453</v>
      </c>
      <c r="M24" s="186">
        <f>'Large Use OLS Model (LC)'!$B$7*E24</f>
        <v>13632681.473206231</v>
      </c>
      <c r="N24" s="186">
        <v>0</v>
      </c>
      <c r="O24" s="186">
        <f>'Large Use OLS Model (LC)'!$B$8*G24</f>
        <v>0</v>
      </c>
      <c r="P24" s="186">
        <f>'Large Use OLS Model (LC)'!$B$9*H24</f>
        <v>0</v>
      </c>
      <c r="Q24" s="186">
        <f>'Large Use OLS Model (LC)'!$B$10*I24</f>
        <v>17537763.106774591</v>
      </c>
      <c r="R24" s="186">
        <f t="shared" ca="1" si="2"/>
        <v>19587347.751275755</v>
      </c>
    </row>
    <row r="25" spans="1:18">
      <c r="A25" s="128">
        <f>'Monthly Data'!A25</f>
        <v>40513</v>
      </c>
      <c r="B25" s="186">
        <f t="shared" si="1"/>
        <v>2010</v>
      </c>
      <c r="C25" s="186">
        <f ca="1">'Monthly Data'!AQ25</f>
        <v>18685961.138548218</v>
      </c>
      <c r="D25" s="186">
        <f t="shared" ca="1" si="3"/>
        <v>0</v>
      </c>
      <c r="E25" s="168">
        <f>'Monthly Data'!BJ25</f>
        <v>6578.3</v>
      </c>
      <c r="F25" s="186">
        <f>'Monthly Data'!BM25</f>
        <v>24</v>
      </c>
      <c r="G25" s="186">
        <f>'Monthly Data'!BT25</f>
        <v>0</v>
      </c>
      <c r="H25" s="186">
        <f>'Monthly Data'!BY25</f>
        <v>1</v>
      </c>
      <c r="I25" s="186">
        <f>'Monthly Data'!CC25</f>
        <v>31</v>
      </c>
      <c r="K25" s="186">
        <f>'Large Use OLS Model (LC)'!$B$5</f>
        <v>-11585185.4436178</v>
      </c>
      <c r="L25" s="186">
        <f ca="1">'Large Use OLS Model (LC)'!$B$6*D25</f>
        <v>0</v>
      </c>
      <c r="M25" s="186">
        <f>'Large Use OLS Model (LC)'!$B$7*E25</f>
        <v>13679678.52940076</v>
      </c>
      <c r="N25" s="186">
        <v>0</v>
      </c>
      <c r="O25" s="186">
        <f>'Large Use OLS Model (LC)'!$B$8*G25</f>
        <v>0</v>
      </c>
      <c r="P25" s="186">
        <f>'Large Use OLS Model (LC)'!$B$9*H25</f>
        <v>-1776727.9579078101</v>
      </c>
      <c r="Q25" s="186">
        <f>'Large Use OLS Model (LC)'!$B$10*I25</f>
        <v>18122355.210333746</v>
      </c>
      <c r="R25" s="186">
        <f t="shared" ca="1" si="2"/>
        <v>18440120.338208895</v>
      </c>
    </row>
    <row r="26" spans="1:18">
      <c r="A26" s="128">
        <f>'Monthly Data'!A26</f>
        <v>40544</v>
      </c>
      <c r="B26" s="186">
        <f t="shared" si="1"/>
        <v>2011</v>
      </c>
      <c r="C26" s="186">
        <f ca="1">'Monthly Data'!AQ26</f>
        <v>20311443.914882537</v>
      </c>
      <c r="D26" s="186">
        <f t="shared" ca="1" si="3"/>
        <v>0</v>
      </c>
      <c r="E26" s="168">
        <f>'Monthly Data'!BJ26</f>
        <v>6606.3</v>
      </c>
      <c r="F26" s="186">
        <f>'Monthly Data'!BM26</f>
        <v>25</v>
      </c>
      <c r="G26" s="186">
        <f>'Monthly Data'!BT26</f>
        <v>0</v>
      </c>
      <c r="H26" s="186">
        <f>'Monthly Data'!BY26</f>
        <v>0</v>
      </c>
      <c r="I26" s="186">
        <f>'Monthly Data'!CC26</f>
        <v>31</v>
      </c>
      <c r="K26" s="186">
        <f>'Large Use OLS Model (LC)'!$B$5</f>
        <v>-11585185.4436178</v>
      </c>
      <c r="L26" s="186">
        <f ca="1">'Large Use OLS Model (LC)'!$B$6*D26</f>
        <v>0</v>
      </c>
      <c r="M26" s="186">
        <f>'Large Use OLS Model (LC)'!$B$7*E26</f>
        <v>13737904.970703714</v>
      </c>
      <c r="N26" s="186">
        <v>0</v>
      </c>
      <c r="O26" s="186">
        <f>'Large Use OLS Model (LC)'!$B$8*G26</f>
        <v>0</v>
      </c>
      <c r="P26" s="186">
        <f>'Large Use OLS Model (LC)'!$B$9*H26</f>
        <v>0</v>
      </c>
      <c r="Q26" s="186">
        <f>'Large Use OLS Model (LC)'!$B$10*I26</f>
        <v>18122355.210333746</v>
      </c>
      <c r="R26" s="186">
        <f t="shared" ca="1" si="2"/>
        <v>20275074.737419657</v>
      </c>
    </row>
    <row r="27" spans="1:18">
      <c r="A27" s="128">
        <f>'Monthly Data'!A27</f>
        <v>40575</v>
      </c>
      <c r="B27" s="186">
        <f t="shared" si="1"/>
        <v>2011</v>
      </c>
      <c r="C27" s="186">
        <f ca="1">'Monthly Data'!AQ27</f>
        <v>18637137.92498688</v>
      </c>
      <c r="D27" s="186">
        <f t="shared" ca="1" si="3"/>
        <v>0</v>
      </c>
      <c r="E27" s="168">
        <f>'Monthly Data'!BJ27</f>
        <v>6619.5</v>
      </c>
      <c r="F27" s="186">
        <f>'Monthly Data'!BM27</f>
        <v>26</v>
      </c>
      <c r="G27" s="186">
        <f>'Monthly Data'!BT27</f>
        <v>0</v>
      </c>
      <c r="H27" s="186">
        <f>'Monthly Data'!BY27</f>
        <v>0</v>
      </c>
      <c r="I27" s="186">
        <f>'Monthly Data'!CC27</f>
        <v>28</v>
      </c>
      <c r="K27" s="186">
        <f>'Large Use OLS Model (LC)'!$B$5</f>
        <v>-11585185.4436178</v>
      </c>
      <c r="L27" s="186">
        <f ca="1">'Large Use OLS Model (LC)'!$B$6*D27</f>
        <v>0</v>
      </c>
      <c r="M27" s="186">
        <f>'Large Use OLS Model (LC)'!$B$7*E27</f>
        <v>13765354.578746535</v>
      </c>
      <c r="N27" s="186">
        <v>0</v>
      </c>
      <c r="O27" s="186">
        <f>'Large Use OLS Model (LC)'!$B$8*G27</f>
        <v>0</v>
      </c>
      <c r="P27" s="186">
        <f>'Large Use OLS Model (LC)'!$B$9*H27</f>
        <v>0</v>
      </c>
      <c r="Q27" s="186">
        <f>'Large Use OLS Model (LC)'!$B$10*I27</f>
        <v>16368578.899656285</v>
      </c>
      <c r="R27" s="186">
        <f t="shared" ca="1" si="2"/>
        <v>18548748.034785017</v>
      </c>
    </row>
    <row r="28" spans="1:18">
      <c r="A28" s="128">
        <f>'Monthly Data'!A28</f>
        <v>40603</v>
      </c>
      <c r="B28" s="186">
        <f t="shared" si="1"/>
        <v>2011</v>
      </c>
      <c r="C28" s="186">
        <f ca="1">'Monthly Data'!AQ28</f>
        <v>21533862.722559217</v>
      </c>
      <c r="D28" s="186">
        <f t="shared" ca="1" si="3"/>
        <v>0.45218045112781802</v>
      </c>
      <c r="E28" s="168">
        <f>'Monthly Data'!BJ28</f>
        <v>6628.6</v>
      </c>
      <c r="F28" s="186">
        <f>'Monthly Data'!BM28</f>
        <v>27</v>
      </c>
      <c r="G28" s="186">
        <f>'Monthly Data'!BT28</f>
        <v>0</v>
      </c>
      <c r="H28" s="186">
        <f>'Monthly Data'!BY28</f>
        <v>0</v>
      </c>
      <c r="I28" s="186">
        <f>'Monthly Data'!CC28</f>
        <v>31</v>
      </c>
      <c r="K28" s="186">
        <f>'Large Use OLS Model (LC)'!$B$5</f>
        <v>-11585185.4436178</v>
      </c>
      <c r="L28" s="186">
        <f ca="1">'Large Use OLS Model (LC)'!$B$6*D28</f>
        <v>11630.490819611816</v>
      </c>
      <c r="M28" s="186">
        <f>'Large Use OLS Model (LC)'!$B$7*E28</f>
        <v>13784278.172169995</v>
      </c>
      <c r="N28" s="186">
        <v>0</v>
      </c>
      <c r="O28" s="186">
        <f>'Large Use OLS Model (LC)'!$B$8*G28</f>
        <v>0</v>
      </c>
      <c r="P28" s="186">
        <f>'Large Use OLS Model (LC)'!$B$9*H28</f>
        <v>0</v>
      </c>
      <c r="Q28" s="186">
        <f>'Large Use OLS Model (LC)'!$B$10*I28</f>
        <v>18122355.210333746</v>
      </c>
      <c r="R28" s="186">
        <f t="shared" ca="1" si="2"/>
        <v>20333078.429705553</v>
      </c>
    </row>
    <row r="29" spans="1:18">
      <c r="A29" s="128">
        <f>'Monthly Data'!A29</f>
        <v>40634</v>
      </c>
      <c r="B29" s="186">
        <f t="shared" si="1"/>
        <v>2011</v>
      </c>
      <c r="C29" s="186">
        <f ca="1">'Monthly Data'!AQ29</f>
        <v>20450919.389425918</v>
      </c>
      <c r="D29" s="186">
        <f t="shared" ca="1" si="3"/>
        <v>0.50947368421054762</v>
      </c>
      <c r="E29" s="168">
        <f>'Monthly Data'!BJ29</f>
        <v>6635.5</v>
      </c>
      <c r="F29" s="186">
        <f>'Monthly Data'!BM29</f>
        <v>28</v>
      </c>
      <c r="G29" s="186">
        <f>'Monthly Data'!BT29</f>
        <v>0</v>
      </c>
      <c r="H29" s="186">
        <f>'Monthly Data'!BY29</f>
        <v>0</v>
      </c>
      <c r="I29" s="186">
        <f>'Monthly Data'!CC29</f>
        <v>30</v>
      </c>
      <c r="K29" s="186">
        <f>'Large Use OLS Model (LC)'!$B$5</f>
        <v>-11585185.4436178</v>
      </c>
      <c r="L29" s="186">
        <f ca="1">'Large Use OLS Model (LC)'!$B$6*D29</f>
        <v>13104.124674707888</v>
      </c>
      <c r="M29" s="186">
        <f>'Large Use OLS Model (LC)'!$B$7*E29</f>
        <v>13798626.830919651</v>
      </c>
      <c r="N29" s="186">
        <v>0</v>
      </c>
      <c r="O29" s="186">
        <f>'Large Use OLS Model (LC)'!$B$8*G29</f>
        <v>0</v>
      </c>
      <c r="P29" s="186">
        <f>'Large Use OLS Model (LC)'!$B$9*H29</f>
        <v>0</v>
      </c>
      <c r="Q29" s="186">
        <f>'Large Use OLS Model (LC)'!$B$10*I29</f>
        <v>17537763.106774591</v>
      </c>
      <c r="R29" s="186">
        <f t="shared" ca="1" si="2"/>
        <v>19764308.61875115</v>
      </c>
    </row>
    <row r="30" spans="1:18">
      <c r="A30" s="128">
        <f>'Monthly Data'!A30</f>
        <v>40664</v>
      </c>
      <c r="B30" s="186">
        <f t="shared" si="1"/>
        <v>2011</v>
      </c>
      <c r="C30" s="186">
        <f ca="1">'Monthly Data'!AQ30</f>
        <v>21971453.581163168</v>
      </c>
      <c r="D30" s="186">
        <f t="shared" ca="1" si="3"/>
        <v>56.062781954887214</v>
      </c>
      <c r="E30" s="168">
        <f>'Monthly Data'!BJ30</f>
        <v>6645.8</v>
      </c>
      <c r="F30" s="186">
        <f>'Monthly Data'!BM30</f>
        <v>29</v>
      </c>
      <c r="G30" s="186">
        <f>'Monthly Data'!BT30</f>
        <v>0</v>
      </c>
      <c r="H30" s="186">
        <f>'Monthly Data'!BY30</f>
        <v>0</v>
      </c>
      <c r="I30" s="186">
        <f>'Monthly Data'!CC30</f>
        <v>31</v>
      </c>
      <c r="K30" s="186">
        <f>'Large Use OLS Model (LC)'!$B$5</f>
        <v>-11585185.4436178</v>
      </c>
      <c r="L30" s="186">
        <f ca="1">'Large Use OLS Model (LC)'!$B$6*D30</f>
        <v>1441985.5374594755</v>
      </c>
      <c r="M30" s="186">
        <f>'Large Use OLS Model (LC)'!$B$7*E30</f>
        <v>13820045.843256095</v>
      </c>
      <c r="N30" s="186">
        <v>0</v>
      </c>
      <c r="O30" s="186">
        <f>'Large Use OLS Model (LC)'!$B$8*G30</f>
        <v>0</v>
      </c>
      <c r="P30" s="186">
        <f>'Large Use OLS Model (LC)'!$B$9*H30</f>
        <v>0</v>
      </c>
      <c r="Q30" s="186">
        <f>'Large Use OLS Model (LC)'!$B$10*I30</f>
        <v>18122355.210333746</v>
      </c>
      <c r="R30" s="186">
        <f t="shared" ca="1" si="2"/>
        <v>21799201.147431515</v>
      </c>
    </row>
    <row r="31" spans="1:18">
      <c r="A31" s="128">
        <f>'Monthly Data'!A31</f>
        <v>40695</v>
      </c>
      <c r="B31" s="186">
        <f t="shared" si="1"/>
        <v>2011</v>
      </c>
      <c r="C31" s="186">
        <f ca="1">'Monthly Data'!AQ31</f>
        <v>22815807.153374083</v>
      </c>
      <c r="D31" s="186">
        <f t="shared" ca="1" si="3"/>
        <v>116.89315789473682</v>
      </c>
      <c r="E31" s="168">
        <f>'Monthly Data'!BJ31</f>
        <v>6662</v>
      </c>
      <c r="F31" s="186">
        <f>'Monthly Data'!BM31</f>
        <v>30</v>
      </c>
      <c r="G31" s="186">
        <f>'Monthly Data'!BT31</f>
        <v>0</v>
      </c>
      <c r="H31" s="186">
        <f>'Monthly Data'!BY31</f>
        <v>0</v>
      </c>
      <c r="I31" s="186">
        <f>'Monthly Data'!CC31</f>
        <v>30</v>
      </c>
      <c r="K31" s="186">
        <f>'Large Use OLS Model (LC)'!$B$5</f>
        <v>-11585185.4436178</v>
      </c>
      <c r="L31" s="186">
        <f ca="1">'Large Use OLS Model (LC)'!$B$6*D31</f>
        <v>3006597.9110314827</v>
      </c>
      <c r="M31" s="186">
        <f>'Large Use OLS Model (LC)'!$B$7*E31</f>
        <v>13853733.998581376</v>
      </c>
      <c r="N31" s="186">
        <v>0</v>
      </c>
      <c r="O31" s="186">
        <f>'Large Use OLS Model (LC)'!$B$8*G31</f>
        <v>0</v>
      </c>
      <c r="P31" s="186">
        <f>'Large Use OLS Model (LC)'!$B$9*H31</f>
        <v>0</v>
      </c>
      <c r="Q31" s="186">
        <f>'Large Use OLS Model (LC)'!$B$10*I31</f>
        <v>17537763.106774591</v>
      </c>
      <c r="R31" s="186">
        <f t="shared" ca="1" si="2"/>
        <v>22812909.572769649</v>
      </c>
    </row>
    <row r="32" spans="1:18">
      <c r="A32" s="128">
        <f>'Monthly Data'!A32</f>
        <v>40725</v>
      </c>
      <c r="B32" s="186">
        <f t="shared" si="1"/>
        <v>2011</v>
      </c>
      <c r="C32" s="186">
        <f ca="1">'Monthly Data'!AQ32</f>
        <v>25456437.547008239</v>
      </c>
      <c r="D32" s="186">
        <f t="shared" ca="1" si="3"/>
        <v>186.96526315789481</v>
      </c>
      <c r="E32" s="168">
        <f>'Monthly Data'!BJ32</f>
        <v>6665.8</v>
      </c>
      <c r="F32" s="186">
        <f>'Monthly Data'!BM32</f>
        <v>31</v>
      </c>
      <c r="G32" s="186">
        <f>'Monthly Data'!BT32</f>
        <v>1</v>
      </c>
      <c r="H32" s="186">
        <f>'Monthly Data'!BY32</f>
        <v>0</v>
      </c>
      <c r="I32" s="186">
        <f>'Monthly Data'!CC32</f>
        <v>31</v>
      </c>
      <c r="K32" s="186">
        <f>'Large Use OLS Model (LC)'!$B$5</f>
        <v>-11585185.4436178</v>
      </c>
      <c r="L32" s="186">
        <f ca="1">'Large Use OLS Model (LC)'!$B$6*D32</f>
        <v>4808915.9346022606</v>
      </c>
      <c r="M32" s="186">
        <f>'Large Use OLS Model (LC)'!$B$7*E32</f>
        <v>13861636.158472491</v>
      </c>
      <c r="N32" s="186">
        <v>0</v>
      </c>
      <c r="O32" s="186">
        <f>'Large Use OLS Model (LC)'!$B$8*G32</f>
        <v>-947874.12245155603</v>
      </c>
      <c r="P32" s="186">
        <f>'Large Use OLS Model (LC)'!$B$9*H32</f>
        <v>0</v>
      </c>
      <c r="Q32" s="186">
        <f>'Large Use OLS Model (LC)'!$B$10*I32</f>
        <v>18122355.210333746</v>
      </c>
      <c r="R32" s="186">
        <f t="shared" ca="1" si="2"/>
        <v>24259847.737339143</v>
      </c>
    </row>
    <row r="33" spans="1:18">
      <c r="A33" s="128">
        <f>'Monthly Data'!A33</f>
        <v>40756</v>
      </c>
      <c r="B33" s="186">
        <f t="shared" si="1"/>
        <v>2011</v>
      </c>
      <c r="C33" s="186">
        <f ca="1">'Monthly Data'!AQ33</f>
        <v>24857683.720791303</v>
      </c>
      <c r="D33" s="186">
        <f t="shared" ca="1" si="3"/>
        <v>167.43443609022574</v>
      </c>
      <c r="E33" s="168">
        <f>'Monthly Data'!BJ33</f>
        <v>6677.5</v>
      </c>
      <c r="F33" s="186">
        <f>'Monthly Data'!BM33</f>
        <v>32</v>
      </c>
      <c r="G33" s="186">
        <f>'Monthly Data'!BT33</f>
        <v>0</v>
      </c>
      <c r="H33" s="186">
        <f>'Monthly Data'!BY33</f>
        <v>0</v>
      </c>
      <c r="I33" s="186">
        <f>'Monthly Data'!CC33</f>
        <v>31</v>
      </c>
      <c r="K33" s="186">
        <f>'Large Use OLS Model (LC)'!$B$5</f>
        <v>-11585185.4436178</v>
      </c>
      <c r="L33" s="186">
        <f ca="1">'Large Use OLS Model (LC)'!$B$6*D33</f>
        <v>4306565.370035856</v>
      </c>
      <c r="M33" s="186">
        <f>'Large Use OLS Model (LC)'!$B$7*E33</f>
        <v>13885966.492874082</v>
      </c>
      <c r="N33" s="186">
        <v>0</v>
      </c>
      <c r="O33" s="186">
        <f>'Large Use OLS Model (LC)'!$B$8*G33</f>
        <v>0</v>
      </c>
      <c r="P33" s="186">
        <f>'Large Use OLS Model (LC)'!$B$9*H33</f>
        <v>0</v>
      </c>
      <c r="Q33" s="186">
        <f>'Large Use OLS Model (LC)'!$B$10*I33</f>
        <v>18122355.210333746</v>
      </c>
      <c r="R33" s="186">
        <f t="shared" ca="1" si="2"/>
        <v>24729701.629625883</v>
      </c>
    </row>
    <row r="34" spans="1:18">
      <c r="A34" s="128">
        <f>'Monthly Data'!A34</f>
        <v>40787</v>
      </c>
      <c r="B34" s="186">
        <f t="shared" si="1"/>
        <v>2011</v>
      </c>
      <c r="C34" s="186">
        <f ca="1">'Monthly Data'!AQ34</f>
        <v>22360661.77511223</v>
      </c>
      <c r="D34" s="186">
        <f t="shared" ca="1" si="3"/>
        <v>83.003533834586506</v>
      </c>
      <c r="E34" s="168">
        <f>'Monthly Data'!BJ34</f>
        <v>6674.4</v>
      </c>
      <c r="F34" s="186">
        <f>'Monthly Data'!BM34</f>
        <v>33</v>
      </c>
      <c r="G34" s="186">
        <f>'Monthly Data'!BT34</f>
        <v>0</v>
      </c>
      <c r="H34" s="186">
        <f>'Monthly Data'!BY34</f>
        <v>0</v>
      </c>
      <c r="I34" s="186">
        <f>'Monthly Data'!CC34</f>
        <v>30</v>
      </c>
      <c r="K34" s="186">
        <f>'Large Use OLS Model (LC)'!$B$5</f>
        <v>-11585185.4436178</v>
      </c>
      <c r="L34" s="186">
        <f ca="1">'Large Use OLS Model (LC)'!$B$6*D34</f>
        <v>2134926.0806182334</v>
      </c>
      <c r="M34" s="186">
        <f>'Large Use OLS Model (LC)'!$B$7*E34</f>
        <v>13879519.994015539</v>
      </c>
      <c r="N34" s="186">
        <v>0</v>
      </c>
      <c r="O34" s="186">
        <f>'Large Use OLS Model (LC)'!$B$8*G34</f>
        <v>0</v>
      </c>
      <c r="P34" s="186">
        <f>'Large Use OLS Model (LC)'!$B$9*H34</f>
        <v>0</v>
      </c>
      <c r="Q34" s="186">
        <f>'Large Use OLS Model (LC)'!$B$10*I34</f>
        <v>17537763.106774591</v>
      </c>
      <c r="R34" s="186">
        <f t="shared" ca="1" si="2"/>
        <v>21967023.737790562</v>
      </c>
    </row>
    <row r="35" spans="1:18">
      <c r="A35" s="128">
        <f>'Monthly Data'!A35</f>
        <v>40817</v>
      </c>
      <c r="B35" s="186">
        <f t="shared" si="1"/>
        <v>2011</v>
      </c>
      <c r="C35" s="186">
        <f ca="1">'Monthly Data'!AQ35</f>
        <v>21639744.647910222</v>
      </c>
      <c r="D35" s="186">
        <f t="shared" ca="1" si="3"/>
        <v>16.916090225563948</v>
      </c>
      <c r="E35" s="168">
        <f>'Monthly Data'!BJ35</f>
        <v>6668.1</v>
      </c>
      <c r="F35" s="186">
        <f>'Monthly Data'!BM35</f>
        <v>34</v>
      </c>
      <c r="G35" s="186">
        <f>'Monthly Data'!BT35</f>
        <v>0</v>
      </c>
      <c r="H35" s="186">
        <f>'Monthly Data'!BY35</f>
        <v>0</v>
      </c>
      <c r="I35" s="186">
        <f>'Monthly Data'!CC35</f>
        <v>31</v>
      </c>
      <c r="K35" s="186">
        <f>'Large Use OLS Model (LC)'!$B$5</f>
        <v>-11585185.4436178</v>
      </c>
      <c r="L35" s="186">
        <f ca="1">'Large Use OLS Model (LC)'!$B$6*D35</f>
        <v>435097.16437638173</v>
      </c>
      <c r="M35" s="186">
        <f>'Large Use OLS Model (LC)'!$B$7*E35</f>
        <v>13866419.044722376</v>
      </c>
      <c r="N35" s="186">
        <v>0</v>
      </c>
      <c r="O35" s="186">
        <f>'Large Use OLS Model (LC)'!$B$8*G35</f>
        <v>0</v>
      </c>
      <c r="P35" s="186">
        <f>'Large Use OLS Model (LC)'!$B$9*H35</f>
        <v>0</v>
      </c>
      <c r="Q35" s="186">
        <f>'Large Use OLS Model (LC)'!$B$10*I35</f>
        <v>18122355.210333746</v>
      </c>
      <c r="R35" s="186">
        <f t="shared" ca="1" si="2"/>
        <v>20838685.975814704</v>
      </c>
    </row>
    <row r="36" spans="1:18">
      <c r="A36" s="128">
        <f>'Monthly Data'!A36</f>
        <v>40848</v>
      </c>
      <c r="B36" s="186">
        <f t="shared" si="1"/>
        <v>2011</v>
      </c>
      <c r="C36" s="186">
        <f ca="1">'Monthly Data'!AQ36</f>
        <v>19883497.74559721</v>
      </c>
      <c r="D36" s="186">
        <f t="shared" ca="1" si="3"/>
        <v>8.120300751879661E-2</v>
      </c>
      <c r="E36" s="168">
        <f>'Monthly Data'!BJ36</f>
        <v>6662.8</v>
      </c>
      <c r="F36" s="186">
        <f>'Monthly Data'!BM36</f>
        <v>35</v>
      </c>
      <c r="G36" s="186">
        <f>'Monthly Data'!BT36</f>
        <v>0</v>
      </c>
      <c r="H36" s="186">
        <f>'Monthly Data'!BY36</f>
        <v>0</v>
      </c>
      <c r="I36" s="186">
        <f>'Monthly Data'!CC36</f>
        <v>30</v>
      </c>
      <c r="K36" s="186">
        <f>'Large Use OLS Model (LC)'!$B$5</f>
        <v>-11585185.4436178</v>
      </c>
      <c r="L36" s="186">
        <f ca="1">'Large Use OLS Model (LC)'!$B$6*D36</f>
        <v>2088.6149127337453</v>
      </c>
      <c r="M36" s="186">
        <f>'Large Use OLS Model (LC)'!$B$7*E36</f>
        <v>13855397.61119003</v>
      </c>
      <c r="N36" s="186">
        <v>0</v>
      </c>
      <c r="O36" s="186">
        <f>'Large Use OLS Model (LC)'!$B$8*G36</f>
        <v>0</v>
      </c>
      <c r="P36" s="186">
        <f>'Large Use OLS Model (LC)'!$B$9*H36</f>
        <v>0</v>
      </c>
      <c r="Q36" s="186">
        <f>'Large Use OLS Model (LC)'!$B$10*I36</f>
        <v>17537763.106774591</v>
      </c>
      <c r="R36" s="186">
        <f t="shared" ca="1" si="2"/>
        <v>19810063.889259554</v>
      </c>
    </row>
    <row r="37" spans="1:18">
      <c r="A37" s="128">
        <f>'Monthly Data'!A37</f>
        <v>40878</v>
      </c>
      <c r="B37" s="186">
        <f t="shared" si="1"/>
        <v>2011</v>
      </c>
      <c r="C37" s="186">
        <f ca="1">'Monthly Data'!AQ37</f>
        <v>18586040.900826391</v>
      </c>
      <c r="D37" s="186">
        <f t="shared" ca="1" si="3"/>
        <v>0</v>
      </c>
      <c r="E37" s="168">
        <f>'Monthly Data'!BJ37</f>
        <v>6667.5</v>
      </c>
      <c r="F37" s="186">
        <f>'Monthly Data'!BM37</f>
        <v>36</v>
      </c>
      <c r="G37" s="186">
        <f>'Monthly Data'!BT37</f>
        <v>0</v>
      </c>
      <c r="H37" s="186">
        <f>'Monthly Data'!BY37</f>
        <v>1</v>
      </c>
      <c r="I37" s="186">
        <f>'Monthly Data'!CC37</f>
        <v>31</v>
      </c>
      <c r="K37" s="186">
        <f>'Large Use OLS Model (LC)'!$B$5</f>
        <v>-11585185.4436178</v>
      </c>
      <c r="L37" s="186">
        <f ca="1">'Large Use OLS Model (LC)'!$B$6*D37</f>
        <v>0</v>
      </c>
      <c r="M37" s="186">
        <f>'Large Use OLS Model (LC)'!$B$7*E37</f>
        <v>13865171.335265884</v>
      </c>
      <c r="N37" s="186">
        <v>0</v>
      </c>
      <c r="O37" s="186">
        <f>'Large Use OLS Model (LC)'!$B$8*G37</f>
        <v>0</v>
      </c>
      <c r="P37" s="186">
        <f>'Large Use OLS Model (LC)'!$B$9*H37</f>
        <v>-1776727.9579078101</v>
      </c>
      <c r="Q37" s="186">
        <f>'Large Use OLS Model (LC)'!$B$10*I37</f>
        <v>18122355.210333746</v>
      </c>
      <c r="R37" s="186">
        <f t="shared" ca="1" si="2"/>
        <v>18625613.144074019</v>
      </c>
    </row>
    <row r="38" spans="1:18">
      <c r="A38" s="128">
        <f>'Monthly Data'!A38</f>
        <v>40909</v>
      </c>
      <c r="B38" s="186">
        <f t="shared" si="1"/>
        <v>2012</v>
      </c>
      <c r="C38" s="186">
        <f ca="1">'Monthly Data'!AQ38</f>
        <v>19687814.33821645</v>
      </c>
      <c r="D38" s="186">
        <f t="shared" ca="1" si="3"/>
        <v>0</v>
      </c>
      <c r="E38" s="168">
        <f>'Monthly Data'!BJ38</f>
        <v>6673.6</v>
      </c>
      <c r="F38" s="186">
        <f>'Monthly Data'!BM38</f>
        <v>37</v>
      </c>
      <c r="G38" s="186">
        <f>'Monthly Data'!BT38</f>
        <v>0</v>
      </c>
      <c r="H38" s="186">
        <f>'Monthly Data'!BY38</f>
        <v>0</v>
      </c>
      <c r="I38" s="186">
        <f>'Monthly Data'!CC38</f>
        <v>31</v>
      </c>
      <c r="K38" s="186">
        <f>'Large Use OLS Model (LC)'!$B$5</f>
        <v>-11585185.4436178</v>
      </c>
      <c r="L38" s="186">
        <f ca="1">'Large Use OLS Model (LC)'!$B$6*D38</f>
        <v>0</v>
      </c>
      <c r="M38" s="186">
        <f>'Large Use OLS Model (LC)'!$B$7*E38</f>
        <v>13877856.381406885</v>
      </c>
      <c r="N38" s="186">
        <v>0</v>
      </c>
      <c r="O38" s="186">
        <f>'Large Use OLS Model (LC)'!$B$8*G38</f>
        <v>0</v>
      </c>
      <c r="P38" s="186">
        <f>'Large Use OLS Model (LC)'!$B$9*H38</f>
        <v>0</v>
      </c>
      <c r="Q38" s="186">
        <f>'Large Use OLS Model (LC)'!$B$10*I38</f>
        <v>18122355.210333746</v>
      </c>
      <c r="R38" s="186">
        <f t="shared" ca="1" si="2"/>
        <v>20415026.148122832</v>
      </c>
    </row>
    <row r="39" spans="1:18">
      <c r="A39" s="128">
        <f>'Monthly Data'!A39</f>
        <v>40940</v>
      </c>
      <c r="B39" s="186">
        <f t="shared" si="1"/>
        <v>2012</v>
      </c>
      <c r="C39" s="186">
        <f ca="1">'Monthly Data'!AQ39</f>
        <v>18467697.406501543</v>
      </c>
      <c r="D39" s="186">
        <f t="shared" ca="1" si="3"/>
        <v>0</v>
      </c>
      <c r="E39" s="168">
        <f>'Monthly Data'!BJ39</f>
        <v>6670.7</v>
      </c>
      <c r="F39" s="186">
        <f>'Monthly Data'!BM39</f>
        <v>38</v>
      </c>
      <c r="G39" s="186">
        <f>'Monthly Data'!BT39</f>
        <v>0</v>
      </c>
      <c r="H39" s="186">
        <f>'Monthly Data'!BY39</f>
        <v>0</v>
      </c>
      <c r="I39" s="186">
        <f>'Monthly Data'!CC39</f>
        <v>29</v>
      </c>
      <c r="K39" s="186">
        <f>'Large Use OLS Model (LC)'!$B$5</f>
        <v>-11585185.4436178</v>
      </c>
      <c r="L39" s="186">
        <f ca="1">'Large Use OLS Model (LC)'!$B$6*D39</f>
        <v>0</v>
      </c>
      <c r="M39" s="186">
        <f>'Large Use OLS Model (LC)'!$B$7*E39</f>
        <v>13871825.785700507</v>
      </c>
      <c r="N39" s="186">
        <v>0</v>
      </c>
      <c r="O39" s="186">
        <f>'Large Use OLS Model (LC)'!$B$8*G39</f>
        <v>0</v>
      </c>
      <c r="P39" s="186">
        <f>'Large Use OLS Model (LC)'!$B$9*H39</f>
        <v>0</v>
      </c>
      <c r="Q39" s="186">
        <f>'Large Use OLS Model (LC)'!$B$10*I39</f>
        <v>16953171.00321544</v>
      </c>
      <c r="R39" s="186">
        <f t="shared" ca="1" si="2"/>
        <v>19239811.345298149</v>
      </c>
    </row>
    <row r="40" spans="1:18">
      <c r="A40" s="128">
        <f>'Monthly Data'!A40</f>
        <v>40969</v>
      </c>
      <c r="B40" s="186">
        <f t="shared" si="1"/>
        <v>2012</v>
      </c>
      <c r="C40" s="186">
        <f ca="1">'Monthly Data'!AQ40</f>
        <v>20499238.476042025</v>
      </c>
      <c r="D40" s="186">
        <f t="shared" ca="1" si="3"/>
        <v>0.45218045112781802</v>
      </c>
      <c r="E40" s="168">
        <f>'Monthly Data'!BJ40</f>
        <v>6674</v>
      </c>
      <c r="F40" s="186">
        <f>'Monthly Data'!BM40</f>
        <v>39</v>
      </c>
      <c r="G40" s="186">
        <f>'Monthly Data'!BT40</f>
        <v>0</v>
      </c>
      <c r="H40" s="186">
        <f>'Monthly Data'!BY40</f>
        <v>0</v>
      </c>
      <c r="I40" s="186">
        <f>'Monthly Data'!CC40</f>
        <v>31</v>
      </c>
      <c r="K40" s="186">
        <f>'Large Use OLS Model (LC)'!$B$5</f>
        <v>-11585185.4436178</v>
      </c>
      <c r="L40" s="186">
        <f ca="1">'Large Use OLS Model (LC)'!$B$6*D40</f>
        <v>11630.490819611816</v>
      </c>
      <c r="M40" s="186">
        <f>'Large Use OLS Model (LC)'!$B$7*E40</f>
        <v>13878688.187711213</v>
      </c>
      <c r="N40" s="186">
        <v>0</v>
      </c>
      <c r="O40" s="186">
        <f>'Large Use OLS Model (LC)'!$B$8*G40</f>
        <v>0</v>
      </c>
      <c r="P40" s="186">
        <f>'Large Use OLS Model (LC)'!$B$9*H40</f>
        <v>0</v>
      </c>
      <c r="Q40" s="186">
        <f>'Large Use OLS Model (LC)'!$B$10*I40</f>
        <v>18122355.210333746</v>
      </c>
      <c r="R40" s="186">
        <f t="shared" ca="1" si="2"/>
        <v>20427488.445246771</v>
      </c>
    </row>
    <row r="41" spans="1:18">
      <c r="A41" s="128">
        <f>'Monthly Data'!A41</f>
        <v>41000</v>
      </c>
      <c r="B41" s="186">
        <f t="shared" si="1"/>
        <v>2012</v>
      </c>
      <c r="C41" s="186">
        <f ca="1">'Monthly Data'!AQ41</f>
        <v>19245043.973630149</v>
      </c>
      <c r="D41" s="186">
        <f t="shared" ca="1" si="3"/>
        <v>0.50947368421054762</v>
      </c>
      <c r="E41" s="168">
        <f>'Monthly Data'!BJ41</f>
        <v>6685.8</v>
      </c>
      <c r="F41" s="186">
        <f>'Monthly Data'!BM41</f>
        <v>40</v>
      </c>
      <c r="G41" s="186">
        <f>'Monthly Data'!BT41</f>
        <v>0</v>
      </c>
      <c r="H41" s="186">
        <f>'Monthly Data'!BY41</f>
        <v>0</v>
      </c>
      <c r="I41" s="186">
        <f>'Monthly Data'!CC41</f>
        <v>30</v>
      </c>
      <c r="K41" s="186">
        <f>'Large Use OLS Model (LC)'!$B$5</f>
        <v>-11585185.4436178</v>
      </c>
      <c r="L41" s="186">
        <f ca="1">'Large Use OLS Model (LC)'!$B$6*D41</f>
        <v>13104.124674707888</v>
      </c>
      <c r="M41" s="186">
        <f>'Large Use OLS Model (LC)'!$B$7*E41</f>
        <v>13903226.473688886</v>
      </c>
      <c r="N41" s="186">
        <v>0</v>
      </c>
      <c r="O41" s="186">
        <f>'Large Use OLS Model (LC)'!$B$8*G41</f>
        <v>0</v>
      </c>
      <c r="P41" s="186">
        <f>'Large Use OLS Model (LC)'!$B$9*H41</f>
        <v>0</v>
      </c>
      <c r="Q41" s="186">
        <f>'Large Use OLS Model (LC)'!$B$10*I41</f>
        <v>17537763.106774591</v>
      </c>
      <c r="R41" s="186">
        <f t="shared" ca="1" si="2"/>
        <v>19868908.261520386</v>
      </c>
    </row>
    <row r="42" spans="1:18">
      <c r="A42" s="128">
        <f>'Monthly Data'!A42</f>
        <v>41030</v>
      </c>
      <c r="B42" s="186">
        <f t="shared" si="1"/>
        <v>2012</v>
      </c>
      <c r="C42" s="186">
        <f ca="1">'Monthly Data'!AQ42</f>
        <v>22797281.19388999</v>
      </c>
      <c r="D42" s="186">
        <f t="shared" ca="1" si="3"/>
        <v>56.062781954887214</v>
      </c>
      <c r="E42" s="168">
        <f>'Monthly Data'!BJ42</f>
        <v>6690.1</v>
      </c>
      <c r="F42" s="186">
        <f>'Monthly Data'!BM42</f>
        <v>41</v>
      </c>
      <c r="G42" s="186">
        <f>'Monthly Data'!BT42</f>
        <v>0</v>
      </c>
      <c r="H42" s="186">
        <f>'Monthly Data'!BY42</f>
        <v>0</v>
      </c>
      <c r="I42" s="186">
        <f>'Monthly Data'!CC42</f>
        <v>31</v>
      </c>
      <c r="K42" s="186">
        <f>'Large Use OLS Model (LC)'!$B$5</f>
        <v>-11585185.4436178</v>
      </c>
      <c r="L42" s="186">
        <f ca="1">'Large Use OLS Model (LC)'!$B$6*D42</f>
        <v>1441985.5374594755</v>
      </c>
      <c r="M42" s="186">
        <f>'Large Use OLS Model (LC)'!$B$7*E42</f>
        <v>13912168.391460411</v>
      </c>
      <c r="N42" s="186">
        <v>0</v>
      </c>
      <c r="O42" s="186">
        <f>'Large Use OLS Model (LC)'!$B$8*G42</f>
        <v>0</v>
      </c>
      <c r="P42" s="186">
        <f>'Large Use OLS Model (LC)'!$B$9*H42</f>
        <v>0</v>
      </c>
      <c r="Q42" s="186">
        <f>'Large Use OLS Model (LC)'!$B$10*I42</f>
        <v>18122355.210333746</v>
      </c>
      <c r="R42" s="186">
        <f t="shared" ca="1" si="2"/>
        <v>21891323.695635833</v>
      </c>
    </row>
    <row r="43" spans="1:18">
      <c r="A43" s="128">
        <f>'Monthly Data'!A43</f>
        <v>41061</v>
      </c>
      <c r="B43" s="186">
        <f t="shared" si="1"/>
        <v>2012</v>
      </c>
      <c r="C43" s="186">
        <f ca="1">'Monthly Data'!AQ43</f>
        <v>23456120.90443496</v>
      </c>
      <c r="D43" s="186">
        <f t="shared" ca="1" si="3"/>
        <v>116.89315789473682</v>
      </c>
      <c r="E43" s="168">
        <f>'Monthly Data'!BJ43</f>
        <v>6693.3</v>
      </c>
      <c r="F43" s="186">
        <f>'Monthly Data'!BM43</f>
        <v>42</v>
      </c>
      <c r="G43" s="186">
        <f>'Monthly Data'!BT43</f>
        <v>0</v>
      </c>
      <c r="H43" s="186">
        <f>'Monthly Data'!BY43</f>
        <v>0</v>
      </c>
      <c r="I43" s="186">
        <f>'Monthly Data'!CC43</f>
        <v>30</v>
      </c>
      <c r="K43" s="186">
        <f>'Large Use OLS Model (LC)'!$B$5</f>
        <v>-11585185.4436178</v>
      </c>
      <c r="L43" s="186">
        <f ca="1">'Large Use OLS Model (LC)'!$B$6*D43</f>
        <v>3006597.9110314827</v>
      </c>
      <c r="M43" s="186">
        <f>'Large Use OLS Model (LC)'!$B$7*E43</f>
        <v>13918822.841895035</v>
      </c>
      <c r="N43" s="186">
        <v>0</v>
      </c>
      <c r="O43" s="186">
        <f>'Large Use OLS Model (LC)'!$B$8*G43</f>
        <v>0</v>
      </c>
      <c r="P43" s="186">
        <f>'Large Use OLS Model (LC)'!$B$9*H43</f>
        <v>0</v>
      </c>
      <c r="Q43" s="186">
        <f>'Large Use OLS Model (LC)'!$B$10*I43</f>
        <v>17537763.106774591</v>
      </c>
      <c r="R43" s="186">
        <f t="shared" ca="1" si="2"/>
        <v>22877998.416083306</v>
      </c>
    </row>
    <row r="44" spans="1:18">
      <c r="A44" s="128">
        <f>'Monthly Data'!A44</f>
        <v>41091</v>
      </c>
      <c r="B44" s="186">
        <f t="shared" si="1"/>
        <v>2012</v>
      </c>
      <c r="C44" s="186">
        <f ca="1">'Monthly Data'!AQ44</f>
        <v>25361430.625164669</v>
      </c>
      <c r="D44" s="186">
        <f t="shared" ca="1" si="3"/>
        <v>186.96526315789481</v>
      </c>
      <c r="E44" s="168">
        <f>'Monthly Data'!BJ44</f>
        <v>6694.6</v>
      </c>
      <c r="F44" s="186">
        <f>'Monthly Data'!BM44</f>
        <v>43</v>
      </c>
      <c r="G44" s="186">
        <f>'Monthly Data'!BT44</f>
        <v>1</v>
      </c>
      <c r="H44" s="186">
        <f>'Monthly Data'!BY44</f>
        <v>0</v>
      </c>
      <c r="I44" s="186">
        <f>'Monthly Data'!CC44</f>
        <v>31</v>
      </c>
      <c r="K44" s="186">
        <f>'Large Use OLS Model (LC)'!$B$5</f>
        <v>-11585185.4436178</v>
      </c>
      <c r="L44" s="186">
        <f ca="1">'Large Use OLS Model (LC)'!$B$6*D44</f>
        <v>4808915.9346022606</v>
      </c>
      <c r="M44" s="186">
        <f>'Large Use OLS Model (LC)'!$B$7*E44</f>
        <v>13921526.212384101</v>
      </c>
      <c r="N44" s="186">
        <v>0</v>
      </c>
      <c r="O44" s="186">
        <f>'Large Use OLS Model (LC)'!$B$8*G44</f>
        <v>-947874.12245155603</v>
      </c>
      <c r="P44" s="186">
        <f>'Large Use OLS Model (LC)'!$B$9*H44</f>
        <v>0</v>
      </c>
      <c r="Q44" s="186">
        <f>'Large Use OLS Model (LC)'!$B$10*I44</f>
        <v>18122355.210333746</v>
      </c>
      <c r="R44" s="186">
        <f t="shared" ca="1" si="2"/>
        <v>24319737.79125075</v>
      </c>
    </row>
    <row r="45" spans="1:18">
      <c r="A45" s="128">
        <f>'Monthly Data'!A45</f>
        <v>41122</v>
      </c>
      <c r="B45" s="186">
        <f t="shared" si="1"/>
        <v>2012</v>
      </c>
      <c r="C45" s="186">
        <f ca="1">'Monthly Data'!AQ45</f>
        <v>24577913.731392249</v>
      </c>
      <c r="D45" s="186">
        <f t="shared" ca="1" si="3"/>
        <v>167.43443609022574</v>
      </c>
      <c r="E45" s="168">
        <f>'Monthly Data'!BJ45</f>
        <v>6703.3</v>
      </c>
      <c r="F45" s="186">
        <f>'Monthly Data'!BM45</f>
        <v>44</v>
      </c>
      <c r="G45" s="186">
        <f>'Monthly Data'!BT45</f>
        <v>0</v>
      </c>
      <c r="H45" s="186">
        <f>'Monthly Data'!BY45</f>
        <v>0</v>
      </c>
      <c r="I45" s="186">
        <f>'Monthly Data'!CC45</f>
        <v>31</v>
      </c>
      <c r="K45" s="186">
        <f>'Large Use OLS Model (LC)'!$B$5</f>
        <v>-11585185.4436178</v>
      </c>
      <c r="L45" s="186">
        <f ca="1">'Large Use OLS Model (LC)'!$B$6*D45</f>
        <v>4306565.370035856</v>
      </c>
      <c r="M45" s="186">
        <f>'Large Use OLS Model (LC)'!$B$7*E45</f>
        <v>13939617.999503233</v>
      </c>
      <c r="N45" s="186">
        <v>0</v>
      </c>
      <c r="O45" s="186">
        <f>'Large Use OLS Model (LC)'!$B$8*G45</f>
        <v>0</v>
      </c>
      <c r="P45" s="186">
        <f>'Large Use OLS Model (LC)'!$B$9*H45</f>
        <v>0</v>
      </c>
      <c r="Q45" s="186">
        <f>'Large Use OLS Model (LC)'!$B$10*I45</f>
        <v>18122355.210333746</v>
      </c>
      <c r="R45" s="186">
        <f t="shared" ca="1" si="2"/>
        <v>24783353.136255033</v>
      </c>
    </row>
    <row r="46" spans="1:18">
      <c r="A46" s="128">
        <f>'Monthly Data'!A46</f>
        <v>41153</v>
      </c>
      <c r="B46" s="186">
        <f t="shared" si="1"/>
        <v>2012</v>
      </c>
      <c r="C46" s="186">
        <f ca="1">'Monthly Data'!AQ46</f>
        <v>22977997.316620789</v>
      </c>
      <c r="D46" s="186">
        <f t="shared" ca="1" si="3"/>
        <v>83.003533834586506</v>
      </c>
      <c r="E46" s="168">
        <f>'Monthly Data'!BJ46</f>
        <v>6707.4</v>
      </c>
      <c r="F46" s="186">
        <f>'Monthly Data'!BM46</f>
        <v>45</v>
      </c>
      <c r="G46" s="186">
        <f>'Monthly Data'!BT46</f>
        <v>0</v>
      </c>
      <c r="H46" s="186">
        <f>'Monthly Data'!BY46</f>
        <v>0</v>
      </c>
      <c r="I46" s="186">
        <f>'Monthly Data'!CC46</f>
        <v>30</v>
      </c>
      <c r="K46" s="186">
        <f>'Large Use OLS Model (LC)'!$B$5</f>
        <v>-11585185.4436178</v>
      </c>
      <c r="L46" s="186">
        <f ca="1">'Large Use OLS Model (LC)'!$B$6*D46</f>
        <v>2134926.0806182334</v>
      </c>
      <c r="M46" s="186">
        <f>'Large Use OLS Model (LC)'!$B$7*E46</f>
        <v>13948144.014122592</v>
      </c>
      <c r="N46" s="186">
        <v>0</v>
      </c>
      <c r="O46" s="186">
        <f>'Large Use OLS Model (LC)'!$B$8*G46</f>
        <v>0</v>
      </c>
      <c r="P46" s="186">
        <f>'Large Use OLS Model (LC)'!$B$9*H46</f>
        <v>0</v>
      </c>
      <c r="Q46" s="186">
        <f>'Large Use OLS Model (LC)'!$B$10*I46</f>
        <v>17537763.106774591</v>
      </c>
      <c r="R46" s="186">
        <f t="shared" ca="1" si="2"/>
        <v>22035647.757897615</v>
      </c>
    </row>
    <row r="47" spans="1:18">
      <c r="A47" s="128">
        <f>'Monthly Data'!A47</f>
        <v>41183</v>
      </c>
      <c r="B47" s="186">
        <f t="shared" si="1"/>
        <v>2012</v>
      </c>
      <c r="C47" s="186">
        <f ca="1">'Monthly Data'!AQ47</f>
        <v>21890662.71008677</v>
      </c>
      <c r="D47" s="186">
        <f t="shared" ca="1" si="3"/>
        <v>16.916090225563948</v>
      </c>
      <c r="E47" s="168">
        <f>'Monthly Data'!BJ47</f>
        <v>6710</v>
      </c>
      <c r="F47" s="186">
        <f>'Monthly Data'!BM47</f>
        <v>46</v>
      </c>
      <c r="G47" s="186">
        <f>'Monthly Data'!BT47</f>
        <v>0</v>
      </c>
      <c r="H47" s="186">
        <f>'Monthly Data'!BY47</f>
        <v>0</v>
      </c>
      <c r="I47" s="186">
        <f>'Monthly Data'!CC47</f>
        <v>31</v>
      </c>
      <c r="K47" s="186">
        <f>'Large Use OLS Model (LC)'!$B$5</f>
        <v>-11585185.4436178</v>
      </c>
      <c r="L47" s="186">
        <f ca="1">'Large Use OLS Model (LC)'!$B$6*D47</f>
        <v>435097.16437638173</v>
      </c>
      <c r="M47" s="186">
        <f>'Large Use OLS Model (LC)'!$B$7*E47</f>
        <v>13953550.755100725</v>
      </c>
      <c r="N47" s="186">
        <v>0</v>
      </c>
      <c r="O47" s="186">
        <f>'Large Use OLS Model (LC)'!$B$8*G47</f>
        <v>0</v>
      </c>
      <c r="P47" s="186">
        <f>'Large Use OLS Model (LC)'!$B$9*H47</f>
        <v>0</v>
      </c>
      <c r="Q47" s="186">
        <f>'Large Use OLS Model (LC)'!$B$10*I47</f>
        <v>18122355.210333746</v>
      </c>
      <c r="R47" s="186">
        <f t="shared" ca="1" si="2"/>
        <v>20925817.686193053</v>
      </c>
    </row>
    <row r="48" spans="1:18">
      <c r="A48" s="128">
        <f>'Monthly Data'!A48</f>
        <v>41214</v>
      </c>
      <c r="B48" s="186">
        <f t="shared" si="1"/>
        <v>2012</v>
      </c>
      <c r="C48" s="186">
        <f ca="1">'Monthly Data'!AQ48</f>
        <v>20407767.89345184</v>
      </c>
      <c r="D48" s="186">
        <f t="shared" ca="1" si="3"/>
        <v>8.120300751879661E-2</v>
      </c>
      <c r="E48" s="168">
        <f>'Monthly Data'!BJ48</f>
        <v>6722.4</v>
      </c>
      <c r="F48" s="186">
        <f>'Monthly Data'!BM48</f>
        <v>47</v>
      </c>
      <c r="G48" s="186">
        <f>'Monthly Data'!BT48</f>
        <v>0</v>
      </c>
      <c r="H48" s="186">
        <f>'Monthly Data'!BY48</f>
        <v>0</v>
      </c>
      <c r="I48" s="186">
        <f>'Monthly Data'!CC48</f>
        <v>30</v>
      </c>
      <c r="K48" s="186">
        <f>'Large Use OLS Model (LC)'!$B$5</f>
        <v>-11585185.4436178</v>
      </c>
      <c r="L48" s="186">
        <f ca="1">'Large Use OLS Model (LC)'!$B$6*D48</f>
        <v>2088.6149127337453</v>
      </c>
      <c r="M48" s="186">
        <f>'Large Use OLS Model (LC)'!$B$7*E48</f>
        <v>13979336.750534888</v>
      </c>
      <c r="N48" s="186">
        <v>0</v>
      </c>
      <c r="O48" s="186">
        <f>'Large Use OLS Model (LC)'!$B$8*G48</f>
        <v>0</v>
      </c>
      <c r="P48" s="186">
        <f>'Large Use OLS Model (LC)'!$B$9*H48</f>
        <v>0</v>
      </c>
      <c r="Q48" s="186">
        <f>'Large Use OLS Model (LC)'!$B$10*I48</f>
        <v>17537763.106774591</v>
      </c>
      <c r="R48" s="186">
        <f t="shared" ca="1" si="2"/>
        <v>19934003.028604411</v>
      </c>
    </row>
    <row r="49" spans="1:18">
      <c r="A49" s="128">
        <f>'Monthly Data'!A49</f>
        <v>41244</v>
      </c>
      <c r="B49" s="186">
        <f t="shared" si="1"/>
        <v>2012</v>
      </c>
      <c r="C49" s="186">
        <f ca="1">'Monthly Data'!AQ49</f>
        <v>19317288.89377021</v>
      </c>
      <c r="D49" s="186">
        <f t="shared" ca="1" si="3"/>
        <v>0</v>
      </c>
      <c r="E49" s="168">
        <f>'Monthly Data'!BJ49</f>
        <v>6740.6</v>
      </c>
      <c r="F49" s="186">
        <f>'Monthly Data'!BM49</f>
        <v>48</v>
      </c>
      <c r="G49" s="186">
        <f>'Monthly Data'!BT49</f>
        <v>0</v>
      </c>
      <c r="H49" s="186">
        <f>'Monthly Data'!BY49</f>
        <v>1</v>
      </c>
      <c r="I49" s="186">
        <f>'Monthly Data'!CC49</f>
        <v>31</v>
      </c>
      <c r="K49" s="186">
        <f>'Large Use OLS Model (LC)'!$B$5</f>
        <v>-11585185.4436178</v>
      </c>
      <c r="L49" s="186">
        <f ca="1">'Large Use OLS Model (LC)'!$B$6*D49</f>
        <v>0</v>
      </c>
      <c r="M49" s="186">
        <f>'Large Use OLS Model (LC)'!$B$7*E49</f>
        <v>14017183.93738181</v>
      </c>
      <c r="N49" s="186">
        <v>0</v>
      </c>
      <c r="O49" s="186">
        <f>'Large Use OLS Model (LC)'!$B$8*G49</f>
        <v>0</v>
      </c>
      <c r="P49" s="186">
        <f>'Large Use OLS Model (LC)'!$B$9*H49</f>
        <v>-1776727.9579078101</v>
      </c>
      <c r="Q49" s="186">
        <f>'Large Use OLS Model (LC)'!$B$10*I49</f>
        <v>18122355.210333746</v>
      </c>
      <c r="R49" s="186">
        <f t="shared" ca="1" si="2"/>
        <v>18777625.746189944</v>
      </c>
    </row>
    <row r="50" spans="1:18">
      <c r="A50" s="128">
        <f>'Monthly Data'!A50</f>
        <v>41275</v>
      </c>
      <c r="B50" s="186">
        <f t="shared" si="1"/>
        <v>2013</v>
      </c>
      <c r="C50" s="186">
        <f ca="1">'Monthly Data'!AQ50</f>
        <v>20938144.430793405</v>
      </c>
      <c r="D50" s="186">
        <f t="shared" ca="1" si="3"/>
        <v>0</v>
      </c>
      <c r="E50" s="168">
        <f>'Monthly Data'!BJ50</f>
        <v>6758.8</v>
      </c>
      <c r="F50" s="186">
        <f>'Monthly Data'!BM50</f>
        <v>49</v>
      </c>
      <c r="G50" s="186">
        <f>'Monthly Data'!BT50</f>
        <v>0</v>
      </c>
      <c r="H50" s="186">
        <f>'Monthly Data'!BY50</f>
        <v>0</v>
      </c>
      <c r="I50" s="186">
        <f>'Monthly Data'!CC50</f>
        <v>31</v>
      </c>
      <c r="K50" s="186">
        <f>'Large Use OLS Model (LC)'!$B$5</f>
        <v>-11585185.4436178</v>
      </c>
      <c r="L50" s="186">
        <f ca="1">'Large Use OLS Model (LC)'!$B$6*D50</f>
        <v>0</v>
      </c>
      <c r="M50" s="186">
        <f>'Large Use OLS Model (LC)'!$B$7*E50</f>
        <v>14055031.124228731</v>
      </c>
      <c r="N50" s="186">
        <v>0</v>
      </c>
      <c r="O50" s="186">
        <f>'Large Use OLS Model (LC)'!$B$8*G50</f>
        <v>0</v>
      </c>
      <c r="P50" s="186">
        <f>'Large Use OLS Model (LC)'!$B$9*H50</f>
        <v>0</v>
      </c>
      <c r="Q50" s="186">
        <f>'Large Use OLS Model (LC)'!$B$10*I50</f>
        <v>18122355.210333746</v>
      </c>
      <c r="R50" s="186">
        <f t="shared" ca="1" si="2"/>
        <v>20592200.890944675</v>
      </c>
    </row>
    <row r="51" spans="1:18">
      <c r="A51" s="128">
        <f>'Monthly Data'!A51</f>
        <v>41306</v>
      </c>
      <c r="B51" s="186">
        <f t="shared" si="1"/>
        <v>2013</v>
      </c>
      <c r="C51" s="186">
        <f ca="1">'Monthly Data'!AQ51</f>
        <v>19315820.07202718</v>
      </c>
      <c r="D51" s="186">
        <f t="shared" ca="1" si="3"/>
        <v>0</v>
      </c>
      <c r="E51" s="168">
        <f>'Monthly Data'!BJ51</f>
        <v>6775.5</v>
      </c>
      <c r="F51" s="186">
        <f>'Monthly Data'!BM51</f>
        <v>50</v>
      </c>
      <c r="G51" s="186">
        <f>'Monthly Data'!BT51</f>
        <v>0</v>
      </c>
      <c r="H51" s="186">
        <f>'Monthly Data'!BY51</f>
        <v>0</v>
      </c>
      <c r="I51" s="186">
        <f>'Monthly Data'!CC51</f>
        <v>28</v>
      </c>
      <c r="K51" s="186">
        <f>'Large Use OLS Model (LC)'!$B$5</f>
        <v>-11585185.4436178</v>
      </c>
      <c r="L51" s="186">
        <f ca="1">'Large Use OLS Model (LC)'!$B$6*D51</f>
        <v>0</v>
      </c>
      <c r="M51" s="186">
        <f>'Large Use OLS Model (LC)'!$B$7*E51</f>
        <v>14089759.03743442</v>
      </c>
      <c r="N51" s="186">
        <v>0</v>
      </c>
      <c r="O51" s="186">
        <f>'Large Use OLS Model (LC)'!$B$8*G51</f>
        <v>0</v>
      </c>
      <c r="P51" s="186">
        <f>'Large Use OLS Model (LC)'!$B$9*H51</f>
        <v>0</v>
      </c>
      <c r="Q51" s="186">
        <f>'Large Use OLS Model (LC)'!$B$10*I51</f>
        <v>16368578.899656285</v>
      </c>
      <c r="R51" s="186">
        <f t="shared" ca="1" si="2"/>
        <v>18873152.493472904</v>
      </c>
    </row>
    <row r="52" spans="1:18">
      <c r="A52" s="128">
        <f>'Monthly Data'!A52</f>
        <v>41334</v>
      </c>
      <c r="B52" s="186">
        <f t="shared" si="1"/>
        <v>2013</v>
      </c>
      <c r="C52" s="186">
        <f ca="1">'Monthly Data'!AQ52</f>
        <v>23045320.972772148</v>
      </c>
      <c r="D52" s="186">
        <f t="shared" ca="1" si="3"/>
        <v>0.45218045112781802</v>
      </c>
      <c r="E52" s="168">
        <f>'Monthly Data'!BJ52</f>
        <v>6781.1</v>
      </c>
      <c r="F52" s="186">
        <f>'Monthly Data'!BM52</f>
        <v>51</v>
      </c>
      <c r="G52" s="186">
        <f>'Monthly Data'!BT52</f>
        <v>0</v>
      </c>
      <c r="H52" s="186">
        <f>'Monthly Data'!BY52</f>
        <v>0</v>
      </c>
      <c r="I52" s="186">
        <f>'Monthly Data'!CC52</f>
        <v>31</v>
      </c>
      <c r="K52" s="186">
        <f>'Large Use OLS Model (LC)'!$B$5</f>
        <v>-11585185.4436178</v>
      </c>
      <c r="L52" s="186">
        <f ca="1">'Large Use OLS Model (LC)'!$B$6*D52</f>
        <v>11630.490819611816</v>
      </c>
      <c r="M52" s="186">
        <f>'Large Use OLS Model (LC)'!$B$7*E52</f>
        <v>14101404.325695012</v>
      </c>
      <c r="N52" s="186">
        <v>0</v>
      </c>
      <c r="O52" s="186">
        <f>'Large Use OLS Model (LC)'!$B$8*G52</f>
        <v>0</v>
      </c>
      <c r="P52" s="186">
        <f>'Large Use OLS Model (LC)'!$B$9*H52</f>
        <v>0</v>
      </c>
      <c r="Q52" s="186">
        <f>'Large Use OLS Model (LC)'!$B$10*I52</f>
        <v>18122355.210333746</v>
      </c>
      <c r="R52" s="186">
        <f t="shared" ca="1" si="2"/>
        <v>20650204.58323057</v>
      </c>
    </row>
    <row r="53" spans="1:18">
      <c r="A53" s="128">
        <f>'Monthly Data'!A53</f>
        <v>41365</v>
      </c>
      <c r="B53" s="186">
        <f t="shared" si="1"/>
        <v>2013</v>
      </c>
      <c r="C53" s="186">
        <f ca="1">'Monthly Data'!AQ53</f>
        <v>22026086.518144023</v>
      </c>
      <c r="D53" s="186">
        <f t="shared" ca="1" si="3"/>
        <v>0.50947368421054762</v>
      </c>
      <c r="E53" s="168">
        <f>'Monthly Data'!BJ53</f>
        <v>6788.9</v>
      </c>
      <c r="F53" s="186">
        <f>'Monthly Data'!BM53</f>
        <v>52</v>
      </c>
      <c r="G53" s="186">
        <f>'Monthly Data'!BT53</f>
        <v>0</v>
      </c>
      <c r="H53" s="186">
        <f>'Monthly Data'!BY53</f>
        <v>0</v>
      </c>
      <c r="I53" s="186">
        <f>'Monthly Data'!CC53</f>
        <v>30</v>
      </c>
      <c r="K53" s="186">
        <f>'Large Use OLS Model (LC)'!$B$5</f>
        <v>-11585185.4436178</v>
      </c>
      <c r="L53" s="186">
        <f ca="1">'Large Use OLS Model (LC)'!$B$6*D53</f>
        <v>13104.124674707888</v>
      </c>
      <c r="M53" s="186">
        <f>'Large Use OLS Model (LC)'!$B$7*E53</f>
        <v>14117624.548629405</v>
      </c>
      <c r="N53" s="186">
        <v>0</v>
      </c>
      <c r="O53" s="186">
        <f>'Large Use OLS Model (LC)'!$B$8*G53</f>
        <v>0</v>
      </c>
      <c r="P53" s="186">
        <f>'Large Use OLS Model (LC)'!$B$9*H53</f>
        <v>0</v>
      </c>
      <c r="Q53" s="186">
        <f>'Large Use OLS Model (LC)'!$B$10*I53</f>
        <v>17537763.106774591</v>
      </c>
      <c r="R53" s="186">
        <f t="shared" ca="1" si="2"/>
        <v>20083306.336460903</v>
      </c>
    </row>
    <row r="54" spans="1:18">
      <c r="A54" s="128">
        <f>'Monthly Data'!A54</f>
        <v>41395</v>
      </c>
      <c r="B54" s="186">
        <f t="shared" si="1"/>
        <v>2013</v>
      </c>
      <c r="C54" s="186">
        <f ca="1">'Monthly Data'!AQ54</f>
        <v>22961717.117793832</v>
      </c>
      <c r="D54" s="186">
        <f t="shared" ca="1" si="3"/>
        <v>56.062781954887214</v>
      </c>
      <c r="E54" s="168">
        <f>'Monthly Data'!BJ54</f>
        <v>6801.1</v>
      </c>
      <c r="F54" s="186">
        <f>'Monthly Data'!BM54</f>
        <v>53</v>
      </c>
      <c r="G54" s="186">
        <f>'Monthly Data'!BT54</f>
        <v>0</v>
      </c>
      <c r="H54" s="186">
        <f>'Monthly Data'!BY54</f>
        <v>0</v>
      </c>
      <c r="I54" s="186">
        <f>'Monthly Data'!CC54</f>
        <v>31</v>
      </c>
      <c r="K54" s="186">
        <f>'Large Use OLS Model (LC)'!$B$5</f>
        <v>-11585185.4436178</v>
      </c>
      <c r="L54" s="186">
        <f ca="1">'Large Use OLS Model (LC)'!$B$6*D54</f>
        <v>1441985.5374594755</v>
      </c>
      <c r="M54" s="186">
        <f>'Large Use OLS Model (LC)'!$B$7*E54</f>
        <v>14142994.640911408</v>
      </c>
      <c r="N54" s="186">
        <v>0</v>
      </c>
      <c r="O54" s="186">
        <f>'Large Use OLS Model (LC)'!$B$8*G54</f>
        <v>0</v>
      </c>
      <c r="P54" s="186">
        <f>'Large Use OLS Model (LC)'!$B$9*H54</f>
        <v>0</v>
      </c>
      <c r="Q54" s="186">
        <f>'Large Use OLS Model (LC)'!$B$10*I54</f>
        <v>18122355.210333746</v>
      </c>
      <c r="R54" s="186">
        <f t="shared" ca="1" si="2"/>
        <v>22122149.945086829</v>
      </c>
    </row>
    <row r="55" spans="1:18">
      <c r="A55" s="128">
        <f>'Monthly Data'!A55</f>
        <v>41426</v>
      </c>
      <c r="B55" s="186">
        <f t="shared" si="1"/>
        <v>2013</v>
      </c>
      <c r="C55" s="186">
        <f ca="1">'Monthly Data'!AQ55</f>
        <v>22886135.390346128</v>
      </c>
      <c r="D55" s="186">
        <f t="shared" ca="1" si="3"/>
        <v>116.89315789473682</v>
      </c>
      <c r="E55" s="168">
        <f>'Monthly Data'!BJ55</f>
        <v>6815.2</v>
      </c>
      <c r="F55" s="186">
        <f>'Monthly Data'!BM55</f>
        <v>54</v>
      </c>
      <c r="G55" s="186">
        <f>'Monthly Data'!BT55</f>
        <v>0</v>
      </c>
      <c r="H55" s="186">
        <f>'Monthly Data'!BY55</f>
        <v>0</v>
      </c>
      <c r="I55" s="186">
        <f>'Monthly Data'!CC55</f>
        <v>30</v>
      </c>
      <c r="K55" s="186">
        <f>'Large Use OLS Model (LC)'!$B$5</f>
        <v>-11585185.4436178</v>
      </c>
      <c r="L55" s="186">
        <f ca="1">'Large Use OLS Model (LC)'!$B$6*D55</f>
        <v>3006597.9110314827</v>
      </c>
      <c r="M55" s="186">
        <f>'Large Use OLS Model (LC)'!$B$7*E55</f>
        <v>14172315.813138966</v>
      </c>
      <c r="N55" s="186">
        <v>0</v>
      </c>
      <c r="O55" s="186">
        <f>'Large Use OLS Model (LC)'!$B$8*G55</f>
        <v>0</v>
      </c>
      <c r="P55" s="186">
        <f>'Large Use OLS Model (LC)'!$B$9*H55</f>
        <v>0</v>
      </c>
      <c r="Q55" s="186">
        <f>'Large Use OLS Model (LC)'!$B$10*I55</f>
        <v>17537763.106774591</v>
      </c>
      <c r="R55" s="186">
        <f t="shared" ca="1" si="2"/>
        <v>23131491.387327239</v>
      </c>
    </row>
    <row r="56" spans="1:18">
      <c r="A56" s="128">
        <f>'Monthly Data'!A56</f>
        <v>41456</v>
      </c>
      <c r="B56" s="186">
        <f t="shared" si="1"/>
        <v>2013</v>
      </c>
      <c r="C56" s="186">
        <f ca="1">'Monthly Data'!AQ56</f>
        <v>23748691.39553849</v>
      </c>
      <c r="D56" s="186">
        <f t="shared" ca="1" si="3"/>
        <v>186.96526315789481</v>
      </c>
      <c r="E56" s="168">
        <f>'Monthly Data'!BJ56</f>
        <v>6826.2</v>
      </c>
      <c r="F56" s="186">
        <f>'Monthly Data'!BM56</f>
        <v>55</v>
      </c>
      <c r="G56" s="186">
        <f>'Monthly Data'!BT56</f>
        <v>1</v>
      </c>
      <c r="H56" s="186">
        <f>'Monthly Data'!BY56</f>
        <v>0</v>
      </c>
      <c r="I56" s="186">
        <f>'Monthly Data'!CC56</f>
        <v>31</v>
      </c>
      <c r="K56" s="186">
        <f>'Large Use OLS Model (LC)'!$B$5</f>
        <v>-11585185.4436178</v>
      </c>
      <c r="L56" s="186">
        <f ca="1">'Large Use OLS Model (LC)'!$B$6*D56</f>
        <v>4808915.9346022606</v>
      </c>
      <c r="M56" s="186">
        <f>'Large Use OLS Model (LC)'!$B$7*E56</f>
        <v>14195190.486507982</v>
      </c>
      <c r="N56" s="186">
        <v>0</v>
      </c>
      <c r="O56" s="186">
        <f>'Large Use OLS Model (LC)'!$B$8*G56</f>
        <v>-947874.12245155603</v>
      </c>
      <c r="P56" s="186">
        <f>'Large Use OLS Model (LC)'!$B$9*H56</f>
        <v>0</v>
      </c>
      <c r="Q56" s="186">
        <f>'Large Use OLS Model (LC)'!$B$10*I56</f>
        <v>18122355.210333746</v>
      </c>
      <c r="R56" s="186">
        <f t="shared" ca="1" si="2"/>
        <v>24593402.065374631</v>
      </c>
    </row>
    <row r="57" spans="1:18">
      <c r="A57" s="128">
        <f>'Monthly Data'!A57</f>
        <v>41487</v>
      </c>
      <c r="B57" s="186">
        <f t="shared" si="1"/>
        <v>2013</v>
      </c>
      <c r="C57" s="186">
        <f ca="1">'Monthly Data'!AQ57</f>
        <v>24186748.846067321</v>
      </c>
      <c r="D57" s="186">
        <f t="shared" ca="1" si="3"/>
        <v>167.43443609022574</v>
      </c>
      <c r="E57" s="168">
        <f>'Monthly Data'!BJ57</f>
        <v>6833.9</v>
      </c>
      <c r="F57" s="186">
        <f>'Monthly Data'!BM57</f>
        <v>56</v>
      </c>
      <c r="G57" s="186">
        <f>'Monthly Data'!BT57</f>
        <v>0</v>
      </c>
      <c r="H57" s="186">
        <f>'Monthly Data'!BY57</f>
        <v>0</v>
      </c>
      <c r="I57" s="186">
        <f>'Monthly Data'!CC57</f>
        <v>31</v>
      </c>
      <c r="K57" s="186">
        <f>'Large Use OLS Model (LC)'!$B$5</f>
        <v>-11585185.4436178</v>
      </c>
      <c r="L57" s="186">
        <f ca="1">'Large Use OLS Model (LC)'!$B$6*D57</f>
        <v>4306565.370035856</v>
      </c>
      <c r="M57" s="186">
        <f>'Large Use OLS Model (LC)'!$B$7*E57</f>
        <v>14211202.757866295</v>
      </c>
      <c r="N57" s="186">
        <v>0</v>
      </c>
      <c r="O57" s="186">
        <f>'Large Use OLS Model (LC)'!$B$8*G57</f>
        <v>0</v>
      </c>
      <c r="P57" s="186">
        <f>'Large Use OLS Model (LC)'!$B$9*H57</f>
        <v>0</v>
      </c>
      <c r="Q57" s="186">
        <f>'Large Use OLS Model (LC)'!$B$10*I57</f>
        <v>18122355.210333746</v>
      </c>
      <c r="R57" s="186">
        <f t="shared" ca="1" si="2"/>
        <v>25054937.894618098</v>
      </c>
    </row>
    <row r="58" spans="1:18">
      <c r="A58" s="128">
        <f>'Monthly Data'!A58</f>
        <v>41518</v>
      </c>
      <c r="B58" s="186">
        <f t="shared" si="1"/>
        <v>2013</v>
      </c>
      <c r="C58" s="186">
        <f ca="1">'Monthly Data'!AQ58</f>
        <v>21216640.257023308</v>
      </c>
      <c r="D58" s="186">
        <f t="shared" ca="1" si="3"/>
        <v>83.003533834586506</v>
      </c>
      <c r="E58" s="168">
        <f>'Monthly Data'!BJ58</f>
        <v>6843.3</v>
      </c>
      <c r="F58" s="186">
        <f>'Monthly Data'!BM58</f>
        <v>57</v>
      </c>
      <c r="G58" s="186">
        <f>'Monthly Data'!BT58</f>
        <v>0</v>
      </c>
      <c r="H58" s="186">
        <f>'Monthly Data'!BY58</f>
        <v>0</v>
      </c>
      <c r="I58" s="186">
        <f>'Monthly Data'!CC58</f>
        <v>30</v>
      </c>
      <c r="K58" s="186">
        <f>'Large Use OLS Model (LC)'!$B$5</f>
        <v>-11585185.4436178</v>
      </c>
      <c r="L58" s="186">
        <f ca="1">'Large Use OLS Model (LC)'!$B$6*D58</f>
        <v>2134926.0806182334</v>
      </c>
      <c r="M58" s="186">
        <f>'Large Use OLS Model (LC)'!$B$7*E58</f>
        <v>14230750.206018001</v>
      </c>
      <c r="N58" s="186">
        <v>0</v>
      </c>
      <c r="O58" s="186">
        <f>'Large Use OLS Model (LC)'!$B$8*G58</f>
        <v>0</v>
      </c>
      <c r="P58" s="186">
        <f>'Large Use OLS Model (LC)'!$B$9*H58</f>
        <v>0</v>
      </c>
      <c r="Q58" s="186">
        <f>'Large Use OLS Model (LC)'!$B$10*I58</f>
        <v>17537763.106774591</v>
      </c>
      <c r="R58" s="186">
        <f t="shared" ca="1" si="2"/>
        <v>22318253.949793026</v>
      </c>
    </row>
    <row r="59" spans="1:18">
      <c r="A59" s="128">
        <f>'Monthly Data'!A59</f>
        <v>41548</v>
      </c>
      <c r="B59" s="186">
        <f t="shared" si="1"/>
        <v>2013</v>
      </c>
      <c r="C59" s="186">
        <f ca="1">'Monthly Data'!AQ59</f>
        <v>21329674.185019702</v>
      </c>
      <c r="D59" s="186">
        <f t="shared" ca="1" si="3"/>
        <v>16.916090225563948</v>
      </c>
      <c r="E59" s="168">
        <f>'Monthly Data'!BJ59</f>
        <v>6850.3</v>
      </c>
      <c r="F59" s="186">
        <f>'Monthly Data'!BM59</f>
        <v>58</v>
      </c>
      <c r="G59" s="186">
        <f>'Monthly Data'!BT59</f>
        <v>0</v>
      </c>
      <c r="H59" s="186">
        <f>'Monthly Data'!BY59</f>
        <v>0</v>
      </c>
      <c r="I59" s="186">
        <f>'Monthly Data'!CC59</f>
        <v>31</v>
      </c>
      <c r="K59" s="186">
        <f>'Large Use OLS Model (LC)'!$B$5</f>
        <v>-11585185.4436178</v>
      </c>
      <c r="L59" s="186">
        <f ca="1">'Large Use OLS Model (LC)'!$B$6*D59</f>
        <v>435097.16437638173</v>
      </c>
      <c r="M59" s="186">
        <f>'Large Use OLS Model (LC)'!$B$7*E59</f>
        <v>14245306.81634374</v>
      </c>
      <c r="N59" s="186">
        <v>0</v>
      </c>
      <c r="O59" s="186">
        <f>'Large Use OLS Model (LC)'!$B$8*G59</f>
        <v>0</v>
      </c>
      <c r="P59" s="186">
        <f>'Large Use OLS Model (LC)'!$B$9*H59</f>
        <v>0</v>
      </c>
      <c r="Q59" s="186">
        <f>'Large Use OLS Model (LC)'!$B$10*I59</f>
        <v>18122355.210333746</v>
      </c>
      <c r="R59" s="186">
        <f t="shared" ca="1" si="2"/>
        <v>21217573.747436069</v>
      </c>
    </row>
    <row r="60" spans="1:18">
      <c r="A60" s="128">
        <f>'Monthly Data'!A60</f>
        <v>41579</v>
      </c>
      <c r="B60" s="186">
        <f t="shared" si="1"/>
        <v>2013</v>
      </c>
      <c r="C60" s="186">
        <f ca="1">'Monthly Data'!AQ60</f>
        <v>20487706.051090527</v>
      </c>
      <c r="D60" s="186">
        <f t="shared" ca="1" si="3"/>
        <v>8.120300751879661E-2</v>
      </c>
      <c r="E60" s="168">
        <f>'Monthly Data'!BJ60</f>
        <v>6854</v>
      </c>
      <c r="F60" s="186">
        <f>'Monthly Data'!BM60</f>
        <v>59</v>
      </c>
      <c r="G60" s="186">
        <f>'Monthly Data'!BT60</f>
        <v>0</v>
      </c>
      <c r="H60" s="186">
        <f>'Monthly Data'!BY60</f>
        <v>0</v>
      </c>
      <c r="I60" s="186">
        <f>'Monthly Data'!CC60</f>
        <v>30</v>
      </c>
      <c r="K60" s="186">
        <f>'Large Use OLS Model (LC)'!$B$5</f>
        <v>-11585185.4436178</v>
      </c>
      <c r="L60" s="186">
        <f ca="1">'Large Use OLS Model (LC)'!$B$6*D60</f>
        <v>2088.6149127337453</v>
      </c>
      <c r="M60" s="186">
        <f>'Large Use OLS Model (LC)'!$B$7*E60</f>
        <v>14253001.024658773</v>
      </c>
      <c r="N60" s="186">
        <v>0</v>
      </c>
      <c r="O60" s="186">
        <f>'Large Use OLS Model (LC)'!$B$8*G60</f>
        <v>0</v>
      </c>
      <c r="P60" s="186">
        <f>'Large Use OLS Model (LC)'!$B$9*H60</f>
        <v>0</v>
      </c>
      <c r="Q60" s="186">
        <f>'Large Use OLS Model (LC)'!$B$10*I60</f>
        <v>17537763.106774591</v>
      </c>
      <c r="R60" s="186">
        <f t="shared" ca="1" si="2"/>
        <v>20207667.302728295</v>
      </c>
    </row>
    <row r="61" spans="1:18">
      <c r="A61" s="128">
        <f>'Monthly Data'!A61</f>
        <v>41609</v>
      </c>
      <c r="B61" s="186">
        <f t="shared" si="1"/>
        <v>2013</v>
      </c>
      <c r="C61" s="186">
        <f ca="1">'Monthly Data'!AQ61</f>
        <v>18775517.766363285</v>
      </c>
      <c r="D61" s="186">
        <f t="shared" ca="1" si="3"/>
        <v>0</v>
      </c>
      <c r="E61" s="168">
        <f>'Monthly Data'!BJ61</f>
        <v>6850.4</v>
      </c>
      <c r="F61" s="186">
        <f>'Monthly Data'!BM61</f>
        <v>60</v>
      </c>
      <c r="G61" s="186">
        <f>'Monthly Data'!BT61</f>
        <v>0</v>
      </c>
      <c r="H61" s="186">
        <f>'Monthly Data'!BY61</f>
        <v>1</v>
      </c>
      <c r="I61" s="186">
        <f>'Monthly Data'!CC61</f>
        <v>31</v>
      </c>
      <c r="K61" s="186">
        <f>'Large Use OLS Model (LC)'!$B$5</f>
        <v>-11585185.4436178</v>
      </c>
      <c r="L61" s="186">
        <f ca="1">'Large Use OLS Model (LC)'!$B$6*D61</f>
        <v>0</v>
      </c>
      <c r="M61" s="186">
        <f>'Large Use OLS Model (LC)'!$B$7*E61</f>
        <v>14245514.767919822</v>
      </c>
      <c r="N61" s="186">
        <v>0</v>
      </c>
      <c r="O61" s="186">
        <f>'Large Use OLS Model (LC)'!$B$8*G61</f>
        <v>0</v>
      </c>
      <c r="P61" s="186">
        <f>'Large Use OLS Model (LC)'!$B$9*H61</f>
        <v>-1776727.9579078101</v>
      </c>
      <c r="Q61" s="186">
        <f>'Large Use OLS Model (LC)'!$B$10*I61</f>
        <v>18122355.210333746</v>
      </c>
      <c r="R61" s="186">
        <f t="shared" ca="1" si="2"/>
        <v>19005956.576727957</v>
      </c>
    </row>
    <row r="62" spans="1:18">
      <c r="A62" s="128">
        <f>'Monthly Data'!A62</f>
        <v>41640</v>
      </c>
      <c r="B62" s="186">
        <f t="shared" si="1"/>
        <v>2014</v>
      </c>
      <c r="C62" s="186">
        <f ca="1">'Monthly Data'!AQ62</f>
        <v>22344717.219473366</v>
      </c>
      <c r="D62" s="186">
        <f t="shared" ca="1" si="3"/>
        <v>0</v>
      </c>
      <c r="E62" s="168">
        <f>'Monthly Data'!BJ62</f>
        <v>6848.3</v>
      </c>
      <c r="F62" s="186">
        <f>'Monthly Data'!BM62</f>
        <v>61</v>
      </c>
      <c r="G62" s="186">
        <f>'Monthly Data'!BT62</f>
        <v>0</v>
      </c>
      <c r="H62" s="186">
        <f>'Monthly Data'!BY62</f>
        <v>0</v>
      </c>
      <c r="I62" s="186">
        <f>'Monthly Data'!CC62</f>
        <v>31</v>
      </c>
      <c r="K62" s="186">
        <f>'Large Use OLS Model (LC)'!$B$5</f>
        <v>-11585185.4436178</v>
      </c>
      <c r="L62" s="186">
        <f ca="1">'Large Use OLS Model (LC)'!$B$6*D62</f>
        <v>0</v>
      </c>
      <c r="M62" s="186">
        <f>'Large Use OLS Model (LC)'!$B$7*E62</f>
        <v>14241147.784822101</v>
      </c>
      <c r="N62" s="186">
        <v>0</v>
      </c>
      <c r="O62" s="186">
        <f>'Large Use OLS Model (LC)'!$B$8*G62</f>
        <v>0</v>
      </c>
      <c r="P62" s="186">
        <f>'Large Use OLS Model (LC)'!$B$9*H62</f>
        <v>0</v>
      </c>
      <c r="Q62" s="186">
        <f>'Large Use OLS Model (LC)'!$B$10*I62</f>
        <v>18122355.210333746</v>
      </c>
      <c r="R62" s="186">
        <f t="shared" ca="1" si="2"/>
        <v>20778317.551538046</v>
      </c>
    </row>
    <row r="63" spans="1:18">
      <c r="A63" s="128">
        <f>'Monthly Data'!A63</f>
        <v>41671</v>
      </c>
      <c r="B63" s="186">
        <f t="shared" si="1"/>
        <v>2014</v>
      </c>
      <c r="C63" s="186">
        <f ca="1">'Monthly Data'!AQ63</f>
        <v>19245805.380664725</v>
      </c>
      <c r="D63" s="186">
        <f t="shared" ca="1" si="3"/>
        <v>0</v>
      </c>
      <c r="E63" s="168">
        <f>'Monthly Data'!BJ63</f>
        <v>6850</v>
      </c>
      <c r="F63" s="186">
        <f>'Monthly Data'!BM63</f>
        <v>62</v>
      </c>
      <c r="G63" s="186">
        <f>'Monthly Data'!BT63</f>
        <v>0</v>
      </c>
      <c r="H63" s="186">
        <f>'Monthly Data'!BY63</f>
        <v>0</v>
      </c>
      <c r="I63" s="186">
        <f>'Monthly Data'!CC63</f>
        <v>28</v>
      </c>
      <c r="K63" s="186">
        <f>'Large Use OLS Model (LC)'!$B$5</f>
        <v>-11585185.4436178</v>
      </c>
      <c r="L63" s="186">
        <f ca="1">'Large Use OLS Model (LC)'!$B$6*D63</f>
        <v>0</v>
      </c>
      <c r="M63" s="186">
        <f>'Large Use OLS Model (LC)'!$B$7*E63</f>
        <v>14244682.961615494</v>
      </c>
      <c r="N63" s="186">
        <v>0</v>
      </c>
      <c r="O63" s="186">
        <f>'Large Use OLS Model (LC)'!$B$8*G63</f>
        <v>0</v>
      </c>
      <c r="P63" s="186">
        <f>'Large Use OLS Model (LC)'!$B$9*H63</f>
        <v>0</v>
      </c>
      <c r="Q63" s="186">
        <f>'Large Use OLS Model (LC)'!$B$10*I63</f>
        <v>16368578.899656285</v>
      </c>
      <c r="R63" s="186">
        <f t="shared" ca="1" si="2"/>
        <v>19028076.417653978</v>
      </c>
    </row>
    <row r="64" spans="1:18">
      <c r="A64" s="128">
        <f>'Monthly Data'!A64</f>
        <v>41699</v>
      </c>
      <c r="B64" s="186">
        <f t="shared" si="1"/>
        <v>2014</v>
      </c>
      <c r="C64" s="186">
        <f ca="1">'Monthly Data'!AQ64</f>
        <v>21372491.534691606</v>
      </c>
      <c r="D64" s="186">
        <f t="shared" ca="1" si="3"/>
        <v>0.45218045112781802</v>
      </c>
      <c r="E64" s="168">
        <f>'Monthly Data'!BJ64</f>
        <v>6856.4</v>
      </c>
      <c r="F64" s="186">
        <f>'Monthly Data'!BM64</f>
        <v>63</v>
      </c>
      <c r="G64" s="186">
        <f>'Monthly Data'!BT64</f>
        <v>0</v>
      </c>
      <c r="H64" s="186">
        <f>'Monthly Data'!BY64</f>
        <v>0</v>
      </c>
      <c r="I64" s="186">
        <f>'Monthly Data'!CC64</f>
        <v>31</v>
      </c>
      <c r="K64" s="186">
        <f>'Large Use OLS Model (LC)'!$B$5</f>
        <v>-11585185.4436178</v>
      </c>
      <c r="L64" s="186">
        <f ca="1">'Large Use OLS Model (LC)'!$B$6*D64</f>
        <v>11630.490819611816</v>
      </c>
      <c r="M64" s="186">
        <f>'Large Use OLS Model (LC)'!$B$7*E64</f>
        <v>14257991.86248474</v>
      </c>
      <c r="N64" s="186">
        <v>0</v>
      </c>
      <c r="O64" s="186">
        <f>'Large Use OLS Model (LC)'!$B$8*G64</f>
        <v>0</v>
      </c>
      <c r="P64" s="186">
        <f>'Large Use OLS Model (LC)'!$B$9*H64</f>
        <v>0</v>
      </c>
      <c r="Q64" s="186">
        <f>'Large Use OLS Model (LC)'!$B$10*I64</f>
        <v>18122355.210333746</v>
      </c>
      <c r="R64" s="186">
        <f t="shared" ca="1" si="2"/>
        <v>20806792.1200203</v>
      </c>
    </row>
    <row r="65" spans="1:18">
      <c r="A65" s="128">
        <f>'Monthly Data'!A65</f>
        <v>41730</v>
      </c>
      <c r="B65" s="186">
        <f t="shared" si="1"/>
        <v>2014</v>
      </c>
      <c r="C65" s="186">
        <f ca="1">'Monthly Data'!AQ65</f>
        <v>19337845.24082401</v>
      </c>
      <c r="D65" s="186">
        <f t="shared" ca="1" si="3"/>
        <v>0.50947368421054762</v>
      </c>
      <c r="E65" s="168">
        <f>'Monthly Data'!BJ65</f>
        <v>6869.6</v>
      </c>
      <c r="F65" s="186">
        <f>'Monthly Data'!BM65</f>
        <v>64</v>
      </c>
      <c r="G65" s="186">
        <f>'Monthly Data'!BT65</f>
        <v>0</v>
      </c>
      <c r="H65" s="186">
        <f>'Monthly Data'!BY65</f>
        <v>0</v>
      </c>
      <c r="I65" s="186">
        <f>'Monthly Data'!CC65</f>
        <v>30</v>
      </c>
      <c r="K65" s="186">
        <f>'Large Use OLS Model (LC)'!$B$5</f>
        <v>-11585185.4436178</v>
      </c>
      <c r="L65" s="186">
        <f ca="1">'Large Use OLS Model (LC)'!$B$6*D65</f>
        <v>13104.124674707888</v>
      </c>
      <c r="M65" s="186">
        <f>'Large Use OLS Model (LC)'!$B$7*E65</f>
        <v>14285441.470527561</v>
      </c>
      <c r="N65" s="186">
        <v>0</v>
      </c>
      <c r="O65" s="186">
        <f>'Large Use OLS Model (LC)'!$B$8*G65</f>
        <v>0</v>
      </c>
      <c r="P65" s="186">
        <f>'Large Use OLS Model (LC)'!$B$9*H65</f>
        <v>0</v>
      </c>
      <c r="Q65" s="186">
        <f>'Large Use OLS Model (LC)'!$B$10*I65</f>
        <v>17537763.106774591</v>
      </c>
      <c r="R65" s="186">
        <f t="shared" ca="1" si="2"/>
        <v>20251123.25835906</v>
      </c>
    </row>
    <row r="66" spans="1:18">
      <c r="A66" s="128">
        <f>'Monthly Data'!A66</f>
        <v>41760</v>
      </c>
      <c r="B66" s="186">
        <f t="shared" ref="B66:B129" si="4">YEAR(A66)</f>
        <v>2014</v>
      </c>
      <c r="C66" s="186">
        <f ca="1">'Monthly Data'!AQ66</f>
        <v>23983038.364532318</v>
      </c>
      <c r="D66" s="186">
        <f t="shared" ca="1" si="3"/>
        <v>56.062781954887214</v>
      </c>
      <c r="E66" s="168">
        <f>'Monthly Data'!BJ66</f>
        <v>6870.6</v>
      </c>
      <c r="F66" s="186">
        <f>'Monthly Data'!BM66</f>
        <v>65</v>
      </c>
      <c r="G66" s="186">
        <f>'Monthly Data'!BT66</f>
        <v>0</v>
      </c>
      <c r="H66" s="186">
        <f>'Monthly Data'!BY66</f>
        <v>0</v>
      </c>
      <c r="I66" s="186">
        <f>'Monthly Data'!CC66</f>
        <v>31</v>
      </c>
      <c r="K66" s="186">
        <f>'Large Use OLS Model (LC)'!$B$5</f>
        <v>-11585185.4436178</v>
      </c>
      <c r="L66" s="186">
        <f ca="1">'Large Use OLS Model (LC)'!$B$6*D66</f>
        <v>1441985.5374594755</v>
      </c>
      <c r="M66" s="186">
        <f>'Large Use OLS Model (LC)'!$B$7*E66</f>
        <v>14287520.986288382</v>
      </c>
      <c r="N66" s="186">
        <v>0</v>
      </c>
      <c r="O66" s="186">
        <f>'Large Use OLS Model (LC)'!$B$8*G66</f>
        <v>0</v>
      </c>
      <c r="P66" s="186">
        <f>'Large Use OLS Model (LC)'!$B$9*H66</f>
        <v>0</v>
      </c>
      <c r="Q66" s="186">
        <f>'Large Use OLS Model (LC)'!$B$10*I66</f>
        <v>18122355.210333746</v>
      </c>
      <c r="R66" s="186">
        <f t="shared" ref="R66:R129" ca="1" si="5">SUM(K66:Q66)</f>
        <v>22266676.290463805</v>
      </c>
    </row>
    <row r="67" spans="1:18">
      <c r="A67" s="128">
        <f>'Monthly Data'!A67</f>
        <v>41791</v>
      </c>
      <c r="B67" s="186">
        <f t="shared" si="4"/>
        <v>2014</v>
      </c>
      <c r="C67" s="186">
        <f ca="1">'Monthly Data'!AQ67</f>
        <v>25841742.160903648</v>
      </c>
      <c r="D67" s="186">
        <f t="shared" ca="1" si="3"/>
        <v>116.89315789473682</v>
      </c>
      <c r="E67" s="168">
        <f>'Monthly Data'!BJ67</f>
        <v>6865.4</v>
      </c>
      <c r="F67" s="186">
        <f>'Monthly Data'!BM67</f>
        <v>66</v>
      </c>
      <c r="G67" s="186">
        <f>'Monthly Data'!BT67</f>
        <v>0</v>
      </c>
      <c r="H67" s="186">
        <f>'Monthly Data'!BY67</f>
        <v>0</v>
      </c>
      <c r="I67" s="186">
        <f>'Monthly Data'!CC67</f>
        <v>30</v>
      </c>
      <c r="K67" s="186">
        <f>'Large Use OLS Model (LC)'!$B$5</f>
        <v>-11585185.4436178</v>
      </c>
      <c r="L67" s="186">
        <f ca="1">'Large Use OLS Model (LC)'!$B$6*D67</f>
        <v>3006597.9110314827</v>
      </c>
      <c r="M67" s="186">
        <f>'Large Use OLS Model (LC)'!$B$7*E67</f>
        <v>14276707.504332118</v>
      </c>
      <c r="N67" s="186">
        <v>0</v>
      </c>
      <c r="O67" s="186">
        <f>'Large Use OLS Model (LC)'!$B$8*G67</f>
        <v>0</v>
      </c>
      <c r="P67" s="186">
        <f>'Large Use OLS Model (LC)'!$B$9*H67</f>
        <v>0</v>
      </c>
      <c r="Q67" s="186">
        <f>'Large Use OLS Model (LC)'!$B$10*I67</f>
        <v>17537763.106774591</v>
      </c>
      <c r="R67" s="186">
        <f t="shared" ca="1" si="5"/>
        <v>23235883.078520391</v>
      </c>
    </row>
    <row r="68" spans="1:18">
      <c r="A68" s="128">
        <f>'Monthly Data'!A68</f>
        <v>41821</v>
      </c>
      <c r="B68" s="186">
        <f t="shared" si="4"/>
        <v>2014</v>
      </c>
      <c r="C68" s="186">
        <f ca="1">'Monthly Data'!AQ68</f>
        <v>24522462.771301858</v>
      </c>
      <c r="D68" s="186">
        <f t="shared" ca="1" si="3"/>
        <v>186.96526315789481</v>
      </c>
      <c r="E68" s="168">
        <f>'Monthly Data'!BJ68</f>
        <v>6864.4</v>
      </c>
      <c r="F68" s="186">
        <f>'Monthly Data'!BM68</f>
        <v>67</v>
      </c>
      <c r="G68" s="186">
        <f>'Monthly Data'!BT68</f>
        <v>1</v>
      </c>
      <c r="H68" s="186">
        <f>'Monthly Data'!BY68</f>
        <v>0</v>
      </c>
      <c r="I68" s="186">
        <f>'Monthly Data'!CC68</f>
        <v>31</v>
      </c>
      <c r="K68" s="186">
        <f>'Large Use OLS Model (LC)'!$B$5</f>
        <v>-11585185.4436178</v>
      </c>
      <c r="L68" s="186">
        <f ca="1">'Large Use OLS Model (LC)'!$B$6*D68</f>
        <v>4808915.9346022606</v>
      </c>
      <c r="M68" s="186">
        <f>'Large Use OLS Model (LC)'!$B$7*E68</f>
        <v>14274627.988571297</v>
      </c>
      <c r="N68" s="186">
        <v>0</v>
      </c>
      <c r="O68" s="186">
        <f>'Large Use OLS Model (LC)'!$B$8*G68</f>
        <v>-947874.12245155603</v>
      </c>
      <c r="P68" s="186">
        <f>'Large Use OLS Model (LC)'!$B$9*H68</f>
        <v>0</v>
      </c>
      <c r="Q68" s="186">
        <f>'Large Use OLS Model (LC)'!$B$10*I68</f>
        <v>18122355.210333746</v>
      </c>
      <c r="R68" s="186">
        <f t="shared" ca="1" si="5"/>
        <v>24672839.567437947</v>
      </c>
    </row>
    <row r="69" spans="1:18">
      <c r="A69" s="128">
        <f>'Monthly Data'!A69</f>
        <v>41852</v>
      </c>
      <c r="B69" s="186">
        <f t="shared" si="4"/>
        <v>2014</v>
      </c>
      <c r="C69" s="186">
        <f ca="1">'Monthly Data'!AQ69</f>
        <v>24555956.255328741</v>
      </c>
      <c r="D69" s="186">
        <f t="shared" ca="1" si="3"/>
        <v>167.43443609022574</v>
      </c>
      <c r="E69" s="168">
        <f>'Monthly Data'!BJ69</f>
        <v>6869.9</v>
      </c>
      <c r="F69" s="186">
        <f>'Monthly Data'!BM69</f>
        <v>68</v>
      </c>
      <c r="G69" s="186">
        <f>'Monthly Data'!BT69</f>
        <v>0</v>
      </c>
      <c r="H69" s="186">
        <f>'Monthly Data'!BY69</f>
        <v>0</v>
      </c>
      <c r="I69" s="186">
        <f>'Monthly Data'!CC69</f>
        <v>31</v>
      </c>
      <c r="K69" s="186">
        <f>'Large Use OLS Model (LC)'!$B$5</f>
        <v>-11585185.4436178</v>
      </c>
      <c r="L69" s="186">
        <f ca="1">'Large Use OLS Model (LC)'!$B$6*D69</f>
        <v>4306565.370035856</v>
      </c>
      <c r="M69" s="186">
        <f>'Large Use OLS Model (LC)'!$B$7*E69</f>
        <v>14286065.325255806</v>
      </c>
      <c r="N69" s="186">
        <v>0</v>
      </c>
      <c r="O69" s="186">
        <f>'Large Use OLS Model (LC)'!$B$8*G69</f>
        <v>0</v>
      </c>
      <c r="P69" s="186">
        <f>'Large Use OLS Model (LC)'!$B$9*H69</f>
        <v>0</v>
      </c>
      <c r="Q69" s="186">
        <f>'Large Use OLS Model (LC)'!$B$10*I69</f>
        <v>18122355.210333746</v>
      </c>
      <c r="R69" s="186">
        <f t="shared" ca="1" si="5"/>
        <v>25129800.462007608</v>
      </c>
    </row>
    <row r="70" spans="1:18">
      <c r="A70" s="128">
        <f>'Monthly Data'!A70</f>
        <v>41883</v>
      </c>
      <c r="B70" s="186">
        <f t="shared" si="4"/>
        <v>2014</v>
      </c>
      <c r="C70" s="186">
        <f ca="1">'Monthly Data'!AQ70</f>
        <v>19514912.902257554</v>
      </c>
      <c r="D70" s="186">
        <f t="shared" ca="1" si="3"/>
        <v>83.003533834586506</v>
      </c>
      <c r="E70" s="168">
        <f>'Monthly Data'!BJ70</f>
        <v>6884.5</v>
      </c>
      <c r="F70" s="186">
        <f>'Monthly Data'!BM70</f>
        <v>69</v>
      </c>
      <c r="G70" s="186">
        <f>'Monthly Data'!BT70</f>
        <v>0</v>
      </c>
      <c r="H70" s="186">
        <f>'Monthly Data'!BY70</f>
        <v>0</v>
      </c>
      <c r="I70" s="186">
        <f>'Monthly Data'!CC70</f>
        <v>30</v>
      </c>
      <c r="K70" s="186">
        <f>'Large Use OLS Model (LC)'!$B$5</f>
        <v>-11585185.4436178</v>
      </c>
      <c r="L70" s="186">
        <f ca="1">'Large Use OLS Model (LC)'!$B$6*D70</f>
        <v>2134926.0806182334</v>
      </c>
      <c r="M70" s="186">
        <f>'Large Use OLS Model (LC)'!$B$7*E70</f>
        <v>14316426.255363775</v>
      </c>
      <c r="N70" s="186">
        <v>0</v>
      </c>
      <c r="O70" s="186">
        <f>'Large Use OLS Model (LC)'!$B$8*G70</f>
        <v>0</v>
      </c>
      <c r="P70" s="186">
        <f>'Large Use OLS Model (LC)'!$B$9*H70</f>
        <v>0</v>
      </c>
      <c r="Q70" s="186">
        <f>'Large Use OLS Model (LC)'!$B$10*I70</f>
        <v>17537763.106774591</v>
      </c>
      <c r="R70" s="186">
        <f t="shared" ca="1" si="5"/>
        <v>22403929.999138802</v>
      </c>
    </row>
    <row r="71" spans="1:18">
      <c r="A71" s="128">
        <f>'Monthly Data'!A71</f>
        <v>41913</v>
      </c>
      <c r="B71" s="186">
        <f t="shared" si="4"/>
        <v>2014</v>
      </c>
      <c r="C71" s="186">
        <f ca="1">'Monthly Data'!AQ71</f>
        <v>21300946.547558703</v>
      </c>
      <c r="D71" s="186">
        <f t="shared" ca="1" si="3"/>
        <v>16.916090225563948</v>
      </c>
      <c r="E71" s="168">
        <f>'Monthly Data'!BJ71</f>
        <v>6901.5</v>
      </c>
      <c r="F71" s="186">
        <f>'Monthly Data'!BM71</f>
        <v>70</v>
      </c>
      <c r="G71" s="186">
        <f>'Monthly Data'!BT71</f>
        <v>0</v>
      </c>
      <c r="H71" s="186">
        <f>'Monthly Data'!BY71</f>
        <v>0</v>
      </c>
      <c r="I71" s="186">
        <f>'Monthly Data'!CC71</f>
        <v>31</v>
      </c>
      <c r="K71" s="186">
        <f>'Large Use OLS Model (LC)'!$B$5</f>
        <v>-11585185.4436178</v>
      </c>
      <c r="L71" s="186">
        <f ca="1">'Large Use OLS Model (LC)'!$B$6*D71</f>
        <v>435097.16437638173</v>
      </c>
      <c r="M71" s="186">
        <f>'Large Use OLS Model (LC)'!$B$7*E71</f>
        <v>14351778.023297712</v>
      </c>
      <c r="N71" s="186">
        <v>0</v>
      </c>
      <c r="O71" s="186">
        <f>'Large Use OLS Model (LC)'!$B$8*G71</f>
        <v>0</v>
      </c>
      <c r="P71" s="186">
        <f>'Large Use OLS Model (LC)'!$B$9*H71</f>
        <v>0</v>
      </c>
      <c r="Q71" s="186">
        <f>'Large Use OLS Model (LC)'!$B$10*I71</f>
        <v>18122355.210333746</v>
      </c>
      <c r="R71" s="186">
        <f t="shared" ca="1" si="5"/>
        <v>21324044.954390042</v>
      </c>
    </row>
    <row r="72" spans="1:18">
      <c r="A72" s="128">
        <f>'Monthly Data'!A72</f>
        <v>41944</v>
      </c>
      <c r="B72" s="186">
        <f t="shared" si="4"/>
        <v>2014</v>
      </c>
      <c r="C72" s="186">
        <f ca="1">'Monthly Data'!AQ72</f>
        <v>20077193.487797629</v>
      </c>
      <c r="D72" s="186">
        <f t="shared" ca="1" si="3"/>
        <v>8.120300751879661E-2</v>
      </c>
      <c r="E72" s="168">
        <f>'Monthly Data'!BJ72</f>
        <v>6907.5</v>
      </c>
      <c r="F72" s="186">
        <f>'Monthly Data'!BM72</f>
        <v>71</v>
      </c>
      <c r="G72" s="186">
        <f>'Monthly Data'!BT72</f>
        <v>0</v>
      </c>
      <c r="H72" s="186">
        <f>'Monthly Data'!BY72</f>
        <v>0</v>
      </c>
      <c r="I72" s="186">
        <f>'Monthly Data'!CC72</f>
        <v>30</v>
      </c>
      <c r="K72" s="186">
        <f>'Large Use OLS Model (LC)'!$B$5</f>
        <v>-11585185.4436178</v>
      </c>
      <c r="L72" s="186">
        <f ca="1">'Large Use OLS Model (LC)'!$B$6*D72</f>
        <v>2088.6149127337453</v>
      </c>
      <c r="M72" s="186">
        <f>'Large Use OLS Model (LC)'!$B$7*E72</f>
        <v>14364255.117862631</v>
      </c>
      <c r="N72" s="186">
        <v>0</v>
      </c>
      <c r="O72" s="186">
        <f>'Large Use OLS Model (LC)'!$B$8*G72</f>
        <v>0</v>
      </c>
      <c r="P72" s="186">
        <f>'Large Use OLS Model (LC)'!$B$9*H72</f>
        <v>0</v>
      </c>
      <c r="Q72" s="186">
        <f>'Large Use OLS Model (LC)'!$B$10*I72</f>
        <v>17537763.106774591</v>
      </c>
      <c r="R72" s="186">
        <f t="shared" ca="1" si="5"/>
        <v>20318921.395932153</v>
      </c>
    </row>
    <row r="73" spans="1:18">
      <c r="A73" s="128">
        <f>'Monthly Data'!A73</f>
        <v>41974</v>
      </c>
      <c r="B73" s="186">
        <f t="shared" si="4"/>
        <v>2014</v>
      </c>
      <c r="C73" s="186">
        <f ca="1">'Monthly Data'!AQ73</f>
        <v>18843492.369390458</v>
      </c>
      <c r="D73" s="186">
        <f t="shared" ca="1" si="3"/>
        <v>0</v>
      </c>
      <c r="E73" s="168">
        <f>'Monthly Data'!BJ73</f>
        <v>6903.1</v>
      </c>
      <c r="F73" s="186">
        <f>'Monthly Data'!BM73</f>
        <v>72</v>
      </c>
      <c r="G73" s="186">
        <f>'Monthly Data'!BT73</f>
        <v>0</v>
      </c>
      <c r="H73" s="186">
        <f>'Monthly Data'!BY73</f>
        <v>1</v>
      </c>
      <c r="I73" s="186">
        <f>'Monthly Data'!CC73</f>
        <v>31</v>
      </c>
      <c r="K73" s="186">
        <f>'Large Use OLS Model (LC)'!$B$5</f>
        <v>-11585185.4436178</v>
      </c>
      <c r="L73" s="186">
        <f ca="1">'Large Use OLS Model (LC)'!$B$6*D73</f>
        <v>0</v>
      </c>
      <c r="M73" s="186">
        <f>'Large Use OLS Model (LC)'!$B$7*E73</f>
        <v>14355105.248515025</v>
      </c>
      <c r="N73" s="186">
        <v>0</v>
      </c>
      <c r="O73" s="186">
        <f>'Large Use OLS Model (LC)'!$B$8*G73</f>
        <v>0</v>
      </c>
      <c r="P73" s="186">
        <f>'Large Use OLS Model (LC)'!$B$9*H73</f>
        <v>-1776727.9579078101</v>
      </c>
      <c r="Q73" s="186">
        <f>'Large Use OLS Model (LC)'!$B$10*I73</f>
        <v>18122355.210333746</v>
      </c>
      <c r="R73" s="186">
        <f t="shared" ca="1" si="5"/>
        <v>19115547.057323162</v>
      </c>
    </row>
    <row r="74" spans="1:18">
      <c r="A74" s="128">
        <f>'Monthly Data'!A74</f>
        <v>42005</v>
      </c>
      <c r="B74" s="186">
        <f t="shared" si="4"/>
        <v>2015</v>
      </c>
      <c r="C74" s="186">
        <f ca="1">'Monthly Data'!AQ74</f>
        <v>19855535.451200701</v>
      </c>
      <c r="D74" s="186">
        <f t="shared" ca="1" si="3"/>
        <v>0</v>
      </c>
      <c r="E74" s="168">
        <f>'Monthly Data'!BJ74</f>
        <v>6885.7</v>
      </c>
      <c r="F74" s="186">
        <f>'Monthly Data'!BM74</f>
        <v>73</v>
      </c>
      <c r="G74" s="186">
        <f>'Monthly Data'!BT74</f>
        <v>0</v>
      </c>
      <c r="H74" s="186">
        <f>'Monthly Data'!BY74</f>
        <v>0</v>
      </c>
      <c r="I74" s="186">
        <f>'Monthly Data'!CC74</f>
        <v>31</v>
      </c>
      <c r="K74" s="186">
        <f>'Large Use OLS Model (LC)'!$B$5</f>
        <v>-11585185.4436178</v>
      </c>
      <c r="L74" s="186">
        <f ca="1">'Large Use OLS Model (LC)'!$B$6*D74</f>
        <v>0</v>
      </c>
      <c r="M74" s="186">
        <f>'Large Use OLS Model (LC)'!$B$7*E74</f>
        <v>14318921.67427676</v>
      </c>
      <c r="N74" s="186">
        <v>0</v>
      </c>
      <c r="O74" s="186">
        <f>'Large Use OLS Model (LC)'!$B$8*G74</f>
        <v>0</v>
      </c>
      <c r="P74" s="186">
        <f>'Large Use OLS Model (LC)'!$B$9*H74</f>
        <v>0</v>
      </c>
      <c r="Q74" s="186">
        <f>'Large Use OLS Model (LC)'!$B$10*I74</f>
        <v>18122355.210333746</v>
      </c>
      <c r="R74" s="186">
        <f t="shared" ca="1" si="5"/>
        <v>20856091.440992706</v>
      </c>
    </row>
    <row r="75" spans="1:18">
      <c r="A75" s="128">
        <f>'Monthly Data'!A75</f>
        <v>42036</v>
      </c>
      <c r="B75" s="186">
        <f t="shared" si="4"/>
        <v>2015</v>
      </c>
      <c r="C75" s="186">
        <f ca="1">'Monthly Data'!AQ75</f>
        <v>19560967.066695973</v>
      </c>
      <c r="D75" s="186">
        <f t="shared" ca="1" si="3"/>
        <v>0</v>
      </c>
      <c r="E75" s="168">
        <f>'Monthly Data'!BJ75</f>
        <v>6885.3</v>
      </c>
      <c r="F75" s="186">
        <f>'Monthly Data'!BM75</f>
        <v>74</v>
      </c>
      <c r="G75" s="186">
        <f>'Monthly Data'!BT75</f>
        <v>0</v>
      </c>
      <c r="H75" s="186">
        <f>'Monthly Data'!BY75</f>
        <v>0</v>
      </c>
      <c r="I75" s="186">
        <f>'Monthly Data'!CC75</f>
        <v>28</v>
      </c>
      <c r="K75" s="186">
        <f>'Large Use OLS Model (LC)'!$B$5</f>
        <v>-11585185.4436178</v>
      </c>
      <c r="L75" s="186">
        <f ca="1">'Large Use OLS Model (LC)'!$B$6*D75</f>
        <v>0</v>
      </c>
      <c r="M75" s="186">
        <f>'Large Use OLS Model (LC)'!$B$7*E75</f>
        <v>14318089.867972432</v>
      </c>
      <c r="N75" s="186">
        <v>0</v>
      </c>
      <c r="O75" s="186">
        <f>'Large Use OLS Model (LC)'!$B$8*G75</f>
        <v>0</v>
      </c>
      <c r="P75" s="186">
        <f>'Large Use OLS Model (LC)'!$B$9*H75</f>
        <v>0</v>
      </c>
      <c r="Q75" s="186">
        <f>'Large Use OLS Model (LC)'!$B$10*I75</f>
        <v>16368578.899656285</v>
      </c>
      <c r="R75" s="186">
        <f t="shared" ca="1" si="5"/>
        <v>19101483.324010916</v>
      </c>
    </row>
    <row r="76" spans="1:18">
      <c r="A76" s="128">
        <f>'Monthly Data'!A76</f>
        <v>42064</v>
      </c>
      <c r="B76" s="186">
        <f t="shared" si="4"/>
        <v>2015</v>
      </c>
      <c r="C76" s="186">
        <f ca="1">'Monthly Data'!AQ76</f>
        <v>20639792.5031121</v>
      </c>
      <c r="D76" s="186">
        <f t="shared" ca="1" si="3"/>
        <v>0.45218045112781802</v>
      </c>
      <c r="E76" s="168">
        <f>'Monthly Data'!BJ76</f>
        <v>6892.1</v>
      </c>
      <c r="F76" s="186">
        <f>'Monthly Data'!BM76</f>
        <v>75</v>
      </c>
      <c r="G76" s="186">
        <f>'Monthly Data'!BT76</f>
        <v>0</v>
      </c>
      <c r="H76" s="186">
        <f>'Monthly Data'!BY76</f>
        <v>0</v>
      </c>
      <c r="I76" s="186">
        <f>'Monthly Data'!CC76</f>
        <v>31</v>
      </c>
      <c r="K76" s="186">
        <f>'Large Use OLS Model (LC)'!$B$5</f>
        <v>-11585185.4436178</v>
      </c>
      <c r="L76" s="186">
        <f ca="1">'Large Use OLS Model (LC)'!$B$6*D76</f>
        <v>11630.490819611816</v>
      </c>
      <c r="M76" s="186">
        <f>'Large Use OLS Model (LC)'!$B$7*E76</f>
        <v>14332230.575146006</v>
      </c>
      <c r="N76" s="186">
        <v>0</v>
      </c>
      <c r="O76" s="186">
        <f>'Large Use OLS Model (LC)'!$B$8*G76</f>
        <v>0</v>
      </c>
      <c r="P76" s="186">
        <f>'Large Use OLS Model (LC)'!$B$9*H76</f>
        <v>0</v>
      </c>
      <c r="Q76" s="186">
        <f>'Large Use OLS Model (LC)'!$B$10*I76</f>
        <v>18122355.210333746</v>
      </c>
      <c r="R76" s="186">
        <f t="shared" ca="1" si="5"/>
        <v>20881030.832681566</v>
      </c>
    </row>
    <row r="77" spans="1:18">
      <c r="A77" s="128">
        <f>'Monthly Data'!A77</f>
        <v>42095</v>
      </c>
      <c r="B77" s="186">
        <f t="shared" si="4"/>
        <v>2015</v>
      </c>
      <c r="C77" s="186">
        <f ca="1">'Monthly Data'!AQ77</f>
        <v>19904757.315421704</v>
      </c>
      <c r="D77" s="186">
        <f t="shared" ca="1" si="3"/>
        <v>0.50947368421054762</v>
      </c>
      <c r="E77" s="168">
        <f>'Monthly Data'!BJ77</f>
        <v>6897.3</v>
      </c>
      <c r="F77" s="186">
        <f>'Monthly Data'!BM77</f>
        <v>76</v>
      </c>
      <c r="G77" s="186">
        <f>'Monthly Data'!BT77</f>
        <v>0</v>
      </c>
      <c r="H77" s="186">
        <f>'Monthly Data'!BY77</f>
        <v>0</v>
      </c>
      <c r="I77" s="186">
        <f>'Monthly Data'!CC77</f>
        <v>30</v>
      </c>
      <c r="K77" s="186">
        <f>'Large Use OLS Model (LC)'!$B$5</f>
        <v>-11585185.4436178</v>
      </c>
      <c r="L77" s="186">
        <f ca="1">'Large Use OLS Model (LC)'!$B$6*D77</f>
        <v>13104.124674707888</v>
      </c>
      <c r="M77" s="186">
        <f>'Large Use OLS Model (LC)'!$B$7*E77</f>
        <v>14343044.05710227</v>
      </c>
      <c r="N77" s="186">
        <v>0</v>
      </c>
      <c r="O77" s="186">
        <f>'Large Use OLS Model (LC)'!$B$8*G77</f>
        <v>0</v>
      </c>
      <c r="P77" s="186">
        <f>'Large Use OLS Model (LC)'!$B$9*H77</f>
        <v>0</v>
      </c>
      <c r="Q77" s="186">
        <f>'Large Use OLS Model (LC)'!$B$10*I77</f>
        <v>17537763.106774591</v>
      </c>
      <c r="R77" s="186">
        <f t="shared" ca="1" si="5"/>
        <v>20308725.844933771</v>
      </c>
    </row>
    <row r="78" spans="1:18">
      <c r="A78" s="128">
        <f>'Monthly Data'!A78</f>
        <v>42125</v>
      </c>
      <c r="B78" s="186">
        <f t="shared" si="4"/>
        <v>2015</v>
      </c>
      <c r="C78" s="186">
        <f ca="1">'Monthly Data'!AQ78</f>
        <v>22782928.092156403</v>
      </c>
      <c r="D78" s="186">
        <f t="shared" ref="D78:D141" ca="1" si="6">D66</f>
        <v>56.062781954887214</v>
      </c>
      <c r="E78" s="168">
        <f>'Monthly Data'!BJ78</f>
        <v>6906.5</v>
      </c>
      <c r="F78" s="186">
        <f>'Monthly Data'!BM78</f>
        <v>77</v>
      </c>
      <c r="G78" s="186">
        <f>'Monthly Data'!BT78</f>
        <v>0</v>
      </c>
      <c r="H78" s="186">
        <f>'Monthly Data'!BY78</f>
        <v>0</v>
      </c>
      <c r="I78" s="186">
        <f>'Monthly Data'!CC78</f>
        <v>31</v>
      </c>
      <c r="K78" s="186">
        <f>'Large Use OLS Model (LC)'!$B$5</f>
        <v>-11585185.4436178</v>
      </c>
      <c r="L78" s="186">
        <f ca="1">'Large Use OLS Model (LC)'!$B$6*D78</f>
        <v>1441985.5374594755</v>
      </c>
      <c r="M78" s="186">
        <f>'Large Use OLS Model (LC)'!$B$7*E78</f>
        <v>14362175.602101812</v>
      </c>
      <c r="N78" s="186">
        <v>0</v>
      </c>
      <c r="O78" s="186">
        <f>'Large Use OLS Model (LC)'!$B$8*G78</f>
        <v>0</v>
      </c>
      <c r="P78" s="186">
        <f>'Large Use OLS Model (LC)'!$B$9*H78</f>
        <v>0</v>
      </c>
      <c r="Q78" s="186">
        <f>'Large Use OLS Model (LC)'!$B$10*I78</f>
        <v>18122355.210333746</v>
      </c>
      <c r="R78" s="186">
        <f t="shared" ca="1" si="5"/>
        <v>22341330.906277232</v>
      </c>
    </row>
    <row r="79" spans="1:18">
      <c r="A79" s="128">
        <f>'Monthly Data'!A79</f>
        <v>42156</v>
      </c>
      <c r="B79" s="186">
        <f t="shared" si="4"/>
        <v>2015</v>
      </c>
      <c r="C79" s="186">
        <f ca="1">'Monthly Data'!AQ79</f>
        <v>23267604.066775616</v>
      </c>
      <c r="D79" s="186">
        <f t="shared" ca="1" si="6"/>
        <v>116.89315789473682</v>
      </c>
      <c r="E79" s="168">
        <f>'Monthly Data'!BJ79</f>
        <v>6921.3</v>
      </c>
      <c r="F79" s="186">
        <f>'Monthly Data'!BM79</f>
        <v>78</v>
      </c>
      <c r="G79" s="186">
        <f>'Monthly Data'!BT79</f>
        <v>0</v>
      </c>
      <c r="H79" s="186">
        <f>'Monthly Data'!BY79</f>
        <v>0</v>
      </c>
      <c r="I79" s="186">
        <f>'Monthly Data'!CC79</f>
        <v>30</v>
      </c>
      <c r="K79" s="186">
        <f>'Large Use OLS Model (LC)'!$B$5</f>
        <v>-11585185.4436178</v>
      </c>
      <c r="L79" s="186">
        <f ca="1">'Large Use OLS Model (LC)'!$B$6*D79</f>
        <v>3006597.9110314827</v>
      </c>
      <c r="M79" s="186">
        <f>'Large Use OLS Model (LC)'!$B$7*E79</f>
        <v>14392952.435361944</v>
      </c>
      <c r="N79" s="186">
        <v>0</v>
      </c>
      <c r="O79" s="186">
        <f>'Large Use OLS Model (LC)'!$B$8*G79</f>
        <v>0</v>
      </c>
      <c r="P79" s="186">
        <f>'Large Use OLS Model (LC)'!$B$9*H79</f>
        <v>0</v>
      </c>
      <c r="Q79" s="186">
        <f>'Large Use OLS Model (LC)'!$B$10*I79</f>
        <v>17537763.106774591</v>
      </c>
      <c r="R79" s="186">
        <f t="shared" ca="1" si="5"/>
        <v>23352128.009550218</v>
      </c>
    </row>
    <row r="80" spans="1:18">
      <c r="A80" s="128">
        <f>'Monthly Data'!A80</f>
        <v>42186</v>
      </c>
      <c r="B80" s="186">
        <f t="shared" si="4"/>
        <v>2015</v>
      </c>
      <c r="C80" s="186">
        <f ca="1">'Monthly Data'!AQ80</f>
        <v>23082254.412554607</v>
      </c>
      <c r="D80" s="186">
        <f t="shared" ca="1" si="6"/>
        <v>186.96526315789481</v>
      </c>
      <c r="E80" s="168">
        <f>'Monthly Data'!BJ80</f>
        <v>6941.2</v>
      </c>
      <c r="F80" s="186">
        <f>'Monthly Data'!BM80</f>
        <v>79</v>
      </c>
      <c r="G80" s="186">
        <f>'Monthly Data'!BT80</f>
        <v>1</v>
      </c>
      <c r="H80" s="186">
        <f>'Monthly Data'!BY80</f>
        <v>0</v>
      </c>
      <c r="I80" s="186">
        <f>'Monthly Data'!CC80</f>
        <v>31</v>
      </c>
      <c r="K80" s="186">
        <f>'Large Use OLS Model (LC)'!$B$5</f>
        <v>-11585185.4436178</v>
      </c>
      <c r="L80" s="186">
        <f ca="1">'Large Use OLS Model (LC)'!$B$6*D80</f>
        <v>4808915.9346022606</v>
      </c>
      <c r="M80" s="186">
        <f>'Large Use OLS Model (LC)'!$B$7*E80</f>
        <v>14434334.799002258</v>
      </c>
      <c r="N80" s="186">
        <v>0</v>
      </c>
      <c r="O80" s="186">
        <f>'Large Use OLS Model (LC)'!$B$8*G80</f>
        <v>-947874.12245155603</v>
      </c>
      <c r="P80" s="186">
        <f>'Large Use OLS Model (LC)'!$B$9*H80</f>
        <v>0</v>
      </c>
      <c r="Q80" s="186">
        <f>'Large Use OLS Model (LC)'!$B$10*I80</f>
        <v>18122355.210333746</v>
      </c>
      <c r="R80" s="186">
        <f t="shared" ca="1" si="5"/>
        <v>24832546.377868909</v>
      </c>
    </row>
    <row r="81" spans="1:18">
      <c r="A81" s="128">
        <f>'Monthly Data'!A81</f>
        <v>42217</v>
      </c>
      <c r="B81" s="186">
        <f t="shared" si="4"/>
        <v>2015</v>
      </c>
      <c r="C81" s="186">
        <f ca="1">'Monthly Data'!AQ81</f>
        <v>24594093.912713893</v>
      </c>
      <c r="D81" s="186">
        <f t="shared" ca="1" si="6"/>
        <v>167.43443609022574</v>
      </c>
      <c r="E81" s="168">
        <f>'Monthly Data'!BJ81</f>
        <v>6949.2</v>
      </c>
      <c r="F81" s="186">
        <f>'Monthly Data'!BM81</f>
        <v>80</v>
      </c>
      <c r="G81" s="186">
        <f>'Monthly Data'!BT81</f>
        <v>0</v>
      </c>
      <c r="H81" s="186">
        <f>'Monthly Data'!BY81</f>
        <v>0</v>
      </c>
      <c r="I81" s="186">
        <f>'Monthly Data'!CC81</f>
        <v>31</v>
      </c>
      <c r="K81" s="186">
        <f>'Large Use OLS Model (LC)'!$B$5</f>
        <v>-11585185.4436178</v>
      </c>
      <c r="L81" s="186">
        <f ca="1">'Large Use OLS Model (LC)'!$B$6*D81</f>
        <v>4306565.370035856</v>
      </c>
      <c r="M81" s="186">
        <f>'Large Use OLS Model (LC)'!$B$7*E81</f>
        <v>14450970.925088815</v>
      </c>
      <c r="N81" s="186">
        <v>0</v>
      </c>
      <c r="O81" s="186">
        <f>'Large Use OLS Model (LC)'!$B$8*G81</f>
        <v>0</v>
      </c>
      <c r="P81" s="186">
        <f>'Large Use OLS Model (LC)'!$B$9*H81</f>
        <v>0</v>
      </c>
      <c r="Q81" s="186">
        <f>'Large Use OLS Model (LC)'!$B$10*I81</f>
        <v>18122355.210333746</v>
      </c>
      <c r="R81" s="186">
        <f t="shared" ca="1" si="5"/>
        <v>25294706.061840616</v>
      </c>
    </row>
    <row r="82" spans="1:18">
      <c r="A82" s="128">
        <f>'Monthly Data'!A82</f>
        <v>42248</v>
      </c>
      <c r="B82" s="186">
        <f t="shared" si="4"/>
        <v>2015</v>
      </c>
      <c r="C82" s="186">
        <f ca="1">'Monthly Data'!AQ82</f>
        <v>21887907.167094178</v>
      </c>
      <c r="D82" s="186">
        <f t="shared" ca="1" si="6"/>
        <v>83.003533834586506</v>
      </c>
      <c r="E82" s="168">
        <f>'Monthly Data'!BJ82</f>
        <v>6941.1</v>
      </c>
      <c r="F82" s="186">
        <f>'Monthly Data'!BM82</f>
        <v>81</v>
      </c>
      <c r="G82" s="186">
        <f>'Monthly Data'!BT82</f>
        <v>0</v>
      </c>
      <c r="H82" s="186">
        <f>'Monthly Data'!BY82</f>
        <v>0</v>
      </c>
      <c r="I82" s="186">
        <f>'Monthly Data'!CC82</f>
        <v>30</v>
      </c>
      <c r="K82" s="186">
        <f>'Large Use OLS Model (LC)'!$B$5</f>
        <v>-11585185.4436178</v>
      </c>
      <c r="L82" s="186">
        <f ca="1">'Large Use OLS Model (LC)'!$B$6*D82</f>
        <v>2134926.0806182334</v>
      </c>
      <c r="M82" s="186">
        <f>'Large Use OLS Model (LC)'!$B$7*E82</f>
        <v>14434126.847426176</v>
      </c>
      <c r="N82" s="186">
        <v>0</v>
      </c>
      <c r="O82" s="186">
        <f>'Large Use OLS Model (LC)'!$B$8*G82</f>
        <v>0</v>
      </c>
      <c r="P82" s="186">
        <f>'Large Use OLS Model (LC)'!$B$9*H82</f>
        <v>0</v>
      </c>
      <c r="Q82" s="186">
        <f>'Large Use OLS Model (LC)'!$B$10*I82</f>
        <v>17537763.106774591</v>
      </c>
      <c r="R82" s="186">
        <f t="shared" ca="1" si="5"/>
        <v>22521630.591201201</v>
      </c>
    </row>
    <row r="83" spans="1:18">
      <c r="A83" s="128">
        <f>'Monthly Data'!A83</f>
        <v>42278</v>
      </c>
      <c r="B83" s="186">
        <f t="shared" si="4"/>
        <v>2015</v>
      </c>
      <c r="C83" s="186">
        <f ca="1">'Monthly Data'!AQ83</f>
        <v>20162332.659881637</v>
      </c>
      <c r="D83" s="186">
        <f t="shared" ca="1" si="6"/>
        <v>16.916090225563948</v>
      </c>
      <c r="E83" s="168">
        <f>'Monthly Data'!BJ83</f>
        <v>6934.8</v>
      </c>
      <c r="F83" s="186">
        <f>'Monthly Data'!BM83</f>
        <v>82</v>
      </c>
      <c r="G83" s="186">
        <f>'Monthly Data'!BT83</f>
        <v>0</v>
      </c>
      <c r="H83" s="186">
        <f>'Monthly Data'!BY83</f>
        <v>0</v>
      </c>
      <c r="I83" s="186">
        <f>'Monthly Data'!CC83</f>
        <v>31</v>
      </c>
      <c r="K83" s="186">
        <f>'Large Use OLS Model (LC)'!$B$5</f>
        <v>-11585185.4436178</v>
      </c>
      <c r="L83" s="186">
        <f ca="1">'Large Use OLS Model (LC)'!$B$6*D83</f>
        <v>435097.16437638173</v>
      </c>
      <c r="M83" s="186">
        <f>'Large Use OLS Model (LC)'!$B$7*E83</f>
        <v>14421025.898133012</v>
      </c>
      <c r="N83" s="186">
        <v>0</v>
      </c>
      <c r="O83" s="186">
        <f>'Large Use OLS Model (LC)'!$B$8*G83</f>
        <v>0</v>
      </c>
      <c r="P83" s="186">
        <f>'Large Use OLS Model (LC)'!$B$9*H83</f>
        <v>0</v>
      </c>
      <c r="Q83" s="186">
        <f>'Large Use OLS Model (LC)'!$B$10*I83</f>
        <v>18122355.210333746</v>
      </c>
      <c r="R83" s="186">
        <f t="shared" ca="1" si="5"/>
        <v>21393292.829225339</v>
      </c>
    </row>
    <row r="84" spans="1:18">
      <c r="A84" s="128">
        <f>'Monthly Data'!A84</f>
        <v>42309</v>
      </c>
      <c r="B84" s="186">
        <f t="shared" si="4"/>
        <v>2015</v>
      </c>
      <c r="C84" s="186">
        <f ca="1">'Monthly Data'!AQ84</f>
        <v>19622172.550961778</v>
      </c>
      <c r="D84" s="186">
        <f t="shared" ca="1" si="6"/>
        <v>8.120300751879661E-2</v>
      </c>
      <c r="E84" s="168">
        <f>'Monthly Data'!BJ84</f>
        <v>6928.3</v>
      </c>
      <c r="F84" s="186">
        <f>'Monthly Data'!BM84</f>
        <v>83</v>
      </c>
      <c r="G84" s="186">
        <f>'Monthly Data'!BT84</f>
        <v>0</v>
      </c>
      <c r="H84" s="186">
        <f>'Monthly Data'!BY84</f>
        <v>0</v>
      </c>
      <c r="I84" s="186">
        <f>'Monthly Data'!CC84</f>
        <v>30</v>
      </c>
      <c r="K84" s="186">
        <f>'Large Use OLS Model (LC)'!$B$5</f>
        <v>-11585185.4436178</v>
      </c>
      <c r="L84" s="186">
        <f ca="1">'Large Use OLS Model (LC)'!$B$6*D84</f>
        <v>2088.6149127337453</v>
      </c>
      <c r="M84" s="186">
        <f>'Large Use OLS Model (LC)'!$B$7*E84</f>
        <v>14407509.045687683</v>
      </c>
      <c r="N84" s="186">
        <v>0</v>
      </c>
      <c r="O84" s="186">
        <f>'Large Use OLS Model (LC)'!$B$8*G84</f>
        <v>0</v>
      </c>
      <c r="P84" s="186">
        <f>'Large Use OLS Model (LC)'!$B$9*H84</f>
        <v>0</v>
      </c>
      <c r="Q84" s="186">
        <f>'Large Use OLS Model (LC)'!$B$10*I84</f>
        <v>17537763.106774591</v>
      </c>
      <c r="R84" s="186">
        <f t="shared" ca="1" si="5"/>
        <v>20362175.323757209</v>
      </c>
    </row>
    <row r="85" spans="1:18">
      <c r="A85" s="128">
        <f>'Monthly Data'!A85</f>
        <v>42339</v>
      </c>
      <c r="B85" s="186">
        <f t="shared" si="4"/>
        <v>2015</v>
      </c>
      <c r="C85" s="186">
        <f ca="1">'Monthly Data'!AQ85</f>
        <v>19510069.365023497</v>
      </c>
      <c r="D85" s="186">
        <f t="shared" ca="1" si="6"/>
        <v>0</v>
      </c>
      <c r="E85" s="168">
        <f>'Monthly Data'!BJ85</f>
        <v>6942.8</v>
      </c>
      <c r="F85" s="186">
        <f>'Monthly Data'!BM85</f>
        <v>84</v>
      </c>
      <c r="G85" s="186">
        <f>'Monthly Data'!BT85</f>
        <v>0</v>
      </c>
      <c r="H85" s="186">
        <f>'Monthly Data'!BY85</f>
        <v>1</v>
      </c>
      <c r="I85" s="186">
        <f>'Monthly Data'!CC85</f>
        <v>31</v>
      </c>
      <c r="K85" s="186">
        <f>'Large Use OLS Model (LC)'!$B$5</f>
        <v>-11585185.4436178</v>
      </c>
      <c r="L85" s="186">
        <f ca="1">'Large Use OLS Model (LC)'!$B$6*D85</f>
        <v>0</v>
      </c>
      <c r="M85" s="186">
        <f>'Large Use OLS Model (LC)'!$B$7*E85</f>
        <v>14437662.024219569</v>
      </c>
      <c r="N85" s="186">
        <v>0</v>
      </c>
      <c r="O85" s="186">
        <f>'Large Use OLS Model (LC)'!$B$8*G85</f>
        <v>0</v>
      </c>
      <c r="P85" s="186">
        <f>'Large Use OLS Model (LC)'!$B$9*H85</f>
        <v>-1776727.9579078101</v>
      </c>
      <c r="Q85" s="186">
        <f>'Large Use OLS Model (LC)'!$B$10*I85</f>
        <v>18122355.210333746</v>
      </c>
      <c r="R85" s="186">
        <f t="shared" ca="1" si="5"/>
        <v>19198103.833027706</v>
      </c>
    </row>
    <row r="86" spans="1:18">
      <c r="A86" s="128">
        <f>'Monthly Data'!A86</f>
        <v>42370</v>
      </c>
      <c r="B86" s="186">
        <f t="shared" si="4"/>
        <v>2016</v>
      </c>
      <c r="C86" s="186">
        <f ca="1">'Monthly Data'!AQ86</f>
        <v>20030911.941684473</v>
      </c>
      <c r="D86" s="186">
        <f t="shared" ca="1" si="6"/>
        <v>0</v>
      </c>
      <c r="E86" s="168">
        <f>'Monthly Data'!BJ86</f>
        <v>6956.6</v>
      </c>
      <c r="F86" s="186">
        <f>'Monthly Data'!BM86</f>
        <v>85</v>
      </c>
      <c r="G86" s="186">
        <f>'Monthly Data'!BT86</f>
        <v>0</v>
      </c>
      <c r="H86" s="186">
        <f>'Monthly Data'!BY86</f>
        <v>0</v>
      </c>
      <c r="I86" s="186">
        <f>'Monthly Data'!CC86</f>
        <v>31</v>
      </c>
      <c r="K86" s="186">
        <f>'Large Use OLS Model (LC)'!$B$5</f>
        <v>-11585185.4436178</v>
      </c>
      <c r="L86" s="186">
        <f ca="1">'Large Use OLS Model (LC)'!$B$6*D86</f>
        <v>0</v>
      </c>
      <c r="M86" s="186">
        <f>'Large Use OLS Model (LC)'!$B$7*E86</f>
        <v>14466359.341718882</v>
      </c>
      <c r="N86" s="186">
        <v>0</v>
      </c>
      <c r="O86" s="186">
        <f>'Large Use OLS Model (LC)'!$B$8*G86</f>
        <v>0</v>
      </c>
      <c r="P86" s="186">
        <f>'Large Use OLS Model (LC)'!$B$9*H86</f>
        <v>0</v>
      </c>
      <c r="Q86" s="186">
        <f>'Large Use OLS Model (LC)'!$B$10*I86</f>
        <v>18122355.210333746</v>
      </c>
      <c r="R86" s="186">
        <f t="shared" ca="1" si="5"/>
        <v>21003529.108434826</v>
      </c>
    </row>
    <row r="87" spans="1:18">
      <c r="A87" s="128">
        <f>'Monthly Data'!A87</f>
        <v>42401</v>
      </c>
      <c r="B87" s="186">
        <f t="shared" si="4"/>
        <v>2016</v>
      </c>
      <c r="C87" s="186">
        <f ca="1">'Monthly Data'!AQ87</f>
        <v>19426538.084870137</v>
      </c>
      <c r="D87" s="186">
        <f t="shared" ca="1" si="6"/>
        <v>0</v>
      </c>
      <c r="E87" s="168">
        <f>'Monthly Data'!BJ87</f>
        <v>6968.5</v>
      </c>
      <c r="F87" s="186">
        <f>'Monthly Data'!BM87</f>
        <v>86</v>
      </c>
      <c r="G87" s="186">
        <f>'Monthly Data'!BT87</f>
        <v>0</v>
      </c>
      <c r="H87" s="186">
        <f>'Monthly Data'!BY87</f>
        <v>0</v>
      </c>
      <c r="I87" s="186">
        <f>'Monthly Data'!CC87</f>
        <v>29</v>
      </c>
      <c r="K87" s="186">
        <f>'Large Use OLS Model (LC)'!$B$5</f>
        <v>-11585185.4436178</v>
      </c>
      <c r="L87" s="186">
        <f ca="1">'Large Use OLS Model (LC)'!$B$6*D87</f>
        <v>0</v>
      </c>
      <c r="M87" s="186">
        <f>'Large Use OLS Model (LC)'!$B$7*E87</f>
        <v>14491105.579272637</v>
      </c>
      <c r="N87" s="186">
        <v>0</v>
      </c>
      <c r="O87" s="186">
        <f>'Large Use OLS Model (LC)'!$B$8*G87</f>
        <v>0</v>
      </c>
      <c r="P87" s="186">
        <f>'Large Use OLS Model (LC)'!$B$9*H87</f>
        <v>0</v>
      </c>
      <c r="Q87" s="186">
        <f>'Large Use OLS Model (LC)'!$B$10*I87</f>
        <v>16953171.00321544</v>
      </c>
      <c r="R87" s="186">
        <f t="shared" ca="1" si="5"/>
        <v>19859091.138870277</v>
      </c>
    </row>
    <row r="88" spans="1:18">
      <c r="A88" s="128">
        <f>'Monthly Data'!A88</f>
        <v>42430</v>
      </c>
      <c r="B88" s="186">
        <f t="shared" si="4"/>
        <v>2016</v>
      </c>
      <c r="C88" s="186">
        <f ca="1">'Monthly Data'!AQ88</f>
        <v>21950234.988419168</v>
      </c>
      <c r="D88" s="186">
        <f t="shared" ca="1" si="6"/>
        <v>0.45218045112781802</v>
      </c>
      <c r="E88" s="168">
        <f>'Monthly Data'!BJ88</f>
        <v>6975.7</v>
      </c>
      <c r="F88" s="186">
        <f>'Monthly Data'!BM88</f>
        <v>87</v>
      </c>
      <c r="G88" s="186">
        <f>'Monthly Data'!BT88</f>
        <v>0</v>
      </c>
      <c r="H88" s="186">
        <f>'Monthly Data'!BY88</f>
        <v>0</v>
      </c>
      <c r="I88" s="186">
        <f>'Monthly Data'!CC88</f>
        <v>31</v>
      </c>
      <c r="K88" s="186">
        <f>'Large Use OLS Model (LC)'!$B$5</f>
        <v>-11585185.4436178</v>
      </c>
      <c r="L88" s="186">
        <f ca="1">'Large Use OLS Model (LC)'!$B$6*D88</f>
        <v>11630.490819611816</v>
      </c>
      <c r="M88" s="186">
        <f>'Large Use OLS Model (LC)'!$B$7*E88</f>
        <v>14506078.09275054</v>
      </c>
      <c r="N88" s="186">
        <v>0</v>
      </c>
      <c r="O88" s="186">
        <f>'Large Use OLS Model (LC)'!$B$8*G88</f>
        <v>0</v>
      </c>
      <c r="P88" s="186">
        <f>'Large Use OLS Model (LC)'!$B$9*H88</f>
        <v>0</v>
      </c>
      <c r="Q88" s="186">
        <f>'Large Use OLS Model (LC)'!$B$10*I88</f>
        <v>18122355.210333746</v>
      </c>
      <c r="R88" s="186">
        <f t="shared" ca="1" si="5"/>
        <v>21054878.350286096</v>
      </c>
    </row>
    <row r="89" spans="1:18">
      <c r="A89" s="128">
        <f>'Monthly Data'!A89</f>
        <v>42461</v>
      </c>
      <c r="B89" s="186">
        <f t="shared" si="4"/>
        <v>2016</v>
      </c>
      <c r="C89" s="186">
        <f ca="1">'Monthly Data'!AQ89</f>
        <v>22516546.642958738</v>
      </c>
      <c r="D89" s="186">
        <f t="shared" ca="1" si="6"/>
        <v>0.50947368421054762</v>
      </c>
      <c r="E89" s="168">
        <f>'Monthly Data'!BJ89</f>
        <v>6979.7</v>
      </c>
      <c r="F89" s="186">
        <f>'Monthly Data'!BM89</f>
        <v>88</v>
      </c>
      <c r="G89" s="186">
        <f>'Monthly Data'!BT89</f>
        <v>0</v>
      </c>
      <c r="H89" s="186">
        <f>'Monthly Data'!BY89</f>
        <v>0</v>
      </c>
      <c r="I89" s="186">
        <f>'Monthly Data'!CC89</f>
        <v>30</v>
      </c>
      <c r="K89" s="186">
        <f>'Large Use OLS Model (LC)'!$B$5</f>
        <v>-11585185.4436178</v>
      </c>
      <c r="L89" s="186">
        <f ca="1">'Large Use OLS Model (LC)'!$B$6*D89</f>
        <v>13104.124674707888</v>
      </c>
      <c r="M89" s="186">
        <f>'Large Use OLS Model (LC)'!$B$7*E89</f>
        <v>14514396.15579382</v>
      </c>
      <c r="N89" s="186">
        <v>0</v>
      </c>
      <c r="O89" s="186">
        <f>'Large Use OLS Model (LC)'!$B$8*G89</f>
        <v>0</v>
      </c>
      <c r="P89" s="186">
        <f>'Large Use OLS Model (LC)'!$B$9*H89</f>
        <v>0</v>
      </c>
      <c r="Q89" s="186">
        <f>'Large Use OLS Model (LC)'!$B$10*I89</f>
        <v>17537763.106774591</v>
      </c>
      <c r="R89" s="186">
        <f t="shared" ca="1" si="5"/>
        <v>20480077.943625316</v>
      </c>
    </row>
    <row r="90" spans="1:18">
      <c r="A90" s="128">
        <f>'Monthly Data'!A90</f>
        <v>42491</v>
      </c>
      <c r="B90" s="186">
        <f t="shared" si="4"/>
        <v>2016</v>
      </c>
      <c r="C90" s="186">
        <f ca="1">'Monthly Data'!AQ90</f>
        <v>23491879.387100104</v>
      </c>
      <c r="D90" s="186">
        <f t="shared" ca="1" si="6"/>
        <v>56.062781954887214</v>
      </c>
      <c r="E90" s="168">
        <f>'Monthly Data'!BJ90</f>
        <v>6990.5</v>
      </c>
      <c r="F90" s="186">
        <f>'Monthly Data'!BM90</f>
        <v>89</v>
      </c>
      <c r="G90" s="186">
        <f>'Monthly Data'!BT90</f>
        <v>0</v>
      </c>
      <c r="H90" s="186">
        <f>'Monthly Data'!BY90</f>
        <v>0</v>
      </c>
      <c r="I90" s="186">
        <f>'Monthly Data'!CC90</f>
        <v>31</v>
      </c>
      <c r="K90" s="186">
        <f>'Large Use OLS Model (LC)'!$B$5</f>
        <v>-11585185.4436178</v>
      </c>
      <c r="L90" s="186">
        <f ca="1">'Large Use OLS Model (LC)'!$B$6*D90</f>
        <v>1441985.5374594755</v>
      </c>
      <c r="M90" s="186">
        <f>'Large Use OLS Model (LC)'!$B$7*E90</f>
        <v>14536854.926010672</v>
      </c>
      <c r="N90" s="186">
        <v>0</v>
      </c>
      <c r="O90" s="186">
        <f>'Large Use OLS Model (LC)'!$B$8*G90</f>
        <v>0</v>
      </c>
      <c r="P90" s="186">
        <f>'Large Use OLS Model (LC)'!$B$9*H90</f>
        <v>0</v>
      </c>
      <c r="Q90" s="186">
        <f>'Large Use OLS Model (LC)'!$B$10*I90</f>
        <v>18122355.210333746</v>
      </c>
      <c r="R90" s="186">
        <f t="shared" ca="1" si="5"/>
        <v>22516010.230186094</v>
      </c>
    </row>
    <row r="91" spans="1:18">
      <c r="A91" s="128">
        <f>'Monthly Data'!A91</f>
        <v>42522</v>
      </c>
      <c r="B91" s="186">
        <f t="shared" si="4"/>
        <v>2016</v>
      </c>
      <c r="C91" s="186">
        <f ca="1">'Monthly Data'!AQ91</f>
        <v>25154852.535666555</v>
      </c>
      <c r="D91" s="186">
        <f t="shared" ca="1" si="6"/>
        <v>116.89315789473682</v>
      </c>
      <c r="E91" s="168">
        <f>'Monthly Data'!BJ91</f>
        <v>6998.8</v>
      </c>
      <c r="F91" s="186">
        <f>'Monthly Data'!BM91</f>
        <v>90</v>
      </c>
      <c r="G91" s="186">
        <f>'Monthly Data'!BT91</f>
        <v>0</v>
      </c>
      <c r="H91" s="186">
        <f>'Monthly Data'!BY91</f>
        <v>0</v>
      </c>
      <c r="I91" s="186">
        <f>'Monthly Data'!CC91</f>
        <v>30</v>
      </c>
      <c r="K91" s="186">
        <f>'Large Use OLS Model (LC)'!$B$5</f>
        <v>-11585185.4436178</v>
      </c>
      <c r="L91" s="186">
        <f ca="1">'Large Use OLS Model (LC)'!$B$6*D91</f>
        <v>3006597.9110314827</v>
      </c>
      <c r="M91" s="186">
        <f>'Large Use OLS Model (LC)'!$B$7*E91</f>
        <v>14554114.906825477</v>
      </c>
      <c r="N91" s="186">
        <v>0</v>
      </c>
      <c r="O91" s="186">
        <f>'Large Use OLS Model (LC)'!$B$8*G91</f>
        <v>0</v>
      </c>
      <c r="P91" s="186">
        <f>'Large Use OLS Model (LC)'!$B$9*H91</f>
        <v>0</v>
      </c>
      <c r="Q91" s="186">
        <f>'Large Use OLS Model (LC)'!$B$10*I91</f>
        <v>17537763.106774591</v>
      </c>
      <c r="R91" s="186">
        <f t="shared" ca="1" si="5"/>
        <v>23513290.481013753</v>
      </c>
    </row>
    <row r="92" spans="1:18">
      <c r="A92" s="128">
        <f>'Monthly Data'!A92</f>
        <v>42552</v>
      </c>
      <c r="B92" s="186">
        <f t="shared" si="4"/>
        <v>2016</v>
      </c>
      <c r="C92" s="186">
        <f ca="1">'Monthly Data'!AQ92</f>
        <v>26434818.565985125</v>
      </c>
      <c r="D92" s="186">
        <f t="shared" ca="1" si="6"/>
        <v>186.96526315789481</v>
      </c>
      <c r="E92" s="168">
        <f>'Monthly Data'!BJ92</f>
        <v>6995</v>
      </c>
      <c r="F92" s="186">
        <f>'Monthly Data'!BM92</f>
        <v>91</v>
      </c>
      <c r="G92" s="186">
        <f>'Monthly Data'!BT92</f>
        <v>1</v>
      </c>
      <c r="H92" s="186">
        <f>'Monthly Data'!BY92</f>
        <v>0</v>
      </c>
      <c r="I92" s="186">
        <f>'Monthly Data'!CC92</f>
        <v>31</v>
      </c>
      <c r="K92" s="186">
        <f>'Large Use OLS Model (LC)'!$B$5</f>
        <v>-11585185.4436178</v>
      </c>
      <c r="L92" s="186">
        <f ca="1">'Large Use OLS Model (LC)'!$B$6*D92</f>
        <v>4808915.9346022606</v>
      </c>
      <c r="M92" s="186">
        <f>'Large Use OLS Model (LC)'!$B$7*E92</f>
        <v>14546212.746934362</v>
      </c>
      <c r="N92" s="186">
        <v>0</v>
      </c>
      <c r="O92" s="186">
        <f>'Large Use OLS Model (LC)'!$B$8*G92</f>
        <v>-947874.12245155603</v>
      </c>
      <c r="P92" s="186">
        <f>'Large Use OLS Model (LC)'!$B$9*H92</f>
        <v>0</v>
      </c>
      <c r="Q92" s="186">
        <f>'Large Use OLS Model (LC)'!$B$10*I92</f>
        <v>18122355.210333746</v>
      </c>
      <c r="R92" s="186">
        <f t="shared" ca="1" si="5"/>
        <v>24944424.325801011</v>
      </c>
    </row>
    <row r="93" spans="1:18">
      <c r="A93" s="128">
        <f>'Monthly Data'!A93</f>
        <v>42583</v>
      </c>
      <c r="B93" s="186">
        <f t="shared" si="4"/>
        <v>2016</v>
      </c>
      <c r="C93" s="186">
        <f ca="1">'Monthly Data'!AQ93</f>
        <v>28083591.400888056</v>
      </c>
      <c r="D93" s="186">
        <f t="shared" ca="1" si="6"/>
        <v>167.43443609022574</v>
      </c>
      <c r="E93" s="168">
        <f>'Monthly Data'!BJ93</f>
        <v>6991</v>
      </c>
      <c r="F93" s="186">
        <f>'Monthly Data'!BM93</f>
        <v>92</v>
      </c>
      <c r="G93" s="186">
        <f>'Monthly Data'!BT93</f>
        <v>0</v>
      </c>
      <c r="H93" s="186">
        <f>'Monthly Data'!BY93</f>
        <v>0</v>
      </c>
      <c r="I93" s="186">
        <f>'Monthly Data'!CC93</f>
        <v>31</v>
      </c>
      <c r="K93" s="186">
        <f>'Large Use OLS Model (LC)'!$B$5</f>
        <v>-11585185.4436178</v>
      </c>
      <c r="L93" s="186">
        <f ca="1">'Large Use OLS Model (LC)'!$B$6*D93</f>
        <v>4306565.370035856</v>
      </c>
      <c r="M93" s="186">
        <f>'Large Use OLS Model (LC)'!$B$7*E93</f>
        <v>14537894.683891082</v>
      </c>
      <c r="N93" s="186">
        <v>0</v>
      </c>
      <c r="O93" s="186">
        <f>'Large Use OLS Model (LC)'!$B$8*G93</f>
        <v>0</v>
      </c>
      <c r="P93" s="186">
        <f>'Large Use OLS Model (LC)'!$B$9*H93</f>
        <v>0</v>
      </c>
      <c r="Q93" s="186">
        <f>'Large Use OLS Model (LC)'!$B$10*I93</f>
        <v>18122355.210333746</v>
      </c>
      <c r="R93" s="186">
        <f t="shared" ca="1" si="5"/>
        <v>25381629.820642885</v>
      </c>
    </row>
    <row r="94" spans="1:18">
      <c r="A94" s="128">
        <f>'Monthly Data'!A94</f>
        <v>42614</v>
      </c>
      <c r="B94" s="186">
        <f t="shared" si="4"/>
        <v>2016</v>
      </c>
      <c r="C94" s="186">
        <f ca="1">'Monthly Data'!AQ94</f>
        <v>23664869.487896521</v>
      </c>
      <c r="D94" s="186">
        <f t="shared" ca="1" si="6"/>
        <v>83.003533834586506</v>
      </c>
      <c r="E94" s="168">
        <f>'Monthly Data'!BJ94</f>
        <v>6989.1</v>
      </c>
      <c r="F94" s="186">
        <f>'Monthly Data'!BM94</f>
        <v>93</v>
      </c>
      <c r="G94" s="186">
        <f>'Monthly Data'!BT94</f>
        <v>0</v>
      </c>
      <c r="H94" s="186">
        <f>'Monthly Data'!BY94</f>
        <v>0</v>
      </c>
      <c r="I94" s="186">
        <f>'Monthly Data'!CC94</f>
        <v>30</v>
      </c>
      <c r="K94" s="186">
        <f>'Large Use OLS Model (LC)'!$B$5</f>
        <v>-11585185.4436178</v>
      </c>
      <c r="L94" s="186">
        <f ca="1">'Large Use OLS Model (LC)'!$B$6*D94</f>
        <v>2134926.0806182334</v>
      </c>
      <c r="M94" s="186">
        <f>'Large Use OLS Model (LC)'!$B$7*E94</f>
        <v>14533943.603945525</v>
      </c>
      <c r="N94" s="186">
        <v>0</v>
      </c>
      <c r="O94" s="186">
        <f>'Large Use OLS Model (LC)'!$B$8*G94</f>
        <v>0</v>
      </c>
      <c r="P94" s="186">
        <f>'Large Use OLS Model (LC)'!$B$9*H94</f>
        <v>0</v>
      </c>
      <c r="Q94" s="186">
        <f>'Large Use OLS Model (LC)'!$B$10*I94</f>
        <v>17537763.106774591</v>
      </c>
      <c r="R94" s="186">
        <f t="shared" ca="1" si="5"/>
        <v>22621447.347720549</v>
      </c>
    </row>
    <row r="95" spans="1:18">
      <c r="A95" s="128">
        <f>'Monthly Data'!A95</f>
        <v>42644</v>
      </c>
      <c r="B95" s="186">
        <f t="shared" si="4"/>
        <v>2016</v>
      </c>
      <c r="C95" s="186">
        <f ca="1">'Monthly Data'!AQ95</f>
        <v>21818348.034312647</v>
      </c>
      <c r="D95" s="186">
        <f t="shared" ca="1" si="6"/>
        <v>16.916090225563948</v>
      </c>
      <c r="E95" s="168">
        <f>'Monthly Data'!BJ95</f>
        <v>7005.5</v>
      </c>
      <c r="F95" s="186">
        <f>'Monthly Data'!BM95</f>
        <v>94</v>
      </c>
      <c r="G95" s="186">
        <f>'Monthly Data'!BT95</f>
        <v>0</v>
      </c>
      <c r="H95" s="186">
        <f>'Monthly Data'!BY95</f>
        <v>0</v>
      </c>
      <c r="I95" s="186">
        <f>'Monthly Data'!CC95</f>
        <v>31</v>
      </c>
      <c r="K95" s="186">
        <f>'Large Use OLS Model (LC)'!$B$5</f>
        <v>-11585185.4436178</v>
      </c>
      <c r="L95" s="186">
        <f ca="1">'Large Use OLS Model (LC)'!$B$6*D95</f>
        <v>435097.16437638173</v>
      </c>
      <c r="M95" s="186">
        <f>'Large Use OLS Model (LC)'!$B$7*E95</f>
        <v>14568047.66242297</v>
      </c>
      <c r="N95" s="186">
        <v>0</v>
      </c>
      <c r="O95" s="186">
        <f>'Large Use OLS Model (LC)'!$B$8*G95</f>
        <v>0</v>
      </c>
      <c r="P95" s="186">
        <f>'Large Use OLS Model (LC)'!$B$9*H95</f>
        <v>0</v>
      </c>
      <c r="Q95" s="186">
        <f>'Large Use OLS Model (LC)'!$B$10*I95</f>
        <v>18122355.210333746</v>
      </c>
      <c r="R95" s="186">
        <f t="shared" ca="1" si="5"/>
        <v>21540314.593515299</v>
      </c>
    </row>
    <row r="96" spans="1:18">
      <c r="A96" s="128">
        <f>'Monthly Data'!A96</f>
        <v>42675</v>
      </c>
      <c r="B96" s="186">
        <f t="shared" si="4"/>
        <v>2016</v>
      </c>
      <c r="C96" s="186">
        <f ca="1">'Monthly Data'!AQ96</f>
        <v>20096745.128498808</v>
      </c>
      <c r="D96" s="186">
        <f t="shared" ca="1" si="6"/>
        <v>8.120300751879661E-2</v>
      </c>
      <c r="E96" s="168">
        <f>'Monthly Data'!BJ96</f>
        <v>7021.6</v>
      </c>
      <c r="F96" s="186">
        <f>'Monthly Data'!BM96</f>
        <v>95</v>
      </c>
      <c r="G96" s="186">
        <f>'Monthly Data'!BT96</f>
        <v>0</v>
      </c>
      <c r="H96" s="186">
        <f>'Monthly Data'!BY96</f>
        <v>0</v>
      </c>
      <c r="I96" s="186">
        <f>'Monthly Data'!CC96</f>
        <v>30</v>
      </c>
      <c r="K96" s="186">
        <f>'Large Use OLS Model (LC)'!$B$5</f>
        <v>-11585185.4436178</v>
      </c>
      <c r="L96" s="186">
        <f ca="1">'Large Use OLS Model (LC)'!$B$6*D96</f>
        <v>2088.6149127337453</v>
      </c>
      <c r="M96" s="186">
        <f>'Large Use OLS Model (LC)'!$B$7*E96</f>
        <v>14601527.866172168</v>
      </c>
      <c r="N96" s="186">
        <v>0</v>
      </c>
      <c r="O96" s="186">
        <f>'Large Use OLS Model (LC)'!$B$8*G96</f>
        <v>0</v>
      </c>
      <c r="P96" s="186">
        <f>'Large Use OLS Model (LC)'!$B$9*H96</f>
        <v>0</v>
      </c>
      <c r="Q96" s="186">
        <f>'Large Use OLS Model (LC)'!$B$10*I96</f>
        <v>17537763.106774591</v>
      </c>
      <c r="R96" s="186">
        <f t="shared" ca="1" si="5"/>
        <v>20556194.144241691</v>
      </c>
    </row>
    <row r="97" spans="1:18">
      <c r="A97" s="128">
        <f>'Monthly Data'!A97</f>
        <v>42705</v>
      </c>
      <c r="B97" s="186">
        <f t="shared" si="4"/>
        <v>2016</v>
      </c>
      <c r="C97" s="186">
        <f ca="1">'Monthly Data'!AQ97</f>
        <v>18899420.082560532</v>
      </c>
      <c r="D97" s="186">
        <f t="shared" ca="1" si="6"/>
        <v>0</v>
      </c>
      <c r="E97" s="168">
        <f>'Monthly Data'!BJ97</f>
        <v>7035.1</v>
      </c>
      <c r="F97" s="186">
        <f>'Monthly Data'!BM97</f>
        <v>96</v>
      </c>
      <c r="G97" s="186">
        <f>'Monthly Data'!BT97</f>
        <v>0</v>
      </c>
      <c r="H97" s="186">
        <f>'Monthly Data'!BY97</f>
        <v>1</v>
      </c>
      <c r="I97" s="186">
        <f>'Monthly Data'!CC97</f>
        <v>31</v>
      </c>
      <c r="K97" s="186">
        <f>'Large Use OLS Model (LC)'!$B$5</f>
        <v>-11585185.4436178</v>
      </c>
      <c r="L97" s="186">
        <f ca="1">'Large Use OLS Model (LC)'!$B$6*D97</f>
        <v>0</v>
      </c>
      <c r="M97" s="186">
        <f>'Large Use OLS Model (LC)'!$B$7*E97</f>
        <v>14629601.328943236</v>
      </c>
      <c r="N97" s="186">
        <v>0</v>
      </c>
      <c r="O97" s="186">
        <f>'Large Use OLS Model (LC)'!$B$8*G97</f>
        <v>0</v>
      </c>
      <c r="P97" s="186">
        <f>'Large Use OLS Model (LC)'!$B$9*H97</f>
        <v>-1776727.9579078101</v>
      </c>
      <c r="Q97" s="186">
        <f>'Large Use OLS Model (LC)'!$B$10*I97</f>
        <v>18122355.210333746</v>
      </c>
      <c r="R97" s="186">
        <f t="shared" ca="1" si="5"/>
        <v>19390043.137751371</v>
      </c>
    </row>
    <row r="98" spans="1:18">
      <c r="A98" s="128">
        <v>42736</v>
      </c>
      <c r="B98" s="186">
        <f t="shared" si="4"/>
        <v>2017</v>
      </c>
      <c r="C98" s="186">
        <f ca="1">'Monthly Data'!AQ98</f>
        <v>20315496.805656914</v>
      </c>
      <c r="D98" s="186">
        <f t="shared" ca="1" si="6"/>
        <v>0</v>
      </c>
      <c r="E98" s="168">
        <f>'Monthly Data'!BJ98</f>
        <v>7049.2</v>
      </c>
      <c r="F98" s="186">
        <f>F97+1</f>
        <v>97</v>
      </c>
      <c r="G98" s="186">
        <f>G86</f>
        <v>0</v>
      </c>
      <c r="H98" s="186">
        <f>'Monthly Data'!BY98</f>
        <v>0</v>
      </c>
      <c r="I98" s="186">
        <f t="shared" ref="I98" si="7">I86</f>
        <v>31</v>
      </c>
      <c r="K98" s="186">
        <f>'Large Use OLS Model (LC)'!$B$5</f>
        <v>-11585185.4436178</v>
      </c>
      <c r="L98" s="186">
        <f ca="1">'Large Use OLS Model (LC)'!$B$6*D98</f>
        <v>0</v>
      </c>
      <c r="M98" s="186">
        <f>'Large Use OLS Model (LC)'!$B$7*E98</f>
        <v>14658922.501170794</v>
      </c>
      <c r="N98" s="186">
        <v>0</v>
      </c>
      <c r="O98" s="186">
        <f>'Large Use OLS Model (LC)'!$B$8*G98</f>
        <v>0</v>
      </c>
      <c r="P98" s="186">
        <f>'Large Use OLS Model (LC)'!$B$9*H98</f>
        <v>0</v>
      </c>
      <c r="Q98" s="186">
        <f>'Large Use OLS Model (LC)'!$B$10*I98</f>
        <v>18122355.210333746</v>
      </c>
      <c r="R98" s="186">
        <f t="shared" ca="1" si="5"/>
        <v>21196092.267886739</v>
      </c>
    </row>
    <row r="99" spans="1:18">
      <c r="A99" s="128">
        <v>42767</v>
      </c>
      <c r="B99" s="186">
        <f t="shared" si="4"/>
        <v>2017</v>
      </c>
      <c r="C99" s="186">
        <f ca="1">'Monthly Data'!AQ99</f>
        <v>18666295.813621074</v>
      </c>
      <c r="D99" s="186">
        <f t="shared" ca="1" si="6"/>
        <v>0</v>
      </c>
      <c r="E99" s="168">
        <f>'Monthly Data'!BJ99</f>
        <v>7062.5</v>
      </c>
      <c r="F99" s="186">
        <f t="shared" ref="F99:F145" si="8">F98+1</f>
        <v>98</v>
      </c>
      <c r="G99" s="186">
        <f t="shared" ref="G99:I114" si="9">G87</f>
        <v>0</v>
      </c>
      <c r="H99" s="186">
        <f>'Monthly Data'!BY99</f>
        <v>0</v>
      </c>
      <c r="I99" s="186">
        <f t="shared" si="9"/>
        <v>29</v>
      </c>
      <c r="K99" s="186">
        <f>'Large Use OLS Model (LC)'!$B$5</f>
        <v>-11585185.4436178</v>
      </c>
      <c r="L99" s="186">
        <f ca="1">'Large Use OLS Model (LC)'!$B$6*D99</f>
        <v>0</v>
      </c>
      <c r="M99" s="186">
        <f>'Large Use OLS Model (LC)'!$B$7*E99</f>
        <v>14686580.060789697</v>
      </c>
      <c r="N99" s="186">
        <v>0</v>
      </c>
      <c r="O99" s="186">
        <f>'Large Use OLS Model (LC)'!$B$8*G99</f>
        <v>0</v>
      </c>
      <c r="P99" s="186">
        <f>'Large Use OLS Model (LC)'!$B$9*H99</f>
        <v>0</v>
      </c>
      <c r="Q99" s="186">
        <f>'Large Use OLS Model (LC)'!$B$10*I99</f>
        <v>16953171.00321544</v>
      </c>
      <c r="R99" s="186">
        <f t="shared" ca="1" si="5"/>
        <v>20054565.620387338</v>
      </c>
    </row>
    <row r="100" spans="1:18">
      <c r="A100" s="128">
        <v>42795</v>
      </c>
      <c r="B100" s="186">
        <f t="shared" si="4"/>
        <v>2017</v>
      </c>
      <c r="C100" s="186">
        <f ca="1">'Monthly Data'!AQ100</f>
        <v>20501069.907807238</v>
      </c>
      <c r="D100" s="186">
        <f t="shared" ca="1" si="6"/>
        <v>0.45218045112781802</v>
      </c>
      <c r="E100" s="168">
        <f>'Monthly Data'!BJ100</f>
        <v>7071</v>
      </c>
      <c r="F100" s="186">
        <f t="shared" si="8"/>
        <v>99</v>
      </c>
      <c r="G100" s="186">
        <f t="shared" si="9"/>
        <v>0</v>
      </c>
      <c r="H100" s="186">
        <f>'Monthly Data'!BY100</f>
        <v>0</v>
      </c>
      <c r="I100" s="186">
        <f t="shared" si="9"/>
        <v>31</v>
      </c>
      <c r="K100" s="186">
        <f>'Large Use OLS Model (LC)'!$B$5</f>
        <v>-11585185.4436178</v>
      </c>
      <c r="L100" s="186">
        <f ca="1">'Large Use OLS Model (LC)'!$B$6*D100</f>
        <v>11630.490819611816</v>
      </c>
      <c r="M100" s="186">
        <f>'Large Use OLS Model (LC)'!$B$7*E100</f>
        <v>14704255.944756664</v>
      </c>
      <c r="N100" s="186">
        <v>0</v>
      </c>
      <c r="O100" s="186">
        <f>'Large Use OLS Model (LC)'!$B$8*G100</f>
        <v>0</v>
      </c>
      <c r="P100" s="186">
        <f>'Large Use OLS Model (LC)'!$B$9*H100</f>
        <v>0</v>
      </c>
      <c r="Q100" s="186">
        <f>'Large Use OLS Model (LC)'!$B$10*I100</f>
        <v>18122355.210333746</v>
      </c>
      <c r="R100" s="186">
        <f t="shared" ca="1" si="5"/>
        <v>21253056.202292223</v>
      </c>
    </row>
    <row r="101" spans="1:18">
      <c r="A101" s="128">
        <v>42826</v>
      </c>
      <c r="B101" s="186">
        <f t="shared" si="4"/>
        <v>2017</v>
      </c>
      <c r="C101" s="186">
        <f ca="1">'Monthly Data'!AQ101</f>
        <v>19823217.414303008</v>
      </c>
      <c r="D101" s="186">
        <f t="shared" ca="1" si="6"/>
        <v>0.50947368421054762</v>
      </c>
      <c r="E101" s="168">
        <f>'Monthly Data'!BJ101</f>
        <v>7073.2</v>
      </c>
      <c r="F101" s="186">
        <f t="shared" si="8"/>
        <v>100</v>
      </c>
      <c r="G101" s="186">
        <f t="shared" si="9"/>
        <v>0</v>
      </c>
      <c r="H101" s="186">
        <f>'Monthly Data'!BY101</f>
        <v>0</v>
      </c>
      <c r="I101" s="186">
        <f t="shared" si="9"/>
        <v>30</v>
      </c>
      <c r="K101" s="186">
        <f>'Large Use OLS Model (LC)'!$B$5</f>
        <v>-11585185.4436178</v>
      </c>
      <c r="L101" s="186">
        <f ca="1">'Large Use OLS Model (LC)'!$B$6*D101</f>
        <v>13104.124674707888</v>
      </c>
      <c r="M101" s="186">
        <f>'Large Use OLS Model (LC)'!$B$7*E101</f>
        <v>14708830.879430469</v>
      </c>
      <c r="N101" s="186">
        <v>0</v>
      </c>
      <c r="O101" s="186">
        <f>'Large Use OLS Model (LC)'!$B$8*G101</f>
        <v>0</v>
      </c>
      <c r="P101" s="186">
        <f>'Large Use OLS Model (LC)'!$B$9*H101</f>
        <v>0</v>
      </c>
      <c r="Q101" s="186">
        <f>'Large Use OLS Model (LC)'!$B$10*I101</f>
        <v>17537763.106774591</v>
      </c>
      <c r="R101" s="186">
        <f t="shared" ca="1" si="5"/>
        <v>20674512.667261966</v>
      </c>
    </row>
    <row r="102" spans="1:18">
      <c r="A102" s="128">
        <v>42856</v>
      </c>
      <c r="B102" s="186">
        <f t="shared" si="4"/>
        <v>2017</v>
      </c>
      <c r="C102" s="186">
        <f ca="1">'Monthly Data'!AQ102</f>
        <v>21332197.715417989</v>
      </c>
      <c r="D102" s="186">
        <f t="shared" ca="1" si="6"/>
        <v>56.062781954887214</v>
      </c>
      <c r="E102" s="168">
        <f>'Monthly Data'!BJ102</f>
        <v>7076.2</v>
      </c>
      <c r="F102" s="186">
        <f t="shared" si="8"/>
        <v>101</v>
      </c>
      <c r="G102" s="186">
        <f t="shared" si="9"/>
        <v>0</v>
      </c>
      <c r="H102" s="186">
        <f>'Monthly Data'!BY102</f>
        <v>0</v>
      </c>
      <c r="I102" s="186">
        <f t="shared" si="9"/>
        <v>31</v>
      </c>
      <c r="K102" s="186">
        <f>'Large Use OLS Model (LC)'!$B$5</f>
        <v>-11585185.4436178</v>
      </c>
      <c r="L102" s="186">
        <f ca="1">'Large Use OLS Model (LC)'!$B$6*D102</f>
        <v>1441985.5374594755</v>
      </c>
      <c r="M102" s="186">
        <f>'Large Use OLS Model (LC)'!$B$7*E102</f>
        <v>14715069.426712928</v>
      </c>
      <c r="N102" s="186">
        <v>0</v>
      </c>
      <c r="O102" s="186">
        <f>'Large Use OLS Model (LC)'!$B$8*G102</f>
        <v>0</v>
      </c>
      <c r="P102" s="186">
        <f>'Large Use OLS Model (LC)'!$B$9*H102</f>
        <v>0</v>
      </c>
      <c r="Q102" s="186">
        <f>'Large Use OLS Model (LC)'!$B$10*I102</f>
        <v>18122355.210333746</v>
      </c>
      <c r="R102" s="186">
        <f t="shared" ca="1" si="5"/>
        <v>22694224.730888352</v>
      </c>
    </row>
    <row r="103" spans="1:18">
      <c r="A103" s="128">
        <v>42887</v>
      </c>
      <c r="B103" s="186">
        <f t="shared" si="4"/>
        <v>2017</v>
      </c>
      <c r="C103" s="186">
        <f ca="1">'Monthly Data'!AQ103</f>
        <v>23799303.944701213</v>
      </c>
      <c r="D103" s="186">
        <f t="shared" ca="1" si="6"/>
        <v>116.89315789473682</v>
      </c>
      <c r="E103" s="168">
        <f>'Monthly Data'!BJ103</f>
        <v>7082.2</v>
      </c>
      <c r="F103" s="186">
        <f t="shared" si="8"/>
        <v>102</v>
      </c>
      <c r="G103" s="186">
        <f t="shared" si="9"/>
        <v>0</v>
      </c>
      <c r="H103" s="186">
        <f>'Monthly Data'!BY103</f>
        <v>0</v>
      </c>
      <c r="I103" s="186">
        <f t="shared" si="9"/>
        <v>30</v>
      </c>
      <c r="K103" s="186">
        <f>'Large Use OLS Model (LC)'!$B$5</f>
        <v>-11585185.4436178</v>
      </c>
      <c r="L103" s="186">
        <f ca="1">'Large Use OLS Model (LC)'!$B$6*D103</f>
        <v>3006597.9110314827</v>
      </c>
      <c r="M103" s="186">
        <f>'Large Use OLS Model (LC)'!$B$7*E103</f>
        <v>14727546.521277847</v>
      </c>
      <c r="N103" s="186">
        <v>0</v>
      </c>
      <c r="O103" s="186">
        <f>'Large Use OLS Model (LC)'!$B$8*G103</f>
        <v>0</v>
      </c>
      <c r="P103" s="186">
        <f>'Large Use OLS Model (LC)'!$B$9*H103</f>
        <v>0</v>
      </c>
      <c r="Q103" s="186">
        <f>'Large Use OLS Model (LC)'!$B$10*I103</f>
        <v>17537763.106774591</v>
      </c>
      <c r="R103" s="186">
        <f t="shared" ca="1" si="5"/>
        <v>23686722.095466122</v>
      </c>
    </row>
    <row r="104" spans="1:18">
      <c r="A104" s="128">
        <v>42917</v>
      </c>
      <c r="B104" s="186">
        <f t="shared" si="4"/>
        <v>2017</v>
      </c>
      <c r="C104" s="186">
        <f ca="1">'Monthly Data'!AQ104</f>
        <v>25324504.630515054</v>
      </c>
      <c r="D104" s="186">
        <f t="shared" ca="1" si="6"/>
        <v>186.96526315789481</v>
      </c>
      <c r="E104" s="168">
        <f>'Monthly Data'!BJ104</f>
        <v>7098</v>
      </c>
      <c r="F104" s="186">
        <f t="shared" si="8"/>
        <v>103</v>
      </c>
      <c r="G104" s="186">
        <f t="shared" si="9"/>
        <v>1</v>
      </c>
      <c r="H104" s="186">
        <f>'Monthly Data'!BY104</f>
        <v>0</v>
      </c>
      <c r="I104" s="186">
        <f t="shared" si="9"/>
        <v>31</v>
      </c>
      <c r="K104" s="186">
        <f>'Large Use OLS Model (LC)'!$B$5</f>
        <v>-11585185.4436178</v>
      </c>
      <c r="L104" s="186">
        <f ca="1">'Large Use OLS Model (LC)'!$B$6*D104</f>
        <v>4808915.9346022606</v>
      </c>
      <c r="M104" s="186">
        <f>'Large Use OLS Model (LC)'!$B$7*E104</f>
        <v>14760402.870298799</v>
      </c>
      <c r="N104" s="186">
        <v>0</v>
      </c>
      <c r="O104" s="186">
        <f>'Large Use OLS Model (LC)'!$B$8*G104</f>
        <v>-947874.12245155603</v>
      </c>
      <c r="P104" s="186">
        <f>'Large Use OLS Model (LC)'!$B$9*H104</f>
        <v>0</v>
      </c>
      <c r="Q104" s="186">
        <f>'Large Use OLS Model (LC)'!$B$10*I104</f>
        <v>18122355.210333746</v>
      </c>
      <c r="R104" s="186">
        <f t="shared" ca="1" si="5"/>
        <v>25158614.449165449</v>
      </c>
    </row>
    <row r="105" spans="1:18">
      <c r="A105" s="128">
        <v>42948</v>
      </c>
      <c r="B105" s="186">
        <f t="shared" si="4"/>
        <v>2017</v>
      </c>
      <c r="C105" s="186">
        <f ca="1">'Monthly Data'!AQ105</f>
        <v>23736935.932426449</v>
      </c>
      <c r="D105" s="186">
        <f t="shared" ca="1" si="6"/>
        <v>167.43443609022574</v>
      </c>
      <c r="E105" s="168">
        <f>'Monthly Data'!BJ105</f>
        <v>7118.8</v>
      </c>
      <c r="F105" s="186">
        <f t="shared" si="8"/>
        <v>104</v>
      </c>
      <c r="G105" s="186">
        <f t="shared" si="9"/>
        <v>0</v>
      </c>
      <c r="H105" s="186">
        <f>'Monthly Data'!BY105</f>
        <v>0</v>
      </c>
      <c r="I105" s="186">
        <f t="shared" si="9"/>
        <v>31</v>
      </c>
      <c r="K105" s="186">
        <f>'Large Use OLS Model (LC)'!$B$5</f>
        <v>-11585185.4436178</v>
      </c>
      <c r="L105" s="186">
        <f ca="1">'Large Use OLS Model (LC)'!$B$6*D105</f>
        <v>4306565.370035856</v>
      </c>
      <c r="M105" s="186">
        <f>'Large Use OLS Model (LC)'!$B$7*E105</f>
        <v>14803656.798123851</v>
      </c>
      <c r="N105" s="186">
        <v>0</v>
      </c>
      <c r="O105" s="186">
        <f>'Large Use OLS Model (LC)'!$B$8*G105</f>
        <v>0</v>
      </c>
      <c r="P105" s="186">
        <f>'Large Use OLS Model (LC)'!$B$9*H105</f>
        <v>0</v>
      </c>
      <c r="Q105" s="186">
        <f>'Large Use OLS Model (LC)'!$B$10*I105</f>
        <v>18122355.210333746</v>
      </c>
      <c r="R105" s="186">
        <f t="shared" ca="1" si="5"/>
        <v>25647391.934875652</v>
      </c>
    </row>
    <row r="106" spans="1:18">
      <c r="A106" s="128">
        <v>42979</v>
      </c>
      <c r="B106" s="186">
        <f t="shared" si="4"/>
        <v>2017</v>
      </c>
      <c r="C106" s="186">
        <f ca="1">'Monthly Data'!AQ106</f>
        <v>22804130.018046163</v>
      </c>
      <c r="D106" s="186">
        <f t="shared" ca="1" si="6"/>
        <v>83.003533834586506</v>
      </c>
      <c r="E106" s="168">
        <f>'Monthly Data'!BJ106</f>
        <v>7148.9</v>
      </c>
      <c r="F106" s="186">
        <f t="shared" si="8"/>
        <v>105</v>
      </c>
      <c r="G106" s="186">
        <f t="shared" si="9"/>
        <v>0</v>
      </c>
      <c r="H106" s="186">
        <f>'Monthly Data'!BY106</f>
        <v>0</v>
      </c>
      <c r="I106" s="186">
        <f t="shared" si="9"/>
        <v>30</v>
      </c>
      <c r="K106" s="186">
        <f>'Large Use OLS Model (LC)'!$B$5</f>
        <v>-11585185.4436178</v>
      </c>
      <c r="L106" s="186">
        <f ca="1">'Large Use OLS Model (LC)'!$B$6*D106</f>
        <v>2134926.0806182334</v>
      </c>
      <c r="M106" s="186">
        <f>'Large Use OLS Model (LC)'!$B$7*E106</f>
        <v>14866250.222524526</v>
      </c>
      <c r="N106" s="186">
        <v>0</v>
      </c>
      <c r="O106" s="186">
        <f>'Large Use OLS Model (LC)'!$B$8*G106</f>
        <v>0</v>
      </c>
      <c r="P106" s="186">
        <f>'Large Use OLS Model (LC)'!$B$9*H106</f>
        <v>0</v>
      </c>
      <c r="Q106" s="186">
        <f>'Large Use OLS Model (LC)'!$B$10*I106</f>
        <v>17537763.106774591</v>
      </c>
      <c r="R106" s="186">
        <f t="shared" ca="1" si="5"/>
        <v>22953753.966299549</v>
      </c>
    </row>
    <row r="107" spans="1:18">
      <c r="A107" s="128">
        <v>43009</v>
      </c>
      <c r="B107" s="186">
        <f t="shared" si="4"/>
        <v>2017</v>
      </c>
      <c r="C107" s="186">
        <f ca="1">'Monthly Data'!AQ107</f>
        <v>22410894.722107884</v>
      </c>
      <c r="D107" s="186">
        <f t="shared" ca="1" si="6"/>
        <v>16.916090225563948</v>
      </c>
      <c r="E107" s="168">
        <f>'Monthly Data'!BJ107</f>
        <v>7168.4</v>
      </c>
      <c r="F107" s="186">
        <f t="shared" si="8"/>
        <v>106</v>
      </c>
      <c r="G107" s="186">
        <f t="shared" si="9"/>
        <v>0</v>
      </c>
      <c r="H107" s="186">
        <f>'Monthly Data'!BY107</f>
        <v>0</v>
      </c>
      <c r="I107" s="186">
        <f t="shared" si="9"/>
        <v>31</v>
      </c>
      <c r="K107" s="186">
        <f>'Large Use OLS Model (LC)'!$B$5</f>
        <v>-11585185.4436178</v>
      </c>
      <c r="L107" s="186">
        <f ca="1">'Large Use OLS Model (LC)'!$B$6*D107</f>
        <v>435097.16437638173</v>
      </c>
      <c r="M107" s="186">
        <f>'Large Use OLS Model (LC)'!$B$7*E107</f>
        <v>14906800.779860511</v>
      </c>
      <c r="N107" s="186">
        <v>0</v>
      </c>
      <c r="O107" s="186">
        <f>'Large Use OLS Model (LC)'!$B$8*G107</f>
        <v>0</v>
      </c>
      <c r="P107" s="186">
        <f>'Large Use OLS Model (LC)'!$B$9*H107</f>
        <v>0</v>
      </c>
      <c r="Q107" s="186">
        <f>'Large Use OLS Model (LC)'!$B$10*I107</f>
        <v>18122355.210333746</v>
      </c>
      <c r="R107" s="186">
        <f t="shared" ca="1" si="5"/>
        <v>21879067.710952841</v>
      </c>
    </row>
    <row r="108" spans="1:18">
      <c r="A108" s="128">
        <v>43040</v>
      </c>
      <c r="B108" s="186">
        <f t="shared" si="4"/>
        <v>2017</v>
      </c>
      <c r="C108" s="186">
        <f ca="1">'Monthly Data'!AQ108</f>
        <v>20145414.625656914</v>
      </c>
      <c r="D108" s="186">
        <f t="shared" ca="1" si="6"/>
        <v>8.120300751879661E-2</v>
      </c>
      <c r="E108" s="168">
        <f>'Monthly Data'!BJ108</f>
        <v>7192.2</v>
      </c>
      <c r="F108" s="186">
        <f t="shared" si="8"/>
        <v>107</v>
      </c>
      <c r="G108" s="186">
        <f t="shared" si="9"/>
        <v>0</v>
      </c>
      <c r="H108" s="186">
        <f>'Monthly Data'!BY108</f>
        <v>0</v>
      </c>
      <c r="I108" s="186">
        <f t="shared" si="9"/>
        <v>30</v>
      </c>
      <c r="K108" s="186">
        <f>'Large Use OLS Model (LC)'!$B$5</f>
        <v>-11585185.4436178</v>
      </c>
      <c r="L108" s="186">
        <f ca="1">'Large Use OLS Model (LC)'!$B$6*D108</f>
        <v>2088.6149127337453</v>
      </c>
      <c r="M108" s="186">
        <f>'Large Use OLS Model (LC)'!$B$7*E108</f>
        <v>14956293.254968023</v>
      </c>
      <c r="N108" s="186">
        <v>0</v>
      </c>
      <c r="O108" s="186">
        <f>'Large Use OLS Model (LC)'!$B$8*G108</f>
        <v>0</v>
      </c>
      <c r="P108" s="186">
        <f>'Large Use OLS Model (LC)'!$B$9*H108</f>
        <v>0</v>
      </c>
      <c r="Q108" s="186">
        <f>'Large Use OLS Model (LC)'!$B$10*I108</f>
        <v>17537763.106774591</v>
      </c>
      <c r="R108" s="186">
        <f t="shared" ca="1" si="5"/>
        <v>20910959.533037547</v>
      </c>
    </row>
    <row r="109" spans="1:18">
      <c r="A109" s="128">
        <v>43070</v>
      </c>
      <c r="B109" s="186">
        <f t="shared" si="4"/>
        <v>2017</v>
      </c>
      <c r="C109" s="186">
        <f ca="1">'Monthly Data'!AQ109</f>
        <v>19707437.608922221</v>
      </c>
      <c r="D109" s="186">
        <f t="shared" ca="1" si="6"/>
        <v>0</v>
      </c>
      <c r="E109" s="168">
        <f>'Monthly Data'!BJ109</f>
        <v>7207.4</v>
      </c>
      <c r="F109" s="186">
        <f t="shared" si="8"/>
        <v>108</v>
      </c>
      <c r="G109" s="186">
        <f t="shared" si="9"/>
        <v>0</v>
      </c>
      <c r="H109" s="186">
        <f>'Monthly Data'!BY109</f>
        <v>1</v>
      </c>
      <c r="I109" s="186">
        <f t="shared" si="9"/>
        <v>31</v>
      </c>
      <c r="K109" s="186">
        <f>'Large Use OLS Model (LC)'!$B$5</f>
        <v>-11585185.4436178</v>
      </c>
      <c r="L109" s="186">
        <f ca="1">'Large Use OLS Model (LC)'!$B$6*D109</f>
        <v>0</v>
      </c>
      <c r="M109" s="186">
        <f>'Large Use OLS Model (LC)'!$B$7*E109</f>
        <v>14987901.894532483</v>
      </c>
      <c r="N109" s="186">
        <v>0</v>
      </c>
      <c r="O109" s="186">
        <f>'Large Use OLS Model (LC)'!$B$8*G109</f>
        <v>0</v>
      </c>
      <c r="P109" s="186">
        <f>'Large Use OLS Model (LC)'!$B$9*H109</f>
        <v>-1776727.9579078101</v>
      </c>
      <c r="Q109" s="186">
        <f>'Large Use OLS Model (LC)'!$B$10*I109</f>
        <v>18122355.210333746</v>
      </c>
      <c r="R109" s="186">
        <f t="shared" ca="1" si="5"/>
        <v>19748343.70334062</v>
      </c>
    </row>
    <row r="110" spans="1:18">
      <c r="A110" s="128">
        <v>43101</v>
      </c>
      <c r="B110" s="186">
        <f t="shared" si="4"/>
        <v>2018</v>
      </c>
      <c r="C110" s="186">
        <f ca="1">'Monthly Data'!AQ110</f>
        <v>21406178.403620746</v>
      </c>
      <c r="D110" s="186">
        <f t="shared" ca="1" si="6"/>
        <v>0</v>
      </c>
      <c r="E110" s="168">
        <f>'Monthly Data'!BJ110</f>
        <v>7166.6339368397712</v>
      </c>
      <c r="F110" s="186">
        <f t="shared" si="8"/>
        <v>109</v>
      </c>
      <c r="G110" s="186">
        <f t="shared" si="9"/>
        <v>0</v>
      </c>
      <c r="H110" s="186">
        <f>'Monthly Data'!BY110</f>
        <v>0</v>
      </c>
      <c r="I110" s="186">
        <f t="shared" si="9"/>
        <v>31</v>
      </c>
      <c r="K110" s="186">
        <f>'Large Use OLS Model (LC)'!$B$5</f>
        <v>-11585185.4436178</v>
      </c>
      <c r="L110" s="186">
        <f ca="1">'Large Use OLS Model (LC)'!$B$6*D110</f>
        <v>0</v>
      </c>
      <c r="M110" s="186">
        <f>'Large Use OLS Model (LC)'!$B$7*E110</f>
        <v>14903128.223684212</v>
      </c>
      <c r="N110" s="186">
        <v>0</v>
      </c>
      <c r="O110" s="186">
        <f>'Large Use OLS Model (LC)'!$B$8*G110</f>
        <v>0</v>
      </c>
      <c r="P110" s="186">
        <f>'Large Use OLS Model (LC)'!$B$9*H110</f>
        <v>0</v>
      </c>
      <c r="Q110" s="186">
        <f>'Large Use OLS Model (LC)'!$B$10*I110</f>
        <v>18122355.210333746</v>
      </c>
      <c r="R110" s="186">
        <f t="shared" ca="1" si="5"/>
        <v>21440297.990400158</v>
      </c>
    </row>
    <row r="111" spans="1:18">
      <c r="A111" s="128">
        <v>43132</v>
      </c>
      <c r="B111" s="186">
        <f t="shared" si="4"/>
        <v>2018</v>
      </c>
      <c r="C111" s="186">
        <f ca="1">'Monthly Data'!AQ111</f>
        <v>19541869.543381821</v>
      </c>
      <c r="D111" s="186">
        <f t="shared" ca="1" si="6"/>
        <v>0</v>
      </c>
      <c r="E111" s="168">
        <f>'Monthly Data'!BJ111</f>
        <v>7119.8728643912718</v>
      </c>
      <c r="F111" s="186">
        <f t="shared" si="8"/>
        <v>110</v>
      </c>
      <c r="G111" s="186">
        <f t="shared" si="9"/>
        <v>0</v>
      </c>
      <c r="H111" s="186">
        <f>'Monthly Data'!BY111</f>
        <v>0</v>
      </c>
      <c r="I111" s="186">
        <f t="shared" si="9"/>
        <v>29</v>
      </c>
      <c r="K111" s="186">
        <f>'Large Use OLS Model (LC)'!$B$5</f>
        <v>-11585185.4436178</v>
      </c>
      <c r="L111" s="186">
        <f ca="1">'Large Use OLS Model (LC)'!$B$6*D111</f>
        <v>0</v>
      </c>
      <c r="M111" s="186">
        <f>'Large Use OLS Model (LC)'!$B$7*E111</f>
        <v>14805887.836534722</v>
      </c>
      <c r="N111" s="186">
        <v>0</v>
      </c>
      <c r="O111" s="186">
        <f>'Large Use OLS Model (LC)'!$B$8*G111</f>
        <v>0</v>
      </c>
      <c r="P111" s="186">
        <f>'Large Use OLS Model (LC)'!$B$9*H111</f>
        <v>0</v>
      </c>
      <c r="Q111" s="186">
        <f>'Large Use OLS Model (LC)'!$B$10*I111</f>
        <v>16953171.00321544</v>
      </c>
      <c r="R111" s="186">
        <f t="shared" ca="1" si="5"/>
        <v>20173873.396132361</v>
      </c>
    </row>
    <row r="112" spans="1:18">
      <c r="A112" s="128">
        <v>43160</v>
      </c>
      <c r="B112" s="186">
        <f t="shared" si="4"/>
        <v>2018</v>
      </c>
      <c r="C112" s="186">
        <f ca="1">'Monthly Data'!AQ112</f>
        <v>22152171.57537286</v>
      </c>
      <c r="D112" s="186">
        <f t="shared" ca="1" si="6"/>
        <v>0.45218045112781802</v>
      </c>
      <c r="E112" s="168">
        <f>'Monthly Data'!BJ112</f>
        <v>7076.4090470513211</v>
      </c>
      <c r="F112" s="186">
        <f t="shared" si="8"/>
        <v>111</v>
      </c>
      <c r="G112" s="186">
        <f t="shared" si="9"/>
        <v>0</v>
      </c>
      <c r="H112" s="186">
        <f>'Monthly Data'!BY112</f>
        <v>0</v>
      </c>
      <c r="I112" s="186">
        <f t="shared" si="9"/>
        <v>31</v>
      </c>
      <c r="K112" s="186">
        <f>'Large Use OLS Model (LC)'!$B$5</f>
        <v>-11585185.4436178</v>
      </c>
      <c r="L112" s="186">
        <f ca="1">'Large Use OLS Model (LC)'!$B$6*D112</f>
        <v>11630.490819611816</v>
      </c>
      <c r="M112" s="186">
        <f>'Large Use OLS Model (LC)'!$B$7*E112</f>
        <v>14715504.143350903</v>
      </c>
      <c r="N112" s="186">
        <v>0</v>
      </c>
      <c r="O112" s="186">
        <f>'Large Use OLS Model (LC)'!$B$8*G112</f>
        <v>0</v>
      </c>
      <c r="P112" s="186">
        <f>'Large Use OLS Model (LC)'!$B$9*H112</f>
        <v>0</v>
      </c>
      <c r="Q112" s="186">
        <f>'Large Use OLS Model (LC)'!$B$10*I112</f>
        <v>18122355.210333746</v>
      </c>
      <c r="R112" s="186">
        <f t="shared" ca="1" si="5"/>
        <v>21264304.400886461</v>
      </c>
    </row>
    <row r="113" spans="1:18">
      <c r="A113" s="128">
        <v>43191</v>
      </c>
      <c r="B113" s="186">
        <f t="shared" si="4"/>
        <v>2018</v>
      </c>
      <c r="C113" s="186">
        <f ca="1">'Monthly Data'!AQ113</f>
        <v>20451823.134815373</v>
      </c>
      <c r="D113" s="186">
        <f t="shared" ca="1" si="6"/>
        <v>0.50947368421054762</v>
      </c>
      <c r="E113" s="168">
        <f>'Monthly Data'!BJ113</f>
        <v>7102.4873374552917</v>
      </c>
      <c r="F113" s="186">
        <f t="shared" si="8"/>
        <v>112</v>
      </c>
      <c r="G113" s="186">
        <f t="shared" si="9"/>
        <v>0</v>
      </c>
      <c r="H113" s="186">
        <f>'Monthly Data'!BY113</f>
        <v>0</v>
      </c>
      <c r="I113" s="186">
        <f t="shared" si="9"/>
        <v>30</v>
      </c>
      <c r="K113" s="186">
        <f>'Large Use OLS Model (LC)'!$B$5</f>
        <v>-11585185.4436178</v>
      </c>
      <c r="L113" s="186">
        <f ca="1">'Large Use OLS Model (LC)'!$B$6*D113</f>
        <v>13104.124674707888</v>
      </c>
      <c r="M113" s="186">
        <f>'Large Use OLS Model (LC)'!$B$7*E113</f>
        <v>14769734.359261194</v>
      </c>
      <c r="N113" s="186">
        <v>0</v>
      </c>
      <c r="O113" s="186">
        <f>'Large Use OLS Model (LC)'!$B$8*G113</f>
        <v>0</v>
      </c>
      <c r="P113" s="186">
        <f>'Large Use OLS Model (LC)'!$B$9*H113</f>
        <v>0</v>
      </c>
      <c r="Q113" s="186">
        <f>'Large Use OLS Model (LC)'!$B$10*I113</f>
        <v>17537763.106774591</v>
      </c>
      <c r="R113" s="186">
        <f t="shared" ca="1" si="5"/>
        <v>20735416.147092693</v>
      </c>
    </row>
    <row r="114" spans="1:18">
      <c r="A114" s="128">
        <v>43221</v>
      </c>
      <c r="B114" s="186">
        <f t="shared" si="4"/>
        <v>2018</v>
      </c>
      <c r="C114" s="186">
        <f ca="1">'Monthly Data'!AQ114</f>
        <v>24335320.01605479</v>
      </c>
      <c r="D114" s="186">
        <f t="shared" ca="1" si="6"/>
        <v>56.062781954887214</v>
      </c>
      <c r="E114" s="168">
        <f>'Monthly Data'!BJ114</f>
        <v>7168.7321900906645</v>
      </c>
      <c r="F114" s="186">
        <f t="shared" si="8"/>
        <v>113</v>
      </c>
      <c r="G114" s="186">
        <f t="shared" si="9"/>
        <v>0</v>
      </c>
      <c r="H114" s="186">
        <f>'Monthly Data'!BY114</f>
        <v>0</v>
      </c>
      <c r="I114" s="186">
        <f t="shared" si="9"/>
        <v>31</v>
      </c>
      <c r="K114" s="186">
        <f>'Large Use OLS Model (LC)'!$B$5</f>
        <v>-11585185.4436178</v>
      </c>
      <c r="L114" s="186">
        <f ca="1">'Large Use OLS Model (LC)'!$B$6*D114</f>
        <v>1441985.5374594755</v>
      </c>
      <c r="M114" s="186">
        <f>'Large Use OLS Model (LC)'!$B$7*E114</f>
        <v>14907491.574389637</v>
      </c>
      <c r="N114" s="186">
        <v>0</v>
      </c>
      <c r="O114" s="186">
        <f>'Large Use OLS Model (LC)'!$B$8*G114</f>
        <v>0</v>
      </c>
      <c r="P114" s="186">
        <f>'Large Use OLS Model (LC)'!$B$9*H114</f>
        <v>0</v>
      </c>
      <c r="Q114" s="186">
        <f>'Large Use OLS Model (LC)'!$B$10*I114</f>
        <v>18122355.210333746</v>
      </c>
      <c r="R114" s="186">
        <f t="shared" ca="1" si="5"/>
        <v>22886646.878565058</v>
      </c>
    </row>
    <row r="115" spans="1:18">
      <c r="A115" s="128">
        <v>43252</v>
      </c>
      <c r="B115" s="186">
        <f t="shared" si="4"/>
        <v>2018</v>
      </c>
      <c r="C115" s="186">
        <f ca="1">'Monthly Data'!AQ115</f>
        <v>25658165.154656086</v>
      </c>
      <c r="D115" s="186">
        <f t="shared" ca="1" si="6"/>
        <v>116.89315789473682</v>
      </c>
      <c r="E115" s="168">
        <f>'Monthly Data'!BJ115</f>
        <v>7263.1535863809013</v>
      </c>
      <c r="F115" s="186">
        <f t="shared" si="8"/>
        <v>114</v>
      </c>
      <c r="G115" s="186">
        <f t="shared" ref="G115:G121" si="10">G103</f>
        <v>0</v>
      </c>
      <c r="H115" s="186">
        <f>'Monthly Data'!BY115</f>
        <v>0</v>
      </c>
      <c r="I115" s="186">
        <f t="shared" ref="G115:I130" si="11">I103</f>
        <v>30</v>
      </c>
      <c r="K115" s="186">
        <f>'Large Use OLS Model (LC)'!$B$5</f>
        <v>-11585185.4436178</v>
      </c>
      <c r="L115" s="186">
        <f ca="1">'Large Use OLS Model (LC)'!$B$6*D115</f>
        <v>3006597.9110314827</v>
      </c>
      <c r="M115" s="186">
        <f>'Large Use OLS Model (LC)'!$B$7*E115</f>
        <v>15103842.356133794</v>
      </c>
      <c r="N115" s="186">
        <v>0</v>
      </c>
      <c r="O115" s="186">
        <f>'Large Use OLS Model (LC)'!$B$8*G115</f>
        <v>0</v>
      </c>
      <c r="P115" s="186">
        <f>'Large Use OLS Model (LC)'!$B$9*H115</f>
        <v>0</v>
      </c>
      <c r="Q115" s="186">
        <f>'Large Use OLS Model (LC)'!$B$10*I115</f>
        <v>17537763.106774591</v>
      </c>
      <c r="R115" s="186">
        <f t="shared" ca="1" si="5"/>
        <v>24063017.930322066</v>
      </c>
    </row>
    <row r="116" spans="1:18">
      <c r="A116" s="128">
        <v>43282</v>
      </c>
      <c r="B116" s="186">
        <f t="shared" si="4"/>
        <v>2018</v>
      </c>
      <c r="C116" s="186">
        <f ca="1">'Monthly Data'!AQ116</f>
        <v>25560862.437886547</v>
      </c>
      <c r="D116" s="186">
        <f t="shared" ca="1" si="6"/>
        <v>186.96526315789481</v>
      </c>
      <c r="E116" s="168">
        <f>'Monthly Data'!BJ116</f>
        <v>7346.3842986663703</v>
      </c>
      <c r="F116" s="186">
        <f t="shared" si="8"/>
        <v>115</v>
      </c>
      <c r="G116" s="186">
        <f t="shared" si="10"/>
        <v>1</v>
      </c>
      <c r="H116" s="186">
        <f>'Monthly Data'!BY116</f>
        <v>0</v>
      </c>
      <c r="I116" s="186">
        <f t="shared" si="11"/>
        <v>31</v>
      </c>
      <c r="K116" s="186">
        <f>'Large Use OLS Model (LC)'!$B$5</f>
        <v>-11585185.4436178</v>
      </c>
      <c r="L116" s="186">
        <f ca="1">'Large Use OLS Model (LC)'!$B$6*D116</f>
        <v>4808915.9346022606</v>
      </c>
      <c r="M116" s="186">
        <f>'Large Use OLS Model (LC)'!$B$7*E116</f>
        <v>15276921.934115684</v>
      </c>
      <c r="N116" s="186">
        <v>0</v>
      </c>
      <c r="O116" s="186">
        <f>'Large Use OLS Model (LC)'!$B$8*G116</f>
        <v>-947874.12245155603</v>
      </c>
      <c r="P116" s="186">
        <f>'Large Use OLS Model (LC)'!$B$9*H116</f>
        <v>0</v>
      </c>
      <c r="Q116" s="186">
        <f>'Large Use OLS Model (LC)'!$B$10*I116</f>
        <v>18122355.210333746</v>
      </c>
      <c r="R116" s="186">
        <f t="shared" ca="1" si="5"/>
        <v>25675133.512982335</v>
      </c>
    </row>
    <row r="117" spans="1:18">
      <c r="A117" s="128">
        <v>43313</v>
      </c>
      <c r="B117" s="186">
        <f t="shared" si="4"/>
        <v>2018</v>
      </c>
      <c r="C117" s="186">
        <f ca="1">'Monthly Data'!AQ117</f>
        <v>24886166.479797948</v>
      </c>
      <c r="D117" s="186">
        <f t="shared" ca="1" si="6"/>
        <v>167.43443609022574</v>
      </c>
      <c r="E117" s="168">
        <f>'Monthly Data'!BJ117</f>
        <v>7349.8813874178613</v>
      </c>
      <c r="F117" s="186">
        <f t="shared" si="8"/>
        <v>116</v>
      </c>
      <c r="G117" s="186">
        <f t="shared" si="10"/>
        <v>0</v>
      </c>
      <c r="H117" s="186">
        <f>'Monthly Data'!BY117</f>
        <v>0</v>
      </c>
      <c r="I117" s="186">
        <f t="shared" si="11"/>
        <v>31</v>
      </c>
      <c r="K117" s="186">
        <f>'Large Use OLS Model (LC)'!$B$5</f>
        <v>-11585185.4436178</v>
      </c>
      <c r="L117" s="186">
        <f ca="1">'Large Use OLS Model (LC)'!$B$6*D117</f>
        <v>4306565.370035856</v>
      </c>
      <c r="M117" s="186">
        <f>'Large Use OLS Model (LC)'!$B$7*E117</f>
        <v>15284194.185291395</v>
      </c>
      <c r="N117" s="186">
        <v>0</v>
      </c>
      <c r="O117" s="186">
        <f>'Large Use OLS Model (LC)'!$B$8*G117</f>
        <v>0</v>
      </c>
      <c r="P117" s="186">
        <f>'Large Use OLS Model (LC)'!$B$9*H117</f>
        <v>0</v>
      </c>
      <c r="Q117" s="186">
        <f>'Large Use OLS Model (LC)'!$B$10*I117</f>
        <v>18122355.210333746</v>
      </c>
      <c r="R117" s="186">
        <f t="shared" ca="1" si="5"/>
        <v>26127929.322043195</v>
      </c>
    </row>
    <row r="118" spans="1:18">
      <c r="A118" s="128">
        <v>43344</v>
      </c>
      <c r="B118" s="186">
        <f t="shared" si="4"/>
        <v>2018</v>
      </c>
      <c r="C118" s="186">
        <f ca="1">'Monthly Data'!AQ118</f>
        <v>23757578.362426121</v>
      </c>
      <c r="D118" s="186">
        <f t="shared" ca="1" si="6"/>
        <v>83.003533834586506</v>
      </c>
      <c r="E118" s="168">
        <f>'Monthly Data'!BJ118</f>
        <v>7309.115324257632</v>
      </c>
      <c r="F118" s="186">
        <f t="shared" si="8"/>
        <v>117</v>
      </c>
      <c r="G118" s="186">
        <f t="shared" si="10"/>
        <v>0</v>
      </c>
      <c r="H118" s="186">
        <f>'Monthly Data'!BY118</f>
        <v>0</v>
      </c>
      <c r="I118" s="186">
        <f t="shared" si="11"/>
        <v>30</v>
      </c>
      <c r="K118" s="186">
        <f>'Large Use OLS Model (LC)'!$B$5</f>
        <v>-11585185.4436178</v>
      </c>
      <c r="L118" s="186">
        <f ca="1">'Large Use OLS Model (LC)'!$B$6*D118</f>
        <v>2134926.0806182334</v>
      </c>
      <c r="M118" s="186">
        <f>'Large Use OLS Model (LC)'!$B$7*E118</f>
        <v>15199420.514443124</v>
      </c>
      <c r="N118" s="186">
        <v>0</v>
      </c>
      <c r="O118" s="186">
        <f>'Large Use OLS Model (LC)'!$B$8*G118</f>
        <v>0</v>
      </c>
      <c r="P118" s="186">
        <f>'Large Use OLS Model (LC)'!$B$9*H118</f>
        <v>0</v>
      </c>
      <c r="Q118" s="186">
        <f>'Large Use OLS Model (LC)'!$B$10*I118</f>
        <v>17537763.106774591</v>
      </c>
      <c r="R118" s="186">
        <f t="shared" ca="1" si="5"/>
        <v>23286924.258218147</v>
      </c>
    </row>
    <row r="119" spans="1:18">
      <c r="A119" s="128">
        <v>43374</v>
      </c>
      <c r="B119" s="186">
        <f t="shared" si="4"/>
        <v>2018</v>
      </c>
      <c r="C119" s="186">
        <f ca="1">'Monthly Data'!AQ119</f>
        <v>20871681.533939313</v>
      </c>
      <c r="D119" s="186">
        <f t="shared" ca="1" si="6"/>
        <v>16.916090225563948</v>
      </c>
      <c r="E119" s="168">
        <f>'Monthly Data'!BJ119</f>
        <v>7268.3492610974017</v>
      </c>
      <c r="F119" s="186">
        <f t="shared" si="8"/>
        <v>118</v>
      </c>
      <c r="G119" s="186">
        <f t="shared" si="10"/>
        <v>0</v>
      </c>
      <c r="H119" s="186">
        <f>'Monthly Data'!BY119</f>
        <v>0</v>
      </c>
      <c r="I119" s="186">
        <f t="shared" si="11"/>
        <v>31</v>
      </c>
      <c r="K119" s="186">
        <f>'Large Use OLS Model (LC)'!$B$5</f>
        <v>-11585185.4436178</v>
      </c>
      <c r="L119" s="186">
        <f ca="1">'Large Use OLS Model (LC)'!$B$6*D119</f>
        <v>435097.16437638173</v>
      </c>
      <c r="M119" s="186">
        <f>'Large Use OLS Model (LC)'!$B$7*E119</f>
        <v>15114646.843594849</v>
      </c>
      <c r="N119" s="186">
        <v>0</v>
      </c>
      <c r="O119" s="186">
        <f>'Large Use OLS Model (LC)'!$B$8*G119</f>
        <v>0</v>
      </c>
      <c r="P119" s="186">
        <f>'Large Use OLS Model (LC)'!$B$9*H119</f>
        <v>0</v>
      </c>
      <c r="Q119" s="186">
        <f>'Large Use OLS Model (LC)'!$B$10*I119</f>
        <v>18122355.210333746</v>
      </c>
      <c r="R119" s="186">
        <f t="shared" ca="1" si="5"/>
        <v>22086913.774687178</v>
      </c>
    </row>
    <row r="120" spans="1:18">
      <c r="A120" s="128">
        <v>43405</v>
      </c>
      <c r="B120" s="186">
        <f t="shared" si="4"/>
        <v>2018</v>
      </c>
      <c r="C120" s="186">
        <f ca="1">'Monthly Data'!AQ120</f>
        <v>18668697.394417163</v>
      </c>
      <c r="D120" s="186">
        <f t="shared" ca="1" si="6"/>
        <v>8.120300751879661E-2</v>
      </c>
      <c r="E120" s="168">
        <f>'Monthly Data'!BJ120</f>
        <v>7272.9454348850759</v>
      </c>
      <c r="F120" s="186">
        <f t="shared" si="8"/>
        <v>119</v>
      </c>
      <c r="G120" s="186">
        <f t="shared" si="10"/>
        <v>0</v>
      </c>
      <c r="H120" s="186">
        <f>'Monthly Data'!BY120</f>
        <v>0</v>
      </c>
      <c r="I120" s="186">
        <f t="shared" si="11"/>
        <v>30</v>
      </c>
      <c r="K120" s="186">
        <f>'Large Use OLS Model (LC)'!$B$5</f>
        <v>-11585185.4436178</v>
      </c>
      <c r="L120" s="186">
        <f ca="1">'Large Use OLS Model (LC)'!$B$6*D120</f>
        <v>2088.6149127337453</v>
      </c>
      <c r="M120" s="186">
        <f>'Large Use OLS Model (LC)'!$B$7*E120</f>
        <v>15124204.659425786</v>
      </c>
      <c r="N120" s="186">
        <v>0</v>
      </c>
      <c r="O120" s="186">
        <f>'Large Use OLS Model (LC)'!$B$8*G120</f>
        <v>0</v>
      </c>
      <c r="P120" s="186">
        <f>'Large Use OLS Model (LC)'!$B$9*H120</f>
        <v>0</v>
      </c>
      <c r="Q120" s="186">
        <f>'Large Use OLS Model (LC)'!$B$10*I120</f>
        <v>17537763.106774591</v>
      </c>
      <c r="R120" s="186">
        <f t="shared" ca="1" si="5"/>
        <v>21078870.93749531</v>
      </c>
    </row>
    <row r="121" spans="1:18">
      <c r="A121" s="128">
        <v>43435</v>
      </c>
      <c r="B121" s="186">
        <f t="shared" si="4"/>
        <v>2018</v>
      </c>
      <c r="C121" s="186">
        <f ca="1">'Monthly Data'!AQ121</f>
        <v>19588246.58569143</v>
      </c>
      <c r="D121" s="186">
        <f t="shared" ca="1" si="6"/>
        <v>0</v>
      </c>
      <c r="E121" s="168">
        <f>'Monthly Data'!BJ121</f>
        <v>7296.6257215737387</v>
      </c>
      <c r="F121" s="186">
        <f t="shared" si="8"/>
        <v>120</v>
      </c>
      <c r="G121" s="186">
        <f t="shared" si="10"/>
        <v>0</v>
      </c>
      <c r="H121" s="186">
        <f>'Monthly Data'!BY121</f>
        <v>1</v>
      </c>
      <c r="I121" s="186">
        <f t="shared" si="11"/>
        <v>31</v>
      </c>
      <c r="K121" s="186">
        <f>'Large Use OLS Model (LC)'!$B$5</f>
        <v>-11585185.4436178</v>
      </c>
      <c r="L121" s="186">
        <f ca="1">'Large Use OLS Model (LC)'!$B$6*D121</f>
        <v>0</v>
      </c>
      <c r="M121" s="186">
        <f>'Large Use OLS Model (LC)'!$B$7*E121</f>
        <v>15173448.18881559</v>
      </c>
      <c r="N121" s="186">
        <v>0</v>
      </c>
      <c r="O121" s="186">
        <f>'Large Use OLS Model (LC)'!$B$8*G121</f>
        <v>0</v>
      </c>
      <c r="P121" s="186">
        <f>'Large Use OLS Model (LC)'!$B$9*H121</f>
        <v>-1776727.9579078101</v>
      </c>
      <c r="Q121" s="186">
        <f>'Large Use OLS Model (LC)'!$B$10*I121</f>
        <v>18122355.210333746</v>
      </c>
      <c r="R121" s="186">
        <f t="shared" ca="1" si="5"/>
        <v>19933889.997623727</v>
      </c>
    </row>
    <row r="122" spans="1:18">
      <c r="A122" s="128">
        <v>43466</v>
      </c>
      <c r="B122" s="186">
        <f t="shared" si="4"/>
        <v>2019</v>
      </c>
      <c r="D122" s="186">
        <f t="shared" ca="1" si="6"/>
        <v>0</v>
      </c>
      <c r="E122" s="168">
        <f>E110*(1+Employment!$L$4)</f>
        <v>7341.4998048986618</v>
      </c>
      <c r="F122" s="186">
        <f t="shared" si="8"/>
        <v>121</v>
      </c>
      <c r="G122" s="186">
        <f t="shared" si="11"/>
        <v>0</v>
      </c>
      <c r="H122" s="186">
        <f t="shared" si="11"/>
        <v>0</v>
      </c>
      <c r="I122" s="186">
        <f t="shared" si="11"/>
        <v>31</v>
      </c>
      <c r="K122" s="186">
        <f>'Large Use OLS Model (LC)'!$B$5</f>
        <v>-11585185.4436178</v>
      </c>
      <c r="L122" s="186">
        <f ca="1">'Large Use OLS Model (LC)'!$B$6*D122</f>
        <v>0</v>
      </c>
      <c r="M122" s="186">
        <f>'Large Use OLS Model (LC)'!$B$7*E122</f>
        <v>15266764.552342108</v>
      </c>
      <c r="N122" s="186">
        <v>0</v>
      </c>
      <c r="O122" s="186">
        <f>'Large Use OLS Model (LC)'!$B$8*G122</f>
        <v>0</v>
      </c>
      <c r="P122" s="186">
        <f>'Large Use OLS Model (LC)'!$B$9*H122</f>
        <v>0</v>
      </c>
      <c r="Q122" s="186">
        <f>'Large Use OLS Model (LC)'!$B$10*I122</f>
        <v>18122355.210333746</v>
      </c>
      <c r="R122" s="186">
        <f t="shared" ca="1" si="5"/>
        <v>21803934.319058053</v>
      </c>
    </row>
    <row r="123" spans="1:18">
      <c r="A123" s="128">
        <v>43497</v>
      </c>
      <c r="B123" s="186">
        <f t="shared" si="4"/>
        <v>2019</v>
      </c>
      <c r="D123" s="186">
        <f t="shared" ca="1" si="6"/>
        <v>0</v>
      </c>
      <c r="E123" s="168">
        <f>E111*(1+Employment!$L$4)</f>
        <v>7293.5977622824184</v>
      </c>
      <c r="F123" s="186">
        <f t="shared" si="8"/>
        <v>122</v>
      </c>
      <c r="G123" s="186">
        <f t="shared" si="11"/>
        <v>0</v>
      </c>
      <c r="H123" s="186">
        <f t="shared" si="11"/>
        <v>0</v>
      </c>
      <c r="I123" s="186">
        <f t="shared" si="11"/>
        <v>29</v>
      </c>
      <c r="K123" s="186">
        <f>'Large Use OLS Model (LC)'!$B$5</f>
        <v>-11585185.4436178</v>
      </c>
      <c r="L123" s="186">
        <f ca="1">'Large Use OLS Model (LC)'!$B$6*D123</f>
        <v>0</v>
      </c>
      <c r="M123" s="186">
        <f>'Large Use OLS Model (LC)'!$B$7*E123</f>
        <v>15167151.49974617</v>
      </c>
      <c r="N123" s="186">
        <v>0</v>
      </c>
      <c r="O123" s="186">
        <f>'Large Use OLS Model (LC)'!$B$8*G123</f>
        <v>0</v>
      </c>
      <c r="P123" s="186">
        <f>'Large Use OLS Model (LC)'!$B$9*H123</f>
        <v>0</v>
      </c>
      <c r="Q123" s="186">
        <f>'Large Use OLS Model (LC)'!$B$10*I123</f>
        <v>16953171.00321544</v>
      </c>
      <c r="R123" s="186">
        <f t="shared" ca="1" si="5"/>
        <v>20535137.059343807</v>
      </c>
    </row>
    <row r="124" spans="1:18">
      <c r="A124" s="128">
        <v>43525</v>
      </c>
      <c r="B124" s="186">
        <f t="shared" si="4"/>
        <v>2019</v>
      </c>
      <c r="D124" s="186">
        <f t="shared" ca="1" si="6"/>
        <v>0.45218045112781802</v>
      </c>
      <c r="E124" s="168">
        <f>E112*(1+Employment!$L$4)</f>
        <v>7249.0734277993733</v>
      </c>
      <c r="F124" s="186">
        <f t="shared" si="8"/>
        <v>123</v>
      </c>
      <c r="G124" s="186">
        <f t="shared" si="11"/>
        <v>0</v>
      </c>
      <c r="H124" s="186">
        <f t="shared" si="11"/>
        <v>0</v>
      </c>
      <c r="I124" s="186">
        <f t="shared" si="11"/>
        <v>31</v>
      </c>
      <c r="K124" s="186">
        <f>'Large Use OLS Model (LC)'!$B$5</f>
        <v>-11585185.4436178</v>
      </c>
      <c r="L124" s="186">
        <f ca="1">'Large Use OLS Model (LC)'!$B$6*D124</f>
        <v>11630.490819611816</v>
      </c>
      <c r="M124" s="186">
        <f>'Large Use OLS Model (LC)'!$B$7*E124</f>
        <v>15074562.444448665</v>
      </c>
      <c r="N124" s="186">
        <v>0</v>
      </c>
      <c r="O124" s="186">
        <f>'Large Use OLS Model (LC)'!$B$8*G124</f>
        <v>0</v>
      </c>
      <c r="P124" s="186">
        <f>'Large Use OLS Model (LC)'!$B$9*H124</f>
        <v>0</v>
      </c>
      <c r="Q124" s="186">
        <f>'Large Use OLS Model (LC)'!$B$10*I124</f>
        <v>18122355.210333746</v>
      </c>
      <c r="R124" s="186">
        <f t="shared" ca="1" si="5"/>
        <v>21623362.701984223</v>
      </c>
    </row>
    <row r="125" spans="1:18">
      <c r="A125" s="128">
        <v>43556</v>
      </c>
      <c r="B125" s="186">
        <f t="shared" si="4"/>
        <v>2019</v>
      </c>
      <c r="D125" s="186">
        <f t="shared" ca="1" si="6"/>
        <v>0.50947368421054762</v>
      </c>
      <c r="E125" s="168">
        <f>E113*(1+Employment!$L$4)</f>
        <v>7275.7880284892008</v>
      </c>
      <c r="F125" s="186">
        <f t="shared" si="8"/>
        <v>124</v>
      </c>
      <c r="G125" s="186">
        <f t="shared" si="11"/>
        <v>0</v>
      </c>
      <c r="H125" s="186">
        <f t="shared" si="11"/>
        <v>0</v>
      </c>
      <c r="I125" s="186">
        <f t="shared" si="11"/>
        <v>30</v>
      </c>
      <c r="K125" s="186">
        <f>'Large Use OLS Model (LC)'!$B$5</f>
        <v>-11585185.4436178</v>
      </c>
      <c r="L125" s="186">
        <f ca="1">'Large Use OLS Model (LC)'!$B$6*D125</f>
        <v>13104.124674707888</v>
      </c>
      <c r="M125" s="186">
        <f>'Large Use OLS Model (LC)'!$B$7*E125</f>
        <v>15130115.877627168</v>
      </c>
      <c r="N125" s="186">
        <v>0</v>
      </c>
      <c r="O125" s="186">
        <f>'Large Use OLS Model (LC)'!$B$8*G125</f>
        <v>0</v>
      </c>
      <c r="P125" s="186">
        <f>'Large Use OLS Model (LC)'!$B$9*H125</f>
        <v>0</v>
      </c>
      <c r="Q125" s="186">
        <f>'Large Use OLS Model (LC)'!$B$10*I125</f>
        <v>17537763.106774591</v>
      </c>
      <c r="R125" s="186">
        <f t="shared" ca="1" si="5"/>
        <v>21095797.665458664</v>
      </c>
    </row>
    <row r="126" spans="1:18">
      <c r="A126" s="128">
        <v>43586</v>
      </c>
      <c r="B126" s="186">
        <f t="shared" si="4"/>
        <v>2019</v>
      </c>
      <c r="D126" s="186">
        <f t="shared" ca="1" si="6"/>
        <v>56.062781954887214</v>
      </c>
      <c r="E126" s="168">
        <f>E114*(1+Employment!$L$4)</f>
        <v>7343.6492555288769</v>
      </c>
      <c r="F126" s="186">
        <f t="shared" si="8"/>
        <v>125</v>
      </c>
      <c r="G126" s="186">
        <f t="shared" si="11"/>
        <v>0</v>
      </c>
      <c r="H126" s="186">
        <f t="shared" si="11"/>
        <v>0</v>
      </c>
      <c r="I126" s="186">
        <f t="shared" si="11"/>
        <v>31</v>
      </c>
      <c r="K126" s="186">
        <f>'Large Use OLS Model (LC)'!$B$5</f>
        <v>-11585185.4436178</v>
      </c>
      <c r="L126" s="186">
        <f ca="1">'Large Use OLS Model (LC)'!$B$6*D126</f>
        <v>1441985.5374594755</v>
      </c>
      <c r="M126" s="186">
        <f>'Large Use OLS Model (LC)'!$B$7*E126</f>
        <v>15271234.368804744</v>
      </c>
      <c r="N126" s="186">
        <v>0</v>
      </c>
      <c r="O126" s="186">
        <f>'Large Use OLS Model (LC)'!$B$8*G126</f>
        <v>0</v>
      </c>
      <c r="P126" s="186">
        <f>'Large Use OLS Model (LC)'!$B$9*H126</f>
        <v>0</v>
      </c>
      <c r="Q126" s="186">
        <f>'Large Use OLS Model (LC)'!$B$10*I126</f>
        <v>18122355.210333746</v>
      </c>
      <c r="R126" s="186">
        <f t="shared" ca="1" si="5"/>
        <v>23250389.672980167</v>
      </c>
    </row>
    <row r="127" spans="1:18">
      <c r="A127" s="128">
        <v>43617</v>
      </c>
      <c r="B127" s="186">
        <f t="shared" si="4"/>
        <v>2019</v>
      </c>
      <c r="D127" s="186">
        <f t="shared" ca="1" si="6"/>
        <v>116.89315789473682</v>
      </c>
      <c r="E127" s="168">
        <f>E115*(1+Employment!$L$4)</f>
        <v>7440.3745338885947</v>
      </c>
      <c r="F127" s="186">
        <f t="shared" si="8"/>
        <v>126</v>
      </c>
      <c r="G127" s="186">
        <f t="shared" si="11"/>
        <v>0</v>
      </c>
      <c r="H127" s="186">
        <f t="shared" si="11"/>
        <v>0</v>
      </c>
      <c r="I127" s="186">
        <f t="shared" si="11"/>
        <v>30</v>
      </c>
      <c r="K127" s="186">
        <f>'Large Use OLS Model (LC)'!$B$5</f>
        <v>-11585185.4436178</v>
      </c>
      <c r="L127" s="186">
        <f ca="1">'Large Use OLS Model (LC)'!$B$6*D127</f>
        <v>3006597.9110314827</v>
      </c>
      <c r="M127" s="186">
        <f>'Large Use OLS Model (LC)'!$B$7*E127</f>
        <v>15472376.109623458</v>
      </c>
      <c r="N127" s="186">
        <v>0</v>
      </c>
      <c r="O127" s="186">
        <f>'Large Use OLS Model (LC)'!$B$8*G127</f>
        <v>0</v>
      </c>
      <c r="P127" s="186">
        <f>'Large Use OLS Model (LC)'!$B$9*H127</f>
        <v>0</v>
      </c>
      <c r="Q127" s="186">
        <f>'Large Use OLS Model (LC)'!$B$10*I127</f>
        <v>17537763.106774591</v>
      </c>
      <c r="R127" s="186">
        <f t="shared" ca="1" si="5"/>
        <v>24431551.683811732</v>
      </c>
    </row>
    <row r="128" spans="1:18">
      <c r="A128" s="128">
        <v>43647</v>
      </c>
      <c r="B128" s="186">
        <f t="shared" si="4"/>
        <v>2019</v>
      </c>
      <c r="D128" s="186">
        <f t="shared" ca="1" si="6"/>
        <v>186.96526315789481</v>
      </c>
      <c r="E128" s="168">
        <f>E116*(1+Employment!$L$4)</f>
        <v>7525.6360755538299</v>
      </c>
      <c r="F128" s="186">
        <f t="shared" si="8"/>
        <v>127</v>
      </c>
      <c r="G128" s="186">
        <f t="shared" si="11"/>
        <v>1</v>
      </c>
      <c r="H128" s="186">
        <f t="shared" si="11"/>
        <v>0</v>
      </c>
      <c r="I128" s="186">
        <f t="shared" si="11"/>
        <v>31</v>
      </c>
      <c r="K128" s="186">
        <f>'Large Use OLS Model (LC)'!$B$5</f>
        <v>-11585185.4436178</v>
      </c>
      <c r="L128" s="186">
        <f ca="1">'Large Use OLS Model (LC)'!$B$6*D128</f>
        <v>4808915.9346022606</v>
      </c>
      <c r="M128" s="186">
        <f>'Large Use OLS Model (LC)'!$B$7*E128</f>
        <v>15649678.829308107</v>
      </c>
      <c r="N128" s="186">
        <v>0</v>
      </c>
      <c r="O128" s="186">
        <f>'Large Use OLS Model (LC)'!$B$8*G128</f>
        <v>-947874.12245155603</v>
      </c>
      <c r="P128" s="186">
        <f>'Large Use OLS Model (LC)'!$B$9*H128</f>
        <v>0</v>
      </c>
      <c r="Q128" s="186">
        <f>'Large Use OLS Model (LC)'!$B$10*I128</f>
        <v>18122355.210333746</v>
      </c>
      <c r="R128" s="186">
        <f t="shared" ca="1" si="5"/>
        <v>26047890.408174757</v>
      </c>
    </row>
    <row r="129" spans="1:18">
      <c r="A129" s="128">
        <v>43678</v>
      </c>
      <c r="B129" s="186">
        <f t="shared" si="4"/>
        <v>2019</v>
      </c>
      <c r="D129" s="186">
        <f t="shared" ca="1" si="6"/>
        <v>167.43443609022574</v>
      </c>
      <c r="E129" s="168">
        <f>E117*(1+Employment!$L$4)</f>
        <v>7529.2184932708569</v>
      </c>
      <c r="F129" s="186">
        <f t="shared" si="8"/>
        <v>128</v>
      </c>
      <c r="G129" s="186">
        <f t="shared" si="11"/>
        <v>0</v>
      </c>
      <c r="H129" s="186">
        <f t="shared" si="11"/>
        <v>0</v>
      </c>
      <c r="I129" s="186">
        <f t="shared" si="11"/>
        <v>31</v>
      </c>
      <c r="K129" s="186">
        <f>'Large Use OLS Model (LC)'!$B$5</f>
        <v>-11585185.4436178</v>
      </c>
      <c r="L129" s="186">
        <f ca="1">'Large Use OLS Model (LC)'!$B$6*D129</f>
        <v>4306565.370035856</v>
      </c>
      <c r="M129" s="186">
        <f>'Large Use OLS Model (LC)'!$B$7*E129</f>
        <v>15657128.523412505</v>
      </c>
      <c r="N129" s="186">
        <v>0</v>
      </c>
      <c r="O129" s="186">
        <f>'Large Use OLS Model (LC)'!$B$8*G129</f>
        <v>0</v>
      </c>
      <c r="P129" s="186">
        <f>'Large Use OLS Model (LC)'!$B$9*H129</f>
        <v>0</v>
      </c>
      <c r="Q129" s="186">
        <f>'Large Use OLS Model (LC)'!$B$10*I129</f>
        <v>18122355.210333746</v>
      </c>
      <c r="R129" s="186">
        <f t="shared" ca="1" si="5"/>
        <v>26500863.660164308</v>
      </c>
    </row>
    <row r="130" spans="1:18">
      <c r="A130" s="128">
        <v>43709</v>
      </c>
      <c r="B130" s="186">
        <f t="shared" ref="B130:B145" si="12">YEAR(A130)</f>
        <v>2019</v>
      </c>
      <c r="D130" s="186">
        <f t="shared" ca="1" si="6"/>
        <v>83.003533834586506</v>
      </c>
      <c r="E130" s="168">
        <f>E118*(1+Employment!$L$4)</f>
        <v>7487.4577381695181</v>
      </c>
      <c r="F130" s="186">
        <f t="shared" si="8"/>
        <v>129</v>
      </c>
      <c r="G130" s="186">
        <f t="shared" si="11"/>
        <v>0</v>
      </c>
      <c r="H130" s="186">
        <f t="shared" si="11"/>
        <v>0</v>
      </c>
      <c r="I130" s="186">
        <f t="shared" si="11"/>
        <v>30</v>
      </c>
      <c r="K130" s="186">
        <f>'Large Use OLS Model (LC)'!$B$5</f>
        <v>-11585185.4436178</v>
      </c>
      <c r="L130" s="186">
        <f ca="1">'Large Use OLS Model (LC)'!$B$6*D130</f>
        <v>2134926.0806182334</v>
      </c>
      <c r="M130" s="186">
        <f>'Large Use OLS Model (LC)'!$B$7*E130</f>
        <v>15570286.374995535</v>
      </c>
      <c r="N130" s="186">
        <v>0</v>
      </c>
      <c r="O130" s="186">
        <f>'Large Use OLS Model (LC)'!$B$8*G130</f>
        <v>0</v>
      </c>
      <c r="P130" s="186">
        <f>'Large Use OLS Model (LC)'!$B$9*H130</f>
        <v>0</v>
      </c>
      <c r="Q130" s="186">
        <f>'Large Use OLS Model (LC)'!$B$10*I130</f>
        <v>17537763.106774591</v>
      </c>
      <c r="R130" s="186">
        <f t="shared" ref="R130:R145" ca="1" si="13">SUM(K130:Q130)</f>
        <v>23657790.118770562</v>
      </c>
    </row>
    <row r="131" spans="1:18">
      <c r="A131" s="128">
        <v>43739</v>
      </c>
      <c r="B131" s="186">
        <f t="shared" si="12"/>
        <v>2019</v>
      </c>
      <c r="D131" s="186">
        <f t="shared" ca="1" si="6"/>
        <v>16.916090225563948</v>
      </c>
      <c r="E131" s="168">
        <f>E119*(1+Employment!$L$4)</f>
        <v>7445.6969830681783</v>
      </c>
      <c r="F131" s="186">
        <f t="shared" si="8"/>
        <v>130</v>
      </c>
      <c r="G131" s="186">
        <f t="shared" ref="G131:I145" si="14">G119</f>
        <v>0</v>
      </c>
      <c r="H131" s="186">
        <f t="shared" si="14"/>
        <v>0</v>
      </c>
      <c r="I131" s="186">
        <f t="shared" si="14"/>
        <v>31</v>
      </c>
      <c r="K131" s="186">
        <f>'Large Use OLS Model (LC)'!$B$5</f>
        <v>-11585185.4436178</v>
      </c>
      <c r="L131" s="186">
        <f ca="1">'Large Use OLS Model (LC)'!$B$6*D131</f>
        <v>435097.16437638173</v>
      </c>
      <c r="M131" s="186">
        <f>'Large Use OLS Model (LC)'!$B$7*E131</f>
        <v>15483444.226578563</v>
      </c>
      <c r="N131" s="186">
        <v>0</v>
      </c>
      <c r="O131" s="186">
        <f>'Large Use OLS Model (LC)'!$B$8*G131</f>
        <v>0</v>
      </c>
      <c r="P131" s="186">
        <f>'Large Use OLS Model (LC)'!$B$9*H131</f>
        <v>0</v>
      </c>
      <c r="Q131" s="186">
        <f>'Large Use OLS Model (LC)'!$B$10*I131</f>
        <v>18122355.210333746</v>
      </c>
      <c r="R131" s="186">
        <f t="shared" ca="1" si="13"/>
        <v>22455711.157670893</v>
      </c>
    </row>
    <row r="132" spans="1:18">
      <c r="A132" s="128">
        <v>43770</v>
      </c>
      <c r="B132" s="186">
        <f t="shared" si="12"/>
        <v>2019</v>
      </c>
      <c r="D132" s="186">
        <f t="shared" ca="1" si="6"/>
        <v>8.120300751879661E-2</v>
      </c>
      <c r="E132" s="168">
        <f>E120*(1+Employment!$L$4)</f>
        <v>7450.4053034962717</v>
      </c>
      <c r="F132" s="186">
        <f t="shared" si="8"/>
        <v>131</v>
      </c>
      <c r="G132" s="186">
        <f t="shared" si="14"/>
        <v>0</v>
      </c>
      <c r="H132" s="186">
        <f t="shared" si="14"/>
        <v>0</v>
      </c>
      <c r="I132" s="186">
        <f t="shared" si="14"/>
        <v>30</v>
      </c>
      <c r="K132" s="186">
        <f>'Large Use OLS Model (LC)'!$B$5</f>
        <v>-11585185.4436178</v>
      </c>
      <c r="L132" s="186">
        <f ca="1">'Large Use OLS Model (LC)'!$B$6*D132</f>
        <v>2088.6149127337453</v>
      </c>
      <c r="M132" s="186">
        <f>'Large Use OLS Model (LC)'!$B$7*E132</f>
        <v>15493235.253115773</v>
      </c>
      <c r="N132" s="186">
        <v>0</v>
      </c>
      <c r="O132" s="186">
        <f>'Large Use OLS Model (LC)'!$B$8*G132</f>
        <v>0</v>
      </c>
      <c r="P132" s="186">
        <f>'Large Use OLS Model (LC)'!$B$9*H132</f>
        <v>0</v>
      </c>
      <c r="Q132" s="186">
        <f>'Large Use OLS Model (LC)'!$B$10*I132</f>
        <v>17537763.106774591</v>
      </c>
      <c r="R132" s="186">
        <f t="shared" ca="1" si="13"/>
        <v>21447901.531185299</v>
      </c>
    </row>
    <row r="133" spans="1:18">
      <c r="A133" s="128">
        <v>43800</v>
      </c>
      <c r="B133" s="186">
        <f t="shared" si="12"/>
        <v>2019</v>
      </c>
      <c r="D133" s="186">
        <f t="shared" ca="1" si="6"/>
        <v>0</v>
      </c>
      <c r="E133" s="168">
        <f>E121*(1+Employment!$L$4)</f>
        <v>7474.6633891801375</v>
      </c>
      <c r="F133" s="186">
        <f t="shared" si="8"/>
        <v>132</v>
      </c>
      <c r="G133" s="186">
        <f t="shared" si="14"/>
        <v>0</v>
      </c>
      <c r="H133" s="186">
        <f t="shared" si="14"/>
        <v>1</v>
      </c>
      <c r="I133" s="186">
        <f t="shared" si="14"/>
        <v>31</v>
      </c>
      <c r="K133" s="186">
        <f>'Large Use OLS Model (LC)'!$B$5</f>
        <v>-11585185.4436178</v>
      </c>
      <c r="L133" s="186">
        <f ca="1">'Large Use OLS Model (LC)'!$B$6*D133</f>
        <v>0</v>
      </c>
      <c r="M133" s="186">
        <f>'Large Use OLS Model (LC)'!$B$7*E133</f>
        <v>15543680.324622691</v>
      </c>
      <c r="N133" s="186">
        <v>0</v>
      </c>
      <c r="O133" s="186">
        <f>'Large Use OLS Model (LC)'!$B$8*G133</f>
        <v>0</v>
      </c>
      <c r="P133" s="186">
        <f>'Large Use OLS Model (LC)'!$B$9*H133</f>
        <v>-1776727.9579078101</v>
      </c>
      <c r="Q133" s="186">
        <f>'Large Use OLS Model (LC)'!$B$10*I133</f>
        <v>18122355.210333746</v>
      </c>
      <c r="R133" s="186">
        <f t="shared" ca="1" si="13"/>
        <v>20304122.133430827</v>
      </c>
    </row>
    <row r="134" spans="1:18">
      <c r="A134" s="128">
        <v>43831</v>
      </c>
      <c r="B134" s="186">
        <f t="shared" si="12"/>
        <v>2020</v>
      </c>
      <c r="D134" s="186">
        <f t="shared" ca="1" si="6"/>
        <v>0</v>
      </c>
      <c r="E134" s="168">
        <f>E122*(1+Employment!$L$5)</f>
        <v>7417.8514028696072</v>
      </c>
      <c r="F134" s="186">
        <f t="shared" si="8"/>
        <v>133</v>
      </c>
      <c r="G134" s="186">
        <f t="shared" si="14"/>
        <v>0</v>
      </c>
      <c r="H134" s="186">
        <f t="shared" si="14"/>
        <v>0</v>
      </c>
      <c r="I134" s="186">
        <f t="shared" si="14"/>
        <v>31</v>
      </c>
      <c r="K134" s="186">
        <f>'Large Use OLS Model (LC)'!$B$5</f>
        <v>-11585185.4436178</v>
      </c>
      <c r="L134" s="186">
        <f ca="1">'Large Use OLS Model (LC)'!$B$6*D134</f>
        <v>0</v>
      </c>
      <c r="M134" s="186">
        <f>'Large Use OLS Model (LC)'!$B$7*E134</f>
        <v>15425538.903686464</v>
      </c>
      <c r="N134" s="186">
        <v>0</v>
      </c>
      <c r="O134" s="186">
        <f>'Large Use OLS Model (LC)'!$B$8*G134</f>
        <v>0</v>
      </c>
      <c r="P134" s="186">
        <f>'Large Use OLS Model (LC)'!$B$9*H134</f>
        <v>0</v>
      </c>
      <c r="Q134" s="186">
        <f>'Large Use OLS Model (LC)'!$B$10*I134</f>
        <v>18122355.210333746</v>
      </c>
      <c r="R134" s="186">
        <f t="shared" ca="1" si="13"/>
        <v>21962708.670402408</v>
      </c>
    </row>
    <row r="135" spans="1:18">
      <c r="A135" s="128">
        <v>43862</v>
      </c>
      <c r="B135" s="186">
        <f t="shared" si="12"/>
        <v>2020</v>
      </c>
      <c r="D135" s="186">
        <f t="shared" ca="1" si="6"/>
        <v>0</v>
      </c>
      <c r="E135" s="168">
        <f>E123*(1+Employment!$L$5)</f>
        <v>7369.4511790101551</v>
      </c>
      <c r="F135" s="186">
        <f t="shared" si="8"/>
        <v>134</v>
      </c>
      <c r="G135" s="186">
        <f t="shared" si="14"/>
        <v>0</v>
      </c>
      <c r="H135" s="186">
        <f t="shared" si="14"/>
        <v>0</v>
      </c>
      <c r="I135" s="186">
        <f t="shared" si="14"/>
        <v>29</v>
      </c>
      <c r="K135" s="186">
        <f>'Large Use OLS Model (LC)'!$B$5</f>
        <v>-11585185.4436178</v>
      </c>
      <c r="L135" s="186">
        <f ca="1">'Large Use OLS Model (LC)'!$B$6*D135</f>
        <v>0</v>
      </c>
      <c r="M135" s="186">
        <f>'Large Use OLS Model (LC)'!$B$7*E135</f>
        <v>15324889.875343528</v>
      </c>
      <c r="N135" s="186">
        <v>0</v>
      </c>
      <c r="O135" s="186">
        <f>'Large Use OLS Model (LC)'!$B$8*G135</f>
        <v>0</v>
      </c>
      <c r="P135" s="186">
        <f>'Large Use OLS Model (LC)'!$B$9*H135</f>
        <v>0</v>
      </c>
      <c r="Q135" s="186">
        <f>'Large Use OLS Model (LC)'!$B$10*I135</f>
        <v>16953171.00321544</v>
      </c>
      <c r="R135" s="186">
        <f t="shared" ca="1" si="13"/>
        <v>20692875.434941165</v>
      </c>
    </row>
    <row r="136" spans="1:18">
      <c r="A136" s="128">
        <v>43891</v>
      </c>
      <c r="B136" s="186">
        <f t="shared" si="12"/>
        <v>2020</v>
      </c>
      <c r="D136" s="186">
        <f t="shared" ca="1" si="6"/>
        <v>0.45218045112781802</v>
      </c>
      <c r="E136" s="168">
        <f>E124*(1+Employment!$L$5)</f>
        <v>7324.4637914484865</v>
      </c>
      <c r="F136" s="186">
        <f t="shared" si="8"/>
        <v>135</v>
      </c>
      <c r="G136" s="186">
        <f t="shared" si="14"/>
        <v>0</v>
      </c>
      <c r="H136" s="186">
        <f t="shared" si="14"/>
        <v>0</v>
      </c>
      <c r="I136" s="186">
        <f t="shared" si="14"/>
        <v>31</v>
      </c>
      <c r="K136" s="186">
        <f>'Large Use OLS Model (LC)'!$B$5</f>
        <v>-11585185.4436178</v>
      </c>
      <c r="L136" s="186">
        <f ca="1">'Large Use OLS Model (LC)'!$B$6*D136</f>
        <v>11630.490819611816</v>
      </c>
      <c r="M136" s="186">
        <f>'Large Use OLS Model (LC)'!$B$7*E136</f>
        <v>15231337.893870931</v>
      </c>
      <c r="N136" s="186">
        <v>0</v>
      </c>
      <c r="O136" s="186">
        <f>'Large Use OLS Model (LC)'!$B$8*G136</f>
        <v>0</v>
      </c>
      <c r="P136" s="186">
        <f>'Large Use OLS Model (LC)'!$B$9*H136</f>
        <v>0</v>
      </c>
      <c r="Q136" s="186">
        <f>'Large Use OLS Model (LC)'!$B$10*I136</f>
        <v>18122355.210333746</v>
      </c>
      <c r="R136" s="186">
        <f t="shared" ca="1" si="13"/>
        <v>21780138.151406489</v>
      </c>
    </row>
    <row r="137" spans="1:18">
      <c r="A137" s="128">
        <v>43922</v>
      </c>
      <c r="B137" s="186">
        <f t="shared" si="12"/>
        <v>2020</v>
      </c>
      <c r="D137" s="186">
        <f t="shared" ca="1" si="6"/>
        <v>0.50947368421054762</v>
      </c>
      <c r="E137" s="168">
        <f>E125*(1+Employment!$L$5)</f>
        <v>7351.4562239854886</v>
      </c>
      <c r="F137" s="186">
        <f t="shared" si="8"/>
        <v>136</v>
      </c>
      <c r="G137" s="186">
        <f t="shared" si="14"/>
        <v>0</v>
      </c>
      <c r="H137" s="186">
        <f t="shared" si="14"/>
        <v>0</v>
      </c>
      <c r="I137" s="186">
        <f t="shared" si="14"/>
        <v>30</v>
      </c>
      <c r="K137" s="186">
        <f>'Large Use OLS Model (LC)'!$B$5</f>
        <v>-11585185.4436178</v>
      </c>
      <c r="L137" s="186">
        <f ca="1">'Large Use OLS Model (LC)'!$B$6*D137</f>
        <v>13104.124674707888</v>
      </c>
      <c r="M137" s="186">
        <f>'Large Use OLS Model (LC)'!$B$7*E137</f>
        <v>15287469.082754491</v>
      </c>
      <c r="N137" s="186">
        <v>0</v>
      </c>
      <c r="O137" s="186">
        <f>'Large Use OLS Model (LC)'!$B$8*G137</f>
        <v>0</v>
      </c>
      <c r="P137" s="186">
        <f>'Large Use OLS Model (LC)'!$B$9*H137</f>
        <v>0</v>
      </c>
      <c r="Q137" s="186">
        <f>'Large Use OLS Model (LC)'!$B$10*I137</f>
        <v>17537763.106774591</v>
      </c>
      <c r="R137" s="186">
        <f t="shared" ca="1" si="13"/>
        <v>21253150.870585989</v>
      </c>
    </row>
    <row r="138" spans="1:18">
      <c r="A138" s="128">
        <v>43952</v>
      </c>
      <c r="B138" s="186">
        <f t="shared" si="12"/>
        <v>2020</v>
      </c>
      <c r="D138" s="186">
        <f t="shared" ca="1" si="6"/>
        <v>56.062781954887214</v>
      </c>
      <c r="E138" s="168">
        <f>E126*(1+Employment!$L$5)</f>
        <v>7420.0232077863766</v>
      </c>
      <c r="F138" s="186">
        <f t="shared" si="8"/>
        <v>137</v>
      </c>
      <c r="G138" s="186">
        <f t="shared" si="14"/>
        <v>0</v>
      </c>
      <c r="H138" s="186">
        <f t="shared" si="14"/>
        <v>0</v>
      </c>
      <c r="I138" s="186">
        <f t="shared" si="14"/>
        <v>31</v>
      </c>
      <c r="K138" s="186">
        <f>'Large Use OLS Model (LC)'!$B$5</f>
        <v>-11585185.4436178</v>
      </c>
      <c r="L138" s="186">
        <f ca="1">'Large Use OLS Model (LC)'!$B$6*D138</f>
        <v>1441985.5374594755</v>
      </c>
      <c r="M138" s="186">
        <f>'Large Use OLS Model (LC)'!$B$7*E138</f>
        <v>15430055.206240311</v>
      </c>
      <c r="N138" s="186">
        <v>0</v>
      </c>
      <c r="O138" s="186">
        <f>'Large Use OLS Model (LC)'!$B$8*G138</f>
        <v>0</v>
      </c>
      <c r="P138" s="186">
        <f>'Large Use OLS Model (LC)'!$B$9*H138</f>
        <v>0</v>
      </c>
      <c r="Q138" s="186">
        <f>'Large Use OLS Model (LC)'!$B$10*I138</f>
        <v>18122355.210333746</v>
      </c>
      <c r="R138" s="186">
        <f t="shared" ca="1" si="13"/>
        <v>23409210.510415733</v>
      </c>
    </row>
    <row r="139" spans="1:18">
      <c r="A139" s="128">
        <v>43983</v>
      </c>
      <c r="B139" s="186">
        <f t="shared" si="12"/>
        <v>2020</v>
      </c>
      <c r="D139" s="186">
        <f t="shared" ca="1" si="6"/>
        <v>116.89315789473682</v>
      </c>
      <c r="E139" s="168">
        <f>E127*(1+Employment!$L$5)</f>
        <v>7517.754429041036</v>
      </c>
      <c r="F139" s="186">
        <f t="shared" si="8"/>
        <v>138</v>
      </c>
      <c r="G139" s="186">
        <f t="shared" si="14"/>
        <v>0</v>
      </c>
      <c r="H139" s="186">
        <f t="shared" si="14"/>
        <v>0</v>
      </c>
      <c r="I139" s="186">
        <f t="shared" si="14"/>
        <v>30</v>
      </c>
      <c r="K139" s="186">
        <f>'Large Use OLS Model (LC)'!$B$5</f>
        <v>-11585185.4436178</v>
      </c>
      <c r="L139" s="186">
        <f ca="1">'Large Use OLS Model (LC)'!$B$6*D139</f>
        <v>3006597.9110314827</v>
      </c>
      <c r="M139" s="186">
        <f>'Large Use OLS Model (LC)'!$B$7*E139</f>
        <v>15633288.821163541</v>
      </c>
      <c r="N139" s="186">
        <v>0</v>
      </c>
      <c r="O139" s="186">
        <f>'Large Use OLS Model (LC)'!$B$8*G139</f>
        <v>0</v>
      </c>
      <c r="P139" s="186">
        <f>'Large Use OLS Model (LC)'!$B$9*H139</f>
        <v>0</v>
      </c>
      <c r="Q139" s="186">
        <f>'Large Use OLS Model (LC)'!$B$10*I139</f>
        <v>17537763.106774591</v>
      </c>
      <c r="R139" s="186">
        <f t="shared" ca="1" si="13"/>
        <v>24592464.395351812</v>
      </c>
    </row>
    <row r="140" spans="1:18">
      <c r="A140" s="128">
        <v>44013</v>
      </c>
      <c r="B140" s="186">
        <f t="shared" si="12"/>
        <v>2020</v>
      </c>
      <c r="D140" s="186">
        <f t="shared" ca="1" si="6"/>
        <v>186.96526315789481</v>
      </c>
      <c r="E140" s="168">
        <f>E128*(1+Employment!$L$5)</f>
        <v>7603.9026907395892</v>
      </c>
      <c r="F140" s="186">
        <f t="shared" si="8"/>
        <v>139</v>
      </c>
      <c r="G140" s="186">
        <f t="shared" si="14"/>
        <v>1</v>
      </c>
      <c r="H140" s="186">
        <f t="shared" si="14"/>
        <v>0</v>
      </c>
      <c r="I140" s="186">
        <f t="shared" si="14"/>
        <v>31</v>
      </c>
      <c r="K140" s="186">
        <f>'Large Use OLS Model (LC)'!$B$5</f>
        <v>-11585185.4436178</v>
      </c>
      <c r="L140" s="186">
        <f ca="1">'Large Use OLS Model (LC)'!$B$6*D140</f>
        <v>4808915.9346022606</v>
      </c>
      <c r="M140" s="186">
        <f>'Large Use OLS Model (LC)'!$B$7*E140</f>
        <v>15812435.489132909</v>
      </c>
      <c r="N140" s="186">
        <v>0</v>
      </c>
      <c r="O140" s="186">
        <f>'Large Use OLS Model (LC)'!$B$8*G140</f>
        <v>-947874.12245155603</v>
      </c>
      <c r="P140" s="186">
        <f>'Large Use OLS Model (LC)'!$B$9*H140</f>
        <v>0</v>
      </c>
      <c r="Q140" s="186">
        <f>'Large Use OLS Model (LC)'!$B$10*I140</f>
        <v>18122355.210333746</v>
      </c>
      <c r="R140" s="186">
        <f t="shared" ca="1" si="13"/>
        <v>26210647.06799956</v>
      </c>
    </row>
    <row r="141" spans="1:18">
      <c r="A141" s="128">
        <v>44044</v>
      </c>
      <c r="B141" s="186">
        <f t="shared" si="12"/>
        <v>2020</v>
      </c>
      <c r="D141" s="186">
        <f t="shared" ca="1" si="6"/>
        <v>167.43443609022574</v>
      </c>
      <c r="E141" s="168">
        <f>E129*(1+Employment!$L$5)</f>
        <v>7607.5223656008739</v>
      </c>
      <c r="F141" s="186">
        <f t="shared" si="8"/>
        <v>140</v>
      </c>
      <c r="G141" s="186">
        <f t="shared" si="14"/>
        <v>0</v>
      </c>
      <c r="H141" s="186">
        <f t="shared" si="14"/>
        <v>0</v>
      </c>
      <c r="I141" s="186">
        <f t="shared" si="14"/>
        <v>31</v>
      </c>
      <c r="K141" s="186">
        <f>'Large Use OLS Model (LC)'!$B$5</f>
        <v>-11585185.4436178</v>
      </c>
      <c r="L141" s="186">
        <f ca="1">'Large Use OLS Model (LC)'!$B$6*D141</f>
        <v>4306565.370035856</v>
      </c>
      <c r="M141" s="186">
        <f>'Large Use OLS Model (LC)'!$B$7*E141</f>
        <v>15819962.660055995</v>
      </c>
      <c r="N141" s="186">
        <v>0</v>
      </c>
      <c r="O141" s="186">
        <f>'Large Use OLS Model (LC)'!$B$8*G141</f>
        <v>0</v>
      </c>
      <c r="P141" s="186">
        <f>'Large Use OLS Model (LC)'!$B$9*H141</f>
        <v>0</v>
      </c>
      <c r="Q141" s="186">
        <f>'Large Use OLS Model (LC)'!$B$10*I141</f>
        <v>18122355.210333746</v>
      </c>
      <c r="R141" s="186">
        <f t="shared" ca="1" si="13"/>
        <v>26663697.796807796</v>
      </c>
    </row>
    <row r="142" spans="1:18">
      <c r="A142" s="128">
        <v>44075</v>
      </c>
      <c r="B142" s="186">
        <f t="shared" si="12"/>
        <v>2020</v>
      </c>
      <c r="D142" s="186">
        <f t="shared" ref="D142:D145" ca="1" si="15">D130</f>
        <v>83.003533834586506</v>
      </c>
      <c r="E142" s="168">
        <f>E130*(1+Employment!$L$5)</f>
        <v>7565.3272986464808</v>
      </c>
      <c r="F142" s="186">
        <f t="shared" si="8"/>
        <v>141</v>
      </c>
      <c r="G142" s="186">
        <f t="shared" si="14"/>
        <v>0</v>
      </c>
      <c r="H142" s="186">
        <f t="shared" si="14"/>
        <v>0</v>
      </c>
      <c r="I142" s="186">
        <f t="shared" si="14"/>
        <v>30</v>
      </c>
      <c r="K142" s="186">
        <f>'Large Use OLS Model (LC)'!$B$5</f>
        <v>-11585185.4436178</v>
      </c>
      <c r="L142" s="186">
        <f ca="1">'Large Use OLS Model (LC)'!$B$6*D142</f>
        <v>2134926.0806182334</v>
      </c>
      <c r="M142" s="186">
        <f>'Large Use OLS Model (LC)'!$B$7*E142</f>
        <v>15732217.353295488</v>
      </c>
      <c r="N142" s="186">
        <v>0</v>
      </c>
      <c r="O142" s="186">
        <f>'Large Use OLS Model (LC)'!$B$8*G142</f>
        <v>0</v>
      </c>
      <c r="P142" s="186">
        <f>'Large Use OLS Model (LC)'!$B$9*H142</f>
        <v>0</v>
      </c>
      <c r="Q142" s="186">
        <f>'Large Use OLS Model (LC)'!$B$10*I142</f>
        <v>17537763.106774591</v>
      </c>
      <c r="R142" s="186">
        <f t="shared" ca="1" si="13"/>
        <v>23819721.097070515</v>
      </c>
    </row>
    <row r="143" spans="1:18">
      <c r="A143" s="128">
        <v>44105</v>
      </c>
      <c r="B143" s="186">
        <f t="shared" si="12"/>
        <v>2020</v>
      </c>
      <c r="D143" s="186">
        <f t="shared" ca="1" si="15"/>
        <v>16.916090225563948</v>
      </c>
      <c r="E143" s="168">
        <f>E131*(1+Employment!$L$5)</f>
        <v>7523.1322316920869</v>
      </c>
      <c r="F143" s="186">
        <f t="shared" si="8"/>
        <v>142</v>
      </c>
      <c r="G143" s="186">
        <f t="shared" si="14"/>
        <v>0</v>
      </c>
      <c r="H143" s="186">
        <f t="shared" si="14"/>
        <v>0</v>
      </c>
      <c r="I143" s="186">
        <f t="shared" si="14"/>
        <v>31</v>
      </c>
      <c r="K143" s="186">
        <f>'Large Use OLS Model (LC)'!$B$5</f>
        <v>-11585185.4436178</v>
      </c>
      <c r="L143" s="186">
        <f ca="1">'Large Use OLS Model (LC)'!$B$6*D143</f>
        <v>435097.16437638173</v>
      </c>
      <c r="M143" s="186">
        <f>'Large Use OLS Model (LC)'!$B$7*E143</f>
        <v>15644472.04653498</v>
      </c>
      <c r="N143" s="186">
        <v>0</v>
      </c>
      <c r="O143" s="186">
        <f>'Large Use OLS Model (LC)'!$B$8*G143</f>
        <v>0</v>
      </c>
      <c r="P143" s="186">
        <f>'Large Use OLS Model (LC)'!$B$9*H143</f>
        <v>0</v>
      </c>
      <c r="Q143" s="186">
        <f>'Large Use OLS Model (LC)'!$B$10*I143</f>
        <v>18122355.210333746</v>
      </c>
      <c r="R143" s="186">
        <f t="shared" ca="1" si="13"/>
        <v>22616738.977627307</v>
      </c>
    </row>
    <row r="144" spans="1:18">
      <c r="A144" s="128">
        <v>44136</v>
      </c>
      <c r="B144" s="186">
        <f t="shared" si="12"/>
        <v>2020</v>
      </c>
      <c r="D144" s="186">
        <f t="shared" ca="1" si="15"/>
        <v>8.120300751879661E-2</v>
      </c>
      <c r="E144" s="168">
        <f>E132*(1+Employment!$L$5)</f>
        <v>7527.8895186526324</v>
      </c>
      <c r="F144" s="186">
        <f t="shared" si="8"/>
        <v>143</v>
      </c>
      <c r="G144" s="186">
        <f t="shared" si="14"/>
        <v>0</v>
      </c>
      <c r="H144" s="186">
        <f t="shared" si="14"/>
        <v>0</v>
      </c>
      <c r="I144" s="186">
        <f t="shared" si="14"/>
        <v>30</v>
      </c>
      <c r="K144" s="186">
        <f>'Large Use OLS Model (LC)'!$B$5</f>
        <v>-11585185.4436178</v>
      </c>
      <c r="L144" s="186">
        <f ca="1">'Large Use OLS Model (LC)'!$B$6*D144</f>
        <v>2088.6149127337453</v>
      </c>
      <c r="M144" s="186">
        <f>'Large Use OLS Model (LC)'!$B$7*E144</f>
        <v>15654364.899748176</v>
      </c>
      <c r="N144" s="186">
        <v>0</v>
      </c>
      <c r="O144" s="186">
        <f>'Large Use OLS Model (LC)'!$B$8*G144</f>
        <v>0</v>
      </c>
      <c r="P144" s="186">
        <f>'Large Use OLS Model (LC)'!$B$9*H144</f>
        <v>0</v>
      </c>
      <c r="Q144" s="186">
        <f>'Large Use OLS Model (LC)'!$B$10*I144</f>
        <v>17537763.106774591</v>
      </c>
      <c r="R144" s="186">
        <f t="shared" ca="1" si="13"/>
        <v>21609031.177817702</v>
      </c>
    </row>
    <row r="145" spans="1:18">
      <c r="A145" s="128">
        <v>44166</v>
      </c>
      <c r="B145" s="186">
        <f t="shared" si="12"/>
        <v>2020</v>
      </c>
      <c r="D145" s="186">
        <f t="shared" ca="1" si="15"/>
        <v>0</v>
      </c>
      <c r="E145" s="168">
        <f>E133*(1+Employment!$L$5)</f>
        <v>7552.3998884276107</v>
      </c>
      <c r="F145" s="186">
        <f t="shared" si="8"/>
        <v>144</v>
      </c>
      <c r="G145" s="186">
        <f t="shared" si="14"/>
        <v>0</v>
      </c>
      <c r="H145" s="186">
        <f t="shared" si="14"/>
        <v>1</v>
      </c>
      <c r="I145" s="186">
        <f t="shared" si="14"/>
        <v>31</v>
      </c>
      <c r="K145" s="186">
        <f>'Large Use OLS Model (LC)'!$B$5</f>
        <v>-11585185.4436178</v>
      </c>
      <c r="L145" s="186">
        <f ca="1">'Large Use OLS Model (LC)'!$B$6*D145</f>
        <v>0</v>
      </c>
      <c r="M145" s="186">
        <f>'Large Use OLS Model (LC)'!$B$7*E145</f>
        <v>15705334.599998765</v>
      </c>
      <c r="N145" s="186">
        <v>0</v>
      </c>
      <c r="O145" s="186">
        <f>'Large Use OLS Model (LC)'!$B$8*G145</f>
        <v>0</v>
      </c>
      <c r="P145" s="186">
        <f>'Large Use OLS Model (LC)'!$B$9*H145</f>
        <v>-1776727.9579078101</v>
      </c>
      <c r="Q145" s="186">
        <f>'Large Use OLS Model (LC)'!$B$10*I145</f>
        <v>18122355.210333746</v>
      </c>
      <c r="R145" s="186">
        <f t="shared" ca="1" si="13"/>
        <v>20465776.408806901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7317-9EB8-4E04-802B-8E60B3CBA5CD}">
  <dimension ref="A1:CF49"/>
  <sheetViews>
    <sheetView topLeftCell="P1" workbookViewId="0">
      <selection activeCell="Y17" sqref="Y17"/>
    </sheetView>
  </sheetViews>
  <sheetFormatPr defaultColWidth="9.1640625" defaultRowHeight="12.75"/>
  <cols>
    <col min="1" max="1" width="17" style="42" bestFit="1" customWidth="1"/>
    <col min="2" max="2" width="5.83203125" style="42" bestFit="1" customWidth="1"/>
    <col min="3" max="3" width="13" style="42" customWidth="1"/>
    <col min="4" max="4" width="19.6640625" style="42" customWidth="1"/>
    <col min="5" max="5" width="16.33203125" style="42" bestFit="1" customWidth="1"/>
    <col min="6" max="6" width="1.6640625" style="42" customWidth="1"/>
    <col min="7" max="7" width="15.5" style="42" customWidth="1"/>
    <col min="8" max="8" width="11.83203125" style="42" customWidth="1"/>
    <col min="9" max="9" width="13.83203125" style="42" bestFit="1" customWidth="1"/>
    <col min="10" max="10" width="3.83203125" style="42" customWidth="1"/>
    <col min="11" max="11" width="9" style="42" customWidth="1"/>
    <col min="12" max="14" width="16.5" style="42" customWidth="1"/>
    <col min="15" max="15" width="2.6640625" style="42" customWidth="1"/>
    <col min="16" max="18" width="13" style="42" customWidth="1"/>
    <col min="19" max="19" width="3.83203125" style="42" customWidth="1"/>
    <col min="20" max="20" width="5.83203125" style="42" bestFit="1" customWidth="1"/>
    <col min="21" max="23" width="17" style="42" customWidth="1"/>
    <col min="24" max="24" width="1.5" style="42" customWidth="1"/>
    <col min="25" max="26" width="15.1640625" style="42" customWidth="1"/>
    <col min="27" max="28" width="14.33203125" style="42" customWidth="1"/>
    <col min="29" max="29" width="6.5" style="42" customWidth="1"/>
    <col min="30" max="30" width="5.83203125" style="42" bestFit="1" customWidth="1"/>
    <col min="31" max="33" width="17" style="42" customWidth="1"/>
    <col min="34" max="34" width="1.5" style="42" customWidth="1"/>
    <col min="35" max="37" width="13.33203125" style="42" customWidth="1"/>
    <col min="38" max="38" width="3.83203125" style="42" customWidth="1"/>
    <col min="39" max="39" width="5.83203125" style="42" bestFit="1" customWidth="1"/>
    <col min="40" max="42" width="15.6640625" style="42" customWidth="1"/>
    <col min="43" max="43" width="1.5" style="42" customWidth="1"/>
    <col min="44" max="48" width="16.6640625" style="42" customWidth="1"/>
    <col min="49" max="49" width="3.83203125" style="42" customWidth="1"/>
    <col min="50" max="50" width="5.83203125" style="42" bestFit="1" customWidth="1"/>
    <col min="51" max="53" width="16.6640625" style="42" customWidth="1"/>
    <col min="54" max="54" width="3.83203125" style="42" customWidth="1"/>
    <col min="55" max="56" width="21.6640625" style="42" customWidth="1"/>
    <col min="57" max="57" width="13" style="42" bestFit="1" customWidth="1"/>
    <col min="58" max="58" width="3.83203125" style="42" customWidth="1"/>
    <col min="59" max="59" width="5.83203125" style="42" bestFit="1" customWidth="1"/>
    <col min="60" max="62" width="18.1640625" style="42" customWidth="1"/>
    <col min="63" max="63" width="3.83203125" style="42" customWidth="1"/>
    <col min="64" max="66" width="19.5" style="42" customWidth="1"/>
    <col min="67" max="67" width="3.83203125" style="42" customWidth="1"/>
    <col min="68" max="68" width="5.83203125" style="42" bestFit="1" customWidth="1"/>
    <col min="69" max="69" width="11.83203125" style="42" bestFit="1" customWidth="1"/>
    <col min="70" max="70" width="17.5" style="42" bestFit="1" customWidth="1"/>
    <col min="71" max="71" width="23" style="42" bestFit="1" customWidth="1"/>
    <col min="72" max="72" width="17.5" style="42" bestFit="1" customWidth="1"/>
    <col min="73" max="73" width="3.83203125" style="42" customWidth="1"/>
    <col min="74" max="74" width="5.83203125" style="42" bestFit="1" customWidth="1"/>
    <col min="75" max="75" width="10.6640625" style="42" bestFit="1" customWidth="1"/>
    <col min="76" max="76" width="13.33203125" style="42" bestFit="1" customWidth="1"/>
    <col min="77" max="77" width="23" style="42" bestFit="1" customWidth="1"/>
    <col min="78" max="78" width="17.5" style="42" bestFit="1" customWidth="1"/>
    <col min="79" max="79" width="3.6640625" style="42" customWidth="1"/>
    <col min="80" max="80" width="5.83203125" style="42" bestFit="1" customWidth="1"/>
    <col min="81" max="81" width="10.6640625" style="42" bestFit="1" customWidth="1"/>
    <col min="82" max="82" width="13.33203125" style="42" bestFit="1" customWidth="1"/>
    <col min="83" max="83" width="23" style="42" bestFit="1" customWidth="1"/>
    <col min="84" max="84" width="17.5" style="42" bestFit="1" customWidth="1"/>
    <col min="85" max="85" width="4.1640625" style="42" customWidth="1"/>
    <col min="86" max="16384" width="9.1640625" style="42"/>
  </cols>
  <sheetData>
    <row r="1" spans="1:84">
      <c r="A1" s="61" t="s">
        <v>148</v>
      </c>
    </row>
    <row r="2" spans="1:84" ht="12.75" customHeight="1">
      <c r="B2" s="276" t="s">
        <v>192</v>
      </c>
      <c r="C2" s="276"/>
      <c r="D2" s="276"/>
      <c r="E2" s="276"/>
      <c r="F2" s="276"/>
      <c r="G2" s="276"/>
      <c r="H2" s="276"/>
      <c r="I2" s="276"/>
      <c r="K2" s="276" t="s">
        <v>130</v>
      </c>
      <c r="L2" s="276"/>
      <c r="M2" s="276"/>
      <c r="N2" s="276"/>
      <c r="O2" s="276"/>
      <c r="P2" s="276"/>
      <c r="Q2" s="276"/>
      <c r="R2" s="276"/>
      <c r="U2" s="276" t="s">
        <v>131</v>
      </c>
      <c r="V2" s="276"/>
      <c r="W2" s="276"/>
      <c r="X2" s="276"/>
      <c r="Y2" s="276"/>
      <c r="Z2" s="276"/>
      <c r="AA2" s="276"/>
      <c r="AB2" s="276"/>
      <c r="AC2" s="62"/>
      <c r="AE2" s="276" t="s">
        <v>140</v>
      </c>
      <c r="AF2" s="276"/>
      <c r="AG2" s="276"/>
      <c r="AH2" s="276"/>
      <c r="AI2" s="276"/>
      <c r="AJ2" s="276"/>
      <c r="AK2" s="276"/>
      <c r="AN2" s="276" t="s">
        <v>141</v>
      </c>
      <c r="AO2" s="276"/>
      <c r="AP2" s="276"/>
      <c r="AQ2" s="276"/>
      <c r="AR2" s="276"/>
      <c r="AS2" s="276"/>
      <c r="AT2" s="276"/>
      <c r="AU2" s="276"/>
      <c r="AV2" s="276"/>
      <c r="AY2" s="276" t="s">
        <v>186</v>
      </c>
      <c r="AZ2" s="276"/>
      <c r="BA2" s="276"/>
      <c r="BB2" s="276"/>
      <c r="BC2" s="276"/>
      <c r="BD2" s="276"/>
      <c r="BE2" s="276"/>
      <c r="BH2" s="276" t="s">
        <v>187</v>
      </c>
      <c r="BI2" s="276"/>
      <c r="BJ2" s="276"/>
      <c r="BK2" s="276"/>
      <c r="BL2" s="276"/>
      <c r="BM2" s="276"/>
      <c r="BN2" s="276"/>
      <c r="BO2" s="143"/>
      <c r="BP2" s="276" t="s">
        <v>144</v>
      </c>
      <c r="BQ2" s="276"/>
      <c r="BR2" s="276"/>
      <c r="BS2" s="276"/>
      <c r="BT2" s="276"/>
      <c r="BV2" s="276" t="s">
        <v>149</v>
      </c>
      <c r="BW2" s="276"/>
      <c r="BX2" s="276"/>
      <c r="BY2" s="276"/>
      <c r="BZ2" s="276"/>
      <c r="CB2" s="276" t="s">
        <v>142</v>
      </c>
      <c r="CC2" s="276"/>
      <c r="CD2" s="276"/>
      <c r="CE2" s="276"/>
      <c r="CF2" s="276"/>
    </row>
    <row r="3" spans="1:84">
      <c r="B3" s="62" t="s">
        <v>124</v>
      </c>
      <c r="C3" s="62" t="s">
        <v>150</v>
      </c>
      <c r="D3" s="62" t="s">
        <v>151</v>
      </c>
      <c r="E3" s="62" t="s">
        <v>152</v>
      </c>
      <c r="F3" s="62"/>
      <c r="G3" s="64" t="s">
        <v>153</v>
      </c>
      <c r="H3" s="62" t="s">
        <v>151</v>
      </c>
      <c r="I3" s="64" t="s">
        <v>154</v>
      </c>
      <c r="K3" s="62" t="s">
        <v>124</v>
      </c>
      <c r="L3" s="62" t="s">
        <v>150</v>
      </c>
      <c r="M3" s="62" t="s">
        <v>151</v>
      </c>
      <c r="N3" s="62" t="s">
        <v>152</v>
      </c>
      <c r="O3" s="62"/>
      <c r="P3" s="64" t="s">
        <v>153</v>
      </c>
      <c r="Q3" s="62" t="s">
        <v>151</v>
      </c>
      <c r="R3" s="64" t="s">
        <v>154</v>
      </c>
      <c r="T3" s="62" t="s">
        <v>124</v>
      </c>
      <c r="U3" s="62" t="s">
        <v>150</v>
      </c>
      <c r="V3" s="62" t="s">
        <v>151</v>
      </c>
      <c r="W3" s="62" t="s">
        <v>152</v>
      </c>
      <c r="X3" s="62"/>
      <c r="Y3" s="64" t="s">
        <v>153</v>
      </c>
      <c r="Z3" s="64" t="s">
        <v>294</v>
      </c>
      <c r="AA3" s="62" t="s">
        <v>151</v>
      </c>
      <c r="AB3" s="64" t="s">
        <v>154</v>
      </c>
      <c r="AC3" s="62"/>
      <c r="AD3" s="62" t="s">
        <v>124</v>
      </c>
      <c r="AE3" s="62" t="s">
        <v>150</v>
      </c>
      <c r="AF3" s="62" t="s">
        <v>151</v>
      </c>
      <c r="AG3" s="62" t="s">
        <v>152</v>
      </c>
      <c r="AH3" s="62"/>
      <c r="AI3" s="64" t="s">
        <v>153</v>
      </c>
      <c r="AJ3" s="62" t="s">
        <v>151</v>
      </c>
      <c r="AK3" s="64" t="s">
        <v>154</v>
      </c>
      <c r="AM3" s="62" t="s">
        <v>124</v>
      </c>
      <c r="AN3" s="62" t="s">
        <v>150</v>
      </c>
      <c r="AO3" s="62" t="s">
        <v>151</v>
      </c>
      <c r="AP3" s="62" t="s">
        <v>152</v>
      </c>
      <c r="AQ3" s="62"/>
      <c r="AR3" s="64" t="s">
        <v>153</v>
      </c>
      <c r="AS3" s="64" t="s">
        <v>310</v>
      </c>
      <c r="AT3" s="62" t="s">
        <v>151</v>
      </c>
      <c r="AU3" s="62" t="s">
        <v>294</v>
      </c>
      <c r="AV3" s="64" t="s">
        <v>154</v>
      </c>
      <c r="AX3" s="62" t="s">
        <v>124</v>
      </c>
      <c r="AY3" s="62" t="s">
        <v>188</v>
      </c>
      <c r="AZ3" s="62" t="s">
        <v>151</v>
      </c>
      <c r="BA3" s="62" t="s">
        <v>152</v>
      </c>
      <c r="BB3" s="62"/>
      <c r="BC3" s="64" t="s">
        <v>153</v>
      </c>
      <c r="BD3" s="62" t="s">
        <v>151</v>
      </c>
      <c r="BE3" s="64" t="s">
        <v>154</v>
      </c>
      <c r="BG3" s="62" t="s">
        <v>124</v>
      </c>
      <c r="BH3" s="62" t="s">
        <v>188</v>
      </c>
      <c r="BI3" s="62" t="s">
        <v>151</v>
      </c>
      <c r="BJ3" s="62" t="s">
        <v>152</v>
      </c>
      <c r="BK3" s="62"/>
      <c r="BL3" s="64" t="s">
        <v>153</v>
      </c>
      <c r="BM3" s="62" t="s">
        <v>151</v>
      </c>
      <c r="BN3" s="64" t="s">
        <v>154</v>
      </c>
      <c r="BO3" s="64"/>
      <c r="BP3" s="62" t="s">
        <v>124</v>
      </c>
      <c r="BQ3" s="62" t="s">
        <v>150</v>
      </c>
      <c r="BR3" s="62" t="s">
        <v>145</v>
      </c>
      <c r="BS3" s="62" t="s">
        <v>155</v>
      </c>
      <c r="BT3" s="62" t="s">
        <v>156</v>
      </c>
      <c r="BV3" s="62" t="s">
        <v>124</v>
      </c>
      <c r="BW3" s="62" t="s">
        <v>150</v>
      </c>
      <c r="BX3" s="62" t="s">
        <v>147</v>
      </c>
      <c r="BY3" s="62" t="s">
        <v>155</v>
      </c>
      <c r="BZ3" s="62" t="s">
        <v>156</v>
      </c>
      <c r="CB3" s="62" t="s">
        <v>124</v>
      </c>
      <c r="CC3" s="62" t="s">
        <v>150</v>
      </c>
      <c r="CD3" s="62" t="s">
        <v>147</v>
      </c>
      <c r="CE3" s="62" t="s">
        <v>155</v>
      </c>
      <c r="CF3" s="62" t="s">
        <v>156</v>
      </c>
    </row>
    <row r="4" spans="1:84">
      <c r="B4" s="62"/>
      <c r="C4" s="62" t="s">
        <v>157</v>
      </c>
      <c r="D4" s="62" t="s">
        <v>158</v>
      </c>
      <c r="E4" s="62" t="s">
        <v>159</v>
      </c>
      <c r="F4" s="62"/>
      <c r="G4" s="64" t="s">
        <v>160</v>
      </c>
      <c r="H4" s="64" t="s">
        <v>161</v>
      </c>
      <c r="I4" s="64" t="s">
        <v>162</v>
      </c>
      <c r="K4" s="62"/>
      <c r="L4" s="62" t="s">
        <v>157</v>
      </c>
      <c r="M4" s="62" t="s">
        <v>158</v>
      </c>
      <c r="N4" s="62" t="s">
        <v>159</v>
      </c>
      <c r="O4" s="62"/>
      <c r="P4" s="64" t="s">
        <v>160</v>
      </c>
      <c r="Q4" s="64" t="s">
        <v>161</v>
      </c>
      <c r="R4" s="64" t="s">
        <v>162</v>
      </c>
      <c r="T4" s="62"/>
      <c r="U4" s="62" t="s">
        <v>157</v>
      </c>
      <c r="V4" s="62" t="s">
        <v>158</v>
      </c>
      <c r="W4" s="62" t="s">
        <v>159</v>
      </c>
      <c r="X4" s="62"/>
      <c r="Y4" s="64" t="s">
        <v>160</v>
      </c>
      <c r="Z4" s="64"/>
      <c r="AA4" s="64" t="s">
        <v>161</v>
      </c>
      <c r="AB4" s="64" t="s">
        <v>162</v>
      </c>
      <c r="AC4" s="62"/>
      <c r="AD4" s="62"/>
      <c r="AE4" s="62" t="s">
        <v>157</v>
      </c>
      <c r="AF4" s="62" t="s">
        <v>158</v>
      </c>
      <c r="AG4" s="62" t="s">
        <v>159</v>
      </c>
      <c r="AH4" s="62"/>
      <c r="AI4" s="64" t="s">
        <v>160</v>
      </c>
      <c r="AJ4" s="64" t="s">
        <v>161</v>
      </c>
      <c r="AK4" s="64" t="s">
        <v>162</v>
      </c>
      <c r="AM4" s="62"/>
      <c r="AN4" s="62" t="s">
        <v>157</v>
      </c>
      <c r="AO4" s="62" t="s">
        <v>158</v>
      </c>
      <c r="AP4" s="62" t="s">
        <v>159</v>
      </c>
      <c r="AQ4" s="62"/>
      <c r="AR4" s="64" t="s">
        <v>160</v>
      </c>
      <c r="AS4" s="64" t="s">
        <v>311</v>
      </c>
      <c r="AT4" s="64" t="s">
        <v>161</v>
      </c>
      <c r="AU4" s="64" t="s">
        <v>239</v>
      </c>
      <c r="AV4" s="64" t="s">
        <v>162</v>
      </c>
      <c r="AX4" s="62"/>
      <c r="AY4" s="62" t="s">
        <v>157</v>
      </c>
      <c r="AZ4" s="62" t="s">
        <v>158</v>
      </c>
      <c r="BA4" s="62" t="s">
        <v>159</v>
      </c>
      <c r="BB4" s="62"/>
      <c r="BC4" s="64" t="s">
        <v>160</v>
      </c>
      <c r="BD4" s="64" t="s">
        <v>161</v>
      </c>
      <c r="BE4" s="64" t="s">
        <v>162</v>
      </c>
      <c r="BG4" s="62"/>
      <c r="BH4" s="62" t="s">
        <v>157</v>
      </c>
      <c r="BI4" s="62" t="s">
        <v>158</v>
      </c>
      <c r="BJ4" s="62" t="s">
        <v>159</v>
      </c>
      <c r="BK4" s="62"/>
      <c r="BL4" s="64" t="s">
        <v>160</v>
      </c>
      <c r="BM4" s="64" t="s">
        <v>161</v>
      </c>
      <c r="BN4" s="64" t="s">
        <v>162</v>
      </c>
      <c r="BO4" s="64"/>
      <c r="BP4" s="62"/>
      <c r="BQ4" s="62"/>
      <c r="BR4" s="62"/>
      <c r="BS4" s="62"/>
      <c r="BT4" s="62"/>
      <c r="BV4" s="62"/>
      <c r="BW4" s="62"/>
      <c r="BX4" s="62"/>
      <c r="BY4" s="62"/>
      <c r="BZ4" s="62"/>
      <c r="CB4" s="62"/>
      <c r="CC4" s="62"/>
      <c r="CD4" s="62"/>
      <c r="CE4" s="62"/>
      <c r="CF4" s="62"/>
    </row>
    <row r="5" spans="1:84">
      <c r="B5" s="42">
        <v>2009</v>
      </c>
      <c r="C5" s="65">
        <f>SUMIF('Monthly Data'!$B:$B,B5,'Monthly Data'!C:C)</f>
        <v>604635108.51263404</v>
      </c>
      <c r="D5" s="65">
        <f ca="1">SUMIF('Monthly Data'!$B:$B,B5,'Monthly Data'!E:E)</f>
        <v>12905395.295118952</v>
      </c>
      <c r="E5" s="67">
        <f ca="1">SUMIF('Res NM 20yr Trend'!$B:$B,B5,'Res NM 20yr Trend'!C:C)</f>
        <v>617540503.80775297</v>
      </c>
      <c r="F5" s="65"/>
      <c r="G5" s="65">
        <f ca="1">SUMIF('Res NM 20yr Trend'!$B:$B,B5,'Res NM 20yr Trend'!$T:$T)</f>
        <v>650048094.94554055</v>
      </c>
      <c r="H5" s="65">
        <f t="shared" ref="H5:H13" ca="1" si="0">D5</f>
        <v>12905395.295118952</v>
      </c>
      <c r="I5" s="65">
        <f t="shared" ref="I5:I13" ca="1" si="1">G5-H5</f>
        <v>637142699.65042162</v>
      </c>
      <c r="K5" s="42">
        <v>2009</v>
      </c>
      <c r="L5" s="65">
        <f>SUMIF('Monthly Data'!$B:$B,K5,'Monthly Data'!G:G)</f>
        <v>220940436.27633598</v>
      </c>
      <c r="M5" s="65">
        <f ca="1">SUMIF('Monthly Data'!$B:$B,K5,'Monthly Data'!I:I)</f>
        <v>3004854.8414025153</v>
      </c>
      <c r="N5" s="65">
        <f ca="1">SUMIF('GS &lt; 50 NM 20yr Trend'!$B:$B,K5,'GS &lt; 50 NM 20yr Trend'!C:C)</f>
        <v>223945291.11773852</v>
      </c>
      <c r="O5" s="66"/>
      <c r="P5" s="65">
        <f ca="1">SUMIF('GS &lt; 50 NM 20yr Trend'!$B:$B,K5,'GS &lt; 50 NM 20yr Trend'!V:V)</f>
        <v>233465370.56515008</v>
      </c>
      <c r="Q5" s="65">
        <f t="shared" ref="Q5:Q13" ca="1" si="2">M5</f>
        <v>3004854.8414025153</v>
      </c>
      <c r="R5" s="65">
        <f t="shared" ref="R5:R16" ca="1" si="3">P5-Q5</f>
        <v>230460515.72374758</v>
      </c>
      <c r="T5" s="42">
        <v>2009</v>
      </c>
      <c r="U5" s="65">
        <f>SUMIF('Monthly Data'!$B:$B,T5,'Monthly Data'!K:K)</f>
        <v>906614904.72799397</v>
      </c>
      <c r="V5" s="65">
        <f ca="1">SUMIF('Monthly Data'!$B:$B,T5,'Monthly Data'!N:N)</f>
        <v>3326785.3266341123</v>
      </c>
      <c r="W5" s="65">
        <f ca="1">SUMIF('GS &gt; 50 NM 20yr Trend'!$B:$B,T5,'GS &gt; 50 NM 20yr Trend'!C:C)</f>
        <v>909941690.05462801</v>
      </c>
      <c r="X5" s="66"/>
      <c r="Y5" s="65">
        <f ca="1">SUMIF('GS &gt; 50 NM 20yr Trend'!$B:$B,T5,'GS &gt; 50 NM 20yr Trend'!AB:AB)</f>
        <v>935648287.65140271</v>
      </c>
      <c r="Z5" s="65"/>
      <c r="AA5" s="65">
        <f t="shared" ref="AA5:AA13" ca="1" si="4">V5</f>
        <v>3326785.3266341123</v>
      </c>
      <c r="AB5" s="65">
        <f t="shared" ref="AB5:AB16" ca="1" si="5">Y5-AA5</f>
        <v>932321502.32476854</v>
      </c>
      <c r="AC5" s="65"/>
      <c r="AD5" s="42">
        <v>2009</v>
      </c>
      <c r="AE5" s="65">
        <f>SUMIF('Monthly Data'!$B:$B,AD5,'Monthly Data'!V:V)</f>
        <v>51306801.944982</v>
      </c>
      <c r="AF5" s="65">
        <f ca="1">SUMIF('Monthly Data'!$B:$B,AD5,'Monthly Data'!Y:Y)</f>
        <v>0</v>
      </c>
      <c r="AG5" s="65">
        <f ca="1">SUMIF('Intermediate NM 20yr Trend'!$B:$B,AD5,'Intermediate NM 20yr Trend'!C:C)</f>
        <v>51306801.944982</v>
      </c>
      <c r="AH5" s="66"/>
      <c r="AI5" s="65">
        <f>SUMIF('Intermediate NM 20yr Trend'!$B:$B,AD5,'Intermediate NM 20yr Trend'!R:R)</f>
        <v>50129122.097767241</v>
      </c>
      <c r="AJ5" s="65">
        <f t="shared" ref="AJ5:AJ13" ca="1" si="6">AF5</f>
        <v>0</v>
      </c>
      <c r="AK5" s="65">
        <f t="shared" ref="AK5:AK16" ca="1" si="7">AI5-AJ5</f>
        <v>50129122.097767241</v>
      </c>
      <c r="AM5" s="42">
        <v>2009</v>
      </c>
      <c r="AN5" s="65">
        <f>SUMIF('Monthly Data'!$B:$B,AM5,'Monthly Data'!AA:AA)</f>
        <v>271865804.30218202</v>
      </c>
      <c r="AO5" s="65">
        <f ca="1">SUMIF('Monthly Data'!$B:$B,AM5,'Monthly Data'!AD:AD)</f>
        <v>0</v>
      </c>
      <c r="AP5" s="65">
        <f ca="1">SUMIF('Large Use NM 20yr Trend'!$B:$B,AM5,'Large Use NM 20yr Trend'!C:C)</f>
        <v>271865804.30218202</v>
      </c>
      <c r="AQ5" s="66"/>
      <c r="AR5" s="65">
        <f ca="1">SUMIF('Large Use NM 20yr Trend'!$B:$B,AM5,'Large Use NM 20yr Trend'!R:R)</f>
        <v>293272729.35891604</v>
      </c>
      <c r="AS5" s="65"/>
      <c r="AT5" s="65">
        <f t="shared" ref="AT5:AT13" ca="1" si="8">AO5</f>
        <v>0</v>
      </c>
      <c r="AU5" s="65"/>
      <c r="AV5" s="65">
        <f t="shared" ref="AV5:AV15" ca="1" si="9">AR5-AT5</f>
        <v>293272729.35891604</v>
      </c>
      <c r="AX5" s="42">
        <v>2009</v>
      </c>
      <c r="AY5" s="65">
        <f ca="1">SUMIF('Monthly Data'!$B:$B,AX5,'Monthly Data'!AJ:AJ)-AZ5</f>
        <v>253823156.07115111</v>
      </c>
      <c r="AZ5" s="65">
        <f ca="1">SUMIF('Monthly Data'!$B:$B,AX5,'Monthly Data'!AI:AI)</f>
        <v>0</v>
      </c>
      <c r="BA5" s="65">
        <f ca="1">SUMIF('Monthly Data'!$B:$B,AX5,'Monthly Data'!AJ:AJ)</f>
        <v>253823156.07115111</v>
      </c>
      <c r="BB5" s="66"/>
      <c r="BC5" s="65">
        <f ca="1">AVERAGE(BA5:BA14)</f>
        <v>273863425.70404339</v>
      </c>
      <c r="BD5" s="65">
        <f t="shared" ref="BD5:BD13" ca="1" si="10">AZ5</f>
        <v>0</v>
      </c>
      <c r="BE5" s="65">
        <f t="shared" ref="BE5:BE16" ca="1" si="11">BC5-BD5</f>
        <v>273863425.70404339</v>
      </c>
      <c r="BG5" s="42">
        <v>2009</v>
      </c>
      <c r="BH5" s="65">
        <f>SUMIF('Monthly Data'!$B:$B,BG5,'Monthly Data'!AS:AS)</f>
        <v>50208448.727770001</v>
      </c>
      <c r="BI5" s="65">
        <f ca="1">SUMIF('Monthly Data'!$B:$B,BG5,'Monthly Data'!AV:AV)</f>
        <v>0</v>
      </c>
      <c r="BJ5" s="65">
        <f t="shared" ref="BJ5:BJ13" ca="1" si="12">BH5+BI5</f>
        <v>50208448.727770001</v>
      </c>
      <c r="BK5" s="66"/>
      <c r="BL5" s="65">
        <f t="shared" ref="BL5:BL16" ca="1" si="13">TREND($BJ$5:$BJ$13,$BG$5:$BG$13,BG5)</f>
        <v>50100490.273640156</v>
      </c>
      <c r="BM5" s="65">
        <f t="shared" ref="BM5:BM13" ca="1" si="14">BI5</f>
        <v>0</v>
      </c>
      <c r="BN5" s="65">
        <f t="shared" ref="BN5:BN16" ca="1" si="15">BL5-BM5</f>
        <v>50100490.273640156</v>
      </c>
      <c r="BO5" s="65"/>
      <c r="BP5" s="42">
        <v>2009</v>
      </c>
      <c r="BQ5" s="67">
        <f>SUMIF('Monthly Data'!$B:$B,BP5,'Monthly Data'!AX:AX)</f>
        <v>16930327.966194</v>
      </c>
      <c r="BR5" s="67">
        <f>'Connection count '!AE4</f>
        <v>23421</v>
      </c>
      <c r="BS5" s="67">
        <f t="shared" ref="BS5:BS9" si="16">BQ5/BR5</f>
        <v>722.86956006122716</v>
      </c>
      <c r="BT5" s="68"/>
      <c r="BU5" s="61"/>
      <c r="BV5" s="42">
        <v>2009</v>
      </c>
      <c r="BW5" s="67">
        <f>SUMIF('Monthly Data'!$B:$B,BV5,'Monthly Data'!BC:BC)</f>
        <v>992473.34792500013</v>
      </c>
      <c r="BX5" s="67">
        <f>'Connection count '!AI4</f>
        <v>668.5</v>
      </c>
      <c r="BY5" s="67">
        <f t="shared" ref="BY5:BY13" si="17">BW5/BX5</f>
        <v>1484.6272968212418</v>
      </c>
      <c r="BZ5" s="67">
        <f t="shared" ref="BZ5:BZ9" si="18">BY5*BX5</f>
        <v>992473.34792500013</v>
      </c>
      <c r="CA5" s="68"/>
      <c r="CB5" s="42">
        <v>2009</v>
      </c>
      <c r="CC5" s="67">
        <f>SUMIF('Monthly Data'!$B:$B,CB5,'Monthly Data'!BF:BF)</f>
        <v>4214866.844428001</v>
      </c>
      <c r="CD5" s="67">
        <f>'Connection count '!AM4</f>
        <v>762.5</v>
      </c>
      <c r="CE5" s="67">
        <f t="shared" ref="CE5:CE13" si="19">CC5/CD5</f>
        <v>5527.6942222006574</v>
      </c>
      <c r="CF5" s="67">
        <f t="shared" ref="CF5:CF11" si="20">CE5*CD5</f>
        <v>4214866.844428001</v>
      </c>
    </row>
    <row r="6" spans="1:84">
      <c r="B6" s="42">
        <f t="shared" ref="B6:B16" si="21">B5+1</f>
        <v>2010</v>
      </c>
      <c r="C6" s="65">
        <f>SUMIF('Monthly Data'!$B:$B,B6,'Monthly Data'!C:C)</f>
        <v>647490324.95962501</v>
      </c>
      <c r="D6" s="65">
        <f ca="1">SUMIF('Monthly Data'!$B:$B,B6,'Monthly Data'!E:E)</f>
        <v>9466437.9703478534</v>
      </c>
      <c r="E6" s="67">
        <f ca="1">SUMIF('Res NM 20yr Trend'!$B:$B,B6,'Res NM 20yr Trend'!C:C)</f>
        <v>656956762.92997289</v>
      </c>
      <c r="F6" s="65"/>
      <c r="G6" s="65">
        <f ca="1">SUMIF('Res NM 20yr Trend'!$B:$B,B6,'Res NM 20yr Trend'!$T:$T)</f>
        <v>648212644.35891652</v>
      </c>
      <c r="H6" s="65">
        <f t="shared" ca="1" si="0"/>
        <v>9466437.9703478534</v>
      </c>
      <c r="I6" s="65">
        <f t="shared" ca="1" si="1"/>
        <v>638746206.38856864</v>
      </c>
      <c r="K6" s="42">
        <f t="shared" ref="K6:K16" si="22">B6</f>
        <v>2010</v>
      </c>
      <c r="L6" s="65">
        <f>SUMIF('Monthly Data'!$B:$B,K6,'Monthly Data'!G:G)</f>
        <v>223232845.52965501</v>
      </c>
      <c r="M6" s="65">
        <f ca="1">SUMIF('Monthly Data'!$B:$B,K6,'Monthly Data'!I:I)</f>
        <v>6912591.4427464642</v>
      </c>
      <c r="N6" s="65">
        <f ca="1">SUMIF('GS &lt; 50 NM 20yr Trend'!$B:$B,K6,'GS &lt; 50 NM 20yr Trend'!C:C)</f>
        <v>230145436.9724015</v>
      </c>
      <c r="O6" s="66"/>
      <c r="P6" s="65">
        <f ca="1">SUMIF('GS &lt; 50 NM 20yr Trend'!$B:$B,K6,'GS &lt; 50 NM 20yr Trend'!V:V)</f>
        <v>230784632.04983819</v>
      </c>
      <c r="Q6" s="65">
        <f t="shared" ca="1" si="2"/>
        <v>6912591.4427464642</v>
      </c>
      <c r="R6" s="65">
        <f t="shared" ca="1" si="3"/>
        <v>223872040.60709172</v>
      </c>
      <c r="T6" s="42">
        <f t="shared" ref="T6:T16" si="23">K6</f>
        <v>2010</v>
      </c>
      <c r="U6" s="65">
        <f>SUMIF('Monthly Data'!$B:$B,T6,'Monthly Data'!K:K)</f>
        <v>943095058.82937098</v>
      </c>
      <c r="V6" s="65">
        <f ca="1">SUMIF('Monthly Data'!$B:$B,T6,'Monthly Data'!N:N)</f>
        <v>6845739.41142279</v>
      </c>
      <c r="W6" s="65">
        <f ca="1">SUMIF('GS &gt; 50 NM 20yr Trend'!$B:$B,T6,'GS &gt; 50 NM 20yr Trend'!C:C)</f>
        <v>949940798.24079382</v>
      </c>
      <c r="X6" s="66"/>
      <c r="Y6" s="65">
        <f ca="1">SUMIF('GS &gt; 50 NM 20yr Trend'!$B:$B,T6,'GS &gt; 50 NM 20yr Trend'!AB:AB)</f>
        <v>946028658.08103657</v>
      </c>
      <c r="Z6" s="65"/>
      <c r="AA6" s="65">
        <f t="shared" ca="1" si="4"/>
        <v>6845739.41142279</v>
      </c>
      <c r="AB6" s="65">
        <f t="shared" ca="1" si="5"/>
        <v>939182918.66961372</v>
      </c>
      <c r="AC6" s="65"/>
      <c r="AD6" s="42">
        <f t="shared" ref="AD6:AD16" si="24">T6</f>
        <v>2010</v>
      </c>
      <c r="AE6" s="65">
        <f>SUMIF('Monthly Data'!$B:$B,AD6,'Monthly Data'!V:V)</f>
        <v>49071887.882886</v>
      </c>
      <c r="AF6" s="65">
        <f ca="1">SUMIF('Monthly Data'!$B:$B,AD6,'Monthly Data'!Y:Y)</f>
        <v>0</v>
      </c>
      <c r="AG6" s="65">
        <f ca="1">SUMIF('Intermediate NM 20yr Trend'!$B:$B,AD6,'Intermediate NM 20yr Trend'!C:C)</f>
        <v>49071887.882886</v>
      </c>
      <c r="AH6" s="66"/>
      <c r="AI6" s="65">
        <f>SUMIF('Intermediate NM 20yr Trend'!$B:$B,AD6,'Intermediate NM 20yr Trend'!R:R)</f>
        <v>49300183.460214451</v>
      </c>
      <c r="AJ6" s="65">
        <f t="shared" ca="1" si="6"/>
        <v>0</v>
      </c>
      <c r="AK6" s="65">
        <f t="shared" ca="1" si="7"/>
        <v>49300183.460214451</v>
      </c>
      <c r="AM6" s="42">
        <f t="shared" ref="AM6:AM16" si="25">AD6</f>
        <v>2010</v>
      </c>
      <c r="AN6" s="65">
        <f>SUMIF('Monthly Data'!$B:$B,AM6,'Monthly Data'!AA:AA)</f>
        <v>295089951.25607103</v>
      </c>
      <c r="AO6" s="65">
        <f ca="1">SUMIF('Monthly Data'!$B:$B,AM6,'Monthly Data'!AD:AD)</f>
        <v>0</v>
      </c>
      <c r="AP6" s="65">
        <f ca="1">SUMIF('Large Use NM 20yr Trend'!$B:$B,AM6,'Large Use NM 20yr Trend'!C:C)</f>
        <v>295089951.25607103</v>
      </c>
      <c r="AQ6" s="66"/>
      <c r="AR6" s="65">
        <f ca="1">SUMIF('Large Use NM 20yr Trend'!$B:$B,AM6,'Large Use NM 20yr Trend'!R:R)</f>
        <v>296644147.72520345</v>
      </c>
      <c r="AS6" s="65"/>
      <c r="AT6" s="65">
        <f t="shared" ca="1" si="8"/>
        <v>0</v>
      </c>
      <c r="AU6" s="65"/>
      <c r="AV6" s="65">
        <f t="shared" ca="1" si="9"/>
        <v>296644147.72520345</v>
      </c>
      <c r="AX6" s="42">
        <f t="shared" ref="AX6:AX16" si="26">AM6</f>
        <v>2010</v>
      </c>
      <c r="AY6" s="65">
        <f ca="1">SUMIF('Monthly Data'!$B:$B,AX6,'Monthly Data'!AJ:AJ)-AZ6</f>
        <v>287197655.7575056</v>
      </c>
      <c r="AZ6" s="65">
        <f ca="1">SUMIF('Monthly Data'!$B:$B,AX6,'Monthly Data'!AI:AI)</f>
        <v>0</v>
      </c>
      <c r="BA6" s="65">
        <f ca="1">SUMIF('Monthly Data'!$B:$B,AX6,'Monthly Data'!AJ:AJ)</f>
        <v>287197655.7575056</v>
      </c>
      <c r="BB6" s="66"/>
      <c r="BC6" s="65">
        <f ca="1">BC5</f>
        <v>273863425.70404339</v>
      </c>
      <c r="BD6" s="65">
        <f t="shared" ca="1" si="10"/>
        <v>0</v>
      </c>
      <c r="BE6" s="65">
        <f t="shared" ca="1" si="11"/>
        <v>273863425.70404339</v>
      </c>
      <c r="BG6" s="42">
        <f t="shared" ref="BG6:BG16" si="27">AX6</f>
        <v>2010</v>
      </c>
      <c r="BH6" s="65">
        <f>SUMIF('Monthly Data'!$B:$B,BG6,'Monthly Data'!AS:AS)</f>
        <v>54756020.297367997</v>
      </c>
      <c r="BI6" s="65">
        <f ca="1">SUMIF('Monthly Data'!$B:$B,BG6,'Monthly Data'!AV:AV)</f>
        <v>0</v>
      </c>
      <c r="BJ6" s="65">
        <f t="shared" ca="1" si="12"/>
        <v>54756020.297367997</v>
      </c>
      <c r="BK6" s="66"/>
      <c r="BL6" s="65">
        <f t="shared" ca="1" si="13"/>
        <v>49309327.229737043</v>
      </c>
      <c r="BM6" s="65">
        <f t="shared" ca="1" si="14"/>
        <v>0</v>
      </c>
      <c r="BN6" s="65">
        <f t="shared" ca="1" si="15"/>
        <v>49309327.229737043</v>
      </c>
      <c r="BO6" s="65"/>
      <c r="BP6" s="42">
        <f t="shared" ref="BP6:BP16" si="28">AM6</f>
        <v>2010</v>
      </c>
      <c r="BQ6" s="67">
        <f>SUMIF('Monthly Data'!$B:$B,BP6,'Monthly Data'!AX:AX)</f>
        <v>16997068.557570998</v>
      </c>
      <c r="BR6" s="67">
        <f>'Connection count '!AE5</f>
        <v>23436.25</v>
      </c>
      <c r="BS6" s="67">
        <f t="shared" si="16"/>
        <v>725.24693829307148</v>
      </c>
      <c r="BT6" s="68"/>
      <c r="BU6" s="61"/>
      <c r="BV6" s="61">
        <f t="shared" ref="BV6:BV16" si="29">BP6</f>
        <v>2010</v>
      </c>
      <c r="BW6" s="67">
        <f>SUMIF('Monthly Data'!$B:$B,BV6,'Monthly Data'!BC:BC)</f>
        <v>953516.90303800011</v>
      </c>
      <c r="BX6" s="67">
        <f>'Connection count '!AI5</f>
        <v>666.5</v>
      </c>
      <c r="BY6" s="67">
        <f t="shared" si="17"/>
        <v>1430.6330128102027</v>
      </c>
      <c r="BZ6" s="67">
        <f t="shared" si="18"/>
        <v>953516.90303800011</v>
      </c>
      <c r="CA6" s="68"/>
      <c r="CB6" s="61">
        <f t="shared" ref="CB6:CB13" si="30">BP6</f>
        <v>2010</v>
      </c>
      <c r="CC6" s="67">
        <f>SUMIF('Monthly Data'!$B:$B,CB6,'Monthly Data'!BF:BF)</f>
        <v>3980559.6164759998</v>
      </c>
      <c r="CD6" s="67">
        <f>'Connection count '!AM5</f>
        <v>769.75</v>
      </c>
      <c r="CE6" s="67">
        <f t="shared" si="19"/>
        <v>5171.2369165001619</v>
      </c>
      <c r="CF6" s="67">
        <f t="shared" si="20"/>
        <v>3980559.6164759998</v>
      </c>
    </row>
    <row r="7" spans="1:84">
      <c r="B7" s="42">
        <f t="shared" si="21"/>
        <v>2011</v>
      </c>
      <c r="C7" s="65">
        <f>SUMIF('Monthly Data'!$B:$B,B7,'Monthly Data'!C:C)</f>
        <v>636991610.62298107</v>
      </c>
      <c r="D7" s="65">
        <f ca="1">SUMIF('Monthly Data'!$B:$B,B7,'Monthly Data'!E:E)</f>
        <v>11272332.848857639</v>
      </c>
      <c r="E7" s="67">
        <f ca="1">SUMIF('Res NM 20yr Trend'!$B:$B,B7,'Res NM 20yr Trend'!C:C)</f>
        <v>648263943.47183859</v>
      </c>
      <c r="F7" s="65"/>
      <c r="G7" s="65">
        <f ca="1">SUMIF('Res NM 20yr Trend'!$B:$B,B7,'Res NM 20yr Trend'!$T:$T)</f>
        <v>646377193.77229261</v>
      </c>
      <c r="H7" s="65">
        <f t="shared" ca="1" si="0"/>
        <v>11272332.848857639</v>
      </c>
      <c r="I7" s="65">
        <f t="shared" ca="1" si="1"/>
        <v>635104860.92343497</v>
      </c>
      <c r="K7" s="42">
        <f t="shared" si="22"/>
        <v>2011</v>
      </c>
      <c r="L7" s="65">
        <f>SUMIF('Monthly Data'!$B:$B,K7,'Monthly Data'!G:G)</f>
        <v>218915071.69101101</v>
      </c>
      <c r="M7" s="65">
        <f ca="1">SUMIF('Monthly Data'!$B:$B,K7,'Monthly Data'!I:I)</f>
        <v>9242550.5800662991</v>
      </c>
      <c r="N7" s="65">
        <f ca="1">SUMIF('GS &lt; 50 NM 20yr Trend'!$B:$B,K7,'GS &lt; 50 NM 20yr Trend'!C:C)</f>
        <v>228157622.27107728</v>
      </c>
      <c r="O7" s="66"/>
      <c r="P7" s="65">
        <f ca="1">SUMIF('GS &lt; 50 NM 20yr Trend'!$B:$B,K7,'GS &lt; 50 NM 20yr Trend'!V:V)</f>
        <v>227825501.6905567</v>
      </c>
      <c r="Q7" s="65">
        <f t="shared" ca="1" si="2"/>
        <v>9242550.5800662991</v>
      </c>
      <c r="R7" s="65">
        <f t="shared" ca="1" si="3"/>
        <v>218582951.11049041</v>
      </c>
      <c r="T7" s="42">
        <f t="shared" si="23"/>
        <v>2011</v>
      </c>
      <c r="U7" s="65">
        <f>SUMIF('Monthly Data'!$B:$B,T7,'Monthly Data'!K:K)</f>
        <v>949533128.04511392</v>
      </c>
      <c r="V7" s="65">
        <f ca="1">SUMIF('Monthly Data'!$B:$B,T7,'Monthly Data'!N:N)</f>
        <v>8227293.3484753771</v>
      </c>
      <c r="W7" s="65">
        <f ca="1">SUMIF('GS &gt; 50 NM 20yr Trend'!$B:$B,T7,'GS &gt; 50 NM 20yr Trend'!C:C)</f>
        <v>954716376.40186357</v>
      </c>
      <c r="X7" s="66"/>
      <c r="Y7" s="65">
        <f ca="1">SUMIF('GS &gt; 50 NM 20yr Trend'!$B:$B,T7,'GS &gt; 50 NM 20yr Trend'!AB:AB)</f>
        <v>954627765.20318925</v>
      </c>
      <c r="Z7" s="65"/>
      <c r="AA7" s="65">
        <f t="shared" ca="1" si="4"/>
        <v>8227293.3484753771</v>
      </c>
      <c r="AB7" s="65">
        <f t="shared" ca="1" si="5"/>
        <v>946400471.85471392</v>
      </c>
      <c r="AC7" s="65"/>
      <c r="AD7" s="42">
        <f t="shared" si="24"/>
        <v>2011</v>
      </c>
      <c r="AE7" s="65">
        <f>SUMIF('Monthly Data'!$B:$B,AD7,'Monthly Data'!V:V)</f>
        <v>48794571.150462002</v>
      </c>
      <c r="AF7" s="65">
        <f ca="1">SUMIF('Monthly Data'!$B:$B,AD7,'Monthly Data'!Y:Y)</f>
        <v>0</v>
      </c>
      <c r="AG7" s="65">
        <f ca="1">SUMIF('Intermediate NM 20yr Trend'!$B:$B,AD7,'Intermediate NM 20yr Trend'!C:C)</f>
        <v>48794571.150462002</v>
      </c>
      <c r="AH7" s="66"/>
      <c r="AI7" s="65">
        <f>SUMIF('Intermediate NM 20yr Trend'!$B:$B,AD7,'Intermediate NM 20yr Trend'!R:R)</f>
        <v>48471244.822661653</v>
      </c>
      <c r="AJ7" s="65">
        <f t="shared" ca="1" si="6"/>
        <v>0</v>
      </c>
      <c r="AK7" s="65">
        <f t="shared" ca="1" si="7"/>
        <v>48471244.822661653</v>
      </c>
      <c r="AM7" s="42">
        <f t="shared" si="25"/>
        <v>2011</v>
      </c>
      <c r="AN7" s="65">
        <f>SUMIF('Monthly Data'!$B:$B,AM7,'Monthly Data'!AA:AA)</f>
        <v>320621511.326684</v>
      </c>
      <c r="AO7" s="65">
        <f ca="1">SUMIF('Monthly Data'!$B:$B,AM7,'Monthly Data'!AD:AD)</f>
        <v>593780.2212453949</v>
      </c>
      <c r="AP7" s="65">
        <f ca="1">SUMIF('Large Use NM 20yr Trend'!$B:$B,AM7,'Large Use NM 20yr Trend'!C:C)</f>
        <v>321215291.54792941</v>
      </c>
      <c r="AQ7" s="66"/>
      <c r="AR7" s="65">
        <f ca="1">SUMIF('Large Use NM 20yr Trend'!$B:$B,AM7,'Large Use NM 20yr Trend'!R:R)</f>
        <v>301769183.8032738</v>
      </c>
      <c r="AS7" s="65"/>
      <c r="AT7" s="65">
        <f t="shared" ca="1" si="8"/>
        <v>593780.2212453949</v>
      </c>
      <c r="AU7" s="65"/>
      <c r="AV7" s="65">
        <f t="shared" ca="1" si="9"/>
        <v>301175403.58202839</v>
      </c>
      <c r="AX7" s="42">
        <f t="shared" si="26"/>
        <v>2011</v>
      </c>
      <c r="AY7" s="65">
        <f ca="1">SUMIF('Monthly Data'!$B:$B,AX7,'Monthly Data'!AJ:AJ)-AZ7</f>
        <v>265542337.9138996</v>
      </c>
      <c r="AZ7" s="65">
        <f ca="1">SUMIF('Monthly Data'!$B:$B,AX7,'Monthly Data'!AI:AI)</f>
        <v>0</v>
      </c>
      <c r="BA7" s="65">
        <f ca="1">SUMIF('Monthly Data'!$B:$B,AX7,'Monthly Data'!AJ:AJ)</f>
        <v>265542337.9138996</v>
      </c>
      <c r="BB7" s="66"/>
      <c r="BC7" s="65">
        <f t="shared" ref="BC7:BC16" ca="1" si="31">BC6</f>
        <v>273863425.70404339</v>
      </c>
      <c r="BD7" s="65">
        <f t="shared" ca="1" si="10"/>
        <v>0</v>
      </c>
      <c r="BE7" s="65">
        <f t="shared" ca="1" si="11"/>
        <v>273863425.70404339</v>
      </c>
      <c r="BG7" s="42">
        <f t="shared" si="27"/>
        <v>2011</v>
      </c>
      <c r="BH7" s="65">
        <f>SUMIF('Monthly Data'!$B:$B,BG7,'Monthly Data'!AS:AS)</f>
        <v>41936988.305069</v>
      </c>
      <c r="BI7" s="65">
        <f ca="1">SUMIF('Monthly Data'!$B:$B,BG7,'Monthly Data'!AV:AV)</f>
        <v>0</v>
      </c>
      <c r="BJ7" s="65">
        <f t="shared" ca="1" si="12"/>
        <v>41936988.305069</v>
      </c>
      <c r="BK7" s="66"/>
      <c r="BL7" s="65">
        <f t="shared" ca="1" si="13"/>
        <v>48518164.185833931</v>
      </c>
      <c r="BM7" s="65">
        <f t="shared" ca="1" si="14"/>
        <v>0</v>
      </c>
      <c r="BN7" s="65">
        <f t="shared" ca="1" si="15"/>
        <v>48518164.185833931</v>
      </c>
      <c r="BO7" s="65"/>
      <c r="BP7" s="42">
        <f t="shared" si="28"/>
        <v>2011</v>
      </c>
      <c r="BQ7" s="67">
        <f>SUMIF('Monthly Data'!$B:$B,BP7,'Monthly Data'!AX:AX)</f>
        <v>17061700.853792001</v>
      </c>
      <c r="BR7" s="67">
        <f>'Connection count '!AE6</f>
        <v>23411</v>
      </c>
      <c r="BS7" s="67">
        <f t="shared" si="16"/>
        <v>728.78992156644313</v>
      </c>
      <c r="BT7" s="68"/>
      <c r="BU7" s="61"/>
      <c r="BV7" s="61">
        <f t="shared" si="29"/>
        <v>2011</v>
      </c>
      <c r="BW7" s="67">
        <f>SUMIF('Monthly Data'!$B:$B,BV7,'Monthly Data'!BC:BC)</f>
        <v>908472.8439770001</v>
      </c>
      <c r="BX7" s="67">
        <f>'Connection count '!AI6</f>
        <v>662</v>
      </c>
      <c r="BY7" s="67">
        <f t="shared" si="17"/>
        <v>1372.3154742854986</v>
      </c>
      <c r="BZ7" s="67">
        <f t="shared" si="18"/>
        <v>908472.8439770001</v>
      </c>
      <c r="CA7" s="68"/>
      <c r="CB7" s="61">
        <f t="shared" si="30"/>
        <v>2011</v>
      </c>
      <c r="CC7" s="67">
        <f>SUMIF('Monthly Data'!$B:$B,CB7,'Monthly Data'!BF:BF)</f>
        <v>3657260.1133329999</v>
      </c>
      <c r="CD7" s="67">
        <f>'Connection count '!AM6</f>
        <v>792.75</v>
      </c>
      <c r="CE7" s="67">
        <f t="shared" si="19"/>
        <v>4613.3839335641751</v>
      </c>
      <c r="CF7" s="67">
        <f t="shared" si="20"/>
        <v>3657260.1133329999</v>
      </c>
    </row>
    <row r="8" spans="1:84" s="69" customFormat="1">
      <c r="B8" s="42">
        <f t="shared" si="21"/>
        <v>2012</v>
      </c>
      <c r="C8" s="65">
        <f>SUMIF('Monthly Data'!$B:$B,B8,'Monthly Data'!C:C)</f>
        <v>631309635.844643</v>
      </c>
      <c r="D8" s="65">
        <f ca="1">SUMIF('Monthly Data'!$B:$B,B8,'Monthly Data'!E:E)</f>
        <v>12864635.435795741</v>
      </c>
      <c r="E8" s="67">
        <f ca="1">SUMIF('Res NM 20yr Trend'!$B:$B,B8,'Res NM 20yr Trend'!C:C)</f>
        <v>644174271.28043866</v>
      </c>
      <c r="F8" s="65"/>
      <c r="G8" s="65">
        <f ca="1">SUMIF('Res NM 20yr Trend'!$B:$B,B8,'Res NM 20yr Trend'!$T:$T)</f>
        <v>646343676.52991033</v>
      </c>
      <c r="H8" s="65">
        <f t="shared" ca="1" si="0"/>
        <v>12864635.435795741</v>
      </c>
      <c r="I8" s="65">
        <f t="shared" ca="1" si="1"/>
        <v>633479041.09411454</v>
      </c>
      <c r="K8" s="42">
        <f t="shared" si="22"/>
        <v>2012</v>
      </c>
      <c r="L8" s="65">
        <f>SUMIF('Monthly Data'!$B:$B,K8,'Monthly Data'!G:G)</f>
        <v>216236228.69367602</v>
      </c>
      <c r="M8" s="65">
        <f ca="1">SUMIF('Monthly Data'!$B:$B,K8,'Monthly Data'!I:I)</f>
        <v>10824912.927849324</v>
      </c>
      <c r="N8" s="65">
        <f ca="1">SUMIF('GS &lt; 50 NM 20yr Trend'!$B:$B,K8,'GS &lt; 50 NM 20yr Trend'!C:C)</f>
        <v>227061141.62152532</v>
      </c>
      <c r="O8" s="70"/>
      <c r="P8" s="65">
        <f ca="1">SUMIF('GS &lt; 50 NM 20yr Trend'!$B:$B,K8,'GS &lt; 50 NM 20yr Trend'!V:V)</f>
        <v>227880243.81490475</v>
      </c>
      <c r="Q8" s="65">
        <f t="shared" ca="1" si="2"/>
        <v>10824912.927849324</v>
      </c>
      <c r="R8" s="65">
        <f t="shared" ca="1" si="3"/>
        <v>217055330.88705543</v>
      </c>
      <c r="T8" s="42">
        <f t="shared" si="23"/>
        <v>2012</v>
      </c>
      <c r="U8" s="65">
        <f>SUMIF('Monthly Data'!$B:$B,T8,'Monthly Data'!K:K)</f>
        <v>941638530.06494999</v>
      </c>
      <c r="V8" s="65">
        <f ca="1">SUMIF('Monthly Data'!$B:$B,T8,'Monthly Data'!N:N)</f>
        <v>12792018.920942092</v>
      </c>
      <c r="W8" s="65">
        <f ca="1">SUMIF('GS &gt; 50 NM 20yr Trend'!$B:$B,T8,'GS &gt; 50 NM 20yr Trend'!C:C)</f>
        <v>947601280.21338153</v>
      </c>
      <c r="X8" s="70"/>
      <c r="Y8" s="65">
        <f ca="1">SUMIF('GS &gt; 50 NM 20yr Trend'!$B:$B,T8,'GS &gt; 50 NM 20yr Trend'!AB:AB)</f>
        <v>961528175.46607304</v>
      </c>
      <c r="Z8" s="65"/>
      <c r="AA8" s="65">
        <f t="shared" ca="1" si="4"/>
        <v>12792018.920942092</v>
      </c>
      <c r="AB8" s="65">
        <f t="shared" ca="1" si="5"/>
        <v>948736156.54513097</v>
      </c>
      <c r="AC8" s="65"/>
      <c r="AD8" s="42">
        <f t="shared" si="24"/>
        <v>2012</v>
      </c>
      <c r="AE8" s="65">
        <f>SUMIF('Monthly Data'!$B:$B,AD8,'Monthly Data'!V:V)</f>
        <v>45768539.737902999</v>
      </c>
      <c r="AF8" s="65">
        <f ca="1">SUMIF('Monthly Data'!$B:$B,AD8,'Monthly Data'!Y:Y)</f>
        <v>28064.582636199</v>
      </c>
      <c r="AG8" s="65">
        <f ca="1">SUMIF('Intermediate NM 20yr Trend'!$B:$B,AD8,'Intermediate NM 20yr Trend'!C:C)</f>
        <v>45796604.320539199</v>
      </c>
      <c r="AH8" s="70"/>
      <c r="AI8" s="65">
        <f>SUMIF('Intermediate NM 20yr Trend'!$B:$B,AD8,'Intermediate NM 20yr Trend'!R:R)</f>
        <v>47790598.706022672</v>
      </c>
      <c r="AJ8" s="65">
        <f t="shared" ca="1" si="6"/>
        <v>28064.582636199</v>
      </c>
      <c r="AK8" s="65">
        <f t="shared" ca="1" si="7"/>
        <v>47762534.123386472</v>
      </c>
      <c r="AM8" s="42">
        <f t="shared" si="25"/>
        <v>2012</v>
      </c>
      <c r="AN8" s="65">
        <f>SUMIF('Monthly Data'!$B:$B,AM8,'Monthly Data'!AA:AA)</f>
        <v>304746367.45815498</v>
      </c>
      <c r="AO8" s="65">
        <f ca="1">SUMIF('Monthly Data'!$B:$B,AM8,'Monthly Data'!AD:AD)</f>
        <v>2605829.9883885211</v>
      </c>
      <c r="AP8" s="65">
        <f ca="1">SUMIF('Large Use NM 20yr Trend'!$B:$B,AM8,'Large Use NM 20yr Trend'!C:C)</f>
        <v>307352197.44654351</v>
      </c>
      <c r="AQ8" s="70"/>
      <c r="AR8" s="65">
        <f ca="1">SUMIF('Large Use NM 20yr Trend'!$B:$B,AM8,'Large Use NM 20yr Trend'!R:R)</f>
        <v>304351991.42808598</v>
      </c>
      <c r="AS8" s="65"/>
      <c r="AT8" s="65">
        <f t="shared" ca="1" si="8"/>
        <v>2605829.9883885211</v>
      </c>
      <c r="AU8" s="65"/>
      <c r="AV8" s="65">
        <f t="shared" ca="1" si="9"/>
        <v>301746161.43969744</v>
      </c>
      <c r="AX8" s="42">
        <f t="shared" si="26"/>
        <v>2012</v>
      </c>
      <c r="AY8" s="65">
        <f ca="1">SUMIF('Monthly Data'!$B:$B,AX8,'Monthly Data'!AJ:AJ)-AZ8</f>
        <v>280858035.097938</v>
      </c>
      <c r="AZ8" s="65">
        <f ca="1">SUMIF('Monthly Data'!$B:$B,AX8,'Monthly Data'!AI:AI)</f>
        <v>3232821.7271581362</v>
      </c>
      <c r="BA8" s="65">
        <f ca="1">SUMIF('Monthly Data'!$B:$B,AX8,'Monthly Data'!AJ:AJ)</f>
        <v>284090856.82509613</v>
      </c>
      <c r="BB8" s="70"/>
      <c r="BC8" s="65">
        <f t="shared" ca="1" si="31"/>
        <v>273863425.70404339</v>
      </c>
      <c r="BD8" s="65">
        <f t="shared" ca="1" si="10"/>
        <v>3232821.7271581362</v>
      </c>
      <c r="BE8" s="65">
        <f t="shared" ca="1" si="11"/>
        <v>270630603.97688526</v>
      </c>
      <c r="BG8" s="42">
        <f t="shared" si="27"/>
        <v>2012</v>
      </c>
      <c r="BH8" s="65">
        <f>SUMIF('Monthly Data'!$B:$B,BG8,'Monthly Data'!AS:AS)</f>
        <v>45336838.931562997</v>
      </c>
      <c r="BI8" s="65">
        <f ca="1">SUMIF('Monthly Data'!$B:$B,BG8,'Monthly Data'!AV:AV)</f>
        <v>27493.911545233146</v>
      </c>
      <c r="BJ8" s="65">
        <f t="shared" ca="1" si="12"/>
        <v>45364332.843108229</v>
      </c>
      <c r="BK8" s="70"/>
      <c r="BL8" s="65">
        <f t="shared" ca="1" si="13"/>
        <v>47727001.141930819</v>
      </c>
      <c r="BM8" s="65">
        <f t="shared" ca="1" si="14"/>
        <v>27493.911545233146</v>
      </c>
      <c r="BN8" s="65">
        <f t="shared" ca="1" si="15"/>
        <v>47699507.230385587</v>
      </c>
      <c r="BO8" s="65"/>
      <c r="BP8" s="42">
        <f t="shared" si="28"/>
        <v>2012</v>
      </c>
      <c r="BQ8" s="67">
        <f>SUMIF('Monthly Data'!$B:$B,BP8,'Monthly Data'!AX:AX)</f>
        <v>17377866.278999001</v>
      </c>
      <c r="BR8" s="67">
        <f>'Connection count '!AE7</f>
        <v>23358</v>
      </c>
      <c r="BS8" s="67">
        <f t="shared" si="16"/>
        <v>743.97920536856759</v>
      </c>
      <c r="BT8" s="99"/>
      <c r="BU8" s="61"/>
      <c r="BV8" s="61">
        <f t="shared" si="29"/>
        <v>2012</v>
      </c>
      <c r="BW8" s="67">
        <f>SUMIF('Monthly Data'!$B:$B,BV8,'Monthly Data'!BC:BC)</f>
        <v>908923.37890999997</v>
      </c>
      <c r="BX8" s="67">
        <f>'Connection count '!AI7</f>
        <v>660.5</v>
      </c>
      <c r="BY8" s="67">
        <f t="shared" si="17"/>
        <v>1376.1141240121119</v>
      </c>
      <c r="BZ8" s="67">
        <f t="shared" si="18"/>
        <v>908923.37890999997</v>
      </c>
      <c r="CA8" s="99"/>
      <c r="CB8" s="61">
        <f t="shared" si="30"/>
        <v>2012</v>
      </c>
      <c r="CC8" s="67">
        <f>SUMIF('Monthly Data'!$B:$B,CB8,'Monthly Data'!BF:BF)</f>
        <v>3485917.9890729999</v>
      </c>
      <c r="CD8" s="67">
        <f>'Connection count '!AM7</f>
        <v>794</v>
      </c>
      <c r="CE8" s="67">
        <f t="shared" si="19"/>
        <v>4390.3249232657427</v>
      </c>
      <c r="CF8" s="67">
        <f t="shared" si="20"/>
        <v>3485917.9890729995</v>
      </c>
    </row>
    <row r="9" spans="1:84" s="69" customFormat="1">
      <c r="B9" s="42">
        <f t="shared" si="21"/>
        <v>2013</v>
      </c>
      <c r="C9" s="65">
        <f>SUMIF('Monthly Data'!$B:$B,B9,'Monthly Data'!C:C)</f>
        <v>617011740.79367626</v>
      </c>
      <c r="D9" s="65">
        <f ca="1">SUMIF('Monthly Data'!$B:$B,B9,'Monthly Data'!E:E)</f>
        <v>15101481.340567015</v>
      </c>
      <c r="E9" s="67">
        <f ca="1">SUMIF('Res NM 20yr Trend'!$B:$B,B9,'Res NM 20yr Trend'!C:C)</f>
        <v>632113222.13424337</v>
      </c>
      <c r="F9" s="65"/>
      <c r="G9" s="65">
        <f ca="1">SUMIF('Res NM 20yr Trend'!$B:$B,B9,'Res NM 20yr Trend'!$T:$T)</f>
        <v>642706292.5990442</v>
      </c>
      <c r="H9" s="65">
        <f t="shared" ca="1" si="0"/>
        <v>15101481.340567015</v>
      </c>
      <c r="I9" s="65">
        <f t="shared" ca="1" si="1"/>
        <v>627604811.25847721</v>
      </c>
      <c r="K9" s="42">
        <f t="shared" si="22"/>
        <v>2013</v>
      </c>
      <c r="L9" s="65">
        <f>SUMIF('Monthly Data'!$B:$B,K9,'Monthly Data'!G:G)</f>
        <v>217023476.48367095</v>
      </c>
      <c r="M9" s="65">
        <f ca="1">SUMIF('Monthly Data'!$B:$B,K9,'Monthly Data'!I:I)</f>
        <v>11711624.383561887</v>
      </c>
      <c r="N9" s="65">
        <f ca="1">SUMIF('GS &lt; 50 NM 20yr Trend'!$B:$B,K9,'GS &lt; 50 NM 20yr Trend'!C:C)</f>
        <v>228735100.86723283</v>
      </c>
      <c r="O9" s="70"/>
      <c r="P9" s="65">
        <f ca="1">SUMIF('GS &lt; 50 NM 20yr Trend'!$B:$B,K9,'GS &lt; 50 NM 20yr Trend'!V:V)</f>
        <v>225292977.07438853</v>
      </c>
      <c r="Q9" s="65">
        <f t="shared" ca="1" si="2"/>
        <v>11711624.383561887</v>
      </c>
      <c r="R9" s="65">
        <f t="shared" ca="1" si="3"/>
        <v>213581352.69082665</v>
      </c>
      <c r="T9" s="42">
        <f t="shared" si="23"/>
        <v>2013</v>
      </c>
      <c r="U9" s="65">
        <f>SUMIF('Monthly Data'!$B:$B,T9,'Monthly Data'!K:K)</f>
        <v>948224332.78106129</v>
      </c>
      <c r="V9" s="65">
        <f ca="1">SUMIF('Monthly Data'!$B:$B,T9,'Monthly Data'!N:N)</f>
        <v>20212082.105938684</v>
      </c>
      <c r="W9" s="65">
        <f ca="1">SUMIF('GS &gt; 50 NM 20yr Trend'!$B:$B,T9,'GS &gt; 50 NM 20yr Trend'!C:C)</f>
        <v>960846806.29165292</v>
      </c>
      <c r="X9" s="70"/>
      <c r="Y9" s="65">
        <f ca="1">SUMIF('GS &gt; 50 NM 20yr Trend'!$B:$B,T9,'GS &gt; 50 NM 20yr Trend'!AB:AB)</f>
        <v>965511607.04171968</v>
      </c>
      <c r="Z9" s="65"/>
      <c r="AA9" s="65">
        <f t="shared" ca="1" si="4"/>
        <v>20212082.105938684</v>
      </c>
      <c r="AB9" s="65">
        <f t="shared" ca="1" si="5"/>
        <v>945299524.935781</v>
      </c>
      <c r="AC9" s="65"/>
      <c r="AD9" s="42">
        <f t="shared" si="24"/>
        <v>2013</v>
      </c>
      <c r="AE9" s="65">
        <f>SUMIF('Monthly Data'!$B:$B,AD9,'Monthly Data'!V:V)</f>
        <v>45666584.426196001</v>
      </c>
      <c r="AF9" s="65">
        <f ca="1">SUMIF('Monthly Data'!$B:$B,AD9,'Monthly Data'!Y:Y)</f>
        <v>63564.250358752011</v>
      </c>
      <c r="AG9" s="65">
        <f ca="1">SUMIF('Intermediate NM 20yr Trend'!$B:$B,AD9,'Intermediate NM 20yr Trend'!C:C)</f>
        <v>45730148.676554747</v>
      </c>
      <c r="AH9" s="70"/>
      <c r="AI9" s="65">
        <f>SUMIF('Intermediate NM 20yr Trend'!$B:$B,AD9,'Intermediate NM 20yr Trend'!R:R)</f>
        <v>46813367.547556072</v>
      </c>
      <c r="AJ9" s="65">
        <f t="shared" ca="1" si="6"/>
        <v>63564.250358752011</v>
      </c>
      <c r="AK9" s="65">
        <f t="shared" ca="1" si="7"/>
        <v>46749803.29719732</v>
      </c>
      <c r="AM9" s="42">
        <f t="shared" si="25"/>
        <v>2013</v>
      </c>
      <c r="AN9" s="65">
        <f>SUMIF('Monthly Data'!$B:$B,AM9,'Monthly Data'!AA:AA)</f>
        <v>295185913.80554301</v>
      </c>
      <c r="AO9" s="65">
        <f ca="1">SUMIF('Monthly Data'!$B:$B,AM9,'Monthly Data'!AD:AD)</f>
        <v>6090078.338263412</v>
      </c>
      <c r="AP9" s="65">
        <f ca="1">SUMIF('Large Use NM 20yr Trend'!$B:$B,AM9,'Large Use NM 20yr Trend'!C:C)</f>
        <v>301275992.14380634</v>
      </c>
      <c r="AQ9" s="70"/>
      <c r="AR9" s="65">
        <f ca="1">SUMIF('Large Use NM 20yr Trend'!$B:$B,AM9,'Large Use NM 20yr Trend'!R:R)</f>
        <v>308508247.83981299</v>
      </c>
      <c r="AS9" s="65"/>
      <c r="AT9" s="65">
        <f t="shared" ca="1" si="8"/>
        <v>6090078.338263412</v>
      </c>
      <c r="AU9" s="65"/>
      <c r="AV9" s="65">
        <f t="shared" ca="1" si="9"/>
        <v>302418169.5015496</v>
      </c>
      <c r="AX9" s="42">
        <f t="shared" si="26"/>
        <v>2013</v>
      </c>
      <c r="AY9" s="65">
        <f ca="1">SUMIF('Monthly Data'!$B:$B,AX9,'Monthly Data'!AJ:AJ)-AZ9</f>
        <v>265541554.24181503</v>
      </c>
      <c r="AZ9" s="65">
        <f ca="1">SUMIF('Monthly Data'!$B:$B,AX9,'Monthly Data'!AI:AI)</f>
        <v>9075528.6572482064</v>
      </c>
      <c r="BA9" s="65">
        <f ca="1">SUMIF('Monthly Data'!$B:$B,AX9,'Monthly Data'!AJ:AJ)</f>
        <v>274617082.89906323</v>
      </c>
      <c r="BB9" s="70"/>
      <c r="BC9" s="65">
        <f t="shared" ca="1" si="31"/>
        <v>273863425.70404339</v>
      </c>
      <c r="BD9" s="65">
        <f t="shared" ca="1" si="10"/>
        <v>9075528.6572482064</v>
      </c>
      <c r="BE9" s="65">
        <f t="shared" ca="1" si="11"/>
        <v>264787897.04679519</v>
      </c>
      <c r="BG9" s="42">
        <f t="shared" si="27"/>
        <v>2013</v>
      </c>
      <c r="BH9" s="65">
        <f>SUMIF('Monthly Data'!$B:$B,BG9,'Monthly Data'!AS:AS)</f>
        <v>48126674.812411003</v>
      </c>
      <c r="BI9" s="65">
        <f ca="1">SUMIF('Monthly Data'!$B:$B,BG9,'Monthly Data'!AV:AV)</f>
        <v>54694.946895987603</v>
      </c>
      <c r="BJ9" s="65">
        <f t="shared" ca="1" si="12"/>
        <v>48181369.75930699</v>
      </c>
      <c r="BK9" s="70"/>
      <c r="BL9" s="65">
        <f t="shared" ca="1" si="13"/>
        <v>46935838.098027706</v>
      </c>
      <c r="BM9" s="65">
        <f t="shared" ca="1" si="14"/>
        <v>54694.946895987603</v>
      </c>
      <c r="BN9" s="65">
        <f t="shared" ca="1" si="15"/>
        <v>46881143.151131719</v>
      </c>
      <c r="BO9" s="65"/>
      <c r="BP9" s="42">
        <f t="shared" si="28"/>
        <v>2013</v>
      </c>
      <c r="BQ9" s="67">
        <f>SUMIF('Monthly Data'!$B:$B,BP9,'Monthly Data'!AX:AX)</f>
        <v>17283102.442827001</v>
      </c>
      <c r="BR9" s="67">
        <f>'Connection count '!AE8</f>
        <v>23385.5</v>
      </c>
      <c r="BS9" s="67">
        <f t="shared" si="16"/>
        <v>739.05208111124421</v>
      </c>
      <c r="BT9" s="72"/>
      <c r="BU9" s="61"/>
      <c r="BV9" s="61">
        <f t="shared" si="29"/>
        <v>2013</v>
      </c>
      <c r="BW9" s="67">
        <f>SUMIF('Monthly Data'!$B:$B,BV9,'Monthly Data'!BC:BC)</f>
        <v>887747.77032600006</v>
      </c>
      <c r="BX9" s="67">
        <f>'Connection count '!AI8</f>
        <v>641.25</v>
      </c>
      <c r="BY9" s="67">
        <f t="shared" si="17"/>
        <v>1384.4019810152047</v>
      </c>
      <c r="BZ9" s="67">
        <f t="shared" si="18"/>
        <v>887747.77032600006</v>
      </c>
      <c r="CA9" s="61"/>
      <c r="CB9" s="61">
        <f t="shared" si="30"/>
        <v>2013</v>
      </c>
      <c r="CC9" s="67">
        <f>SUMIF('Monthly Data'!$B:$B,CB9,'Monthly Data'!BF:BF)</f>
        <v>3254726.4492000006</v>
      </c>
      <c r="CD9" s="67">
        <f>'Connection count '!AM8</f>
        <v>789.5</v>
      </c>
      <c r="CE9" s="67">
        <f t="shared" si="19"/>
        <v>4122.5160851171631</v>
      </c>
      <c r="CF9" s="67">
        <f t="shared" si="20"/>
        <v>3254726.4492000001</v>
      </c>
    </row>
    <row r="10" spans="1:84" s="69" customFormat="1">
      <c r="B10" s="42">
        <f t="shared" si="21"/>
        <v>2014</v>
      </c>
      <c r="C10" s="65">
        <f>SUMIF('Monthly Data'!$B:$B,B10,'Monthly Data'!C:C)</f>
        <v>598157531.45016491</v>
      </c>
      <c r="D10" s="65">
        <f ca="1">SUMIF('Monthly Data'!$B:$B,B10,'Monthly Data'!E:E)</f>
        <v>17402895.305016827</v>
      </c>
      <c r="E10" s="67">
        <f ca="1">SUMIF('Res NM 20yr Trend'!$B:$B,B10,'Res NM 20yr Trend'!C:C)</f>
        <v>615560426.75518167</v>
      </c>
      <c r="F10" s="65"/>
      <c r="G10" s="65">
        <f ca="1">SUMIF('Res NM 20yr Trend'!$B:$B,B10,'Res NM 20yr Trend'!$T:$T)</f>
        <v>640870842.01242018</v>
      </c>
      <c r="H10" s="65">
        <f t="shared" ca="1" si="0"/>
        <v>17402895.305016827</v>
      </c>
      <c r="I10" s="65">
        <f t="shared" ca="1" si="1"/>
        <v>623467946.7074033</v>
      </c>
      <c r="K10" s="42">
        <f t="shared" si="22"/>
        <v>2014</v>
      </c>
      <c r="L10" s="65">
        <f>SUMIF('Monthly Data'!$B:$B,K10,'Monthly Data'!G:G)</f>
        <v>212401261.73789737</v>
      </c>
      <c r="M10" s="65">
        <f ca="1">SUMIF('Monthly Data'!$B:$B,K10,'Monthly Data'!I:I)</f>
        <v>12126168.622544304</v>
      </c>
      <c r="N10" s="65">
        <f ca="1">SUMIF('GS &lt; 50 NM 20yr Trend'!$B:$B,K10,'GS &lt; 50 NM 20yr Trend'!C:C)</f>
        <v>224527430.36044165</v>
      </c>
      <c r="O10" s="70"/>
      <c r="P10" s="65">
        <f ca="1">SUMIF('GS &lt; 50 NM 20yr Trend'!$B:$B,K10,'GS &lt; 50 NM 20yr Trend'!V:V)</f>
        <v>222616332.5567821</v>
      </c>
      <c r="Q10" s="65">
        <f t="shared" ca="1" si="2"/>
        <v>12126168.622544304</v>
      </c>
      <c r="R10" s="65">
        <f t="shared" ca="1" si="3"/>
        <v>210490163.93423778</v>
      </c>
      <c r="T10" s="42">
        <f t="shared" si="23"/>
        <v>2014</v>
      </c>
      <c r="U10" s="65">
        <f>SUMIF('Monthly Data'!$B:$B,T10,'Monthly Data'!K:K)</f>
        <v>970184488.09365582</v>
      </c>
      <c r="V10" s="65">
        <f ca="1">SUMIF('Monthly Data'!$B:$B,T10,'Monthly Data'!N:N)</f>
        <v>29688916.712998506</v>
      </c>
      <c r="W10" s="65">
        <f ca="1">SUMIF('GS &gt; 50 NM 20yr Trend'!$B:$B,T10,'GS &gt; 50 NM 20yr Trend'!C:C)</f>
        <v>996483234.68108225</v>
      </c>
      <c r="X10" s="70"/>
      <c r="Y10" s="65">
        <f ca="1">SUMIF('GS &gt; 50 NM 20yr Trend'!$B:$B,T10,'GS &gt; 50 NM 20yr Trend'!AB:AB)</f>
        <v>975233465.70893872</v>
      </c>
      <c r="Z10" s="65"/>
      <c r="AA10" s="65">
        <f t="shared" ca="1" si="4"/>
        <v>29688916.712998506</v>
      </c>
      <c r="AB10" s="65">
        <f t="shared" ca="1" si="5"/>
        <v>945544548.99594021</v>
      </c>
      <c r="AC10" s="65"/>
      <c r="AD10" s="42">
        <f t="shared" si="24"/>
        <v>2014</v>
      </c>
      <c r="AE10" s="65">
        <f>SUMIF('Monthly Data'!$B:$B,AD10,'Monthly Data'!V:V)</f>
        <v>47519841.509630993</v>
      </c>
      <c r="AF10" s="65">
        <f ca="1">SUMIF('Monthly Data'!$B:$B,AD10,'Monthly Data'!Y:Y)</f>
        <v>77119.321237298413</v>
      </c>
      <c r="AG10" s="65">
        <f ca="1">SUMIF('Intermediate NM 20yr Trend'!$B:$B,AD10,'Intermediate NM 20yr Trend'!C:C)</f>
        <v>47596960.830868289</v>
      </c>
      <c r="AH10" s="70"/>
      <c r="AI10" s="65">
        <f>SUMIF('Intermediate NM 20yr Trend'!$B:$B,AD10,'Intermediate NM 20yr Trend'!R:R)</f>
        <v>45984428.910003282</v>
      </c>
      <c r="AJ10" s="65">
        <f t="shared" ca="1" si="6"/>
        <v>77119.321237298413</v>
      </c>
      <c r="AK10" s="65">
        <f t="shared" ca="1" si="7"/>
        <v>45907309.588765986</v>
      </c>
      <c r="AM10" s="42">
        <f t="shared" si="25"/>
        <v>2014</v>
      </c>
      <c r="AN10" s="65">
        <f>SUMIF('Monthly Data'!$B:$B,AM10,'Monthly Data'!AA:AA)</f>
        <v>304014292.368729</v>
      </c>
      <c r="AO10" s="65">
        <f ca="1">SUMIF('Monthly Data'!$B:$B,AM10,'Monthly Data'!AD:AD)</f>
        <v>8881058.9303986393</v>
      </c>
      <c r="AP10" s="65">
        <f ca="1">SUMIF('Large Use NM 20yr Trend'!$B:$B,AM10,'Large Use NM 20yr Trend'!C:C)</f>
        <v>312895351.29912758</v>
      </c>
      <c r="AQ10" s="70"/>
      <c r="AR10" s="65">
        <f ca="1">SUMIF('Large Use NM 20yr Trend'!$B:$B,AM10,'Large Use NM 20yr Trend'!R:R)</f>
        <v>310951925.95372921</v>
      </c>
      <c r="AS10" s="65"/>
      <c r="AT10" s="65">
        <f t="shared" ca="1" si="8"/>
        <v>8881058.9303986393</v>
      </c>
      <c r="AU10" s="65"/>
      <c r="AV10" s="65">
        <f t="shared" ca="1" si="9"/>
        <v>302070867.02333057</v>
      </c>
      <c r="AX10" s="42">
        <f t="shared" si="26"/>
        <v>2014</v>
      </c>
      <c r="AY10" s="65">
        <f ca="1">SUMIF('Monthly Data'!$B:$B,AX10,'Monthly Data'!AJ:AJ)-AZ10</f>
        <v>266219489.74002093</v>
      </c>
      <c r="AZ10" s="65">
        <f ca="1">SUMIF('Monthly Data'!$B:$B,AX10,'Monthly Data'!AI:AI)</f>
        <v>13403463.64678734</v>
      </c>
      <c r="BA10" s="65">
        <f ca="1">SUMIF('Monthly Data'!$B:$B,AX10,'Monthly Data'!AJ:AJ)</f>
        <v>279622953.38680828</v>
      </c>
      <c r="BB10" s="70"/>
      <c r="BC10" s="65">
        <f t="shared" ca="1" si="31"/>
        <v>273863425.70404339</v>
      </c>
      <c r="BD10" s="65">
        <f t="shared" ca="1" si="10"/>
        <v>13403463.64678734</v>
      </c>
      <c r="BE10" s="65">
        <f t="shared" ca="1" si="11"/>
        <v>260459962.05725604</v>
      </c>
      <c r="BG10" s="42">
        <f t="shared" si="27"/>
        <v>2014</v>
      </c>
      <c r="BH10" s="65">
        <f>SUMIF('Monthly Data'!$B:$B,BG10,'Monthly Data'!AS:AS)</f>
        <v>47308908.679020993</v>
      </c>
      <c r="BI10" s="65">
        <f ca="1">SUMIF('Monthly Data'!$B:$B,BG10,'Monthly Data'!AV:AV)</f>
        <v>54654.663674103103</v>
      </c>
      <c r="BJ10" s="65">
        <f t="shared" ca="1" si="12"/>
        <v>47363563.342695095</v>
      </c>
      <c r="BK10" s="70"/>
      <c r="BL10" s="65">
        <f t="shared" ca="1" si="13"/>
        <v>46144675.054124594</v>
      </c>
      <c r="BM10" s="65">
        <f t="shared" ca="1" si="14"/>
        <v>54654.663674103103</v>
      </c>
      <c r="BN10" s="65">
        <f t="shared" ca="1" si="15"/>
        <v>46090020.390450493</v>
      </c>
      <c r="BO10" s="65"/>
      <c r="BP10" s="42">
        <f t="shared" si="28"/>
        <v>2014</v>
      </c>
      <c r="BQ10" s="67">
        <f>SUMIF('Monthly Data'!$B:$B,BP10,'Monthly Data'!AX:AX)</f>
        <v>17360921.051590003</v>
      </c>
      <c r="BR10" s="67">
        <f>'Connection count '!AE9</f>
        <v>23459.5</v>
      </c>
      <c r="BS10" s="67">
        <f>BQ10/BR10</f>
        <v>740.03798254822152</v>
      </c>
      <c r="BT10" s="72"/>
      <c r="BU10" s="61"/>
      <c r="BV10" s="61">
        <f t="shared" si="29"/>
        <v>2014</v>
      </c>
      <c r="BW10" s="67">
        <f>SUMIF('Monthly Data'!$B:$B,BV10,'Monthly Data'!BC:BC)</f>
        <v>924204.18281011167</v>
      </c>
      <c r="BX10" s="67">
        <f>'Connection count '!AI9</f>
        <v>631.25</v>
      </c>
      <c r="BY10" s="67">
        <f t="shared" si="17"/>
        <v>1464.0858341546323</v>
      </c>
      <c r="BZ10" s="67">
        <f>BY10*BX10</f>
        <v>924204.18281011167</v>
      </c>
      <c r="CA10" s="61"/>
      <c r="CB10" s="61">
        <f t="shared" si="30"/>
        <v>2014</v>
      </c>
      <c r="CC10" s="67">
        <f>SUMIF('Monthly Data'!$B:$B,CB10,'Monthly Data'!BF:BF)</f>
        <v>2436824.926873663</v>
      </c>
      <c r="CD10" s="67">
        <f>'Connection count '!AM9</f>
        <v>783</v>
      </c>
      <c r="CE10" s="67">
        <f t="shared" si="19"/>
        <v>3112.1646575653422</v>
      </c>
      <c r="CF10" s="67">
        <f t="shared" si="20"/>
        <v>2436824.926873663</v>
      </c>
    </row>
    <row r="11" spans="1:84" s="69" customFormat="1">
      <c r="B11" s="42">
        <f t="shared" si="21"/>
        <v>2015</v>
      </c>
      <c r="C11" s="65">
        <f>SUMIF('Monthly Data'!$B:$B,B11,'Monthly Data'!C:C)</f>
        <v>593984431.47600019</v>
      </c>
      <c r="D11" s="65">
        <f ca="1">SUMIF('Monthly Data'!$B:$B,B11,'Monthly Data'!E:E)</f>
        <v>17670503.566507727</v>
      </c>
      <c r="E11" s="67">
        <f ca="1">SUMIF('Res NM 20yr Trend'!$B:$B,B11,'Res NM 20yr Trend'!C:C)</f>
        <v>611654935.04250789</v>
      </c>
      <c r="F11" s="65"/>
      <c r="G11" s="65">
        <f ca="1">SUMIF('Res NM 20yr Trend'!$B:$B,B11,'Res NM 20yr Trend'!$T:$T)</f>
        <v>639035391.42579591</v>
      </c>
      <c r="H11" s="65">
        <f t="shared" ca="1" si="0"/>
        <v>17670503.566507727</v>
      </c>
      <c r="I11" s="65">
        <f t="shared" ca="1" si="1"/>
        <v>621364887.85928822</v>
      </c>
      <c r="K11" s="42">
        <f t="shared" si="22"/>
        <v>2015</v>
      </c>
      <c r="L11" s="65">
        <f>SUMIF('Monthly Data'!$B:$B,K11,'Monthly Data'!G:G)</f>
        <v>207733154.94022256</v>
      </c>
      <c r="M11" s="65">
        <f ca="1">SUMIF('Monthly Data'!$B:$B,K11,'Monthly Data'!I:I)</f>
        <v>14136513.140595429</v>
      </c>
      <c r="N11" s="65">
        <f ca="1">SUMIF('GS &lt; 50 NM 20yr Trend'!$B:$B,K11,'GS &lt; 50 NM 20yr Trend'!C:C)</f>
        <v>221869668.08081797</v>
      </c>
      <c r="O11" s="70"/>
      <c r="P11" s="65">
        <f ca="1">SUMIF('GS &lt; 50 NM 20yr Trend'!$B:$B,K11,'GS &lt; 50 NM 20yr Trend'!V:V)</f>
        <v>221507689.16035724</v>
      </c>
      <c r="Q11" s="65">
        <f t="shared" ca="1" si="2"/>
        <v>14136513.140595429</v>
      </c>
      <c r="R11" s="65">
        <f t="shared" ca="1" si="3"/>
        <v>207371176.0197618</v>
      </c>
      <c r="T11" s="42">
        <f t="shared" si="23"/>
        <v>2015</v>
      </c>
      <c r="U11" s="65">
        <f>SUMIF('Monthly Data'!$B:$B,T11,'Monthly Data'!K:K)</f>
        <v>941653981.70491183</v>
      </c>
      <c r="V11" s="65">
        <f ca="1">SUMIF('Monthly Data'!$B:$B,T11,'Monthly Data'!N:N)</f>
        <v>39378471.949839026</v>
      </c>
      <c r="W11" s="65">
        <f ca="1">SUMIF('GS &gt; 50 NM 20yr Trend'!$B:$B,T11,'GS &gt; 50 NM 20yr Trend'!C:C)</f>
        <v>981032453.65475094</v>
      </c>
      <c r="X11" s="70"/>
      <c r="Y11" s="65">
        <f ca="1">SUMIF('GS &gt; 50 NM 20yr Trend'!$B:$B,T11,'GS &gt; 50 NM 20yr Trend'!AB:AB)</f>
        <v>985078066.47367001</v>
      </c>
      <c r="Z11" s="65"/>
      <c r="AA11" s="65">
        <f t="shared" ca="1" si="4"/>
        <v>39378471.949839026</v>
      </c>
      <c r="AB11" s="65">
        <f t="shared" ca="1" si="5"/>
        <v>945699594.52383101</v>
      </c>
      <c r="AC11" s="65"/>
      <c r="AD11" s="42">
        <f t="shared" si="24"/>
        <v>2015</v>
      </c>
      <c r="AE11" s="65">
        <f>SUMIF('Monthly Data'!$B:$B,AD11,'Monthly Data'!V:V)</f>
        <v>44363940.879999988</v>
      </c>
      <c r="AF11" s="65">
        <f ca="1">SUMIF('Monthly Data'!$B:$B,AD11,'Monthly Data'!Y:Y)</f>
        <v>250315.11919415192</v>
      </c>
      <c r="AG11" s="65">
        <f ca="1">SUMIF('Intermediate NM 20yr Trend'!$B:$B,AD11,'Intermediate NM 20yr Trend'!C:C)</f>
        <v>44614255.999194153</v>
      </c>
      <c r="AH11" s="70"/>
      <c r="AI11" s="65">
        <f>SUMIF('Intermediate NM 20yr Trend'!$B:$B,AD11,'Intermediate NM 20yr Trend'!R:R)</f>
        <v>45155490.272450492</v>
      </c>
      <c r="AJ11" s="65">
        <f t="shared" ca="1" si="6"/>
        <v>250315.11919415192</v>
      </c>
      <c r="AK11" s="65">
        <f t="shared" ca="1" si="7"/>
        <v>44905175.153256342</v>
      </c>
      <c r="AM11" s="42">
        <f t="shared" si="25"/>
        <v>2015</v>
      </c>
      <c r="AN11" s="65">
        <f>SUMIF('Monthly Data'!$B:$B,AM11,'Monthly Data'!AA:AA)</f>
        <v>301194469.31</v>
      </c>
      <c r="AO11" s="65">
        <f ca="1">SUMIF('Monthly Data'!$B:$B,AM11,'Monthly Data'!AD:AD)</f>
        <v>10107708.279756702</v>
      </c>
      <c r="AP11" s="65">
        <f ca="1">SUMIF('Large Use NM 20yr Trend'!$B:$B,AM11,'Large Use NM 20yr Trend'!C:C)</f>
        <v>311302177.58975667</v>
      </c>
      <c r="AQ11" s="70"/>
      <c r="AR11" s="65">
        <f ca="1">SUMIF('Large Use NM 20yr Trend'!$B:$B,AM11,'Large Use NM 20yr Trend'!R:R)</f>
        <v>312784770.28225821</v>
      </c>
      <c r="AS11" s="65"/>
      <c r="AT11" s="65">
        <f t="shared" ca="1" si="8"/>
        <v>10107708.279756702</v>
      </c>
      <c r="AU11" s="65"/>
      <c r="AV11" s="65">
        <f t="shared" ca="1" si="9"/>
        <v>302677062.00250149</v>
      </c>
      <c r="AX11" s="42">
        <f t="shared" si="26"/>
        <v>2015</v>
      </c>
      <c r="AY11" s="65">
        <f ca="1">SUMIF('Monthly Data'!$B:$B,AX11,'Monthly Data'!AJ:AJ)-AZ11</f>
        <v>241052438.81000003</v>
      </c>
      <c r="AZ11" s="65">
        <f ca="1">SUMIF('Monthly Data'!$B:$B,AX11,'Monthly Data'!AI:AI)</f>
        <v>15576070.648468904</v>
      </c>
      <c r="BA11" s="65">
        <f ca="1">SUMIF('Monthly Data'!$B:$B,AX11,'Monthly Data'!AJ:AJ)</f>
        <v>256628509.45846894</v>
      </c>
      <c r="BB11" s="70"/>
      <c r="BC11" s="65">
        <f t="shared" ca="1" si="31"/>
        <v>273863425.70404339</v>
      </c>
      <c r="BD11" s="65">
        <f t="shared" ca="1" si="10"/>
        <v>15576070.648468904</v>
      </c>
      <c r="BE11" s="65">
        <f t="shared" ca="1" si="11"/>
        <v>258287355.05557448</v>
      </c>
      <c r="BG11" s="42">
        <f t="shared" si="27"/>
        <v>2015</v>
      </c>
      <c r="BH11" s="65">
        <f>SUMIF('Monthly Data'!$B:$B,BG11,'Monthly Data'!AS:AS)</f>
        <v>47202925.820000008</v>
      </c>
      <c r="BI11" s="65">
        <f ca="1">SUMIF('Monthly Data'!$B:$B,BG11,'Monthly Data'!AV:AV)</f>
        <v>54613.552726204805</v>
      </c>
      <c r="BJ11" s="65">
        <f t="shared" ca="1" si="12"/>
        <v>47257539.372726209</v>
      </c>
      <c r="BK11" s="70"/>
      <c r="BL11" s="65">
        <f t="shared" ca="1" si="13"/>
        <v>45353512.010221481</v>
      </c>
      <c r="BM11" s="65">
        <f t="shared" ca="1" si="14"/>
        <v>54613.552726204805</v>
      </c>
      <c r="BN11" s="65">
        <f t="shared" ca="1" si="15"/>
        <v>45298898.45749528</v>
      </c>
      <c r="BO11" s="65"/>
      <c r="BP11" s="42">
        <f t="shared" si="28"/>
        <v>2015</v>
      </c>
      <c r="BQ11" s="67">
        <f>SUMIF('Monthly Data'!$B:$B,BP11,'Monthly Data'!AX:AX)</f>
        <v>17162407.530000001</v>
      </c>
      <c r="BR11" s="67">
        <f>'Connection count '!AE10</f>
        <v>23495.25</v>
      </c>
      <c r="BS11" s="67">
        <f>BQ11/BR11</f>
        <v>730.46286079101105</v>
      </c>
      <c r="BT11" s="72"/>
      <c r="BU11" s="61"/>
      <c r="BV11" s="61">
        <f t="shared" si="29"/>
        <v>2015</v>
      </c>
      <c r="BW11" s="67">
        <f>SUMIF('Monthly Data'!$B:$B,BV11,'Monthly Data'!BC:BC)</f>
        <v>873074.41874517407</v>
      </c>
      <c r="BX11" s="67">
        <f>'Connection count '!AI10</f>
        <v>615.75</v>
      </c>
      <c r="BY11" s="67">
        <f t="shared" si="17"/>
        <v>1417.9040499312612</v>
      </c>
      <c r="BZ11" s="67">
        <f>BY11*BX11</f>
        <v>873074.41874517407</v>
      </c>
      <c r="CA11" s="61"/>
      <c r="CB11" s="61">
        <f t="shared" si="30"/>
        <v>2015</v>
      </c>
      <c r="CC11" s="67">
        <f>SUMIF('Monthly Data'!$B:$B,CB11,'Monthly Data'!BF:BF)</f>
        <v>2410786.215730337</v>
      </c>
      <c r="CD11" s="67">
        <f>'Connection count '!AM10</f>
        <v>780</v>
      </c>
      <c r="CE11" s="67">
        <f t="shared" si="19"/>
        <v>3090.7515586286372</v>
      </c>
      <c r="CF11" s="67">
        <f t="shared" si="20"/>
        <v>2410786.215730337</v>
      </c>
    </row>
    <row r="12" spans="1:84" s="61" customFormat="1">
      <c r="B12" s="61">
        <f t="shared" si="21"/>
        <v>2016</v>
      </c>
      <c r="C12" s="65">
        <f>SUMIF('Monthly Data'!$B:$B,B12,'Monthly Data'!C:C)</f>
        <v>619568737.68663192</v>
      </c>
      <c r="D12" s="65">
        <f ca="1">SUMIF('Monthly Data'!$B:$B,B12,'Monthly Data'!E:E)</f>
        <v>21365014.03633726</v>
      </c>
      <c r="E12" s="67">
        <f ca="1">SUMIF('Res NM 20yr Trend'!$B:$B,B12,'Res NM 20yr Trend'!C:C)</f>
        <v>640933751.72296906</v>
      </c>
      <c r="F12" s="67"/>
      <c r="G12" s="67">
        <f ca="1">SUMIF('Res NM 20yr Trend'!$B:$B,B12,'Res NM 20yr Trend'!$T:$T)</f>
        <v>639001874.18341398</v>
      </c>
      <c r="H12" s="67">
        <f t="shared" ca="1" si="0"/>
        <v>21365014.03633726</v>
      </c>
      <c r="I12" s="67">
        <f t="shared" ca="1" si="1"/>
        <v>617636860.14707673</v>
      </c>
      <c r="K12" s="61">
        <f t="shared" si="22"/>
        <v>2016</v>
      </c>
      <c r="L12" s="65">
        <f>SUMIF('Monthly Data'!$B:$B,K12,'Monthly Data'!G:G)</f>
        <v>208239182.30018815</v>
      </c>
      <c r="M12" s="65">
        <f ca="1">SUMIF('Monthly Data'!$B:$B,K12,'Monthly Data'!I:I)</f>
        <v>15644268.751131931</v>
      </c>
      <c r="N12" s="67">
        <f ca="1">SUMIF('GS &lt; 50 NM 20yr Trend'!$B:$B,K12,'GS &lt; 50 NM 20yr Trend'!C:C)</f>
        <v>223883451.05132008</v>
      </c>
      <c r="O12" s="99"/>
      <c r="P12" s="65">
        <f ca="1">SUMIF('GS &lt; 50 NM 20yr Trend'!$B:$B,K12,'GS &lt; 50 NM 20yr Trend'!V:V)</f>
        <v>221447799.34895313</v>
      </c>
      <c r="Q12" s="67">
        <f t="shared" ca="1" si="2"/>
        <v>15644268.751131931</v>
      </c>
      <c r="R12" s="67">
        <f t="shared" ca="1" si="3"/>
        <v>205803530.59782121</v>
      </c>
      <c r="T12" s="61">
        <f t="shared" si="23"/>
        <v>2016</v>
      </c>
      <c r="U12" s="65">
        <f>SUMIF('Monthly Data'!$B:$B,T12,'Monthly Data'!K:K)</f>
        <v>954879860.93795967</v>
      </c>
      <c r="V12" s="65">
        <f ca="1">SUMIF('Monthly Data'!$B:$B,T12,'Monthly Data'!N:N)</f>
        <v>48212014.983652808</v>
      </c>
      <c r="W12" s="65">
        <f ca="1">SUMIF('GS &gt; 50 NM 20yr Trend'!$B:$B,T12,'GS &gt; 50 NM 20yr Trend'!C:C)</f>
        <v>1003091875.9216123</v>
      </c>
      <c r="X12" s="99"/>
      <c r="Y12" s="65">
        <f ca="1">SUMIF('GS &gt; 50 NM 20yr Trend'!$B:$B,T12,'GS &gt; 50 NM 20yr Trend'!AB:AB)</f>
        <v>996380067.3194679</v>
      </c>
      <c r="Z12" s="65"/>
      <c r="AA12" s="67">
        <f t="shared" ca="1" si="4"/>
        <v>48212014.983652808</v>
      </c>
      <c r="AB12" s="67">
        <f t="shared" ca="1" si="5"/>
        <v>948168052.33581507</v>
      </c>
      <c r="AC12" s="67"/>
      <c r="AD12" s="61">
        <f t="shared" si="24"/>
        <v>2016</v>
      </c>
      <c r="AE12" s="65">
        <f>SUMIF('Monthly Data'!$B:$B,AD12,'Monthly Data'!V:V)</f>
        <v>44045563.989999995</v>
      </c>
      <c r="AF12" s="65">
        <f ca="1">SUMIF('Monthly Data'!$B:$B,AD12,'Monthly Data'!Y:Y)</f>
        <v>423799.59896512708</v>
      </c>
      <c r="AG12" s="65">
        <f ca="1">SUMIF('Intermediate NM 20yr Trend'!$B:$B,AD12,'Intermediate NM 20yr Trend'!C:C)</f>
        <v>44469363.588965133</v>
      </c>
      <c r="AH12" s="99"/>
      <c r="AI12" s="65">
        <f>SUMIF('Intermediate NM 20yr Trend'!$B:$B,AD12,'Intermediate NM 20yr Trend'!R:R)</f>
        <v>44474844.155811496</v>
      </c>
      <c r="AJ12" s="67">
        <f t="shared" ca="1" si="6"/>
        <v>423799.59896512708</v>
      </c>
      <c r="AK12" s="67">
        <f t="shared" ca="1" si="7"/>
        <v>44051044.556846365</v>
      </c>
      <c r="AM12" s="61">
        <f t="shared" si="25"/>
        <v>2016</v>
      </c>
      <c r="AN12" s="65">
        <f>SUMIF('Monthly Data'!$B:$B,AM12,'Monthly Data'!AA:AA)</f>
        <v>318162193.04000002</v>
      </c>
      <c r="AO12" s="65">
        <f ca="1">SUMIF('Monthly Data'!$B:$B,AM12,'Monthly Data'!AD:AD)</f>
        <v>10551815.166880911</v>
      </c>
      <c r="AP12" s="65">
        <f ca="1">SUMIF('Large Use NM 20yr Trend'!$B:$B,AM12,'Large Use NM 20yr Trend'!C:C)</f>
        <v>328714008.20688087</v>
      </c>
      <c r="AQ12" s="99"/>
      <c r="AR12" s="65">
        <f ca="1">SUMIF('Large Use NM 20yr Trend'!$B:$B,AM12,'Large Use NM 20yr Trend'!R:R)</f>
        <v>316497671.85589206</v>
      </c>
      <c r="AS12" s="65"/>
      <c r="AT12" s="67">
        <f t="shared" ca="1" si="8"/>
        <v>10551815.166880911</v>
      </c>
      <c r="AU12" s="67"/>
      <c r="AV12" s="67">
        <f t="shared" ca="1" si="9"/>
        <v>305945856.68901116</v>
      </c>
      <c r="AX12" s="61">
        <f t="shared" si="26"/>
        <v>2016</v>
      </c>
      <c r="AY12" s="65">
        <f ca="1">SUMIF('Monthly Data'!$B:$B,AX12,'Monthly Data'!AJ:AJ)-AZ12</f>
        <v>264027087.00000006</v>
      </c>
      <c r="AZ12" s="65">
        <f ca="1">SUMIF('Monthly Data'!$B:$B,AX12,'Monthly Data'!AI:AI)</f>
        <v>17374995.264849436</v>
      </c>
      <c r="BA12" s="65">
        <f ca="1">SUMIF('Monthly Data'!$B:$B,AX12,'Monthly Data'!AJ:AJ)</f>
        <v>281402082.26484948</v>
      </c>
      <c r="BB12" s="99"/>
      <c r="BC12" s="65">
        <f t="shared" ca="1" si="31"/>
        <v>273863425.70404339</v>
      </c>
      <c r="BD12" s="67">
        <f t="shared" ca="1" si="10"/>
        <v>17374995.264849436</v>
      </c>
      <c r="BE12" s="67">
        <f t="shared" ca="1" si="11"/>
        <v>256488430.43919396</v>
      </c>
      <c r="BG12" s="61">
        <f t="shared" si="27"/>
        <v>2016</v>
      </c>
      <c r="BH12" s="65">
        <f>SUMIF('Monthly Data'!$B:$B,BG12,'Monthly Data'!AS:AS)</f>
        <v>44370766.850000001</v>
      </c>
      <c r="BI12" s="65">
        <f ca="1">SUMIF('Monthly Data'!$B:$B,BG12,'Monthly Data'!AV:AV)</f>
        <v>54613.552726204805</v>
      </c>
      <c r="BJ12" s="65">
        <f t="shared" ca="1" si="12"/>
        <v>44425380.402726203</v>
      </c>
      <c r="BK12" s="99"/>
      <c r="BL12" s="65">
        <f t="shared" ca="1" si="13"/>
        <v>44562348.966318369</v>
      </c>
      <c r="BM12" s="67">
        <f t="shared" ca="1" si="14"/>
        <v>54613.552726204805</v>
      </c>
      <c r="BN12" s="67">
        <f t="shared" ca="1" si="15"/>
        <v>44507735.413592167</v>
      </c>
      <c r="BO12" s="67"/>
      <c r="BP12" s="61">
        <f t="shared" si="28"/>
        <v>2016</v>
      </c>
      <c r="BQ12" s="67">
        <f>SUMIF('Monthly Data'!$B:$B,BP12,'Monthly Data'!AX:AX)</f>
        <v>14655212.350000001</v>
      </c>
      <c r="BR12" s="67">
        <f>'Connection count '!AE11</f>
        <v>23517.5</v>
      </c>
      <c r="BS12" s="67">
        <f>BQ12/BR12</f>
        <v>623.16200063782298</v>
      </c>
      <c r="BT12" s="67">
        <f>BS12*BR12</f>
        <v>14655212.350000001</v>
      </c>
      <c r="BV12" s="61">
        <f t="shared" si="29"/>
        <v>2016</v>
      </c>
      <c r="BW12" s="67">
        <f>SUMIF('Monthly Data'!$B:$B,BV12,'Monthly Data'!BC:BC)</f>
        <v>851684.9625372421</v>
      </c>
      <c r="BX12" s="67">
        <f>'Connection count '!AI11</f>
        <v>602</v>
      </c>
      <c r="BY12" s="67">
        <f t="shared" si="17"/>
        <v>1414.7590739821296</v>
      </c>
      <c r="BZ12" s="67">
        <f>BY12*BX12</f>
        <v>851684.96253724198</v>
      </c>
      <c r="CB12" s="61">
        <f t="shared" si="30"/>
        <v>2016</v>
      </c>
      <c r="CC12" s="67">
        <f>SUMIF('Monthly Data'!$B:$B,CB12,'Monthly Data'!BF:BF)</f>
        <v>2415557</v>
      </c>
      <c r="CD12" s="67">
        <f>'Connection count '!AM11</f>
        <v>781</v>
      </c>
      <c r="CE12" s="67">
        <f t="shared" si="19"/>
        <v>3092.9026888604353</v>
      </c>
      <c r="CF12" s="67">
        <f>CE12*CD12</f>
        <v>2415557</v>
      </c>
    </row>
    <row r="13" spans="1:84" s="69" customFormat="1">
      <c r="B13" s="61">
        <f t="shared" si="21"/>
        <v>2017</v>
      </c>
      <c r="C13" s="65">
        <f>SUMIF('Monthly Data'!$B:$B,B13,'Monthly Data'!C:C)</f>
        <v>583858255.14999998</v>
      </c>
      <c r="D13" s="65">
        <f ca="1">SUMIF('Monthly Data'!$B:$B,B13,'Monthly Data'!E:E)</f>
        <v>31313557.040520698</v>
      </c>
      <c r="E13" s="67">
        <f ca="1">SUMIF('Res NM 20yr Trend'!$B:$B,B13,'Res NM 20yr Trend'!C:C)</f>
        <v>615171812.19052064</v>
      </c>
      <c r="F13" s="73"/>
      <c r="G13" s="67">
        <f ca="1">SUMIF('Res NM 20yr Trend'!$B:$B,B13,'Res NM 20yr Trend'!$T:$T)</f>
        <v>635364490.25254774</v>
      </c>
      <c r="H13" s="67">
        <f t="shared" ca="1" si="0"/>
        <v>31313557.040520698</v>
      </c>
      <c r="I13" s="67">
        <f t="shared" ca="1" si="1"/>
        <v>604050933.21202707</v>
      </c>
      <c r="K13" s="61">
        <f t="shared" si="22"/>
        <v>2017</v>
      </c>
      <c r="L13" s="65">
        <f>SUMIF('Monthly Data'!$B:$B,K13,'Monthly Data'!G:G)</f>
        <v>199190042.63999999</v>
      </c>
      <c r="M13" s="65">
        <f ca="1">SUMIF('Monthly Data'!$B:$B,K13,'Monthly Data'!I:I)</f>
        <v>12587931.439161209</v>
      </c>
      <c r="N13" s="67">
        <f ca="1">SUMIF('GS &lt; 50 NM 20yr Trend'!$B:$B,K13,'GS &lt; 50 NM 20yr Trend'!C:C)</f>
        <v>211777974.07916123</v>
      </c>
      <c r="O13" s="99"/>
      <c r="P13" s="65">
        <f ca="1">SUMIF('GS &lt; 50 NM 20yr Trend'!$B:$B,K13,'GS &lt; 50 NM 20yr Trend'!V:V)</f>
        <v>217141053.57215413</v>
      </c>
      <c r="Q13" s="67">
        <f t="shared" ca="1" si="2"/>
        <v>12587931.439161209</v>
      </c>
      <c r="R13" s="67">
        <f t="shared" ca="1" si="3"/>
        <v>204553122.13299292</v>
      </c>
      <c r="T13" s="61">
        <f t="shared" si="23"/>
        <v>2017</v>
      </c>
      <c r="U13" s="65">
        <f>SUMIF('Monthly Data'!$B:$B,T13,'Monthly Data'!K:K)</f>
        <v>935689535.96999991</v>
      </c>
      <c r="V13" s="65">
        <f ca="1">SUMIF('Monthly Data'!$B:$B,T13,'Monthly Data'!N:N)</f>
        <v>57125993.157611944</v>
      </c>
      <c r="W13" s="65">
        <f ca="1">SUMIF('GS &gt; 50 NM 20yr Trend'!$B:$B,T13,'GS &gt; 50 NM 20yr Trend'!C:C)</f>
        <v>992815529.12761188</v>
      </c>
      <c r="X13" s="99"/>
      <c r="Y13" s="65">
        <f ca="1">SUMIF('GS &gt; 50 NM 20yr Trend'!$B:$B,T13,'GS &gt; 50 NM 20yr Trend'!AB:AB)</f>
        <v>1005713677.9462374</v>
      </c>
      <c r="Z13" s="65"/>
      <c r="AA13" s="67">
        <f t="shared" ca="1" si="4"/>
        <v>57125993.157611944</v>
      </c>
      <c r="AB13" s="67">
        <f t="shared" ca="1" si="5"/>
        <v>948587684.78862548</v>
      </c>
      <c r="AC13" s="67"/>
      <c r="AD13" s="61">
        <f t="shared" si="24"/>
        <v>2017</v>
      </c>
      <c r="AE13" s="65">
        <f>SUMIF('Monthly Data'!$B:$B,AD13,'Monthly Data'!V:V)</f>
        <v>44136954.399999991</v>
      </c>
      <c r="AF13" s="65">
        <f ca="1">SUMIF('Monthly Data'!$B:$B,AD13,'Monthly Data'!Y:Y)</f>
        <v>610958.78356721601</v>
      </c>
      <c r="AG13" s="65">
        <f ca="1">SUMIF('Intermediate NM 20yr Trend'!$B:$B,AD13,'Intermediate NM 20yr Trend'!C:C)</f>
        <v>44747913.183567218</v>
      </c>
      <c r="AH13" s="99"/>
      <c r="AI13" s="65">
        <f>SUMIF('Intermediate NM 20yr Trend'!$B:$B,AD13,'Intermediate NM 20yr Trend'!R:R)</f>
        <v>43645905.518258706</v>
      </c>
      <c r="AJ13" s="67">
        <f t="shared" ca="1" si="6"/>
        <v>610958.78356721601</v>
      </c>
      <c r="AK13" s="67">
        <f t="shared" ca="1" si="7"/>
        <v>43034946.734691493</v>
      </c>
      <c r="AL13" s="61"/>
      <c r="AM13" s="61">
        <f t="shared" si="25"/>
        <v>2017</v>
      </c>
      <c r="AN13" s="65">
        <f>SUMIF('Monthly Data'!$B:$B,AM13,'Monthly Data'!AA:AA)</f>
        <v>299472217.15999997</v>
      </c>
      <c r="AO13" s="65">
        <f ca="1">SUMIF('Monthly Data'!$B:$B,AM13,'Monthly Data'!AD:AD)</f>
        <v>10577319.450433783</v>
      </c>
      <c r="AP13" s="65">
        <f ca="1">SUMIF('Large Use NM 20yr Trend'!$B:$B,AM13,'Large Use NM 20yr Trend'!C:C)</f>
        <v>310049536.61043382</v>
      </c>
      <c r="AQ13" s="99"/>
      <c r="AR13" s="65">
        <f ca="1">SUMIF('Large Use NM 20yr Trend'!$B:$B,AM13,'Large Use NM 20yr Trend'!R:R)</f>
        <v>321439560.6900562</v>
      </c>
      <c r="AS13" s="65"/>
      <c r="AT13" s="67">
        <f t="shared" ca="1" si="8"/>
        <v>10577319.450433783</v>
      </c>
      <c r="AU13" s="67"/>
      <c r="AV13" s="67">
        <f t="shared" ca="1" si="9"/>
        <v>310862241.23962241</v>
      </c>
      <c r="AW13" s="61"/>
      <c r="AX13" s="61">
        <f t="shared" si="26"/>
        <v>2017</v>
      </c>
      <c r="AY13" s="65">
        <f ca="1">SUMIF('Monthly Data'!$B:$B,AX13,'Monthly Data'!AJ:AJ)-AZ13</f>
        <v>252589949.61000001</v>
      </c>
      <c r="AZ13" s="65">
        <f ca="1">SUMIF('Monthly Data'!$B:$B,AX13,'Monthly Data'!AI:AI)</f>
        <v>21850499.431430344</v>
      </c>
      <c r="BA13" s="65">
        <f ca="1">SUMIF('Monthly Data'!$B:$B,AX13,'Monthly Data'!AJ:AJ)</f>
        <v>274440449.04143035</v>
      </c>
      <c r="BB13" s="99"/>
      <c r="BC13" s="65">
        <f t="shared" ca="1" si="31"/>
        <v>273863425.70404339</v>
      </c>
      <c r="BD13" s="67">
        <f t="shared" ca="1" si="10"/>
        <v>21850499.431430344</v>
      </c>
      <c r="BE13" s="67">
        <f t="shared" ca="1" si="11"/>
        <v>252012926.27261305</v>
      </c>
      <c r="BF13" s="61"/>
      <c r="BG13" s="61">
        <f t="shared" si="27"/>
        <v>2017</v>
      </c>
      <c r="BH13" s="65">
        <f>SUMIF('Monthly Data'!$B:$B,BG13,'Monthly Data'!AS:AS)</f>
        <v>42875821.289999999</v>
      </c>
      <c r="BI13" s="65">
        <f ca="1">SUMIF('Monthly Data'!$B:$B,BG13,'Monthly Data'!AV:AV)</f>
        <v>53078.541479495623</v>
      </c>
      <c r="BJ13" s="65">
        <f t="shared" ca="1" si="12"/>
        <v>42928899.831479497</v>
      </c>
      <c r="BK13" s="99"/>
      <c r="BL13" s="65">
        <f t="shared" ca="1" si="13"/>
        <v>43771185.922415495</v>
      </c>
      <c r="BM13" s="67">
        <f t="shared" ca="1" si="14"/>
        <v>53078.541479495623</v>
      </c>
      <c r="BN13" s="67">
        <f t="shared" ca="1" si="15"/>
        <v>43718107.380935997</v>
      </c>
      <c r="BO13" s="67"/>
      <c r="BP13" s="61">
        <f t="shared" si="28"/>
        <v>2017</v>
      </c>
      <c r="BQ13" s="67">
        <f>SUMIF('Monthly Data'!$B:$B,BP13,'Monthly Data'!AX:AX)</f>
        <v>6962744.2999999998</v>
      </c>
      <c r="BR13" s="67">
        <f>'Connection count '!AE12</f>
        <v>24143.5</v>
      </c>
      <c r="BS13" s="67">
        <f>BQ13/BR13</f>
        <v>288.39001387537019</v>
      </c>
      <c r="BT13" s="67">
        <f>BS13*BR13</f>
        <v>6962744.2999999998</v>
      </c>
      <c r="BU13" s="61"/>
      <c r="BV13" s="61">
        <f t="shared" si="29"/>
        <v>2017</v>
      </c>
      <c r="BW13" s="67">
        <f>SUMIF('Monthly Data'!$B:$B,BV13,'Monthly Data'!BC:BC)</f>
        <v>795950.62000000011</v>
      </c>
      <c r="BX13" s="67">
        <f>'Connection count '!AI12</f>
        <v>554.25</v>
      </c>
      <c r="BY13" s="67">
        <f t="shared" si="17"/>
        <v>1436.0859179070819</v>
      </c>
      <c r="BZ13" s="67">
        <f>BY13*BX13</f>
        <v>795950.62000000011</v>
      </c>
      <c r="CA13" s="61"/>
      <c r="CB13" s="61">
        <f t="shared" si="30"/>
        <v>2017</v>
      </c>
      <c r="CC13" s="67">
        <f>SUMIF('Monthly Data'!$B:$B,CB13,'Monthly Data'!BF:BF)</f>
        <v>2368616.3200000003</v>
      </c>
      <c r="CD13" s="67">
        <f>'Connection count '!AM12</f>
        <v>769</v>
      </c>
      <c r="CE13" s="67">
        <f t="shared" si="19"/>
        <v>3080.1252535760732</v>
      </c>
      <c r="CF13" s="67">
        <f>CE13*CD13</f>
        <v>2368616.3200000003</v>
      </c>
    </row>
    <row r="14" spans="1:84" s="69" customFormat="1">
      <c r="B14" s="61">
        <f t="shared" si="21"/>
        <v>2018</v>
      </c>
      <c r="C14" s="65">
        <f>SUMIF('Monthly Data'!$B:$B,B14,'Monthly Data'!C:C)</f>
        <v>636798570.50953054</v>
      </c>
      <c r="D14" s="65">
        <f ca="1">SUMIF('Monthly Data'!$B:$B,B14,'Monthly Data'!E:E)</f>
        <v>35017205.759209864</v>
      </c>
      <c r="E14" s="67">
        <f ca="1">SUMIF('Res NM 20yr Trend'!$B:$B,B14,'Res NM 20yr Trend'!C:C)</f>
        <v>671815776.26874053</v>
      </c>
      <c r="F14" s="73"/>
      <c r="G14" s="67">
        <f ca="1">SUMIF('Res NM 20yr Trend'!$B:$B,B14,'Res NM 20yr Trend'!$T:$T)</f>
        <v>633529039.66592371</v>
      </c>
      <c r="H14" s="73">
        <f>CDM!D88</f>
        <v>35017205.759209864</v>
      </c>
      <c r="I14" s="67">
        <f t="shared" ref="I14" ca="1" si="32">G14-H14</f>
        <v>598511833.90671384</v>
      </c>
      <c r="K14" s="61">
        <f t="shared" ref="K14" si="33">B14</f>
        <v>2018</v>
      </c>
      <c r="L14" s="65">
        <f>SUMIF('Monthly Data'!$B:$B,K14,'Monthly Data'!G:G)</f>
        <v>203075206.32419604</v>
      </c>
      <c r="M14" s="65">
        <f ca="1">SUMIF('Monthly Data'!$B:$B,K14,'Monthly Data'!I:I)</f>
        <v>10202533.079656351</v>
      </c>
      <c r="N14" s="67">
        <f ca="1">SUMIF('GS &lt; 50 NM 20yr Trend'!$B:$B,K14,'GS &lt; 50 NM 20yr Trend'!C:C)</f>
        <v>213277739.4038524</v>
      </c>
      <c r="O14" s="99"/>
      <c r="P14" s="65">
        <f ca="1">SUMIF('GS &lt; 50 NM 20yr Trend'!$B:$B,K14,'GS &lt; 50 NM 20yr Trend'!V:V)</f>
        <v>215139978.47871074</v>
      </c>
      <c r="Q14" s="67">
        <f>CDM!D89</f>
        <v>10202533.079656351</v>
      </c>
      <c r="R14" s="67">
        <f t="shared" ref="R14" ca="1" si="34">P14-Q14</f>
        <v>204937445.39905438</v>
      </c>
      <c r="T14" s="61">
        <f t="shared" ref="T14" si="35">K14</f>
        <v>2018</v>
      </c>
      <c r="U14" s="65">
        <f>SUMIF('Monthly Data'!$B:$B,T14,'Monthly Data'!K:K)</f>
        <v>936712309.46510732</v>
      </c>
      <c r="V14" s="65">
        <f ca="1">SUMIF('Monthly Data'!$B:$B,T14,'Monthly Data'!N:N)</f>
        <v>74791634.140374079</v>
      </c>
      <c r="W14" s="65">
        <f ca="1">SUMIF('GS &gt; 50 NM 20yr Trend'!$B:$B,T14,'GS &gt; 50 NM 20yr Trend'!C:C)</f>
        <v>1011503943.6054814</v>
      </c>
      <c r="X14" s="99"/>
      <c r="Y14" s="65">
        <f ca="1">SUMIF('GS &gt; 50 NM 20yr Trend'!$B:$B,T14,'GS &gt; 50 NM 20yr Trend'!AB:AB)</f>
        <v>1015204283.7510352</v>
      </c>
      <c r="Z14" s="65"/>
      <c r="AA14" s="67">
        <f>CDM!D90</f>
        <v>74791634.140374079</v>
      </c>
      <c r="AB14" s="67">
        <f t="shared" ca="1" si="5"/>
        <v>940412649.61066115</v>
      </c>
      <c r="AC14" s="67"/>
      <c r="AD14" s="61">
        <f t="shared" si="24"/>
        <v>2018</v>
      </c>
      <c r="AE14" s="65">
        <f>SUMIF('Monthly Data'!$B:$B,AD14,'Monthly Data'!V:V)</f>
        <v>41120567.090000004</v>
      </c>
      <c r="AF14" s="65">
        <f ca="1">SUMIF('Monthly Data'!$B:$B,AD14,'Monthly Data'!Y:Y)</f>
        <v>1036492.6616043953</v>
      </c>
      <c r="AG14" s="65">
        <f ca="1">SUMIF('Intermediate NM 20yr Trend'!$B:$B,AD14,'Intermediate NM 20yr Trend'!C:C)</f>
        <v>42157059.751604393</v>
      </c>
      <c r="AH14" s="99"/>
      <c r="AI14" s="65">
        <f>SUMIF('Intermediate NM 20yr Trend'!$B:$B,AD14,'Intermediate NM 20yr Trend'!R:R)</f>
        <v>42816966.880705915</v>
      </c>
      <c r="AJ14" s="67">
        <f>CDM!D91</f>
        <v>1036492.6616043955</v>
      </c>
      <c r="AK14" s="67">
        <f t="shared" ref="AK14" si="36">AI14-AJ14</f>
        <v>41780474.219101518</v>
      </c>
      <c r="AL14" s="61"/>
      <c r="AM14" s="61">
        <f t="shared" ref="AM14" si="37">AD14</f>
        <v>2018</v>
      </c>
      <c r="AN14" s="65">
        <f>SUMIF('Monthly Data'!$B:$B,AM14,'Monthly Data'!AA:AA)</f>
        <v>311285837.94999999</v>
      </c>
      <c r="AO14" s="65">
        <f ca="1">SUMIF('Monthly Data'!$B:$B,AM14,'Monthly Data'!AD:AD)</f>
        <v>11678969.914371299</v>
      </c>
      <c r="AP14" s="65">
        <f ca="1">SUMIF('Large Use NM 20yr Trend'!$B:$B,AM14,'Large Use NM 20yr Trend'!C:C)</f>
        <v>322964807.86437124</v>
      </c>
      <c r="AQ14" s="99"/>
      <c r="AR14" s="65">
        <f ca="1">SUMIF('Large Use NM 20yr Trend'!$B:$B,AM14,'Large Use NM 20yr Trend'!R:R)</f>
        <v>326215760.91174799</v>
      </c>
      <c r="AS14" s="65"/>
      <c r="AT14" s="67">
        <f>CDM!D92</f>
        <v>10176303.129999481</v>
      </c>
      <c r="AU14" s="67"/>
      <c r="AV14" s="67">
        <f t="shared" ref="AV14" ca="1" si="38">AR14-AT14</f>
        <v>316039457.78174853</v>
      </c>
      <c r="AW14" s="61"/>
      <c r="AX14" s="61">
        <f t="shared" ref="AX14" si="39">AM14</f>
        <v>2018</v>
      </c>
      <c r="AY14" s="65">
        <f ca="1">SUMIF('Monthly Data'!$B:$B,AX14,'Monthly Data'!AJ:AJ)-AZ14</f>
        <v>254635666.92999998</v>
      </c>
      <c r="AZ14" s="65">
        <f ca="1">SUMIF('Monthly Data'!$B:$B,AX14,'Monthly Data'!AI:AI)</f>
        <v>26633506.492160704</v>
      </c>
      <c r="BA14" s="65">
        <f ca="1">SUMIF('Monthly Data'!$B:$B,AX14,'Monthly Data'!AJ:AJ)</f>
        <v>281269173.42216069</v>
      </c>
      <c r="BB14" s="99"/>
      <c r="BC14" s="65">
        <f t="shared" ca="1" si="31"/>
        <v>273863425.70404339</v>
      </c>
      <c r="BD14" s="67">
        <f>CDM!D93</f>
        <v>26633506.4921607</v>
      </c>
      <c r="BE14" s="67">
        <f t="shared" ref="BE14" ca="1" si="40">BC14-BD14</f>
        <v>247229919.21188268</v>
      </c>
      <c r="BF14" s="61"/>
      <c r="BG14" s="61">
        <f t="shared" ref="BG14" si="41">AX14</f>
        <v>2018</v>
      </c>
      <c r="BH14" s="65">
        <f>SUMIF('Monthly Data'!$B:$B,BG14,'Monthly Data'!AS:AS)</f>
        <v>45402739.360000007</v>
      </c>
      <c r="BI14" s="65">
        <f ca="1">SUMIF('Monthly Data'!$B:$B,BG14,'Monthly Data'!AV:AV)</f>
        <v>365392.64978202648</v>
      </c>
      <c r="BJ14" s="65">
        <f t="shared" ref="BJ14" ca="1" si="42">BH14+BI14</f>
        <v>45768132.009782031</v>
      </c>
      <c r="BK14" s="99"/>
      <c r="BL14" s="65">
        <f t="shared" ca="1" si="13"/>
        <v>42980022.878512383</v>
      </c>
      <c r="BM14" s="67">
        <f>CDM!D94</f>
        <v>365392.64978202642</v>
      </c>
      <c r="BN14" s="67">
        <f t="shared" ref="BN14" ca="1" si="43">BL14-BM14</f>
        <v>42614630.228730358</v>
      </c>
      <c r="BO14" s="67"/>
      <c r="BP14" s="61">
        <f t="shared" ref="BP14" si="44">AM14</f>
        <v>2018</v>
      </c>
      <c r="BQ14" s="67">
        <f>SUMIF('Monthly Data'!$B:$B,BP14,'Monthly Data'!AX:AX)</f>
        <v>6467781.0800000001</v>
      </c>
      <c r="BR14" s="67">
        <f>'Connection count '!AE13</f>
        <v>24283.5</v>
      </c>
      <c r="BS14" s="67">
        <f>BQ14/BR14</f>
        <v>266.34468177980932</v>
      </c>
      <c r="BT14" s="67">
        <f>BS14*BR14</f>
        <v>6467781.0800000001</v>
      </c>
      <c r="BU14" s="61"/>
      <c r="BV14" s="61">
        <f t="shared" ref="BV14" si="45">BP14</f>
        <v>2018</v>
      </c>
      <c r="BW14" s="67">
        <f>SUMIF('Monthly Data'!$B:$B,BV14,'Monthly Data'!BC:BC)</f>
        <v>768231.72021026898</v>
      </c>
      <c r="BX14" s="67">
        <f>'Connection count '!AI13</f>
        <v>532.75</v>
      </c>
      <c r="BY14" s="67">
        <f t="shared" ref="BY14" si="46">BW14/BX14</f>
        <v>1442.0116756645125</v>
      </c>
      <c r="BZ14" s="67">
        <f>BY14*BX14</f>
        <v>768231.72021026898</v>
      </c>
      <c r="CA14" s="61"/>
      <c r="CB14" s="61">
        <f t="shared" ref="CB14" si="47">BP14</f>
        <v>2018</v>
      </c>
      <c r="CC14" s="67">
        <f>SUMIF('Monthly Data'!$B:$B,CB14,'Monthly Data'!BF:BF)</f>
        <v>2266364.23</v>
      </c>
      <c r="CD14" s="67">
        <f>'Connection count '!AM13</f>
        <v>726.5</v>
      </c>
      <c r="CE14" s="67">
        <f t="shared" ref="CE14" si="48">CC14/CD14</f>
        <v>3119.5653544390916</v>
      </c>
      <c r="CF14" s="67">
        <f>CE14*CD14</f>
        <v>2266364.23</v>
      </c>
    </row>
    <row r="15" spans="1:84">
      <c r="B15" s="69">
        <f t="shared" si="21"/>
        <v>2019</v>
      </c>
      <c r="G15" s="73">
        <f ca="1">SUMIF('Res NM 20yr Trend'!$B:$B,B15,'Res NM 20yr Trend'!$T:$T)</f>
        <v>631693589.07929957</v>
      </c>
      <c r="H15" s="73">
        <f>CDM!F88</f>
        <v>34942853.374586046</v>
      </c>
      <c r="I15" s="73">
        <f ca="1">G15-H15</f>
        <v>596750735.70471358</v>
      </c>
      <c r="K15" s="69">
        <f t="shared" si="22"/>
        <v>2019</v>
      </c>
      <c r="P15" s="73">
        <f ca="1">SUMIF('GS &lt; 50 NM 20yr Trend'!$B:$B,K15,'GS &lt; 50 NM 20yr Trend'!V:V)</f>
        <v>214153144.43640369</v>
      </c>
      <c r="Q15" s="73">
        <f>CDM!F89</f>
        <v>9691813.50465817</v>
      </c>
      <c r="R15" s="73">
        <f t="shared" ca="1" si="3"/>
        <v>204461330.93174553</v>
      </c>
      <c r="T15" s="69">
        <f t="shared" si="23"/>
        <v>2019</v>
      </c>
      <c r="Y15" s="73">
        <f ca="1">SUMIF('GS &gt; 50 NM 20yr Trend'!$B:$B,T15,'GS &gt; 50 NM 20yr Trend'!AB:AB)</f>
        <v>1021983848.1973227</v>
      </c>
      <c r="Z15" s="73"/>
      <c r="AA15" s="73">
        <f>CDM!F90</f>
        <v>72356933.935635597</v>
      </c>
      <c r="AB15" s="73">
        <f t="shared" ca="1" si="5"/>
        <v>949626914.26168716</v>
      </c>
      <c r="AD15" s="69">
        <f t="shared" si="24"/>
        <v>2019</v>
      </c>
      <c r="AI15" s="73">
        <f>SUMIF('Intermediate NM 20yr Trend'!$B:$B,AD15,'Intermediate NM 20yr Trend'!R:R)</f>
        <v>41988028.243153118</v>
      </c>
      <c r="AJ15" s="73">
        <f>CDM!F91</f>
        <v>1035458.2902837888</v>
      </c>
      <c r="AK15" s="73">
        <f t="shared" si="7"/>
        <v>40952569.952869326</v>
      </c>
      <c r="AM15" s="69">
        <f t="shared" si="25"/>
        <v>2019</v>
      </c>
      <c r="AR15" s="73">
        <f ca="1">SUMIF('Large Use NM 20yr Trend'!$B:$B,AM15,'Large Use NM 20yr Trend'!R:R)</f>
        <v>333474669.55556196</v>
      </c>
      <c r="AS15" s="73"/>
      <c r="AT15" s="73">
        <f>CDM!F92</f>
        <v>10140059.517493866</v>
      </c>
      <c r="AU15" s="73"/>
      <c r="AV15" s="73">
        <f t="shared" ca="1" si="9"/>
        <v>323334610.03806812</v>
      </c>
      <c r="AX15" s="69">
        <f t="shared" si="26"/>
        <v>2019</v>
      </c>
      <c r="BC15" s="73">
        <f t="shared" ca="1" si="31"/>
        <v>273863425.70404339</v>
      </c>
      <c r="BD15" s="73">
        <f>CDM!F93</f>
        <v>26352850.633092947</v>
      </c>
      <c r="BE15" s="73">
        <f t="shared" ca="1" si="11"/>
        <v>247510575.07095045</v>
      </c>
      <c r="BG15" s="69">
        <f t="shared" si="27"/>
        <v>2019</v>
      </c>
      <c r="BL15" s="73">
        <f t="shared" ca="1" si="13"/>
        <v>42188859.83460927</v>
      </c>
      <c r="BM15" s="73">
        <f>CDM!F94</f>
        <v>365392.65356000001</v>
      </c>
      <c r="BN15" s="73">
        <f t="shared" ca="1" si="15"/>
        <v>41823467.181049272</v>
      </c>
      <c r="BO15" s="73"/>
      <c r="BP15" s="69">
        <f t="shared" si="28"/>
        <v>2019</v>
      </c>
      <c r="BR15" s="73">
        <f>'Connection count '!AE14</f>
        <v>24313.550236385821</v>
      </c>
      <c r="BS15" s="123">
        <f>BS14</f>
        <v>266.34468177980932</v>
      </c>
      <c r="BT15" s="73">
        <f>BS15*BR15</f>
        <v>6475784.8006475894</v>
      </c>
      <c r="BV15" s="69">
        <f t="shared" si="29"/>
        <v>2019</v>
      </c>
      <c r="BX15" s="73">
        <f>'Connection count '!AI14</f>
        <v>519.48181887976432</v>
      </c>
      <c r="BY15" s="73">
        <f t="shared" ref="BY15:BY16" si="49">BY14</f>
        <v>1442.0116756645125</v>
      </c>
      <c r="BZ15" s="73">
        <f t="shared" ref="BZ15:BZ16" si="50">BY15*BX15</f>
        <v>749098.84812005772</v>
      </c>
      <c r="CB15" s="69">
        <f t="shared" ref="CB15:CB16" si="51">BV15</f>
        <v>2019</v>
      </c>
      <c r="CD15" s="73">
        <f>'Connection count '!AM14</f>
        <v>715.82160911532708</v>
      </c>
      <c r="CE15" s="73">
        <f t="shared" ref="CE15:CE16" si="52">CE14</f>
        <v>3119.5653544390916</v>
      </c>
      <c r="CF15" s="73">
        <f>CE15*CD15</f>
        <v>2233052.2917550164</v>
      </c>
    </row>
    <row r="16" spans="1:84">
      <c r="B16" s="69">
        <f t="shared" si="21"/>
        <v>2020</v>
      </c>
      <c r="G16" s="73">
        <f ca="1">SUMIF('Res NM 20yr Trend'!$B:$B,B16,'Res NM 20yr Trend'!$T:$T)</f>
        <v>631660071.83691764</v>
      </c>
      <c r="H16" s="73">
        <f>CDM!H88</f>
        <v>33776666.172614783</v>
      </c>
      <c r="I16" s="73">
        <f ca="1">G16-H16</f>
        <v>597883405.66430283</v>
      </c>
      <c r="K16" s="69">
        <f t="shared" si="22"/>
        <v>2020</v>
      </c>
      <c r="P16" s="73">
        <f ca="1">SUMIF('GS &lt; 50 NM 20yr Trend'!$B:$B,K16,'GS &lt; 50 NM 20yr Trend'!V:V)</f>
        <v>212519007.63846046</v>
      </c>
      <c r="Q16" s="73">
        <f>CDM!H89</f>
        <v>9317123.8276903946</v>
      </c>
      <c r="R16" s="73">
        <f t="shared" ca="1" si="3"/>
        <v>203201883.81077006</v>
      </c>
      <c r="T16" s="69">
        <f t="shared" si="23"/>
        <v>2020</v>
      </c>
      <c r="Y16" s="73">
        <f ca="1">SUMIF('GS &gt; 50 NM 20yr Trend'!$B:$B,T16,'GS &gt; 50 NM 20yr Trend'!AB:AB)+Z16</f>
        <v>1027716319.4031019</v>
      </c>
      <c r="Z16" s="73">
        <f ca="1">SUM('GS &gt; 50 NM 20yr Trend (LC)'!AB134:AB145)-SUM('GS &gt; 50 NM 20yr Trend'!AB134:AB145)</f>
        <v>-3243387.9460779428</v>
      </c>
      <c r="AA16" s="73">
        <f>CDM!H90</f>
        <v>67992626.617345318</v>
      </c>
      <c r="AB16" s="73">
        <f t="shared" ca="1" si="5"/>
        <v>959723692.78575659</v>
      </c>
      <c r="AD16" s="69">
        <f t="shared" si="24"/>
        <v>2020</v>
      </c>
      <c r="AI16" s="73">
        <f>SUMIF('Intermediate NM 20yr Trend'!$B:$B,AD16,'Intermediate NM 20yr Trend'!R:R)</f>
        <v>41159089.605600327</v>
      </c>
      <c r="AJ16" s="73">
        <f>CDM!H91</f>
        <v>1032122.3204479897</v>
      </c>
      <c r="AK16" s="73">
        <f t="shared" si="7"/>
        <v>40126967.285152338</v>
      </c>
      <c r="AM16" s="69">
        <f t="shared" si="25"/>
        <v>2020</v>
      </c>
      <c r="AR16" s="73">
        <f ca="1">SUMIF('Large Use NM 20yr Trend'!$B:$B,AM16,'Large Use NM 20yr Trend'!R:R)+AS16</f>
        <v>275076160.55923337</v>
      </c>
      <c r="AS16" s="73">
        <f ca="1">SUM('Large Use NM 20yr Trend (LC)'!R134:R145)-SUM('Large Use NM 20yr Trend'!R134:R145)</f>
        <v>-61567962.707521915</v>
      </c>
      <c r="AT16" s="73">
        <f>CDM!H92+AU16</f>
        <v>8470851.7024710402</v>
      </c>
      <c r="AU16" s="73">
        <f>-CDM!O71</f>
        <v>-1469214.729761156</v>
      </c>
      <c r="AV16" s="73">
        <f ca="1">AR16-AT16</f>
        <v>266605308.85676232</v>
      </c>
      <c r="AX16" s="69">
        <f t="shared" si="26"/>
        <v>2020</v>
      </c>
      <c r="BC16" s="73">
        <f t="shared" ca="1" si="31"/>
        <v>273863425.70404339</v>
      </c>
      <c r="BD16" s="73">
        <f>CDM!H93</f>
        <v>26000175.291892424</v>
      </c>
      <c r="BE16" s="73">
        <f t="shared" ca="1" si="11"/>
        <v>247863250.41215098</v>
      </c>
      <c r="BG16" s="69">
        <f t="shared" si="27"/>
        <v>2020</v>
      </c>
      <c r="BL16" s="73">
        <f t="shared" ca="1" si="13"/>
        <v>41397696.790706158</v>
      </c>
      <c r="BM16" s="73">
        <f>CDM!H94</f>
        <v>360261.26236817212</v>
      </c>
      <c r="BN16" s="73">
        <f t="shared" ca="1" si="15"/>
        <v>41037435.528337985</v>
      </c>
      <c r="BO16" s="73"/>
      <c r="BP16" s="69">
        <f t="shared" si="28"/>
        <v>2020</v>
      </c>
      <c r="BR16" s="73">
        <f>'Connection count '!AE15</f>
        <v>24343.637659203039</v>
      </c>
      <c r="BS16" s="123">
        <f>BS15</f>
        <v>266.34468177980932</v>
      </c>
      <c r="BT16" s="73">
        <f>BS16*BR16</f>
        <v>6483798.4257034156</v>
      </c>
      <c r="BV16" s="69">
        <f t="shared" si="29"/>
        <v>2020</v>
      </c>
      <c r="BX16" s="73">
        <f>'Connection count '!AI15</f>
        <v>506.54408286556219</v>
      </c>
      <c r="BY16" s="73">
        <f t="shared" si="49"/>
        <v>1442.0116756645125</v>
      </c>
      <c r="BZ16" s="73">
        <f t="shared" si="50"/>
        <v>730442.48173091304</v>
      </c>
      <c r="CB16" s="69">
        <f t="shared" si="51"/>
        <v>2020</v>
      </c>
      <c r="CD16" s="73">
        <f>'Connection count '!AM15</f>
        <v>705.30017353951291</v>
      </c>
      <c r="CE16" s="73">
        <f t="shared" si="52"/>
        <v>3119.5653544390916</v>
      </c>
      <c r="CF16" s="73">
        <f>CE16*CD16</f>
        <v>2200229.9858537433</v>
      </c>
    </row>
    <row r="19" spans="68:70">
      <c r="BP19" s="42" t="s">
        <v>204</v>
      </c>
    </row>
    <row r="20" spans="68:70">
      <c r="BQ20" s="67">
        <f>SUM('Monthly Data'!AX101:AX112)</f>
        <v>6408317.0799999991</v>
      </c>
      <c r="BR20" s="42" t="s">
        <v>205</v>
      </c>
    </row>
    <row r="37" spans="9:11">
      <c r="I37" s="65"/>
    </row>
    <row r="38" spans="9:11">
      <c r="I38" s="65"/>
    </row>
    <row r="39" spans="9:11">
      <c r="I39" s="65"/>
    </row>
    <row r="40" spans="9:11">
      <c r="I40" s="65"/>
    </row>
    <row r="41" spans="9:11">
      <c r="I41" s="65"/>
    </row>
    <row r="42" spans="9:11">
      <c r="I42" s="65"/>
    </row>
    <row r="43" spans="9:11">
      <c r="I43" s="65"/>
    </row>
    <row r="44" spans="9:11">
      <c r="I44" s="65"/>
    </row>
    <row r="45" spans="9:11">
      <c r="I45" s="65"/>
    </row>
    <row r="46" spans="9:11">
      <c r="I46" s="65"/>
    </row>
    <row r="47" spans="9:11">
      <c r="I47" s="65"/>
      <c r="K47" s="145"/>
    </row>
    <row r="48" spans="9:11">
      <c r="I48" s="65"/>
    </row>
    <row r="49" spans="9:9">
      <c r="I49" s="65"/>
    </row>
  </sheetData>
  <mergeCells count="10">
    <mergeCell ref="BH2:BN2"/>
    <mergeCell ref="BP2:BT2"/>
    <mergeCell ref="BV2:BZ2"/>
    <mergeCell ref="CB2:CF2"/>
    <mergeCell ref="B2:I2"/>
    <mergeCell ref="K2:R2"/>
    <mergeCell ref="U2:AB2"/>
    <mergeCell ref="AE2:AK2"/>
    <mergeCell ref="AN2:AV2"/>
    <mergeCell ref="AY2:BE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B1758-7B0E-4E76-B273-E0339B7061A9}">
  <dimension ref="A2:AP37"/>
  <sheetViews>
    <sheetView zoomScaleNormal="100" workbookViewId="0">
      <selection activeCell="D10" sqref="D10"/>
    </sheetView>
  </sheetViews>
  <sheetFormatPr defaultColWidth="9.1640625" defaultRowHeight="12.75"/>
  <cols>
    <col min="1" max="1" width="13.33203125" style="119" customWidth="1"/>
    <col min="2" max="2" width="6.83203125" style="119" customWidth="1"/>
    <col min="3" max="3" width="21.83203125" style="119" bestFit="1" customWidth="1"/>
    <col min="4" max="4" width="15.83203125" style="119" customWidth="1"/>
    <col min="5" max="5" width="10.6640625" style="119" customWidth="1"/>
    <col min="6" max="6" width="12.5" style="119" customWidth="1"/>
    <col min="7" max="7" width="14.5" style="119" customWidth="1"/>
    <col min="8" max="8" width="8.1640625" style="119" customWidth="1"/>
    <col min="9" max="9" width="18.6640625" style="119" bestFit="1" customWidth="1"/>
    <col min="10" max="10" width="14.5" style="119" bestFit="1" customWidth="1"/>
    <col min="11" max="11" width="12" style="119" bestFit="1" customWidth="1"/>
    <col min="12" max="12" width="12" style="119" customWidth="1"/>
    <col min="13" max="13" width="13.83203125" style="119" customWidth="1"/>
    <col min="14" max="14" width="5.83203125" style="119" bestFit="1" customWidth="1"/>
    <col min="15" max="15" width="17" style="119" customWidth="1"/>
    <col min="16" max="16" width="14.5" style="119" bestFit="1" customWidth="1"/>
    <col min="17" max="17" width="12" style="119" bestFit="1" customWidth="1"/>
    <col min="18" max="18" width="12" style="119" customWidth="1"/>
    <col min="19" max="19" width="13.6640625" style="119" customWidth="1"/>
    <col min="20" max="20" width="5.83203125" style="119" bestFit="1" customWidth="1"/>
    <col min="21" max="21" width="17" style="119" customWidth="1"/>
    <col min="22" max="22" width="14.5" style="119" bestFit="1" customWidth="1"/>
    <col min="23" max="23" width="12" style="119" bestFit="1" customWidth="1"/>
    <col min="24" max="24" width="12" style="119" customWidth="1"/>
    <col min="25" max="25" width="24" style="119" customWidth="1"/>
    <col min="26" max="26" width="9.1640625" style="119"/>
    <col min="27" max="27" width="15.5" style="119" customWidth="1"/>
    <col min="28" max="28" width="11" style="119" customWidth="1"/>
    <col min="29" max="30" width="10.83203125" style="119" customWidth="1"/>
    <col min="31" max="31" width="9.1640625" style="119"/>
    <col min="32" max="32" width="5.83203125" style="119" bestFit="1" customWidth="1"/>
    <col min="33" max="33" width="15.1640625" style="119" bestFit="1" customWidth="1"/>
    <col min="34" max="34" width="14.6640625" style="119" bestFit="1" customWidth="1"/>
    <col min="35" max="35" width="12" style="119" bestFit="1" customWidth="1"/>
    <col min="36" max="36" width="12" style="119" customWidth="1"/>
    <col min="37" max="37" width="9.1640625" style="119"/>
    <col min="38" max="38" width="5.83203125" style="119" bestFit="1" customWidth="1"/>
    <col min="39" max="40" width="14.5" style="119" bestFit="1" customWidth="1"/>
    <col min="41" max="41" width="12" style="119" bestFit="1" customWidth="1"/>
    <col min="42" max="42" width="12" style="119" customWidth="1"/>
    <col min="43" max="16384" width="9.1640625" style="119"/>
  </cols>
  <sheetData>
    <row r="2" spans="1:42" s="36" customFormat="1" ht="12.75" customHeight="1">
      <c r="B2" s="277" t="s">
        <v>163</v>
      </c>
      <c r="C2" s="277"/>
      <c r="D2" s="277"/>
      <c r="E2" s="277"/>
      <c r="F2" s="277"/>
      <c r="H2" s="277" t="s">
        <v>140</v>
      </c>
      <c r="I2" s="277"/>
      <c r="J2" s="277"/>
      <c r="K2" s="277"/>
      <c r="L2" s="277"/>
      <c r="N2" s="277" t="s">
        <v>141</v>
      </c>
      <c r="O2" s="277"/>
      <c r="P2" s="277"/>
      <c r="Q2" s="277"/>
      <c r="R2" s="277"/>
      <c r="T2" s="277" t="s">
        <v>189</v>
      </c>
      <c r="U2" s="277"/>
      <c r="V2" s="277"/>
      <c r="W2" s="277"/>
      <c r="X2" s="277"/>
      <c r="Z2" s="277" t="s">
        <v>190</v>
      </c>
      <c r="AA2" s="277"/>
      <c r="AB2" s="277"/>
      <c r="AC2" s="277"/>
      <c r="AD2" s="277"/>
      <c r="AF2" s="277" t="s">
        <v>144</v>
      </c>
      <c r="AG2" s="277"/>
      <c r="AH2" s="277"/>
      <c r="AI2" s="277"/>
      <c r="AJ2" s="277"/>
      <c r="AL2" s="277" t="s">
        <v>149</v>
      </c>
      <c r="AM2" s="277"/>
      <c r="AN2" s="277"/>
      <c r="AO2" s="277"/>
      <c r="AP2" s="277"/>
    </row>
    <row r="3" spans="1:42" ht="38.25">
      <c r="B3" s="119" t="s">
        <v>124</v>
      </c>
      <c r="C3" s="11" t="s">
        <v>174</v>
      </c>
      <c r="D3" s="171" t="s">
        <v>183</v>
      </c>
      <c r="E3" s="152" t="s">
        <v>164</v>
      </c>
      <c r="F3" s="151" t="s">
        <v>241</v>
      </c>
      <c r="H3" s="119" t="s">
        <v>124</v>
      </c>
      <c r="I3" s="11" t="s">
        <v>174</v>
      </c>
      <c r="J3" s="171" t="s">
        <v>183</v>
      </c>
      <c r="K3" s="152" t="s">
        <v>164</v>
      </c>
      <c r="L3" s="151" t="s">
        <v>241</v>
      </c>
      <c r="N3" s="119" t="s">
        <v>124</v>
      </c>
      <c r="O3" s="11" t="s">
        <v>174</v>
      </c>
      <c r="P3" s="171" t="s">
        <v>183</v>
      </c>
      <c r="Q3" s="152" t="s">
        <v>164</v>
      </c>
      <c r="R3" s="151" t="s">
        <v>241</v>
      </c>
      <c r="T3" s="119" t="s">
        <v>124</v>
      </c>
      <c r="U3" s="11" t="s">
        <v>174</v>
      </c>
      <c r="V3" s="171" t="s">
        <v>183</v>
      </c>
      <c r="W3" s="152" t="s">
        <v>164</v>
      </c>
      <c r="X3" s="151" t="s">
        <v>241</v>
      </c>
      <c r="Z3" s="119" t="s">
        <v>124</v>
      </c>
      <c r="AA3" s="11" t="s">
        <v>174</v>
      </c>
      <c r="AB3" s="171" t="s">
        <v>183</v>
      </c>
      <c r="AC3" s="152" t="s">
        <v>164</v>
      </c>
      <c r="AD3" s="151" t="s">
        <v>241</v>
      </c>
      <c r="AF3" s="119" t="s">
        <v>124</v>
      </c>
      <c r="AG3" s="11" t="s">
        <v>174</v>
      </c>
      <c r="AH3" s="171" t="s">
        <v>183</v>
      </c>
      <c r="AI3" s="152" t="s">
        <v>164</v>
      </c>
      <c r="AJ3" s="151" t="s">
        <v>241</v>
      </c>
      <c r="AL3" s="119" t="s">
        <v>124</v>
      </c>
      <c r="AM3" s="11" t="s">
        <v>174</v>
      </c>
      <c r="AN3" s="171" t="s">
        <v>183</v>
      </c>
      <c r="AO3" s="152" t="s">
        <v>164</v>
      </c>
      <c r="AP3" s="151" t="s">
        <v>241</v>
      </c>
    </row>
    <row r="4" spans="1:42" s="153" customFormat="1">
      <c r="C4" s="153" t="s">
        <v>157</v>
      </c>
      <c r="D4" s="233" t="s">
        <v>158</v>
      </c>
      <c r="E4" s="153" t="s">
        <v>165</v>
      </c>
      <c r="I4" s="153" t="s">
        <v>157</v>
      </c>
      <c r="J4" s="153" t="s">
        <v>158</v>
      </c>
      <c r="K4" s="153" t="s">
        <v>165</v>
      </c>
      <c r="O4" s="153" t="s">
        <v>157</v>
      </c>
      <c r="P4" s="153" t="s">
        <v>158</v>
      </c>
      <c r="Q4" s="153" t="s">
        <v>165</v>
      </c>
      <c r="U4" s="153" t="s">
        <v>157</v>
      </c>
      <c r="V4" s="153" t="s">
        <v>158</v>
      </c>
      <c r="W4" s="153" t="s">
        <v>165</v>
      </c>
      <c r="AA4" s="153" t="s">
        <v>157</v>
      </c>
      <c r="AB4" s="153" t="s">
        <v>158</v>
      </c>
      <c r="AC4" s="153" t="s">
        <v>165</v>
      </c>
      <c r="AG4" s="153" t="s">
        <v>157</v>
      </c>
      <c r="AH4" s="153" t="s">
        <v>158</v>
      </c>
      <c r="AI4" s="153" t="s">
        <v>165</v>
      </c>
      <c r="AM4" s="153" t="s">
        <v>157</v>
      </c>
      <c r="AN4" s="153" t="s">
        <v>158</v>
      </c>
      <c r="AO4" s="153" t="s">
        <v>165</v>
      </c>
    </row>
    <row r="5" spans="1:42">
      <c r="B5" s="119">
        <v>2009</v>
      </c>
      <c r="C5" s="170">
        <f>SUMIF('Monthly Data'!$B:$B,B5,'Monthly Data'!K:K)</f>
        <v>906614904.72799397</v>
      </c>
      <c r="D5" s="170">
        <f>SUMIF('Monthly Data'!$B:$B,B5,'Monthly Data'!L:L)</f>
        <v>2411400.2173879999</v>
      </c>
      <c r="E5" s="59">
        <f t="shared" ref="E5:E13" si="0">D5/C5</f>
        <v>2.6597844407946032E-3</v>
      </c>
      <c r="H5" s="119">
        <f>B5</f>
        <v>2009</v>
      </c>
      <c r="I5" s="33">
        <f>SUMIF('Monthly Data'!$B:$B,H5,'Monthly Data'!V:V)</f>
        <v>51306801.944982</v>
      </c>
      <c r="J5" s="33">
        <f>SUMIF('Monthly Data'!$B:$B,H5,'Monthly Data'!W:W)</f>
        <v>130057.313337</v>
      </c>
      <c r="K5" s="59">
        <f t="shared" ref="K5:K13" si="1">J5/I5</f>
        <v>2.5348941740018175E-3</v>
      </c>
      <c r="N5" s="119">
        <f>H5</f>
        <v>2009</v>
      </c>
      <c r="O5" s="33">
        <f>SUMIF('Monthly Data'!$B:$B,N5,'Monthly Data'!AA:AA)</f>
        <v>271865804.30218202</v>
      </c>
      <c r="P5" s="33">
        <f>SUMIF('Monthly Data'!$B:$B,N5,'Monthly Data'!AB:AB)</f>
        <v>550085.43050499994</v>
      </c>
      <c r="Q5" s="59">
        <f t="shared" ref="Q5:Q13" si="2">P5/O5</f>
        <v>2.023371169893708E-3</v>
      </c>
      <c r="T5" s="119">
        <f>N5</f>
        <v>2009</v>
      </c>
      <c r="U5" s="33">
        <f ca="1">SUMIF('Monthly Data'!$B:$B,T5,'Monthly Data'!AJ:AJ)-SUMIF('Monthly Data'!$B:$B,T5,'Monthly Data'!AI:AI)</f>
        <v>253823156.07115111</v>
      </c>
      <c r="V5" s="33">
        <f>SUMIF('Monthly Data'!$B:$B,T5,'Monthly Data'!AG:AG)</f>
        <v>739222.92477000004</v>
      </c>
      <c r="W5" s="59">
        <f t="shared" ref="W5:W13" ca="1" si="3">V5/U5</f>
        <v>2.9123541611104338E-3</v>
      </c>
      <c r="Z5" s="119">
        <f>T5</f>
        <v>2009</v>
      </c>
      <c r="AA5" s="33">
        <f>SUMIF('Monthly Data'!$B:$B,Z5,'Monthly Data'!AS:AS)</f>
        <v>50208448.727770001</v>
      </c>
      <c r="AB5" s="33">
        <f>SUMIF('Monthly Data'!$B:$B,Z5,'Monthly Data'!AT:AT)</f>
        <v>95070.414779999992</v>
      </c>
      <c r="AC5" s="59">
        <f t="shared" ref="AC5:AC13" si="4">AB5/AA5</f>
        <v>1.8935142827349912E-3</v>
      </c>
      <c r="AF5" s="119">
        <v>2009</v>
      </c>
      <c r="AG5" s="33">
        <f>SUMIF('Monthly Data'!$B:$B,AF5,'Monthly Data'!AX:AX)</f>
        <v>16930327.966194</v>
      </c>
      <c r="AH5" s="33">
        <f>SUMIF('Monthly Data'!$B:$B,AF5,'Monthly Data'!AY:AY)</f>
        <v>48739.06</v>
      </c>
      <c r="AI5" s="59">
        <f t="shared" ref="AI5:AI13" si="5">AH5/AG5</f>
        <v>2.8788018812937809E-3</v>
      </c>
      <c r="AJ5" s="59"/>
      <c r="AL5" s="119">
        <f>AF5</f>
        <v>2009</v>
      </c>
      <c r="AM5" s="33">
        <f>SUMIF('Monthly Data'!$B:$B,AL5,'Monthly Data'!BC:BC)</f>
        <v>992473.34792500013</v>
      </c>
      <c r="AN5" s="33">
        <f>SUMIF('Monthly Data'!$B:$B,AL5,'Monthly Data'!BD:BD)</f>
        <v>2749.4738910000001</v>
      </c>
      <c r="AO5" s="59">
        <f t="shared" ref="AO5:AO13" si="6">AN5/AM5</f>
        <v>2.7703251646489292E-3</v>
      </c>
      <c r="AP5" s="59"/>
    </row>
    <row r="6" spans="1:42">
      <c r="B6" s="119">
        <v>2010</v>
      </c>
      <c r="C6" s="170">
        <f>SUMIF('Monthly Data'!$B:$B,B6,'Monthly Data'!K:K)</f>
        <v>943095058.82937098</v>
      </c>
      <c r="D6" s="170">
        <f>SUMIF('Monthly Data'!$B:$B,B6,'Monthly Data'!L:L)</f>
        <v>2412320.5319020003</v>
      </c>
      <c r="E6" s="59">
        <f t="shared" si="0"/>
        <v>2.5578763342226866E-3</v>
      </c>
      <c r="F6" s="59"/>
      <c r="H6" s="119">
        <f t="shared" ref="H6:H14" si="7">B6</f>
        <v>2010</v>
      </c>
      <c r="I6" s="33">
        <f>SUMIF('Monthly Data'!$B:$B,H6,'Monthly Data'!V:V)</f>
        <v>49071887.882886</v>
      </c>
      <c r="J6" s="33">
        <f>SUMIF('Monthly Data'!$B:$B,H6,'Monthly Data'!W:W)</f>
        <v>130265.67708899999</v>
      </c>
      <c r="K6" s="59">
        <f t="shared" si="1"/>
        <v>2.6545886598023185E-3</v>
      </c>
      <c r="L6" s="59"/>
      <c r="N6" s="119">
        <f t="shared" ref="N6:N14" si="8">H6</f>
        <v>2010</v>
      </c>
      <c r="O6" s="33">
        <f>SUMIF('Monthly Data'!$B:$B,N6,'Monthly Data'!AA:AA)</f>
        <v>295089951.25607103</v>
      </c>
      <c r="P6" s="33">
        <f>SUMIF('Monthly Data'!$B:$B,N6,'Monthly Data'!AB:AB)</f>
        <v>579239.62557300006</v>
      </c>
      <c r="Q6" s="59">
        <f t="shared" si="2"/>
        <v>1.9629256201623472E-3</v>
      </c>
      <c r="R6" s="59"/>
      <c r="T6" s="119">
        <f t="shared" ref="T6:T14" si="9">N6</f>
        <v>2010</v>
      </c>
      <c r="U6" s="33">
        <f ca="1">SUMIF('Monthly Data'!$B:$B,T6,'Monthly Data'!AJ:AJ)-SUMIF('Monthly Data'!$B:$B,T6,'Monthly Data'!AI:AI)</f>
        <v>287197655.7575056</v>
      </c>
      <c r="V6" s="33">
        <f>SUMIF('Monthly Data'!$B:$B,T6,'Monthly Data'!AG:AG)</f>
        <v>698063.14066499996</v>
      </c>
      <c r="W6" s="59">
        <f t="shared" ca="1" si="3"/>
        <v>2.4306018056582165E-3</v>
      </c>
      <c r="X6" s="59"/>
      <c r="Z6" s="119">
        <f t="shared" ref="Z6:Z14" si="10">T6</f>
        <v>2010</v>
      </c>
      <c r="AA6" s="33">
        <f>SUMIF('Monthly Data'!$B:$B,Z6,'Monthly Data'!AS:AS)</f>
        <v>54756020.297367997</v>
      </c>
      <c r="AB6" s="33">
        <f>SUMIF('Monthly Data'!$B:$B,Z6,'Monthly Data'!AT:AT)</f>
        <v>99529.309439999997</v>
      </c>
      <c r="AC6" s="59">
        <f t="shared" si="4"/>
        <v>1.817687057961445E-3</v>
      </c>
      <c r="AD6" s="59"/>
      <c r="AF6" s="119">
        <f t="shared" ref="AF6:AF14" si="11">AF5+1</f>
        <v>2010</v>
      </c>
      <c r="AG6" s="33">
        <f>SUMIF('Monthly Data'!$B:$B,AF6,'Monthly Data'!AX:AX)</f>
        <v>16997068.557570998</v>
      </c>
      <c r="AH6" s="33">
        <f>SUMIF('Monthly Data'!$B:$B,AF6,'Monthly Data'!AY:AY)</f>
        <v>48810.080000000009</v>
      </c>
      <c r="AI6" s="59">
        <f t="shared" si="5"/>
        <v>2.8716763619958782E-3</v>
      </c>
      <c r="AJ6" s="59"/>
      <c r="AL6" s="119">
        <f>AF6</f>
        <v>2010</v>
      </c>
      <c r="AM6" s="33">
        <f>SUMIF('Monthly Data'!$B:$B,AL6,'Monthly Data'!BC:BC)</f>
        <v>953516.90303800011</v>
      </c>
      <c r="AN6" s="33">
        <f>SUMIF('Monthly Data'!$B:$B,AL6,'Monthly Data'!BD:BD)</f>
        <v>2624.2302400000003</v>
      </c>
      <c r="AO6" s="59">
        <f t="shared" si="6"/>
        <v>2.7521591191922668E-3</v>
      </c>
      <c r="AP6" s="59"/>
    </row>
    <row r="7" spans="1:42">
      <c r="A7" s="119" t="s">
        <v>150</v>
      </c>
      <c r="B7" s="119">
        <v>2011</v>
      </c>
      <c r="C7" s="170">
        <f>SUMIF('Monthly Data'!$B:$B,B7,'Monthly Data'!K:K)</f>
        <v>949533128.04511392</v>
      </c>
      <c r="D7" s="170">
        <f>SUMIF('Monthly Data'!$B:$B,B7,'Monthly Data'!L:L)</f>
        <v>2435756.5519919996</v>
      </c>
      <c r="E7" s="59">
        <f t="shared" si="0"/>
        <v>2.5652149251566424E-3</v>
      </c>
      <c r="F7" s="59">
        <f t="shared" ref="F7:F13" si="12">AVERAGE(E5:E7)</f>
        <v>2.5942919000579777E-3</v>
      </c>
      <c r="H7" s="119">
        <f t="shared" si="7"/>
        <v>2011</v>
      </c>
      <c r="I7" s="33">
        <f>SUMIF('Monthly Data'!$B:$B,H7,'Monthly Data'!V:V)</f>
        <v>48794571.150462002</v>
      </c>
      <c r="J7" s="33">
        <f>SUMIF('Monthly Data'!$B:$B,H7,'Monthly Data'!W:W)</f>
        <v>130751.70967799998</v>
      </c>
      <c r="K7" s="59">
        <f t="shared" si="1"/>
        <v>2.679636414362912E-3</v>
      </c>
      <c r="L7" s="59">
        <f t="shared" ref="L7:L13" si="13">AVERAGE(K5:K7)</f>
        <v>2.6230397493890154E-3</v>
      </c>
      <c r="N7" s="119">
        <f t="shared" si="8"/>
        <v>2011</v>
      </c>
      <c r="O7" s="33">
        <f>SUMIF('Monthly Data'!$B:$B,N7,'Monthly Data'!AA:AA)</f>
        <v>320621511.326684</v>
      </c>
      <c r="P7" s="33">
        <f>SUMIF('Monthly Data'!$B:$B,N7,'Monthly Data'!AB:AB)</f>
        <v>598591.04917000001</v>
      </c>
      <c r="Q7" s="59">
        <f t="shared" si="2"/>
        <v>1.8669709549216443E-3</v>
      </c>
      <c r="R7" s="59">
        <f t="shared" ref="R7:R13" si="14">AVERAGE(Q5:Q7)</f>
        <v>1.9510892483259E-3</v>
      </c>
      <c r="T7" s="119">
        <f t="shared" si="9"/>
        <v>2011</v>
      </c>
      <c r="U7" s="33">
        <f ca="1">SUMIF('Monthly Data'!$B:$B,T7,'Monthly Data'!AJ:AJ)-SUMIF('Monthly Data'!$B:$B,T7,'Monthly Data'!AI:AI)</f>
        <v>265542337.9138996</v>
      </c>
      <c r="V7" s="33">
        <f>SUMIF('Monthly Data'!$B:$B,T7,'Monthly Data'!AG:AG)</f>
        <v>574891.871697</v>
      </c>
      <c r="W7" s="59">
        <f t="shared" ca="1" si="3"/>
        <v>2.1649725471777877E-3</v>
      </c>
      <c r="X7" s="59">
        <f t="shared" ref="X7:X13" ca="1" si="15">AVERAGE(W5:W7)</f>
        <v>2.5026428379821461E-3</v>
      </c>
      <c r="Z7" s="119">
        <f t="shared" si="10"/>
        <v>2011</v>
      </c>
      <c r="AA7" s="33">
        <f>SUMIF('Monthly Data'!$B:$B,Z7,'Monthly Data'!AS:AS)</f>
        <v>41936988.305069</v>
      </c>
      <c r="AB7" s="33">
        <f>SUMIF('Monthly Data'!$B:$B,Z7,'Monthly Data'!AT:AT)</f>
        <v>77154.613469999997</v>
      </c>
      <c r="AC7" s="59">
        <f t="shared" si="4"/>
        <v>1.8397747808865468E-3</v>
      </c>
      <c r="AD7" s="59">
        <f t="shared" ref="AD7:AD13" si="16">AVERAGE(AC5:AC7)</f>
        <v>1.8503253738609943E-3</v>
      </c>
      <c r="AF7" s="119">
        <f t="shared" si="11"/>
        <v>2011</v>
      </c>
      <c r="AG7" s="33">
        <f>SUMIF('Monthly Data'!$B:$B,AF7,'Monthly Data'!AX:AX)</f>
        <v>17061700.853792001</v>
      </c>
      <c r="AH7" s="33">
        <f>SUMIF('Monthly Data'!$B:$B,AF7,'Monthly Data'!AY:AY)</f>
        <v>49249.500000000007</v>
      </c>
      <c r="AI7" s="59">
        <f t="shared" si="5"/>
        <v>2.8865527781806229E-3</v>
      </c>
      <c r="AJ7" s="59">
        <f t="shared" ref="AJ7:AJ13" si="17">AVERAGE(AI5:AI7)</f>
        <v>2.879010340490094E-3</v>
      </c>
      <c r="AL7" s="119">
        <f>AF7</f>
        <v>2011</v>
      </c>
      <c r="AM7" s="33">
        <f>SUMIF('Monthly Data'!$B:$B,AL7,'Monthly Data'!BC:BC)</f>
        <v>908472.8439770001</v>
      </c>
      <c r="AN7" s="33">
        <f>SUMIF('Monthly Data'!$B:$B,AL7,'Monthly Data'!BD:BD)</f>
        <v>2565.8748849999997</v>
      </c>
      <c r="AO7" s="59">
        <f t="shared" si="6"/>
        <v>2.8243825910826679E-3</v>
      </c>
      <c r="AP7" s="59">
        <f t="shared" ref="AP7:AP13" si="18">AVERAGE(AO5:AO7)</f>
        <v>2.7822889583079546E-3</v>
      </c>
    </row>
    <row r="8" spans="1:42">
      <c r="A8" s="119" t="s">
        <v>243</v>
      </c>
      <c r="B8" s="119">
        <v>2012</v>
      </c>
      <c r="C8" s="170">
        <f>SUMIF('Monthly Data'!$B:$B,B8,'Monthly Data'!K:K)</f>
        <v>941638530.06494999</v>
      </c>
      <c r="D8" s="170">
        <f>SUMIF('Monthly Data'!$B:$B,B8,'Monthly Data'!L:L)</f>
        <v>2427537.8838569997</v>
      </c>
      <c r="E8" s="59">
        <f t="shared" si="0"/>
        <v>2.5779933661906965E-3</v>
      </c>
      <c r="F8" s="59">
        <f t="shared" si="12"/>
        <v>2.5670282085233417E-3</v>
      </c>
      <c r="H8" s="119">
        <f t="shared" si="7"/>
        <v>2012</v>
      </c>
      <c r="I8" s="33">
        <f>SUMIF('Monthly Data'!$B:$B,H8,'Monthly Data'!V:V)</f>
        <v>45768539.737902999</v>
      </c>
      <c r="J8" s="33">
        <f>SUMIF('Monthly Data'!$B:$B,H8,'Monthly Data'!W:W)</f>
        <v>127750.54842900002</v>
      </c>
      <c r="K8" s="59">
        <f t="shared" si="1"/>
        <v>2.7912305955263852E-3</v>
      </c>
      <c r="L8" s="59">
        <f t="shared" si="13"/>
        <v>2.7084852232305387E-3</v>
      </c>
      <c r="N8" s="119">
        <f t="shared" si="8"/>
        <v>2012</v>
      </c>
      <c r="O8" s="33">
        <f>SUMIF('Monthly Data'!$B:$B,N8,'Monthly Data'!AA:AA)</f>
        <v>304746367.45815498</v>
      </c>
      <c r="P8" s="33">
        <f>SUMIF('Monthly Data'!$B:$B,N8,'Monthly Data'!AB:AB)</f>
        <v>566690.59476599994</v>
      </c>
      <c r="Q8" s="59">
        <f t="shared" si="2"/>
        <v>1.8595483171552907E-3</v>
      </c>
      <c r="R8" s="59">
        <f t="shared" si="14"/>
        <v>1.8964816307464275E-3</v>
      </c>
      <c r="T8" s="119">
        <f t="shared" si="9"/>
        <v>2012</v>
      </c>
      <c r="U8" s="33">
        <f ca="1">SUMIF('Monthly Data'!$B:$B,T8,'Monthly Data'!AJ:AJ)-SUMIF('Monthly Data'!$B:$B,T8,'Monthly Data'!AI:AI)</f>
        <v>280858035.097938</v>
      </c>
      <c r="V8" s="33">
        <f>SUMIF('Monthly Data'!$B:$B,T8,'Monthly Data'!AG:AG)</f>
        <v>559020.80044799997</v>
      </c>
      <c r="W8" s="59">
        <f t="shared" ca="1" si="3"/>
        <v>1.990403444405868E-3</v>
      </c>
      <c r="X8" s="59">
        <f t="shared" ca="1" si="15"/>
        <v>2.1953259324139574E-3</v>
      </c>
      <c r="Y8" s="59"/>
      <c r="Z8" s="119">
        <f t="shared" si="10"/>
        <v>2012</v>
      </c>
      <c r="AA8" s="33">
        <f>SUMIF('Monthly Data'!$B:$B,Z8,'Monthly Data'!AS:AS)</f>
        <v>45336838.931562997</v>
      </c>
      <c r="AB8" s="33">
        <f>SUMIF('Monthly Data'!$B:$B,Z8,'Monthly Data'!AT:AT)</f>
        <v>81689.161949999994</v>
      </c>
      <c r="AC8" s="59">
        <f t="shared" si="4"/>
        <v>1.8018274735323225E-3</v>
      </c>
      <c r="AD8" s="59">
        <f t="shared" si="16"/>
        <v>1.8197631041267715E-3</v>
      </c>
      <c r="AF8" s="119">
        <f t="shared" si="11"/>
        <v>2012</v>
      </c>
      <c r="AG8" s="33">
        <f>SUMIF('Monthly Data'!$B:$B,AF8,'Monthly Data'!AX:AX)</f>
        <v>17377866.278999001</v>
      </c>
      <c r="AH8" s="33">
        <f>SUMIF('Monthly Data'!$B:$B,AF8,'Monthly Data'!AY:AY)</f>
        <v>49565.55999999999</v>
      </c>
      <c r="AI8" s="59">
        <f t="shared" si="5"/>
        <v>2.8522235816660379E-3</v>
      </c>
      <c r="AJ8" s="59">
        <f t="shared" si="17"/>
        <v>2.8701509072808461E-3</v>
      </c>
      <c r="AL8" s="119">
        <f>AF8</f>
        <v>2012</v>
      </c>
      <c r="AM8" s="33">
        <f>SUMIF('Monthly Data'!$B:$B,AL8,'Monthly Data'!BC:BC)</f>
        <v>908923.37890999997</v>
      </c>
      <c r="AN8" s="33">
        <f>SUMIF('Monthly Data'!$B:$B,AL8,'Monthly Data'!BD:BD)</f>
        <v>2495.6537090000002</v>
      </c>
      <c r="AO8" s="59">
        <f t="shared" si="6"/>
        <v>2.74572507089964E-3</v>
      </c>
      <c r="AP8" s="59">
        <f t="shared" si="18"/>
        <v>2.7740889270581916E-3</v>
      </c>
    </row>
    <row r="9" spans="1:42">
      <c r="B9" s="119">
        <v>2013</v>
      </c>
      <c r="C9" s="170">
        <f>SUMIF('Monthly Data'!$B:$B,B9,'Monthly Data'!K:K)</f>
        <v>948224332.78106129</v>
      </c>
      <c r="D9" s="170">
        <f>SUMIF('Monthly Data'!$B:$B,B9,'Monthly Data'!L:L)</f>
        <v>2556408.0255070003</v>
      </c>
      <c r="E9" s="59">
        <f t="shared" si="0"/>
        <v>2.695994963564448E-3</v>
      </c>
      <c r="F9" s="59">
        <f t="shared" si="12"/>
        <v>2.6130677516372617E-3</v>
      </c>
      <c r="H9" s="119">
        <f t="shared" si="7"/>
        <v>2013</v>
      </c>
      <c r="I9" s="33">
        <f>SUMIF('Monthly Data'!$B:$B,H9,'Monthly Data'!V:V)</f>
        <v>45666584.426196001</v>
      </c>
      <c r="J9" s="33">
        <f>SUMIF('Monthly Data'!$B:$B,H9,'Monthly Data'!W:W)</f>
        <v>129021.099858</v>
      </c>
      <c r="K9" s="59">
        <f t="shared" si="1"/>
        <v>2.8252846469504918E-3</v>
      </c>
      <c r="L9" s="59">
        <f t="shared" si="13"/>
        <v>2.765383885613263E-3</v>
      </c>
      <c r="N9" s="119">
        <f t="shared" si="8"/>
        <v>2013</v>
      </c>
      <c r="O9" s="33">
        <f>SUMIF('Monthly Data'!$B:$B,N9,'Monthly Data'!AA:AA)</f>
        <v>295185913.80554301</v>
      </c>
      <c r="P9" s="33">
        <f>SUMIF('Monthly Data'!$B:$B,N9,'Monthly Data'!AB:AB)</f>
        <v>557388.87657400011</v>
      </c>
      <c r="Q9" s="59">
        <f t="shared" si="2"/>
        <v>1.8882638042856822E-3</v>
      </c>
      <c r="R9" s="59">
        <f t="shared" si="14"/>
        <v>1.8715943587875393E-3</v>
      </c>
      <c r="T9" s="119">
        <f t="shared" si="9"/>
        <v>2013</v>
      </c>
      <c r="U9" s="33">
        <f ca="1">SUMIF('Monthly Data'!$B:$B,T9,'Monthly Data'!AJ:AJ)-SUMIF('Monthly Data'!$B:$B,T9,'Monthly Data'!AI:AI)</f>
        <v>265541554.24181503</v>
      </c>
      <c r="V9" s="33">
        <f>SUMIF('Monthly Data'!$B:$B,T9,'Monthly Data'!AG:AG)</f>
        <v>535816.2171779999</v>
      </c>
      <c r="W9" s="59">
        <f t="shared" ca="1" si="3"/>
        <v>2.017824361644203E-3</v>
      </c>
      <c r="X9" s="59">
        <f t="shared" ca="1" si="15"/>
        <v>2.057733451075953E-3</v>
      </c>
      <c r="Y9" s="174"/>
      <c r="Z9" s="119">
        <f t="shared" si="10"/>
        <v>2013</v>
      </c>
      <c r="AA9" s="33">
        <f>SUMIF('Monthly Data'!$B:$B,Z9,'Monthly Data'!AS:AS)</f>
        <v>48126674.812411003</v>
      </c>
      <c r="AB9" s="33">
        <f>SUMIF('Monthly Data'!$B:$B,Z9,'Monthly Data'!AT:AT)</f>
        <v>85550.828219999981</v>
      </c>
      <c r="AC9" s="59">
        <f t="shared" si="4"/>
        <v>1.7776176840278597E-3</v>
      </c>
      <c r="AD9" s="59">
        <f t="shared" si="16"/>
        <v>1.8064066461489098E-3</v>
      </c>
      <c r="AF9" s="119">
        <f t="shared" si="11"/>
        <v>2013</v>
      </c>
      <c r="AG9" s="33">
        <f>SUMIF('Monthly Data'!$B:$B,AF9,'Monthly Data'!AX:AX)</f>
        <v>17283102.442827001</v>
      </c>
      <c r="AH9" s="33">
        <f>SUMIF('Monthly Data'!$B:$B,AF9,'Monthly Data'!AY:AY)</f>
        <v>49480.340000000004</v>
      </c>
      <c r="AI9" s="59">
        <f t="shared" si="5"/>
        <v>2.8629315925009636E-3</v>
      </c>
      <c r="AJ9" s="59">
        <f t="shared" si="17"/>
        <v>2.8672359841158748E-3</v>
      </c>
      <c r="AL9" s="119">
        <f t="shared" ref="AL9:AL14" si="19">AL8+1</f>
        <v>2013</v>
      </c>
      <c r="AM9" s="33">
        <f>SUMIF('Monthly Data'!$B:$B,AL9,'Monthly Data'!BC:BC)</f>
        <v>887747.77032600006</v>
      </c>
      <c r="AN9" s="33">
        <f>SUMIF('Monthly Data'!$B:$B,AL9,'Monthly Data'!BD:BD)</f>
        <v>2438.761598</v>
      </c>
      <c r="AO9" s="59">
        <f t="shared" si="6"/>
        <v>2.7471334533506453E-3</v>
      </c>
      <c r="AP9" s="59">
        <f t="shared" si="18"/>
        <v>2.7724137051109844E-3</v>
      </c>
    </row>
    <row r="10" spans="1:42">
      <c r="B10" s="119">
        <v>2014</v>
      </c>
      <c r="C10" s="170">
        <f>SUMIF('Monthly Data'!$B:$B,B10,'Monthly Data'!K:K)</f>
        <v>970184488.09365582</v>
      </c>
      <c r="D10" s="170">
        <f>SUMIF('Monthly Data'!$B:$B,B10,'Monthly Data'!L:L)</f>
        <v>2368008.0300000003</v>
      </c>
      <c r="E10" s="59">
        <f t="shared" si="0"/>
        <v>2.4407811700359891E-3</v>
      </c>
      <c r="F10" s="59">
        <f t="shared" si="12"/>
        <v>2.5715898332637111E-3</v>
      </c>
      <c r="H10" s="119">
        <f t="shared" si="7"/>
        <v>2014</v>
      </c>
      <c r="I10" s="33">
        <f>SUMIF('Monthly Data'!$B:$B,H10,'Monthly Data'!V:V)</f>
        <v>47519841.509630993</v>
      </c>
      <c r="J10" s="33">
        <f>SUMIF('Monthly Data'!$B:$B,H10,'Monthly Data'!W:W)</f>
        <v>131071.55</v>
      </c>
      <c r="K10" s="59">
        <f t="shared" si="1"/>
        <v>2.7582488879605233E-3</v>
      </c>
      <c r="L10" s="59">
        <f t="shared" si="13"/>
        <v>2.7915880434791333E-3</v>
      </c>
      <c r="N10" s="119">
        <f t="shared" si="8"/>
        <v>2014</v>
      </c>
      <c r="O10" s="33">
        <f>SUMIF('Monthly Data'!$B:$B,N10,'Monthly Data'!AA:AA)</f>
        <v>304014292.368729</v>
      </c>
      <c r="P10" s="33">
        <f>SUMIF('Monthly Data'!$B:$B,N10,'Monthly Data'!AB:AB)</f>
        <v>557415.25</v>
      </c>
      <c r="Q10" s="59">
        <f t="shared" si="2"/>
        <v>1.8335165944235584E-3</v>
      </c>
      <c r="R10" s="59">
        <f t="shared" si="14"/>
        <v>1.860442905288177E-3</v>
      </c>
      <c r="T10" s="119">
        <f t="shared" si="9"/>
        <v>2014</v>
      </c>
      <c r="U10" s="33">
        <f ca="1">SUMIF('Monthly Data'!$B:$B,T10,'Monthly Data'!AJ:AJ)-SUMIF('Monthly Data'!$B:$B,T10,'Monthly Data'!AI:AI)</f>
        <v>266219489.74002093</v>
      </c>
      <c r="V10" s="33">
        <f>SUMIF('Monthly Data'!$B:$B,T10,'Monthly Data'!AG:AG)</f>
        <v>524555.20000000007</v>
      </c>
      <c r="W10" s="59">
        <f t="shared" ca="1" si="3"/>
        <v>1.9703861671144336E-3</v>
      </c>
      <c r="X10" s="59">
        <f t="shared" ca="1" si="15"/>
        <v>1.992871324388168E-3</v>
      </c>
      <c r="Z10" s="119">
        <f t="shared" si="10"/>
        <v>2014</v>
      </c>
      <c r="AA10" s="33">
        <f>SUMIF('Monthly Data'!$B:$B,Z10,'Monthly Data'!AS:AS)</f>
        <v>47308908.679020993</v>
      </c>
      <c r="AB10" s="33">
        <f>SUMIF('Monthly Data'!$B:$B,Z10,'Monthly Data'!AT:AT)</f>
        <v>86734.079999999987</v>
      </c>
      <c r="AC10" s="59">
        <f t="shared" si="4"/>
        <v>1.8333561779763053E-3</v>
      </c>
      <c r="AD10" s="59">
        <f t="shared" si="16"/>
        <v>1.8042671118454958E-3</v>
      </c>
      <c r="AF10" s="119">
        <f t="shared" si="11"/>
        <v>2014</v>
      </c>
      <c r="AG10" s="33">
        <f>SUMIF('Monthly Data'!$B:$B,AF10,'Monthly Data'!AX:AX)</f>
        <v>17360921.051590003</v>
      </c>
      <c r="AH10" s="33">
        <f>SUMIF('Monthly Data'!$B:$B,AF10,'Monthly Data'!AY:AY)</f>
        <v>49412.19</v>
      </c>
      <c r="AI10" s="59">
        <f t="shared" si="5"/>
        <v>2.8461733022784857E-3</v>
      </c>
      <c r="AJ10" s="59">
        <f t="shared" si="17"/>
        <v>2.8537761588151626E-3</v>
      </c>
      <c r="AL10" s="119">
        <f t="shared" si="19"/>
        <v>2014</v>
      </c>
      <c r="AM10" s="33">
        <f>SUMIF('Monthly Data'!$B:$B,AL10,'Monthly Data'!BC:BC)</f>
        <v>924204.18281011167</v>
      </c>
      <c r="AN10" s="33">
        <f>SUMIF('Monthly Data'!$B:$B,AL10,'Monthly Data'!BD:BD)</f>
        <v>2541.5785940000001</v>
      </c>
      <c r="AO10" s="59">
        <f t="shared" si="6"/>
        <v>2.7500184929613075E-3</v>
      </c>
      <c r="AP10" s="59">
        <f t="shared" si="18"/>
        <v>2.747625672403864E-3</v>
      </c>
    </row>
    <row r="11" spans="1:42">
      <c r="B11" s="119">
        <v>2015</v>
      </c>
      <c r="C11" s="170">
        <f>SUMIF('Monthly Data'!$B:$B,B11,'Monthly Data'!K:K)</f>
        <v>941653981.70491183</v>
      </c>
      <c r="D11" s="170">
        <f>SUMIF('Monthly Data'!$B:$B,B11,'Monthly Data'!L:L)</f>
        <v>2413020.5799999996</v>
      </c>
      <c r="E11" s="59">
        <f t="shared" si="0"/>
        <v>2.5625342502466827E-3</v>
      </c>
      <c r="F11" s="59">
        <f t="shared" si="12"/>
        <v>2.5664367946157066E-3</v>
      </c>
      <c r="H11" s="119">
        <f t="shared" si="7"/>
        <v>2015</v>
      </c>
      <c r="I11" s="33">
        <f>SUMIF('Monthly Data'!$B:$B,H11,'Monthly Data'!V:V)</f>
        <v>44363940.879999988</v>
      </c>
      <c r="J11" s="33">
        <f>SUMIF('Monthly Data'!$B:$B,H11,'Monthly Data'!W:W)</f>
        <v>128585.56999999999</v>
      </c>
      <c r="K11" s="59">
        <f t="shared" si="1"/>
        <v>2.8984253303332781E-3</v>
      </c>
      <c r="L11" s="59">
        <f t="shared" si="13"/>
        <v>2.8273196217480975E-3</v>
      </c>
      <c r="N11" s="119">
        <f t="shared" si="8"/>
        <v>2015</v>
      </c>
      <c r="O11" s="33">
        <f>SUMIF('Monthly Data'!$B:$B,N11,'Monthly Data'!AA:AA)</f>
        <v>301194469.31</v>
      </c>
      <c r="P11" s="33">
        <f>SUMIF('Monthly Data'!$B:$B,N11,'Monthly Data'!AB:AB)</f>
        <v>559320.55000000005</v>
      </c>
      <c r="Q11" s="59">
        <f t="shared" si="2"/>
        <v>1.8570080363073584E-3</v>
      </c>
      <c r="R11" s="59">
        <f t="shared" si="14"/>
        <v>1.8595961450055328E-3</v>
      </c>
      <c r="T11" s="119">
        <f t="shared" si="9"/>
        <v>2015</v>
      </c>
      <c r="U11" s="33">
        <f ca="1">SUMIF('Monthly Data'!$B:$B,T11,'Monthly Data'!AJ:AJ)-SUMIF('Monthly Data'!$B:$B,T11,'Monthly Data'!AI:AI)</f>
        <v>241052438.81000003</v>
      </c>
      <c r="V11" s="33">
        <f>SUMIF('Monthly Data'!$B:$B,T11,'Monthly Data'!AG:AG)</f>
        <v>487724.93000000005</v>
      </c>
      <c r="W11" s="59">
        <f t="shared" ca="1" si="3"/>
        <v>2.0233146464219338E-3</v>
      </c>
      <c r="X11" s="59">
        <f t="shared" ca="1" si="15"/>
        <v>2.00384172506019E-3</v>
      </c>
      <c r="Z11" s="119">
        <f t="shared" si="10"/>
        <v>2015</v>
      </c>
      <c r="AA11" s="33">
        <f>SUMIF('Monthly Data'!$B:$B,Z11,'Monthly Data'!AS:AS)</f>
        <v>47202925.820000008</v>
      </c>
      <c r="AB11" s="33">
        <f>SUMIF('Monthly Data'!$B:$B,Z11,'Monthly Data'!AT:AT)</f>
        <v>82844.529999999984</v>
      </c>
      <c r="AC11" s="59">
        <f t="shared" si="4"/>
        <v>1.7550719274460427E-3</v>
      </c>
      <c r="AD11" s="59">
        <f t="shared" si="16"/>
        <v>1.7886819298167361E-3</v>
      </c>
      <c r="AF11" s="119">
        <f t="shared" si="11"/>
        <v>2015</v>
      </c>
      <c r="AG11" s="33">
        <f>SUMIF('Monthly Data'!$B:$B,AF11,'Monthly Data'!AX:AX)</f>
        <v>17162407.530000001</v>
      </c>
      <c r="AH11" s="33">
        <f>SUMIF('Monthly Data'!$B:$B,AF11,'Monthly Data'!AY:AY)</f>
        <v>49145.369999999995</v>
      </c>
      <c r="AI11" s="59">
        <f t="shared" si="5"/>
        <v>2.8635475479820397E-3</v>
      </c>
      <c r="AJ11" s="59">
        <f t="shared" si="17"/>
        <v>2.8575508142538297E-3</v>
      </c>
      <c r="AL11" s="119">
        <f t="shared" si="19"/>
        <v>2015</v>
      </c>
      <c r="AM11" s="33">
        <f>SUMIF('Monthly Data'!$B:$B,AL11,'Monthly Data'!BC:BC)</f>
        <v>873074.41874517407</v>
      </c>
      <c r="AN11" s="33">
        <f>SUMIF('Monthly Data'!$B:$B,AL11,'Monthly Data'!BD:BD)</f>
        <v>2447.9</v>
      </c>
      <c r="AO11" s="59">
        <f t="shared" si="6"/>
        <v>2.8037701568650285E-3</v>
      </c>
      <c r="AP11" s="59">
        <f t="shared" si="18"/>
        <v>2.7669740343923273E-3</v>
      </c>
    </row>
    <row r="12" spans="1:42">
      <c r="B12" s="119">
        <v>2016</v>
      </c>
      <c r="C12" s="170">
        <f>SUMIF('Monthly Data'!$B:$B,B12,'Monthly Data'!K:K)</f>
        <v>954879860.93795967</v>
      </c>
      <c r="D12" s="170">
        <f>SUMIF('Monthly Data'!$B:$B,B12,'Monthly Data'!L:L)</f>
        <v>2436984.27</v>
      </c>
      <c r="E12" s="59">
        <f t="shared" si="0"/>
        <v>2.5521370485352976E-3</v>
      </c>
      <c r="F12" s="59">
        <f t="shared" si="12"/>
        <v>2.5184841562726564E-3</v>
      </c>
      <c r="H12" s="119">
        <f t="shared" si="7"/>
        <v>2016</v>
      </c>
      <c r="I12" s="33">
        <f>SUMIF('Monthly Data'!$B:$B,H12,'Monthly Data'!V:V)</f>
        <v>44045563.989999995</v>
      </c>
      <c r="J12" s="33">
        <f>SUMIF('Monthly Data'!$B:$B,H12,'Monthly Data'!W:W)</f>
        <v>130216.19</v>
      </c>
      <c r="K12" s="59">
        <f t="shared" si="1"/>
        <v>2.9563973804391289E-3</v>
      </c>
      <c r="L12" s="59">
        <f t="shared" si="13"/>
        <v>2.8710238662443105E-3</v>
      </c>
      <c r="N12" s="119">
        <f t="shared" si="8"/>
        <v>2016</v>
      </c>
      <c r="O12" s="33">
        <f>SUMIF('Monthly Data'!$B:$B,N12,'Monthly Data'!AA:AA)</f>
        <v>318162193.04000002</v>
      </c>
      <c r="P12" s="33">
        <f>SUMIF('Monthly Data'!$B:$B,N12,'Monthly Data'!AB:AB)</f>
        <v>576548.00999999989</v>
      </c>
      <c r="Q12" s="59">
        <f t="shared" si="2"/>
        <v>1.8121198011968539E-3</v>
      </c>
      <c r="R12" s="59">
        <f t="shared" si="14"/>
        <v>1.8342148106425902E-3</v>
      </c>
      <c r="S12" s="33"/>
      <c r="T12" s="119">
        <f t="shared" si="9"/>
        <v>2016</v>
      </c>
      <c r="U12" s="33">
        <f ca="1">SUMIF('Monthly Data'!$B:$B,T12,'Monthly Data'!AJ:AJ)-SUMIF('Monthly Data'!$B:$B,T12,'Monthly Data'!AI:AI)</f>
        <v>264027087.00000006</v>
      </c>
      <c r="V12" s="33">
        <f>SUMIF('Monthly Data'!$B:$B,T12,'Monthly Data'!AG:AG)</f>
        <v>515986.85</v>
      </c>
      <c r="W12" s="59">
        <f t="shared" ca="1" si="3"/>
        <v>1.9542951288175968E-3</v>
      </c>
      <c r="X12" s="59">
        <f t="shared" ca="1" si="15"/>
        <v>1.9826653141179883E-3</v>
      </c>
      <c r="Z12" s="119">
        <f t="shared" si="10"/>
        <v>2016</v>
      </c>
      <c r="AA12" s="33">
        <f>SUMIF('Monthly Data'!$B:$B,Z12,'Monthly Data'!AS:AS)</f>
        <v>44370766.850000001</v>
      </c>
      <c r="AB12" s="33">
        <f>SUMIF('Monthly Data'!$B:$B,Z12,'Monthly Data'!AT:AT)</f>
        <v>74821.62</v>
      </c>
      <c r="AC12" s="59">
        <f t="shared" si="4"/>
        <v>1.6862818768253944E-3</v>
      </c>
      <c r="AD12" s="59">
        <f t="shared" si="16"/>
        <v>1.7582366607492475E-3</v>
      </c>
      <c r="AF12" s="119">
        <f t="shared" si="11"/>
        <v>2016</v>
      </c>
      <c r="AG12" s="33">
        <f>SUMIF('Monthly Data'!$B:$B,AF12,'Monthly Data'!AX:AX)</f>
        <v>14655212.350000001</v>
      </c>
      <c r="AH12" s="33">
        <f>SUMIF('Monthly Data'!$B:$B,AF12,'Monthly Data'!AY:AY)</f>
        <v>43202.96</v>
      </c>
      <c r="AI12" s="59">
        <f t="shared" si="5"/>
        <v>2.9479586489922129E-3</v>
      </c>
      <c r="AJ12" s="59">
        <f t="shared" si="17"/>
        <v>2.8858931664175794E-3</v>
      </c>
      <c r="AL12" s="119">
        <f t="shared" si="19"/>
        <v>2016</v>
      </c>
      <c r="AM12" s="33">
        <f>SUMIF('Monthly Data'!$B:$B,AL12,'Monthly Data'!BC:BC)</f>
        <v>851684.9625372421</v>
      </c>
      <c r="AN12" s="33">
        <f>SUMIF('Monthly Data'!$B:$B,AL12,'Monthly Data'!BD:BD)</f>
        <v>2364.69</v>
      </c>
      <c r="AO12" s="59">
        <f t="shared" si="6"/>
        <v>2.7764843856763503E-3</v>
      </c>
      <c r="AP12" s="59">
        <f t="shared" si="18"/>
        <v>2.7767576785008956E-3</v>
      </c>
    </row>
    <row r="13" spans="1:42">
      <c r="B13" s="119">
        <v>2017</v>
      </c>
      <c r="C13" s="170">
        <f>SUMIF('Monthly Data'!$B:$B,B13,'Monthly Data'!K:K)</f>
        <v>935689535.96999991</v>
      </c>
      <c r="D13" s="170">
        <f>SUMIF('Monthly Data'!$B:$B,B13,'Monthly Data'!L:L)</f>
        <v>2393115.89</v>
      </c>
      <c r="E13" s="59">
        <f t="shared" si="0"/>
        <v>2.5575960807546405E-3</v>
      </c>
      <c r="F13" s="59">
        <f t="shared" si="12"/>
        <v>2.5574224598455403E-3</v>
      </c>
      <c r="H13" s="119">
        <f t="shared" si="7"/>
        <v>2017</v>
      </c>
      <c r="I13" s="33">
        <f>SUMIF('Monthly Data'!$B:$B,H13,'Monthly Data'!V:V)</f>
        <v>44136954.399999991</v>
      </c>
      <c r="J13" s="33">
        <f>SUMIF('Monthly Data'!$B:$B,H13,'Monthly Data'!W:W)</f>
        <v>133091.57999999999</v>
      </c>
      <c r="K13" s="59">
        <f t="shared" si="1"/>
        <v>3.0154228312590597E-3</v>
      </c>
      <c r="L13" s="59">
        <f t="shared" si="13"/>
        <v>2.956748514010489E-3</v>
      </c>
      <c r="N13" s="119">
        <f t="shared" si="8"/>
        <v>2017</v>
      </c>
      <c r="O13" s="33">
        <f>SUMIF('Monthly Data'!$B:$B,N13,'Monthly Data'!AA:AA)</f>
        <v>299472217.15999997</v>
      </c>
      <c r="P13" s="33">
        <f>SUMIF('Monthly Data'!$B:$B,N13,'Monthly Data'!AB:AB)</f>
        <v>548063.93000000005</v>
      </c>
      <c r="Q13" s="59">
        <f t="shared" si="2"/>
        <v>1.8300994168924331E-3</v>
      </c>
      <c r="R13" s="59">
        <f t="shared" si="14"/>
        <v>1.8330757514655484E-3</v>
      </c>
      <c r="S13" s="33"/>
      <c r="T13" s="119">
        <f t="shared" si="9"/>
        <v>2017</v>
      </c>
      <c r="U13" s="33">
        <f ca="1">SUMIF('Monthly Data'!$B:$B,T13,'Monthly Data'!AJ:AJ)-SUMIF('Monthly Data'!$B:$B,T13,'Monthly Data'!AI:AI)</f>
        <v>252589949.61000001</v>
      </c>
      <c r="V13" s="33">
        <f>SUMIF('Monthly Data'!$B:$B,T13,'Monthly Data'!AG:AG)</f>
        <v>495653.43</v>
      </c>
      <c r="W13" s="59">
        <f t="shared" ca="1" si="3"/>
        <v>1.9622848445288144E-3</v>
      </c>
      <c r="X13" s="59">
        <f t="shared" ca="1" si="15"/>
        <v>1.9799648732561153E-3</v>
      </c>
      <c r="Z13" s="119">
        <f t="shared" si="10"/>
        <v>2017</v>
      </c>
      <c r="AA13" s="33">
        <f>SUMIF('Monthly Data'!$B:$B,Z13,'Monthly Data'!AS:AS)</f>
        <v>42875821.289999999</v>
      </c>
      <c r="AB13" s="33">
        <f>SUMIF('Monthly Data'!$B:$B,Z13,'Monthly Data'!AT:AT)</f>
        <v>70873.779999999984</v>
      </c>
      <c r="AC13" s="59">
        <f t="shared" si="4"/>
        <v>1.6530011056961373E-3</v>
      </c>
      <c r="AD13" s="59">
        <f t="shared" si="16"/>
        <v>1.6981183033225246E-3</v>
      </c>
      <c r="AF13" s="119">
        <f t="shared" si="11"/>
        <v>2017</v>
      </c>
      <c r="AG13" s="33">
        <f>SUMIF('Monthly Data'!$B:$B,AF13,'Monthly Data'!AX:AX)</f>
        <v>6962744.2999999998</v>
      </c>
      <c r="AH13" s="33">
        <f>SUMIF('Monthly Data'!$B:$B,AF13,'Monthly Data'!AY:AY)</f>
        <v>19819.260000000002</v>
      </c>
      <c r="AI13" s="59">
        <f t="shared" si="5"/>
        <v>2.8464724749406641E-3</v>
      </c>
      <c r="AJ13" s="59">
        <f t="shared" si="17"/>
        <v>2.8859928906383053E-3</v>
      </c>
      <c r="AL13" s="119">
        <f t="shared" si="19"/>
        <v>2017</v>
      </c>
      <c r="AM13" s="33">
        <f>SUMIF('Monthly Data'!$B:$B,AL13,'Monthly Data'!BC:BC)</f>
        <v>795950.62000000011</v>
      </c>
      <c r="AN13" s="33">
        <f>SUMIF('Monthly Data'!$B:$B,AL13,'Monthly Data'!BD:BD)</f>
        <v>2229.64</v>
      </c>
      <c r="AO13" s="59">
        <f t="shared" si="6"/>
        <v>2.8012290511187734E-3</v>
      </c>
      <c r="AP13" s="59">
        <f t="shared" si="18"/>
        <v>2.7938278645533842E-3</v>
      </c>
    </row>
    <row r="14" spans="1:42">
      <c r="B14" s="119">
        <v>2018</v>
      </c>
      <c r="C14" s="170">
        <f>SUMIF('Monthly Data'!$B:$B,B14,'Monthly Data'!K:K)</f>
        <v>936712309.46510732</v>
      </c>
      <c r="D14" s="170">
        <f>SUMIF('Monthly Data'!$B:$B,B14,'Monthly Data'!L:L)</f>
        <v>2385326.37</v>
      </c>
      <c r="E14" s="59">
        <f t="shared" ref="E14" si="20">D14/C14</f>
        <v>2.5464876952050494E-3</v>
      </c>
      <c r="F14" s="59">
        <f t="shared" ref="F14" si="21">AVERAGE(E12:E14)</f>
        <v>2.552073608164996E-3</v>
      </c>
      <c r="H14" s="119">
        <f t="shared" si="7"/>
        <v>2018</v>
      </c>
      <c r="I14" s="33">
        <f>SUMIF('Monthly Data'!$B:$B,H14,'Monthly Data'!V:V)</f>
        <v>41120567.090000004</v>
      </c>
      <c r="J14" s="33">
        <f>SUMIF('Monthly Data'!$B:$B,H14,'Monthly Data'!W:W)</f>
        <v>128455.81999999999</v>
      </c>
      <c r="K14" s="59">
        <f t="shared" ref="K14" si="22">J14/I14</f>
        <v>3.1238825018840466E-3</v>
      </c>
      <c r="L14" s="59">
        <f t="shared" ref="L14" si="23">AVERAGE(K12:K14)</f>
        <v>3.0319009045274119E-3</v>
      </c>
      <c r="N14" s="119">
        <f t="shared" si="8"/>
        <v>2018</v>
      </c>
      <c r="O14" s="33">
        <f>SUMIF('Monthly Data'!$B:$B,N14,'Monthly Data'!AA:AA)</f>
        <v>311285837.94999999</v>
      </c>
      <c r="P14" s="33">
        <f>SUMIF('Monthly Data'!$B:$B,N14,'Monthly Data'!AB:AB)</f>
        <v>568092.82000000007</v>
      </c>
      <c r="Q14" s="59">
        <f t="shared" ref="Q14" si="24">P14/O14</f>
        <v>1.8249876825146458E-3</v>
      </c>
      <c r="R14" s="59">
        <f t="shared" ref="R14" si="25">AVERAGE(Q12:Q14)</f>
        <v>1.822402300201311E-3</v>
      </c>
      <c r="S14" s="33"/>
      <c r="T14" s="119">
        <f t="shared" si="9"/>
        <v>2018</v>
      </c>
      <c r="U14" s="33">
        <f ca="1">SUMIF('Monthly Data'!$B:$B,T14,'Monthly Data'!AJ:AJ)-SUMIF('Monthly Data'!$B:$B,T14,'Monthly Data'!AI:AI)</f>
        <v>254635666.92999998</v>
      </c>
      <c r="V14" s="33">
        <f>SUMIF('Monthly Data'!$B:$B,T14,'Monthly Data'!AG:AG)</f>
        <v>494552.82999999996</v>
      </c>
      <c r="W14" s="59">
        <f t="shared" ref="W14" ca="1" si="26">V14/U14</f>
        <v>1.942197791701953E-3</v>
      </c>
      <c r="X14" s="59">
        <f t="shared" ref="X14" ca="1" si="27">AVERAGE(W12:W14)</f>
        <v>1.9529259216827879E-3</v>
      </c>
      <c r="Z14" s="119">
        <f t="shared" si="10"/>
        <v>2018</v>
      </c>
      <c r="AA14" s="33">
        <f>SUMIF('Monthly Data'!$B:$B,Z14,'Monthly Data'!AS:AS)</f>
        <v>45402739.360000007</v>
      </c>
      <c r="AB14" s="33">
        <f>SUMIF('Monthly Data'!$B:$B,Z14,'Monthly Data'!AT:AT)</f>
        <v>73849.089999999982</v>
      </c>
      <c r="AC14" s="59">
        <f t="shared" ref="AC14" si="28">AB14/AA14</f>
        <v>1.6265337959995719E-3</v>
      </c>
      <c r="AD14" s="59">
        <f t="shared" ref="AD14" si="29">AVERAGE(AC12:AC14)</f>
        <v>1.6552722595070347E-3</v>
      </c>
      <c r="AF14" s="119">
        <f t="shared" si="11"/>
        <v>2018</v>
      </c>
      <c r="AG14" s="33">
        <f>SUMIF('Monthly Data'!$B:$B,AF14,'Monthly Data'!AX:AX)</f>
        <v>6467781.0800000001</v>
      </c>
      <c r="AH14" s="33">
        <f>SUMIF('Monthly Data'!$B:$B,AF14,'Monthly Data'!AY:AY)</f>
        <v>18707.3</v>
      </c>
      <c r="AI14" s="59">
        <f t="shared" ref="AI14" si="30">AH14/AG14</f>
        <v>2.8923829932722459E-3</v>
      </c>
      <c r="AJ14" s="59">
        <f t="shared" ref="AJ14" si="31">AVERAGE(AI12:AI14)</f>
        <v>2.8956047057350411E-3</v>
      </c>
      <c r="AL14" s="119">
        <f t="shared" si="19"/>
        <v>2018</v>
      </c>
      <c r="AM14" s="33">
        <f>SUMIF('Monthly Data'!$B:$B,AL14,'Monthly Data'!BC:BC)</f>
        <v>768231.72021026898</v>
      </c>
      <c r="AN14" s="33">
        <f>SUMIF('Monthly Data'!$B:$B,AL14,'Monthly Data'!BD:BD)</f>
        <v>2141.5699999999997</v>
      </c>
      <c r="AO14" s="59">
        <f t="shared" ref="AO14" si="32">AN14/AM14</f>
        <v>2.7876615136561153E-3</v>
      </c>
      <c r="AP14" s="59">
        <f t="shared" ref="AP14" si="33">AVERAGE(AO12:AO14)</f>
        <v>2.7884583168170801E-3</v>
      </c>
    </row>
    <row r="15" spans="1:42">
      <c r="C15" s="159"/>
      <c r="D15" s="159"/>
      <c r="E15" s="59"/>
      <c r="F15" s="59"/>
      <c r="S15" s="33"/>
      <c r="AA15" s="33"/>
      <c r="AB15" s="33"/>
      <c r="AH15" s="38"/>
      <c r="AN15" s="38"/>
    </row>
    <row r="16" spans="1:42">
      <c r="C16" s="119" t="s">
        <v>166</v>
      </c>
      <c r="D16" s="38" t="s">
        <v>167</v>
      </c>
      <c r="F16" s="119" t="s">
        <v>242</v>
      </c>
      <c r="I16" s="119" t="s">
        <v>166</v>
      </c>
      <c r="J16" s="38" t="s">
        <v>167</v>
      </c>
      <c r="L16" s="119" t="s">
        <v>242</v>
      </c>
      <c r="O16" s="119" t="s">
        <v>166</v>
      </c>
      <c r="P16" s="38" t="s">
        <v>167</v>
      </c>
      <c r="R16" s="119" t="s">
        <v>242</v>
      </c>
      <c r="U16" s="119" t="s">
        <v>166</v>
      </c>
      <c r="V16" s="38" t="s">
        <v>167</v>
      </c>
      <c r="X16" s="119" t="s">
        <v>242</v>
      </c>
      <c r="AA16" s="119" t="s">
        <v>166</v>
      </c>
      <c r="AB16" s="38" t="s">
        <v>167</v>
      </c>
      <c r="AD16" s="119" t="s">
        <v>242</v>
      </c>
      <c r="AG16" s="119" t="s">
        <v>166</v>
      </c>
      <c r="AH16" s="38" t="s">
        <v>167</v>
      </c>
      <c r="AJ16" s="119" t="s">
        <v>242</v>
      </c>
      <c r="AM16" s="119" t="s">
        <v>166</v>
      </c>
      <c r="AN16" s="38" t="s">
        <v>167</v>
      </c>
      <c r="AP16" s="119" t="s">
        <v>242</v>
      </c>
    </row>
    <row r="17" spans="1:42" s="153" customFormat="1">
      <c r="C17" s="153" t="s">
        <v>160</v>
      </c>
      <c r="D17" s="39" t="s">
        <v>169</v>
      </c>
      <c r="F17" s="153" t="s">
        <v>168</v>
      </c>
      <c r="I17" s="153" t="s">
        <v>160</v>
      </c>
      <c r="J17" s="39" t="s">
        <v>169</v>
      </c>
      <c r="L17" s="153" t="s">
        <v>168</v>
      </c>
      <c r="O17" s="153" t="s">
        <v>160</v>
      </c>
      <c r="P17" s="39" t="s">
        <v>169</v>
      </c>
      <c r="R17" s="153" t="s">
        <v>168</v>
      </c>
      <c r="U17" s="153" t="s">
        <v>160</v>
      </c>
      <c r="V17" s="39" t="s">
        <v>169</v>
      </c>
      <c r="X17" s="153" t="s">
        <v>168</v>
      </c>
      <c r="AA17" s="153" t="s">
        <v>160</v>
      </c>
      <c r="AB17" s="39" t="s">
        <v>169</v>
      </c>
      <c r="AD17" s="153" t="s">
        <v>168</v>
      </c>
      <c r="AG17" s="153" t="s">
        <v>160</v>
      </c>
      <c r="AH17" s="39" t="s">
        <v>169</v>
      </c>
      <c r="AJ17" s="153" t="s">
        <v>168</v>
      </c>
      <c r="AM17" s="153" t="s">
        <v>160</v>
      </c>
      <c r="AN17" s="39" t="s">
        <v>169</v>
      </c>
      <c r="AP17" s="153" t="s">
        <v>168</v>
      </c>
    </row>
    <row r="18" spans="1:42" s="28" customFormat="1">
      <c r="A18" s="119" t="s">
        <v>164</v>
      </c>
      <c r="B18" s="28">
        <v>2018</v>
      </c>
      <c r="C18" s="32">
        <f ca="1">'Normalized AS 20yr Trend'!AB14</f>
        <v>940412649.61066115</v>
      </c>
      <c r="D18" s="40">
        <f ca="1">F18*C18</f>
        <v>2389773.628634742</v>
      </c>
      <c r="E18" s="60"/>
      <c r="F18" s="60">
        <f>TREND(F$7:F$14,B$7:B$14,B18)</f>
        <v>2.5411968135734125E-3</v>
      </c>
      <c r="G18" s="119"/>
      <c r="H18" s="28">
        <v>2018</v>
      </c>
      <c r="I18" s="32">
        <f>'Normalized AS 20yr Trend'!AK14</f>
        <v>41780474.219101518</v>
      </c>
      <c r="J18" s="40">
        <f>L18*I18</f>
        <v>125659.06826071249</v>
      </c>
      <c r="K18" s="60"/>
      <c r="L18" s="60">
        <f>TREND(L$7:L$14,H$7:H$14,H18)</f>
        <v>3.0076027285315665E-3</v>
      </c>
      <c r="M18" s="119"/>
      <c r="N18" s="28">
        <v>2018</v>
      </c>
      <c r="O18" s="32">
        <f ca="1">'Normalized AS 20yr Trend'!AV14</f>
        <v>316039457.78174853</v>
      </c>
      <c r="P18" s="40">
        <f ca="1">R18*O18</f>
        <v>572240.37351619196</v>
      </c>
      <c r="Q18" s="60"/>
      <c r="R18" s="60">
        <f>TREND(R$7:R$14,N$7:N$14,N18)</f>
        <v>1.8106611672247946E-3</v>
      </c>
      <c r="S18" s="33"/>
      <c r="T18" s="28">
        <v>2018</v>
      </c>
      <c r="U18" s="32">
        <f ca="1">'Normalized AS 20yr Trend'!BE14</f>
        <v>247229919.21188268</v>
      </c>
      <c r="V18" s="40">
        <f ca="1">X18*U18</f>
        <v>482911.95277676091</v>
      </c>
      <c r="W18" s="60"/>
      <c r="X18" s="60">
        <f ca="1">TREND(X$9:X$14,T$9:T$14,T18)</f>
        <v>1.9532909055513317E-3</v>
      </c>
      <c r="Y18" s="119"/>
      <c r="Z18" s="28">
        <v>2018</v>
      </c>
      <c r="AA18" s="32">
        <f ca="1">'Normalized AS 20yr Trend'!BN14</f>
        <v>42614630.228730358</v>
      </c>
      <c r="AB18" s="40">
        <f ca="1">AD18*AA18</f>
        <v>71291.424739795912</v>
      </c>
      <c r="AC18" s="60"/>
      <c r="AD18" s="60">
        <f>TREND(AD$9:AD$14,Z$9:Z$14,Z18)</f>
        <v>1.6729330832426642E-3</v>
      </c>
      <c r="AF18" s="28">
        <v>2018</v>
      </c>
      <c r="AG18" s="32">
        <f>'Normalized AS 20yr Trend'!BT14</f>
        <v>6467781.0800000001</v>
      </c>
      <c r="AH18" s="40">
        <f>AG18*AJ18</f>
        <v>18728.137330912068</v>
      </c>
      <c r="AI18" s="60"/>
      <c r="AJ18" s="60">
        <f>AJ14</f>
        <v>2.8956047057350411E-3</v>
      </c>
      <c r="AL18" s="28">
        <v>2018</v>
      </c>
      <c r="AM18" s="32">
        <f>'Normalized AS 20yr Trend'!BZ14</f>
        <v>768231.72021026898</v>
      </c>
      <c r="AN18" s="40">
        <f>AM18*AP18</f>
        <v>2142.1821294630167</v>
      </c>
      <c r="AO18" s="60"/>
      <c r="AP18" s="60">
        <f>AP14</f>
        <v>2.7884583168170801E-3</v>
      </c>
    </row>
    <row r="19" spans="1:42">
      <c r="A19" s="119" t="s">
        <v>77</v>
      </c>
      <c r="B19" s="28">
        <v>2019</v>
      </c>
      <c r="C19" s="32">
        <f ca="1">'Normalized AS 20yr Trend'!AB15</f>
        <v>949626914.26168716</v>
      </c>
      <c r="D19" s="40">
        <f ca="1">F19*C19</f>
        <v>2406038.869334179</v>
      </c>
      <c r="E19" s="60"/>
      <c r="F19" s="60">
        <f>TREND(F$7:F$14,B$7:B$14,B19)</f>
        <v>2.5336675205807728E-3</v>
      </c>
      <c r="H19" s="28">
        <v>2019</v>
      </c>
      <c r="I19" s="32">
        <f>'Normalized AS 20yr Trend'!AK15</f>
        <v>40952569.952869326</v>
      </c>
      <c r="J19" s="40">
        <f>L19*I19</f>
        <v>125341.49553965482</v>
      </c>
      <c r="K19" s="60"/>
      <c r="L19" s="60">
        <f t="shared" ref="L19:L20" si="34">TREND(L$7:L$14,H$7:H$14,H19)</f>
        <v>3.0606503006747887E-3</v>
      </c>
      <c r="N19" s="28">
        <v>2019</v>
      </c>
      <c r="O19" s="32">
        <f ca="1">'Normalized AS 20yr Trend'!AV15</f>
        <v>323334610.03806812</v>
      </c>
      <c r="P19" s="40">
        <f ca="1">R19*O19</f>
        <v>580326.78816149454</v>
      </c>
      <c r="Q19" s="60"/>
      <c r="R19" s="60">
        <f t="shared" ref="R19:R20" si="35">TREND(R$7:R$14,N$7:N$14,N19)</f>
        <v>1.7948180310581943E-3</v>
      </c>
      <c r="S19" s="33"/>
      <c r="T19" s="28">
        <v>2019</v>
      </c>
      <c r="U19" s="32">
        <f ca="1">'Normalized AS 20yr Trend'!BE15</f>
        <v>247510575.07095045</v>
      </c>
      <c r="V19" s="40">
        <f ca="1">X19*U19</f>
        <v>479330.73547286744</v>
      </c>
      <c r="W19" s="60"/>
      <c r="X19" s="60">
        <f t="shared" ref="X19:X20" ca="1" si="36">TREND(X$9:X$14,T$9:T$14,T19)</f>
        <v>1.9366070937997873E-3</v>
      </c>
      <c r="Z19" s="28">
        <v>2019</v>
      </c>
      <c r="AA19" s="32">
        <f ca="1">'Normalized AS 20yr Trend'!BN15</f>
        <v>41823467.181049272</v>
      </c>
      <c r="AB19" s="40">
        <f ca="1">AD19*AA19</f>
        <v>68647.95674198847</v>
      </c>
      <c r="AC19" s="60"/>
      <c r="AD19" s="60">
        <f t="shared" ref="AD19:AD20" si="37">TREND(AD$9:AD$14,Z$9:Z$14,Z19)</f>
        <v>1.6413741224470674E-3</v>
      </c>
      <c r="AE19" s="28"/>
      <c r="AF19" s="28">
        <v>2019</v>
      </c>
      <c r="AG19" s="32">
        <f>'Normalized AS 20yr Trend'!BT15</f>
        <v>6475784.8006475894</v>
      </c>
      <c r="AH19" s="40">
        <f>AG19*AJ19</f>
        <v>18751.312942082615</v>
      </c>
      <c r="AI19" s="60"/>
      <c r="AJ19" s="60">
        <f>AJ18</f>
        <v>2.8956047057350411E-3</v>
      </c>
      <c r="AK19" s="28"/>
      <c r="AL19" s="28">
        <v>2019</v>
      </c>
      <c r="AM19" s="32">
        <f>'Normalized AS 20yr Trend'!BZ15</f>
        <v>749098.84812005772</v>
      </c>
      <c r="AN19" s="40">
        <f>AM19*AP19</f>
        <v>2088.8309131584697</v>
      </c>
      <c r="AO19" s="60"/>
      <c r="AP19" s="60">
        <f>AP18</f>
        <v>2.7884583168170801E-3</v>
      </c>
    </row>
    <row r="20" spans="1:42">
      <c r="B20" s="28">
        <v>2020</v>
      </c>
      <c r="C20" s="32">
        <f ca="1">'Normalized AS 20yr Trend'!AB16</f>
        <v>959723692.78575659</v>
      </c>
      <c r="D20" s="40">
        <f ca="1">F20*C20</f>
        <v>2424394.7082681507</v>
      </c>
      <c r="E20" s="60"/>
      <c r="F20" s="60">
        <f>TREND(F$7:F$14,B$7:B$14,B20)</f>
        <v>2.5261382275881348E-3</v>
      </c>
      <c r="H20" s="28">
        <v>2020</v>
      </c>
      <c r="I20" s="32">
        <f>'Normalized AS 20yr Trend'!AK16</f>
        <v>40126967.285152338</v>
      </c>
      <c r="J20" s="40">
        <f>L20*I20</f>
        <v>124943.25267841676</v>
      </c>
      <c r="K20" s="60"/>
      <c r="L20" s="60">
        <f t="shared" si="34"/>
        <v>3.1136978728180109E-3</v>
      </c>
      <c r="N20" s="28">
        <v>2020</v>
      </c>
      <c r="O20" s="32">
        <f ca="1">'Normalized AS 20yr Trend'!AV16</f>
        <v>266605308.85676232</v>
      </c>
      <c r="P20" s="40">
        <f ca="1">R20*O20</f>
        <v>474284.15130100155</v>
      </c>
      <c r="Q20" s="60"/>
      <c r="R20" s="60">
        <f t="shared" si="35"/>
        <v>1.7789748948916009E-3</v>
      </c>
      <c r="S20" s="33"/>
      <c r="T20" s="28">
        <v>2020</v>
      </c>
      <c r="U20" s="32">
        <f ca="1">'Normalized AS 20yr Trend'!BE16</f>
        <v>247863250.41215098</v>
      </c>
      <c r="V20" s="40">
        <f ca="1">X20*U20</f>
        <v>475878.42523044068</v>
      </c>
      <c r="W20" s="60"/>
      <c r="X20" s="60">
        <f t="shared" ca="1" si="36"/>
        <v>1.9199232820482359E-3</v>
      </c>
      <c r="Z20" s="28">
        <v>2020</v>
      </c>
      <c r="AA20" s="32">
        <f ca="1">'Normalized AS 20yr Trend'!BN16</f>
        <v>41037435.528337985</v>
      </c>
      <c r="AB20" s="40">
        <f ca="1">AD20*AA20</f>
        <v>66062.685908813786</v>
      </c>
      <c r="AC20" s="60"/>
      <c r="AD20" s="60">
        <f t="shared" si="37"/>
        <v>1.6098151616514844E-3</v>
      </c>
      <c r="AE20" s="28"/>
      <c r="AF20" s="28">
        <v>2020</v>
      </c>
      <c r="AG20" s="32">
        <f>'Normalized AS 20yr Trend'!BT16</f>
        <v>6483798.4257034156</v>
      </c>
      <c r="AH20" s="40">
        <f>AG20*AJ20</f>
        <v>18774.517232504262</v>
      </c>
      <c r="AI20" s="60"/>
      <c r="AJ20" s="60">
        <f>AJ19</f>
        <v>2.8956047057350411E-3</v>
      </c>
      <c r="AK20" s="28"/>
      <c r="AL20" s="28">
        <v>2020</v>
      </c>
      <c r="AM20" s="32">
        <f>'Normalized AS 20yr Trend'!BZ16</f>
        <v>730442.48173091304</v>
      </c>
      <c r="AN20" s="40">
        <f>AM20*AP20</f>
        <v>2036.8084131390726</v>
      </c>
      <c r="AO20" s="60"/>
      <c r="AP20" s="60">
        <f>AP19</f>
        <v>2.7884583168170801E-3</v>
      </c>
    </row>
    <row r="21" spans="1:42">
      <c r="C21" s="33"/>
      <c r="D21" s="33"/>
      <c r="S21" s="33"/>
      <c r="AM21" s="156"/>
      <c r="AN21" s="156"/>
    </row>
    <row r="22" spans="1:42">
      <c r="A22" s="36" t="s">
        <v>244</v>
      </c>
      <c r="B22" s="119">
        <f>B18</f>
        <v>2018</v>
      </c>
      <c r="C22" s="33">
        <f ca="1">'Normalized AS 20yr Trend'!AB14</f>
        <v>940412649.61066115</v>
      </c>
      <c r="D22" s="172">
        <f ca="1">D18-D$36</f>
        <v>2389773.628634742</v>
      </c>
      <c r="H22" s="119">
        <f>H18</f>
        <v>2018</v>
      </c>
      <c r="I22" s="33">
        <f>'Normalized AS 20yr Trend'!AK14</f>
        <v>41780474.219101518</v>
      </c>
      <c r="J22" s="172">
        <f>J18-J$36</f>
        <v>125659.06826071249</v>
      </c>
      <c r="N22" s="119">
        <f>N18</f>
        <v>2018</v>
      </c>
      <c r="O22" s="33">
        <f ca="1">'Normalized AS 20yr Trend'!AV14</f>
        <v>316039457.78174853</v>
      </c>
      <c r="P22" s="172">
        <f ca="1">P18-P$36</f>
        <v>572240.37351619196</v>
      </c>
      <c r="S22" s="33"/>
      <c r="T22" s="119">
        <f>T18</f>
        <v>2018</v>
      </c>
      <c r="U22" s="33">
        <f ca="1">'Normalized AS 20yr Trend'!BE14</f>
        <v>247229919.21188268</v>
      </c>
      <c r="V22" s="172">
        <f ca="1">V18-V$36</f>
        <v>482911.95277676091</v>
      </c>
      <c r="Z22" s="119">
        <f>Z18</f>
        <v>2018</v>
      </c>
      <c r="AA22" s="33">
        <f ca="1">'Normalized AS 20yr Trend'!BN14</f>
        <v>42614630.228730358</v>
      </c>
      <c r="AB22" s="172">
        <f ca="1">AB18-AB$36</f>
        <v>71291.424739795912</v>
      </c>
      <c r="AF22" s="119">
        <f t="shared" ref="AF22:AH24" si="38">AF18</f>
        <v>2018</v>
      </c>
      <c r="AG22" s="156">
        <f t="shared" si="38"/>
        <v>6467781.0800000001</v>
      </c>
      <c r="AH22" s="173">
        <f t="shared" si="38"/>
        <v>18728.137330912068</v>
      </c>
      <c r="AL22" s="119">
        <f t="shared" ref="AL22:AN24" si="39">AL18</f>
        <v>2018</v>
      </c>
      <c r="AM22" s="156">
        <f t="shared" si="39"/>
        <v>768231.72021026898</v>
      </c>
      <c r="AN22" s="173">
        <f t="shared" si="39"/>
        <v>2142.1821294630167</v>
      </c>
    </row>
    <row r="23" spans="1:42">
      <c r="A23" s="119" t="s">
        <v>239</v>
      </c>
      <c r="B23" s="119">
        <f>B19</f>
        <v>2019</v>
      </c>
      <c r="C23" s="33">
        <f ca="1">'Normalized AS 20yr Trend'!AB15</f>
        <v>949626914.26168716</v>
      </c>
      <c r="D23" s="172">
        <f ca="1">D19-D$36</f>
        <v>2406038.869334179</v>
      </c>
      <c r="H23" s="119">
        <f>H19</f>
        <v>2019</v>
      </c>
      <c r="I23" s="33">
        <f>'Normalized AS 20yr Trend'!AK15</f>
        <v>40952569.952869326</v>
      </c>
      <c r="J23" s="172">
        <f>J19-J$36</f>
        <v>125341.49553965482</v>
      </c>
      <c r="N23" s="119">
        <f>N19</f>
        <v>2019</v>
      </c>
      <c r="O23" s="33">
        <f ca="1">'Normalized AS 20yr Trend'!AV15</f>
        <v>323334610.03806812</v>
      </c>
      <c r="P23" s="172">
        <f ca="1">P19-P$36</f>
        <v>580326.78816149454</v>
      </c>
      <c r="S23" s="33"/>
      <c r="T23" s="119">
        <f>T19</f>
        <v>2019</v>
      </c>
      <c r="U23" s="33">
        <f ca="1">'Normalized AS 20yr Trend'!BE15</f>
        <v>247510575.07095045</v>
      </c>
      <c r="V23" s="172">
        <f ca="1">V19-V$36</f>
        <v>479330.73547286744</v>
      </c>
      <c r="Z23" s="119">
        <f>Z19</f>
        <v>2019</v>
      </c>
      <c r="AA23" s="33">
        <f ca="1">'Normalized AS 20yr Trend'!BN15</f>
        <v>41823467.181049272</v>
      </c>
      <c r="AB23" s="172">
        <f ca="1">AB19-AB$36</f>
        <v>68647.95674198847</v>
      </c>
      <c r="AF23" s="119">
        <f t="shared" si="38"/>
        <v>2019</v>
      </c>
      <c r="AG23" s="156">
        <f t="shared" si="38"/>
        <v>6475784.8006475894</v>
      </c>
      <c r="AH23" s="173">
        <f t="shared" si="38"/>
        <v>18751.312942082615</v>
      </c>
      <c r="AL23" s="119">
        <f t="shared" si="39"/>
        <v>2019</v>
      </c>
      <c r="AM23" s="156">
        <f t="shared" si="39"/>
        <v>749098.84812005772</v>
      </c>
      <c r="AN23" s="173">
        <f t="shared" si="39"/>
        <v>2088.8309131584697</v>
      </c>
    </row>
    <row r="24" spans="1:42">
      <c r="A24" s="119" t="s">
        <v>240</v>
      </c>
      <c r="B24" s="119">
        <f>B20</f>
        <v>2020</v>
      </c>
      <c r="C24" s="33">
        <f ca="1">'Normalized AS 20yr Trend'!AB16</f>
        <v>959723692.78575659</v>
      </c>
      <c r="D24" s="172">
        <f ca="1">D20-D$36</f>
        <v>2424394.7082681507</v>
      </c>
      <c r="H24" s="119">
        <f>H20</f>
        <v>2020</v>
      </c>
      <c r="I24" s="33">
        <f>'Normalized AS 20yr Trend'!AK16</f>
        <v>40126967.285152338</v>
      </c>
      <c r="J24" s="172">
        <f>J20-J$36</f>
        <v>124943.25267841676</v>
      </c>
      <c r="N24" s="119">
        <f>N20</f>
        <v>2020</v>
      </c>
      <c r="O24" s="33">
        <f ca="1">'Normalized AS 20yr Trend'!AV16</f>
        <v>266605308.85676232</v>
      </c>
      <c r="P24" s="172">
        <f ca="1">P20-P$36</f>
        <v>474284.15130100155</v>
      </c>
      <c r="S24" s="33"/>
      <c r="T24" s="119">
        <f>T20</f>
        <v>2020</v>
      </c>
      <c r="U24" s="33">
        <f ca="1">'Normalized AS 20yr Trend'!BE16</f>
        <v>247863250.41215098</v>
      </c>
      <c r="V24" s="172">
        <f ca="1">V20-V$36</f>
        <v>475878.42523044068</v>
      </c>
      <c r="Z24" s="119">
        <f>Z20</f>
        <v>2020</v>
      </c>
      <c r="AA24" s="33">
        <f ca="1">'Normalized AS 20yr Trend'!BN16</f>
        <v>41037435.528337985</v>
      </c>
      <c r="AB24" s="172">
        <f ca="1">AB20-AB$36</f>
        <v>66062.685908813786</v>
      </c>
      <c r="AF24" s="119">
        <f t="shared" si="38"/>
        <v>2020</v>
      </c>
      <c r="AG24" s="156">
        <f t="shared" si="38"/>
        <v>6483798.4257034156</v>
      </c>
      <c r="AH24" s="173">
        <f t="shared" si="38"/>
        <v>18774.517232504262</v>
      </c>
      <c r="AL24" s="119">
        <f t="shared" si="39"/>
        <v>2020</v>
      </c>
      <c r="AM24" s="156">
        <f t="shared" si="39"/>
        <v>730442.48173091304</v>
      </c>
      <c r="AN24" s="173">
        <f t="shared" si="39"/>
        <v>2036.8084131390726</v>
      </c>
    </row>
    <row r="25" spans="1:42">
      <c r="C25" s="33"/>
      <c r="D25" s="33"/>
      <c r="P25" s="160"/>
      <c r="S25" s="33"/>
      <c r="T25" s="33"/>
      <c r="AG25" s="33"/>
      <c r="AM25" s="156"/>
      <c r="AN25" s="156"/>
    </row>
    <row r="26" spans="1:42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G26" s="33"/>
    </row>
    <row r="27" spans="1:42">
      <c r="D27" s="38"/>
      <c r="E27" s="59"/>
      <c r="F27" s="59"/>
      <c r="J27" s="38"/>
      <c r="K27" s="59"/>
      <c r="L27" s="59"/>
      <c r="P27" s="38"/>
    </row>
    <row r="28" spans="1:42">
      <c r="C28" s="33"/>
      <c r="D28" s="12"/>
      <c r="E28" s="59"/>
      <c r="I28" s="33"/>
      <c r="O28" s="33"/>
      <c r="U28" s="33"/>
      <c r="AA28" s="33"/>
    </row>
    <row r="29" spans="1:42">
      <c r="C29" s="33"/>
      <c r="D29" s="12"/>
      <c r="E29" s="59"/>
      <c r="I29" s="33"/>
      <c r="O29" s="33"/>
      <c r="U29" s="33"/>
      <c r="AA29" s="33"/>
    </row>
    <row r="30" spans="1:42">
      <c r="C30" s="33"/>
      <c r="D30" s="12"/>
      <c r="E30" s="59"/>
      <c r="I30" s="33"/>
      <c r="O30" s="33"/>
      <c r="U30" s="33"/>
      <c r="AA30" s="33"/>
    </row>
    <row r="31" spans="1:42">
      <c r="C31" s="33"/>
      <c r="D31" s="12"/>
      <c r="E31" s="59"/>
      <c r="I31" s="33"/>
      <c r="O31" s="33"/>
      <c r="U31" s="33"/>
      <c r="AA31" s="33"/>
    </row>
    <row r="32" spans="1:42">
      <c r="C32" s="33"/>
      <c r="D32" s="12"/>
      <c r="E32" s="59"/>
      <c r="I32" s="33"/>
      <c r="O32" s="33"/>
      <c r="U32" s="33"/>
      <c r="AA32" s="33"/>
    </row>
    <row r="33" spans="3:27">
      <c r="C33" s="33"/>
      <c r="D33" s="12"/>
      <c r="E33" s="59"/>
      <c r="I33" s="33"/>
      <c r="O33" s="33"/>
      <c r="U33" s="33"/>
      <c r="AA33" s="33"/>
    </row>
    <row r="34" spans="3:27">
      <c r="C34" s="33"/>
      <c r="D34" s="12"/>
      <c r="E34" s="59"/>
      <c r="I34" s="33"/>
      <c r="O34" s="33"/>
      <c r="U34" s="33"/>
      <c r="AA34" s="33"/>
    </row>
    <row r="35" spans="3:27">
      <c r="C35" s="33"/>
      <c r="D35" s="12"/>
      <c r="E35" s="59"/>
      <c r="I35" s="33"/>
      <c r="O35" s="33"/>
      <c r="U35" s="33"/>
      <c r="AA35" s="33"/>
    </row>
    <row r="36" spans="3:27">
      <c r="C36" s="33"/>
      <c r="D36" s="12"/>
      <c r="E36" s="59"/>
      <c r="I36" s="33"/>
      <c r="O36" s="33"/>
      <c r="U36" s="33"/>
      <c r="AA36" s="33"/>
    </row>
    <row r="37" spans="3:27">
      <c r="C37" s="33"/>
      <c r="D37" s="12"/>
      <c r="E37" s="59"/>
      <c r="I37" s="33"/>
      <c r="O37" s="33"/>
      <c r="U37" s="33"/>
      <c r="AA37" s="33"/>
    </row>
  </sheetData>
  <mergeCells count="7">
    <mergeCell ref="AL2:AP2"/>
    <mergeCell ref="B2:F2"/>
    <mergeCell ref="H2:L2"/>
    <mergeCell ref="N2:R2"/>
    <mergeCell ref="T2:X2"/>
    <mergeCell ref="Z2:AD2"/>
    <mergeCell ref="AF2:AJ2"/>
  </mergeCells>
  <pageMargins left="0.7" right="0.7" top="0.75" bottom="0.75" header="0.3" footer="0.3"/>
  <pageSetup paperSize="9"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96FC-BBB4-4B73-A3A6-F9174A8EFAFD}">
  <dimension ref="B1:W63"/>
  <sheetViews>
    <sheetView workbookViewId="0">
      <selection activeCell="R39" sqref="R39"/>
    </sheetView>
  </sheetViews>
  <sheetFormatPr defaultColWidth="9.1640625" defaultRowHeight="12.75"/>
  <cols>
    <col min="1" max="1" width="3" style="42" customWidth="1"/>
    <col min="2" max="2" width="25.5" style="42" bestFit="1" customWidth="1"/>
    <col min="3" max="3" width="15.6640625" style="42" bestFit="1" customWidth="1"/>
    <col min="4" max="8" width="15" style="42" bestFit="1" customWidth="1"/>
    <col min="9" max="12" width="15.6640625" style="42" bestFit="1" customWidth="1"/>
    <col min="13" max="13" width="9.1640625" style="42"/>
    <col min="14" max="14" width="13" style="42" customWidth="1"/>
    <col min="15" max="16384" width="9.1640625" style="42"/>
  </cols>
  <sheetData>
    <row r="1" spans="2:14" ht="16.5" thickBot="1">
      <c r="B1" s="41" t="s">
        <v>156</v>
      </c>
    </row>
    <row r="2" spans="2:14">
      <c r="B2" s="115" t="s">
        <v>174</v>
      </c>
      <c r="C2" s="114" t="s">
        <v>175</v>
      </c>
      <c r="D2" s="114" t="s">
        <v>176</v>
      </c>
      <c r="E2" s="114" t="s">
        <v>177</v>
      </c>
      <c r="F2" s="114" t="s">
        <v>178</v>
      </c>
      <c r="G2" s="114" t="s">
        <v>179</v>
      </c>
      <c r="H2" s="114" t="s">
        <v>200</v>
      </c>
      <c r="I2" s="114" t="s">
        <v>254</v>
      </c>
      <c r="J2" s="114" t="s">
        <v>255</v>
      </c>
      <c r="K2" s="114" t="s">
        <v>191</v>
      </c>
      <c r="L2" s="113" t="s">
        <v>201</v>
      </c>
    </row>
    <row r="3" spans="2:14">
      <c r="B3" s="45" t="s">
        <v>136</v>
      </c>
      <c r="C3" s="112">
        <f ca="1">OFFSET('Normalized AS 20yr Trend'!$C$8,COLUMN(F3)-COLUMN($F3),0)</f>
        <v>631309635.844643</v>
      </c>
      <c r="D3" s="112">
        <f ca="1">OFFSET('Normalized AS 20yr Trend'!$C$8,COLUMN(G3)-COLUMN($F3),0)</f>
        <v>617011740.79367626</v>
      </c>
      <c r="E3" s="112">
        <f ca="1">OFFSET('Normalized AS 20yr Trend'!$C$8,COLUMN(H3)-COLUMN($F3),0)</f>
        <v>598157531.45016491</v>
      </c>
      <c r="F3" s="112">
        <f ca="1">OFFSET('Normalized AS 20yr Trend'!$C$8,COLUMN(I3)-COLUMN($F3),0)</f>
        <v>593984431.47600019</v>
      </c>
      <c r="G3" s="112">
        <f ca="1">OFFSET('Normalized AS 20yr Trend'!$C$8,COLUMN(J3)-COLUMN($F3),0)</f>
        <v>619568737.68663192</v>
      </c>
      <c r="H3" s="112">
        <f ca="1">OFFSET('Normalized AS 20yr Trend'!$C$8,COLUMN(K3)-COLUMN($F3),0)</f>
        <v>583858255.14999998</v>
      </c>
      <c r="I3" s="112">
        <f ca="1">OFFSET('Normalized AS 20yr Trend'!$C$8,COLUMN(L3)-COLUMN($F3),0)</f>
        <v>636798570.50953054</v>
      </c>
      <c r="J3" s="112">
        <f ca="1">OFFSET('Normalized AS 20yr Trend'!$I$12,COLUMN(J3)-COLUMN($H3),0)</f>
        <v>598511833.90671384</v>
      </c>
      <c r="K3" s="112">
        <f ca="1">OFFSET('Normalized AS 20yr Trend'!$I$12,COLUMN(K3)-COLUMN($H3),0)</f>
        <v>596750735.70471358</v>
      </c>
      <c r="L3" s="111">
        <f ca="1">OFFSET('Normalized AS 20yr Trend'!$I$12,COLUMN(L3)-COLUMN($H3),0)</f>
        <v>597883405.66430283</v>
      </c>
      <c r="N3" s="65"/>
    </row>
    <row r="4" spans="2:14">
      <c r="B4" s="110" t="s">
        <v>138</v>
      </c>
      <c r="C4" s="112">
        <f ca="1">OFFSET('Normalized AS 20yr Trend'!$L$8,COLUMN(F4)-COLUMN($F4),0)</f>
        <v>216236228.69367602</v>
      </c>
      <c r="D4" s="112">
        <f ca="1">OFFSET('Normalized AS 20yr Trend'!$L$8,COLUMN(G4)-COLUMN($F4),0)</f>
        <v>217023476.48367095</v>
      </c>
      <c r="E4" s="112">
        <f ca="1">OFFSET('Normalized AS 20yr Trend'!$L$8,COLUMN(H4)-COLUMN($F4),0)</f>
        <v>212401261.73789737</v>
      </c>
      <c r="F4" s="112">
        <f ca="1">OFFSET('Normalized AS 20yr Trend'!$L$8,COLUMN(I4)-COLUMN($F4),0)</f>
        <v>207733154.94022256</v>
      </c>
      <c r="G4" s="112">
        <f ca="1">OFFSET('Normalized AS 20yr Trend'!$L$8,COLUMN(J4)-COLUMN($F4),0)</f>
        <v>208239182.30018815</v>
      </c>
      <c r="H4" s="112">
        <f ca="1">OFFSET('Normalized AS 20yr Trend'!$L$8,COLUMN(K4)-COLUMN($F4),0)</f>
        <v>199190042.63999999</v>
      </c>
      <c r="I4" s="112">
        <f ca="1">OFFSET('Normalized AS 20yr Trend'!$L$8,COLUMN(L4)-COLUMN($F4),0)</f>
        <v>203075206.32419604</v>
      </c>
      <c r="J4" s="112">
        <f ca="1">OFFSET('Normalized AS 20yr Trend'!$R$12,COLUMN(J4)-COLUMN($H4),0)</f>
        <v>204937445.39905438</v>
      </c>
      <c r="K4" s="112">
        <f ca="1">OFFSET('Normalized AS 20yr Trend'!$R$12,COLUMN(K4)-COLUMN($H4),0)</f>
        <v>204461330.93174553</v>
      </c>
      <c r="L4" s="111">
        <f ca="1">OFFSET('Normalized AS 20yr Trend'!$R$12,COLUMN(L4)-COLUMN($H4),0)</f>
        <v>203201883.81077006</v>
      </c>
      <c r="N4" s="65"/>
    </row>
    <row r="5" spans="2:14">
      <c r="B5" s="110" t="s">
        <v>139</v>
      </c>
      <c r="C5" s="112">
        <f ca="1">OFFSET('Normalized AS 20yr Trend'!$U$8,COLUMN(F5)-COLUMN($F5),0)</f>
        <v>941638530.06494999</v>
      </c>
      <c r="D5" s="112">
        <f ca="1">OFFSET('Normalized AS 20yr Trend'!$U$8,COLUMN(G5)-COLUMN($F5),0)</f>
        <v>948224332.78106129</v>
      </c>
      <c r="E5" s="112">
        <f ca="1">OFFSET('Normalized AS 20yr Trend'!$U$8,COLUMN(H5)-COLUMN($F5),0)</f>
        <v>970184488.09365582</v>
      </c>
      <c r="F5" s="112">
        <f ca="1">OFFSET('Normalized AS 20yr Trend'!$U$8,COLUMN(I5)-COLUMN($F5),0)</f>
        <v>941653981.70491183</v>
      </c>
      <c r="G5" s="112">
        <f ca="1">OFFSET('Normalized AS 20yr Trend'!$U$8,COLUMN(J5)-COLUMN($F5),0)</f>
        <v>954879860.93795967</v>
      </c>
      <c r="H5" s="112">
        <f ca="1">OFFSET('Normalized AS 20yr Trend'!$U$8,COLUMN(K5)-COLUMN($F5),0)</f>
        <v>935689535.96999991</v>
      </c>
      <c r="I5" s="112">
        <f ca="1">OFFSET('Normalized AS 20yr Trend'!$U$8,COLUMN(L5)-COLUMN($F5),0)</f>
        <v>936712309.46510732</v>
      </c>
      <c r="J5" s="112">
        <f ca="1">OFFSET('Normalized AS 20yr Trend'!$AB$12,COLUMN(J5)-COLUMN($H5),0)</f>
        <v>940412649.61066115</v>
      </c>
      <c r="K5" s="112">
        <f ca="1">OFFSET('Normalized AS 20yr Trend'!$AB$12,COLUMN(K5)-COLUMN($H5),0)</f>
        <v>949626914.26168716</v>
      </c>
      <c r="L5" s="111">
        <f ca="1">OFFSET('Normalized AS 20yr Trend'!$AB$12,COLUMN(L5)-COLUMN($H5),0)</f>
        <v>959723692.78575659</v>
      </c>
      <c r="N5" s="65"/>
    </row>
    <row r="6" spans="2:14">
      <c r="B6" s="110" t="s">
        <v>140</v>
      </c>
      <c r="C6" s="112">
        <f ca="1">OFFSET('Normalized AS 20yr Trend'!$AE$8,COLUMN(F6)-COLUMN($F6),0)</f>
        <v>45768539.737902999</v>
      </c>
      <c r="D6" s="112">
        <f ca="1">OFFSET('Normalized AS 20yr Trend'!$AE$8,COLUMN(G6)-COLUMN($F6),0)</f>
        <v>45666584.426196001</v>
      </c>
      <c r="E6" s="112">
        <f ca="1">OFFSET('Normalized AS 20yr Trend'!$AE$8,COLUMN(H6)-COLUMN($F6),0)</f>
        <v>47519841.509630993</v>
      </c>
      <c r="F6" s="112">
        <f ca="1">OFFSET('Normalized AS 20yr Trend'!$AE$8,COLUMN(I6)-COLUMN($F6),0)</f>
        <v>44363940.879999988</v>
      </c>
      <c r="G6" s="112">
        <f ca="1">OFFSET('Normalized AS 20yr Trend'!$AE$8,COLUMN(J6)-COLUMN($F6),0)</f>
        <v>44045563.989999995</v>
      </c>
      <c r="H6" s="112">
        <f ca="1">OFFSET('Normalized AS 20yr Trend'!$AE$8,COLUMN(K6)-COLUMN($F6),0)</f>
        <v>44136954.399999991</v>
      </c>
      <c r="I6" s="112">
        <f ca="1">OFFSET('Normalized AS 20yr Trend'!$AE$8,COLUMN(L6)-COLUMN($F6),0)</f>
        <v>41120567.090000004</v>
      </c>
      <c r="J6" s="112">
        <f ca="1">OFFSET('Normalized AS 20yr Trend'!$AK$12,COLUMN(J6)-COLUMN($H6),0)</f>
        <v>41780474.219101518</v>
      </c>
      <c r="K6" s="112">
        <f ca="1">OFFSET('Normalized AS 20yr Trend'!$AK$12,COLUMN(K6)-COLUMN($H6),0)</f>
        <v>40952569.952869326</v>
      </c>
      <c r="L6" s="111">
        <f ca="1">OFFSET('Normalized AS 20yr Trend'!$AK$12,COLUMN(L6)-COLUMN($H6),0)</f>
        <v>40126967.285152338</v>
      </c>
      <c r="N6" s="65"/>
    </row>
    <row r="7" spans="2:14">
      <c r="B7" s="110" t="s">
        <v>181</v>
      </c>
      <c r="C7" s="112">
        <f ca="1">OFFSET('Normalized AS 20yr Trend'!$AN$8,COLUMN(F7)-COLUMN($F7),0)</f>
        <v>304746367.45815498</v>
      </c>
      <c r="D7" s="112">
        <f ca="1">OFFSET('Normalized AS 20yr Trend'!$AN$8,COLUMN(G7)-COLUMN($F7),0)</f>
        <v>295185913.80554301</v>
      </c>
      <c r="E7" s="112">
        <f ca="1">OFFSET('Normalized AS 20yr Trend'!$AN$8,COLUMN(H7)-COLUMN($F7),0)</f>
        <v>304014292.368729</v>
      </c>
      <c r="F7" s="112">
        <f ca="1">OFFSET('Normalized AS 20yr Trend'!$AN$8,COLUMN(I7)-COLUMN($F7),0)</f>
        <v>301194469.31</v>
      </c>
      <c r="G7" s="112">
        <f ca="1">OFFSET('Normalized AS 20yr Trend'!$AN$8,COLUMN(J7)-COLUMN($F7),0)</f>
        <v>318162193.04000002</v>
      </c>
      <c r="H7" s="112">
        <f ca="1">OFFSET('Normalized AS 20yr Trend'!$AN$8,COLUMN(K7)-COLUMN($F7),0)</f>
        <v>299472217.15999997</v>
      </c>
      <c r="I7" s="112">
        <f ca="1">OFFSET('Normalized AS 20yr Trend'!$AN$8,COLUMN(L7)-COLUMN($F7),0)</f>
        <v>311285837.94999999</v>
      </c>
      <c r="J7" s="112">
        <f ca="1">OFFSET('Normalized AS 20yr Trend'!$AV$12,COLUMN(J7)-COLUMN($H7),0)</f>
        <v>316039457.78174853</v>
      </c>
      <c r="K7" s="112">
        <f ca="1">OFFSET('Normalized AS 20yr Trend'!$AV$12,COLUMN(K7)-COLUMN($H7),0)</f>
        <v>323334610.03806812</v>
      </c>
      <c r="L7" s="111">
        <f ca="1">OFFSET('Normalized AS 20yr Trend'!$AV$12,COLUMN(L7)-COLUMN($H7),0)</f>
        <v>266605308.85676232</v>
      </c>
      <c r="N7" s="65"/>
    </row>
    <row r="8" spans="2:14">
      <c r="B8" s="110" t="s">
        <v>189</v>
      </c>
      <c r="C8" s="112">
        <f ca="1">OFFSET('Normalized AS 20yr Trend'!$AY$8,COLUMN(F8)-COLUMN($F8),0)</f>
        <v>280858035.097938</v>
      </c>
      <c r="D8" s="112">
        <f ca="1">OFFSET('Normalized AS 20yr Trend'!$AY$8,COLUMN(G8)-COLUMN($F8),0)</f>
        <v>265541554.24181503</v>
      </c>
      <c r="E8" s="112">
        <f ca="1">OFFSET('Normalized AS 20yr Trend'!$AY$8,COLUMN(H8)-COLUMN($F8),0)</f>
        <v>266219489.74002093</v>
      </c>
      <c r="F8" s="112">
        <f ca="1">OFFSET('Normalized AS 20yr Trend'!$AY$8,COLUMN(I8)-COLUMN($F8),0)</f>
        <v>241052438.81000003</v>
      </c>
      <c r="G8" s="112">
        <f ca="1">OFFSET('Normalized AS 20yr Trend'!$AY$8,COLUMN(J8)-COLUMN($F8),0)</f>
        <v>264027087.00000006</v>
      </c>
      <c r="H8" s="112">
        <f ca="1">OFFSET('Normalized AS 20yr Trend'!$AY$8,COLUMN(K8)-COLUMN($F8),0)</f>
        <v>252589949.61000001</v>
      </c>
      <c r="I8" s="112">
        <f ca="1">OFFSET('Normalized AS 20yr Trend'!$AY$8,COLUMN(L8)-COLUMN($F8),0)</f>
        <v>254635666.92999998</v>
      </c>
      <c r="J8" s="112">
        <f ca="1">OFFSET('Normalized AS 20yr Trend'!$BE$12,COLUMN(J8)-COLUMN($H8),0)</f>
        <v>247229919.21188268</v>
      </c>
      <c r="K8" s="112">
        <f ca="1">OFFSET('Normalized AS 20yr Trend'!$BE$12,COLUMN(K8)-COLUMN($H8),0)</f>
        <v>247510575.07095045</v>
      </c>
      <c r="L8" s="111">
        <f ca="1">OFFSET('Normalized AS 20yr Trend'!$BE$12,COLUMN(L8)-COLUMN($H8),0)</f>
        <v>247863250.41215098</v>
      </c>
      <c r="N8" s="65"/>
    </row>
    <row r="9" spans="2:14">
      <c r="B9" s="110" t="s">
        <v>190</v>
      </c>
      <c r="C9" s="112">
        <f ca="1">OFFSET('Normalized AS 20yr Trend'!$BH$8,COLUMN(F9)-COLUMN($F9),0)</f>
        <v>45336838.931562997</v>
      </c>
      <c r="D9" s="112">
        <f ca="1">OFFSET('Normalized AS 20yr Trend'!$BH$8,COLUMN(G9)-COLUMN($F9),0)</f>
        <v>48126674.812411003</v>
      </c>
      <c r="E9" s="112">
        <f ca="1">OFFSET('Normalized AS 20yr Trend'!$BH$8,COLUMN(H9)-COLUMN($F9),0)</f>
        <v>47308908.679020993</v>
      </c>
      <c r="F9" s="112">
        <f ca="1">OFFSET('Normalized AS 20yr Trend'!$BH$8,COLUMN(I9)-COLUMN($F9),0)</f>
        <v>47202925.820000008</v>
      </c>
      <c r="G9" s="112">
        <f ca="1">OFFSET('Normalized AS 20yr Trend'!$BH$8,COLUMN(J9)-COLUMN($F9),0)</f>
        <v>44370766.850000001</v>
      </c>
      <c r="H9" s="112">
        <f ca="1">OFFSET('Normalized AS 20yr Trend'!$BH$8,COLUMN(K9)-COLUMN($F9),0)</f>
        <v>42875821.289999999</v>
      </c>
      <c r="I9" s="112">
        <f ca="1">OFFSET('Normalized AS 20yr Trend'!$BH$8,COLUMN(L9)-COLUMN($F9),0)</f>
        <v>45402739.360000007</v>
      </c>
      <c r="J9" s="112">
        <f ca="1">OFFSET('Normalized AS 20yr Trend'!$BN$12,COLUMN(J9)-COLUMN($H9),0)</f>
        <v>42614630.228730358</v>
      </c>
      <c r="K9" s="112">
        <f ca="1">OFFSET('Normalized AS 20yr Trend'!$BN$12,COLUMN(K9)-COLUMN($H9),0)</f>
        <v>41823467.181049272</v>
      </c>
      <c r="L9" s="111">
        <f ca="1">OFFSET('Normalized AS 20yr Trend'!$BN$12,COLUMN(L9)-COLUMN($H9),0)</f>
        <v>41037435.528337985</v>
      </c>
      <c r="N9" s="65"/>
    </row>
    <row r="10" spans="2:14">
      <c r="B10" s="110" t="s">
        <v>144</v>
      </c>
      <c r="C10" s="112">
        <f ca="1">OFFSET('Normalized AS 20yr Trend'!$BQ$8,COLUMN(F10)-COLUMN($F10),0)</f>
        <v>17377866.278999001</v>
      </c>
      <c r="D10" s="112">
        <f ca="1">OFFSET('Normalized AS 20yr Trend'!$BQ$8,COLUMN(G10)-COLUMN($F10),0)</f>
        <v>17283102.442827001</v>
      </c>
      <c r="E10" s="112">
        <f ca="1">OFFSET('Normalized AS 20yr Trend'!$BQ$8,COLUMN(H10)-COLUMN($F10),0)</f>
        <v>17360921.051590003</v>
      </c>
      <c r="F10" s="112">
        <f ca="1">OFFSET('Normalized AS 20yr Trend'!$BQ$8,COLUMN(I10)-COLUMN($F10),0)</f>
        <v>17162407.530000001</v>
      </c>
      <c r="G10" s="112">
        <f ca="1">OFFSET('Normalized AS 20yr Trend'!$BQ$8,COLUMN(J10)-COLUMN($F10),0)</f>
        <v>14655212.350000001</v>
      </c>
      <c r="H10" s="112">
        <f ca="1">OFFSET('Normalized AS 20yr Trend'!$BQ$8,COLUMN(K10)-COLUMN($F10),0)</f>
        <v>6962744.2999999998</v>
      </c>
      <c r="I10" s="112">
        <f ca="1">OFFSET('Normalized AS 20yr Trend'!$BQ$8,COLUMN(L10)-COLUMN($F10),0)</f>
        <v>6467781.0800000001</v>
      </c>
      <c r="J10" s="112">
        <f ca="1">OFFSET('Normalized AS 20yr Trend'!$BT$12,COLUMN(J10)-COLUMN($H10),0)</f>
        <v>6467781.0800000001</v>
      </c>
      <c r="K10" s="112">
        <f ca="1">OFFSET('Normalized AS 20yr Trend'!$BT$12,COLUMN(K10)-COLUMN($H10),0)</f>
        <v>6475784.8006475894</v>
      </c>
      <c r="L10" s="111">
        <f ca="1">OFFSET('Normalized AS 20yr Trend'!$BT$12,COLUMN(L10)-COLUMN($H10),0)</f>
        <v>6483798.4257034156</v>
      </c>
      <c r="N10" s="65"/>
    </row>
    <row r="11" spans="2:14">
      <c r="B11" s="110" t="s">
        <v>143</v>
      </c>
      <c r="C11" s="112">
        <f ca="1">OFFSET('Normalized AS 20yr Trend'!$BW$8,COLUMN(F11)-COLUMN($F11),0)</f>
        <v>908923.37890999997</v>
      </c>
      <c r="D11" s="112">
        <f ca="1">OFFSET('Normalized AS 20yr Trend'!$BW$8,COLUMN(G11)-COLUMN($F11),0)</f>
        <v>887747.77032600006</v>
      </c>
      <c r="E11" s="112">
        <f ca="1">OFFSET('Normalized AS 20yr Trend'!$BW$8,COLUMN(H11)-COLUMN($F11),0)</f>
        <v>924204.18281011167</v>
      </c>
      <c r="F11" s="112">
        <f ca="1">OFFSET('Normalized AS 20yr Trend'!$BW$8,COLUMN(I11)-COLUMN($F11),0)</f>
        <v>873074.41874517407</v>
      </c>
      <c r="G11" s="112">
        <f ca="1">OFFSET('Normalized AS 20yr Trend'!$BW$8,COLUMN(J11)-COLUMN($F11),0)</f>
        <v>851684.9625372421</v>
      </c>
      <c r="H11" s="112">
        <f ca="1">OFFSET('Normalized AS 20yr Trend'!$BW$8,COLUMN(K11)-COLUMN($F11),0)</f>
        <v>795950.62000000011</v>
      </c>
      <c r="I11" s="112">
        <f ca="1">OFFSET('Normalized AS 20yr Trend'!$BW$8,COLUMN(L11)-COLUMN($F11),0)</f>
        <v>768231.72021026898</v>
      </c>
      <c r="J11" s="112">
        <f ca="1">OFFSET('Normalized AS 20yr Trend'!$BZ$12,COLUMN(J11)-COLUMN($H11),0)</f>
        <v>768231.72021026898</v>
      </c>
      <c r="K11" s="112">
        <f ca="1">OFFSET('Normalized AS 20yr Trend'!$BZ$12,COLUMN(K11)-COLUMN($H11),0)</f>
        <v>749098.84812005772</v>
      </c>
      <c r="L11" s="111">
        <f ca="1">OFFSET('Normalized AS 20yr Trend'!$BZ$12,COLUMN(L11)-COLUMN($H11),0)</f>
        <v>730442.48173091304</v>
      </c>
      <c r="N11" s="65"/>
    </row>
    <row r="12" spans="2:14">
      <c r="B12" s="110" t="s">
        <v>142</v>
      </c>
      <c r="C12" s="112">
        <f ca="1">OFFSET('Normalized AS 20yr Trend'!$CC$8,COLUMN(F12)-COLUMN($F12),0)</f>
        <v>3485917.9890729999</v>
      </c>
      <c r="D12" s="112">
        <f ca="1">OFFSET('Normalized AS 20yr Trend'!$CC$8,COLUMN(G12)-COLUMN($F12),0)</f>
        <v>3254726.4492000006</v>
      </c>
      <c r="E12" s="112">
        <f ca="1">OFFSET('Normalized AS 20yr Trend'!$CC$8,COLUMN(H12)-COLUMN($F12),0)</f>
        <v>2436824.926873663</v>
      </c>
      <c r="F12" s="112">
        <f ca="1">OFFSET('Normalized AS 20yr Trend'!$CC$8,COLUMN(I12)-COLUMN($F12),0)</f>
        <v>2410786.215730337</v>
      </c>
      <c r="G12" s="112">
        <f ca="1">OFFSET('Normalized AS 20yr Trend'!$CC$8,COLUMN(J12)-COLUMN($F12),0)</f>
        <v>2415557</v>
      </c>
      <c r="H12" s="112">
        <f ca="1">OFFSET('Normalized AS 20yr Trend'!$CC$8,COLUMN(K12)-COLUMN($F12),0)</f>
        <v>2368616.3200000003</v>
      </c>
      <c r="I12" s="112">
        <f ca="1">OFFSET('Normalized AS 20yr Trend'!$CC$8,COLUMN(L12)-COLUMN($F12),0)</f>
        <v>2266364.23</v>
      </c>
      <c r="J12" s="112">
        <f ca="1">OFFSET('Normalized AS 20yr Trend'!$CF$12,COLUMN(J12)-COLUMN($H12),0)</f>
        <v>2266364.23</v>
      </c>
      <c r="K12" s="112">
        <f ca="1">OFFSET('Normalized AS 20yr Trend'!$CF$12,COLUMN(K12)-COLUMN($H12),0)</f>
        <v>2233052.2917550164</v>
      </c>
      <c r="L12" s="111">
        <f ca="1">OFFSET('Normalized AS 20yr Trend'!$CF$12,COLUMN(L12)-COLUMN($H12),0)</f>
        <v>2200229.9858537433</v>
      </c>
      <c r="N12" s="65"/>
    </row>
    <row r="13" spans="2:14" ht="13.5" thickBot="1">
      <c r="B13" s="109" t="s">
        <v>173</v>
      </c>
      <c r="C13" s="108">
        <f t="shared" ref="C13:L13" ca="1" si="0">SUM(C3:C12)</f>
        <v>2487666883.4758096</v>
      </c>
      <c r="D13" s="108">
        <f t="shared" ca="1" si="0"/>
        <v>2458205854.0067267</v>
      </c>
      <c r="E13" s="108">
        <f t="shared" ca="1" si="0"/>
        <v>2466527763.7403936</v>
      </c>
      <c r="F13" s="108">
        <f t="shared" ca="1" si="0"/>
        <v>2397631611.1056104</v>
      </c>
      <c r="G13" s="108">
        <f t="shared" ca="1" si="0"/>
        <v>2471215846.1173172</v>
      </c>
      <c r="H13" s="108">
        <f t="shared" ca="1" si="0"/>
        <v>2367940087.46</v>
      </c>
      <c r="I13" s="108">
        <f t="shared" ca="1" si="0"/>
        <v>2438533274.6590438</v>
      </c>
      <c r="J13" s="108">
        <f t="shared" ca="1" si="0"/>
        <v>2401028787.3881025</v>
      </c>
      <c r="K13" s="108">
        <f t="shared" ca="1" si="0"/>
        <v>2413918139.0816064</v>
      </c>
      <c r="L13" s="107">
        <f t="shared" ca="1" si="0"/>
        <v>2365856415.2365212</v>
      </c>
      <c r="N13" s="65"/>
    </row>
    <row r="15" spans="2:14" ht="16.5" thickBot="1">
      <c r="B15" s="41" t="s">
        <v>182</v>
      </c>
      <c r="H15" s="65"/>
      <c r="I15" s="65"/>
    </row>
    <row r="16" spans="2:14" ht="38.25">
      <c r="B16" s="115" t="s">
        <v>174</v>
      </c>
      <c r="C16" s="52" t="s">
        <v>203</v>
      </c>
      <c r="D16" s="52" t="s">
        <v>170</v>
      </c>
      <c r="E16" s="53" t="s">
        <v>202</v>
      </c>
    </row>
    <row r="17" spans="2:23">
      <c r="B17" s="45" t="str">
        <f t="shared" ref="B17:B26" si="1">B3</f>
        <v>Residential</v>
      </c>
      <c r="C17" s="112">
        <f ca="1">L3</f>
        <v>597883405.66430283</v>
      </c>
      <c r="D17" s="112">
        <f>'CDM Adjustments'!J8</f>
        <v>799100.44261477829</v>
      </c>
      <c r="E17" s="111">
        <f ca="1">C17-D17</f>
        <v>597084305.22168803</v>
      </c>
    </row>
    <row r="18" spans="2:23">
      <c r="B18" s="110" t="str">
        <f t="shared" si="1"/>
        <v>GS &lt; 50</v>
      </c>
      <c r="C18" s="112">
        <f t="shared" ref="C18:C26" ca="1" si="2">L4</f>
        <v>203201883.81077006</v>
      </c>
      <c r="D18" s="112">
        <f>'CDM Adjustments'!J9</f>
        <v>1946095.1630711863</v>
      </c>
      <c r="E18" s="111">
        <f ca="1">C18-D18</f>
        <v>201255788.64769888</v>
      </c>
    </row>
    <row r="19" spans="2:23">
      <c r="B19" s="110" t="str">
        <f t="shared" si="1"/>
        <v>GS &gt; 50</v>
      </c>
      <c r="C19" s="112">
        <f t="shared" ca="1" si="2"/>
        <v>959723692.78575659</v>
      </c>
      <c r="D19" s="112">
        <f>'CDM Adjustments'!J10</f>
        <v>29912137.642035954</v>
      </c>
      <c r="E19" s="111">
        <f t="shared" ref="E19:E26" ca="1" si="3">C19-D19</f>
        <v>929811555.14372063</v>
      </c>
    </row>
    <row r="20" spans="2:23">
      <c r="B20" s="110" t="str">
        <f t="shared" si="1"/>
        <v>Intermediate</v>
      </c>
      <c r="C20" s="112">
        <f t="shared" ca="1" si="2"/>
        <v>40126967.285152338</v>
      </c>
      <c r="D20" s="112">
        <f>'CDM Adjustments'!J11</f>
        <v>373463.40134396899</v>
      </c>
      <c r="E20" s="111">
        <f t="shared" ca="1" si="3"/>
        <v>39753503.883808367</v>
      </c>
    </row>
    <row r="21" spans="2:23">
      <c r="B21" s="110" t="str">
        <f t="shared" si="1"/>
        <v>Large User</v>
      </c>
      <c r="C21" s="112">
        <f t="shared" ca="1" si="2"/>
        <v>266605308.85676232</v>
      </c>
      <c r="D21" s="112">
        <f>'CDM Adjustments'!J12</f>
        <v>29281043.315980051</v>
      </c>
      <c r="E21" s="111">
        <f t="shared" ca="1" si="3"/>
        <v>237324265.54078227</v>
      </c>
    </row>
    <row r="22" spans="2:23">
      <c r="B22" s="110" t="str">
        <f t="shared" si="1"/>
        <v>Large Use 3TS</v>
      </c>
      <c r="C22" s="112">
        <f t="shared" ca="1" si="2"/>
        <v>247863250.41215098</v>
      </c>
      <c r="D22" s="112">
        <f>'CDM Adjustments'!J13</f>
        <v>2928947.3756772708</v>
      </c>
      <c r="E22" s="111">
        <f t="shared" ca="1" si="3"/>
        <v>244934303.03647372</v>
      </c>
    </row>
    <row r="23" spans="2:23">
      <c r="B23" s="110" t="str">
        <f t="shared" si="1"/>
        <v>Large Use FA</v>
      </c>
      <c r="C23" s="112">
        <f t="shared" ca="1" si="2"/>
        <v>41037435.528337985</v>
      </c>
      <c r="D23" s="112">
        <f>'CDM Adjustments'!J14</f>
        <v>936815.61710451636</v>
      </c>
      <c r="E23" s="111">
        <f t="shared" ca="1" si="3"/>
        <v>40100619.91123347</v>
      </c>
    </row>
    <row r="24" spans="2:23">
      <c r="B24" s="110" t="str">
        <f t="shared" si="1"/>
        <v>Street Light</v>
      </c>
      <c r="C24" s="112">
        <f t="shared" ca="1" si="2"/>
        <v>6483798.4257034156</v>
      </c>
      <c r="D24" s="112">
        <v>0</v>
      </c>
      <c r="E24" s="111">
        <f t="shared" ca="1" si="3"/>
        <v>6483798.4257034156</v>
      </c>
    </row>
    <row r="25" spans="2:23">
      <c r="B25" s="110" t="str">
        <f t="shared" si="1"/>
        <v>Sentinel Light</v>
      </c>
      <c r="C25" s="112">
        <f t="shared" ca="1" si="2"/>
        <v>730442.48173091304</v>
      </c>
      <c r="D25" s="112">
        <v>0</v>
      </c>
      <c r="E25" s="111">
        <f t="shared" ca="1" si="3"/>
        <v>730442.48173091304</v>
      </c>
    </row>
    <row r="26" spans="2:23">
      <c r="B26" s="110" t="str">
        <f t="shared" si="1"/>
        <v>USL</v>
      </c>
      <c r="C26" s="112">
        <f t="shared" ca="1" si="2"/>
        <v>2200229.9858537433</v>
      </c>
      <c r="D26" s="112">
        <v>0</v>
      </c>
      <c r="E26" s="111">
        <f t="shared" ca="1" si="3"/>
        <v>2200229.9858537433</v>
      </c>
    </row>
    <row r="27" spans="2:23" ht="13.5" thickBot="1">
      <c r="B27" s="109" t="s">
        <v>173</v>
      </c>
      <c r="C27" s="108">
        <f ca="1">SUM(C17:C26)</f>
        <v>2365856415.2365212</v>
      </c>
      <c r="D27" s="108">
        <f>SUM(D17:D26)</f>
        <v>66177602.957827725</v>
      </c>
      <c r="E27" s="107">
        <f ca="1">SUM(E17:E26)</f>
        <v>2299678812.2786932</v>
      </c>
    </row>
    <row r="29" spans="2:23" ht="16.5" thickBot="1">
      <c r="B29" s="41" t="s">
        <v>156</v>
      </c>
    </row>
    <row r="30" spans="2:23">
      <c r="B30" s="115" t="s">
        <v>183</v>
      </c>
      <c r="C30" s="114" t="s">
        <v>175</v>
      </c>
      <c r="D30" s="114" t="s">
        <v>176</v>
      </c>
      <c r="E30" s="114" t="s">
        <v>177</v>
      </c>
      <c r="F30" s="114" t="s">
        <v>178</v>
      </c>
      <c r="G30" s="114" t="s">
        <v>179</v>
      </c>
      <c r="H30" s="114" t="s">
        <v>200</v>
      </c>
      <c r="I30" s="114" t="s">
        <v>254</v>
      </c>
      <c r="J30" s="114" t="s">
        <v>180</v>
      </c>
      <c r="K30" s="114" t="s">
        <v>191</v>
      </c>
      <c r="L30" s="113" t="s">
        <v>201</v>
      </c>
    </row>
    <row r="31" spans="2:23">
      <c r="B31" s="110" t="s">
        <v>139</v>
      </c>
      <c r="C31" s="112">
        <f ca="1">OFFSET('kW Forecast  20 yr Trend'!$D$8,COLUMN()-COLUMN($C31),0)</f>
        <v>2427537.8838569997</v>
      </c>
      <c r="D31" s="112">
        <f ca="1">OFFSET('kW Forecast  20 yr Trend'!$D$8,COLUMN()-COLUMN($C31),0)</f>
        <v>2556408.0255070003</v>
      </c>
      <c r="E31" s="112">
        <f ca="1">OFFSET('kW Forecast  20 yr Trend'!$D$8,COLUMN()-COLUMN($C31),0)</f>
        <v>2368008.0300000003</v>
      </c>
      <c r="F31" s="112">
        <f ca="1">OFFSET('kW Forecast  20 yr Trend'!$D$8,COLUMN()-COLUMN($C31),0)</f>
        <v>2413020.5799999996</v>
      </c>
      <c r="G31" s="112">
        <f ca="1">OFFSET('kW Forecast  20 yr Trend'!$D$8,COLUMN()-COLUMN($C31),0)</f>
        <v>2436984.27</v>
      </c>
      <c r="H31" s="112">
        <f ca="1">OFFSET('kW Forecast  20 yr Trend'!$D$8,COLUMN()-COLUMN($C31),0)</f>
        <v>2393115.89</v>
      </c>
      <c r="I31" s="112">
        <f ca="1">OFFSET('kW Forecast  20 yr Trend'!$D$8,COLUMN()-COLUMN($C31),0)</f>
        <v>2385326.37</v>
      </c>
      <c r="J31" s="112">
        <f ca="1">OFFSET('kW Forecast  20 yr Trend'!$D$22,COLUMN()-COLUMN($J31),0)</f>
        <v>2389773.628634742</v>
      </c>
      <c r="K31" s="112">
        <f ca="1">OFFSET('kW Forecast  20 yr Trend'!$D$22,COLUMN()-COLUMN($J31),0)</f>
        <v>2406038.869334179</v>
      </c>
      <c r="L31" s="111">
        <f ca="1">OFFSET('kW Forecast  20 yr Trend'!$D$22,COLUMN()-COLUMN($J31),0)</f>
        <v>2424394.7082681507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2:23">
      <c r="B32" s="110" t="str">
        <f>B20</f>
        <v>Intermediate</v>
      </c>
      <c r="C32" s="112">
        <f ca="1">OFFSET('kW Forecast  20 yr Trend'!$J$8,COLUMN()-COLUMN($C32),0)</f>
        <v>127750.54842900002</v>
      </c>
      <c r="D32" s="112">
        <f ca="1">OFFSET('kW Forecast  20 yr Trend'!$J$8,COLUMN()-COLUMN($C32),0)</f>
        <v>129021.099858</v>
      </c>
      <c r="E32" s="112">
        <f ca="1">OFFSET('kW Forecast  20 yr Trend'!$J$8,COLUMN()-COLUMN($C32),0)</f>
        <v>131071.55</v>
      </c>
      <c r="F32" s="112">
        <f ca="1">OFFSET('kW Forecast  20 yr Trend'!$J$8,COLUMN()-COLUMN($C32),0)</f>
        <v>128585.56999999999</v>
      </c>
      <c r="G32" s="112">
        <f ca="1">OFFSET('kW Forecast  20 yr Trend'!$J$8,COLUMN()-COLUMN($C32),0)</f>
        <v>130216.19</v>
      </c>
      <c r="H32" s="112">
        <f ca="1">OFFSET('kW Forecast  20 yr Trend'!$J$8,COLUMN()-COLUMN($C32),0)</f>
        <v>133091.57999999999</v>
      </c>
      <c r="I32" s="112">
        <f ca="1">OFFSET('kW Forecast  20 yr Trend'!$J$8,COLUMN()-COLUMN($C32),0)</f>
        <v>128455.81999999999</v>
      </c>
      <c r="J32" s="112">
        <f ca="1">OFFSET('kW Forecast  20 yr Trend'!$J$22,COLUMN()-COLUMN($J32),0)</f>
        <v>125659.06826071249</v>
      </c>
      <c r="K32" s="112">
        <f ca="1">OFFSET('kW Forecast  20 yr Trend'!$J$22,COLUMN()-COLUMN($J32),0)</f>
        <v>125341.49553965482</v>
      </c>
      <c r="L32" s="111">
        <f ca="1">OFFSET('kW Forecast  20 yr Trend'!$J$22,COLUMN()-COLUMN($J32),0)</f>
        <v>124943.25267841676</v>
      </c>
      <c r="N32" s="65"/>
      <c r="O32" s="65"/>
      <c r="P32" s="65"/>
      <c r="Q32" s="65"/>
      <c r="R32" s="65"/>
      <c r="S32" s="65"/>
      <c r="T32" s="65"/>
      <c r="U32" s="65"/>
      <c r="V32" s="65"/>
      <c r="W32" s="65"/>
    </row>
    <row r="33" spans="2:23">
      <c r="B33" s="110" t="str">
        <f>B21</f>
        <v>Large User</v>
      </c>
      <c r="C33" s="112">
        <f ca="1">OFFSET('kW Forecast  20 yr Trend'!$P$8,COLUMN()-COLUMN($C33),0)</f>
        <v>566690.59476599994</v>
      </c>
      <c r="D33" s="112">
        <f ca="1">OFFSET('kW Forecast  20 yr Trend'!$P$8,COLUMN()-COLUMN($C33),0)</f>
        <v>557388.87657400011</v>
      </c>
      <c r="E33" s="112">
        <f ca="1">OFFSET('kW Forecast  20 yr Trend'!$P$8,COLUMN()-COLUMN($C33),0)</f>
        <v>557415.25</v>
      </c>
      <c r="F33" s="112">
        <f ca="1">OFFSET('kW Forecast  20 yr Trend'!$P$8,COLUMN()-COLUMN($C33),0)</f>
        <v>559320.55000000005</v>
      </c>
      <c r="G33" s="112">
        <f ca="1">OFFSET('kW Forecast  20 yr Trend'!$P$8,COLUMN()-COLUMN($C33),0)</f>
        <v>576548.00999999989</v>
      </c>
      <c r="H33" s="112">
        <f ca="1">OFFSET('kW Forecast  20 yr Trend'!$P$8,COLUMN()-COLUMN($C33),0)</f>
        <v>548063.93000000005</v>
      </c>
      <c r="I33" s="112">
        <f ca="1">OFFSET('kW Forecast  20 yr Trend'!$P$8,COLUMN()-COLUMN($C33),0)</f>
        <v>568092.82000000007</v>
      </c>
      <c r="J33" s="112">
        <f ca="1">OFFSET('kW Forecast  20 yr Trend'!$P$22,COLUMN()-COLUMN($J33),0)</f>
        <v>572240.37351619196</v>
      </c>
      <c r="K33" s="112">
        <f ca="1">OFFSET('kW Forecast  20 yr Trend'!$P$22,COLUMN()-COLUMN($J33),0)</f>
        <v>580326.78816149454</v>
      </c>
      <c r="L33" s="111">
        <f ca="1">OFFSET('kW Forecast  20 yr Trend'!$P$22,COLUMN()-COLUMN($J33),0)</f>
        <v>474284.15130100155</v>
      </c>
      <c r="N33" s="65"/>
      <c r="O33" s="65"/>
      <c r="P33" s="65"/>
      <c r="Q33" s="65"/>
      <c r="R33" s="65"/>
      <c r="S33" s="65"/>
      <c r="T33" s="65"/>
      <c r="U33" s="65"/>
      <c r="V33" s="65"/>
      <c r="W33" s="65"/>
    </row>
    <row r="34" spans="2:23">
      <c r="B34" s="110" t="str">
        <f t="shared" ref="B34:B35" si="4">B22</f>
        <v>Large Use 3TS</v>
      </c>
      <c r="C34" s="112">
        <f ca="1">OFFSET('kW Forecast  20 yr Trend'!$V$8,COLUMN()-COLUMN($C34),0)</f>
        <v>559020.80044799997</v>
      </c>
      <c r="D34" s="112">
        <f ca="1">OFFSET('kW Forecast  20 yr Trend'!$V$8,COLUMN()-COLUMN($C34),0)</f>
        <v>535816.2171779999</v>
      </c>
      <c r="E34" s="112">
        <f ca="1">OFFSET('kW Forecast  20 yr Trend'!$V$8,COLUMN()-COLUMN($C34),0)</f>
        <v>524555.20000000007</v>
      </c>
      <c r="F34" s="112">
        <f ca="1">OFFSET('kW Forecast  20 yr Trend'!$V$8,COLUMN()-COLUMN($C34),0)</f>
        <v>487724.93000000005</v>
      </c>
      <c r="G34" s="112">
        <f ca="1">OFFSET('kW Forecast  20 yr Trend'!$V$8,COLUMN()-COLUMN($C34),0)</f>
        <v>515986.85</v>
      </c>
      <c r="H34" s="112">
        <f ca="1">OFFSET('kW Forecast  20 yr Trend'!$V$8,COLUMN()-COLUMN($C34),0)</f>
        <v>495653.43</v>
      </c>
      <c r="I34" s="112">
        <f ca="1">OFFSET('kW Forecast  20 yr Trend'!$V$8,COLUMN()-COLUMN($C34),0)</f>
        <v>494552.82999999996</v>
      </c>
      <c r="J34" s="112">
        <f ca="1">OFFSET('kW Forecast  20 yr Trend'!$V$22,COLUMN()-COLUMN($J34),0)</f>
        <v>482911.95277676091</v>
      </c>
      <c r="K34" s="112">
        <f ca="1">OFFSET('kW Forecast  20 yr Trend'!$V$22,COLUMN()-COLUMN($J34),0)</f>
        <v>479330.73547286744</v>
      </c>
      <c r="L34" s="111">
        <f ca="1">OFFSET('kW Forecast  20 yr Trend'!$V$22,COLUMN()-COLUMN($J34),0)</f>
        <v>475878.42523044068</v>
      </c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2:23">
      <c r="B35" s="110" t="str">
        <f t="shared" si="4"/>
        <v>Large Use FA</v>
      </c>
      <c r="C35" s="112">
        <f ca="1">OFFSET('kW Forecast  20 yr Trend'!$AB$8,COLUMN()-COLUMN($C35),0)</f>
        <v>81689.161949999994</v>
      </c>
      <c r="D35" s="112">
        <f ca="1">OFFSET('kW Forecast  20 yr Trend'!$AB$8,COLUMN()-COLUMN($C35),0)</f>
        <v>85550.828219999981</v>
      </c>
      <c r="E35" s="112">
        <f ca="1">OFFSET('kW Forecast  20 yr Trend'!$AB$8,COLUMN()-COLUMN($C35),0)</f>
        <v>86734.079999999987</v>
      </c>
      <c r="F35" s="112">
        <f ca="1">OFFSET('kW Forecast  20 yr Trend'!$AB$8,COLUMN()-COLUMN($C35),0)</f>
        <v>82844.529999999984</v>
      </c>
      <c r="G35" s="112">
        <f ca="1">OFFSET('kW Forecast  20 yr Trend'!$AB$8,COLUMN()-COLUMN($C35),0)</f>
        <v>74821.62</v>
      </c>
      <c r="H35" s="112">
        <f ca="1">OFFSET('kW Forecast  20 yr Trend'!$AB$8,COLUMN()-COLUMN($C35),0)</f>
        <v>70873.779999999984</v>
      </c>
      <c r="I35" s="112">
        <f ca="1">OFFSET('kW Forecast  20 yr Trend'!$AB$8,COLUMN()-COLUMN($C35),0)</f>
        <v>73849.089999999982</v>
      </c>
      <c r="J35" s="112">
        <f ca="1">OFFSET('kW Forecast  20 yr Trend'!$AB$22,COLUMN()-COLUMN($J35),0)</f>
        <v>71291.424739795912</v>
      </c>
      <c r="K35" s="112">
        <f ca="1">OFFSET('kW Forecast  20 yr Trend'!$AB$22,COLUMN()-COLUMN($J35),0)</f>
        <v>68647.95674198847</v>
      </c>
      <c r="L35" s="111">
        <f ca="1">OFFSET('kW Forecast  20 yr Trend'!$AB$22,COLUMN()-COLUMN($J35),0)</f>
        <v>66062.685908813786</v>
      </c>
      <c r="N35" s="65"/>
      <c r="O35" s="65"/>
      <c r="P35" s="65"/>
      <c r="Q35" s="65"/>
      <c r="R35" s="65"/>
      <c r="S35" s="65"/>
      <c r="T35" s="65"/>
      <c r="U35" s="65"/>
      <c r="V35" s="65"/>
      <c r="W35" s="65"/>
    </row>
    <row r="36" spans="2:23">
      <c r="B36" s="110" t="s">
        <v>144</v>
      </c>
      <c r="C36" s="112">
        <f ca="1">OFFSET('kW Forecast  20 yr Trend'!$AH$8,COLUMN()-COLUMN($C36),0)</f>
        <v>49565.55999999999</v>
      </c>
      <c r="D36" s="112">
        <f ca="1">OFFSET('kW Forecast  20 yr Trend'!$AH$8,COLUMN()-COLUMN($C36),0)</f>
        <v>49480.340000000004</v>
      </c>
      <c r="E36" s="112">
        <f ca="1">OFFSET('kW Forecast  20 yr Trend'!$AH$8,COLUMN()-COLUMN($C36),0)</f>
        <v>49412.19</v>
      </c>
      <c r="F36" s="112">
        <f ca="1">OFFSET('kW Forecast  20 yr Trend'!$AH$8,COLUMN()-COLUMN($C36),0)</f>
        <v>49145.369999999995</v>
      </c>
      <c r="G36" s="112">
        <f ca="1">OFFSET('kW Forecast  20 yr Trend'!$AH$8,COLUMN()-COLUMN($C36),0)</f>
        <v>43202.96</v>
      </c>
      <c r="H36" s="112">
        <f ca="1">OFFSET('kW Forecast  20 yr Trend'!$AH$8,COLUMN()-COLUMN($C36),0)</f>
        <v>19819.260000000002</v>
      </c>
      <c r="I36" s="112">
        <f ca="1">OFFSET('kW Forecast  20 yr Trend'!$AH$8,COLUMN()-COLUMN($C36),0)</f>
        <v>18707.3</v>
      </c>
      <c r="J36" s="112">
        <f ca="1">OFFSET('kW Forecast  20 yr Trend'!$AH$22,COLUMN()-COLUMN($J36),0)</f>
        <v>18728.137330912068</v>
      </c>
      <c r="K36" s="112">
        <f ca="1">OFFSET('kW Forecast  20 yr Trend'!$AH$22,COLUMN()-COLUMN($J36),0)</f>
        <v>18751.312942082615</v>
      </c>
      <c r="L36" s="111">
        <f ca="1">OFFSET('kW Forecast  20 yr Trend'!$AH$22,COLUMN()-COLUMN($J36),0)</f>
        <v>18774.517232504262</v>
      </c>
      <c r="N36" s="65"/>
      <c r="O36" s="65"/>
      <c r="P36" s="65"/>
      <c r="Q36" s="65"/>
      <c r="R36" s="65"/>
      <c r="S36" s="65"/>
      <c r="T36" s="65"/>
      <c r="U36" s="65"/>
      <c r="V36" s="65"/>
      <c r="W36" s="65"/>
    </row>
    <row r="37" spans="2:23">
      <c r="B37" s="110" t="s">
        <v>143</v>
      </c>
      <c r="C37" s="112">
        <f ca="1">OFFSET('kW Forecast  20 yr Trend'!$AN$8,COLUMN()-COLUMN($C37),0)</f>
        <v>2495.6537090000002</v>
      </c>
      <c r="D37" s="112">
        <f ca="1">OFFSET('kW Forecast  20 yr Trend'!$AN$8,COLUMN()-COLUMN($C37),0)</f>
        <v>2438.761598</v>
      </c>
      <c r="E37" s="112">
        <f ca="1">OFFSET('kW Forecast  20 yr Trend'!$AN$8,COLUMN()-COLUMN($C37),0)</f>
        <v>2541.5785940000001</v>
      </c>
      <c r="F37" s="112">
        <f ca="1">OFFSET('kW Forecast  20 yr Trend'!$AN$8,COLUMN()-COLUMN($C37),0)</f>
        <v>2447.9</v>
      </c>
      <c r="G37" s="112">
        <f ca="1">OFFSET('kW Forecast  20 yr Trend'!$AN$8,COLUMN()-COLUMN($C37),0)</f>
        <v>2364.69</v>
      </c>
      <c r="H37" s="112">
        <f ca="1">OFFSET('kW Forecast  20 yr Trend'!$AN$8,COLUMN()-COLUMN($C37),0)</f>
        <v>2229.64</v>
      </c>
      <c r="I37" s="112">
        <f ca="1">OFFSET('kW Forecast  20 yr Trend'!$AN$8,COLUMN()-COLUMN($C37),0)</f>
        <v>2141.5699999999997</v>
      </c>
      <c r="J37" s="112">
        <f ca="1">OFFSET('kW Forecast  20 yr Trend'!$AN$22,COLUMN()-COLUMN($J37),0)</f>
        <v>2142.1821294630167</v>
      </c>
      <c r="K37" s="112">
        <f ca="1">OFFSET('kW Forecast  20 yr Trend'!$AN$22,COLUMN()-COLUMN($J37),0)</f>
        <v>2088.8309131584697</v>
      </c>
      <c r="L37" s="111">
        <f ca="1">OFFSET('kW Forecast  20 yr Trend'!$AN$22,COLUMN()-COLUMN($J37),0)</f>
        <v>2036.8084131390726</v>
      </c>
      <c r="N37" s="65"/>
      <c r="O37" s="65"/>
      <c r="P37" s="65"/>
      <c r="Q37" s="65"/>
      <c r="R37" s="65"/>
      <c r="S37" s="65"/>
      <c r="T37" s="65"/>
      <c r="U37" s="65"/>
      <c r="V37" s="65"/>
      <c r="W37" s="65"/>
    </row>
    <row r="38" spans="2:23" ht="13.5" thickBot="1">
      <c r="B38" s="109" t="s">
        <v>173</v>
      </c>
      <c r="C38" s="108">
        <f t="shared" ref="C38" ca="1" si="5">SUM(C28:C37)</f>
        <v>3814750.2031589998</v>
      </c>
      <c r="D38" s="108">
        <f t="shared" ref="D38:L38" ca="1" si="6">SUM(D28:D37)</f>
        <v>3916104.1489350004</v>
      </c>
      <c r="E38" s="108">
        <f t="shared" ca="1" si="6"/>
        <v>3719737.8785940004</v>
      </c>
      <c r="F38" s="108">
        <f t="shared" ca="1" si="6"/>
        <v>3723089.4299999992</v>
      </c>
      <c r="G38" s="108">
        <f t="shared" ca="1" si="6"/>
        <v>3780124.59</v>
      </c>
      <c r="H38" s="108">
        <f t="shared" ca="1" si="6"/>
        <v>3662847.5100000002</v>
      </c>
      <c r="I38" s="108">
        <f t="shared" ca="1" si="6"/>
        <v>3671125.7999999993</v>
      </c>
      <c r="J38" s="108">
        <f ca="1">SUM(J28:J37)</f>
        <v>3662746.7673885785</v>
      </c>
      <c r="K38" s="108">
        <f t="shared" ca="1" si="6"/>
        <v>3680525.9891054258</v>
      </c>
      <c r="L38" s="107">
        <f t="shared" ca="1" si="6"/>
        <v>3586374.549032467</v>
      </c>
    </row>
    <row r="40" spans="2:23" ht="16.5" thickBot="1">
      <c r="B40" s="41" t="s">
        <v>182</v>
      </c>
    </row>
    <row r="41" spans="2:23" ht="38.25">
      <c r="B41" s="115" t="s">
        <v>183</v>
      </c>
      <c r="C41" s="52" t="s">
        <v>203</v>
      </c>
      <c r="D41" s="52" t="s">
        <v>170</v>
      </c>
      <c r="E41" s="53" t="s">
        <v>202</v>
      </c>
    </row>
    <row r="42" spans="2:23">
      <c r="B42" s="110" t="str">
        <f>B31</f>
        <v>GS &gt; 50</v>
      </c>
      <c r="C42" s="112">
        <f ca="1">L31</f>
        <v>2424394.7082681507</v>
      </c>
      <c r="D42" s="112">
        <f ca="1">'CDM Adjustments'!G24</f>
        <v>75606.905360101737</v>
      </c>
      <c r="E42" s="111">
        <f ca="1">C42-D42</f>
        <v>2348787.802908049</v>
      </c>
    </row>
    <row r="43" spans="2:23">
      <c r="B43" s="110" t="str">
        <f>B32</f>
        <v>Intermediate</v>
      </c>
      <c r="C43" s="112">
        <f t="shared" ref="C43:C48" ca="1" si="7">L32</f>
        <v>124943.25267841676</v>
      </c>
      <c r="D43" s="112">
        <f>'CDM Adjustments'!G25</f>
        <v>1162.8521983400954</v>
      </c>
      <c r="E43" s="111">
        <f t="shared" ref="E43:E48" ca="1" si="8">C43-D43</f>
        <v>123780.40048007666</v>
      </c>
    </row>
    <row r="44" spans="2:23">
      <c r="B44" s="110" t="str">
        <f>B33</f>
        <v>Large User</v>
      </c>
      <c r="C44" s="112">
        <f t="shared" ca="1" si="7"/>
        <v>474284.15130100155</v>
      </c>
      <c r="D44" s="112">
        <f ca="1">'CDM Adjustments'!G26</f>
        <v>52090.240955362024</v>
      </c>
      <c r="E44" s="111">
        <f t="shared" ca="1" si="8"/>
        <v>422193.91034563951</v>
      </c>
    </row>
    <row r="45" spans="2:23">
      <c r="B45" s="110" t="str">
        <f t="shared" ref="B45:B46" si="9">B34</f>
        <v>Large Use 3TS</v>
      </c>
      <c r="C45" s="112">
        <f t="shared" ca="1" si="7"/>
        <v>475878.42523044068</v>
      </c>
      <c r="D45" s="112">
        <f ca="1">'CDM Adjustments'!G27</f>
        <v>5623.3542584568731</v>
      </c>
      <c r="E45" s="111">
        <f t="shared" ca="1" si="8"/>
        <v>470255.07097198383</v>
      </c>
    </row>
    <row r="46" spans="2:23">
      <c r="B46" s="110" t="str">
        <f t="shared" si="9"/>
        <v>Large Use FA</v>
      </c>
      <c r="C46" s="112">
        <f t="shared" ca="1" si="7"/>
        <v>66062.685908813786</v>
      </c>
      <c r="D46" s="112">
        <f ca="1">'CDM Adjustments'!G28</f>
        <v>1508.0999840867423</v>
      </c>
      <c r="E46" s="111">
        <f t="shared" ca="1" si="8"/>
        <v>64554.585924727042</v>
      </c>
    </row>
    <row r="47" spans="2:23">
      <c r="B47" s="110" t="str">
        <f>B36</f>
        <v>Street Light</v>
      </c>
      <c r="C47" s="112">
        <f t="shared" ca="1" si="7"/>
        <v>18774.517232504262</v>
      </c>
      <c r="D47" s="112">
        <v>0</v>
      </c>
      <c r="E47" s="111">
        <f t="shared" ca="1" si="8"/>
        <v>18774.517232504262</v>
      </c>
    </row>
    <row r="48" spans="2:23">
      <c r="B48" s="110" t="str">
        <f>B37</f>
        <v>Sentinel Light</v>
      </c>
      <c r="C48" s="112">
        <f t="shared" ca="1" si="7"/>
        <v>2036.8084131390726</v>
      </c>
      <c r="D48" s="112">
        <v>0</v>
      </c>
      <c r="E48" s="111">
        <f t="shared" ca="1" si="8"/>
        <v>2036.8084131390726</v>
      </c>
    </row>
    <row r="49" spans="2:11" ht="13.5" thickBot="1">
      <c r="B49" s="109" t="s">
        <v>173</v>
      </c>
      <c r="C49" s="108">
        <f ca="1">SUM(C42:C48)</f>
        <v>3586374.549032467</v>
      </c>
      <c r="D49" s="108">
        <f ca="1">SUM(D42:D48)</f>
        <v>135991.45275634745</v>
      </c>
      <c r="E49" s="107">
        <f ca="1">SUM(E42:E48)</f>
        <v>3450383.0962761194</v>
      </c>
    </row>
    <row r="51" spans="2:11" ht="16.5" thickBot="1">
      <c r="B51" s="41" t="s">
        <v>199</v>
      </c>
    </row>
    <row r="52" spans="2:11">
      <c r="B52" s="115" t="s">
        <v>183</v>
      </c>
      <c r="C52" s="114" t="s">
        <v>175</v>
      </c>
      <c r="D52" s="114" t="s">
        <v>176</v>
      </c>
      <c r="E52" s="114" t="s">
        <v>177</v>
      </c>
      <c r="F52" s="114" t="s">
        <v>178</v>
      </c>
      <c r="G52" s="114" t="s">
        <v>179</v>
      </c>
      <c r="H52" s="114" t="s">
        <v>200</v>
      </c>
      <c r="I52" s="114" t="s">
        <v>180</v>
      </c>
      <c r="J52" s="114" t="s">
        <v>191</v>
      </c>
      <c r="K52" s="113" t="s">
        <v>201</v>
      </c>
    </row>
    <row r="53" spans="2:11">
      <c r="B53" s="45" t="str">
        <f t="shared" ref="B53:B62" si="10">B3</f>
        <v>Residential</v>
      </c>
      <c r="C53" s="112">
        <f ca="1">OFFSET('Connection count '!$C$7,COLUMN()-COLUMN($C53),0)</f>
        <v>77099</v>
      </c>
      <c r="D53" s="112">
        <f ca="1">OFFSET('Connection count '!$C$7,COLUMN()-COLUMN($C53),0)</f>
        <v>77452.25</v>
      </c>
      <c r="E53" s="112">
        <f ca="1">OFFSET('Connection count '!$C$7,COLUMN()-COLUMN($C53),0)</f>
        <v>77949.5</v>
      </c>
      <c r="F53" s="112">
        <f ca="1">OFFSET('Connection count '!$C$7,COLUMN()-COLUMN($C53),0)</f>
        <v>78320.5</v>
      </c>
      <c r="G53" s="112">
        <f ca="1">OFFSET('Connection count '!$C$7,COLUMN()-COLUMN($C53),0)</f>
        <v>78812</v>
      </c>
      <c r="H53" s="112">
        <f ca="1">OFFSET('Connection count '!$C$7,COLUMN()-COLUMN($C53),0)</f>
        <v>79324.5</v>
      </c>
      <c r="I53" s="112">
        <f ca="1">OFFSET('Connection count '!$C$7,COLUMN()-COLUMN($C53),0)</f>
        <v>79466</v>
      </c>
      <c r="J53" s="112">
        <f ca="1">OFFSET('Connection count '!$C$7,COLUMN()-COLUMN($C53),0)</f>
        <v>79811.968022845249</v>
      </c>
      <c r="K53" s="111">
        <f ca="1">OFFSET('Connection count '!$C$7,COLUMN()-COLUMN($C53),0)</f>
        <v>80159.442273169305</v>
      </c>
    </row>
    <row r="54" spans="2:11">
      <c r="B54" s="110" t="str">
        <f t="shared" si="10"/>
        <v>GS &lt; 50</v>
      </c>
      <c r="C54" s="112">
        <f ca="1">OFFSET('Connection count '!$G$7,COLUMN()-COLUMN($C54),0)</f>
        <v>6922</v>
      </c>
      <c r="D54" s="112">
        <f ca="1">OFFSET('Connection count '!$G$7,COLUMN()-COLUMN($C54),0)</f>
        <v>6945.5</v>
      </c>
      <c r="E54" s="112">
        <f ca="1">OFFSET('Connection count '!$G$7,COLUMN()-COLUMN($C54),0)</f>
        <v>7014</v>
      </c>
      <c r="F54" s="112">
        <f ca="1">OFFSET('Connection count '!$G$7,COLUMN()-COLUMN($C54),0)</f>
        <v>7054.5</v>
      </c>
      <c r="G54" s="112">
        <f ca="1">OFFSET('Connection count '!$G$7,COLUMN()-COLUMN($C54),0)</f>
        <v>7079.5</v>
      </c>
      <c r="H54" s="112">
        <f ca="1">OFFSET('Connection count '!$G$7,COLUMN()-COLUMN($C54),0)</f>
        <v>7108.75</v>
      </c>
      <c r="I54" s="112">
        <f ca="1">OFFSET('Connection count '!$G$7,COLUMN()-COLUMN($C54),0)</f>
        <v>7104</v>
      </c>
      <c r="J54" s="112">
        <f ca="1">OFFSET('Connection count '!$G$7,COLUMN()-COLUMN($C54),0)</f>
        <v>7119.0186436319073</v>
      </c>
      <c r="K54" s="111">
        <f ca="1">OFFSET('Connection count '!$G$7,COLUMN()-COLUMN($C54),0)</f>
        <v>7134.0690383415931</v>
      </c>
    </row>
    <row r="55" spans="2:11">
      <c r="B55" s="110" t="str">
        <f t="shared" si="10"/>
        <v>GS &gt; 50</v>
      </c>
      <c r="C55" s="112">
        <f ca="1">OFFSET('Connection count '!$K$7,COLUMN()-COLUMN($C55),0)</f>
        <v>1179.25</v>
      </c>
      <c r="D55" s="112">
        <f ca="1">OFFSET('Connection count '!$K$7,COLUMN()-COLUMN($C55),0)</f>
        <v>1179.25</v>
      </c>
      <c r="E55" s="112">
        <f ca="1">OFFSET('Connection count '!$K$7,COLUMN()-COLUMN($C55),0)</f>
        <v>1209.25</v>
      </c>
      <c r="F55" s="112">
        <f ca="1">OFFSET('Connection count '!$K$7,COLUMN()-COLUMN($C55),0)</f>
        <v>1228.75</v>
      </c>
      <c r="G55" s="112">
        <f ca="1">OFFSET('Connection count '!$K$7,COLUMN()-COLUMN($C55),0)</f>
        <v>1245</v>
      </c>
      <c r="H55" s="112">
        <f ca="1">OFFSET('Connection count '!$K$7,COLUMN()-COLUMN($C55),0)</f>
        <v>1251.25</v>
      </c>
      <c r="I55" s="112">
        <f ca="1">OFFSET('Connection count '!$K$7,COLUMN()-COLUMN($C55),0)</f>
        <v>1254.25</v>
      </c>
      <c r="J55" s="112">
        <f ca="1">OFFSET('Connection count '!$K$7,COLUMN()-COLUMN($C55),0)</f>
        <v>1263.3193919637922</v>
      </c>
      <c r="K55" s="111">
        <f ca="1">OFFSET('Connection count '!$K$7,COLUMN()-COLUMN($C55),0)</f>
        <v>1272.454364051637</v>
      </c>
    </row>
    <row r="56" spans="2:11">
      <c r="B56" s="110" t="str">
        <f t="shared" si="10"/>
        <v>Intermediate</v>
      </c>
      <c r="C56" s="112">
        <f ca="1">OFFSET('Connection count '!$O$7,COLUMN()-COLUMN($C56),0)</f>
        <v>3</v>
      </c>
      <c r="D56" s="112">
        <f ca="1">OFFSET('Connection count '!$O$7,COLUMN()-COLUMN($C56),0)</f>
        <v>3</v>
      </c>
      <c r="E56" s="112">
        <f ca="1">OFFSET('Connection count '!$O$7,COLUMN()-COLUMN($C56),0)</f>
        <v>3</v>
      </c>
      <c r="F56" s="112">
        <f ca="1">OFFSET('Connection count '!$O$7,COLUMN()-COLUMN($C56),0)</f>
        <v>3</v>
      </c>
      <c r="G56" s="112">
        <f ca="1">OFFSET('Connection count '!$O$7,COLUMN()-COLUMN($C56),0)</f>
        <v>3</v>
      </c>
      <c r="H56" s="112">
        <f ca="1">OFFSET('Connection count '!$O$7,COLUMN()-COLUMN($C56),0)</f>
        <v>3</v>
      </c>
      <c r="I56" s="112">
        <f ca="1">OFFSET('Connection count '!$O$7,COLUMN()-COLUMN($C56),0)</f>
        <v>3</v>
      </c>
      <c r="J56" s="112">
        <f ca="1">OFFSET('Connection count '!$O$7,COLUMN()-COLUMN($C56),0)</f>
        <v>3</v>
      </c>
      <c r="K56" s="111">
        <f ca="1">OFFSET('Connection count '!$O$7,COLUMN()-COLUMN($C56),0)</f>
        <v>3</v>
      </c>
    </row>
    <row r="57" spans="2:11">
      <c r="B57" s="110" t="str">
        <f t="shared" si="10"/>
        <v>Large User</v>
      </c>
      <c r="C57" s="112">
        <f ca="1">OFFSET('Connection count '!$S$7,COLUMN()-COLUMN($C57),0)</f>
        <v>6</v>
      </c>
      <c r="D57" s="112">
        <f ca="1">OFFSET('Connection count '!$S$7,COLUMN()-COLUMN($C57),0)</f>
        <v>6</v>
      </c>
      <c r="E57" s="112">
        <f ca="1">OFFSET('Connection count '!$S$7,COLUMN()-COLUMN($C57),0)</f>
        <v>6</v>
      </c>
      <c r="F57" s="112">
        <f ca="1">OFFSET('Connection count '!$S$7,COLUMN()-COLUMN($C57),0)</f>
        <v>6</v>
      </c>
      <c r="G57" s="112">
        <f ca="1">OFFSET('Connection count '!$S$7,COLUMN()-COLUMN($C57),0)</f>
        <v>6</v>
      </c>
      <c r="H57" s="112">
        <f ca="1">OFFSET('Connection count '!$S$7,COLUMN()-COLUMN($C57),0)</f>
        <v>6</v>
      </c>
      <c r="I57" s="112">
        <f ca="1">OFFSET('Connection count '!$S$7,COLUMN()-COLUMN($C57),0)</f>
        <v>6</v>
      </c>
      <c r="J57" s="112">
        <f ca="1">OFFSET('Connection count '!$S$7,COLUMN()-COLUMN($C57),0)</f>
        <v>6</v>
      </c>
      <c r="K57" s="111">
        <f ca="1">OFFSET('Connection count '!$S$7,COLUMN()-COLUMN($C57),0)</f>
        <v>5</v>
      </c>
    </row>
    <row r="58" spans="2:11">
      <c r="B58" s="110" t="str">
        <f t="shared" si="10"/>
        <v>Large Use 3TS</v>
      </c>
      <c r="C58" s="112">
        <f ca="1">OFFSET('Connection count '!$W$7,COLUMN()-COLUMN($C58),0)</f>
        <v>2.5</v>
      </c>
      <c r="D58" s="112">
        <f ca="1">OFFSET('Connection count '!$W$7,COLUMN()-COLUMN($C58),0)</f>
        <v>2</v>
      </c>
      <c r="E58" s="112">
        <f ca="1">OFFSET('Connection count '!$W$7,COLUMN()-COLUMN($C58),0)</f>
        <v>2</v>
      </c>
      <c r="F58" s="112">
        <f ca="1">OFFSET('Connection count '!$W$7,COLUMN()-COLUMN($C58),0)</f>
        <v>2</v>
      </c>
      <c r="G58" s="112">
        <f ca="1">OFFSET('Connection count '!$W$7,COLUMN()-COLUMN($C58),0)</f>
        <v>2</v>
      </c>
      <c r="H58" s="112">
        <f ca="1">OFFSET('Connection count '!$W$7,COLUMN()-COLUMN($C58),0)</f>
        <v>2</v>
      </c>
      <c r="I58" s="112">
        <f ca="1">OFFSET('Connection count '!$W$7,COLUMN()-COLUMN($C58),0)</f>
        <v>2</v>
      </c>
      <c r="J58" s="112">
        <f ca="1">OFFSET('Connection count '!$W$7,COLUMN()-COLUMN($C58),0)</f>
        <v>2</v>
      </c>
      <c r="K58" s="111">
        <f ca="1">OFFSET('Connection count '!$W$7,COLUMN()-COLUMN($C58),0)</f>
        <v>2</v>
      </c>
    </row>
    <row r="59" spans="2:11">
      <c r="B59" s="110" t="str">
        <f t="shared" si="10"/>
        <v>Large Use FA</v>
      </c>
      <c r="C59" s="112">
        <f ca="1">OFFSET('Connection count '!$AA$7,COLUMN()-COLUMN($C59),0)</f>
        <v>1</v>
      </c>
      <c r="D59" s="112">
        <f ca="1">OFFSET('Connection count '!$AA$7,COLUMN()-COLUMN($C59),0)</f>
        <v>1</v>
      </c>
      <c r="E59" s="112">
        <f ca="1">OFFSET('Connection count '!$AA$7,COLUMN()-COLUMN($C59),0)</f>
        <v>1</v>
      </c>
      <c r="F59" s="112">
        <f ca="1">OFFSET('Connection count '!$AA$7,COLUMN()-COLUMN($C59),0)</f>
        <v>1</v>
      </c>
      <c r="G59" s="112">
        <f ca="1">OFFSET('Connection count '!$AA$7,COLUMN()-COLUMN($C59),0)</f>
        <v>1</v>
      </c>
      <c r="H59" s="112">
        <f ca="1">OFFSET('Connection count '!$AA$7,COLUMN()-COLUMN($C59),0)</f>
        <v>1</v>
      </c>
      <c r="I59" s="112">
        <f ca="1">OFFSET('Connection count '!$AA$7,COLUMN()-COLUMN($C59),0)</f>
        <v>1</v>
      </c>
      <c r="J59" s="112">
        <f ca="1">OFFSET('Connection count '!$AA$7,COLUMN()-COLUMN($C59),0)</f>
        <v>1</v>
      </c>
      <c r="K59" s="111">
        <f ca="1">OFFSET('Connection count '!$AA$7,COLUMN()-COLUMN($C59),0)</f>
        <v>1</v>
      </c>
    </row>
    <row r="60" spans="2:11">
      <c r="B60" s="110" t="str">
        <f t="shared" si="10"/>
        <v>Street Light</v>
      </c>
      <c r="C60" s="112">
        <f ca="1">OFFSET('Connection count '!$AE$7,COLUMN()-COLUMN($C60),0)</f>
        <v>23358</v>
      </c>
      <c r="D60" s="112">
        <f ca="1">OFFSET('Connection count '!$AE$7,COLUMN()-COLUMN($C60),0)</f>
        <v>23385.5</v>
      </c>
      <c r="E60" s="112">
        <f ca="1">OFFSET('Connection count '!$AE$7,COLUMN()-COLUMN($C60),0)</f>
        <v>23459.5</v>
      </c>
      <c r="F60" s="112">
        <f ca="1">OFFSET('Connection count '!$AE$7,COLUMN()-COLUMN($C60),0)</f>
        <v>23495.25</v>
      </c>
      <c r="G60" s="112">
        <f ca="1">OFFSET('Connection count '!$AE$7,COLUMN()-COLUMN($C60),0)</f>
        <v>23517.5</v>
      </c>
      <c r="H60" s="112">
        <f ca="1">OFFSET('Connection count '!$AE$7,COLUMN()-COLUMN($C60),0)</f>
        <v>24143.5</v>
      </c>
      <c r="I60" s="112">
        <f ca="1">OFFSET('Connection count '!$AE$7,COLUMN()-COLUMN($C60),0)</f>
        <v>24283.5</v>
      </c>
      <c r="J60" s="112">
        <f ca="1">OFFSET('Connection count '!$AE$7,COLUMN()-COLUMN($C60),0)</f>
        <v>24313.550236385821</v>
      </c>
      <c r="K60" s="111">
        <f ca="1">OFFSET('Connection count '!$AE$7,COLUMN()-COLUMN($C60),0)</f>
        <v>24343.637659203039</v>
      </c>
    </row>
    <row r="61" spans="2:11">
      <c r="B61" s="110" t="str">
        <f t="shared" si="10"/>
        <v>Sentinel Light</v>
      </c>
      <c r="C61" s="112">
        <f ca="1">OFFSET('Connection count '!$AI$7,COLUMN()-COLUMN($C61),0)</f>
        <v>660.5</v>
      </c>
      <c r="D61" s="112">
        <f ca="1">OFFSET('Connection count '!$AI$7,COLUMN()-COLUMN($C61),0)</f>
        <v>641.25</v>
      </c>
      <c r="E61" s="112">
        <f ca="1">OFFSET('Connection count '!$AI$7,COLUMN()-COLUMN($C61),0)</f>
        <v>631.25</v>
      </c>
      <c r="F61" s="112">
        <f ca="1">OFFSET('Connection count '!$AI$7,COLUMN()-COLUMN($C61),0)</f>
        <v>615.75</v>
      </c>
      <c r="G61" s="112">
        <f ca="1">OFFSET('Connection count '!$AI$7,COLUMN()-COLUMN($C61),0)</f>
        <v>602</v>
      </c>
      <c r="H61" s="112">
        <f ca="1">OFFSET('Connection count '!$AI$7,COLUMN()-COLUMN($C61),0)</f>
        <v>554.25</v>
      </c>
      <c r="I61" s="112">
        <f ca="1">OFFSET('Connection count '!$AI$7,COLUMN()-COLUMN($C61),0)</f>
        <v>532.75</v>
      </c>
      <c r="J61" s="112">
        <f ca="1">OFFSET('Connection count '!$AI$7,COLUMN()-COLUMN($C61),0)</f>
        <v>519.48181887976432</v>
      </c>
      <c r="K61" s="111">
        <f ca="1">OFFSET('Connection count '!$AI$7,COLUMN()-COLUMN($C61),0)</f>
        <v>506.54408286556219</v>
      </c>
    </row>
    <row r="62" spans="2:11">
      <c r="B62" s="110" t="str">
        <f t="shared" si="10"/>
        <v>USL</v>
      </c>
      <c r="C62" s="112">
        <f ca="1">OFFSET('Connection count '!$AM$7,COLUMN()-COLUMN($C62),0)</f>
        <v>794</v>
      </c>
      <c r="D62" s="112">
        <f ca="1">OFFSET('Connection count '!$AM$7,COLUMN()-COLUMN($C62),0)</f>
        <v>789.5</v>
      </c>
      <c r="E62" s="112">
        <f ca="1">OFFSET('Connection count '!$AM$7,COLUMN()-COLUMN($C62),0)</f>
        <v>783</v>
      </c>
      <c r="F62" s="112">
        <f ca="1">OFFSET('Connection count '!$AM$7,COLUMN()-COLUMN($C62),0)</f>
        <v>780</v>
      </c>
      <c r="G62" s="112">
        <f ca="1">OFFSET('Connection count '!$AM$7,COLUMN()-COLUMN($C62),0)</f>
        <v>781</v>
      </c>
      <c r="H62" s="112">
        <f ca="1">OFFSET('Connection count '!$AM$7,COLUMN()-COLUMN($C62),0)</f>
        <v>769</v>
      </c>
      <c r="I62" s="112">
        <f ca="1">OFFSET('Connection count '!$AM$7,COLUMN()-COLUMN($C62),0)</f>
        <v>726.5</v>
      </c>
      <c r="J62" s="112">
        <f ca="1">OFFSET('Connection count '!$AM$7,COLUMN()-COLUMN($C62),0)</f>
        <v>715.82160911532708</v>
      </c>
      <c r="K62" s="111">
        <f ca="1">OFFSET('Connection count '!$AM$7,COLUMN()-COLUMN($C62),0)</f>
        <v>705.30017353951291</v>
      </c>
    </row>
    <row r="63" spans="2:11" ht="13.5" thickBot="1">
      <c r="B63" s="109" t="s">
        <v>173</v>
      </c>
      <c r="C63" s="108">
        <f ca="1">SUM(C53:C62)</f>
        <v>110025.25</v>
      </c>
      <c r="D63" s="108">
        <f t="shared" ref="D63:K63" ca="1" si="11">SUM(D53:D62)</f>
        <v>110405.25</v>
      </c>
      <c r="E63" s="108">
        <f t="shared" ca="1" si="11"/>
        <v>111058.5</v>
      </c>
      <c r="F63" s="108">
        <f t="shared" ca="1" si="11"/>
        <v>111506.75</v>
      </c>
      <c r="G63" s="108">
        <f t="shared" ca="1" si="11"/>
        <v>112049</v>
      </c>
      <c r="H63" s="108">
        <f t="shared" ca="1" si="11"/>
        <v>113163.25</v>
      </c>
      <c r="I63" s="108">
        <f t="shared" ca="1" si="11"/>
        <v>113379</v>
      </c>
      <c r="J63" s="108">
        <f t="shared" ca="1" si="11"/>
        <v>113755.15972282186</v>
      </c>
      <c r="K63" s="107">
        <f t="shared" ca="1" si="11"/>
        <v>114132.44759117064</v>
      </c>
    </row>
  </sheetData>
  <phoneticPr fontId="213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I152"/>
  <sheetViews>
    <sheetView workbookViewId="0">
      <selection activeCell="M24" sqref="M24"/>
    </sheetView>
  </sheetViews>
  <sheetFormatPr defaultColWidth="8.83203125" defaultRowHeight="12.75"/>
  <cols>
    <col min="1" max="1" width="13.6640625" style="13" customWidth="1"/>
    <col min="2" max="2" width="13.33203125" style="13" customWidth="1"/>
    <col min="3" max="3" width="20" style="13" customWidth="1"/>
    <col min="4" max="4" width="8.83203125" style="13"/>
    <col min="5" max="5" width="11.6640625" style="13" bestFit="1" customWidth="1"/>
    <col min="6" max="6" width="12.33203125" style="13" customWidth="1"/>
    <col min="7" max="7" width="14.5" style="13" customWidth="1"/>
    <col min="8" max="8" width="13" style="13" customWidth="1"/>
    <col min="9" max="9" width="13.1640625" style="13" customWidth="1"/>
    <col min="10" max="11" width="13.6640625" style="13" customWidth="1"/>
    <col min="12" max="12" width="12.1640625" style="13" customWidth="1"/>
    <col min="13" max="14" width="21.5" style="13" customWidth="1"/>
    <col min="15" max="16384" width="8.83203125" style="13"/>
  </cols>
  <sheetData>
    <row r="1" spans="1:23">
      <c r="B1" s="118" t="s">
        <v>238</v>
      </c>
      <c r="C1" s="13" t="s">
        <v>237</v>
      </c>
      <c r="D1" s="15" t="s">
        <v>111</v>
      </c>
      <c r="E1" s="19"/>
      <c r="F1" s="55" t="s">
        <v>109</v>
      </c>
      <c r="G1" s="55" t="s">
        <v>70</v>
      </c>
      <c r="H1" s="55" t="s">
        <v>71</v>
      </c>
      <c r="I1" s="55" t="s">
        <v>72</v>
      </c>
      <c r="J1" s="55" t="s">
        <v>73</v>
      </c>
      <c r="K1" s="55" t="s">
        <v>264</v>
      </c>
      <c r="L1" s="55" t="s">
        <v>74</v>
      </c>
      <c r="O1" s="118" t="s">
        <v>208</v>
      </c>
      <c r="R1" s="118" t="s">
        <v>209</v>
      </c>
    </row>
    <row r="2" spans="1:23">
      <c r="A2" s="14">
        <v>39083</v>
      </c>
      <c r="B2" s="201">
        <v>6489.2</v>
      </c>
      <c r="C2" s="119">
        <v>158.6</v>
      </c>
      <c r="D2" s="188">
        <v>559412.4</v>
      </c>
      <c r="E2" s="15"/>
      <c r="F2" s="119" t="s">
        <v>210</v>
      </c>
      <c r="G2" s="150">
        <v>43651</v>
      </c>
      <c r="H2" s="150">
        <v>43633</v>
      </c>
      <c r="I2" s="150">
        <v>43623</v>
      </c>
      <c r="J2" s="150">
        <v>43623</v>
      </c>
      <c r="K2" s="150">
        <v>43654</v>
      </c>
      <c r="L2" s="56"/>
      <c r="N2" s="9" t="s">
        <v>109</v>
      </c>
      <c r="O2" s="118" t="s">
        <v>206</v>
      </c>
      <c r="R2" s="9" t="s">
        <v>110</v>
      </c>
    </row>
    <row r="3" spans="1:23">
      <c r="A3" s="14">
        <v>39114</v>
      </c>
      <c r="B3" s="201">
        <v>6504.5</v>
      </c>
      <c r="C3" s="119">
        <v>156</v>
      </c>
      <c r="D3" s="188">
        <v>559412.4</v>
      </c>
      <c r="E3" s="15"/>
      <c r="F3" s="55">
        <v>2018</v>
      </c>
      <c r="G3" s="117"/>
      <c r="H3" s="117"/>
      <c r="I3" s="117"/>
      <c r="J3" s="117"/>
      <c r="K3" s="117"/>
      <c r="L3" s="117"/>
      <c r="N3" s="9" t="s">
        <v>107</v>
      </c>
      <c r="O3" s="118" t="s">
        <v>207</v>
      </c>
      <c r="R3" s="9" t="s">
        <v>112</v>
      </c>
      <c r="V3" s="192"/>
      <c r="W3" s="192"/>
    </row>
    <row r="4" spans="1:23">
      <c r="A4" s="14">
        <v>39142</v>
      </c>
      <c r="B4" s="201">
        <v>6509.7</v>
      </c>
      <c r="C4" s="119">
        <v>154.69999999999999</v>
      </c>
      <c r="D4" s="188">
        <v>559412.4</v>
      </c>
      <c r="E4" s="15"/>
      <c r="F4" s="55">
        <v>2019</v>
      </c>
      <c r="G4" s="117">
        <v>2.4E-2</v>
      </c>
      <c r="H4" s="117">
        <v>2.5999999999999999E-2</v>
      </c>
      <c r="I4" s="117">
        <v>2.4E-2</v>
      </c>
      <c r="J4" s="117">
        <v>2.1999999999999999E-2</v>
      </c>
      <c r="K4" s="204">
        <v>2.5999999999999999E-2</v>
      </c>
      <c r="L4" s="117">
        <f>AVERAGE(G4:K4)</f>
        <v>2.4399999999999998E-2</v>
      </c>
      <c r="V4" s="192"/>
      <c r="W4" s="192"/>
    </row>
    <row r="5" spans="1:23">
      <c r="A5" s="14">
        <v>39173</v>
      </c>
      <c r="B5" s="201">
        <v>6512.1</v>
      </c>
      <c r="C5" s="119">
        <v>154.5</v>
      </c>
      <c r="D5" s="188">
        <v>559412.4</v>
      </c>
      <c r="E5" s="15"/>
      <c r="F5" s="119">
        <v>2020</v>
      </c>
      <c r="G5" s="204">
        <v>1.7999999999999999E-2</v>
      </c>
      <c r="H5" s="117">
        <v>8.0000000000000002E-3</v>
      </c>
      <c r="I5" s="204">
        <v>1.2E-2</v>
      </c>
      <c r="J5" s="204">
        <v>7.0000000000000001E-3</v>
      </c>
      <c r="K5" s="204">
        <v>7.0000000000000001E-3</v>
      </c>
      <c r="L5" s="117">
        <f>AVERAGE(G5:K5)</f>
        <v>1.04E-2</v>
      </c>
      <c r="V5" s="192"/>
      <c r="W5" s="192"/>
    </row>
    <row r="6" spans="1:23">
      <c r="A6" s="14">
        <v>39203</v>
      </c>
      <c r="B6" s="201">
        <v>6515.6</v>
      </c>
      <c r="C6" s="119">
        <v>155.1</v>
      </c>
      <c r="D6" s="188">
        <v>559412.4</v>
      </c>
      <c r="E6" s="15"/>
      <c r="F6" s="119" t="s">
        <v>107</v>
      </c>
      <c r="G6" s="119"/>
      <c r="H6" s="119"/>
      <c r="I6" s="119"/>
      <c r="J6" s="119"/>
      <c r="K6" s="119"/>
      <c r="L6" s="119"/>
      <c r="V6" s="192"/>
      <c r="W6" s="192"/>
    </row>
    <row r="7" spans="1:23">
      <c r="A7" s="14">
        <v>39234</v>
      </c>
      <c r="B7" s="201">
        <v>6519.6</v>
      </c>
      <c r="C7" s="119">
        <v>156.5</v>
      </c>
      <c r="D7" s="188">
        <v>559412.4</v>
      </c>
      <c r="E7" s="15"/>
      <c r="F7" s="119">
        <v>2017</v>
      </c>
      <c r="G7" s="116"/>
      <c r="H7" s="116"/>
      <c r="I7" s="116"/>
      <c r="J7" s="116"/>
      <c r="K7" s="116"/>
      <c r="L7" s="117"/>
      <c r="V7" s="192"/>
      <c r="W7" s="192"/>
    </row>
    <row r="8" spans="1:23">
      <c r="A8" s="14">
        <v>39264</v>
      </c>
      <c r="B8" s="201">
        <v>6536.8</v>
      </c>
      <c r="C8" s="119">
        <v>156.80000000000001</v>
      </c>
      <c r="D8" s="188">
        <v>559412.4</v>
      </c>
      <c r="E8" s="15"/>
      <c r="F8" s="119">
        <v>2018</v>
      </c>
      <c r="G8" s="116"/>
      <c r="H8" s="116"/>
      <c r="I8" s="116"/>
      <c r="J8" s="116"/>
      <c r="K8" s="116"/>
      <c r="L8" s="117"/>
      <c r="V8" s="192"/>
      <c r="W8" s="192"/>
    </row>
    <row r="9" spans="1:23">
      <c r="A9" s="14">
        <v>39295</v>
      </c>
      <c r="B9" s="201">
        <v>6549.4</v>
      </c>
      <c r="C9" s="119">
        <v>156</v>
      </c>
      <c r="D9" s="188">
        <v>559412.4</v>
      </c>
      <c r="E9" s="15"/>
      <c r="F9" s="119">
        <v>2019</v>
      </c>
      <c r="G9" s="204">
        <v>1.6E-2</v>
      </c>
      <c r="H9" s="116">
        <v>1.2999999999999999E-2</v>
      </c>
      <c r="I9" s="116">
        <v>1.6E-2</v>
      </c>
      <c r="J9" s="116">
        <v>1.9E-2</v>
      </c>
      <c r="K9" s="117">
        <v>1.7000000000000001E-2</v>
      </c>
      <c r="L9" s="117">
        <f>AVERAGE(G9:K9)</f>
        <v>1.6199999999999999E-2</v>
      </c>
      <c r="V9" s="192"/>
      <c r="W9" s="192"/>
    </row>
    <row r="10" spans="1:23">
      <c r="A10" s="14">
        <v>39326</v>
      </c>
      <c r="B10" s="201">
        <v>6565.5</v>
      </c>
      <c r="C10" s="119">
        <v>155.5</v>
      </c>
      <c r="D10" s="188">
        <v>559412.4</v>
      </c>
      <c r="E10" s="15"/>
      <c r="F10" s="119">
        <v>2020</v>
      </c>
      <c r="G10" s="204">
        <v>1.7000000000000001E-2</v>
      </c>
      <c r="H10" s="116">
        <v>1.4E-2</v>
      </c>
      <c r="I10" s="116">
        <v>1.7000000000000001E-2</v>
      </c>
      <c r="J10" s="204">
        <v>1.6E-2</v>
      </c>
      <c r="K10" s="204">
        <v>1.2999999999999999E-2</v>
      </c>
      <c r="L10" s="117">
        <f>AVERAGE(G10:K10)</f>
        <v>1.54E-2</v>
      </c>
      <c r="V10" s="192"/>
      <c r="W10" s="192"/>
    </row>
    <row r="11" spans="1:23">
      <c r="A11" s="14">
        <v>39356</v>
      </c>
      <c r="B11" s="201">
        <v>6582.5</v>
      </c>
      <c r="C11" s="119">
        <v>156.80000000000001</v>
      </c>
      <c r="D11" s="188">
        <v>559412.4</v>
      </c>
      <c r="E11" s="15"/>
      <c r="F11" s="119"/>
      <c r="G11" s="119"/>
      <c r="H11" s="119"/>
      <c r="I11" s="119"/>
      <c r="J11" s="119"/>
      <c r="K11" s="119"/>
      <c r="L11" s="117"/>
      <c r="V11" s="192"/>
      <c r="W11" s="192"/>
    </row>
    <row r="12" spans="1:23">
      <c r="A12" s="14">
        <v>39387</v>
      </c>
      <c r="B12" s="201">
        <v>6591.5</v>
      </c>
      <c r="C12" s="119">
        <v>158.30000000000001</v>
      </c>
      <c r="D12" s="188">
        <v>559412.4</v>
      </c>
      <c r="E12" s="15"/>
      <c r="F12" s="119"/>
      <c r="G12" s="119"/>
      <c r="H12" s="119"/>
      <c r="I12" s="119"/>
      <c r="J12" s="119"/>
      <c r="K12" s="119"/>
      <c r="L12" s="119"/>
      <c r="P12" s="187" t="s">
        <v>253</v>
      </c>
      <c r="V12" s="192"/>
      <c r="W12" s="192"/>
    </row>
    <row r="13" spans="1:23">
      <c r="A13" s="14">
        <v>39417</v>
      </c>
      <c r="B13" s="201">
        <v>6588.6</v>
      </c>
      <c r="C13" s="119">
        <v>159</v>
      </c>
      <c r="D13" s="188">
        <v>559412.4</v>
      </c>
      <c r="E13" s="15"/>
      <c r="F13" s="119"/>
      <c r="G13" s="119" t="s">
        <v>265</v>
      </c>
      <c r="H13" s="119"/>
      <c r="I13" s="119"/>
      <c r="J13" s="119"/>
      <c r="K13" s="119"/>
      <c r="L13" s="119"/>
      <c r="P13" s="187" t="s">
        <v>238</v>
      </c>
      <c r="Q13" s="13" t="s">
        <v>237</v>
      </c>
      <c r="V13" s="192"/>
      <c r="W13" s="192"/>
    </row>
    <row r="14" spans="1:23">
      <c r="A14" s="14">
        <v>39448</v>
      </c>
      <c r="B14" s="201">
        <v>6578.2</v>
      </c>
      <c r="C14" s="119">
        <v>159.4</v>
      </c>
      <c r="D14" s="188">
        <v>557803.5</v>
      </c>
      <c r="E14" s="158"/>
      <c r="F14" s="119"/>
      <c r="G14" s="119" t="s">
        <v>266</v>
      </c>
      <c r="H14" s="119"/>
      <c r="I14" s="119"/>
      <c r="J14" s="119"/>
      <c r="K14" s="119"/>
      <c r="L14" s="119"/>
      <c r="P14" s="168">
        <v>6544</v>
      </c>
      <c r="Q14" s="186">
        <v>158.9</v>
      </c>
      <c r="V14" s="192"/>
      <c r="W14" s="192"/>
    </row>
    <row r="15" spans="1:23">
      <c r="A15" s="14">
        <v>39479</v>
      </c>
      <c r="B15" s="201">
        <v>6591.7</v>
      </c>
      <c r="C15" s="119">
        <v>160</v>
      </c>
      <c r="D15" s="188">
        <v>557803.5</v>
      </c>
      <c r="E15" s="15"/>
      <c r="P15" s="168">
        <v>6522.8</v>
      </c>
      <c r="Q15" s="186">
        <v>157.69999999999999</v>
      </c>
      <c r="V15" s="192"/>
      <c r="W15" s="192"/>
    </row>
    <row r="16" spans="1:23">
      <c r="A16" s="14">
        <v>39508</v>
      </c>
      <c r="B16" s="201">
        <v>6603.7</v>
      </c>
      <c r="C16" s="119">
        <v>160.19999999999999</v>
      </c>
      <c r="D16" s="188">
        <v>557803.5</v>
      </c>
      <c r="E16" s="15"/>
      <c r="P16" s="168">
        <v>6505.5</v>
      </c>
      <c r="Q16" s="186">
        <v>156.19999999999999</v>
      </c>
      <c r="V16" s="192"/>
      <c r="W16" s="192"/>
    </row>
    <row r="17" spans="1:18">
      <c r="A17" s="14">
        <v>39539</v>
      </c>
      <c r="B17" s="201">
        <v>6618.5</v>
      </c>
      <c r="C17" s="119">
        <v>158.4</v>
      </c>
      <c r="D17" s="188">
        <v>557803.5</v>
      </c>
      <c r="E17" s="15"/>
      <c r="P17" s="168">
        <v>6535.8</v>
      </c>
      <c r="Q17" s="186">
        <v>156.30000000000001</v>
      </c>
    </row>
    <row r="18" spans="1:18">
      <c r="A18" s="14">
        <v>39569</v>
      </c>
      <c r="B18" s="201">
        <v>6622.3</v>
      </c>
      <c r="C18" s="119">
        <v>155.5</v>
      </c>
      <c r="D18" s="188">
        <v>557803.5</v>
      </c>
      <c r="E18" s="15"/>
      <c r="F18" s="187" t="s">
        <v>298</v>
      </c>
      <c r="P18" s="168">
        <v>6590.4</v>
      </c>
      <c r="Q18" s="186">
        <v>153.6</v>
      </c>
    </row>
    <row r="19" spans="1:18">
      <c r="A19" s="14">
        <v>39600</v>
      </c>
      <c r="B19" s="201">
        <v>6620.3</v>
      </c>
      <c r="C19" s="119">
        <v>152.5</v>
      </c>
      <c r="D19" s="188">
        <v>557803.5</v>
      </c>
      <c r="E19" s="15"/>
      <c r="P19" s="168">
        <v>6658</v>
      </c>
      <c r="Q19" s="186">
        <v>151.6</v>
      </c>
    </row>
    <row r="20" spans="1:18">
      <c r="A20" s="14">
        <v>39630</v>
      </c>
      <c r="B20" s="201">
        <v>6611.6</v>
      </c>
      <c r="C20" s="119">
        <v>151.30000000000001</v>
      </c>
      <c r="D20" s="188">
        <v>557803.5</v>
      </c>
      <c r="E20" s="15"/>
      <c r="H20"/>
      <c r="P20" s="168">
        <v>6696.5</v>
      </c>
      <c r="Q20" s="186">
        <v>150</v>
      </c>
    </row>
    <row r="21" spans="1:18">
      <c r="A21" s="14">
        <v>39661</v>
      </c>
      <c r="B21" s="201">
        <v>6603.5</v>
      </c>
      <c r="C21" s="119">
        <v>151.6</v>
      </c>
      <c r="D21" s="188">
        <v>557803.5</v>
      </c>
      <c r="E21" s="15"/>
      <c r="G21" s="268" t="s">
        <v>252</v>
      </c>
      <c r="H21" s="268"/>
      <c r="I21" s="268"/>
      <c r="J21" s="268"/>
      <c r="K21" s="184"/>
      <c r="P21" s="168">
        <v>6700.1</v>
      </c>
      <c r="Q21" s="186">
        <v>151.1</v>
      </c>
    </row>
    <row r="22" spans="1:18">
      <c r="A22" s="14">
        <v>39692</v>
      </c>
      <c r="B22" s="201">
        <v>6614.5</v>
      </c>
      <c r="C22" s="119">
        <v>153.6</v>
      </c>
      <c r="D22" s="188">
        <v>557803.5</v>
      </c>
      <c r="E22" s="15"/>
      <c r="G22" s="187" t="s">
        <v>261</v>
      </c>
      <c r="I22" s="187" t="s">
        <v>260</v>
      </c>
      <c r="L22" s="165"/>
      <c r="M22" s="165"/>
      <c r="N22" s="165"/>
      <c r="O22" s="165"/>
      <c r="P22" s="168">
        <v>6670.4</v>
      </c>
      <c r="Q22" s="186">
        <v>154.6</v>
      </c>
      <c r="R22" s="165"/>
    </row>
    <row r="23" spans="1:18">
      <c r="A23" s="14">
        <v>39722</v>
      </c>
      <c r="B23" s="201">
        <v>6632.3</v>
      </c>
      <c r="C23" s="119">
        <v>154.30000000000001</v>
      </c>
      <c r="D23" s="188">
        <v>557803.5</v>
      </c>
      <c r="E23" s="15"/>
      <c r="F23" s="13">
        <v>2008</v>
      </c>
      <c r="G23" s="188">
        <v>557803.5</v>
      </c>
      <c r="I23" s="165">
        <v>611784.19999999995</v>
      </c>
      <c r="P23" s="168">
        <v>6670.2</v>
      </c>
      <c r="Q23" s="186">
        <v>157.30000000000001</v>
      </c>
    </row>
    <row r="24" spans="1:18">
      <c r="A24" s="14">
        <v>39753</v>
      </c>
      <c r="B24" s="201">
        <v>6616.9</v>
      </c>
      <c r="C24" s="119">
        <v>154.30000000000001</v>
      </c>
      <c r="D24" s="188">
        <v>557803.5</v>
      </c>
      <c r="E24" s="15"/>
      <c r="F24" s="13">
        <v>2009</v>
      </c>
      <c r="G24" s="188">
        <v>539388</v>
      </c>
      <c r="H24" s="192">
        <f>G24/G23</f>
        <v>0.96698568581946864</v>
      </c>
      <c r="I24" s="165">
        <v>591636.5</v>
      </c>
      <c r="J24" s="192">
        <f>I24/I23</f>
        <v>0.96706730902824889</v>
      </c>
      <c r="K24" s="192"/>
      <c r="P24" s="168">
        <v>6627.6</v>
      </c>
      <c r="Q24" s="186">
        <v>158.1</v>
      </c>
    </row>
    <row r="25" spans="1:18">
      <c r="A25" s="14">
        <v>39783</v>
      </c>
      <c r="B25" s="201">
        <v>6598.1</v>
      </c>
      <c r="C25" s="119">
        <v>153.5</v>
      </c>
      <c r="D25" s="188">
        <v>557803.5</v>
      </c>
      <c r="E25" s="15"/>
      <c r="F25" s="13">
        <v>2010</v>
      </c>
      <c r="G25" s="188">
        <v>555907.5</v>
      </c>
      <c r="H25" s="192">
        <f t="shared" ref="H25:H31" si="0">G25/G24</f>
        <v>1.0306263765601014</v>
      </c>
      <c r="I25" s="165">
        <v>609770.30000000005</v>
      </c>
      <c r="J25" s="192">
        <f t="shared" ref="J25:J33" si="1">I25/I24</f>
        <v>1.0306502387868228</v>
      </c>
      <c r="K25" s="192"/>
      <c r="P25" s="168">
        <v>6607.1</v>
      </c>
      <c r="Q25" s="186">
        <v>156.80000000000001</v>
      </c>
    </row>
    <row r="26" spans="1:18">
      <c r="A26" s="14">
        <v>39814</v>
      </c>
      <c r="B26" s="201">
        <v>6541.6</v>
      </c>
      <c r="C26" s="119">
        <v>151.5</v>
      </c>
      <c r="D26" s="188">
        <v>539388</v>
      </c>
      <c r="E26" s="158"/>
      <c r="F26" s="13">
        <v>2011</v>
      </c>
      <c r="G26" s="188">
        <v>570633.30000000005</v>
      </c>
      <c r="H26" s="192">
        <f t="shared" si="0"/>
        <v>1.0264896588011496</v>
      </c>
      <c r="I26" s="165">
        <v>625936.9</v>
      </c>
      <c r="J26" s="192">
        <f t="shared" si="1"/>
        <v>1.0265126064683701</v>
      </c>
      <c r="K26" s="192"/>
      <c r="P26" s="168">
        <v>6506.5</v>
      </c>
      <c r="Q26" s="186">
        <v>151.5</v>
      </c>
    </row>
    <row r="27" spans="1:18">
      <c r="A27" s="14">
        <v>39845</v>
      </c>
      <c r="B27" s="201">
        <v>6506</v>
      </c>
      <c r="C27" s="119">
        <v>149.69999999999999</v>
      </c>
      <c r="D27" s="188">
        <v>539388</v>
      </c>
      <c r="E27" s="15"/>
      <c r="F27" s="13">
        <v>2012</v>
      </c>
      <c r="G27" s="188">
        <v>578793.9</v>
      </c>
      <c r="H27" s="192">
        <f t="shared" si="0"/>
        <v>1.0143009529938052</v>
      </c>
      <c r="I27" s="165">
        <v>634944.30000000005</v>
      </c>
      <c r="J27" s="192">
        <f t="shared" si="1"/>
        <v>1.0143902684120396</v>
      </c>
      <c r="K27" s="192"/>
      <c r="P27" s="168">
        <v>6436.2</v>
      </c>
      <c r="Q27" s="186">
        <v>147.5</v>
      </c>
    </row>
    <row r="28" spans="1:18">
      <c r="A28" s="14">
        <v>39873</v>
      </c>
      <c r="B28" s="201">
        <v>6466.8</v>
      </c>
      <c r="C28" s="119">
        <v>147.19999999999999</v>
      </c>
      <c r="D28" s="188">
        <v>539388</v>
      </c>
      <c r="E28" s="15"/>
      <c r="F28" s="13">
        <v>2013</v>
      </c>
      <c r="G28" s="188">
        <v>586913</v>
      </c>
      <c r="H28" s="192">
        <f t="shared" si="0"/>
        <v>1.0140276184666079</v>
      </c>
      <c r="I28" s="165">
        <v>643937</v>
      </c>
      <c r="J28" s="192">
        <f t="shared" si="1"/>
        <v>1.0141629746105287</v>
      </c>
      <c r="K28" s="192"/>
      <c r="P28" s="168">
        <v>6363.8</v>
      </c>
      <c r="Q28" s="186">
        <v>142.9</v>
      </c>
    </row>
    <row r="29" spans="1:18">
      <c r="A29" s="14">
        <v>39904</v>
      </c>
      <c r="B29" s="201">
        <v>6445.5</v>
      </c>
      <c r="C29" s="119">
        <v>147.4</v>
      </c>
      <c r="D29" s="188">
        <v>539388</v>
      </c>
      <c r="E29" s="15"/>
      <c r="F29" s="13">
        <v>2014</v>
      </c>
      <c r="G29" s="188">
        <v>601343.5</v>
      </c>
      <c r="H29" s="192">
        <f t="shared" si="0"/>
        <v>1.024587119385667</v>
      </c>
      <c r="I29" s="165">
        <v>659861.19999999995</v>
      </c>
      <c r="J29" s="192">
        <f t="shared" si="1"/>
        <v>1.0247294378176746</v>
      </c>
      <c r="K29" s="192"/>
      <c r="P29" s="168">
        <v>6359.6</v>
      </c>
      <c r="Q29" s="186">
        <v>144.80000000000001</v>
      </c>
    </row>
    <row r="30" spans="1:18">
      <c r="A30" s="14">
        <v>39934</v>
      </c>
      <c r="B30" s="201">
        <v>6420.3</v>
      </c>
      <c r="C30" s="119">
        <v>147</v>
      </c>
      <c r="D30" s="188">
        <v>539388</v>
      </c>
      <c r="E30" s="15"/>
      <c r="F30" s="13">
        <v>2015</v>
      </c>
      <c r="G30" s="188">
        <v>618051.4</v>
      </c>
      <c r="H30" s="192">
        <f t="shared" si="0"/>
        <v>1.0277842863521431</v>
      </c>
      <c r="I30" s="165">
        <v>677384</v>
      </c>
      <c r="J30" s="192">
        <f t="shared" si="1"/>
        <v>1.0265552816258936</v>
      </c>
      <c r="K30" s="192"/>
      <c r="P30" s="168">
        <v>6382.1</v>
      </c>
      <c r="Q30" s="186">
        <v>145</v>
      </c>
    </row>
    <row r="31" spans="1:18">
      <c r="A31" s="14">
        <v>39965</v>
      </c>
      <c r="B31" s="201">
        <v>6393.2</v>
      </c>
      <c r="C31" s="119">
        <v>146.4</v>
      </c>
      <c r="D31" s="188">
        <v>539388</v>
      </c>
      <c r="E31" s="15"/>
      <c r="F31" s="13">
        <v>2016</v>
      </c>
      <c r="G31" s="188">
        <v>634257.80000000005</v>
      </c>
      <c r="H31" s="192">
        <f t="shared" si="0"/>
        <v>1.026221767315793</v>
      </c>
      <c r="I31" s="165">
        <v>693900.4</v>
      </c>
      <c r="J31" s="192">
        <f t="shared" si="1"/>
        <v>1.0243826249217578</v>
      </c>
      <c r="K31" s="192"/>
      <c r="P31" s="168">
        <v>6429.4</v>
      </c>
      <c r="Q31" s="186">
        <v>145.69999999999999</v>
      </c>
    </row>
    <row r="32" spans="1:18">
      <c r="A32" s="14">
        <v>39995</v>
      </c>
      <c r="B32" s="201">
        <v>6390.2</v>
      </c>
      <c r="C32" s="119">
        <v>145.19999999999999</v>
      </c>
      <c r="D32" s="188">
        <v>539388</v>
      </c>
      <c r="E32" s="15"/>
      <c r="F32" s="13">
        <v>2017</v>
      </c>
      <c r="G32" s="148">
        <v>651932.30000000005</v>
      </c>
      <c r="H32" s="192">
        <f>G32/G31</f>
        <v>1.0278664290766311</v>
      </c>
      <c r="I32" s="165">
        <v>712984.3</v>
      </c>
      <c r="J32" s="192">
        <f t="shared" si="1"/>
        <v>1.0275023620104557</v>
      </c>
      <c r="K32" s="192"/>
      <c r="P32" s="168">
        <v>6467</v>
      </c>
      <c r="Q32" s="186">
        <v>144.30000000000001</v>
      </c>
    </row>
    <row r="33" spans="1:17">
      <c r="A33" s="14">
        <v>40026</v>
      </c>
      <c r="B33" s="201">
        <v>6401</v>
      </c>
      <c r="C33" s="119">
        <v>145.30000000000001</v>
      </c>
      <c r="D33" s="188">
        <v>539388</v>
      </c>
      <c r="E33" s="15"/>
      <c r="F33" s="13">
        <v>2018</v>
      </c>
      <c r="G33" s="193">
        <f>H33*G32</f>
        <v>665994.78021817585</v>
      </c>
      <c r="H33" s="194">
        <f>J33</f>
        <v>1.0215704609484386</v>
      </c>
      <c r="I33" s="165">
        <v>728363.7</v>
      </c>
      <c r="J33" s="192">
        <f t="shared" si="1"/>
        <v>1.0215704609484386</v>
      </c>
      <c r="K33" s="192"/>
      <c r="P33" s="168">
        <v>6487.6</v>
      </c>
      <c r="Q33" s="186">
        <v>145.1</v>
      </c>
    </row>
    <row r="34" spans="1:17">
      <c r="A34" s="14">
        <v>40057</v>
      </c>
      <c r="B34" s="201">
        <v>6421.2</v>
      </c>
      <c r="C34" s="119">
        <v>145.6</v>
      </c>
      <c r="D34" s="188">
        <v>539388</v>
      </c>
      <c r="E34" s="15"/>
      <c r="P34" s="168">
        <v>6470.2</v>
      </c>
      <c r="Q34" s="186">
        <v>146.80000000000001</v>
      </c>
    </row>
    <row r="35" spans="1:17">
      <c r="A35" s="14">
        <v>40087</v>
      </c>
      <c r="B35" s="201">
        <v>6438.2</v>
      </c>
      <c r="C35" s="119">
        <v>146.30000000000001</v>
      </c>
      <c r="D35" s="188">
        <v>539388</v>
      </c>
      <c r="E35" s="15"/>
      <c r="P35" s="168">
        <v>6472.1</v>
      </c>
      <c r="Q35" s="186">
        <v>149.19999999999999</v>
      </c>
    </row>
    <row r="36" spans="1:17">
      <c r="A36" s="14">
        <v>40118</v>
      </c>
      <c r="B36" s="201">
        <v>6454</v>
      </c>
      <c r="C36" s="119">
        <v>146.4</v>
      </c>
      <c r="D36" s="188">
        <v>539388</v>
      </c>
      <c r="E36" s="15"/>
      <c r="P36" s="168">
        <v>6465.6</v>
      </c>
      <c r="Q36" s="186">
        <v>150.1</v>
      </c>
    </row>
    <row r="37" spans="1:17">
      <c r="A37" s="14">
        <v>40148</v>
      </c>
      <c r="B37" s="201">
        <v>6458.5</v>
      </c>
      <c r="C37" s="119">
        <v>147.1</v>
      </c>
      <c r="D37" s="188">
        <v>539388</v>
      </c>
      <c r="E37" s="15"/>
      <c r="P37" s="168">
        <v>6467.5</v>
      </c>
      <c r="Q37" s="186">
        <v>150.19999999999999</v>
      </c>
    </row>
    <row r="38" spans="1:17">
      <c r="A38" s="14">
        <v>40179</v>
      </c>
      <c r="B38" s="201">
        <v>6466.9</v>
      </c>
      <c r="C38" s="119">
        <v>146.9</v>
      </c>
      <c r="D38" s="188">
        <v>555907.5</v>
      </c>
      <c r="E38" s="158"/>
      <c r="P38" s="168">
        <v>6434.5</v>
      </c>
      <c r="Q38" s="186">
        <v>146.80000000000001</v>
      </c>
    </row>
    <row r="39" spans="1:17">
      <c r="A39" s="14">
        <v>40210</v>
      </c>
      <c r="B39" s="201">
        <v>6471</v>
      </c>
      <c r="C39" s="119">
        <v>147.6</v>
      </c>
      <c r="D39" s="188">
        <v>555907.5</v>
      </c>
      <c r="E39" s="15"/>
      <c r="P39" s="168">
        <v>6404.1</v>
      </c>
      <c r="Q39" s="186">
        <v>145.5</v>
      </c>
    </row>
    <row r="40" spans="1:17">
      <c r="A40" s="14">
        <v>40238</v>
      </c>
      <c r="B40" s="201">
        <v>6477.5</v>
      </c>
      <c r="C40" s="119">
        <v>147.4</v>
      </c>
      <c r="D40" s="188">
        <v>555907.5</v>
      </c>
      <c r="E40" s="15"/>
      <c r="P40" s="168">
        <v>6377.2</v>
      </c>
      <c r="Q40" s="186">
        <v>143.30000000000001</v>
      </c>
    </row>
    <row r="41" spans="1:17">
      <c r="A41" s="14">
        <v>40269</v>
      </c>
      <c r="B41" s="201">
        <v>6485</v>
      </c>
      <c r="C41" s="119">
        <v>149</v>
      </c>
      <c r="D41" s="188">
        <v>555907.5</v>
      </c>
      <c r="E41" s="15"/>
      <c r="P41" s="168">
        <v>6401.7</v>
      </c>
      <c r="Q41" s="186">
        <v>146.6</v>
      </c>
    </row>
    <row r="42" spans="1:17">
      <c r="A42" s="14">
        <v>40299</v>
      </c>
      <c r="B42" s="201">
        <v>6506.8</v>
      </c>
      <c r="C42" s="119">
        <v>149.6</v>
      </c>
      <c r="D42" s="188">
        <v>555907.5</v>
      </c>
      <c r="E42" s="15"/>
      <c r="P42" s="168">
        <v>6468.9</v>
      </c>
      <c r="Q42" s="186">
        <v>147.80000000000001</v>
      </c>
    </row>
    <row r="43" spans="1:17">
      <c r="A43" s="14">
        <v>40330</v>
      </c>
      <c r="B43" s="201">
        <v>6540.8</v>
      </c>
      <c r="C43" s="119">
        <v>150.5</v>
      </c>
      <c r="D43" s="188">
        <v>555907.5</v>
      </c>
      <c r="E43" s="15"/>
      <c r="P43" s="168">
        <v>6578.9</v>
      </c>
      <c r="Q43" s="186">
        <v>149.9</v>
      </c>
    </row>
    <row r="44" spans="1:17">
      <c r="A44" s="14">
        <v>40360</v>
      </c>
      <c r="B44" s="201">
        <v>6561</v>
      </c>
      <c r="C44" s="119">
        <v>148.69999999999999</v>
      </c>
      <c r="D44" s="188">
        <v>555907.5</v>
      </c>
      <c r="E44" s="15"/>
      <c r="P44" s="168">
        <v>6640.9</v>
      </c>
      <c r="Q44" s="186">
        <v>148.30000000000001</v>
      </c>
    </row>
    <row r="45" spans="1:17">
      <c r="A45" s="14">
        <v>40391</v>
      </c>
      <c r="B45" s="201">
        <v>6568.9</v>
      </c>
      <c r="C45" s="119">
        <v>148</v>
      </c>
      <c r="D45" s="188">
        <v>555907.5</v>
      </c>
      <c r="E45" s="15"/>
      <c r="P45" s="168">
        <v>6662.6</v>
      </c>
      <c r="Q45" s="186">
        <v>148.4</v>
      </c>
    </row>
    <row r="46" spans="1:17">
      <c r="A46" s="14">
        <v>40422</v>
      </c>
      <c r="B46" s="201">
        <v>6556</v>
      </c>
      <c r="C46" s="119">
        <v>146.9</v>
      </c>
      <c r="D46" s="188">
        <v>555907.5</v>
      </c>
      <c r="E46" s="15"/>
      <c r="P46" s="168">
        <v>6611.2</v>
      </c>
      <c r="Q46" s="186">
        <v>148.69999999999999</v>
      </c>
    </row>
    <row r="47" spans="1:17">
      <c r="A47" s="14">
        <v>40452</v>
      </c>
      <c r="B47" s="201">
        <v>6551.6</v>
      </c>
      <c r="C47" s="119">
        <v>146.4</v>
      </c>
      <c r="D47" s="188">
        <v>555907.5</v>
      </c>
      <c r="E47" s="15"/>
      <c r="P47" s="168">
        <v>6587.1</v>
      </c>
      <c r="Q47" s="186">
        <v>149.6</v>
      </c>
    </row>
    <row r="48" spans="1:17">
      <c r="A48" s="14">
        <v>40483</v>
      </c>
      <c r="B48" s="201">
        <v>6555.7</v>
      </c>
      <c r="C48" s="119">
        <v>145.4</v>
      </c>
      <c r="D48" s="188">
        <v>555907.5</v>
      </c>
      <c r="E48" s="15"/>
      <c r="P48" s="168">
        <v>6566.6</v>
      </c>
      <c r="Q48" s="186">
        <v>148.9</v>
      </c>
    </row>
    <row r="49" spans="1:17">
      <c r="A49" s="14">
        <v>40513</v>
      </c>
      <c r="B49" s="201">
        <v>6578.3</v>
      </c>
      <c r="C49" s="119">
        <v>145.30000000000001</v>
      </c>
      <c r="D49" s="188">
        <v>555907.5</v>
      </c>
      <c r="E49" s="15"/>
      <c r="P49" s="168">
        <v>6584.1</v>
      </c>
      <c r="Q49" s="186">
        <v>148.1</v>
      </c>
    </row>
    <row r="50" spans="1:17">
      <c r="A50" s="14">
        <v>40544</v>
      </c>
      <c r="B50" s="201">
        <v>6606.3</v>
      </c>
      <c r="C50" s="119">
        <v>148.9</v>
      </c>
      <c r="D50" s="188">
        <v>570633.30000000005</v>
      </c>
      <c r="E50" s="158"/>
      <c r="P50" s="168">
        <v>6571.2</v>
      </c>
      <c r="Q50" s="186">
        <v>148.69999999999999</v>
      </c>
    </row>
    <row r="51" spans="1:17">
      <c r="A51" s="14">
        <v>40575</v>
      </c>
      <c r="B51" s="201">
        <v>6619.5</v>
      </c>
      <c r="C51" s="119">
        <v>148.69999999999999</v>
      </c>
      <c r="D51" s="188">
        <v>570633.30000000005</v>
      </c>
      <c r="E51" s="15"/>
      <c r="P51" s="168">
        <v>6548.1</v>
      </c>
      <c r="Q51" s="186">
        <v>146.69999999999999</v>
      </c>
    </row>
    <row r="52" spans="1:17">
      <c r="A52" s="14">
        <v>40603</v>
      </c>
      <c r="B52" s="201">
        <v>6628.6</v>
      </c>
      <c r="C52" s="119">
        <v>149.1</v>
      </c>
      <c r="D52" s="188">
        <v>570633.30000000005</v>
      </c>
      <c r="E52" s="15"/>
      <c r="P52" s="168">
        <v>6523.7</v>
      </c>
      <c r="Q52" s="186">
        <v>145.4</v>
      </c>
    </row>
    <row r="53" spans="1:17">
      <c r="A53" s="14">
        <v>40634</v>
      </c>
      <c r="B53" s="201">
        <v>6635.5</v>
      </c>
      <c r="C53" s="119">
        <v>146.30000000000001</v>
      </c>
      <c r="D53" s="188">
        <v>570633.30000000005</v>
      </c>
      <c r="E53" s="15"/>
      <c r="P53" s="168">
        <v>6550</v>
      </c>
      <c r="Q53" s="186">
        <v>144</v>
      </c>
    </row>
    <row r="54" spans="1:17">
      <c r="A54" s="14">
        <v>40664</v>
      </c>
      <c r="B54" s="201">
        <v>6645.8</v>
      </c>
      <c r="C54" s="119">
        <v>146.9</v>
      </c>
      <c r="D54" s="188">
        <v>570633.30000000005</v>
      </c>
      <c r="E54" s="15"/>
      <c r="P54" s="168">
        <v>6612</v>
      </c>
      <c r="Q54" s="186">
        <v>144.6</v>
      </c>
    </row>
    <row r="55" spans="1:17">
      <c r="A55" s="14">
        <v>40695</v>
      </c>
      <c r="B55" s="201">
        <v>6662</v>
      </c>
      <c r="C55" s="119">
        <v>147.1</v>
      </c>
      <c r="D55" s="188">
        <v>570633.30000000005</v>
      </c>
      <c r="E55" s="15"/>
      <c r="P55" s="168">
        <v>6706.8</v>
      </c>
      <c r="Q55" s="186">
        <v>146</v>
      </c>
    </row>
    <row r="56" spans="1:17">
      <c r="A56" s="14">
        <v>40725</v>
      </c>
      <c r="B56" s="201">
        <v>6665.8</v>
      </c>
      <c r="C56" s="119">
        <v>148</v>
      </c>
      <c r="D56" s="188">
        <v>570633.30000000005</v>
      </c>
      <c r="E56" s="15"/>
      <c r="P56" s="168">
        <v>6755.3</v>
      </c>
      <c r="Q56" s="186">
        <v>147.6</v>
      </c>
    </row>
    <row r="57" spans="1:17">
      <c r="A57" s="14">
        <v>40756</v>
      </c>
      <c r="B57" s="201">
        <v>6677.5</v>
      </c>
      <c r="C57" s="119">
        <v>147.9</v>
      </c>
      <c r="D57" s="188">
        <v>570633.30000000005</v>
      </c>
      <c r="E57" s="15"/>
      <c r="P57" s="168">
        <v>6778</v>
      </c>
      <c r="Q57" s="186">
        <v>148.69999999999999</v>
      </c>
    </row>
    <row r="58" spans="1:17">
      <c r="A58" s="14">
        <v>40787</v>
      </c>
      <c r="B58" s="201">
        <v>6674.4</v>
      </c>
      <c r="C58" s="119">
        <v>146</v>
      </c>
      <c r="D58" s="188">
        <v>570633.30000000005</v>
      </c>
      <c r="E58" s="15"/>
      <c r="P58" s="168">
        <v>6734.6</v>
      </c>
      <c r="Q58" s="186">
        <v>148.1</v>
      </c>
    </row>
    <row r="59" spans="1:17">
      <c r="A59" s="14">
        <v>40817</v>
      </c>
      <c r="B59" s="201">
        <v>6668.1</v>
      </c>
      <c r="C59" s="119">
        <v>146</v>
      </c>
      <c r="D59" s="188">
        <v>570633.30000000005</v>
      </c>
      <c r="E59" s="15"/>
      <c r="P59" s="168">
        <v>6702.2</v>
      </c>
      <c r="Q59" s="186">
        <v>149.1</v>
      </c>
    </row>
    <row r="60" spans="1:17">
      <c r="A60" s="14">
        <v>40848</v>
      </c>
      <c r="B60" s="201">
        <v>6662.8</v>
      </c>
      <c r="C60" s="119">
        <v>147.30000000000001</v>
      </c>
      <c r="D60" s="188">
        <v>570633.30000000005</v>
      </c>
      <c r="E60" s="15"/>
      <c r="P60" s="168">
        <v>6669.4</v>
      </c>
      <c r="Q60" s="186">
        <v>150.80000000000001</v>
      </c>
    </row>
    <row r="61" spans="1:17">
      <c r="A61" s="14">
        <v>40878</v>
      </c>
      <c r="B61" s="201">
        <v>6667.5</v>
      </c>
      <c r="C61" s="119">
        <v>149.30000000000001</v>
      </c>
      <c r="D61" s="188">
        <v>570633.30000000005</v>
      </c>
      <c r="E61" s="15"/>
      <c r="P61" s="168">
        <v>6668.3</v>
      </c>
      <c r="Q61" s="186">
        <v>152.1</v>
      </c>
    </row>
    <row r="62" spans="1:17">
      <c r="A62" s="14">
        <v>40909</v>
      </c>
      <c r="B62" s="201">
        <v>6673.6</v>
      </c>
      <c r="C62" s="119">
        <v>149.5</v>
      </c>
      <c r="D62" s="188">
        <v>578793.9</v>
      </c>
      <c r="E62" s="158"/>
      <c r="P62" s="168">
        <v>6635.9</v>
      </c>
      <c r="Q62" s="186">
        <v>149.5</v>
      </c>
    </row>
    <row r="63" spans="1:17">
      <c r="A63" s="14">
        <v>40940</v>
      </c>
      <c r="B63" s="201">
        <v>6670.7</v>
      </c>
      <c r="C63" s="119">
        <v>150.19999999999999</v>
      </c>
      <c r="D63" s="188">
        <v>578793.9</v>
      </c>
      <c r="E63" s="15"/>
      <c r="P63" s="168">
        <v>6598</v>
      </c>
      <c r="Q63" s="186">
        <v>148.4</v>
      </c>
    </row>
    <row r="64" spans="1:17">
      <c r="A64" s="14">
        <v>40969</v>
      </c>
      <c r="B64" s="201">
        <v>6674</v>
      </c>
      <c r="C64" s="119">
        <v>151.80000000000001</v>
      </c>
      <c r="D64" s="188">
        <v>578793.9</v>
      </c>
      <c r="E64" s="15"/>
      <c r="P64" s="168">
        <v>6569.8</v>
      </c>
      <c r="Q64" s="186">
        <v>148.5</v>
      </c>
    </row>
    <row r="65" spans="1:17">
      <c r="A65" s="14">
        <v>41000</v>
      </c>
      <c r="B65" s="201">
        <v>6685.8</v>
      </c>
      <c r="C65" s="119">
        <v>152.5</v>
      </c>
      <c r="D65" s="188">
        <v>578793.9</v>
      </c>
      <c r="E65" s="15"/>
      <c r="P65" s="168">
        <v>6603.3</v>
      </c>
      <c r="Q65" s="186">
        <v>150.6</v>
      </c>
    </row>
    <row r="66" spans="1:17">
      <c r="A66" s="14">
        <v>41030</v>
      </c>
      <c r="B66" s="201">
        <v>6690.1</v>
      </c>
      <c r="C66" s="119">
        <v>152.69999999999999</v>
      </c>
      <c r="D66" s="188">
        <v>578793.9</v>
      </c>
      <c r="E66" s="15"/>
      <c r="P66" s="168">
        <v>6658.1</v>
      </c>
      <c r="Q66" s="186">
        <v>151.1</v>
      </c>
    </row>
    <row r="67" spans="1:17">
      <c r="A67" s="14">
        <v>41061</v>
      </c>
      <c r="B67" s="201">
        <v>6693.3</v>
      </c>
      <c r="C67" s="119">
        <v>152.6</v>
      </c>
      <c r="D67" s="188">
        <v>578793.9</v>
      </c>
      <c r="E67" s="15"/>
      <c r="P67" s="168">
        <v>6737.2</v>
      </c>
      <c r="Q67" s="186">
        <v>152.19999999999999</v>
      </c>
    </row>
    <row r="68" spans="1:17">
      <c r="A68" s="14">
        <v>41091</v>
      </c>
      <c r="B68" s="201">
        <v>6694.6</v>
      </c>
      <c r="C68" s="119">
        <v>153.80000000000001</v>
      </c>
      <c r="D68" s="188">
        <v>578793.9</v>
      </c>
      <c r="E68" s="15"/>
      <c r="P68" s="168">
        <v>6778.6</v>
      </c>
      <c r="Q68" s="186">
        <v>153.4</v>
      </c>
    </row>
    <row r="69" spans="1:17">
      <c r="A69" s="14">
        <v>41122</v>
      </c>
      <c r="B69" s="201">
        <v>6703.3</v>
      </c>
      <c r="C69" s="119">
        <v>154.5</v>
      </c>
      <c r="D69" s="188">
        <v>578793.9</v>
      </c>
      <c r="E69" s="15"/>
      <c r="P69" s="168">
        <v>6797.9</v>
      </c>
      <c r="Q69" s="186">
        <v>155</v>
      </c>
    </row>
    <row r="70" spans="1:17">
      <c r="A70" s="14">
        <v>41153</v>
      </c>
      <c r="B70" s="201">
        <v>6707.4</v>
      </c>
      <c r="C70" s="119">
        <v>155.1</v>
      </c>
      <c r="D70" s="188">
        <v>578793.9</v>
      </c>
      <c r="E70" s="15"/>
      <c r="P70" s="168">
        <v>6763.1</v>
      </c>
      <c r="Q70" s="186">
        <v>156.9</v>
      </c>
    </row>
    <row r="71" spans="1:17">
      <c r="A71" s="14">
        <v>41183</v>
      </c>
      <c r="B71" s="201">
        <v>6710</v>
      </c>
      <c r="C71" s="119">
        <v>154.30000000000001</v>
      </c>
      <c r="D71" s="188">
        <v>578793.9</v>
      </c>
      <c r="E71" s="15"/>
      <c r="P71" s="168">
        <v>6740.9</v>
      </c>
      <c r="Q71" s="186">
        <v>157.5</v>
      </c>
    </row>
    <row r="72" spans="1:17">
      <c r="A72" s="14">
        <v>41214</v>
      </c>
      <c r="B72" s="201">
        <v>6722.4</v>
      </c>
      <c r="C72" s="119">
        <v>153.80000000000001</v>
      </c>
      <c r="D72" s="188">
        <v>578793.9</v>
      </c>
      <c r="E72" s="15"/>
      <c r="P72" s="168">
        <v>6727.4</v>
      </c>
      <c r="Q72" s="186">
        <v>157.6</v>
      </c>
    </row>
    <row r="73" spans="1:17">
      <c r="A73" s="14">
        <v>41244</v>
      </c>
      <c r="B73" s="201">
        <v>6740.6</v>
      </c>
      <c r="C73" s="119">
        <v>152.9</v>
      </c>
      <c r="D73" s="188">
        <v>578793.9</v>
      </c>
      <c r="E73" s="15"/>
      <c r="P73" s="168">
        <v>6740.2</v>
      </c>
      <c r="Q73" s="186">
        <v>155.5</v>
      </c>
    </row>
    <row r="74" spans="1:17">
      <c r="A74" s="14">
        <v>41275</v>
      </c>
      <c r="B74" s="201">
        <v>6758.8</v>
      </c>
      <c r="C74" s="119">
        <v>151.4</v>
      </c>
      <c r="D74" s="188">
        <v>586913</v>
      </c>
      <c r="E74" s="158"/>
      <c r="P74" s="168">
        <v>6721.7</v>
      </c>
      <c r="Q74" s="186">
        <v>151.1</v>
      </c>
    </row>
    <row r="75" spans="1:17">
      <c r="A75" s="14">
        <v>41306</v>
      </c>
      <c r="B75" s="201">
        <v>6775.5</v>
      </c>
      <c r="C75" s="119">
        <v>151.9</v>
      </c>
      <c r="D75" s="188">
        <v>586913</v>
      </c>
      <c r="E75" s="15"/>
      <c r="P75" s="168">
        <v>6702</v>
      </c>
      <c r="Q75" s="186">
        <v>150.19999999999999</v>
      </c>
    </row>
    <row r="76" spans="1:17">
      <c r="A76" s="14">
        <v>41334</v>
      </c>
      <c r="B76" s="201">
        <v>6781.1</v>
      </c>
      <c r="C76" s="119">
        <v>152.4</v>
      </c>
      <c r="D76" s="188">
        <v>586913</v>
      </c>
      <c r="E76" s="15"/>
      <c r="P76" s="168">
        <v>6675.8</v>
      </c>
      <c r="Q76" s="186">
        <v>149.4</v>
      </c>
    </row>
    <row r="77" spans="1:17">
      <c r="A77" s="14">
        <v>41365</v>
      </c>
      <c r="B77" s="201">
        <v>6788.9</v>
      </c>
      <c r="C77" s="119">
        <v>154.4</v>
      </c>
      <c r="D77" s="188">
        <v>586913</v>
      </c>
      <c r="E77" s="15"/>
      <c r="P77" s="168">
        <v>6703.7</v>
      </c>
      <c r="Q77" s="186">
        <v>152.6</v>
      </c>
    </row>
    <row r="78" spans="1:17">
      <c r="A78" s="14">
        <v>41395</v>
      </c>
      <c r="B78" s="201">
        <v>6801.1</v>
      </c>
      <c r="C78" s="119">
        <v>155.30000000000001</v>
      </c>
      <c r="D78" s="188">
        <v>586913</v>
      </c>
      <c r="E78" s="15"/>
      <c r="P78" s="168">
        <v>6770.3</v>
      </c>
      <c r="Q78" s="186">
        <v>154</v>
      </c>
    </row>
    <row r="79" spans="1:17">
      <c r="A79" s="14">
        <v>41426</v>
      </c>
      <c r="B79" s="201">
        <v>6815.2</v>
      </c>
      <c r="C79" s="119">
        <v>156.1</v>
      </c>
      <c r="D79" s="188">
        <v>586913</v>
      </c>
      <c r="E79" s="15"/>
      <c r="P79" s="168">
        <v>6861.8</v>
      </c>
      <c r="Q79" s="186">
        <v>155.9</v>
      </c>
    </row>
    <row r="80" spans="1:17">
      <c r="A80" s="14">
        <v>41456</v>
      </c>
      <c r="B80" s="201">
        <v>6826.2</v>
      </c>
      <c r="C80" s="119">
        <v>156</v>
      </c>
      <c r="D80" s="188">
        <v>586913</v>
      </c>
      <c r="E80" s="15"/>
      <c r="P80" s="168">
        <v>6917.1</v>
      </c>
      <c r="Q80" s="186">
        <v>156.6</v>
      </c>
    </row>
    <row r="81" spans="1:17">
      <c r="A81" s="14">
        <v>41487</v>
      </c>
      <c r="B81" s="201">
        <v>6833.9</v>
      </c>
      <c r="C81" s="119">
        <v>155.80000000000001</v>
      </c>
      <c r="D81" s="188">
        <v>586913</v>
      </c>
      <c r="E81" s="15"/>
      <c r="P81" s="168">
        <v>6934.7</v>
      </c>
      <c r="Q81" s="186">
        <v>156.5</v>
      </c>
    </row>
    <row r="82" spans="1:17">
      <c r="A82" s="14">
        <v>41518</v>
      </c>
      <c r="B82" s="201">
        <v>6843.3</v>
      </c>
      <c r="C82" s="119">
        <v>154</v>
      </c>
      <c r="D82" s="188">
        <v>586913</v>
      </c>
      <c r="E82" s="15"/>
      <c r="P82" s="168">
        <v>6906.9</v>
      </c>
      <c r="Q82" s="186">
        <v>154.6</v>
      </c>
    </row>
    <row r="83" spans="1:17">
      <c r="A83" s="14">
        <v>41548</v>
      </c>
      <c r="B83" s="201">
        <v>6850.3</v>
      </c>
      <c r="C83" s="119">
        <v>154.5</v>
      </c>
      <c r="D83" s="188">
        <v>586913</v>
      </c>
      <c r="E83" s="15"/>
      <c r="P83" s="168">
        <v>6889</v>
      </c>
      <c r="Q83" s="186">
        <v>155.80000000000001</v>
      </c>
    </row>
    <row r="84" spans="1:17">
      <c r="A84" s="14">
        <v>41579</v>
      </c>
      <c r="B84" s="201">
        <v>6854</v>
      </c>
      <c r="C84" s="119">
        <v>155</v>
      </c>
      <c r="D84" s="188">
        <v>586913</v>
      </c>
      <c r="E84" s="15"/>
      <c r="P84" s="168">
        <v>6863.8</v>
      </c>
      <c r="Q84" s="186">
        <v>156.69999999999999</v>
      </c>
    </row>
    <row r="85" spans="1:17">
      <c r="A85" s="14">
        <v>41609</v>
      </c>
      <c r="B85" s="201">
        <v>6850.4</v>
      </c>
      <c r="C85" s="119">
        <v>157</v>
      </c>
      <c r="D85" s="188">
        <v>586913</v>
      </c>
      <c r="E85" s="15"/>
      <c r="P85" s="168">
        <v>6849.3</v>
      </c>
      <c r="Q85" s="186">
        <v>159.19999999999999</v>
      </c>
    </row>
    <row r="86" spans="1:17">
      <c r="A86" s="14">
        <v>41640</v>
      </c>
      <c r="B86" s="201">
        <v>6848.3</v>
      </c>
      <c r="C86" s="119">
        <v>157.6</v>
      </c>
      <c r="D86" s="188">
        <v>601343.5</v>
      </c>
      <c r="E86" s="158"/>
      <c r="P86" s="168">
        <v>6806.1</v>
      </c>
      <c r="Q86" s="186">
        <v>157.1</v>
      </c>
    </row>
    <row r="87" spans="1:17">
      <c r="A87" s="14">
        <v>41671</v>
      </c>
      <c r="B87" s="201">
        <v>6850</v>
      </c>
      <c r="C87" s="119">
        <v>156.4</v>
      </c>
      <c r="D87" s="188">
        <v>601343.5</v>
      </c>
      <c r="E87" s="15"/>
      <c r="P87" s="168">
        <v>6772.3</v>
      </c>
      <c r="Q87" s="186">
        <v>154.69999999999999</v>
      </c>
    </row>
    <row r="88" spans="1:17">
      <c r="A88" s="14">
        <v>41699</v>
      </c>
      <c r="B88" s="201">
        <v>6856.4</v>
      </c>
      <c r="C88" s="119">
        <v>155.30000000000001</v>
      </c>
      <c r="D88" s="188">
        <v>601343.5</v>
      </c>
      <c r="E88" s="15"/>
      <c r="P88" s="168">
        <v>6751.3</v>
      </c>
      <c r="Q88" s="186">
        <v>152.4</v>
      </c>
    </row>
    <row r="89" spans="1:17">
      <c r="A89" s="14">
        <v>41730</v>
      </c>
      <c r="B89" s="201">
        <v>6869.6</v>
      </c>
      <c r="C89" s="119">
        <v>152.9</v>
      </c>
      <c r="D89" s="188">
        <v>601343.5</v>
      </c>
      <c r="E89" s="15"/>
      <c r="P89" s="168">
        <v>6785</v>
      </c>
      <c r="Q89" s="186">
        <v>151.1</v>
      </c>
    </row>
    <row r="90" spans="1:17">
      <c r="A90" s="14">
        <v>41760</v>
      </c>
      <c r="B90" s="201">
        <v>6870.6</v>
      </c>
      <c r="C90" s="119">
        <v>152.1</v>
      </c>
      <c r="D90" s="188">
        <v>601343.5</v>
      </c>
      <c r="E90" s="15"/>
      <c r="P90" s="168">
        <v>6842.6</v>
      </c>
      <c r="Q90" s="186">
        <v>151.19999999999999</v>
      </c>
    </row>
    <row r="91" spans="1:17">
      <c r="A91" s="14">
        <v>41791</v>
      </c>
      <c r="B91" s="201">
        <v>6865.4</v>
      </c>
      <c r="C91" s="119">
        <v>150.80000000000001</v>
      </c>
      <c r="D91" s="188">
        <v>601343.5</v>
      </c>
      <c r="E91" s="15"/>
      <c r="P91" s="168">
        <v>6912.9</v>
      </c>
      <c r="Q91" s="186">
        <v>150.9</v>
      </c>
    </row>
    <row r="92" spans="1:17">
      <c r="A92" s="14">
        <v>41821</v>
      </c>
      <c r="B92" s="201">
        <v>6864.4</v>
      </c>
      <c r="C92" s="119">
        <v>152.1</v>
      </c>
      <c r="D92" s="188">
        <v>601343.5</v>
      </c>
      <c r="E92" s="15"/>
      <c r="P92" s="168">
        <v>6957.8</v>
      </c>
      <c r="Q92" s="186">
        <v>153.6</v>
      </c>
    </row>
    <row r="93" spans="1:17">
      <c r="A93" s="14">
        <v>41852</v>
      </c>
      <c r="B93" s="201">
        <v>6869.9</v>
      </c>
      <c r="C93" s="119">
        <v>153.30000000000001</v>
      </c>
      <c r="D93" s="188">
        <v>601343.5</v>
      </c>
      <c r="E93" s="15"/>
      <c r="P93" s="168">
        <v>6969.7</v>
      </c>
      <c r="Q93" s="186">
        <v>154.5</v>
      </c>
    </row>
    <row r="94" spans="1:17">
      <c r="A94" s="14">
        <v>41883</v>
      </c>
      <c r="B94" s="201">
        <v>6884.5</v>
      </c>
      <c r="C94" s="119">
        <v>155.30000000000001</v>
      </c>
      <c r="D94" s="188">
        <v>601343.5</v>
      </c>
      <c r="E94" s="15"/>
      <c r="P94" s="168">
        <v>6944.1</v>
      </c>
      <c r="Q94" s="186">
        <v>156.6</v>
      </c>
    </row>
    <row r="95" spans="1:17">
      <c r="A95" s="14">
        <v>41913</v>
      </c>
      <c r="B95" s="201">
        <v>6901.5</v>
      </c>
      <c r="C95" s="119">
        <v>156.9</v>
      </c>
      <c r="D95" s="188">
        <v>601343.5</v>
      </c>
      <c r="E95" s="15"/>
      <c r="P95" s="168">
        <v>6936.6</v>
      </c>
      <c r="Q95" s="186">
        <v>158.30000000000001</v>
      </c>
    </row>
    <row r="96" spans="1:17">
      <c r="A96" s="14">
        <v>41944</v>
      </c>
      <c r="B96" s="201">
        <v>6907.5</v>
      </c>
      <c r="C96" s="119">
        <v>157.9</v>
      </c>
      <c r="D96" s="188">
        <v>601343.5</v>
      </c>
      <c r="E96" s="15"/>
      <c r="P96" s="168">
        <v>6914.3</v>
      </c>
      <c r="Q96" s="186">
        <v>159.30000000000001</v>
      </c>
    </row>
    <row r="97" spans="1:17">
      <c r="A97" s="14">
        <v>41974</v>
      </c>
      <c r="B97" s="201">
        <v>6903.1</v>
      </c>
      <c r="C97" s="119">
        <v>159.9</v>
      </c>
      <c r="D97" s="188">
        <v>601343.5</v>
      </c>
      <c r="E97" s="15"/>
      <c r="P97" s="168">
        <v>6903.2</v>
      </c>
      <c r="Q97" s="186">
        <v>161.1</v>
      </c>
    </row>
    <row r="98" spans="1:17">
      <c r="A98" s="14">
        <v>42005</v>
      </c>
      <c r="B98" s="201">
        <v>6885.7</v>
      </c>
      <c r="C98" s="119">
        <v>160.4</v>
      </c>
      <c r="D98" s="188">
        <v>618051.4</v>
      </c>
      <c r="E98" s="158"/>
      <c r="P98" s="168">
        <v>6845.1</v>
      </c>
      <c r="Q98" s="186">
        <v>159.30000000000001</v>
      </c>
    </row>
    <row r="99" spans="1:17">
      <c r="A99" s="14">
        <v>42036</v>
      </c>
      <c r="B99" s="201">
        <v>6885.3</v>
      </c>
      <c r="C99" s="119">
        <v>161.69999999999999</v>
      </c>
      <c r="D99" s="188">
        <v>618051.4</v>
      </c>
      <c r="E99" s="15"/>
      <c r="P99" s="168">
        <v>6810.3</v>
      </c>
      <c r="Q99" s="186">
        <v>159.1</v>
      </c>
    </row>
    <row r="100" spans="1:17">
      <c r="A100" s="14">
        <v>42064</v>
      </c>
      <c r="B100" s="201">
        <v>6892.1</v>
      </c>
      <c r="C100" s="119">
        <v>160.5</v>
      </c>
      <c r="D100" s="188">
        <v>618051.4</v>
      </c>
      <c r="E100" s="15"/>
      <c r="P100" s="168">
        <v>6783.7</v>
      </c>
      <c r="Q100" s="186">
        <v>156.1</v>
      </c>
    </row>
    <row r="101" spans="1:17">
      <c r="A101" s="14">
        <v>42095</v>
      </c>
      <c r="B101" s="201">
        <v>6897.3</v>
      </c>
      <c r="C101" s="119">
        <v>160.19999999999999</v>
      </c>
      <c r="D101" s="188">
        <v>618051.4</v>
      </c>
      <c r="E101" s="15"/>
      <c r="P101" s="168">
        <v>6805.6</v>
      </c>
      <c r="Q101" s="186">
        <v>156.4</v>
      </c>
    </row>
    <row r="102" spans="1:17">
      <c r="A102" s="14">
        <v>42125</v>
      </c>
      <c r="B102" s="201">
        <v>6906.5</v>
      </c>
      <c r="C102" s="119">
        <v>160.80000000000001</v>
      </c>
      <c r="D102" s="188">
        <v>618051.4</v>
      </c>
      <c r="E102" s="15"/>
      <c r="P102" s="168">
        <v>6870.9</v>
      </c>
      <c r="Q102" s="186">
        <v>159.1</v>
      </c>
    </row>
    <row r="103" spans="1:17">
      <c r="A103" s="14">
        <v>42156</v>
      </c>
      <c r="B103" s="201">
        <v>6921.3</v>
      </c>
      <c r="C103" s="119">
        <v>163</v>
      </c>
      <c r="D103" s="188">
        <v>618051.4</v>
      </c>
      <c r="E103" s="15"/>
      <c r="P103" s="168">
        <v>6965.8</v>
      </c>
      <c r="Q103" s="186">
        <v>163.9</v>
      </c>
    </row>
    <row r="104" spans="1:17">
      <c r="A104" s="14">
        <v>42186</v>
      </c>
      <c r="B104" s="201">
        <v>6941.2</v>
      </c>
      <c r="C104" s="119">
        <v>162.19999999999999</v>
      </c>
      <c r="D104" s="188">
        <v>618051.4</v>
      </c>
      <c r="E104" s="15"/>
      <c r="P104" s="168">
        <v>7032.3</v>
      </c>
      <c r="Q104" s="186">
        <v>164.8</v>
      </c>
    </row>
    <row r="105" spans="1:17">
      <c r="A105" s="14">
        <v>42217</v>
      </c>
      <c r="B105" s="201">
        <v>6949.2</v>
      </c>
      <c r="C105" s="119">
        <v>158.69999999999999</v>
      </c>
      <c r="D105" s="188">
        <v>618051.4</v>
      </c>
      <c r="E105" s="15"/>
      <c r="P105" s="168">
        <v>7045.7</v>
      </c>
      <c r="Q105" s="186">
        <v>160.80000000000001</v>
      </c>
    </row>
    <row r="106" spans="1:17">
      <c r="A106" s="14">
        <v>42248</v>
      </c>
      <c r="B106" s="201">
        <v>6941.1</v>
      </c>
      <c r="C106" s="119">
        <v>155.5</v>
      </c>
      <c r="D106" s="188">
        <v>618051.4</v>
      </c>
      <c r="E106" s="15"/>
      <c r="P106" s="168">
        <v>6994.9</v>
      </c>
      <c r="Q106" s="186">
        <v>156.69999999999999</v>
      </c>
    </row>
    <row r="107" spans="1:17">
      <c r="A107" s="14">
        <v>42278</v>
      </c>
      <c r="B107" s="201">
        <v>6934.8</v>
      </c>
      <c r="C107" s="119">
        <v>153.9</v>
      </c>
      <c r="D107" s="188">
        <v>618051.4</v>
      </c>
      <c r="E107" s="15"/>
      <c r="P107" s="168">
        <v>6969</v>
      </c>
      <c r="Q107" s="186">
        <v>155.1</v>
      </c>
    </row>
    <row r="108" spans="1:17">
      <c r="A108" s="14">
        <v>42309</v>
      </c>
      <c r="B108" s="201">
        <v>6928.3</v>
      </c>
      <c r="C108" s="119">
        <v>154.19999999999999</v>
      </c>
      <c r="D108" s="188">
        <v>618051.4</v>
      </c>
      <c r="E108" s="15"/>
      <c r="P108" s="168">
        <v>6936.9</v>
      </c>
      <c r="Q108" s="186">
        <v>155.19999999999999</v>
      </c>
    </row>
    <row r="109" spans="1:17">
      <c r="A109" s="14">
        <v>42339</v>
      </c>
      <c r="B109" s="201">
        <v>6942.8</v>
      </c>
      <c r="C109" s="119">
        <v>154.4</v>
      </c>
      <c r="D109" s="188">
        <v>618051.4</v>
      </c>
      <c r="E109" s="15"/>
      <c r="P109" s="168">
        <v>6948.2</v>
      </c>
      <c r="Q109" s="186">
        <v>155.19999999999999</v>
      </c>
    </row>
    <row r="110" spans="1:17">
      <c r="A110" s="14">
        <v>42370</v>
      </c>
      <c r="B110" s="202">
        <v>6956.6</v>
      </c>
      <c r="C110" s="119">
        <v>156.19999999999999</v>
      </c>
      <c r="D110" s="188">
        <v>634257.80000000005</v>
      </c>
      <c r="E110" s="158"/>
      <c r="P110" s="168">
        <v>6919.2</v>
      </c>
      <c r="Q110" s="186">
        <v>155</v>
      </c>
    </row>
    <row r="111" spans="1:17">
      <c r="A111" s="14">
        <v>42401</v>
      </c>
      <c r="B111" s="201">
        <v>6968.5</v>
      </c>
      <c r="C111" s="119">
        <v>158.5</v>
      </c>
      <c r="D111" s="188">
        <v>634257.80000000005</v>
      </c>
      <c r="E111" s="15"/>
      <c r="P111" s="168">
        <v>6896.8</v>
      </c>
      <c r="Q111" s="186">
        <v>156</v>
      </c>
    </row>
    <row r="112" spans="1:17">
      <c r="A112" s="14">
        <v>42430</v>
      </c>
      <c r="B112" s="201">
        <v>6975.7</v>
      </c>
      <c r="C112" s="203">
        <v>161</v>
      </c>
      <c r="D112" s="188">
        <v>634257.80000000005</v>
      </c>
      <c r="E112" s="15"/>
      <c r="P112" s="168">
        <v>6872.4</v>
      </c>
      <c r="Q112" s="186">
        <v>156.80000000000001</v>
      </c>
    </row>
    <row r="113" spans="1:17">
      <c r="A113" s="14">
        <v>42461</v>
      </c>
      <c r="B113" s="201">
        <v>6979.7</v>
      </c>
      <c r="C113" s="119">
        <v>163.1</v>
      </c>
      <c r="D113" s="188">
        <v>634257.80000000005</v>
      </c>
      <c r="E113" s="15"/>
      <c r="P113" s="168">
        <v>6890.3</v>
      </c>
      <c r="Q113" s="186">
        <v>159.30000000000001</v>
      </c>
    </row>
    <row r="114" spans="1:17">
      <c r="A114" s="14">
        <v>42491</v>
      </c>
      <c r="B114" s="201">
        <v>6990.5</v>
      </c>
      <c r="C114" s="119">
        <v>164.8</v>
      </c>
      <c r="D114" s="188">
        <v>634257.80000000005</v>
      </c>
      <c r="E114" s="15"/>
      <c r="P114" s="168">
        <v>6962.5</v>
      </c>
      <c r="Q114" s="186">
        <v>162.1</v>
      </c>
    </row>
    <row r="115" spans="1:17">
      <c r="A115" s="14">
        <v>42522</v>
      </c>
      <c r="B115" s="201">
        <v>6998.8</v>
      </c>
      <c r="C115" s="119">
        <v>166.3</v>
      </c>
      <c r="D115" s="188">
        <v>634257.80000000005</v>
      </c>
      <c r="E115" s="15"/>
      <c r="P115" s="168">
        <v>7047.3</v>
      </c>
      <c r="Q115" s="186">
        <v>166.7</v>
      </c>
    </row>
    <row r="116" spans="1:17">
      <c r="A116" s="14">
        <v>42552</v>
      </c>
      <c r="B116" s="201">
        <v>6995</v>
      </c>
      <c r="C116" s="119">
        <v>167.5</v>
      </c>
      <c r="D116" s="188">
        <v>634257.80000000005</v>
      </c>
      <c r="E116" s="15"/>
      <c r="P116" s="168">
        <v>7090.8</v>
      </c>
      <c r="Q116" s="186">
        <v>169.9</v>
      </c>
    </row>
    <row r="117" spans="1:17">
      <c r="A117" s="14">
        <v>42583</v>
      </c>
      <c r="B117" s="201">
        <v>6991</v>
      </c>
      <c r="C117" s="119">
        <v>167.9</v>
      </c>
      <c r="D117" s="188">
        <v>634257.80000000005</v>
      </c>
      <c r="E117" s="15"/>
      <c r="P117" s="168">
        <v>7083.3</v>
      </c>
      <c r="Q117" s="186">
        <v>171.7</v>
      </c>
    </row>
    <row r="118" spans="1:17">
      <c r="A118" s="14">
        <v>42614</v>
      </c>
      <c r="B118" s="201">
        <v>6989.1</v>
      </c>
      <c r="C118" s="119">
        <v>167.5</v>
      </c>
      <c r="D118" s="188">
        <v>634257.80000000005</v>
      </c>
      <c r="E118" s="15"/>
      <c r="P118" s="168">
        <v>7037</v>
      </c>
      <c r="Q118" s="186">
        <v>170.5</v>
      </c>
    </row>
    <row r="119" spans="1:17">
      <c r="A119" s="14">
        <v>42644</v>
      </c>
      <c r="B119" s="201">
        <v>7005.5</v>
      </c>
      <c r="C119" s="119">
        <v>166.4</v>
      </c>
      <c r="D119" s="188">
        <v>634257.80000000005</v>
      </c>
      <c r="E119" s="15"/>
      <c r="P119" s="168">
        <v>7033.4</v>
      </c>
      <c r="Q119" s="186">
        <v>169.2</v>
      </c>
    </row>
    <row r="120" spans="1:17">
      <c r="A120" s="14">
        <v>42675</v>
      </c>
      <c r="B120" s="201">
        <v>7021.6</v>
      </c>
      <c r="C120" s="119">
        <v>163.9</v>
      </c>
      <c r="D120" s="188">
        <v>634257.80000000005</v>
      </c>
      <c r="E120" s="15"/>
      <c r="P120" s="168">
        <v>7026.9</v>
      </c>
      <c r="Q120" s="186">
        <v>165.5</v>
      </c>
    </row>
    <row r="121" spans="1:17">
      <c r="A121" s="14">
        <v>42705</v>
      </c>
      <c r="B121" s="201">
        <v>7035.1</v>
      </c>
      <c r="C121" s="119">
        <v>161.80000000000001</v>
      </c>
      <c r="D121" s="188">
        <v>634257.80000000005</v>
      </c>
      <c r="E121" s="15"/>
      <c r="P121" s="168">
        <v>7041.6</v>
      </c>
      <c r="Q121" s="186">
        <v>162.5</v>
      </c>
    </row>
    <row r="122" spans="1:17">
      <c r="A122" s="14">
        <v>42736</v>
      </c>
      <c r="B122" s="201">
        <v>7049.2</v>
      </c>
      <c r="C122" s="119">
        <v>162</v>
      </c>
      <c r="D122" s="119">
        <v>651932.30000000005</v>
      </c>
      <c r="E122" s="158"/>
      <c r="P122" s="168">
        <v>7018.6</v>
      </c>
      <c r="Q122" s="186">
        <v>160.69999999999999</v>
      </c>
    </row>
    <row r="123" spans="1:17">
      <c r="A123" s="14">
        <v>42767</v>
      </c>
      <c r="B123" s="201">
        <v>7062.5</v>
      </c>
      <c r="C123" s="119">
        <v>161.19999999999999</v>
      </c>
      <c r="D123" s="119">
        <v>651932.30000000005</v>
      </c>
      <c r="P123" s="168">
        <v>6996</v>
      </c>
      <c r="Q123" s="186">
        <v>158.80000000000001</v>
      </c>
    </row>
    <row r="124" spans="1:17">
      <c r="A124" s="14">
        <v>42795</v>
      </c>
      <c r="B124" s="201">
        <v>7071</v>
      </c>
      <c r="C124" s="119">
        <v>161.30000000000001</v>
      </c>
      <c r="D124" s="119">
        <v>651932.30000000005</v>
      </c>
      <c r="P124" s="168">
        <v>6972</v>
      </c>
      <c r="Q124" s="186">
        <v>157.6</v>
      </c>
    </row>
    <row r="125" spans="1:17">
      <c r="A125" s="14">
        <v>42826</v>
      </c>
      <c r="B125" s="201">
        <v>7073.2</v>
      </c>
      <c r="C125" s="119">
        <v>160.19999999999999</v>
      </c>
      <c r="D125" s="119">
        <v>651932.30000000005</v>
      </c>
      <c r="P125" s="168">
        <v>6982.8</v>
      </c>
      <c r="Q125" s="186">
        <v>156.80000000000001</v>
      </c>
    </row>
    <row r="126" spans="1:17">
      <c r="A126" s="14">
        <v>42856</v>
      </c>
      <c r="B126" s="201">
        <v>7076.2</v>
      </c>
      <c r="C126" s="119">
        <v>160</v>
      </c>
      <c r="D126" s="119">
        <v>651932.30000000005</v>
      </c>
      <c r="E126" s="118"/>
      <c r="P126" s="168">
        <v>7047.4</v>
      </c>
      <c r="Q126" s="186">
        <v>157.69999999999999</v>
      </c>
    </row>
    <row r="127" spans="1:17">
      <c r="A127" s="14">
        <v>42887</v>
      </c>
      <c r="B127" s="201">
        <v>7082.2</v>
      </c>
      <c r="C127" s="119">
        <v>160.5</v>
      </c>
      <c r="D127" s="119">
        <v>651932.30000000005</v>
      </c>
      <c r="E127" s="118"/>
      <c r="P127" s="168">
        <v>7129.6</v>
      </c>
      <c r="Q127" s="186">
        <v>161.19999999999999</v>
      </c>
    </row>
    <row r="128" spans="1:17">
      <c r="A128" s="14">
        <v>42917</v>
      </c>
      <c r="B128" s="201">
        <v>7098</v>
      </c>
      <c r="C128" s="119">
        <v>160.5</v>
      </c>
      <c r="D128" s="119">
        <v>651932.30000000005</v>
      </c>
      <c r="P128" s="168">
        <v>7195</v>
      </c>
      <c r="Q128" s="186">
        <v>163.19999999999999</v>
      </c>
    </row>
    <row r="129" spans="1:17">
      <c r="A129" s="14">
        <v>42948</v>
      </c>
      <c r="B129" s="201">
        <v>7118.8</v>
      </c>
      <c r="C129" s="119">
        <v>163.69999999999999</v>
      </c>
      <c r="D129" s="119">
        <v>651932.30000000005</v>
      </c>
      <c r="P129" s="168">
        <v>7213.7</v>
      </c>
      <c r="Q129" s="186">
        <v>167.5</v>
      </c>
    </row>
    <row r="130" spans="1:17">
      <c r="A130" s="14">
        <v>42979</v>
      </c>
      <c r="B130" s="201">
        <v>7148.9</v>
      </c>
      <c r="C130" s="119">
        <v>164.7</v>
      </c>
      <c r="D130" s="119">
        <v>651932.30000000005</v>
      </c>
      <c r="P130" s="168">
        <v>7197</v>
      </c>
      <c r="Q130" s="186">
        <v>168.1</v>
      </c>
    </row>
    <row r="131" spans="1:17">
      <c r="A131" s="14">
        <v>43009</v>
      </c>
      <c r="B131" s="201">
        <v>7168.4</v>
      </c>
      <c r="C131" s="119">
        <v>162.1</v>
      </c>
      <c r="D131" s="119">
        <v>651932.30000000005</v>
      </c>
      <c r="P131" s="168">
        <v>7193.7</v>
      </c>
      <c r="Q131" s="186">
        <v>165.1</v>
      </c>
    </row>
    <row r="132" spans="1:17">
      <c r="A132" s="14">
        <v>43040</v>
      </c>
      <c r="B132" s="201">
        <v>7192.2</v>
      </c>
      <c r="C132" s="119">
        <v>162.9</v>
      </c>
      <c r="D132" s="119">
        <v>651932.30000000005</v>
      </c>
      <c r="P132" s="168">
        <v>7194.2</v>
      </c>
      <c r="Q132" s="186">
        <v>164.7</v>
      </c>
    </row>
    <row r="133" spans="1:17">
      <c r="A133" s="14">
        <v>43070</v>
      </c>
      <c r="B133" s="201">
        <v>7207.4</v>
      </c>
      <c r="C133" s="119">
        <v>163.9</v>
      </c>
      <c r="D133" s="119">
        <v>651932.30000000005</v>
      </c>
      <c r="P133" s="168">
        <v>7213.4</v>
      </c>
      <c r="Q133" s="186">
        <v>164.3</v>
      </c>
    </row>
    <row r="134" spans="1:17">
      <c r="A134" s="14">
        <v>43101</v>
      </c>
      <c r="B134" s="195">
        <f t="shared" ref="B134:B145" si="2">P134/P133*B133</f>
        <v>7166.6339368397712</v>
      </c>
      <c r="C134" s="196">
        <f t="shared" ref="C134:C145" si="3">Q134/Q133*C133</f>
        <v>165.3963481436397</v>
      </c>
      <c r="D134" s="119">
        <v>665994.78021817585</v>
      </c>
      <c r="P134" s="168">
        <v>7172.6</v>
      </c>
      <c r="Q134" s="186">
        <v>165.8</v>
      </c>
    </row>
    <row r="135" spans="1:17">
      <c r="A135" s="14">
        <v>43132</v>
      </c>
      <c r="B135" s="195">
        <f t="shared" si="2"/>
        <v>7119.8728643912718</v>
      </c>
      <c r="C135" s="196">
        <f t="shared" si="3"/>
        <v>161.90486914181378</v>
      </c>
      <c r="D135" s="119">
        <v>665994.78021817585</v>
      </c>
      <c r="P135" s="168">
        <v>7125.8</v>
      </c>
      <c r="Q135" s="186">
        <v>162.30000000000001</v>
      </c>
    </row>
    <row r="136" spans="1:17">
      <c r="A136" s="14">
        <v>43160</v>
      </c>
      <c r="B136" s="195">
        <f t="shared" si="2"/>
        <v>7076.4090470513211</v>
      </c>
      <c r="C136" s="196">
        <f t="shared" si="3"/>
        <v>160.5082775410834</v>
      </c>
      <c r="D136" s="119">
        <v>665994.78021817585</v>
      </c>
      <c r="P136" s="168">
        <v>7082.3</v>
      </c>
      <c r="Q136" s="186">
        <v>160.9</v>
      </c>
    </row>
    <row r="137" spans="1:17">
      <c r="A137" s="14">
        <v>43191</v>
      </c>
      <c r="B137" s="195">
        <f t="shared" si="2"/>
        <v>7102.4873374552917</v>
      </c>
      <c r="C137" s="196">
        <f t="shared" si="3"/>
        <v>161.50584297017653</v>
      </c>
      <c r="D137" s="119">
        <v>665994.78021817585</v>
      </c>
      <c r="P137" s="168">
        <v>7108.4</v>
      </c>
      <c r="Q137" s="186">
        <v>161.9</v>
      </c>
    </row>
    <row r="138" spans="1:17">
      <c r="A138" s="14">
        <v>43221</v>
      </c>
      <c r="B138" s="195">
        <f t="shared" si="2"/>
        <v>7168.7321900906645</v>
      </c>
      <c r="C138" s="196">
        <f t="shared" si="3"/>
        <v>162.90243457090693</v>
      </c>
      <c r="D138" s="119">
        <v>665994.78021817585</v>
      </c>
      <c r="P138" s="168">
        <v>7174.7</v>
      </c>
      <c r="Q138" s="186">
        <v>163.30000000000001</v>
      </c>
    </row>
    <row r="139" spans="1:17">
      <c r="A139" s="14">
        <v>43252</v>
      </c>
      <c r="B139" s="195">
        <f t="shared" si="2"/>
        <v>7263.1535863809013</v>
      </c>
      <c r="C139" s="196">
        <f t="shared" si="3"/>
        <v>163.80024345709072</v>
      </c>
      <c r="D139" s="119">
        <v>665994.78021817585</v>
      </c>
      <c r="P139" s="168">
        <v>7269.2</v>
      </c>
      <c r="Q139" s="186">
        <v>164.2</v>
      </c>
    </row>
    <row r="140" spans="1:17">
      <c r="A140" s="14">
        <v>43282</v>
      </c>
      <c r="B140" s="195">
        <f t="shared" si="2"/>
        <v>7346.3842986663703</v>
      </c>
      <c r="C140" s="196">
        <f t="shared" si="3"/>
        <v>163.20170419963483</v>
      </c>
      <c r="D140" s="119">
        <v>665994.78021817585</v>
      </c>
      <c r="P140" s="168">
        <v>7352.5</v>
      </c>
      <c r="Q140" s="186">
        <v>163.6</v>
      </c>
    </row>
    <row r="141" spans="1:17">
      <c r="A141" s="14">
        <v>43313</v>
      </c>
      <c r="B141" s="195">
        <f t="shared" si="2"/>
        <v>7349.8813874178613</v>
      </c>
      <c r="C141" s="196">
        <f t="shared" si="3"/>
        <v>162.90243457090691</v>
      </c>
      <c r="D141" s="119">
        <v>665994.78021817585</v>
      </c>
      <c r="P141" s="168">
        <v>7356</v>
      </c>
      <c r="Q141" s="186">
        <v>163.30000000000001</v>
      </c>
    </row>
    <row r="142" spans="1:17">
      <c r="A142" s="14">
        <v>43344</v>
      </c>
      <c r="B142" s="195">
        <f t="shared" si="2"/>
        <v>7309.115324257632</v>
      </c>
      <c r="C142" s="196">
        <f t="shared" si="3"/>
        <v>163.30146074254412</v>
      </c>
      <c r="D142" s="119">
        <v>665994.78021817585</v>
      </c>
      <c r="P142" s="168">
        <v>7315.2</v>
      </c>
      <c r="Q142" s="186">
        <v>163.69999999999999</v>
      </c>
    </row>
    <row r="143" spans="1:17">
      <c r="A143" s="14">
        <v>43374</v>
      </c>
      <c r="B143" s="195">
        <f t="shared" si="2"/>
        <v>7268.3492610974017</v>
      </c>
      <c r="C143" s="196">
        <f t="shared" si="3"/>
        <v>164.59829580036518</v>
      </c>
      <c r="D143" s="119">
        <v>665994.78021817585</v>
      </c>
      <c r="P143" s="168">
        <v>7274.4</v>
      </c>
      <c r="Q143" s="186">
        <v>165</v>
      </c>
    </row>
    <row r="144" spans="1:17">
      <c r="A144" s="14">
        <v>43405</v>
      </c>
      <c r="B144" s="195">
        <f t="shared" si="2"/>
        <v>7272.9454348850759</v>
      </c>
      <c r="C144" s="196">
        <f t="shared" si="3"/>
        <v>167.49123554473525</v>
      </c>
      <c r="D144" s="119">
        <v>665994.78021817585</v>
      </c>
      <c r="P144" s="168">
        <v>7279</v>
      </c>
      <c r="Q144" s="186">
        <v>167.9</v>
      </c>
    </row>
    <row r="145" spans="1:139">
      <c r="A145" s="14">
        <v>43435</v>
      </c>
      <c r="B145" s="195">
        <f t="shared" si="2"/>
        <v>7296.6257215737387</v>
      </c>
      <c r="C145" s="196">
        <f t="shared" si="3"/>
        <v>168.68831405964698</v>
      </c>
      <c r="D145" s="119">
        <v>665994.78021817585</v>
      </c>
      <c r="P145" s="168">
        <v>7302.7</v>
      </c>
      <c r="Q145" s="186">
        <v>169.1</v>
      </c>
    </row>
    <row r="146" spans="1:139">
      <c r="B146" s="165"/>
      <c r="P146" s="168">
        <v>7293.3</v>
      </c>
      <c r="Q146" s="186">
        <v>170.1</v>
      </c>
    </row>
    <row r="147" spans="1:139">
      <c r="P147" s="168">
        <v>7286.5</v>
      </c>
      <c r="Q147" s="186">
        <v>170.3</v>
      </c>
    </row>
    <row r="148" spans="1:139">
      <c r="P148" s="168">
        <v>7268.2</v>
      </c>
      <c r="Q148" s="186">
        <v>171.5</v>
      </c>
    </row>
    <row r="149" spans="1:139">
      <c r="P149" s="168">
        <v>7304.3</v>
      </c>
      <c r="Q149" s="186">
        <v>174</v>
      </c>
    </row>
    <row r="150" spans="1:139">
      <c r="P150" s="168">
        <v>7376.9</v>
      </c>
      <c r="Q150" s="186">
        <v>175.6</v>
      </c>
    </row>
    <row r="151" spans="1:139">
      <c r="P151" s="168">
        <v>7472.1</v>
      </c>
      <c r="Q151" s="186">
        <v>174.4</v>
      </c>
    </row>
    <row r="152" spans="1:139">
      <c r="A152" s="118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</row>
  </sheetData>
  <mergeCells count="1">
    <mergeCell ref="G21:J2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22"/>
  <sheetViews>
    <sheetView workbookViewId="0">
      <selection activeCell="L34" sqref="L34"/>
    </sheetView>
  </sheetViews>
  <sheetFormatPr defaultRowHeight="12.75"/>
  <cols>
    <col min="2" max="2" width="11.33203125" customWidth="1"/>
  </cols>
  <sheetData>
    <row r="1" spans="1:5">
      <c r="A1" t="s">
        <v>256</v>
      </c>
    </row>
    <row r="2" spans="1:5">
      <c r="A2" t="s">
        <v>86</v>
      </c>
    </row>
    <row r="4" spans="1:5">
      <c r="B4" t="s">
        <v>87</v>
      </c>
      <c r="C4" t="s">
        <v>88</v>
      </c>
      <c r="D4" t="s">
        <v>89</v>
      </c>
      <c r="E4" t="s">
        <v>90</v>
      </c>
    </row>
    <row r="5" spans="1:5">
      <c r="A5" t="s">
        <v>91</v>
      </c>
      <c r="B5">
        <v>-14695221.8516191</v>
      </c>
      <c r="C5">
        <v>6452083.8647234896</v>
      </c>
      <c r="D5">
        <v>-2.2775931249072299</v>
      </c>
      <c r="E5">
        <v>2.4648939169039E-2</v>
      </c>
    </row>
    <row r="6" spans="1:5">
      <c r="A6" t="s">
        <v>43</v>
      </c>
      <c r="B6">
        <v>24142.152610233301</v>
      </c>
      <c r="C6">
        <v>1391.90216641185</v>
      </c>
      <c r="D6">
        <v>17.3447194729704</v>
      </c>
      <c r="E6" s="18">
        <v>1.6449381461294601E-33</v>
      </c>
    </row>
    <row r="7" spans="1:5">
      <c r="A7" t="s">
        <v>44</v>
      </c>
      <c r="B7">
        <v>174199.889748744</v>
      </c>
      <c r="C7">
        <v>5479.4132337640604</v>
      </c>
      <c r="D7">
        <v>31.791705118228101</v>
      </c>
      <c r="E7" s="18">
        <v>6.9172054398005897E-58</v>
      </c>
    </row>
    <row r="8" spans="1:5">
      <c r="A8" t="s">
        <v>81</v>
      </c>
      <c r="B8">
        <v>-4177006.7225933699</v>
      </c>
      <c r="C8">
        <v>554935.34255203803</v>
      </c>
      <c r="D8">
        <v>-7.5270151354644899</v>
      </c>
      <c r="E8" s="18">
        <v>1.41292704223174E-11</v>
      </c>
    </row>
    <row r="9" spans="1:5">
      <c r="A9" t="s">
        <v>82</v>
      </c>
      <c r="B9">
        <v>-2399238.63510927</v>
      </c>
      <c r="C9">
        <v>631679.46614053799</v>
      </c>
      <c r="D9">
        <v>-3.7981900057132401</v>
      </c>
      <c r="E9">
        <v>2.37281087403298E-4</v>
      </c>
    </row>
    <row r="10" spans="1:5">
      <c r="A10" t="s">
        <v>92</v>
      </c>
      <c r="B10">
        <v>1801933.3442422</v>
      </c>
      <c r="C10">
        <v>215279.530152013</v>
      </c>
      <c r="D10">
        <v>8.37020288445364</v>
      </c>
      <c r="E10" s="18">
        <v>1.8280794185090699E-13</v>
      </c>
    </row>
    <row r="11" spans="1:5">
      <c r="A11" t="s">
        <v>53</v>
      </c>
      <c r="B11">
        <v>2497427.94615121</v>
      </c>
      <c r="C11">
        <v>733661.773168182</v>
      </c>
      <c r="D11">
        <v>3.4040589785215798</v>
      </c>
      <c r="E11" s="18">
        <v>9.2207095298731502E-4</v>
      </c>
    </row>
    <row r="12" spans="1:5">
      <c r="A12" t="s">
        <v>77</v>
      </c>
      <c r="B12">
        <v>-12746.1846293341</v>
      </c>
      <c r="C12">
        <v>4725.3767745875302</v>
      </c>
      <c r="D12">
        <v>-2.69739012090665</v>
      </c>
      <c r="E12" s="18">
        <v>8.0689553078359504E-3</v>
      </c>
    </row>
    <row r="14" spans="1:5">
      <c r="A14" t="s">
        <v>93</v>
      </c>
      <c r="B14">
        <v>52951545.046701401</v>
      </c>
      <c r="C14" t="s">
        <v>94</v>
      </c>
      <c r="D14">
        <v>10213770.2069607</v>
      </c>
    </row>
    <row r="15" spans="1:5">
      <c r="A15" t="s">
        <v>95</v>
      </c>
      <c r="B15">
        <v>355456832536894</v>
      </c>
      <c r="C15" t="s">
        <v>96</v>
      </c>
      <c r="D15">
        <v>1781494.23773399</v>
      </c>
    </row>
    <row r="16" spans="1:5">
      <c r="A16" t="s">
        <v>97</v>
      </c>
      <c r="B16">
        <v>0.97136694155362302</v>
      </c>
      <c r="C16" t="s">
        <v>98</v>
      </c>
      <c r="D16">
        <v>0.96957737540072397</v>
      </c>
    </row>
    <row r="17" spans="1:4">
      <c r="A17" t="s">
        <v>99</v>
      </c>
      <c r="B17">
        <v>542.79465443638298</v>
      </c>
      <c r="C17" t="s">
        <v>100</v>
      </c>
      <c r="D17" s="18">
        <v>2.7280090759624002E-83</v>
      </c>
    </row>
    <row r="18" spans="1:4">
      <c r="A18" t="s">
        <v>101</v>
      </c>
      <c r="B18">
        <v>-1893.2886152377901</v>
      </c>
      <c r="C18" t="s">
        <v>102</v>
      </c>
      <c r="D18">
        <v>3802.5772304755801</v>
      </c>
    </row>
    <row r="19" spans="1:4">
      <c r="A19" t="s">
        <v>103</v>
      </c>
      <c r="B19">
        <v>3824.87716441784</v>
      </c>
      <c r="C19" t="s">
        <v>104</v>
      </c>
      <c r="D19">
        <v>3811.6333365517398</v>
      </c>
    </row>
    <row r="20" spans="1:4">
      <c r="A20" t="s">
        <v>105</v>
      </c>
      <c r="B20">
        <v>5.1869129299854398E-2</v>
      </c>
      <c r="C20" t="s">
        <v>106</v>
      </c>
      <c r="D20">
        <v>1.89364441852873</v>
      </c>
    </row>
    <row r="22" spans="1:4">
      <c r="B22" s="12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V135"/>
  <sheetViews>
    <sheetView topLeftCell="E1" workbookViewId="0">
      <selection activeCell="AD39" sqref="AD39"/>
    </sheetView>
  </sheetViews>
  <sheetFormatPr defaultRowHeight="12.75"/>
  <cols>
    <col min="1" max="1" width="10.33203125" bestFit="1" customWidth="1"/>
    <col min="2" max="2" width="10.33203125" style="127" customWidth="1"/>
    <col min="3" max="3" width="5" bestFit="1" customWidth="1"/>
    <col min="4" max="4" width="18.6640625" bestFit="1" customWidth="1"/>
    <col min="5" max="6" width="6" bestFit="1" customWidth="1"/>
    <col min="7" max="7" width="5.83203125" bestFit="1" customWidth="1"/>
    <col min="8" max="8" width="3.83203125" bestFit="1" customWidth="1"/>
    <col min="9" max="9" width="10.1640625" bestFit="1" customWidth="1"/>
    <col min="10" max="10" width="4.33203125" bestFit="1" customWidth="1"/>
    <col min="11" max="11" width="5.33203125" bestFit="1" customWidth="1"/>
    <col min="13" max="13" width="12.6640625" bestFit="1" customWidth="1"/>
    <col min="14" max="15" width="12" bestFit="1" customWidth="1"/>
    <col min="16" max="17" width="12.6640625" bestFit="1" customWidth="1"/>
    <col min="18" max="19" width="12" bestFit="1" customWidth="1"/>
    <col min="20" max="20" width="12.6640625" bestFit="1" customWidth="1"/>
    <col min="21" max="21" width="12" bestFit="1" customWidth="1"/>
    <col min="22" max="22" width="10.5" bestFit="1" customWidth="1"/>
  </cols>
  <sheetData>
    <row r="1" spans="1:22">
      <c r="A1" t="s">
        <v>123</v>
      </c>
      <c r="C1" t="s">
        <v>124</v>
      </c>
      <c r="D1" t="str">
        <f>'Monthly Data'!F1</f>
        <v>Residential_NO_CDM</v>
      </c>
      <c r="E1" t="str">
        <f>'Monthly Data'!BH1</f>
        <v>HDD</v>
      </c>
      <c r="F1" t="str">
        <f>'Monthly Data'!BI1</f>
        <v>CDD</v>
      </c>
      <c r="G1" t="str">
        <f>'Monthly Data'!BZ1</f>
        <v>Spring</v>
      </c>
      <c r="H1" t="str">
        <f>'Monthly Data'!CA1</f>
        <v>Fall</v>
      </c>
      <c r="I1" t="str">
        <f>'Monthly Data'!CC1</f>
        <v>Month Days</v>
      </c>
      <c r="J1" t="str">
        <f>'Monthly Data'!BV1</f>
        <v>Sept</v>
      </c>
      <c r="K1" t="str">
        <f>'Monthly Data'!BM1</f>
        <v>Trend</v>
      </c>
      <c r="M1" t="s">
        <v>91</v>
      </c>
      <c r="N1" t="str">
        <f>E1</f>
        <v>HDD</v>
      </c>
      <c r="O1" t="str">
        <f t="shared" ref="O1:T1" si="0">F1</f>
        <v>CDD</v>
      </c>
      <c r="P1" t="str">
        <f t="shared" si="0"/>
        <v>Spring</v>
      </c>
      <c r="Q1" t="str">
        <f t="shared" si="0"/>
        <v>Fall</v>
      </c>
      <c r="R1" t="str">
        <f t="shared" si="0"/>
        <v>Month Days</v>
      </c>
      <c r="S1" t="str">
        <f t="shared" si="0"/>
        <v>Sept</v>
      </c>
      <c r="T1" t="str">
        <f t="shared" si="0"/>
        <v>Trend</v>
      </c>
      <c r="U1" t="s">
        <v>125</v>
      </c>
      <c r="V1" t="s">
        <v>126</v>
      </c>
    </row>
    <row r="2" spans="1:22">
      <c r="A2" s="26">
        <f>'Monthly Data'!A2</f>
        <v>39814</v>
      </c>
      <c r="B2" s="154">
        <f t="shared" ref="B2:B54" si="1">MONTH(A2)</f>
        <v>1</v>
      </c>
      <c r="C2">
        <f t="shared" ref="C2:C42" si="2">YEAR(A2)</f>
        <v>2009</v>
      </c>
      <c r="D2">
        <f ca="1">'Monthly Data'!F2</f>
        <v>59871639.469987579</v>
      </c>
      <c r="E2">
        <f>'Monthly Data'!BH2</f>
        <v>768.79999999999973</v>
      </c>
      <c r="F2">
        <f>'Monthly Data'!BI2</f>
        <v>0</v>
      </c>
      <c r="G2">
        <f>'Monthly Data'!BZ2</f>
        <v>0</v>
      </c>
      <c r="H2">
        <f>'Monthly Data'!CA2</f>
        <v>0</v>
      </c>
      <c r="I2">
        <f>'Monthly Data'!CC2</f>
        <v>31</v>
      </c>
      <c r="J2">
        <f>'Monthly Data'!BV2</f>
        <v>0</v>
      </c>
      <c r="K2">
        <f>'Monthly Data'!BM2</f>
        <v>1</v>
      </c>
      <c r="M2">
        <f>'Res OLS Model'!$B$5</f>
        <v>-14695221.8516191</v>
      </c>
      <c r="N2">
        <f>'Res OLS Model'!$B$6*E2</f>
        <v>18560486.926747356</v>
      </c>
      <c r="O2">
        <f>'Res OLS Model'!$B$7*F2</f>
        <v>0</v>
      </c>
      <c r="P2">
        <f>'Res OLS Model'!$B$8*G2</f>
        <v>0</v>
      </c>
      <c r="Q2">
        <f>'Res OLS Model'!$B$9*H2</f>
        <v>0</v>
      </c>
      <c r="R2">
        <f>'Res OLS Model'!$B$10*I2</f>
        <v>55859933.6715082</v>
      </c>
      <c r="S2">
        <f>'Res OLS Model'!$B$11*J2</f>
        <v>0</v>
      </c>
      <c r="T2">
        <f>'Res OLS Model'!$B$12*K2</f>
        <v>-12746.1846293341</v>
      </c>
      <c r="U2">
        <f t="shared" ref="U2:U42" si="3">SUM(M2:T2)</f>
        <v>59712452.562007122</v>
      </c>
      <c r="V2" s="24">
        <f t="shared" ref="V2:V42" ca="1" si="4">ABS(U2-D2)/D2</f>
        <v>2.6588032228556904E-3</v>
      </c>
    </row>
    <row r="3" spans="1:22">
      <c r="A3" s="26">
        <f>'Monthly Data'!A3</f>
        <v>39845</v>
      </c>
      <c r="B3" s="154">
        <f t="shared" si="1"/>
        <v>2</v>
      </c>
      <c r="C3">
        <f t="shared" si="2"/>
        <v>2009</v>
      </c>
      <c r="D3">
        <f ca="1">'Monthly Data'!F3</f>
        <v>50314490.087674581</v>
      </c>
      <c r="E3">
        <f>'Monthly Data'!BH3</f>
        <v>540</v>
      </c>
      <c r="F3">
        <f>'Monthly Data'!BI3</f>
        <v>0</v>
      </c>
      <c r="G3">
        <f>'Monthly Data'!BZ3</f>
        <v>0</v>
      </c>
      <c r="H3">
        <f>'Monthly Data'!CA3</f>
        <v>0</v>
      </c>
      <c r="I3">
        <f>'Monthly Data'!CC3</f>
        <v>28</v>
      </c>
      <c r="J3">
        <f>'Monthly Data'!BV3</f>
        <v>0</v>
      </c>
      <c r="K3">
        <f>'Monthly Data'!BM3</f>
        <v>2</v>
      </c>
      <c r="M3">
        <f>'Res OLS Model'!$B$5</f>
        <v>-14695221.8516191</v>
      </c>
      <c r="N3">
        <f>'Res OLS Model'!$B$6*E3</f>
        <v>13036762.409525983</v>
      </c>
      <c r="O3">
        <f>'Res OLS Model'!$B$7*F3</f>
        <v>0</v>
      </c>
      <c r="P3">
        <f>'Res OLS Model'!$B$8*G3</f>
        <v>0</v>
      </c>
      <c r="Q3">
        <f>'Res OLS Model'!$B$9*H3</f>
        <v>0</v>
      </c>
      <c r="R3">
        <f>'Res OLS Model'!$B$10*I3</f>
        <v>50454133.6387816</v>
      </c>
      <c r="S3">
        <f>'Res OLS Model'!$B$11*J3</f>
        <v>0</v>
      </c>
      <c r="T3">
        <f>'Res OLS Model'!$B$12*K3</f>
        <v>-25492.369258668201</v>
      </c>
      <c r="U3">
        <f t="shared" si="3"/>
        <v>48770181.827429816</v>
      </c>
      <c r="V3" s="24">
        <f t="shared" ca="1" si="4"/>
        <v>3.069311161762265E-2</v>
      </c>
    </row>
    <row r="4" spans="1:22">
      <c r="A4" s="26">
        <f>'Monthly Data'!A4</f>
        <v>39873</v>
      </c>
      <c r="B4" s="154">
        <f t="shared" si="1"/>
        <v>3</v>
      </c>
      <c r="C4">
        <f t="shared" si="2"/>
        <v>2009</v>
      </c>
      <c r="D4">
        <f ca="1">'Monthly Data'!F4</f>
        <v>49701259.077867575</v>
      </c>
      <c r="E4">
        <f>'Monthly Data'!BH4</f>
        <v>456.7999999999999</v>
      </c>
      <c r="F4">
        <f>'Monthly Data'!BI4</f>
        <v>0</v>
      </c>
      <c r="G4">
        <f>'Monthly Data'!BZ4</f>
        <v>1</v>
      </c>
      <c r="H4">
        <f>'Monthly Data'!CA4</f>
        <v>0</v>
      </c>
      <c r="I4">
        <f>'Monthly Data'!CC4</f>
        <v>31</v>
      </c>
      <c r="J4">
        <f>'Monthly Data'!BV4</f>
        <v>0</v>
      </c>
      <c r="K4">
        <f>'Monthly Data'!BM4</f>
        <v>3</v>
      </c>
      <c r="M4">
        <f>'Res OLS Model'!$B$5</f>
        <v>-14695221.8516191</v>
      </c>
      <c r="N4">
        <f>'Res OLS Model'!$B$6*E4</f>
        <v>11028135.31235457</v>
      </c>
      <c r="O4">
        <f>'Res OLS Model'!$B$7*F4</f>
        <v>0</v>
      </c>
      <c r="P4">
        <f>'Res OLS Model'!$B$8*G4</f>
        <v>-4177006.7225933699</v>
      </c>
      <c r="Q4">
        <f>'Res OLS Model'!$B$9*H4</f>
        <v>0</v>
      </c>
      <c r="R4">
        <f>'Res OLS Model'!$B$10*I4</f>
        <v>55859933.6715082</v>
      </c>
      <c r="S4">
        <f>'Res OLS Model'!$B$11*J4</f>
        <v>0</v>
      </c>
      <c r="T4">
        <f>'Res OLS Model'!$B$12*K4</f>
        <v>-38238.553888002301</v>
      </c>
      <c r="U4">
        <f t="shared" si="3"/>
        <v>47977601.855762303</v>
      </c>
      <c r="V4" s="24">
        <f t="shared" ca="1" si="4"/>
        <v>3.4680353256338982E-2</v>
      </c>
    </row>
    <row r="5" spans="1:22">
      <c r="A5" s="26">
        <f>'Monthly Data'!A5</f>
        <v>39904</v>
      </c>
      <c r="B5" s="154">
        <f t="shared" si="1"/>
        <v>4</v>
      </c>
      <c r="C5">
        <f t="shared" si="2"/>
        <v>2009</v>
      </c>
      <c r="D5">
        <f ca="1">'Monthly Data'!F5</f>
        <v>43094637.623121575</v>
      </c>
      <c r="E5">
        <f>'Monthly Data'!BH5</f>
        <v>263.29999999999995</v>
      </c>
      <c r="F5">
        <f>'Monthly Data'!BI5</f>
        <v>10.399999999999999</v>
      </c>
      <c r="G5">
        <f>'Monthly Data'!BZ5</f>
        <v>1</v>
      </c>
      <c r="H5">
        <f>'Monthly Data'!CA5</f>
        <v>0</v>
      </c>
      <c r="I5">
        <f>'Monthly Data'!CC5</f>
        <v>30</v>
      </c>
      <c r="J5">
        <f>'Monthly Data'!BV5</f>
        <v>0</v>
      </c>
      <c r="K5">
        <f>'Monthly Data'!BM5</f>
        <v>4</v>
      </c>
      <c r="M5">
        <f>'Res OLS Model'!$B$5</f>
        <v>-14695221.8516191</v>
      </c>
      <c r="N5">
        <f>'Res OLS Model'!$B$6*E5</f>
        <v>6356628.7822744269</v>
      </c>
      <c r="O5">
        <f>'Res OLS Model'!$B$7*F5</f>
        <v>1811678.8533869374</v>
      </c>
      <c r="P5">
        <f>'Res OLS Model'!$B$8*G5</f>
        <v>-4177006.7225933699</v>
      </c>
      <c r="Q5">
        <f>'Res OLS Model'!$B$9*H5</f>
        <v>0</v>
      </c>
      <c r="R5">
        <f>'Res OLS Model'!$B$10*I5</f>
        <v>54058000.327266</v>
      </c>
      <c r="S5">
        <f>'Res OLS Model'!$B$11*J5</f>
        <v>0</v>
      </c>
      <c r="T5">
        <f>'Res OLS Model'!$B$12*K5</f>
        <v>-50984.738517336402</v>
      </c>
      <c r="U5">
        <f t="shared" si="3"/>
        <v>43303094.650197558</v>
      </c>
      <c r="V5" s="24">
        <f t="shared" ca="1" si="4"/>
        <v>4.8371917847184797E-3</v>
      </c>
    </row>
    <row r="6" spans="1:22">
      <c r="A6" s="26">
        <f>'Monthly Data'!A6</f>
        <v>39934</v>
      </c>
      <c r="B6" s="154">
        <f t="shared" si="1"/>
        <v>5</v>
      </c>
      <c r="C6">
        <f t="shared" si="2"/>
        <v>2009</v>
      </c>
      <c r="D6">
        <f ca="1">'Monthly Data'!F6</f>
        <v>41837246.165888578</v>
      </c>
      <c r="E6">
        <f>'Monthly Data'!BH6</f>
        <v>83.40000000000002</v>
      </c>
      <c r="F6">
        <f>'Monthly Data'!BI6</f>
        <v>12.899999999999999</v>
      </c>
      <c r="G6">
        <f>'Monthly Data'!BZ6</f>
        <v>1</v>
      </c>
      <c r="H6">
        <f>'Monthly Data'!CA6</f>
        <v>0</v>
      </c>
      <c r="I6">
        <f>'Monthly Data'!CC6</f>
        <v>31</v>
      </c>
      <c r="J6">
        <f>'Monthly Data'!BV6</f>
        <v>0</v>
      </c>
      <c r="K6">
        <f>'Monthly Data'!BM6</f>
        <v>5</v>
      </c>
      <c r="M6">
        <f>'Res OLS Model'!$B$5</f>
        <v>-14695221.8516191</v>
      </c>
      <c r="N6">
        <f>'Res OLS Model'!$B$6*E6</f>
        <v>2013455.5276934577</v>
      </c>
      <c r="O6">
        <f>'Res OLS Model'!$B$7*F6</f>
        <v>2247178.5777587974</v>
      </c>
      <c r="P6">
        <f>'Res OLS Model'!$B$8*G6</f>
        <v>-4177006.7225933699</v>
      </c>
      <c r="Q6">
        <f>'Res OLS Model'!$B$9*H6</f>
        <v>0</v>
      </c>
      <c r="R6">
        <f>'Res OLS Model'!$B$10*I6</f>
        <v>55859933.6715082</v>
      </c>
      <c r="S6">
        <f>'Res OLS Model'!$B$11*J6</f>
        <v>0</v>
      </c>
      <c r="T6">
        <f>'Res OLS Model'!$B$12*K6</f>
        <v>-63730.923146670502</v>
      </c>
      <c r="U6">
        <f t="shared" si="3"/>
        <v>41184608.279601313</v>
      </c>
      <c r="V6" s="24">
        <f t="shared" ca="1" si="4"/>
        <v>1.559944657206869E-2</v>
      </c>
    </row>
    <row r="7" spans="1:22">
      <c r="A7" s="26">
        <f>'Monthly Data'!A7</f>
        <v>39965</v>
      </c>
      <c r="B7" s="154">
        <f t="shared" si="1"/>
        <v>6</v>
      </c>
      <c r="C7">
        <f t="shared" si="2"/>
        <v>2009</v>
      </c>
      <c r="D7">
        <f ca="1">'Monthly Data'!F7</f>
        <v>50342302.386945575</v>
      </c>
      <c r="E7">
        <f>'Monthly Data'!BH7</f>
        <v>25.299999999999997</v>
      </c>
      <c r="F7">
        <f>'Monthly Data'!BI7</f>
        <v>79.399999999999991</v>
      </c>
      <c r="G7">
        <f>'Monthly Data'!BZ7</f>
        <v>0</v>
      </c>
      <c r="H7">
        <f>'Monthly Data'!CA7</f>
        <v>0</v>
      </c>
      <c r="I7">
        <f>'Monthly Data'!CC7</f>
        <v>30</v>
      </c>
      <c r="J7">
        <f>'Monthly Data'!BV7</f>
        <v>0</v>
      </c>
      <c r="K7">
        <f>'Monthly Data'!BM7</f>
        <v>6</v>
      </c>
      <c r="M7">
        <f>'Res OLS Model'!$B$5</f>
        <v>-14695221.8516191</v>
      </c>
      <c r="N7">
        <f>'Res OLS Model'!$B$6*E7</f>
        <v>610796.4610389024</v>
      </c>
      <c r="O7">
        <f>'Res OLS Model'!$B$7*F7</f>
        <v>13831471.246050272</v>
      </c>
      <c r="P7">
        <f>'Res OLS Model'!$B$8*G7</f>
        <v>0</v>
      </c>
      <c r="Q7">
        <f>'Res OLS Model'!$B$9*H7</f>
        <v>0</v>
      </c>
      <c r="R7">
        <f>'Res OLS Model'!$B$10*I7</f>
        <v>54058000.327266</v>
      </c>
      <c r="S7">
        <f>'Res OLS Model'!$B$11*J7</f>
        <v>0</v>
      </c>
      <c r="T7">
        <f>'Res OLS Model'!$B$12*K7</f>
        <v>-76477.107776004603</v>
      </c>
      <c r="U7">
        <f t="shared" si="3"/>
        <v>53728569.074960075</v>
      </c>
      <c r="V7" s="24">
        <f t="shared" ca="1" si="4"/>
        <v>6.7264835485406876E-2</v>
      </c>
    </row>
    <row r="8" spans="1:22">
      <c r="A8" s="26">
        <f>'Monthly Data'!A8</f>
        <v>39995</v>
      </c>
      <c r="B8" s="154">
        <f t="shared" si="1"/>
        <v>7</v>
      </c>
      <c r="C8">
        <f t="shared" si="2"/>
        <v>2009</v>
      </c>
      <c r="D8">
        <f ca="1">'Monthly Data'!F8</f>
        <v>60810554.498038575</v>
      </c>
      <c r="E8">
        <f>'Monthly Data'!BH8</f>
        <v>0.5</v>
      </c>
      <c r="F8">
        <f>'Monthly Data'!BI8</f>
        <v>100.19999999999999</v>
      </c>
      <c r="G8">
        <f>'Monthly Data'!BZ8</f>
        <v>0</v>
      </c>
      <c r="H8">
        <f>'Monthly Data'!CA8</f>
        <v>0</v>
      </c>
      <c r="I8">
        <f>'Monthly Data'!CC8</f>
        <v>31</v>
      </c>
      <c r="J8">
        <f>'Monthly Data'!BV8</f>
        <v>0</v>
      </c>
      <c r="K8">
        <f>'Monthly Data'!BM8</f>
        <v>7</v>
      </c>
      <c r="M8">
        <f>'Res OLS Model'!$B$5</f>
        <v>-14695221.8516191</v>
      </c>
      <c r="N8">
        <f>'Res OLS Model'!$B$6*E8</f>
        <v>12071.07630511665</v>
      </c>
      <c r="O8">
        <f>'Res OLS Model'!$B$7*F8</f>
        <v>17454828.952824146</v>
      </c>
      <c r="P8">
        <f>'Res OLS Model'!$B$8*G8</f>
        <v>0</v>
      </c>
      <c r="Q8">
        <f>'Res OLS Model'!$B$9*H8</f>
        <v>0</v>
      </c>
      <c r="R8">
        <f>'Res OLS Model'!$B$10*I8</f>
        <v>55859933.6715082</v>
      </c>
      <c r="S8">
        <f>'Res OLS Model'!$B$11*J8</f>
        <v>0</v>
      </c>
      <c r="T8">
        <f>'Res OLS Model'!$B$12*K8</f>
        <v>-89223.292405338696</v>
      </c>
      <c r="U8">
        <f t="shared" si="3"/>
        <v>58542388.556613028</v>
      </c>
      <c r="V8" s="24">
        <f t="shared" ca="1" si="4"/>
        <v>3.7298886026416782E-2</v>
      </c>
    </row>
    <row r="9" spans="1:22">
      <c r="A9" s="26">
        <f>'Monthly Data'!A9</f>
        <v>40026</v>
      </c>
      <c r="B9" s="154">
        <f t="shared" si="1"/>
        <v>8</v>
      </c>
      <c r="C9">
        <f t="shared" si="2"/>
        <v>2009</v>
      </c>
      <c r="D9">
        <f ca="1">'Monthly Data'!F9</f>
        <v>64587027.745830581</v>
      </c>
      <c r="E9">
        <f>'Monthly Data'!BH9</f>
        <v>5.9</v>
      </c>
      <c r="F9">
        <f>'Monthly Data'!BI9</f>
        <v>133.4</v>
      </c>
      <c r="G9">
        <f>'Monthly Data'!BZ9</f>
        <v>0</v>
      </c>
      <c r="H9">
        <f>'Monthly Data'!CA9</f>
        <v>0</v>
      </c>
      <c r="I9">
        <f>'Monthly Data'!CC9</f>
        <v>31</v>
      </c>
      <c r="J9">
        <f>'Monthly Data'!BV9</f>
        <v>0</v>
      </c>
      <c r="K9">
        <f>'Monthly Data'!BM9</f>
        <v>8</v>
      </c>
      <c r="M9">
        <f>'Res OLS Model'!$B$5</f>
        <v>-14695221.8516191</v>
      </c>
      <c r="N9">
        <f>'Res OLS Model'!$B$6*E9</f>
        <v>142438.70040037649</v>
      </c>
      <c r="O9">
        <f>'Res OLS Model'!$B$7*F9</f>
        <v>23238265.292482451</v>
      </c>
      <c r="P9">
        <f>'Res OLS Model'!$B$8*G9</f>
        <v>0</v>
      </c>
      <c r="Q9">
        <f>'Res OLS Model'!$B$9*H9</f>
        <v>0</v>
      </c>
      <c r="R9">
        <f>'Res OLS Model'!$B$10*I9</f>
        <v>55859933.6715082</v>
      </c>
      <c r="S9">
        <f>'Res OLS Model'!$B$11*J9</f>
        <v>0</v>
      </c>
      <c r="T9">
        <f>'Res OLS Model'!$B$12*K9</f>
        <v>-101969.4770346728</v>
      </c>
      <c r="U9">
        <f t="shared" si="3"/>
        <v>64443446.335737258</v>
      </c>
      <c r="V9" s="24">
        <f t="shared" ca="1" si="4"/>
        <v>2.223068859250785E-3</v>
      </c>
    </row>
    <row r="10" spans="1:22">
      <c r="A10" s="26">
        <f>'Monthly Data'!A10</f>
        <v>40057</v>
      </c>
      <c r="B10" s="154">
        <f t="shared" si="1"/>
        <v>9</v>
      </c>
      <c r="C10">
        <f t="shared" si="2"/>
        <v>2009</v>
      </c>
      <c r="D10">
        <f ca="1">'Monthly Data'!F10</f>
        <v>49270432.95375558</v>
      </c>
      <c r="E10">
        <f>'Monthly Data'!BH10</f>
        <v>26.2</v>
      </c>
      <c r="F10">
        <f>'Monthly Data'!BI10</f>
        <v>54.699999999999989</v>
      </c>
      <c r="G10">
        <f>'Monthly Data'!BZ10</f>
        <v>0</v>
      </c>
      <c r="H10">
        <f>'Monthly Data'!CA10</f>
        <v>1</v>
      </c>
      <c r="I10">
        <f>'Monthly Data'!CC10</f>
        <v>30</v>
      </c>
      <c r="J10">
        <f>'Monthly Data'!BV10</f>
        <v>1</v>
      </c>
      <c r="K10">
        <f>'Monthly Data'!BM10</f>
        <v>9</v>
      </c>
      <c r="M10">
        <f>'Res OLS Model'!$B$5</f>
        <v>-14695221.8516191</v>
      </c>
      <c r="N10">
        <f>'Res OLS Model'!$B$6*E10</f>
        <v>632524.39838811243</v>
      </c>
      <c r="O10">
        <f>'Res OLS Model'!$B$7*F10</f>
        <v>9528733.9692562949</v>
      </c>
      <c r="P10">
        <f>'Res OLS Model'!$B$8*G10</f>
        <v>0</v>
      </c>
      <c r="Q10">
        <f>'Res OLS Model'!$B$9*H10</f>
        <v>-2399238.63510927</v>
      </c>
      <c r="R10">
        <f>'Res OLS Model'!$B$10*I10</f>
        <v>54058000.327266</v>
      </c>
      <c r="S10">
        <f>'Res OLS Model'!$B$11*J10</f>
        <v>2497427.94615121</v>
      </c>
      <c r="T10">
        <f>'Res OLS Model'!$B$12*K10</f>
        <v>-114715.66166400691</v>
      </c>
      <c r="U10">
        <f t="shared" si="3"/>
        <v>49507510.49266924</v>
      </c>
      <c r="V10" s="24">
        <f t="shared" ca="1" si="4"/>
        <v>4.8117608208593753E-3</v>
      </c>
    </row>
    <row r="11" spans="1:22">
      <c r="A11" s="26">
        <f>'Monthly Data'!A11</f>
        <v>40087</v>
      </c>
      <c r="B11" s="154">
        <f t="shared" si="1"/>
        <v>10</v>
      </c>
      <c r="C11">
        <f t="shared" si="2"/>
        <v>2009</v>
      </c>
      <c r="D11">
        <f ca="1">'Monthly Data'!F11</f>
        <v>45083293.96010758</v>
      </c>
      <c r="E11">
        <f>'Monthly Data'!BH11</f>
        <v>230.79999999999995</v>
      </c>
      <c r="F11">
        <f>'Monthly Data'!BI11</f>
        <v>0</v>
      </c>
      <c r="G11">
        <f>'Monthly Data'!BZ11</f>
        <v>0</v>
      </c>
      <c r="H11">
        <f>'Monthly Data'!CA11</f>
        <v>1</v>
      </c>
      <c r="I11">
        <f>'Monthly Data'!CC11</f>
        <v>31</v>
      </c>
      <c r="J11">
        <f>'Monthly Data'!BV11</f>
        <v>0</v>
      </c>
      <c r="K11">
        <f>'Monthly Data'!BM11</f>
        <v>10</v>
      </c>
      <c r="M11">
        <f>'Res OLS Model'!$B$5</f>
        <v>-14695221.8516191</v>
      </c>
      <c r="N11">
        <f>'Res OLS Model'!$B$6*E11</f>
        <v>5572008.8224418452</v>
      </c>
      <c r="O11">
        <f>'Res OLS Model'!$B$7*F11</f>
        <v>0</v>
      </c>
      <c r="P11">
        <f>'Res OLS Model'!$B$8*G11</f>
        <v>0</v>
      </c>
      <c r="Q11">
        <f>'Res OLS Model'!$B$9*H11</f>
        <v>-2399238.63510927</v>
      </c>
      <c r="R11">
        <f>'Res OLS Model'!$B$10*I11</f>
        <v>55859933.6715082</v>
      </c>
      <c r="S11">
        <f>'Res OLS Model'!$B$11*J11</f>
        <v>0</v>
      </c>
      <c r="T11">
        <f>'Res OLS Model'!$B$12*K11</f>
        <v>-127461.846293341</v>
      </c>
      <c r="U11">
        <f t="shared" si="3"/>
        <v>44210020.160928339</v>
      </c>
      <c r="V11" s="24">
        <f t="shared" ca="1" si="4"/>
        <v>1.9370230577028521E-2</v>
      </c>
    </row>
    <row r="12" spans="1:22">
      <c r="A12" s="26">
        <f>'Monthly Data'!A12</f>
        <v>40118</v>
      </c>
      <c r="B12" s="154">
        <f t="shared" si="1"/>
        <v>11</v>
      </c>
      <c r="C12">
        <f t="shared" si="2"/>
        <v>2009</v>
      </c>
      <c r="D12">
        <f ca="1">'Monthly Data'!F12</f>
        <v>46033170.645772576</v>
      </c>
      <c r="E12">
        <f>'Monthly Data'!BH12</f>
        <v>305.49999999999989</v>
      </c>
      <c r="F12">
        <f>'Monthly Data'!BI12</f>
        <v>0</v>
      </c>
      <c r="G12">
        <f>'Monthly Data'!BZ12</f>
        <v>0</v>
      </c>
      <c r="H12">
        <f>'Monthly Data'!CA12</f>
        <v>1</v>
      </c>
      <c r="I12">
        <f>'Monthly Data'!CC12</f>
        <v>30</v>
      </c>
      <c r="J12">
        <f>'Monthly Data'!BV12</f>
        <v>0</v>
      </c>
      <c r="K12">
        <f>'Monthly Data'!BM12</f>
        <v>11</v>
      </c>
      <c r="M12">
        <f>'Res OLS Model'!$B$5</f>
        <v>-14695221.8516191</v>
      </c>
      <c r="N12">
        <f>'Res OLS Model'!$B$6*E12</f>
        <v>7375427.6224262705</v>
      </c>
      <c r="O12">
        <f>'Res OLS Model'!$B$7*F12</f>
        <v>0</v>
      </c>
      <c r="P12">
        <f>'Res OLS Model'!$B$8*G12</f>
        <v>0</v>
      </c>
      <c r="Q12">
        <f>'Res OLS Model'!$B$9*H12</f>
        <v>-2399238.63510927</v>
      </c>
      <c r="R12">
        <f>'Res OLS Model'!$B$10*I12</f>
        <v>54058000.327266</v>
      </c>
      <c r="S12">
        <f>'Res OLS Model'!$B$11*J12</f>
        <v>0</v>
      </c>
      <c r="T12">
        <f>'Res OLS Model'!$B$12*K12</f>
        <v>-140208.0309226751</v>
      </c>
      <c r="U12">
        <f t="shared" si="3"/>
        <v>44198759.432041228</v>
      </c>
      <c r="V12" s="24">
        <f t="shared" ca="1" si="4"/>
        <v>3.9849768938299501E-2</v>
      </c>
    </row>
    <row r="13" spans="1:22">
      <c r="A13" s="26">
        <f>'Monthly Data'!A13</f>
        <v>40148</v>
      </c>
      <c r="B13" s="154">
        <f t="shared" si="1"/>
        <v>12</v>
      </c>
      <c r="C13">
        <f t="shared" si="2"/>
        <v>2009</v>
      </c>
      <c r="D13">
        <f ca="1">'Monthly Data'!F13</f>
        <v>56594449.192762576</v>
      </c>
      <c r="E13">
        <f>'Monthly Data'!BH13</f>
        <v>582</v>
      </c>
      <c r="F13">
        <f>'Monthly Data'!BI13</f>
        <v>0</v>
      </c>
      <c r="G13">
        <f>'Monthly Data'!BZ13</f>
        <v>0</v>
      </c>
      <c r="H13">
        <f>'Monthly Data'!CA13</f>
        <v>0</v>
      </c>
      <c r="I13">
        <f>'Monthly Data'!CC13</f>
        <v>31</v>
      </c>
      <c r="J13">
        <f>'Monthly Data'!BV13</f>
        <v>0</v>
      </c>
      <c r="K13">
        <f>'Monthly Data'!BM13</f>
        <v>12</v>
      </c>
      <c r="M13">
        <f>'Res OLS Model'!$B$5</f>
        <v>-14695221.8516191</v>
      </c>
      <c r="N13">
        <f>'Res OLS Model'!$B$6*E13</f>
        <v>14050732.819155781</v>
      </c>
      <c r="O13">
        <f>'Res OLS Model'!$B$7*F13</f>
        <v>0</v>
      </c>
      <c r="P13">
        <f>'Res OLS Model'!$B$8*G13</f>
        <v>0</v>
      </c>
      <c r="Q13">
        <f>'Res OLS Model'!$B$9*H13</f>
        <v>0</v>
      </c>
      <c r="R13">
        <f>'Res OLS Model'!$B$10*I13</f>
        <v>55859933.6715082</v>
      </c>
      <c r="S13">
        <f>'Res OLS Model'!$B$11*J13</f>
        <v>0</v>
      </c>
      <c r="T13">
        <f>'Res OLS Model'!$B$12*K13</f>
        <v>-152954.21555200921</v>
      </c>
      <c r="U13">
        <f t="shared" si="3"/>
        <v>55062490.423492871</v>
      </c>
      <c r="V13" s="24">
        <f t="shared" ca="1" si="4"/>
        <v>2.7069064035799735E-2</v>
      </c>
    </row>
    <row r="14" spans="1:22">
      <c r="A14" s="26">
        <f>'Monthly Data'!A14</f>
        <v>40179</v>
      </c>
      <c r="B14" s="154">
        <f t="shared" si="1"/>
        <v>1</v>
      </c>
      <c r="C14">
        <f t="shared" si="2"/>
        <v>2010</v>
      </c>
      <c r="D14">
        <f ca="1">'Monthly Data'!F14</f>
        <v>57230062.23541832</v>
      </c>
      <c r="E14">
        <f>'Monthly Data'!BH14</f>
        <v>663.29999999999984</v>
      </c>
      <c r="F14">
        <f>'Monthly Data'!BI14</f>
        <v>0</v>
      </c>
      <c r="G14">
        <f>'Monthly Data'!BZ14</f>
        <v>0</v>
      </c>
      <c r="H14">
        <f>'Monthly Data'!CA14</f>
        <v>0</v>
      </c>
      <c r="I14">
        <f>'Monthly Data'!CC14</f>
        <v>31</v>
      </c>
      <c r="J14">
        <f>'Monthly Data'!BV14</f>
        <v>0</v>
      </c>
      <c r="K14">
        <f>'Monthly Data'!BM14</f>
        <v>13</v>
      </c>
      <c r="M14">
        <f>'Res OLS Model'!$B$5</f>
        <v>-14695221.8516191</v>
      </c>
      <c r="N14">
        <f>'Res OLS Model'!$B$6*E14</f>
        <v>16013489.826367745</v>
      </c>
      <c r="O14">
        <f>'Res OLS Model'!$B$7*F14</f>
        <v>0</v>
      </c>
      <c r="P14">
        <f>'Res OLS Model'!$B$8*G14</f>
        <v>0</v>
      </c>
      <c r="Q14">
        <f>'Res OLS Model'!$B$9*H14</f>
        <v>0</v>
      </c>
      <c r="R14">
        <f>'Res OLS Model'!$B$10*I14</f>
        <v>55859933.6715082</v>
      </c>
      <c r="S14">
        <f>'Res OLS Model'!$B$11*J14</f>
        <v>0</v>
      </c>
      <c r="T14">
        <f>'Res OLS Model'!$B$12*K14</f>
        <v>-165700.40018134331</v>
      </c>
      <c r="U14">
        <f t="shared" si="3"/>
        <v>57012501.246075504</v>
      </c>
      <c r="V14" s="24">
        <f t="shared" ca="1" si="4"/>
        <v>3.8015158615042162E-3</v>
      </c>
    </row>
    <row r="15" spans="1:22">
      <c r="A15" s="26">
        <f>'Monthly Data'!A15</f>
        <v>40210</v>
      </c>
      <c r="B15" s="154">
        <f t="shared" si="1"/>
        <v>2</v>
      </c>
      <c r="C15">
        <f t="shared" si="2"/>
        <v>2010</v>
      </c>
      <c r="D15">
        <f ca="1">'Monthly Data'!F15</f>
        <v>48541585.314724319</v>
      </c>
      <c r="E15">
        <f>'Monthly Data'!BH15</f>
        <v>557.29999999999995</v>
      </c>
      <c r="F15">
        <f>'Monthly Data'!BI15</f>
        <v>0</v>
      </c>
      <c r="G15">
        <f>'Monthly Data'!BZ15</f>
        <v>0</v>
      </c>
      <c r="H15">
        <f>'Monthly Data'!CA15</f>
        <v>0</v>
      </c>
      <c r="I15">
        <f>'Monthly Data'!CC15</f>
        <v>28</v>
      </c>
      <c r="J15">
        <f>'Monthly Data'!BV15</f>
        <v>0</v>
      </c>
      <c r="K15">
        <f>'Monthly Data'!BM15</f>
        <v>14</v>
      </c>
      <c r="M15">
        <f>'Res OLS Model'!$B$5</f>
        <v>-14695221.8516191</v>
      </c>
      <c r="N15">
        <f>'Res OLS Model'!$B$6*E15</f>
        <v>13454421.649683017</v>
      </c>
      <c r="O15">
        <f>'Res OLS Model'!$B$7*F15</f>
        <v>0</v>
      </c>
      <c r="P15">
        <f>'Res OLS Model'!$B$8*G15</f>
        <v>0</v>
      </c>
      <c r="Q15">
        <f>'Res OLS Model'!$B$9*H15</f>
        <v>0</v>
      </c>
      <c r="R15">
        <f>'Res OLS Model'!$B$10*I15</f>
        <v>50454133.6387816</v>
      </c>
      <c r="S15">
        <f>'Res OLS Model'!$B$11*J15</f>
        <v>0</v>
      </c>
      <c r="T15">
        <f>'Res OLS Model'!$B$12*K15</f>
        <v>-178446.58481067739</v>
      </c>
      <c r="U15">
        <f t="shared" si="3"/>
        <v>49034886.852034844</v>
      </c>
      <c r="V15" s="24">
        <f t="shared" ca="1" si="4"/>
        <v>1.0162452134847986E-2</v>
      </c>
    </row>
    <row r="16" spans="1:22">
      <c r="A16" s="26">
        <f>'Monthly Data'!A16</f>
        <v>40238</v>
      </c>
      <c r="B16" s="154">
        <f t="shared" si="1"/>
        <v>3</v>
      </c>
      <c r="C16">
        <f t="shared" si="2"/>
        <v>2010</v>
      </c>
      <c r="D16">
        <f ca="1">'Monthly Data'!F16</f>
        <v>46701990.468791321</v>
      </c>
      <c r="E16">
        <f>'Monthly Data'!BH16</f>
        <v>393.39999999999986</v>
      </c>
      <c r="F16">
        <f>'Monthly Data'!BI16</f>
        <v>0</v>
      </c>
      <c r="G16">
        <f>'Monthly Data'!BZ16</f>
        <v>1</v>
      </c>
      <c r="H16">
        <f>'Monthly Data'!CA16</f>
        <v>0</v>
      </c>
      <c r="I16">
        <f>'Monthly Data'!CC16</f>
        <v>31</v>
      </c>
      <c r="J16">
        <f>'Monthly Data'!BV16</f>
        <v>0</v>
      </c>
      <c r="K16">
        <f>'Monthly Data'!BM16</f>
        <v>15</v>
      </c>
      <c r="M16">
        <f>'Res OLS Model'!$B$5</f>
        <v>-14695221.8516191</v>
      </c>
      <c r="N16">
        <f>'Res OLS Model'!$B$6*E16</f>
        <v>9497522.8368657771</v>
      </c>
      <c r="O16">
        <f>'Res OLS Model'!$B$7*F16</f>
        <v>0</v>
      </c>
      <c r="P16">
        <f>'Res OLS Model'!$B$8*G16</f>
        <v>-4177006.7225933699</v>
      </c>
      <c r="Q16">
        <f>'Res OLS Model'!$B$9*H16</f>
        <v>0</v>
      </c>
      <c r="R16">
        <f>'Res OLS Model'!$B$10*I16</f>
        <v>55859933.6715082</v>
      </c>
      <c r="S16">
        <f>'Res OLS Model'!$B$11*J16</f>
        <v>0</v>
      </c>
      <c r="T16">
        <f>'Res OLS Model'!$B$12*K16</f>
        <v>-191192.7694400115</v>
      </c>
      <c r="U16">
        <f t="shared" si="3"/>
        <v>46294035.164721496</v>
      </c>
      <c r="V16" s="24">
        <f t="shared" ca="1" si="4"/>
        <v>8.7352872966397713E-3</v>
      </c>
    </row>
    <row r="17" spans="1:22">
      <c r="A17" s="26">
        <f>'Monthly Data'!A17</f>
        <v>40269</v>
      </c>
      <c r="B17" s="154">
        <f t="shared" si="1"/>
        <v>4</v>
      </c>
      <c r="C17">
        <f t="shared" si="2"/>
        <v>2010</v>
      </c>
      <c r="D17">
        <f ca="1">'Monthly Data'!F17</f>
        <v>40737141.674832322</v>
      </c>
      <c r="E17">
        <f>'Monthly Data'!BH17</f>
        <v>174.9</v>
      </c>
      <c r="F17">
        <f>'Monthly Data'!BI17</f>
        <v>5</v>
      </c>
      <c r="G17">
        <f>'Monthly Data'!BZ17</f>
        <v>1</v>
      </c>
      <c r="H17">
        <f>'Monthly Data'!CA17</f>
        <v>0</v>
      </c>
      <c r="I17">
        <f>'Monthly Data'!CC17</f>
        <v>30</v>
      </c>
      <c r="J17">
        <f>'Monthly Data'!BV17</f>
        <v>0</v>
      </c>
      <c r="K17">
        <f>'Monthly Data'!BM17</f>
        <v>16</v>
      </c>
      <c r="M17">
        <f>'Res OLS Model'!$B$5</f>
        <v>-14695221.8516191</v>
      </c>
      <c r="N17">
        <f>'Res OLS Model'!$B$6*E17</f>
        <v>4222462.4915298047</v>
      </c>
      <c r="O17">
        <f>'Res OLS Model'!$B$7*F17</f>
        <v>870999.44874371996</v>
      </c>
      <c r="P17">
        <f>'Res OLS Model'!$B$8*G17</f>
        <v>-4177006.7225933699</v>
      </c>
      <c r="Q17">
        <f>'Res OLS Model'!$B$9*H17</f>
        <v>0</v>
      </c>
      <c r="R17">
        <f>'Res OLS Model'!$B$10*I17</f>
        <v>54058000.327266</v>
      </c>
      <c r="S17">
        <f>'Res OLS Model'!$B$11*J17</f>
        <v>0</v>
      </c>
      <c r="T17">
        <f>'Res OLS Model'!$B$12*K17</f>
        <v>-203938.95406934561</v>
      </c>
      <c r="U17">
        <f t="shared" si="3"/>
        <v>40075294.739257708</v>
      </c>
      <c r="V17" s="24">
        <f t="shared" ca="1" si="4"/>
        <v>1.6246769124292952E-2</v>
      </c>
    </row>
    <row r="18" spans="1:22">
      <c r="A18" s="26">
        <f>'Monthly Data'!A18</f>
        <v>40299</v>
      </c>
      <c r="B18" s="154">
        <f t="shared" si="1"/>
        <v>5</v>
      </c>
      <c r="C18">
        <f t="shared" si="2"/>
        <v>2010</v>
      </c>
      <c r="D18">
        <f ca="1">'Monthly Data'!F18</f>
        <v>48242779.236058325</v>
      </c>
      <c r="E18">
        <f>'Monthly Data'!BH18</f>
        <v>84.300000000000011</v>
      </c>
      <c r="F18">
        <f>'Monthly Data'!BI18</f>
        <v>59.699999999999989</v>
      </c>
      <c r="G18">
        <f>'Monthly Data'!BZ18</f>
        <v>1</v>
      </c>
      <c r="H18">
        <f>'Monthly Data'!CA18</f>
        <v>0</v>
      </c>
      <c r="I18">
        <f>'Monthly Data'!CC18</f>
        <v>31</v>
      </c>
      <c r="J18">
        <f>'Monthly Data'!BV18</f>
        <v>0</v>
      </c>
      <c r="K18">
        <f>'Monthly Data'!BM18</f>
        <v>17</v>
      </c>
      <c r="M18">
        <f>'Res OLS Model'!$B$5</f>
        <v>-14695221.8516191</v>
      </c>
      <c r="N18">
        <f>'Res OLS Model'!$B$6*E18</f>
        <v>2035183.4650426675</v>
      </c>
      <c r="O18">
        <f>'Res OLS Model'!$B$7*F18</f>
        <v>10399733.418000014</v>
      </c>
      <c r="P18">
        <f>'Res OLS Model'!$B$8*G18</f>
        <v>-4177006.7225933699</v>
      </c>
      <c r="Q18">
        <f>'Res OLS Model'!$B$9*H18</f>
        <v>0</v>
      </c>
      <c r="R18">
        <f>'Res OLS Model'!$B$10*I18</f>
        <v>55859933.6715082</v>
      </c>
      <c r="S18">
        <f>'Res OLS Model'!$B$11*J18</f>
        <v>0</v>
      </c>
      <c r="T18">
        <f>'Res OLS Model'!$B$12*K18</f>
        <v>-216685.13869867972</v>
      </c>
      <c r="U18">
        <f t="shared" si="3"/>
        <v>49205936.841639727</v>
      </c>
      <c r="V18" s="24">
        <f t="shared" ca="1" si="4"/>
        <v>1.9964803455218547E-2</v>
      </c>
    </row>
    <row r="19" spans="1:22">
      <c r="A19" s="26">
        <f>'Monthly Data'!A19</f>
        <v>40330</v>
      </c>
      <c r="B19" s="154">
        <f t="shared" si="1"/>
        <v>6</v>
      </c>
      <c r="C19">
        <f t="shared" si="2"/>
        <v>2010</v>
      </c>
      <c r="D19">
        <f ca="1">'Monthly Data'!F19</f>
        <v>65023461.895293318</v>
      </c>
      <c r="E19">
        <f>'Monthly Data'!BH19</f>
        <v>3.9000000000000004</v>
      </c>
      <c r="F19">
        <f>'Monthly Data'!BI19</f>
        <v>135.89999999999998</v>
      </c>
      <c r="G19">
        <f>'Monthly Data'!BZ19</f>
        <v>0</v>
      </c>
      <c r="H19">
        <f>'Monthly Data'!CA19</f>
        <v>0</v>
      </c>
      <c r="I19">
        <f>'Monthly Data'!CC19</f>
        <v>30</v>
      </c>
      <c r="J19">
        <f>'Monthly Data'!BV19</f>
        <v>0</v>
      </c>
      <c r="K19">
        <f>'Monthly Data'!BM19</f>
        <v>18</v>
      </c>
      <c r="M19">
        <f>'Res OLS Model'!$B$5</f>
        <v>-14695221.8516191</v>
      </c>
      <c r="N19">
        <f>'Res OLS Model'!$B$6*E19</f>
        <v>94154.395179909887</v>
      </c>
      <c r="O19">
        <f>'Res OLS Model'!$B$7*F19</f>
        <v>23673765.016854305</v>
      </c>
      <c r="P19">
        <f>'Res OLS Model'!$B$8*G19</f>
        <v>0</v>
      </c>
      <c r="Q19">
        <f>'Res OLS Model'!$B$9*H19</f>
        <v>0</v>
      </c>
      <c r="R19">
        <f>'Res OLS Model'!$B$10*I19</f>
        <v>54058000.327266</v>
      </c>
      <c r="S19">
        <f>'Res OLS Model'!$B$11*J19</f>
        <v>0</v>
      </c>
      <c r="T19">
        <f>'Res OLS Model'!$B$12*K19</f>
        <v>-229431.32332801382</v>
      </c>
      <c r="U19">
        <f t="shared" si="3"/>
        <v>62901266.564353101</v>
      </c>
      <c r="V19" s="24">
        <f t="shared" ca="1" si="4"/>
        <v>3.2637378402853551E-2</v>
      </c>
    </row>
    <row r="20" spans="1:22">
      <c r="A20" s="26">
        <f>'Monthly Data'!A20</f>
        <v>40360</v>
      </c>
      <c r="B20" s="154">
        <f t="shared" si="1"/>
        <v>7</v>
      </c>
      <c r="C20">
        <f t="shared" si="2"/>
        <v>2010</v>
      </c>
      <c r="D20">
        <f ca="1">'Monthly Data'!F20</f>
        <v>81296181.759749323</v>
      </c>
      <c r="E20">
        <f>'Monthly Data'!BH20</f>
        <v>0</v>
      </c>
      <c r="F20">
        <f>'Monthly Data'!BI20</f>
        <v>227.00000000000006</v>
      </c>
      <c r="G20">
        <f>'Monthly Data'!BZ20</f>
        <v>0</v>
      </c>
      <c r="H20">
        <f>'Monthly Data'!CA20</f>
        <v>0</v>
      </c>
      <c r="I20">
        <f>'Monthly Data'!CC20</f>
        <v>31</v>
      </c>
      <c r="J20">
        <f>'Monthly Data'!BV20</f>
        <v>0</v>
      </c>
      <c r="K20">
        <f>'Monthly Data'!BM20</f>
        <v>19</v>
      </c>
      <c r="M20">
        <f>'Res OLS Model'!$B$5</f>
        <v>-14695221.8516191</v>
      </c>
      <c r="N20">
        <f>'Res OLS Model'!$B$6*E20</f>
        <v>0</v>
      </c>
      <c r="O20">
        <f>'Res OLS Model'!$B$7*F20</f>
        <v>39543374.972964898</v>
      </c>
      <c r="P20">
        <f>'Res OLS Model'!$B$8*G20</f>
        <v>0</v>
      </c>
      <c r="Q20">
        <f>'Res OLS Model'!$B$9*H20</f>
        <v>0</v>
      </c>
      <c r="R20">
        <f>'Res OLS Model'!$B$10*I20</f>
        <v>55859933.6715082</v>
      </c>
      <c r="S20">
        <f>'Res OLS Model'!$B$11*J20</f>
        <v>0</v>
      </c>
      <c r="T20">
        <f>'Res OLS Model'!$B$12*K20</f>
        <v>-242177.5079573479</v>
      </c>
      <c r="U20">
        <f t="shared" si="3"/>
        <v>80465909.284896642</v>
      </c>
      <c r="V20" s="24">
        <f t="shared" ca="1" si="4"/>
        <v>1.0212933213842014E-2</v>
      </c>
    </row>
    <row r="21" spans="1:22">
      <c r="A21" s="26">
        <f>'Monthly Data'!A21</f>
        <v>40391</v>
      </c>
      <c r="B21" s="154">
        <f t="shared" si="1"/>
        <v>8</v>
      </c>
      <c r="C21">
        <f t="shared" si="2"/>
        <v>2010</v>
      </c>
      <c r="D21">
        <f ca="1">'Monthly Data'!F21</f>
        <v>75078483.539122328</v>
      </c>
      <c r="E21">
        <f>'Monthly Data'!BH21</f>
        <v>0</v>
      </c>
      <c r="F21">
        <f>'Monthly Data'!BI21</f>
        <v>211.80000000000004</v>
      </c>
      <c r="G21">
        <f>'Monthly Data'!BZ21</f>
        <v>0</v>
      </c>
      <c r="H21">
        <f>'Monthly Data'!CA21</f>
        <v>0</v>
      </c>
      <c r="I21">
        <f>'Monthly Data'!CC21</f>
        <v>31</v>
      </c>
      <c r="J21">
        <f>'Monthly Data'!BV21</f>
        <v>0</v>
      </c>
      <c r="K21">
        <f>'Monthly Data'!BM21</f>
        <v>20</v>
      </c>
      <c r="M21">
        <f>'Res OLS Model'!$B$5</f>
        <v>-14695221.8516191</v>
      </c>
      <c r="N21">
        <f>'Res OLS Model'!$B$6*E21</f>
        <v>0</v>
      </c>
      <c r="O21">
        <f>'Res OLS Model'!$B$7*F21</f>
        <v>36895536.648783989</v>
      </c>
      <c r="P21">
        <f>'Res OLS Model'!$B$8*G21</f>
        <v>0</v>
      </c>
      <c r="Q21">
        <f>'Res OLS Model'!$B$9*H21</f>
        <v>0</v>
      </c>
      <c r="R21">
        <f>'Res OLS Model'!$B$10*I21</f>
        <v>55859933.6715082</v>
      </c>
      <c r="S21">
        <f>'Res OLS Model'!$B$11*J21</f>
        <v>0</v>
      </c>
      <c r="T21">
        <f>'Res OLS Model'!$B$12*K21</f>
        <v>-254923.69258668201</v>
      </c>
      <c r="U21">
        <f t="shared" si="3"/>
        <v>77805324.776086405</v>
      </c>
      <c r="V21" s="24">
        <f t="shared" ca="1" si="4"/>
        <v>3.6319876327059249E-2</v>
      </c>
    </row>
    <row r="22" spans="1:22">
      <c r="A22" s="26">
        <f>'Monthly Data'!A22</f>
        <v>40422</v>
      </c>
      <c r="B22" s="154">
        <f t="shared" si="1"/>
        <v>9</v>
      </c>
      <c r="C22">
        <f t="shared" si="2"/>
        <v>2010</v>
      </c>
      <c r="D22">
        <f ca="1">'Monthly Data'!F22</f>
        <v>49993208.971530318</v>
      </c>
      <c r="E22">
        <f>'Monthly Data'!BH22</f>
        <v>38</v>
      </c>
      <c r="F22">
        <f>'Monthly Data'!BI22</f>
        <v>59.699999999999989</v>
      </c>
      <c r="G22">
        <f>'Monthly Data'!BZ22</f>
        <v>0</v>
      </c>
      <c r="H22">
        <f>'Monthly Data'!CA22</f>
        <v>1</v>
      </c>
      <c r="I22">
        <f>'Monthly Data'!CC22</f>
        <v>30</v>
      </c>
      <c r="J22">
        <f>'Monthly Data'!BV22</f>
        <v>1</v>
      </c>
      <c r="K22">
        <f>'Monthly Data'!BM22</f>
        <v>21</v>
      </c>
      <c r="M22">
        <f>'Res OLS Model'!$B$5</f>
        <v>-14695221.8516191</v>
      </c>
      <c r="N22">
        <f>'Res OLS Model'!$B$6*E22</f>
        <v>917401.79918886547</v>
      </c>
      <c r="O22">
        <f>'Res OLS Model'!$B$7*F22</f>
        <v>10399733.418000014</v>
      </c>
      <c r="P22">
        <f>'Res OLS Model'!$B$8*G22</f>
        <v>0</v>
      </c>
      <c r="Q22">
        <f>'Res OLS Model'!$B$9*H22</f>
        <v>-2399238.63510927</v>
      </c>
      <c r="R22">
        <f>'Res OLS Model'!$B$10*I22</f>
        <v>54058000.327266</v>
      </c>
      <c r="S22">
        <f>'Res OLS Model'!$B$11*J22</f>
        <v>2497427.94615121</v>
      </c>
      <c r="T22">
        <f>'Res OLS Model'!$B$12*K22</f>
        <v>-267669.87721601612</v>
      </c>
      <c r="U22">
        <f t="shared" si="3"/>
        <v>50510433.126661703</v>
      </c>
      <c r="V22" s="24">
        <f t="shared" ca="1" si="4"/>
        <v>1.0345888287065726E-2</v>
      </c>
    </row>
    <row r="23" spans="1:22">
      <c r="A23" s="26">
        <f>'Monthly Data'!A23</f>
        <v>40452</v>
      </c>
      <c r="B23" s="154">
        <f t="shared" si="1"/>
        <v>10</v>
      </c>
      <c r="C23">
        <f t="shared" si="2"/>
        <v>2010</v>
      </c>
      <c r="D23">
        <f ca="1">'Monthly Data'!F23</f>
        <v>42337839.47948432</v>
      </c>
      <c r="E23">
        <f>'Monthly Data'!BH23</f>
        <v>157.6</v>
      </c>
      <c r="F23">
        <f>'Monthly Data'!BI23</f>
        <v>1.4000000000000001</v>
      </c>
      <c r="G23">
        <f>'Monthly Data'!BZ23</f>
        <v>0</v>
      </c>
      <c r="H23">
        <f>'Monthly Data'!CA23</f>
        <v>1</v>
      </c>
      <c r="I23">
        <f>'Monthly Data'!CC23</f>
        <v>31</v>
      </c>
      <c r="J23">
        <f>'Monthly Data'!BV23</f>
        <v>0</v>
      </c>
      <c r="K23">
        <f>'Monthly Data'!BM23</f>
        <v>22</v>
      </c>
      <c r="M23">
        <f>'Res OLS Model'!$B$5</f>
        <v>-14695221.8516191</v>
      </c>
      <c r="N23">
        <f>'Res OLS Model'!$B$6*E23</f>
        <v>3804803.2513727681</v>
      </c>
      <c r="O23">
        <f>'Res OLS Model'!$B$7*F23</f>
        <v>243879.84564824161</v>
      </c>
      <c r="P23">
        <f>'Res OLS Model'!$B$8*G23</f>
        <v>0</v>
      </c>
      <c r="Q23">
        <f>'Res OLS Model'!$B$9*H23</f>
        <v>-2399238.63510927</v>
      </c>
      <c r="R23">
        <f>'Res OLS Model'!$B$10*I23</f>
        <v>55859933.6715082</v>
      </c>
      <c r="S23">
        <f>'Res OLS Model'!$B$11*J23</f>
        <v>0</v>
      </c>
      <c r="T23">
        <f>'Res OLS Model'!$B$12*K23</f>
        <v>-280416.0618453502</v>
      </c>
      <c r="U23">
        <f t="shared" si="3"/>
        <v>42533740.219955489</v>
      </c>
      <c r="V23" s="24">
        <f t="shared" ca="1" si="4"/>
        <v>4.627084019393506E-3</v>
      </c>
    </row>
    <row r="24" spans="1:22">
      <c r="A24" s="26">
        <f>'Monthly Data'!A24</f>
        <v>40483</v>
      </c>
      <c r="B24" s="154">
        <f t="shared" si="1"/>
        <v>11</v>
      </c>
      <c r="C24">
        <f t="shared" si="2"/>
        <v>2010</v>
      </c>
      <c r="D24">
        <f ca="1">'Monthly Data'!F24</f>
        <v>45676188.057550319</v>
      </c>
      <c r="E24">
        <f>'Monthly Data'!BH24</f>
        <v>376.59999999999991</v>
      </c>
      <c r="F24">
        <f>'Monthly Data'!BI24</f>
        <v>0</v>
      </c>
      <c r="G24">
        <f>'Monthly Data'!BZ24</f>
        <v>0</v>
      </c>
      <c r="H24">
        <f>'Monthly Data'!CA24</f>
        <v>1</v>
      </c>
      <c r="I24">
        <f>'Monthly Data'!CC24</f>
        <v>30</v>
      </c>
      <c r="J24">
        <f>'Monthly Data'!BV24</f>
        <v>0</v>
      </c>
      <c r="K24">
        <f>'Monthly Data'!BM24</f>
        <v>23</v>
      </c>
      <c r="M24">
        <f>'Res OLS Model'!$B$5</f>
        <v>-14695221.8516191</v>
      </c>
      <c r="N24">
        <f>'Res OLS Model'!$B$6*E24</f>
        <v>9091934.6730138585</v>
      </c>
      <c r="O24">
        <f>'Res OLS Model'!$B$7*F24</f>
        <v>0</v>
      </c>
      <c r="P24">
        <f>'Res OLS Model'!$B$8*G24</f>
        <v>0</v>
      </c>
      <c r="Q24">
        <f>'Res OLS Model'!$B$9*H24</f>
        <v>-2399238.63510927</v>
      </c>
      <c r="R24">
        <f>'Res OLS Model'!$B$10*I24</f>
        <v>54058000.327266</v>
      </c>
      <c r="S24">
        <f>'Res OLS Model'!$B$11*J24</f>
        <v>0</v>
      </c>
      <c r="T24">
        <f>'Res OLS Model'!$B$12*K24</f>
        <v>-293162.24647468433</v>
      </c>
      <c r="U24">
        <f t="shared" si="3"/>
        <v>45762312.267076805</v>
      </c>
      <c r="V24" s="24">
        <f t="shared" ca="1" si="4"/>
        <v>1.8855384652058389E-3</v>
      </c>
    </row>
    <row r="25" spans="1:22">
      <c r="A25" s="26">
        <f>'Monthly Data'!A25</f>
        <v>40513</v>
      </c>
      <c r="B25" s="154">
        <f t="shared" si="1"/>
        <v>12</v>
      </c>
      <c r="C25">
        <f t="shared" si="2"/>
        <v>2010</v>
      </c>
      <c r="D25">
        <f ca="1">'Monthly Data'!F25</f>
        <v>56097840.297418319</v>
      </c>
      <c r="E25">
        <f>'Monthly Data'!BH25</f>
        <v>645.59999999999991</v>
      </c>
      <c r="F25">
        <f>'Monthly Data'!BI25</f>
        <v>0</v>
      </c>
      <c r="G25">
        <f>'Monthly Data'!BZ25</f>
        <v>0</v>
      </c>
      <c r="H25">
        <f>'Monthly Data'!CA25</f>
        <v>0</v>
      </c>
      <c r="I25">
        <f>'Monthly Data'!CC25</f>
        <v>31</v>
      </c>
      <c r="J25">
        <f>'Monthly Data'!BV25</f>
        <v>0</v>
      </c>
      <c r="K25">
        <f>'Monthly Data'!BM25</f>
        <v>24</v>
      </c>
      <c r="M25">
        <f>'Res OLS Model'!$B$5</f>
        <v>-14695221.8516191</v>
      </c>
      <c r="N25">
        <f>'Res OLS Model'!$B$6*E25</f>
        <v>15586173.725166617</v>
      </c>
      <c r="O25">
        <f>'Res OLS Model'!$B$7*F25</f>
        <v>0</v>
      </c>
      <c r="P25">
        <f>'Res OLS Model'!$B$8*G25</f>
        <v>0</v>
      </c>
      <c r="Q25">
        <f>'Res OLS Model'!$B$9*H25</f>
        <v>0</v>
      </c>
      <c r="R25">
        <f>'Res OLS Model'!$B$10*I25</f>
        <v>55859933.6715082</v>
      </c>
      <c r="S25">
        <f>'Res OLS Model'!$B$11*J25</f>
        <v>0</v>
      </c>
      <c r="T25">
        <f>'Res OLS Model'!$B$12*K25</f>
        <v>-305908.43110401841</v>
      </c>
      <c r="U25">
        <f t="shared" si="3"/>
        <v>56444977.113951698</v>
      </c>
      <c r="V25" s="24">
        <f t="shared" ca="1" si="4"/>
        <v>6.188060265652595E-3</v>
      </c>
    </row>
    <row r="26" spans="1:22">
      <c r="A26" s="26">
        <f>'Monthly Data'!A26</f>
        <v>40544</v>
      </c>
      <c r="B26" s="154">
        <f t="shared" si="1"/>
        <v>1</v>
      </c>
      <c r="C26">
        <f t="shared" si="2"/>
        <v>2011</v>
      </c>
      <c r="D26">
        <f ca="1">'Monthly Data'!F26</f>
        <v>57216324.683351137</v>
      </c>
      <c r="E26">
        <f>'Monthly Data'!BH26</f>
        <v>703.59999999999991</v>
      </c>
      <c r="F26">
        <f>'Monthly Data'!BI26</f>
        <v>0</v>
      </c>
      <c r="G26">
        <f>'Monthly Data'!BZ26</f>
        <v>0</v>
      </c>
      <c r="H26">
        <f>'Monthly Data'!CA26</f>
        <v>0</v>
      </c>
      <c r="I26">
        <f>'Monthly Data'!CC26</f>
        <v>31</v>
      </c>
      <c r="J26">
        <f>'Monthly Data'!BV26</f>
        <v>0</v>
      </c>
      <c r="K26">
        <f>'Monthly Data'!BM26</f>
        <v>25</v>
      </c>
      <c r="M26">
        <f>'Res OLS Model'!$B$5</f>
        <v>-14695221.8516191</v>
      </c>
      <c r="N26">
        <f>'Res OLS Model'!$B$6*E26</f>
        <v>16986418.576560147</v>
      </c>
      <c r="O26">
        <f>'Res OLS Model'!$B$7*F26</f>
        <v>0</v>
      </c>
      <c r="P26">
        <f>'Res OLS Model'!$B$8*G26</f>
        <v>0</v>
      </c>
      <c r="Q26">
        <f>'Res OLS Model'!$B$9*H26</f>
        <v>0</v>
      </c>
      <c r="R26">
        <f>'Res OLS Model'!$B$10*I26</f>
        <v>55859933.6715082</v>
      </c>
      <c r="S26">
        <f>'Res OLS Model'!$B$11*J26</f>
        <v>0</v>
      </c>
      <c r="T26">
        <f>'Res OLS Model'!$B$12*K26</f>
        <v>-318654.61573335249</v>
      </c>
      <c r="U26">
        <f t="shared" si="3"/>
        <v>57832475.78071589</v>
      </c>
      <c r="V26" s="24">
        <f t="shared" ca="1" si="4"/>
        <v>1.0768798953352587E-2</v>
      </c>
    </row>
    <row r="27" spans="1:22">
      <c r="A27" s="26">
        <f>'Monthly Data'!A27</f>
        <v>40575</v>
      </c>
      <c r="B27" s="154">
        <f t="shared" si="1"/>
        <v>2</v>
      </c>
      <c r="C27">
        <f t="shared" si="2"/>
        <v>2011</v>
      </c>
      <c r="D27">
        <f ca="1">'Monthly Data'!F27</f>
        <v>49077423.393344134</v>
      </c>
      <c r="E27">
        <f>'Monthly Data'!BH27</f>
        <v>583.20000000000005</v>
      </c>
      <c r="F27">
        <f>'Monthly Data'!BI27</f>
        <v>0</v>
      </c>
      <c r="G27">
        <f>'Monthly Data'!BZ27</f>
        <v>0</v>
      </c>
      <c r="H27">
        <f>'Monthly Data'!CA27</f>
        <v>0</v>
      </c>
      <c r="I27">
        <f>'Monthly Data'!CC27</f>
        <v>28</v>
      </c>
      <c r="J27">
        <f>'Monthly Data'!BV27</f>
        <v>0</v>
      </c>
      <c r="K27">
        <f>'Monthly Data'!BM27</f>
        <v>26</v>
      </c>
      <c r="M27">
        <f>'Res OLS Model'!$B$5</f>
        <v>-14695221.8516191</v>
      </c>
      <c r="N27">
        <f>'Res OLS Model'!$B$6*E27</f>
        <v>14079703.402288062</v>
      </c>
      <c r="O27">
        <f>'Res OLS Model'!$B$7*F27</f>
        <v>0</v>
      </c>
      <c r="P27">
        <f>'Res OLS Model'!$B$8*G27</f>
        <v>0</v>
      </c>
      <c r="Q27">
        <f>'Res OLS Model'!$B$9*H27</f>
        <v>0</v>
      </c>
      <c r="R27">
        <f>'Res OLS Model'!$B$10*I27</f>
        <v>50454133.6387816</v>
      </c>
      <c r="S27">
        <f>'Res OLS Model'!$B$11*J27</f>
        <v>0</v>
      </c>
      <c r="T27">
        <f>'Res OLS Model'!$B$12*K27</f>
        <v>-331400.80036268663</v>
      </c>
      <c r="U27">
        <f t="shared" si="3"/>
        <v>49507214.389087878</v>
      </c>
      <c r="V27" s="24">
        <f t="shared" ca="1" si="4"/>
        <v>8.7574075007782956E-3</v>
      </c>
    </row>
    <row r="28" spans="1:22">
      <c r="A28" s="26">
        <f>'Monthly Data'!A28</f>
        <v>40603</v>
      </c>
      <c r="B28" s="154">
        <f t="shared" si="1"/>
        <v>3</v>
      </c>
      <c r="C28">
        <f t="shared" si="2"/>
        <v>2011</v>
      </c>
      <c r="D28">
        <f ca="1">'Monthly Data'!F28</f>
        <v>49267213.176552139</v>
      </c>
      <c r="E28">
        <f>'Monthly Data'!BH28</f>
        <v>514.30000000000007</v>
      </c>
      <c r="F28">
        <f>'Monthly Data'!BI28</f>
        <v>0</v>
      </c>
      <c r="G28">
        <f>'Monthly Data'!BZ28</f>
        <v>1</v>
      </c>
      <c r="H28">
        <f>'Monthly Data'!CA28</f>
        <v>0</v>
      </c>
      <c r="I28">
        <f>'Monthly Data'!CC28</f>
        <v>31</v>
      </c>
      <c r="J28">
        <f>'Monthly Data'!BV28</f>
        <v>0</v>
      </c>
      <c r="K28">
        <f>'Monthly Data'!BM28</f>
        <v>27</v>
      </c>
      <c r="M28">
        <f>'Res OLS Model'!$B$5</f>
        <v>-14695221.8516191</v>
      </c>
      <c r="N28">
        <f>'Res OLS Model'!$B$6*E28</f>
        <v>12416309.087442989</v>
      </c>
      <c r="O28">
        <f>'Res OLS Model'!$B$7*F28</f>
        <v>0</v>
      </c>
      <c r="P28">
        <f>'Res OLS Model'!$B$8*G28</f>
        <v>-4177006.7225933699</v>
      </c>
      <c r="Q28">
        <f>'Res OLS Model'!$B$9*H28</f>
        <v>0</v>
      </c>
      <c r="R28">
        <f>'Res OLS Model'!$B$10*I28</f>
        <v>55859933.6715082</v>
      </c>
      <c r="S28">
        <f>'Res OLS Model'!$B$11*J28</f>
        <v>0</v>
      </c>
      <c r="T28">
        <f>'Res OLS Model'!$B$12*K28</f>
        <v>-344146.98499202071</v>
      </c>
      <c r="U28">
        <f t="shared" si="3"/>
        <v>49059867.199746698</v>
      </c>
      <c r="V28" s="24">
        <f t="shared" ca="1" si="4"/>
        <v>4.2085996636831028E-3</v>
      </c>
    </row>
    <row r="29" spans="1:22">
      <c r="A29" s="26">
        <f>'Monthly Data'!A29</f>
        <v>40634</v>
      </c>
      <c r="B29" s="154">
        <f t="shared" si="1"/>
        <v>4</v>
      </c>
      <c r="C29">
        <f t="shared" si="2"/>
        <v>2011</v>
      </c>
      <c r="D29">
        <f ca="1">'Monthly Data'!F29</f>
        <v>43063023.121252134</v>
      </c>
      <c r="E29">
        <f>'Monthly Data'!BH29</f>
        <v>278.59999999999985</v>
      </c>
      <c r="F29">
        <f>'Monthly Data'!BI29</f>
        <v>0.5</v>
      </c>
      <c r="G29">
        <f>'Monthly Data'!BZ29</f>
        <v>1</v>
      </c>
      <c r="H29">
        <f>'Monthly Data'!CA29</f>
        <v>0</v>
      </c>
      <c r="I29">
        <f>'Monthly Data'!CC29</f>
        <v>30</v>
      </c>
      <c r="J29">
        <f>'Monthly Data'!BV29</f>
        <v>0</v>
      </c>
      <c r="K29">
        <f>'Monthly Data'!BM29</f>
        <v>28</v>
      </c>
      <c r="M29">
        <f>'Res OLS Model'!$B$5</f>
        <v>-14695221.8516191</v>
      </c>
      <c r="N29">
        <f>'Res OLS Model'!$B$6*E29</f>
        <v>6726003.7172109941</v>
      </c>
      <c r="O29">
        <f>'Res OLS Model'!$B$7*F29</f>
        <v>87099.944874371999</v>
      </c>
      <c r="P29">
        <f>'Res OLS Model'!$B$8*G29</f>
        <v>-4177006.7225933699</v>
      </c>
      <c r="Q29">
        <f>'Res OLS Model'!$B$9*H29</f>
        <v>0</v>
      </c>
      <c r="R29">
        <f>'Res OLS Model'!$B$10*I29</f>
        <v>54058000.327266</v>
      </c>
      <c r="S29">
        <f>'Res OLS Model'!$B$11*J29</f>
        <v>0</v>
      </c>
      <c r="T29">
        <f>'Res OLS Model'!$B$12*K29</f>
        <v>-356893.16962135478</v>
      </c>
      <c r="U29">
        <f t="shared" si="3"/>
        <v>41641982.245517544</v>
      </c>
      <c r="V29" s="24">
        <f t="shared" ca="1" si="4"/>
        <v>3.2999096968491487E-2</v>
      </c>
    </row>
    <row r="30" spans="1:22">
      <c r="A30" s="26">
        <f>'Monthly Data'!A30</f>
        <v>40664</v>
      </c>
      <c r="B30" s="154">
        <f t="shared" si="1"/>
        <v>5</v>
      </c>
      <c r="C30">
        <f t="shared" si="2"/>
        <v>2011</v>
      </c>
      <c r="D30">
        <f ca="1">'Monthly Data'!F30</f>
        <v>46164662.055697136</v>
      </c>
      <c r="E30">
        <f>'Monthly Data'!BH30</f>
        <v>105.20000000000003</v>
      </c>
      <c r="F30">
        <f>'Monthly Data'!BI30</f>
        <v>37.200000000000003</v>
      </c>
      <c r="G30">
        <f>'Monthly Data'!BZ30</f>
        <v>1</v>
      </c>
      <c r="H30">
        <f>'Monthly Data'!CA30</f>
        <v>0</v>
      </c>
      <c r="I30">
        <f>'Monthly Data'!CC30</f>
        <v>31</v>
      </c>
      <c r="J30">
        <f>'Monthly Data'!BV30</f>
        <v>0</v>
      </c>
      <c r="K30">
        <f>'Monthly Data'!BM30</f>
        <v>29</v>
      </c>
      <c r="M30">
        <f>'Res OLS Model'!$B$5</f>
        <v>-14695221.8516191</v>
      </c>
      <c r="N30">
        <f>'Res OLS Model'!$B$6*E30</f>
        <v>2539754.4545965442</v>
      </c>
      <c r="O30">
        <f>'Res OLS Model'!$B$7*F30</f>
        <v>6480235.8986532772</v>
      </c>
      <c r="P30">
        <f>'Res OLS Model'!$B$8*G30</f>
        <v>-4177006.7225933699</v>
      </c>
      <c r="Q30">
        <f>'Res OLS Model'!$B$9*H30</f>
        <v>0</v>
      </c>
      <c r="R30">
        <f>'Res OLS Model'!$B$10*I30</f>
        <v>55859933.6715082</v>
      </c>
      <c r="S30">
        <f>'Res OLS Model'!$B$11*J30</f>
        <v>0</v>
      </c>
      <c r="T30">
        <f>'Res OLS Model'!$B$12*K30</f>
        <v>-369639.35425068892</v>
      </c>
      <c r="U30">
        <f t="shared" si="3"/>
        <v>45638056.096294858</v>
      </c>
      <c r="V30" s="24">
        <f t="shared" ca="1" si="4"/>
        <v>1.1407122590152053E-2</v>
      </c>
    </row>
    <row r="31" spans="1:22">
      <c r="A31" s="26">
        <f>'Monthly Data'!A31</f>
        <v>40695</v>
      </c>
      <c r="B31" s="154">
        <f t="shared" si="1"/>
        <v>6</v>
      </c>
      <c r="C31">
        <f t="shared" si="2"/>
        <v>2011</v>
      </c>
      <c r="D31">
        <f ca="1">'Monthly Data'!F31</f>
        <v>60282224.690545134</v>
      </c>
      <c r="E31">
        <f>'Monthly Data'!BH31</f>
        <v>7.6000000000000005</v>
      </c>
      <c r="F31">
        <f>'Monthly Data'!BI31</f>
        <v>115.89999999999998</v>
      </c>
      <c r="G31">
        <f>'Monthly Data'!BZ31</f>
        <v>0</v>
      </c>
      <c r="H31">
        <f>'Monthly Data'!CA31</f>
        <v>0</v>
      </c>
      <c r="I31">
        <f>'Monthly Data'!CC31</f>
        <v>30</v>
      </c>
      <c r="J31">
        <f>'Monthly Data'!BV31</f>
        <v>0</v>
      </c>
      <c r="K31">
        <f>'Monthly Data'!BM31</f>
        <v>30</v>
      </c>
      <c r="M31">
        <f>'Res OLS Model'!$B$5</f>
        <v>-14695221.8516191</v>
      </c>
      <c r="N31">
        <f>'Res OLS Model'!$B$6*E31</f>
        <v>183480.35983777311</v>
      </c>
      <c r="O31">
        <f>'Res OLS Model'!$B$7*F31</f>
        <v>20189767.221879426</v>
      </c>
      <c r="P31">
        <f>'Res OLS Model'!$B$8*G31</f>
        <v>0</v>
      </c>
      <c r="Q31">
        <f>'Res OLS Model'!$B$9*H31</f>
        <v>0</v>
      </c>
      <c r="R31">
        <f>'Res OLS Model'!$B$10*I31</f>
        <v>54058000.327266</v>
      </c>
      <c r="S31">
        <f>'Res OLS Model'!$B$11*J31</f>
        <v>0</v>
      </c>
      <c r="T31">
        <f>'Res OLS Model'!$B$12*K31</f>
        <v>-382385.538880023</v>
      </c>
      <c r="U31">
        <f t="shared" si="3"/>
        <v>59353640.518484078</v>
      </c>
      <c r="V31" s="24">
        <f t="shared" ca="1" si="4"/>
        <v>1.5403946633155663E-2</v>
      </c>
    </row>
    <row r="32" spans="1:22">
      <c r="A32" s="26">
        <f>'Monthly Data'!A32</f>
        <v>40725</v>
      </c>
      <c r="B32" s="154">
        <f t="shared" si="1"/>
        <v>7</v>
      </c>
      <c r="C32">
        <f t="shared" si="2"/>
        <v>2011</v>
      </c>
      <c r="D32">
        <f ca="1">'Monthly Data'!F32</f>
        <v>81061488.555960134</v>
      </c>
      <c r="E32">
        <f>'Monthly Data'!BH32</f>
        <v>0</v>
      </c>
      <c r="F32">
        <f>'Monthly Data'!BI32</f>
        <v>255.50000000000006</v>
      </c>
      <c r="G32">
        <f>'Monthly Data'!BZ32</f>
        <v>0</v>
      </c>
      <c r="H32">
        <f>'Monthly Data'!CA32</f>
        <v>0</v>
      </c>
      <c r="I32">
        <f>'Monthly Data'!CC32</f>
        <v>31</v>
      </c>
      <c r="J32">
        <f>'Monthly Data'!BV32</f>
        <v>0</v>
      </c>
      <c r="K32">
        <f>'Monthly Data'!BM32</f>
        <v>31</v>
      </c>
      <c r="M32">
        <f>'Res OLS Model'!$B$5</f>
        <v>-14695221.8516191</v>
      </c>
      <c r="N32">
        <f>'Res OLS Model'!$B$6*E32</f>
        <v>0</v>
      </c>
      <c r="O32">
        <f>'Res OLS Model'!$B$7*F32</f>
        <v>44508071.830804102</v>
      </c>
      <c r="P32">
        <f>'Res OLS Model'!$B$8*G32</f>
        <v>0</v>
      </c>
      <c r="Q32">
        <f>'Res OLS Model'!$B$9*H32</f>
        <v>0</v>
      </c>
      <c r="R32">
        <f>'Res OLS Model'!$B$10*I32</f>
        <v>55859933.6715082</v>
      </c>
      <c r="S32">
        <f>'Res OLS Model'!$B$11*J32</f>
        <v>0</v>
      </c>
      <c r="T32">
        <f>'Res OLS Model'!$B$12*K32</f>
        <v>-395131.72350935714</v>
      </c>
      <c r="U32">
        <f t="shared" si="3"/>
        <v>85277651.927183852</v>
      </c>
      <c r="V32" s="24">
        <f t="shared" ca="1" si="4"/>
        <v>5.2011916464044752E-2</v>
      </c>
    </row>
    <row r="33" spans="1:22">
      <c r="A33" s="26">
        <f>'Monthly Data'!A33</f>
        <v>40756</v>
      </c>
      <c r="B33" s="154">
        <f t="shared" si="1"/>
        <v>8</v>
      </c>
      <c r="C33">
        <f t="shared" si="2"/>
        <v>2011</v>
      </c>
      <c r="D33">
        <f ca="1">'Monthly Data'!F33</f>
        <v>71258545.409913138</v>
      </c>
      <c r="E33">
        <f>'Monthly Data'!BH33</f>
        <v>0</v>
      </c>
      <c r="F33">
        <f>'Monthly Data'!BI33</f>
        <v>159.50000000000003</v>
      </c>
      <c r="G33">
        <f>'Monthly Data'!BZ33</f>
        <v>0</v>
      </c>
      <c r="H33">
        <f>'Monthly Data'!CA33</f>
        <v>0</v>
      </c>
      <c r="I33">
        <f>'Monthly Data'!CC33</f>
        <v>31</v>
      </c>
      <c r="J33">
        <f>'Monthly Data'!BV33</f>
        <v>0</v>
      </c>
      <c r="K33">
        <f>'Monthly Data'!BM33</f>
        <v>32</v>
      </c>
      <c r="M33">
        <f>'Res OLS Model'!$B$5</f>
        <v>-14695221.8516191</v>
      </c>
      <c r="N33">
        <f>'Res OLS Model'!$B$6*E33</f>
        <v>0</v>
      </c>
      <c r="O33">
        <f>'Res OLS Model'!$B$7*F33</f>
        <v>27784882.414924674</v>
      </c>
      <c r="P33">
        <f>'Res OLS Model'!$B$8*G33</f>
        <v>0</v>
      </c>
      <c r="Q33">
        <f>'Res OLS Model'!$B$9*H33</f>
        <v>0</v>
      </c>
      <c r="R33">
        <f>'Res OLS Model'!$B$10*I33</f>
        <v>55859933.6715082</v>
      </c>
      <c r="S33">
        <f>'Res OLS Model'!$B$11*J33</f>
        <v>0</v>
      </c>
      <c r="T33">
        <f>'Res OLS Model'!$B$12*K33</f>
        <v>-407877.90813869121</v>
      </c>
      <c r="U33">
        <f t="shared" si="3"/>
        <v>68541716.326675087</v>
      </c>
      <c r="V33" s="24">
        <f t="shared" ca="1" si="4"/>
        <v>3.8126361794358188E-2</v>
      </c>
    </row>
    <row r="34" spans="1:22">
      <c r="A34" s="26">
        <f>'Monthly Data'!A34</f>
        <v>40787</v>
      </c>
      <c r="B34" s="154">
        <f t="shared" si="1"/>
        <v>9</v>
      </c>
      <c r="C34">
        <f t="shared" si="2"/>
        <v>2011</v>
      </c>
      <c r="D34">
        <f ca="1">'Monthly Data'!F34</f>
        <v>49668107.280463137</v>
      </c>
      <c r="E34">
        <f>'Monthly Data'!BH34</f>
        <v>51.4</v>
      </c>
      <c r="F34">
        <f>'Monthly Data'!BI34</f>
        <v>60.199999999999989</v>
      </c>
      <c r="G34">
        <f>'Monthly Data'!BZ34</f>
        <v>0</v>
      </c>
      <c r="H34">
        <f>'Monthly Data'!CA34</f>
        <v>1</v>
      </c>
      <c r="I34">
        <f>'Monthly Data'!CC34</f>
        <v>30</v>
      </c>
      <c r="J34">
        <f>'Monthly Data'!BV34</f>
        <v>1</v>
      </c>
      <c r="K34">
        <f>'Monthly Data'!BM34</f>
        <v>33</v>
      </c>
      <c r="M34">
        <f>'Res OLS Model'!$B$5</f>
        <v>-14695221.8516191</v>
      </c>
      <c r="N34">
        <f>'Res OLS Model'!$B$6*E34</f>
        <v>1240906.6441659916</v>
      </c>
      <c r="O34">
        <f>'Res OLS Model'!$B$7*F34</f>
        <v>10486833.362874387</v>
      </c>
      <c r="P34">
        <f>'Res OLS Model'!$B$8*G34</f>
        <v>0</v>
      </c>
      <c r="Q34">
        <f>'Res OLS Model'!$B$9*H34</f>
        <v>-2399238.63510927</v>
      </c>
      <c r="R34">
        <f>'Res OLS Model'!$B$10*I34</f>
        <v>54058000.327266</v>
      </c>
      <c r="S34">
        <f>'Res OLS Model'!$B$11*J34</f>
        <v>2497427.94615121</v>
      </c>
      <c r="T34">
        <f>'Res OLS Model'!$B$12*K34</f>
        <v>-420624.09276802529</v>
      </c>
      <c r="U34">
        <f t="shared" si="3"/>
        <v>50768083.700961187</v>
      </c>
      <c r="V34" s="24">
        <f t="shared" ca="1" si="4"/>
        <v>2.2146533877096714E-2</v>
      </c>
    </row>
    <row r="35" spans="1:22">
      <c r="A35" s="26">
        <f>'Monthly Data'!A35</f>
        <v>40817</v>
      </c>
      <c r="B35" s="154">
        <f t="shared" si="1"/>
        <v>10</v>
      </c>
      <c r="C35">
        <f t="shared" si="2"/>
        <v>2011</v>
      </c>
      <c r="D35">
        <f ca="1">'Monthly Data'!F35</f>
        <v>43253414.186002135</v>
      </c>
      <c r="E35">
        <f>'Monthly Data'!BH35</f>
        <v>185.29999999999998</v>
      </c>
      <c r="F35">
        <f>'Monthly Data'!BI35</f>
        <v>2.6999999999999997</v>
      </c>
      <c r="G35">
        <f>'Monthly Data'!BZ35</f>
        <v>0</v>
      </c>
      <c r="H35">
        <f>'Monthly Data'!CA35</f>
        <v>1</v>
      </c>
      <c r="I35">
        <f>'Monthly Data'!CC35</f>
        <v>31</v>
      </c>
      <c r="J35">
        <f>'Monthly Data'!BV35</f>
        <v>0</v>
      </c>
      <c r="K35">
        <f>'Monthly Data'!BM35</f>
        <v>34</v>
      </c>
      <c r="M35">
        <f>'Res OLS Model'!$B$5</f>
        <v>-14695221.8516191</v>
      </c>
      <c r="N35">
        <f>'Res OLS Model'!$B$6*E35</f>
        <v>4473540.8786762301</v>
      </c>
      <c r="O35">
        <f>'Res OLS Model'!$B$7*F35</f>
        <v>470339.70232160873</v>
      </c>
      <c r="P35">
        <f>'Res OLS Model'!$B$8*G35</f>
        <v>0</v>
      </c>
      <c r="Q35">
        <f>'Res OLS Model'!$B$9*H35</f>
        <v>-2399238.63510927</v>
      </c>
      <c r="R35">
        <f>'Res OLS Model'!$B$10*I35</f>
        <v>55859933.6715082</v>
      </c>
      <c r="S35">
        <f>'Res OLS Model'!$B$11*J35</f>
        <v>0</v>
      </c>
      <c r="T35">
        <f>'Res OLS Model'!$B$12*K35</f>
        <v>-433370.27739735943</v>
      </c>
      <c r="U35">
        <f t="shared" si="3"/>
        <v>43275983.488380313</v>
      </c>
      <c r="V35" s="24">
        <f t="shared" ca="1" si="4"/>
        <v>5.2179239033300689E-4</v>
      </c>
    </row>
    <row r="36" spans="1:22">
      <c r="A36" s="26">
        <f>'Monthly Data'!A36</f>
        <v>40848</v>
      </c>
      <c r="B36" s="154">
        <f t="shared" si="1"/>
        <v>11</v>
      </c>
      <c r="C36">
        <f t="shared" si="2"/>
        <v>2011</v>
      </c>
      <c r="D36">
        <f ca="1">'Monthly Data'!F36</f>
        <v>44910887.27802214</v>
      </c>
      <c r="E36">
        <f>'Monthly Data'!BH36</f>
        <v>297.2999999999999</v>
      </c>
      <c r="F36">
        <f>'Monthly Data'!BI36</f>
        <v>0</v>
      </c>
      <c r="G36">
        <f>'Monthly Data'!BZ36</f>
        <v>0</v>
      </c>
      <c r="H36">
        <f>'Monthly Data'!CA36</f>
        <v>1</v>
      </c>
      <c r="I36">
        <f>'Monthly Data'!CC36</f>
        <v>30</v>
      </c>
      <c r="J36">
        <f>'Monthly Data'!BV36</f>
        <v>0</v>
      </c>
      <c r="K36">
        <f>'Monthly Data'!BM36</f>
        <v>35</v>
      </c>
      <c r="M36">
        <f>'Res OLS Model'!$B$5</f>
        <v>-14695221.8516191</v>
      </c>
      <c r="N36">
        <f>'Res OLS Model'!$B$6*E36</f>
        <v>7177461.9710223582</v>
      </c>
      <c r="O36">
        <f>'Res OLS Model'!$B$7*F36</f>
        <v>0</v>
      </c>
      <c r="P36">
        <f>'Res OLS Model'!$B$8*G36</f>
        <v>0</v>
      </c>
      <c r="Q36">
        <f>'Res OLS Model'!$B$9*H36</f>
        <v>-2399238.63510927</v>
      </c>
      <c r="R36">
        <f>'Res OLS Model'!$B$10*I36</f>
        <v>54058000.327266</v>
      </c>
      <c r="S36">
        <f>'Res OLS Model'!$B$11*J36</f>
        <v>0</v>
      </c>
      <c r="T36">
        <f>'Res OLS Model'!$B$12*K36</f>
        <v>-446116.46202669351</v>
      </c>
      <c r="U36">
        <f t="shared" si="3"/>
        <v>43694885.349533297</v>
      </c>
      <c r="V36" s="24">
        <f t="shared" ca="1" si="4"/>
        <v>2.7075882980470822E-2</v>
      </c>
    </row>
    <row r="37" spans="1:22">
      <c r="A37" s="26">
        <f>'Monthly Data'!A37</f>
        <v>40878</v>
      </c>
      <c r="B37" s="154">
        <f t="shared" si="1"/>
        <v>12</v>
      </c>
      <c r="C37">
        <f t="shared" si="2"/>
        <v>2011</v>
      </c>
      <c r="D37">
        <f ca="1">'Monthly Data'!F37</f>
        <v>53040629.64073614</v>
      </c>
      <c r="E37">
        <f>'Monthly Data'!BH37</f>
        <v>485.4</v>
      </c>
      <c r="F37">
        <f>'Monthly Data'!BI37</f>
        <v>0</v>
      </c>
      <c r="G37">
        <f>'Monthly Data'!BZ37</f>
        <v>0</v>
      </c>
      <c r="H37">
        <f>'Monthly Data'!CA37</f>
        <v>0</v>
      </c>
      <c r="I37">
        <f>'Monthly Data'!CC37</f>
        <v>31</v>
      </c>
      <c r="J37">
        <f>'Monthly Data'!BV37</f>
        <v>0</v>
      </c>
      <c r="K37">
        <f>'Monthly Data'!BM37</f>
        <v>36</v>
      </c>
      <c r="M37">
        <f>'Res OLS Model'!$B$5</f>
        <v>-14695221.8516191</v>
      </c>
      <c r="N37">
        <f>'Res OLS Model'!$B$6*E37</f>
        <v>11718600.877007244</v>
      </c>
      <c r="O37">
        <f>'Res OLS Model'!$B$7*F37</f>
        <v>0</v>
      </c>
      <c r="P37">
        <f>'Res OLS Model'!$B$8*G37</f>
        <v>0</v>
      </c>
      <c r="Q37">
        <f>'Res OLS Model'!$B$9*H37</f>
        <v>0</v>
      </c>
      <c r="R37">
        <f>'Res OLS Model'!$B$10*I37</f>
        <v>55859933.6715082</v>
      </c>
      <c r="S37">
        <f>'Res OLS Model'!$B$11*J37</f>
        <v>0</v>
      </c>
      <c r="T37">
        <f>'Res OLS Model'!$B$12*K37</f>
        <v>-458862.64665602765</v>
      </c>
      <c r="U37">
        <f t="shared" si="3"/>
        <v>52424450.050240315</v>
      </c>
      <c r="V37" s="24">
        <f t="shared" ca="1" si="4"/>
        <v>1.1617124356732523E-2</v>
      </c>
    </row>
    <row r="38" spans="1:22">
      <c r="A38" s="26">
        <f>'Monthly Data'!A38</f>
        <v>40909</v>
      </c>
      <c r="B38" s="154">
        <f t="shared" si="1"/>
        <v>1</v>
      </c>
      <c r="C38">
        <f t="shared" si="2"/>
        <v>2012</v>
      </c>
      <c r="D38">
        <f ca="1">'Monthly Data'!F38</f>
        <v>53836254.463610977</v>
      </c>
      <c r="E38">
        <f>'Monthly Data'!BH38</f>
        <v>559.59999999999991</v>
      </c>
      <c r="F38">
        <f>'Monthly Data'!BI38</f>
        <v>0</v>
      </c>
      <c r="G38">
        <f>'Monthly Data'!BZ38</f>
        <v>0</v>
      </c>
      <c r="H38">
        <f>'Monthly Data'!CA38</f>
        <v>0</v>
      </c>
      <c r="I38">
        <f>'Monthly Data'!CC38</f>
        <v>31</v>
      </c>
      <c r="J38">
        <f>'Monthly Data'!BV38</f>
        <v>0</v>
      </c>
      <c r="K38">
        <f>'Monthly Data'!BM38</f>
        <v>37</v>
      </c>
      <c r="M38">
        <f>'Res OLS Model'!$B$5</f>
        <v>-14695221.8516191</v>
      </c>
      <c r="N38">
        <f>'Res OLS Model'!$B$6*E38</f>
        <v>13509948.600686554</v>
      </c>
      <c r="O38">
        <f>'Res OLS Model'!$B$7*F38</f>
        <v>0</v>
      </c>
      <c r="P38">
        <f>'Res OLS Model'!$B$8*G38</f>
        <v>0</v>
      </c>
      <c r="Q38">
        <f>'Res OLS Model'!$B$9*H38</f>
        <v>0</v>
      </c>
      <c r="R38">
        <f>'Res OLS Model'!$B$10*I38</f>
        <v>55859933.6715082</v>
      </c>
      <c r="S38">
        <f>'Res OLS Model'!$B$11*J38</f>
        <v>0</v>
      </c>
      <c r="T38">
        <f>'Res OLS Model'!$B$12*K38</f>
        <v>-471608.83128536172</v>
      </c>
      <c r="U38">
        <f t="shared" si="3"/>
        <v>54203051.589290291</v>
      </c>
      <c r="V38" s="24">
        <f t="shared" ca="1" si="4"/>
        <v>6.813199196969392E-3</v>
      </c>
    </row>
    <row r="39" spans="1:22">
      <c r="A39" s="26">
        <f>'Monthly Data'!A39</f>
        <v>40940</v>
      </c>
      <c r="B39" s="154">
        <f t="shared" si="1"/>
        <v>2</v>
      </c>
      <c r="C39">
        <f t="shared" si="2"/>
        <v>2012</v>
      </c>
      <c r="D39">
        <f ca="1">'Monthly Data'!F39</f>
        <v>47974878.753441975</v>
      </c>
      <c r="E39">
        <f>'Monthly Data'!BH39</f>
        <v>492.40000000000003</v>
      </c>
      <c r="F39">
        <f>'Monthly Data'!BI39</f>
        <v>0</v>
      </c>
      <c r="G39">
        <f>'Monthly Data'!BZ39</f>
        <v>0</v>
      </c>
      <c r="H39">
        <f>'Monthly Data'!CA39</f>
        <v>0</v>
      </c>
      <c r="I39">
        <f>'Monthly Data'!CC39</f>
        <v>29</v>
      </c>
      <c r="J39">
        <f>'Monthly Data'!BV39</f>
        <v>0</v>
      </c>
      <c r="K39">
        <f>'Monthly Data'!BM39</f>
        <v>38</v>
      </c>
      <c r="M39">
        <f>'Res OLS Model'!$B$5</f>
        <v>-14695221.8516191</v>
      </c>
      <c r="N39">
        <f>'Res OLS Model'!$B$6*E39</f>
        <v>11887595.945278877</v>
      </c>
      <c r="O39">
        <f>'Res OLS Model'!$B$7*F39</f>
        <v>0</v>
      </c>
      <c r="P39">
        <f>'Res OLS Model'!$B$8*G39</f>
        <v>0</v>
      </c>
      <c r="Q39">
        <f>'Res OLS Model'!$B$9*H39</f>
        <v>0</v>
      </c>
      <c r="R39">
        <f>'Res OLS Model'!$B$10*I39</f>
        <v>52256066.9830238</v>
      </c>
      <c r="S39">
        <f>'Res OLS Model'!$B$11*J39</f>
        <v>0</v>
      </c>
      <c r="T39">
        <f>'Res OLS Model'!$B$12*K39</f>
        <v>-484355.0159146958</v>
      </c>
      <c r="U39">
        <f t="shared" si="3"/>
        <v>48964086.060768887</v>
      </c>
      <c r="V39" s="24">
        <f t="shared" ca="1" si="4"/>
        <v>2.0619276859682359E-2</v>
      </c>
    </row>
    <row r="40" spans="1:22">
      <c r="A40" s="26">
        <f>'Monthly Data'!A40</f>
        <v>40969</v>
      </c>
      <c r="B40" s="154">
        <f t="shared" si="1"/>
        <v>3</v>
      </c>
      <c r="C40">
        <f t="shared" si="2"/>
        <v>2012</v>
      </c>
      <c r="D40">
        <f ca="1">'Monthly Data'!F40</f>
        <v>44818017.847629979</v>
      </c>
      <c r="E40">
        <f>'Monthly Data'!BH40</f>
        <v>250.79999999999995</v>
      </c>
      <c r="F40">
        <f>'Monthly Data'!BI40</f>
        <v>4.8</v>
      </c>
      <c r="G40">
        <f>'Monthly Data'!BZ40</f>
        <v>1</v>
      </c>
      <c r="H40">
        <f>'Monthly Data'!CA40</f>
        <v>0</v>
      </c>
      <c r="I40">
        <f>'Monthly Data'!CC40</f>
        <v>31</v>
      </c>
      <c r="J40">
        <f>'Monthly Data'!BV40</f>
        <v>0</v>
      </c>
      <c r="K40">
        <f>'Monthly Data'!BM40</f>
        <v>39</v>
      </c>
      <c r="M40">
        <f>'Res OLS Model'!$B$5</f>
        <v>-14695221.8516191</v>
      </c>
      <c r="N40">
        <f>'Res OLS Model'!$B$6*E40</f>
        <v>6054851.8746465109</v>
      </c>
      <c r="O40">
        <f>'Res OLS Model'!$B$7*F40</f>
        <v>836159.47079397121</v>
      </c>
      <c r="P40">
        <f>'Res OLS Model'!$B$8*G40</f>
        <v>-4177006.7225933699</v>
      </c>
      <c r="Q40">
        <f>'Res OLS Model'!$B$9*H40</f>
        <v>0</v>
      </c>
      <c r="R40">
        <f>'Res OLS Model'!$B$10*I40</f>
        <v>55859933.6715082</v>
      </c>
      <c r="S40">
        <f>'Res OLS Model'!$B$11*J40</f>
        <v>0</v>
      </c>
      <c r="T40">
        <f>'Res OLS Model'!$B$12*K40</f>
        <v>-497101.20054402994</v>
      </c>
      <c r="U40">
        <f t="shared" si="3"/>
        <v>43381615.242192179</v>
      </c>
      <c r="V40" s="24">
        <f t="shared" ca="1" si="4"/>
        <v>3.2049668290132977E-2</v>
      </c>
    </row>
    <row r="41" spans="1:22">
      <c r="A41" s="26">
        <f>'Monthly Data'!A41</f>
        <v>41000</v>
      </c>
      <c r="B41" s="154">
        <f t="shared" si="1"/>
        <v>4</v>
      </c>
      <c r="C41">
        <f t="shared" si="2"/>
        <v>2012</v>
      </c>
      <c r="D41">
        <f ca="1">'Monthly Data'!F41</f>
        <v>40519756.964387976</v>
      </c>
      <c r="E41">
        <f>'Monthly Data'!BH41</f>
        <v>252.49999999999991</v>
      </c>
      <c r="F41">
        <f>'Monthly Data'!BI41</f>
        <v>4.3</v>
      </c>
      <c r="G41">
        <f>'Monthly Data'!BZ41</f>
        <v>1</v>
      </c>
      <c r="H41">
        <f>'Monthly Data'!CA41</f>
        <v>0</v>
      </c>
      <c r="I41">
        <f>'Monthly Data'!CC41</f>
        <v>30</v>
      </c>
      <c r="J41">
        <f>'Monthly Data'!BV41</f>
        <v>0</v>
      </c>
      <c r="K41">
        <f>'Monthly Data'!BM41</f>
        <v>40</v>
      </c>
      <c r="M41">
        <f>'Res OLS Model'!$B$5</f>
        <v>-14695221.8516191</v>
      </c>
      <c r="N41">
        <f>'Res OLS Model'!$B$6*E41</f>
        <v>6095893.5340839066</v>
      </c>
      <c r="O41">
        <f>'Res OLS Model'!$B$7*F41</f>
        <v>749059.52591959911</v>
      </c>
      <c r="P41">
        <f>'Res OLS Model'!$B$8*G41</f>
        <v>-4177006.7225933699</v>
      </c>
      <c r="Q41">
        <f>'Res OLS Model'!$B$9*H41</f>
        <v>0</v>
      </c>
      <c r="R41">
        <f>'Res OLS Model'!$B$10*I41</f>
        <v>54058000.327266</v>
      </c>
      <c r="S41">
        <f>'Res OLS Model'!$B$11*J41</f>
        <v>0</v>
      </c>
      <c r="T41">
        <f>'Res OLS Model'!$B$12*K41</f>
        <v>-509847.38517336402</v>
      </c>
      <c r="U41">
        <f t="shared" si="3"/>
        <v>41520877.42788367</v>
      </c>
      <c r="V41" s="24">
        <f t="shared" ca="1" si="4"/>
        <v>2.4706971080195751E-2</v>
      </c>
    </row>
    <row r="42" spans="1:22">
      <c r="A42" s="26">
        <f>'Monthly Data'!A42</f>
        <v>41030</v>
      </c>
      <c r="B42" s="154">
        <f t="shared" si="1"/>
        <v>5</v>
      </c>
      <c r="C42">
        <f t="shared" si="2"/>
        <v>2012</v>
      </c>
      <c r="D42">
        <f ca="1">'Monthly Data'!F42</f>
        <v>47369873.151951976</v>
      </c>
      <c r="E42">
        <f>'Monthly Data'!BH42</f>
        <v>48.2</v>
      </c>
      <c r="F42">
        <f>'Monthly Data'!BI42</f>
        <v>59.3</v>
      </c>
      <c r="G42">
        <f>'Monthly Data'!BZ42</f>
        <v>1</v>
      </c>
      <c r="H42">
        <f>'Monthly Data'!CA42</f>
        <v>0</v>
      </c>
      <c r="I42">
        <f>'Monthly Data'!CC42</f>
        <v>31</v>
      </c>
      <c r="J42">
        <f>'Monthly Data'!BV42</f>
        <v>0</v>
      </c>
      <c r="K42">
        <f>'Monthly Data'!BM42</f>
        <v>41</v>
      </c>
      <c r="M42">
        <f>'Res OLS Model'!$B$5</f>
        <v>-14695221.8516191</v>
      </c>
      <c r="N42">
        <f>'Res OLS Model'!$B$6*E42</f>
        <v>1163651.7558132452</v>
      </c>
      <c r="O42">
        <f>'Res OLS Model'!$B$7*F42</f>
        <v>10330053.462100519</v>
      </c>
      <c r="P42">
        <f>'Res OLS Model'!$B$8*G42</f>
        <v>-4177006.7225933699</v>
      </c>
      <c r="Q42">
        <f>'Res OLS Model'!$B$9*H42</f>
        <v>0</v>
      </c>
      <c r="R42">
        <f>'Res OLS Model'!$B$10*I42</f>
        <v>55859933.6715082</v>
      </c>
      <c r="S42">
        <f>'Res OLS Model'!$B$11*J42</f>
        <v>0</v>
      </c>
      <c r="T42">
        <f>'Res OLS Model'!$B$12*K42</f>
        <v>-522593.5698026981</v>
      </c>
      <c r="U42">
        <f t="shared" si="3"/>
        <v>47958816.745406792</v>
      </c>
      <c r="V42" s="24">
        <f t="shared" ca="1" si="4"/>
        <v>1.2432872504547688E-2</v>
      </c>
    </row>
    <row r="43" spans="1:22">
      <c r="A43" s="26">
        <f>'Monthly Data'!A43</f>
        <v>41061</v>
      </c>
      <c r="B43" s="154">
        <f t="shared" si="1"/>
        <v>6</v>
      </c>
      <c r="C43">
        <f t="shared" ref="C43:C97" si="5">YEAR(A43)</f>
        <v>2012</v>
      </c>
      <c r="D43">
        <f ca="1">'Monthly Data'!F43</f>
        <v>66164429.476892978</v>
      </c>
      <c r="E43">
        <f>'Monthly Data'!BH43</f>
        <v>10.3</v>
      </c>
      <c r="F43">
        <f>'Monthly Data'!BI43</f>
        <v>147.09999999999997</v>
      </c>
      <c r="G43">
        <f>'Monthly Data'!BZ43</f>
        <v>0</v>
      </c>
      <c r="H43">
        <f>'Monthly Data'!CA43</f>
        <v>0</v>
      </c>
      <c r="I43">
        <f>'Monthly Data'!CC43</f>
        <v>30</v>
      </c>
      <c r="J43">
        <f>'Monthly Data'!BV43</f>
        <v>0</v>
      </c>
      <c r="K43">
        <f>'Monthly Data'!BM43</f>
        <v>42</v>
      </c>
      <c r="M43">
        <f>'Res OLS Model'!$B$5</f>
        <v>-14695221.8516191</v>
      </c>
      <c r="N43">
        <f>'Res OLS Model'!$B$6*E43</f>
        <v>248664.17188540302</v>
      </c>
      <c r="O43">
        <f>'Res OLS Model'!$B$7*F43</f>
        <v>25624803.782040235</v>
      </c>
      <c r="P43">
        <f>'Res OLS Model'!$B$8*G43</f>
        <v>0</v>
      </c>
      <c r="Q43">
        <f>'Res OLS Model'!$B$9*H43</f>
        <v>0</v>
      </c>
      <c r="R43">
        <f>'Res OLS Model'!$B$10*I43</f>
        <v>54058000.327266</v>
      </c>
      <c r="S43">
        <f>'Res OLS Model'!$B$11*J43</f>
        <v>0</v>
      </c>
      <c r="T43">
        <f>'Res OLS Model'!$B$12*K43</f>
        <v>-535339.75443203223</v>
      </c>
      <c r="U43">
        <f t="shared" ref="U43:U97" si="6">SUM(M43:T43)</f>
        <v>64700906.675140508</v>
      </c>
      <c r="V43" s="24">
        <f t="shared" ref="V43:V97" ca="1" si="7">ABS(U43-D43)/D43</f>
        <v>2.2119480411503974E-2</v>
      </c>
    </row>
    <row r="44" spans="1:22">
      <c r="A44" s="26">
        <f>'Monthly Data'!A44</f>
        <v>41091</v>
      </c>
      <c r="B44" s="154">
        <f t="shared" si="1"/>
        <v>7</v>
      </c>
      <c r="C44">
        <f t="shared" si="5"/>
        <v>2012</v>
      </c>
      <c r="D44">
        <f ca="1">'Monthly Data'!F44</f>
        <v>83251368.938582972</v>
      </c>
      <c r="E44">
        <f>'Monthly Data'!BH44</f>
        <v>0</v>
      </c>
      <c r="F44">
        <f>'Monthly Data'!BI44</f>
        <v>235.50000000000009</v>
      </c>
      <c r="G44">
        <f>'Monthly Data'!BZ44</f>
        <v>0</v>
      </c>
      <c r="H44">
        <f>'Monthly Data'!CA44</f>
        <v>0</v>
      </c>
      <c r="I44">
        <f>'Monthly Data'!CC44</f>
        <v>31</v>
      </c>
      <c r="J44">
        <f>'Monthly Data'!BV44</f>
        <v>0</v>
      </c>
      <c r="K44">
        <f>'Monthly Data'!BM44</f>
        <v>43</v>
      </c>
      <c r="M44">
        <f>'Res OLS Model'!$B$5</f>
        <v>-14695221.8516191</v>
      </c>
      <c r="N44">
        <f>'Res OLS Model'!$B$6*E44</f>
        <v>0</v>
      </c>
      <c r="O44">
        <f>'Res OLS Model'!$B$7*F44</f>
        <v>41024074.035829224</v>
      </c>
      <c r="P44">
        <f>'Res OLS Model'!$B$8*G44</f>
        <v>0</v>
      </c>
      <c r="Q44">
        <f>'Res OLS Model'!$B$9*H44</f>
        <v>0</v>
      </c>
      <c r="R44">
        <f>'Res OLS Model'!$B$10*I44</f>
        <v>55859933.6715082</v>
      </c>
      <c r="S44">
        <f>'Res OLS Model'!$B$11*J44</f>
        <v>0</v>
      </c>
      <c r="T44">
        <f>'Res OLS Model'!$B$12*K44</f>
        <v>-548085.93906136637</v>
      </c>
      <c r="U44">
        <f t="shared" si="6"/>
        <v>81640699.916656941</v>
      </c>
      <c r="V44" s="24">
        <f t="shared" ca="1" si="7"/>
        <v>1.934705750141201E-2</v>
      </c>
    </row>
    <row r="45" spans="1:22">
      <c r="A45" s="26">
        <f>'Monthly Data'!A45</f>
        <v>41122</v>
      </c>
      <c r="B45" s="154">
        <f t="shared" si="1"/>
        <v>8</v>
      </c>
      <c r="C45">
        <f t="shared" si="5"/>
        <v>2012</v>
      </c>
      <c r="D45">
        <f ca="1">'Monthly Data'!F45</f>
        <v>68538520.76983498</v>
      </c>
      <c r="E45">
        <f>'Monthly Data'!BH45</f>
        <v>0.7</v>
      </c>
      <c r="F45">
        <f>'Monthly Data'!BI45</f>
        <v>143.69999999999999</v>
      </c>
      <c r="G45">
        <f>'Monthly Data'!BZ45</f>
        <v>0</v>
      </c>
      <c r="H45">
        <f>'Monthly Data'!CA45</f>
        <v>0</v>
      </c>
      <c r="I45">
        <f>'Monthly Data'!CC45</f>
        <v>31</v>
      </c>
      <c r="J45">
        <f>'Monthly Data'!BV45</f>
        <v>0</v>
      </c>
      <c r="K45">
        <f>'Monthly Data'!BM45</f>
        <v>44</v>
      </c>
      <c r="M45">
        <f>'Res OLS Model'!$B$5</f>
        <v>-14695221.8516191</v>
      </c>
      <c r="N45">
        <f>'Res OLS Model'!$B$6*E45</f>
        <v>16899.50682716331</v>
      </c>
      <c r="O45">
        <f>'Res OLS Model'!$B$7*F45</f>
        <v>25032524.156894509</v>
      </c>
      <c r="P45">
        <f>'Res OLS Model'!$B$8*G45</f>
        <v>0</v>
      </c>
      <c r="Q45">
        <f>'Res OLS Model'!$B$9*H45</f>
        <v>0</v>
      </c>
      <c r="R45">
        <f>'Res OLS Model'!$B$10*I45</f>
        <v>55859933.6715082</v>
      </c>
      <c r="S45">
        <f>'Res OLS Model'!$B$11*J45</f>
        <v>0</v>
      </c>
      <c r="T45">
        <f>'Res OLS Model'!$B$12*K45</f>
        <v>-560832.12369070039</v>
      </c>
      <c r="U45">
        <f t="shared" si="6"/>
        <v>65653303.35992007</v>
      </c>
      <c r="V45" s="24">
        <f t="shared" ca="1" si="7"/>
        <v>4.2096289466240513E-2</v>
      </c>
    </row>
    <row r="46" spans="1:22">
      <c r="A46" s="26">
        <f>'Monthly Data'!A46</f>
        <v>41153</v>
      </c>
      <c r="B46" s="154">
        <f t="shared" si="1"/>
        <v>9</v>
      </c>
      <c r="C46">
        <f t="shared" si="5"/>
        <v>2012</v>
      </c>
      <c r="D46">
        <f ca="1">'Monthly Data'!F46</f>
        <v>50547782.282330975</v>
      </c>
      <c r="E46">
        <f>'Monthly Data'!BH46</f>
        <v>53.2</v>
      </c>
      <c r="F46">
        <f>'Monthly Data'!BI46</f>
        <v>50.29999999999999</v>
      </c>
      <c r="G46">
        <f>'Monthly Data'!BZ46</f>
        <v>0</v>
      </c>
      <c r="H46">
        <f>'Monthly Data'!CA46</f>
        <v>1</v>
      </c>
      <c r="I46">
        <f>'Monthly Data'!CC46</f>
        <v>30</v>
      </c>
      <c r="J46">
        <f>'Monthly Data'!BV46</f>
        <v>1</v>
      </c>
      <c r="K46">
        <f>'Monthly Data'!BM46</f>
        <v>45</v>
      </c>
      <c r="M46">
        <f>'Res OLS Model'!$B$5</f>
        <v>-14695221.8516191</v>
      </c>
      <c r="N46">
        <f>'Res OLS Model'!$B$6*E46</f>
        <v>1284362.5188644116</v>
      </c>
      <c r="O46">
        <f>'Res OLS Model'!$B$7*F46</f>
        <v>8762254.4543618206</v>
      </c>
      <c r="P46">
        <f>'Res OLS Model'!$B$8*G46</f>
        <v>0</v>
      </c>
      <c r="Q46">
        <f>'Res OLS Model'!$B$9*H46</f>
        <v>-2399238.63510927</v>
      </c>
      <c r="R46">
        <f>'Res OLS Model'!$B$10*I46</f>
        <v>54058000.327266</v>
      </c>
      <c r="S46">
        <f>'Res OLS Model'!$B$11*J46</f>
        <v>2497427.94615121</v>
      </c>
      <c r="T46">
        <f>'Res OLS Model'!$B$12*K46</f>
        <v>-573578.30832003453</v>
      </c>
      <c r="U46">
        <f t="shared" si="6"/>
        <v>48934006.451595038</v>
      </c>
      <c r="V46" s="24">
        <f t="shared" ca="1" si="7"/>
        <v>3.1925749417102196E-2</v>
      </c>
    </row>
    <row r="47" spans="1:22">
      <c r="A47" s="26">
        <f>'Monthly Data'!A47</f>
        <v>41183</v>
      </c>
      <c r="B47" s="154">
        <f t="shared" si="1"/>
        <v>10</v>
      </c>
      <c r="C47">
        <f t="shared" si="5"/>
        <v>2012</v>
      </c>
      <c r="D47">
        <f ca="1">'Monthly Data'!F47</f>
        <v>42873857.88398198</v>
      </c>
      <c r="E47">
        <f>'Monthly Data'!BH47</f>
        <v>207.19999999999996</v>
      </c>
      <c r="F47">
        <f>'Monthly Data'!BI47</f>
        <v>5.6</v>
      </c>
      <c r="G47">
        <f>'Monthly Data'!BZ47</f>
        <v>0</v>
      </c>
      <c r="H47">
        <f>'Monthly Data'!CA47</f>
        <v>1</v>
      </c>
      <c r="I47">
        <f>'Monthly Data'!CC47</f>
        <v>31</v>
      </c>
      <c r="J47">
        <f>'Monthly Data'!BV47</f>
        <v>0</v>
      </c>
      <c r="K47">
        <f>'Monthly Data'!BM47</f>
        <v>46</v>
      </c>
      <c r="M47">
        <f>'Res OLS Model'!$B$5</f>
        <v>-14695221.8516191</v>
      </c>
      <c r="N47">
        <f>'Res OLS Model'!$B$6*E47</f>
        <v>5002254.0208403394</v>
      </c>
      <c r="O47">
        <f>'Res OLS Model'!$B$7*F47</f>
        <v>975519.38259296631</v>
      </c>
      <c r="P47">
        <f>'Res OLS Model'!$B$8*G47</f>
        <v>0</v>
      </c>
      <c r="Q47">
        <f>'Res OLS Model'!$B$9*H47</f>
        <v>-2399238.63510927</v>
      </c>
      <c r="R47">
        <f>'Res OLS Model'!$B$10*I47</f>
        <v>55859933.6715082</v>
      </c>
      <c r="S47">
        <f>'Res OLS Model'!$B$11*J47</f>
        <v>0</v>
      </c>
      <c r="T47">
        <f>'Res OLS Model'!$B$12*K47</f>
        <v>-586324.49294936866</v>
      </c>
      <c r="U47">
        <f t="shared" si="6"/>
        <v>44156922.095263772</v>
      </c>
      <c r="V47" s="24">
        <f t="shared" ca="1" si="7"/>
        <v>2.9926493080090991E-2</v>
      </c>
    </row>
    <row r="48" spans="1:22">
      <c r="A48" s="26">
        <f>'Monthly Data'!A48</f>
        <v>41214</v>
      </c>
      <c r="B48" s="154">
        <f t="shared" si="1"/>
        <v>11</v>
      </c>
      <c r="C48">
        <f t="shared" si="5"/>
        <v>2012</v>
      </c>
      <c r="D48">
        <f ca="1">'Monthly Data'!F48</f>
        <v>45641430.12196698</v>
      </c>
      <c r="E48">
        <f>'Monthly Data'!BH48</f>
        <v>405.49999999999994</v>
      </c>
      <c r="F48">
        <f>'Monthly Data'!BI48</f>
        <v>0</v>
      </c>
      <c r="G48">
        <f>'Monthly Data'!BZ48</f>
        <v>0</v>
      </c>
      <c r="H48">
        <f>'Monthly Data'!CA48</f>
        <v>1</v>
      </c>
      <c r="I48">
        <f>'Monthly Data'!CC48</f>
        <v>30</v>
      </c>
      <c r="J48">
        <f>'Monthly Data'!BV48</f>
        <v>0</v>
      </c>
      <c r="K48">
        <f>'Monthly Data'!BM48</f>
        <v>47</v>
      </c>
      <c r="M48">
        <f>'Res OLS Model'!$B$5</f>
        <v>-14695221.8516191</v>
      </c>
      <c r="N48">
        <f>'Res OLS Model'!$B$6*E48</f>
        <v>9789642.8834496029</v>
      </c>
      <c r="O48">
        <f>'Res OLS Model'!$B$7*F48</f>
        <v>0</v>
      </c>
      <c r="P48">
        <f>'Res OLS Model'!$B$8*G48</f>
        <v>0</v>
      </c>
      <c r="Q48">
        <f>'Res OLS Model'!$B$9*H48</f>
        <v>-2399238.63510927</v>
      </c>
      <c r="R48">
        <f>'Res OLS Model'!$B$10*I48</f>
        <v>54058000.327266</v>
      </c>
      <c r="S48">
        <f>'Res OLS Model'!$B$11*J48</f>
        <v>0</v>
      </c>
      <c r="T48">
        <f>'Res OLS Model'!$B$12*K48</f>
        <v>-599070.67757870269</v>
      </c>
      <c r="U48">
        <f t="shared" si="6"/>
        <v>46154112.046408534</v>
      </c>
      <c r="V48" s="24">
        <f t="shared" ca="1" si="7"/>
        <v>1.1232819021479403E-2</v>
      </c>
    </row>
    <row r="49" spans="1:22">
      <c r="A49" s="26">
        <f>'Monthly Data'!A49</f>
        <v>41244</v>
      </c>
      <c r="B49" s="154">
        <f t="shared" si="1"/>
        <v>12</v>
      </c>
      <c r="C49">
        <f t="shared" si="5"/>
        <v>2012</v>
      </c>
      <c r="D49">
        <f ca="1">'Monthly Data'!F49</f>
        <v>52638100.62582498</v>
      </c>
      <c r="E49">
        <f>'Monthly Data'!BH49</f>
        <v>484.20000000000005</v>
      </c>
      <c r="F49">
        <f>'Monthly Data'!BI49</f>
        <v>0</v>
      </c>
      <c r="G49">
        <f>'Monthly Data'!BZ49</f>
        <v>0</v>
      </c>
      <c r="H49">
        <f>'Monthly Data'!CA49</f>
        <v>0</v>
      </c>
      <c r="I49">
        <f>'Monthly Data'!CC49</f>
        <v>31</v>
      </c>
      <c r="J49">
        <f>'Monthly Data'!BV49</f>
        <v>0</v>
      </c>
      <c r="K49">
        <f>'Monthly Data'!BM49</f>
        <v>48</v>
      </c>
      <c r="M49">
        <f>'Res OLS Model'!$B$5</f>
        <v>-14695221.8516191</v>
      </c>
      <c r="N49">
        <f>'Res OLS Model'!$B$6*E49</f>
        <v>11689630.293874966</v>
      </c>
      <c r="O49">
        <f>'Res OLS Model'!$B$7*F49</f>
        <v>0</v>
      </c>
      <c r="P49">
        <f>'Res OLS Model'!$B$8*G49</f>
        <v>0</v>
      </c>
      <c r="Q49">
        <f>'Res OLS Model'!$B$9*H49</f>
        <v>0</v>
      </c>
      <c r="R49">
        <f>'Res OLS Model'!$B$10*I49</f>
        <v>55859933.6715082</v>
      </c>
      <c r="S49">
        <f>'Res OLS Model'!$B$11*J49</f>
        <v>0</v>
      </c>
      <c r="T49">
        <f>'Res OLS Model'!$B$12*K49</f>
        <v>-611816.86220803682</v>
      </c>
      <c r="U49">
        <f t="shared" si="6"/>
        <v>52242525.251556024</v>
      </c>
      <c r="V49" s="24">
        <f t="shared" ca="1" si="7"/>
        <v>7.5150009131386046E-3</v>
      </c>
    </row>
    <row r="50" spans="1:22">
      <c r="A50" s="26">
        <f>'Monthly Data'!A50</f>
        <v>41275</v>
      </c>
      <c r="B50" s="154">
        <f t="shared" si="1"/>
        <v>1</v>
      </c>
      <c r="C50">
        <f t="shared" si="5"/>
        <v>2013</v>
      </c>
      <c r="D50">
        <f ca="1">'Monthly Data'!F50</f>
        <v>54911356.121163584</v>
      </c>
      <c r="E50">
        <f>'Monthly Data'!BH50</f>
        <v>598.19999999999993</v>
      </c>
      <c r="F50">
        <f>'Monthly Data'!BI50</f>
        <v>0</v>
      </c>
      <c r="G50">
        <f>'Monthly Data'!BZ50</f>
        <v>0</v>
      </c>
      <c r="H50">
        <f>'Monthly Data'!CA50</f>
        <v>0</v>
      </c>
      <c r="I50">
        <f>'Monthly Data'!CC50</f>
        <v>31</v>
      </c>
      <c r="J50">
        <f>'Monthly Data'!BV50</f>
        <v>0</v>
      </c>
      <c r="K50">
        <f>'Monthly Data'!BM50</f>
        <v>49</v>
      </c>
      <c r="M50">
        <f>'Res OLS Model'!$B$5</f>
        <v>-14695221.8516191</v>
      </c>
      <c r="N50">
        <f>'Res OLS Model'!$B$6*E50</f>
        <v>14441835.691441558</v>
      </c>
      <c r="O50">
        <f>'Res OLS Model'!$B$7*F50</f>
        <v>0</v>
      </c>
      <c r="P50">
        <f>'Res OLS Model'!$B$8*G50</f>
        <v>0</v>
      </c>
      <c r="Q50">
        <f>'Res OLS Model'!$B$9*H50</f>
        <v>0</v>
      </c>
      <c r="R50">
        <f>'Res OLS Model'!$B$10*I50</f>
        <v>55859933.6715082</v>
      </c>
      <c r="S50">
        <f>'Res OLS Model'!$B$11*J50</f>
        <v>0</v>
      </c>
      <c r="T50">
        <f>'Res OLS Model'!$B$12*K50</f>
        <v>-624563.04683737096</v>
      </c>
      <c r="U50">
        <f t="shared" si="6"/>
        <v>54981984.464493282</v>
      </c>
      <c r="V50" s="24">
        <f t="shared" ca="1" si="7"/>
        <v>1.2862247141348002E-3</v>
      </c>
    </row>
    <row r="51" spans="1:22">
      <c r="A51" s="26">
        <f>'Monthly Data'!A51</f>
        <v>41306</v>
      </c>
      <c r="B51" s="154">
        <f t="shared" si="1"/>
        <v>2</v>
      </c>
      <c r="C51">
        <f t="shared" si="5"/>
        <v>2013</v>
      </c>
      <c r="D51">
        <f ca="1">'Monthly Data'!F51</f>
        <v>48753761.194211587</v>
      </c>
      <c r="E51">
        <f>'Monthly Data'!BH51</f>
        <v>574.80000000000007</v>
      </c>
      <c r="F51">
        <f>'Monthly Data'!BI51</f>
        <v>0</v>
      </c>
      <c r="G51">
        <f>'Monthly Data'!BZ51</f>
        <v>0</v>
      </c>
      <c r="H51">
        <f>'Monthly Data'!CA51</f>
        <v>0</v>
      </c>
      <c r="I51">
        <f>'Monthly Data'!CC51</f>
        <v>28</v>
      </c>
      <c r="J51">
        <f>'Monthly Data'!BV51</f>
        <v>0</v>
      </c>
      <c r="K51">
        <f>'Monthly Data'!BM51</f>
        <v>50</v>
      </c>
      <c r="M51">
        <f>'Res OLS Model'!$B$5</f>
        <v>-14695221.8516191</v>
      </c>
      <c r="N51">
        <f>'Res OLS Model'!$B$6*E51</f>
        <v>13876909.320362102</v>
      </c>
      <c r="O51">
        <f>'Res OLS Model'!$B$7*F51</f>
        <v>0</v>
      </c>
      <c r="P51">
        <f>'Res OLS Model'!$B$8*G51</f>
        <v>0</v>
      </c>
      <c r="Q51">
        <f>'Res OLS Model'!$B$9*H51</f>
        <v>0</v>
      </c>
      <c r="R51">
        <f>'Res OLS Model'!$B$10*I51</f>
        <v>50454133.6387816</v>
      </c>
      <c r="S51">
        <f>'Res OLS Model'!$B$11*J51</f>
        <v>0</v>
      </c>
      <c r="T51">
        <f>'Res OLS Model'!$B$12*K51</f>
        <v>-637309.23146670498</v>
      </c>
      <c r="U51">
        <f t="shared" si="6"/>
        <v>48998511.8760579</v>
      </c>
      <c r="V51" s="24">
        <f t="shared" ca="1" si="7"/>
        <v>5.0201394897789308E-3</v>
      </c>
    </row>
    <row r="52" spans="1:22">
      <c r="A52" s="26">
        <f>'Monthly Data'!A52</f>
        <v>41334</v>
      </c>
      <c r="B52" s="154">
        <f t="shared" si="1"/>
        <v>3</v>
      </c>
      <c r="C52">
        <f t="shared" si="5"/>
        <v>2013</v>
      </c>
      <c r="D52">
        <f ca="1">'Monthly Data'!F52</f>
        <v>49889124.102056585</v>
      </c>
      <c r="E52">
        <f>'Monthly Data'!BH52</f>
        <v>505.20000000000005</v>
      </c>
      <c r="F52">
        <f>'Monthly Data'!BI52</f>
        <v>0</v>
      </c>
      <c r="G52">
        <f>'Monthly Data'!BZ52</f>
        <v>1</v>
      </c>
      <c r="H52">
        <f>'Monthly Data'!CA52</f>
        <v>0</v>
      </c>
      <c r="I52">
        <f>'Monthly Data'!CC52</f>
        <v>31</v>
      </c>
      <c r="J52">
        <f>'Monthly Data'!BV52</f>
        <v>0</v>
      </c>
      <c r="K52">
        <f>'Monthly Data'!BM52</f>
        <v>51</v>
      </c>
      <c r="M52">
        <f>'Res OLS Model'!$B$5</f>
        <v>-14695221.8516191</v>
      </c>
      <c r="N52">
        <f>'Res OLS Model'!$B$6*E52</f>
        <v>12196615.498689864</v>
      </c>
      <c r="O52">
        <f>'Res OLS Model'!$B$7*F52</f>
        <v>0</v>
      </c>
      <c r="P52">
        <f>'Res OLS Model'!$B$8*G52</f>
        <v>-4177006.7225933699</v>
      </c>
      <c r="Q52">
        <f>'Res OLS Model'!$B$9*H52</f>
        <v>0</v>
      </c>
      <c r="R52">
        <f>'Res OLS Model'!$B$10*I52</f>
        <v>55859933.6715082</v>
      </c>
      <c r="S52">
        <f>'Res OLS Model'!$B$11*J52</f>
        <v>0</v>
      </c>
      <c r="T52">
        <f>'Res OLS Model'!$B$12*K52</f>
        <v>-650055.41609603912</v>
      </c>
      <c r="U52">
        <f t="shared" si="6"/>
        <v>48534265.179889552</v>
      </c>
      <c r="V52" s="24">
        <f t="shared" ca="1" si="7"/>
        <v>2.7157400466591503E-2</v>
      </c>
    </row>
    <row r="53" spans="1:22">
      <c r="A53" s="26">
        <f>'Monthly Data'!A53</f>
        <v>41365</v>
      </c>
      <c r="B53" s="154">
        <f t="shared" si="1"/>
        <v>4</v>
      </c>
      <c r="C53">
        <f t="shared" si="5"/>
        <v>2013</v>
      </c>
      <c r="D53">
        <f ca="1">'Monthly Data'!F53</f>
        <v>43188284.981835589</v>
      </c>
      <c r="E53">
        <f>'Monthly Data'!BH53</f>
        <v>300.19999999999993</v>
      </c>
      <c r="F53">
        <f>'Monthly Data'!BI53</f>
        <v>0</v>
      </c>
      <c r="G53">
        <f>'Monthly Data'!BZ53</f>
        <v>1</v>
      </c>
      <c r="H53">
        <f>'Monthly Data'!CA53</f>
        <v>0</v>
      </c>
      <c r="I53">
        <f>'Monthly Data'!CC53</f>
        <v>30</v>
      </c>
      <c r="J53">
        <f>'Monthly Data'!BV53</f>
        <v>0</v>
      </c>
      <c r="K53">
        <f>'Monthly Data'!BM53</f>
        <v>52</v>
      </c>
      <c r="M53">
        <f>'Res OLS Model'!$B$5</f>
        <v>-14695221.8516191</v>
      </c>
      <c r="N53">
        <f>'Res OLS Model'!$B$6*E53</f>
        <v>7247474.2135920357</v>
      </c>
      <c r="O53">
        <f>'Res OLS Model'!$B$7*F53</f>
        <v>0</v>
      </c>
      <c r="P53">
        <f>'Res OLS Model'!$B$8*G53</f>
        <v>-4177006.7225933699</v>
      </c>
      <c r="Q53">
        <f>'Res OLS Model'!$B$9*H53</f>
        <v>0</v>
      </c>
      <c r="R53">
        <f>'Res OLS Model'!$B$10*I53</f>
        <v>54058000.327266</v>
      </c>
      <c r="S53">
        <f>'Res OLS Model'!$B$11*J53</f>
        <v>0</v>
      </c>
      <c r="T53">
        <f>'Res OLS Model'!$B$12*K53</f>
        <v>-662801.60072537325</v>
      </c>
      <c r="U53">
        <f t="shared" si="6"/>
        <v>41770444.365920193</v>
      </c>
      <c r="V53" s="24">
        <f t="shared" ca="1" si="7"/>
        <v>3.2829287305845091E-2</v>
      </c>
    </row>
    <row r="54" spans="1:22">
      <c r="A54" s="26">
        <f>'Monthly Data'!A54</f>
        <v>41395</v>
      </c>
      <c r="B54" s="154">
        <f t="shared" si="1"/>
        <v>5</v>
      </c>
      <c r="C54">
        <f t="shared" si="5"/>
        <v>2013</v>
      </c>
      <c r="D54">
        <f ca="1">'Monthly Data'!F54</f>
        <v>45290631.481890589</v>
      </c>
      <c r="E54">
        <f>'Monthly Data'!BH54</f>
        <v>73.300000000000011</v>
      </c>
      <c r="F54">
        <f>'Monthly Data'!BI54</f>
        <v>59.899999999999991</v>
      </c>
      <c r="G54">
        <f>'Monthly Data'!BZ54</f>
        <v>1</v>
      </c>
      <c r="H54">
        <f>'Monthly Data'!CA54</f>
        <v>0</v>
      </c>
      <c r="I54">
        <f>'Monthly Data'!CC54</f>
        <v>31</v>
      </c>
      <c r="J54">
        <f>'Monthly Data'!BV54</f>
        <v>0</v>
      </c>
      <c r="K54">
        <f>'Monthly Data'!BM54</f>
        <v>53</v>
      </c>
      <c r="M54">
        <f>'Res OLS Model'!$B$5</f>
        <v>-14695221.8516191</v>
      </c>
      <c r="N54">
        <f>'Res OLS Model'!$B$6*E54</f>
        <v>1769619.7863301013</v>
      </c>
      <c r="O54">
        <f>'Res OLS Model'!$B$7*F54</f>
        <v>10434573.395949764</v>
      </c>
      <c r="P54">
        <f>'Res OLS Model'!$B$8*G54</f>
        <v>-4177006.7225933699</v>
      </c>
      <c r="Q54">
        <f>'Res OLS Model'!$B$9*H54</f>
        <v>0</v>
      </c>
      <c r="R54">
        <f>'Res OLS Model'!$B$10*I54</f>
        <v>55859933.6715082</v>
      </c>
      <c r="S54">
        <f>'Res OLS Model'!$B$11*J54</f>
        <v>0</v>
      </c>
      <c r="T54">
        <f>'Res OLS Model'!$B$12*K54</f>
        <v>-675547.78535470727</v>
      </c>
      <c r="U54">
        <f t="shared" si="6"/>
        <v>48516350.49422089</v>
      </c>
      <c r="V54" s="24">
        <f t="shared" ca="1" si="7"/>
        <v>7.1222654813724584E-2</v>
      </c>
    </row>
    <row r="55" spans="1:22">
      <c r="A55" s="26">
        <f>'Monthly Data'!A55</f>
        <v>41426</v>
      </c>
      <c r="B55" s="154">
        <f t="shared" ref="B55:B109" si="8">MONTH(A55)</f>
        <v>6</v>
      </c>
      <c r="C55">
        <f t="shared" si="5"/>
        <v>2013</v>
      </c>
      <c r="D55">
        <f ca="1">'Monthly Data'!F55</f>
        <v>56572380.058294587</v>
      </c>
      <c r="E55">
        <f>'Monthly Data'!BH55</f>
        <v>14.700000000000001</v>
      </c>
      <c r="F55">
        <f>'Monthly Data'!BI55</f>
        <v>103.49999999999999</v>
      </c>
      <c r="G55">
        <f>'Monthly Data'!BZ55</f>
        <v>0</v>
      </c>
      <c r="H55">
        <f>'Monthly Data'!CA55</f>
        <v>0</v>
      </c>
      <c r="I55">
        <f>'Monthly Data'!CC55</f>
        <v>30</v>
      </c>
      <c r="J55">
        <f>'Monthly Data'!BV55</f>
        <v>0</v>
      </c>
      <c r="K55">
        <f>'Monthly Data'!BM55</f>
        <v>54</v>
      </c>
      <c r="M55">
        <f>'Res OLS Model'!$B$5</f>
        <v>-14695221.8516191</v>
      </c>
      <c r="N55">
        <f>'Res OLS Model'!$B$6*E55</f>
        <v>354889.64337042958</v>
      </c>
      <c r="O55">
        <f>'Res OLS Model'!$B$7*F55</f>
        <v>18029688.588995002</v>
      </c>
      <c r="P55">
        <f>'Res OLS Model'!$B$8*G55</f>
        <v>0</v>
      </c>
      <c r="Q55">
        <f>'Res OLS Model'!$B$9*H55</f>
        <v>0</v>
      </c>
      <c r="R55">
        <f>'Res OLS Model'!$B$10*I55</f>
        <v>54058000.327266</v>
      </c>
      <c r="S55">
        <f>'Res OLS Model'!$B$11*J55</f>
        <v>0</v>
      </c>
      <c r="T55">
        <f>'Res OLS Model'!$B$12*K55</f>
        <v>-688293.96998404141</v>
      </c>
      <c r="U55">
        <f t="shared" si="6"/>
        <v>57059062.738028288</v>
      </c>
      <c r="V55" s="24">
        <f t="shared" ca="1" si="7"/>
        <v>8.6028319691022811E-3</v>
      </c>
    </row>
    <row r="56" spans="1:22">
      <c r="A56" s="26">
        <f>'Monthly Data'!A56</f>
        <v>41456</v>
      </c>
      <c r="B56" s="154">
        <f t="shared" si="8"/>
        <v>7</v>
      </c>
      <c r="C56">
        <f t="shared" si="5"/>
        <v>2013</v>
      </c>
      <c r="D56">
        <f ca="1">'Monthly Data'!F56</f>
        <v>69531972.104008585</v>
      </c>
      <c r="E56">
        <f>'Monthly Data'!BH56</f>
        <v>1.5</v>
      </c>
      <c r="F56">
        <f>'Monthly Data'!BI56</f>
        <v>174.80000000000004</v>
      </c>
      <c r="G56">
        <f>'Monthly Data'!BZ56</f>
        <v>0</v>
      </c>
      <c r="H56">
        <f>'Monthly Data'!CA56</f>
        <v>0</v>
      </c>
      <c r="I56">
        <f>'Monthly Data'!CC56</f>
        <v>31</v>
      </c>
      <c r="J56">
        <f>'Monthly Data'!BV56</f>
        <v>0</v>
      </c>
      <c r="K56">
        <f>'Monthly Data'!BM56</f>
        <v>55</v>
      </c>
      <c r="M56">
        <f>'Res OLS Model'!$B$5</f>
        <v>-14695221.8516191</v>
      </c>
      <c r="N56">
        <f>'Res OLS Model'!$B$6*E56</f>
        <v>36213.228915349951</v>
      </c>
      <c r="O56">
        <f>'Res OLS Model'!$B$7*F56</f>
        <v>30450140.728080459</v>
      </c>
      <c r="P56">
        <f>'Res OLS Model'!$B$8*G56</f>
        <v>0</v>
      </c>
      <c r="Q56">
        <f>'Res OLS Model'!$B$9*H56</f>
        <v>0</v>
      </c>
      <c r="R56">
        <f>'Res OLS Model'!$B$10*I56</f>
        <v>55859933.6715082</v>
      </c>
      <c r="S56">
        <f>'Res OLS Model'!$B$11*J56</f>
        <v>0</v>
      </c>
      <c r="T56">
        <f>'Res OLS Model'!$B$12*K56</f>
        <v>-701040.15461337555</v>
      </c>
      <c r="U56">
        <f t="shared" si="6"/>
        <v>70950025.622271538</v>
      </c>
      <c r="V56" s="24">
        <f t="shared" ca="1" si="7"/>
        <v>2.039426576513282E-2</v>
      </c>
    </row>
    <row r="57" spans="1:22">
      <c r="A57" s="26">
        <f>'Monthly Data'!A57</f>
        <v>41487</v>
      </c>
      <c r="B57" s="154">
        <f t="shared" si="8"/>
        <v>8</v>
      </c>
      <c r="C57">
        <f t="shared" si="5"/>
        <v>2013</v>
      </c>
      <c r="D57">
        <f ca="1">'Monthly Data'!F57</f>
        <v>62627316.669716507</v>
      </c>
      <c r="E57">
        <f>'Monthly Data'!BH57</f>
        <v>1.2</v>
      </c>
      <c r="F57">
        <f>'Monthly Data'!BI57</f>
        <v>134.29999999999998</v>
      </c>
      <c r="G57">
        <f>'Monthly Data'!BZ57</f>
        <v>0</v>
      </c>
      <c r="H57">
        <f>'Monthly Data'!CA57</f>
        <v>0</v>
      </c>
      <c r="I57">
        <f>'Monthly Data'!CC57</f>
        <v>31</v>
      </c>
      <c r="J57">
        <f>'Monthly Data'!BV57</f>
        <v>0</v>
      </c>
      <c r="K57">
        <f>'Monthly Data'!BM57</f>
        <v>56</v>
      </c>
      <c r="M57">
        <f>'Res OLS Model'!$B$5</f>
        <v>-14695221.8516191</v>
      </c>
      <c r="N57">
        <f>'Res OLS Model'!$B$6*E57</f>
        <v>28970.58313227996</v>
      </c>
      <c r="O57">
        <f>'Res OLS Model'!$B$7*F57</f>
        <v>23395045.193256315</v>
      </c>
      <c r="P57">
        <f>'Res OLS Model'!$B$8*G57</f>
        <v>0</v>
      </c>
      <c r="Q57">
        <f>'Res OLS Model'!$B$9*H57</f>
        <v>0</v>
      </c>
      <c r="R57">
        <f>'Res OLS Model'!$B$10*I57</f>
        <v>55859933.6715082</v>
      </c>
      <c r="S57">
        <f>'Res OLS Model'!$B$11*J57</f>
        <v>0</v>
      </c>
      <c r="T57">
        <f>'Res OLS Model'!$B$12*K57</f>
        <v>-713786.33924270957</v>
      </c>
      <c r="U57">
        <f t="shared" si="6"/>
        <v>63874941.257034987</v>
      </c>
      <c r="V57" s="24">
        <f t="shared" ca="1" si="7"/>
        <v>1.9921412151476865E-2</v>
      </c>
    </row>
    <row r="58" spans="1:22">
      <c r="A58" s="26">
        <f>'Monthly Data'!A58</f>
        <v>41518</v>
      </c>
      <c r="B58" s="154">
        <f t="shared" si="8"/>
        <v>9</v>
      </c>
      <c r="C58">
        <f t="shared" si="5"/>
        <v>2013</v>
      </c>
      <c r="D58">
        <f ca="1">'Monthly Data'!F58</f>
        <v>52483630.869351625</v>
      </c>
      <c r="E58">
        <f>'Monthly Data'!BH58</f>
        <v>41.2</v>
      </c>
      <c r="F58">
        <f>'Monthly Data'!BI58</f>
        <v>65.3</v>
      </c>
      <c r="G58">
        <f>'Monthly Data'!BZ58</f>
        <v>0</v>
      </c>
      <c r="H58">
        <f>'Monthly Data'!CA58</f>
        <v>1</v>
      </c>
      <c r="I58">
        <f>'Monthly Data'!CC58</f>
        <v>30</v>
      </c>
      <c r="J58">
        <f>'Monthly Data'!BV58</f>
        <v>1</v>
      </c>
      <c r="K58">
        <f>'Monthly Data'!BM58</f>
        <v>57</v>
      </c>
      <c r="M58">
        <f>'Res OLS Model'!$B$5</f>
        <v>-14695221.8516191</v>
      </c>
      <c r="N58">
        <f>'Res OLS Model'!$B$6*E58</f>
        <v>994656.68754161207</v>
      </c>
      <c r="O58">
        <f>'Res OLS Model'!$B$7*F58</f>
        <v>11375252.800592983</v>
      </c>
      <c r="P58">
        <f>'Res OLS Model'!$B$8*G58</f>
        <v>0</v>
      </c>
      <c r="Q58">
        <f>'Res OLS Model'!$B$9*H58</f>
        <v>-2399238.63510927</v>
      </c>
      <c r="R58">
        <f>'Res OLS Model'!$B$10*I58</f>
        <v>54058000.327266</v>
      </c>
      <c r="S58">
        <f>'Res OLS Model'!$B$11*J58</f>
        <v>2497427.94615121</v>
      </c>
      <c r="T58">
        <f>'Res OLS Model'!$B$12*K58</f>
        <v>-726532.5238720437</v>
      </c>
      <c r="U58">
        <f t="shared" si="6"/>
        <v>51104344.750951394</v>
      </c>
      <c r="V58" s="24">
        <f t="shared" ca="1" si="7"/>
        <v>2.6280310556899368E-2</v>
      </c>
    </row>
    <row r="59" spans="1:22">
      <c r="A59" s="26">
        <f>'Monthly Data'!A59</f>
        <v>41548</v>
      </c>
      <c r="B59" s="154">
        <f t="shared" si="8"/>
        <v>10</v>
      </c>
      <c r="C59">
        <f t="shared" si="5"/>
        <v>2013</v>
      </c>
      <c r="D59">
        <f ca="1">'Monthly Data'!F59</f>
        <v>44313505.933738872</v>
      </c>
      <c r="E59">
        <f>'Monthly Data'!BH59</f>
        <v>170.49999999999997</v>
      </c>
      <c r="F59">
        <f>'Monthly Data'!BI59</f>
        <v>19.899999999999999</v>
      </c>
      <c r="G59">
        <f>'Monthly Data'!BZ59</f>
        <v>0</v>
      </c>
      <c r="H59">
        <f>'Monthly Data'!CA59</f>
        <v>1</v>
      </c>
      <c r="I59">
        <f>'Monthly Data'!CC59</f>
        <v>31</v>
      </c>
      <c r="J59">
        <f>'Monthly Data'!BV59</f>
        <v>0</v>
      </c>
      <c r="K59">
        <f>'Monthly Data'!BM59</f>
        <v>58</v>
      </c>
      <c r="M59">
        <f>'Res OLS Model'!$B$5</f>
        <v>-14695221.8516191</v>
      </c>
      <c r="N59">
        <f>'Res OLS Model'!$B$6*E59</f>
        <v>4116237.0200447771</v>
      </c>
      <c r="O59">
        <f>'Res OLS Model'!$B$7*F59</f>
        <v>3466577.8060000055</v>
      </c>
      <c r="P59">
        <f>'Res OLS Model'!$B$8*G59</f>
        <v>0</v>
      </c>
      <c r="Q59">
        <f>'Res OLS Model'!$B$9*H59</f>
        <v>-2399238.63510927</v>
      </c>
      <c r="R59">
        <f>'Res OLS Model'!$B$10*I59</f>
        <v>55859933.6715082</v>
      </c>
      <c r="S59">
        <f>'Res OLS Model'!$B$11*J59</f>
        <v>0</v>
      </c>
      <c r="T59">
        <f>'Res OLS Model'!$B$12*K59</f>
        <v>-739278.70850137784</v>
      </c>
      <c r="U59">
        <f t="shared" si="6"/>
        <v>45609009.302323237</v>
      </c>
      <c r="V59" s="24">
        <f t="shared" ca="1" si="7"/>
        <v>2.9234955377295261E-2</v>
      </c>
    </row>
    <row r="60" spans="1:22">
      <c r="A60" s="26">
        <f>'Monthly Data'!A60</f>
        <v>41579</v>
      </c>
      <c r="B60" s="154">
        <f t="shared" si="8"/>
        <v>11</v>
      </c>
      <c r="C60">
        <f t="shared" si="5"/>
        <v>2013</v>
      </c>
      <c r="D60">
        <f ca="1">'Monthly Data'!F60</f>
        <v>47268963.680705905</v>
      </c>
      <c r="E60">
        <f>'Monthly Data'!BH60</f>
        <v>424.9</v>
      </c>
      <c r="F60">
        <f>'Monthly Data'!BI60</f>
        <v>0</v>
      </c>
      <c r="G60">
        <f>'Monthly Data'!BZ60</f>
        <v>0</v>
      </c>
      <c r="H60">
        <f>'Monthly Data'!CA60</f>
        <v>1</v>
      </c>
      <c r="I60">
        <f>'Monthly Data'!CC60</f>
        <v>30</v>
      </c>
      <c r="J60">
        <f>'Monthly Data'!BV60</f>
        <v>0</v>
      </c>
      <c r="K60">
        <f>'Monthly Data'!BM60</f>
        <v>59</v>
      </c>
      <c r="M60">
        <f>'Res OLS Model'!$B$5</f>
        <v>-14695221.8516191</v>
      </c>
      <c r="N60">
        <f>'Res OLS Model'!$B$6*E60</f>
        <v>10258000.644088129</v>
      </c>
      <c r="O60">
        <f>'Res OLS Model'!$B$7*F60</f>
        <v>0</v>
      </c>
      <c r="P60">
        <f>'Res OLS Model'!$B$8*G60</f>
        <v>0</v>
      </c>
      <c r="Q60">
        <f>'Res OLS Model'!$B$9*H60</f>
        <v>-2399238.63510927</v>
      </c>
      <c r="R60">
        <f>'Res OLS Model'!$B$10*I60</f>
        <v>54058000.327266</v>
      </c>
      <c r="S60">
        <f>'Res OLS Model'!$B$11*J60</f>
        <v>0</v>
      </c>
      <c r="T60">
        <f>'Res OLS Model'!$B$12*K60</f>
        <v>-752024.89313071198</v>
      </c>
      <c r="U60">
        <f t="shared" si="6"/>
        <v>46469515.591495045</v>
      </c>
      <c r="V60" s="24">
        <f t="shared" ca="1" si="7"/>
        <v>1.6912748386256171E-2</v>
      </c>
    </row>
    <row r="61" spans="1:22">
      <c r="A61" s="26">
        <f>'Monthly Data'!A61</f>
        <v>41609</v>
      </c>
      <c r="B61" s="154">
        <f t="shared" si="8"/>
        <v>12</v>
      </c>
      <c r="C61">
        <f t="shared" si="5"/>
        <v>2013</v>
      </c>
      <c r="D61">
        <f ca="1">'Monthly Data'!F61</f>
        <v>57282294.93726933</v>
      </c>
      <c r="E61">
        <f>'Monthly Data'!BH61</f>
        <v>614.30000000000007</v>
      </c>
      <c r="F61">
        <f>'Monthly Data'!BI61</f>
        <v>0</v>
      </c>
      <c r="G61">
        <f>'Monthly Data'!BZ61</f>
        <v>0</v>
      </c>
      <c r="H61">
        <f>'Monthly Data'!CA61</f>
        <v>0</v>
      </c>
      <c r="I61">
        <f>'Monthly Data'!CC61</f>
        <v>31</v>
      </c>
      <c r="J61">
        <f>'Monthly Data'!BV61</f>
        <v>0</v>
      </c>
      <c r="K61">
        <f>'Monthly Data'!BM61</f>
        <v>60</v>
      </c>
      <c r="M61">
        <f>'Res OLS Model'!$B$5</f>
        <v>-14695221.8516191</v>
      </c>
      <c r="N61">
        <f>'Res OLS Model'!$B$6*E61</f>
        <v>14830524.348466318</v>
      </c>
      <c r="O61">
        <f>'Res OLS Model'!$B$7*F61</f>
        <v>0</v>
      </c>
      <c r="P61">
        <f>'Res OLS Model'!$B$8*G61</f>
        <v>0</v>
      </c>
      <c r="Q61">
        <f>'Res OLS Model'!$B$9*H61</f>
        <v>0</v>
      </c>
      <c r="R61">
        <f>'Res OLS Model'!$B$10*I61</f>
        <v>55859933.6715082</v>
      </c>
      <c r="S61">
        <f>'Res OLS Model'!$B$11*J61</f>
        <v>0</v>
      </c>
      <c r="T61">
        <f>'Res OLS Model'!$B$12*K61</f>
        <v>-764771.077760046</v>
      </c>
      <c r="U61">
        <f t="shared" si="6"/>
        <v>55230465.090595372</v>
      </c>
      <c r="V61" s="24">
        <f t="shared" ca="1" si="7"/>
        <v>3.5819616670752223E-2</v>
      </c>
    </row>
    <row r="62" spans="1:22">
      <c r="A62" s="26">
        <f>'Monthly Data'!A62</f>
        <v>41640</v>
      </c>
      <c r="B62" s="154">
        <f t="shared" si="8"/>
        <v>1</v>
      </c>
      <c r="C62">
        <f t="shared" si="5"/>
        <v>2014</v>
      </c>
      <c r="D62">
        <f ca="1">'Monthly Data'!F62</f>
        <v>61083284.63878455</v>
      </c>
      <c r="E62">
        <f>'Monthly Data'!BH62</f>
        <v>784.99999999999977</v>
      </c>
      <c r="F62">
        <f>'Monthly Data'!BI62</f>
        <v>0</v>
      </c>
      <c r="G62">
        <f>'Monthly Data'!BZ62</f>
        <v>0</v>
      </c>
      <c r="H62">
        <f>'Monthly Data'!CA62</f>
        <v>0</v>
      </c>
      <c r="I62">
        <f>'Monthly Data'!CC62</f>
        <v>31</v>
      </c>
      <c r="J62">
        <f>'Monthly Data'!BV62</f>
        <v>0</v>
      </c>
      <c r="K62">
        <f>'Monthly Data'!BM62</f>
        <v>61</v>
      </c>
      <c r="M62">
        <f>'Res OLS Model'!$B$5</f>
        <v>-14695221.8516191</v>
      </c>
      <c r="N62">
        <f>'Res OLS Model'!$B$6*E62</f>
        <v>18951589.799033135</v>
      </c>
      <c r="O62">
        <f>'Res OLS Model'!$B$7*F62</f>
        <v>0</v>
      </c>
      <c r="P62">
        <f>'Res OLS Model'!$B$8*G62</f>
        <v>0</v>
      </c>
      <c r="Q62">
        <f>'Res OLS Model'!$B$9*H62</f>
        <v>0</v>
      </c>
      <c r="R62">
        <f>'Res OLS Model'!$B$10*I62</f>
        <v>55859933.6715082</v>
      </c>
      <c r="S62">
        <f>'Res OLS Model'!$B$11*J62</f>
        <v>0</v>
      </c>
      <c r="T62">
        <f>'Res OLS Model'!$B$12*K62</f>
        <v>-777517.26238938014</v>
      </c>
      <c r="U62">
        <f t="shared" si="6"/>
        <v>59338784.356532857</v>
      </c>
      <c r="V62" s="24">
        <f t="shared" ca="1" si="7"/>
        <v>2.8559372544678628E-2</v>
      </c>
    </row>
    <row r="63" spans="1:22">
      <c r="A63" s="26">
        <f>'Monthly Data'!A63</f>
        <v>41671</v>
      </c>
      <c r="B63" s="154">
        <f t="shared" si="8"/>
        <v>2</v>
      </c>
      <c r="C63">
        <f t="shared" si="5"/>
        <v>2014</v>
      </c>
      <c r="D63">
        <f ca="1">'Monthly Data'!F63</f>
        <v>51952415.072566412</v>
      </c>
      <c r="E63">
        <f>'Monthly Data'!BH63</f>
        <v>674.19999999999982</v>
      </c>
      <c r="F63">
        <f>'Monthly Data'!BI63</f>
        <v>0</v>
      </c>
      <c r="G63">
        <f>'Monthly Data'!BZ63</f>
        <v>0</v>
      </c>
      <c r="H63">
        <f>'Monthly Data'!CA63</f>
        <v>0</v>
      </c>
      <c r="I63">
        <f>'Monthly Data'!CC63</f>
        <v>28</v>
      </c>
      <c r="J63">
        <f>'Monthly Data'!BV63</f>
        <v>0</v>
      </c>
      <c r="K63">
        <f>'Monthly Data'!BM63</f>
        <v>62</v>
      </c>
      <c r="M63">
        <f>'Res OLS Model'!$B$5</f>
        <v>-14695221.8516191</v>
      </c>
      <c r="N63">
        <f>'Res OLS Model'!$B$6*E63</f>
        <v>16276639.289819287</v>
      </c>
      <c r="O63">
        <f>'Res OLS Model'!$B$7*F63</f>
        <v>0</v>
      </c>
      <c r="P63">
        <f>'Res OLS Model'!$B$8*G63</f>
        <v>0</v>
      </c>
      <c r="Q63">
        <f>'Res OLS Model'!$B$9*H63</f>
        <v>0</v>
      </c>
      <c r="R63">
        <f>'Res OLS Model'!$B$10*I63</f>
        <v>50454133.6387816</v>
      </c>
      <c r="S63">
        <f>'Res OLS Model'!$B$11*J63</f>
        <v>0</v>
      </c>
      <c r="T63">
        <f>'Res OLS Model'!$B$12*K63</f>
        <v>-790263.44701871427</v>
      </c>
      <c r="U63">
        <f t="shared" si="6"/>
        <v>51245287.62996307</v>
      </c>
      <c r="V63" s="24">
        <f t="shared" ca="1" si="7"/>
        <v>1.3611060075179112E-2</v>
      </c>
    </row>
    <row r="64" spans="1:22">
      <c r="A64" s="26">
        <f>'Monthly Data'!A64</f>
        <v>41699</v>
      </c>
      <c r="B64" s="154">
        <f t="shared" si="8"/>
        <v>3</v>
      </c>
      <c r="C64">
        <f t="shared" si="5"/>
        <v>2014</v>
      </c>
      <c r="D64">
        <f ca="1">'Monthly Data'!F64</f>
        <v>51052991.482677959</v>
      </c>
      <c r="E64">
        <f>'Monthly Data'!BH64</f>
        <v>591.90000000000009</v>
      </c>
      <c r="F64">
        <f>'Monthly Data'!BI64</f>
        <v>0</v>
      </c>
      <c r="G64">
        <f>'Monthly Data'!BZ64</f>
        <v>1</v>
      </c>
      <c r="H64">
        <f>'Monthly Data'!CA64</f>
        <v>0</v>
      </c>
      <c r="I64">
        <f>'Monthly Data'!CC64</f>
        <v>31</v>
      </c>
      <c r="J64">
        <f>'Monthly Data'!BV64</f>
        <v>0</v>
      </c>
      <c r="K64">
        <f>'Monthly Data'!BM64</f>
        <v>63</v>
      </c>
      <c r="M64">
        <f>'Res OLS Model'!$B$5</f>
        <v>-14695221.8516191</v>
      </c>
      <c r="N64">
        <f>'Res OLS Model'!$B$6*E64</f>
        <v>14289740.129997093</v>
      </c>
      <c r="O64">
        <f>'Res OLS Model'!$B$7*F64</f>
        <v>0</v>
      </c>
      <c r="P64">
        <f>'Res OLS Model'!$B$8*G64</f>
        <v>-4177006.7225933699</v>
      </c>
      <c r="Q64">
        <f>'Res OLS Model'!$B$9*H64</f>
        <v>0</v>
      </c>
      <c r="R64">
        <f>'Res OLS Model'!$B$10*I64</f>
        <v>55859933.6715082</v>
      </c>
      <c r="S64">
        <f>'Res OLS Model'!$B$11*J64</f>
        <v>0</v>
      </c>
      <c r="T64">
        <f>'Res OLS Model'!$B$12*K64</f>
        <v>-803009.63164804829</v>
      </c>
      <c r="U64">
        <f t="shared" si="6"/>
        <v>50474435.595644772</v>
      </c>
      <c r="V64" s="24">
        <f t="shared" ca="1" si="7"/>
        <v>1.1332458103449005E-2</v>
      </c>
    </row>
    <row r="65" spans="1:22">
      <c r="A65" s="26">
        <f>'Monthly Data'!A65</f>
        <v>41730</v>
      </c>
      <c r="B65" s="154">
        <f t="shared" si="8"/>
        <v>4</v>
      </c>
      <c r="C65">
        <f t="shared" si="5"/>
        <v>2014</v>
      </c>
      <c r="D65">
        <f ca="1">'Monthly Data'!F65</f>
        <v>41360165.193640947</v>
      </c>
      <c r="E65">
        <f>'Monthly Data'!BH65</f>
        <v>253.7</v>
      </c>
      <c r="F65">
        <f>'Monthly Data'!BI65</f>
        <v>0</v>
      </c>
      <c r="G65">
        <f>'Monthly Data'!BZ65</f>
        <v>1</v>
      </c>
      <c r="H65">
        <f>'Monthly Data'!CA65</f>
        <v>0</v>
      </c>
      <c r="I65">
        <f>'Monthly Data'!CC65</f>
        <v>30</v>
      </c>
      <c r="J65">
        <f>'Monthly Data'!BV65</f>
        <v>0</v>
      </c>
      <c r="K65">
        <f>'Monthly Data'!BM65</f>
        <v>64</v>
      </c>
      <c r="M65">
        <f>'Res OLS Model'!$B$5</f>
        <v>-14695221.8516191</v>
      </c>
      <c r="N65">
        <f>'Res OLS Model'!$B$6*E65</f>
        <v>6124864.1172161885</v>
      </c>
      <c r="O65">
        <f>'Res OLS Model'!$B$7*F65</f>
        <v>0</v>
      </c>
      <c r="P65">
        <f>'Res OLS Model'!$B$8*G65</f>
        <v>-4177006.7225933699</v>
      </c>
      <c r="Q65">
        <f>'Res OLS Model'!$B$9*H65</f>
        <v>0</v>
      </c>
      <c r="R65">
        <f>'Res OLS Model'!$B$10*I65</f>
        <v>54058000.327266</v>
      </c>
      <c r="S65">
        <f>'Res OLS Model'!$B$11*J65</f>
        <v>0</v>
      </c>
      <c r="T65">
        <f>'Res OLS Model'!$B$12*K65</f>
        <v>-815755.81627738243</v>
      </c>
      <c r="U65">
        <f t="shared" si="6"/>
        <v>40494880.053992331</v>
      </c>
      <c r="V65" s="24">
        <f t="shared" ca="1" si="7"/>
        <v>2.092073703278275E-2</v>
      </c>
    </row>
    <row r="66" spans="1:22">
      <c r="A66" s="26">
        <f>'Monthly Data'!A66</f>
        <v>41760</v>
      </c>
      <c r="B66" s="154">
        <f t="shared" si="8"/>
        <v>5</v>
      </c>
      <c r="C66">
        <f t="shared" si="5"/>
        <v>2014</v>
      </c>
      <c r="D66">
        <f ca="1">'Monthly Data'!F66</f>
        <v>43158849.921167485</v>
      </c>
      <c r="E66">
        <f>'Monthly Data'!BH66</f>
        <v>90.600000000000009</v>
      </c>
      <c r="F66">
        <f>'Monthly Data'!BI66</f>
        <v>36.4</v>
      </c>
      <c r="G66">
        <f>'Monthly Data'!BZ66</f>
        <v>1</v>
      </c>
      <c r="H66">
        <f>'Monthly Data'!CA66</f>
        <v>0</v>
      </c>
      <c r="I66">
        <f>'Monthly Data'!CC66</f>
        <v>31</v>
      </c>
      <c r="J66">
        <f>'Monthly Data'!BV66</f>
        <v>0</v>
      </c>
      <c r="K66">
        <f>'Monthly Data'!BM66</f>
        <v>65</v>
      </c>
      <c r="M66">
        <f>'Res OLS Model'!$B$5</f>
        <v>-14695221.8516191</v>
      </c>
      <c r="N66">
        <f>'Res OLS Model'!$B$6*E66</f>
        <v>2187279.0264871372</v>
      </c>
      <c r="O66">
        <f>'Res OLS Model'!$B$7*F66</f>
        <v>6340875.9868542813</v>
      </c>
      <c r="P66">
        <f>'Res OLS Model'!$B$8*G66</f>
        <v>-4177006.7225933699</v>
      </c>
      <c r="Q66">
        <f>'Res OLS Model'!$B$9*H66</f>
        <v>0</v>
      </c>
      <c r="R66">
        <f>'Res OLS Model'!$B$10*I66</f>
        <v>55859933.6715082</v>
      </c>
      <c r="S66">
        <f>'Res OLS Model'!$B$11*J66</f>
        <v>0</v>
      </c>
      <c r="T66">
        <f>'Res OLS Model'!$B$12*K66</f>
        <v>-828502.00090671657</v>
      </c>
      <c r="U66">
        <f t="shared" si="6"/>
        <v>44687358.10973043</v>
      </c>
      <c r="V66" s="24">
        <f t="shared" ca="1" si="7"/>
        <v>3.5415869314285864E-2</v>
      </c>
    </row>
    <row r="67" spans="1:22">
      <c r="A67" s="26">
        <f>'Monthly Data'!A67</f>
        <v>41791</v>
      </c>
      <c r="B67" s="154">
        <f t="shared" si="8"/>
        <v>6</v>
      </c>
      <c r="C67">
        <f t="shared" si="5"/>
        <v>2014</v>
      </c>
      <c r="D67">
        <f ca="1">'Monthly Data'!F67</f>
        <v>55440642.71470008</v>
      </c>
      <c r="E67">
        <f>'Monthly Data'!BH67</f>
        <v>2.4000000000000004</v>
      </c>
      <c r="F67">
        <f>'Monthly Data'!BI67</f>
        <v>123.29999999999997</v>
      </c>
      <c r="G67">
        <f>'Monthly Data'!BZ67</f>
        <v>0</v>
      </c>
      <c r="H67">
        <f>'Monthly Data'!CA67</f>
        <v>0</v>
      </c>
      <c r="I67">
        <f>'Monthly Data'!CC67</f>
        <v>30</v>
      </c>
      <c r="J67">
        <f>'Monthly Data'!BV67</f>
        <v>0</v>
      </c>
      <c r="K67">
        <f>'Monthly Data'!BM67</f>
        <v>66</v>
      </c>
      <c r="M67">
        <f>'Res OLS Model'!$B$5</f>
        <v>-14695221.8516191</v>
      </c>
      <c r="N67">
        <f>'Res OLS Model'!$B$6*E67</f>
        <v>57941.166264559928</v>
      </c>
      <c r="O67">
        <f>'Res OLS Model'!$B$7*F67</f>
        <v>21478846.406020131</v>
      </c>
      <c r="P67">
        <f>'Res OLS Model'!$B$8*G67</f>
        <v>0</v>
      </c>
      <c r="Q67">
        <f>'Res OLS Model'!$B$9*H67</f>
        <v>0</v>
      </c>
      <c r="R67">
        <f>'Res OLS Model'!$B$10*I67</f>
        <v>54058000.327266</v>
      </c>
      <c r="S67">
        <f>'Res OLS Model'!$B$11*J67</f>
        <v>0</v>
      </c>
      <c r="T67">
        <f>'Res OLS Model'!$B$12*K67</f>
        <v>-841248.18553605059</v>
      </c>
      <c r="U67">
        <f t="shared" si="6"/>
        <v>60058317.86239554</v>
      </c>
      <c r="V67" s="24">
        <f t="shared" ca="1" si="7"/>
        <v>8.3290433183796461E-2</v>
      </c>
    </row>
    <row r="68" spans="1:22">
      <c r="A68" s="26">
        <f>'Monthly Data'!A68</f>
        <v>41821</v>
      </c>
      <c r="B68" s="154">
        <f t="shared" si="8"/>
        <v>7</v>
      </c>
      <c r="C68">
        <f t="shared" si="5"/>
        <v>2014</v>
      </c>
      <c r="D68">
        <f ca="1">'Monthly Data'!F68</f>
        <v>61454907.375045419</v>
      </c>
      <c r="E68">
        <f>'Monthly Data'!BH68</f>
        <v>0.7</v>
      </c>
      <c r="F68">
        <f>'Monthly Data'!BI68</f>
        <v>113.59999999999997</v>
      </c>
      <c r="G68">
        <f>'Monthly Data'!BZ68</f>
        <v>0</v>
      </c>
      <c r="H68">
        <f>'Monthly Data'!CA68</f>
        <v>0</v>
      </c>
      <c r="I68">
        <f>'Monthly Data'!CC68</f>
        <v>31</v>
      </c>
      <c r="J68">
        <f>'Monthly Data'!BV68</f>
        <v>0</v>
      </c>
      <c r="K68">
        <f>'Monthly Data'!BM68</f>
        <v>67</v>
      </c>
      <c r="M68">
        <f>'Res OLS Model'!$B$5</f>
        <v>-14695221.8516191</v>
      </c>
      <c r="N68">
        <f>'Res OLS Model'!$B$6*E68</f>
        <v>16899.50682716331</v>
      </c>
      <c r="O68">
        <f>'Res OLS Model'!$B$7*F68</f>
        <v>19789107.475457311</v>
      </c>
      <c r="P68">
        <f>'Res OLS Model'!$B$8*G68</f>
        <v>0</v>
      </c>
      <c r="Q68">
        <f>'Res OLS Model'!$B$9*H68</f>
        <v>0</v>
      </c>
      <c r="R68">
        <f>'Res OLS Model'!$B$10*I68</f>
        <v>55859933.6715082</v>
      </c>
      <c r="S68">
        <f>'Res OLS Model'!$B$11*J68</f>
        <v>0</v>
      </c>
      <c r="T68">
        <f>'Res OLS Model'!$B$12*K68</f>
        <v>-853994.37016538472</v>
      </c>
      <c r="U68">
        <f t="shared" si="6"/>
        <v>60116724.432008184</v>
      </c>
      <c r="V68" s="24">
        <f t="shared" ca="1" si="7"/>
        <v>2.1775037994453496E-2</v>
      </c>
    </row>
    <row r="69" spans="1:22">
      <c r="A69" s="26">
        <f>'Monthly Data'!A69</f>
        <v>41852</v>
      </c>
      <c r="B69" s="154">
        <f t="shared" si="8"/>
        <v>8</v>
      </c>
      <c r="C69">
        <f t="shared" si="5"/>
        <v>2014</v>
      </c>
      <c r="D69">
        <f ca="1">'Monthly Data'!F69</f>
        <v>60080885.539118305</v>
      </c>
      <c r="E69">
        <f>'Monthly Data'!BH69</f>
        <v>0.7</v>
      </c>
      <c r="F69">
        <f>'Monthly Data'!BI69</f>
        <v>130.19999999999996</v>
      </c>
      <c r="G69">
        <f>'Monthly Data'!BZ69</f>
        <v>0</v>
      </c>
      <c r="H69">
        <f>'Monthly Data'!CA69</f>
        <v>0</v>
      </c>
      <c r="I69">
        <f>'Monthly Data'!CC69</f>
        <v>31</v>
      </c>
      <c r="J69">
        <f>'Monthly Data'!BV69</f>
        <v>0</v>
      </c>
      <c r="K69">
        <f>'Monthly Data'!BM69</f>
        <v>68</v>
      </c>
      <c r="M69">
        <f>'Res OLS Model'!$B$5</f>
        <v>-14695221.8516191</v>
      </c>
      <c r="N69">
        <f>'Res OLS Model'!$B$6*E69</f>
        <v>16899.50682716331</v>
      </c>
      <c r="O69">
        <f>'Res OLS Model'!$B$7*F69</f>
        <v>22680825.645286463</v>
      </c>
      <c r="P69">
        <f>'Res OLS Model'!$B$8*G69</f>
        <v>0</v>
      </c>
      <c r="Q69">
        <f>'Res OLS Model'!$B$9*H69</f>
        <v>0</v>
      </c>
      <c r="R69">
        <f>'Res OLS Model'!$B$10*I69</f>
        <v>55859933.6715082</v>
      </c>
      <c r="S69">
        <f>'Res OLS Model'!$B$11*J69</f>
        <v>0</v>
      </c>
      <c r="T69">
        <f>'Res OLS Model'!$B$12*K69</f>
        <v>-866740.55479471886</v>
      </c>
      <c r="U69">
        <f t="shared" si="6"/>
        <v>62995696.417208008</v>
      </c>
      <c r="V69" s="24">
        <f t="shared" ca="1" si="7"/>
        <v>4.8514778900718564E-2</v>
      </c>
    </row>
    <row r="70" spans="1:22">
      <c r="A70" s="26">
        <f>'Monthly Data'!A70</f>
        <v>41883</v>
      </c>
      <c r="B70" s="154">
        <f t="shared" si="8"/>
        <v>9</v>
      </c>
      <c r="C70">
        <f t="shared" si="5"/>
        <v>2014</v>
      </c>
      <c r="D70">
        <f ca="1">'Monthly Data'!F70</f>
        <v>48273397.042750143</v>
      </c>
      <c r="E70">
        <f>'Monthly Data'!BH70</f>
        <v>57.20000000000001</v>
      </c>
      <c r="F70">
        <f>'Monthly Data'!BI70</f>
        <v>50.499999999999979</v>
      </c>
      <c r="G70">
        <f>'Monthly Data'!BZ70</f>
        <v>0</v>
      </c>
      <c r="H70">
        <f>'Monthly Data'!CA70</f>
        <v>1</v>
      </c>
      <c r="I70">
        <f>'Monthly Data'!CC70</f>
        <v>30</v>
      </c>
      <c r="J70">
        <f>'Monthly Data'!BV70</f>
        <v>1</v>
      </c>
      <c r="K70">
        <f>'Monthly Data'!BM70</f>
        <v>69</v>
      </c>
      <c r="M70">
        <f>'Res OLS Model'!$B$5</f>
        <v>-14695221.8516191</v>
      </c>
      <c r="N70">
        <f>'Res OLS Model'!$B$6*E70</f>
        <v>1380931.129305345</v>
      </c>
      <c r="O70">
        <f>'Res OLS Model'!$B$7*F70</f>
        <v>8797094.4323115684</v>
      </c>
      <c r="P70">
        <f>'Res OLS Model'!$B$8*G70</f>
        <v>0</v>
      </c>
      <c r="Q70">
        <f>'Res OLS Model'!$B$9*H70</f>
        <v>-2399238.63510927</v>
      </c>
      <c r="R70">
        <f>'Res OLS Model'!$B$10*I70</f>
        <v>54058000.327266</v>
      </c>
      <c r="S70">
        <f>'Res OLS Model'!$B$11*J70</f>
        <v>2497427.94615121</v>
      </c>
      <c r="T70">
        <f>'Res OLS Model'!$B$12*K70</f>
        <v>-879486.73942405288</v>
      </c>
      <c r="U70">
        <f t="shared" si="6"/>
        <v>48759506.608881705</v>
      </c>
      <c r="V70" s="24">
        <f t="shared" ca="1" si="7"/>
        <v>1.0069926624411189E-2</v>
      </c>
    </row>
    <row r="71" spans="1:22">
      <c r="A71" s="26">
        <f>'Monthly Data'!A71</f>
        <v>41913</v>
      </c>
      <c r="B71" s="154">
        <f t="shared" si="8"/>
        <v>10</v>
      </c>
      <c r="C71">
        <f t="shared" si="5"/>
        <v>2014</v>
      </c>
      <c r="D71">
        <f ca="1">'Monthly Data'!F71</f>
        <v>41793076.89713157</v>
      </c>
      <c r="E71">
        <f>'Monthly Data'!BH71</f>
        <v>179.7</v>
      </c>
      <c r="F71">
        <f>'Monthly Data'!BI71</f>
        <v>3.9</v>
      </c>
      <c r="G71">
        <f>'Monthly Data'!BZ71</f>
        <v>0</v>
      </c>
      <c r="H71">
        <f>'Monthly Data'!CA71</f>
        <v>1</v>
      </c>
      <c r="I71">
        <f>'Monthly Data'!CC71</f>
        <v>31</v>
      </c>
      <c r="J71">
        <f>'Monthly Data'!BV71</f>
        <v>0</v>
      </c>
      <c r="K71">
        <f>'Monthly Data'!BM71</f>
        <v>70</v>
      </c>
      <c r="M71">
        <f>'Res OLS Model'!$B$5</f>
        <v>-14695221.8516191</v>
      </c>
      <c r="N71">
        <f>'Res OLS Model'!$B$6*E71</f>
        <v>4338344.8240589239</v>
      </c>
      <c r="O71">
        <f>'Res OLS Model'!$B$7*F71</f>
        <v>679379.57002010162</v>
      </c>
      <c r="P71">
        <f>'Res OLS Model'!$B$8*G71</f>
        <v>0</v>
      </c>
      <c r="Q71">
        <f>'Res OLS Model'!$B$9*H71</f>
        <v>-2399238.63510927</v>
      </c>
      <c r="R71">
        <f>'Res OLS Model'!$B$10*I71</f>
        <v>55859933.6715082</v>
      </c>
      <c r="S71">
        <f>'Res OLS Model'!$B$11*J71</f>
        <v>0</v>
      </c>
      <c r="T71">
        <f>'Res OLS Model'!$B$12*K71</f>
        <v>-892232.92405338702</v>
      </c>
      <c r="U71">
        <f t="shared" si="6"/>
        <v>42890964.654805467</v>
      </c>
      <c r="V71" s="24">
        <f t="shared" ca="1" si="7"/>
        <v>2.6269608250577246E-2</v>
      </c>
    </row>
    <row r="72" spans="1:22">
      <c r="A72" s="26">
        <f>'Monthly Data'!A72</f>
        <v>41944</v>
      </c>
      <c r="B72" s="154">
        <f t="shared" si="8"/>
        <v>11</v>
      </c>
      <c r="C72">
        <f t="shared" si="5"/>
        <v>2014</v>
      </c>
      <c r="D72">
        <f ca="1">'Monthly Data'!F72</f>
        <v>46664422.649748906</v>
      </c>
      <c r="E72">
        <f>'Monthly Data'!BH72</f>
        <v>442</v>
      </c>
      <c r="F72">
        <f>'Monthly Data'!BI72</f>
        <v>0</v>
      </c>
      <c r="G72">
        <f>'Monthly Data'!BZ72</f>
        <v>0</v>
      </c>
      <c r="H72">
        <f>'Monthly Data'!CA72</f>
        <v>1</v>
      </c>
      <c r="I72">
        <f>'Monthly Data'!CC72</f>
        <v>30</v>
      </c>
      <c r="J72">
        <f>'Monthly Data'!BV72</f>
        <v>0</v>
      </c>
      <c r="K72">
        <f>'Monthly Data'!BM72</f>
        <v>71</v>
      </c>
      <c r="M72">
        <f>'Res OLS Model'!$B$5</f>
        <v>-14695221.8516191</v>
      </c>
      <c r="N72">
        <f>'Res OLS Model'!$B$6*E72</f>
        <v>10670831.45372312</v>
      </c>
      <c r="O72">
        <f>'Res OLS Model'!$B$7*F72</f>
        <v>0</v>
      </c>
      <c r="P72">
        <f>'Res OLS Model'!$B$8*G72</f>
        <v>0</v>
      </c>
      <c r="Q72">
        <f>'Res OLS Model'!$B$9*H72</f>
        <v>-2399238.63510927</v>
      </c>
      <c r="R72">
        <f>'Res OLS Model'!$B$10*I72</f>
        <v>54058000.327266</v>
      </c>
      <c r="S72">
        <f>'Res OLS Model'!$B$11*J72</f>
        <v>0</v>
      </c>
      <c r="T72">
        <f>'Res OLS Model'!$B$12*K72</f>
        <v>-904979.10868272115</v>
      </c>
      <c r="U72">
        <f t="shared" si="6"/>
        <v>46729392.185578026</v>
      </c>
      <c r="V72" s="24">
        <f t="shared" ca="1" si="7"/>
        <v>1.3922712880595123E-3</v>
      </c>
    </row>
    <row r="73" spans="1:22">
      <c r="A73" s="26">
        <f>'Monthly Data'!A73</f>
        <v>41974</v>
      </c>
      <c r="B73" s="154">
        <f t="shared" si="8"/>
        <v>12</v>
      </c>
      <c r="C73">
        <f t="shared" si="5"/>
        <v>2014</v>
      </c>
      <c r="D73">
        <f ca="1">'Monthly Data'!F73</f>
        <v>53245388.227849908</v>
      </c>
      <c r="E73">
        <f>'Monthly Data'!BH73</f>
        <v>513.9</v>
      </c>
      <c r="F73">
        <f>'Monthly Data'!BI73</f>
        <v>0</v>
      </c>
      <c r="G73">
        <f>'Monthly Data'!BZ73</f>
        <v>0</v>
      </c>
      <c r="H73">
        <f>'Monthly Data'!CA73</f>
        <v>0</v>
      </c>
      <c r="I73">
        <f>'Monthly Data'!CC73</f>
        <v>31</v>
      </c>
      <c r="J73">
        <f>'Monthly Data'!BV73</f>
        <v>0</v>
      </c>
      <c r="K73">
        <f>'Monthly Data'!BM73</f>
        <v>72</v>
      </c>
      <c r="M73">
        <f>'Res OLS Model'!$B$5</f>
        <v>-14695221.8516191</v>
      </c>
      <c r="N73">
        <f>'Res OLS Model'!$B$6*E73</f>
        <v>12406652.226398893</v>
      </c>
      <c r="O73">
        <f>'Res OLS Model'!$B$7*F73</f>
        <v>0</v>
      </c>
      <c r="P73">
        <f>'Res OLS Model'!$B$8*G73</f>
        <v>0</v>
      </c>
      <c r="Q73">
        <f>'Res OLS Model'!$B$9*H73</f>
        <v>0</v>
      </c>
      <c r="R73">
        <f>'Res OLS Model'!$B$10*I73</f>
        <v>55859933.6715082</v>
      </c>
      <c r="S73">
        <f>'Res OLS Model'!$B$11*J73</f>
        <v>0</v>
      </c>
      <c r="T73">
        <f>'Res OLS Model'!$B$12*K73</f>
        <v>-917725.29331205529</v>
      </c>
      <c r="U73">
        <f t="shared" si="6"/>
        <v>52653638.752975933</v>
      </c>
      <c r="V73" s="24">
        <f t="shared" ca="1" si="7"/>
        <v>1.1113628702296914E-2</v>
      </c>
    </row>
    <row r="74" spans="1:22">
      <c r="A74" s="26">
        <f>'Monthly Data'!A74</f>
        <v>42005</v>
      </c>
      <c r="B74" s="154">
        <f t="shared" si="8"/>
        <v>1</v>
      </c>
      <c r="C74">
        <f t="shared" si="5"/>
        <v>2015</v>
      </c>
      <c r="D74">
        <f ca="1">'Monthly Data'!F74</f>
        <v>55763896.18168027</v>
      </c>
      <c r="E74">
        <f>'Monthly Data'!BH74</f>
        <v>724.69999999999982</v>
      </c>
      <c r="F74">
        <f>'Monthly Data'!BI74</f>
        <v>0</v>
      </c>
      <c r="G74">
        <f>'Monthly Data'!BZ74</f>
        <v>0</v>
      </c>
      <c r="H74">
        <f>'Monthly Data'!CA74</f>
        <v>0</v>
      </c>
      <c r="I74">
        <f>'Monthly Data'!CC74</f>
        <v>31</v>
      </c>
      <c r="J74">
        <f>'Monthly Data'!BV74</f>
        <v>0</v>
      </c>
      <c r="K74">
        <f>'Monthly Data'!BM74</f>
        <v>73</v>
      </c>
      <c r="M74">
        <f>'Res OLS Model'!$B$5</f>
        <v>-14695221.8516191</v>
      </c>
      <c r="N74">
        <f>'Res OLS Model'!$B$6*E74</f>
        <v>17495817.99663607</v>
      </c>
      <c r="O74">
        <f>'Res OLS Model'!$B$7*F74</f>
        <v>0</v>
      </c>
      <c r="P74">
        <f>'Res OLS Model'!$B$8*G74</f>
        <v>0</v>
      </c>
      <c r="Q74">
        <f>'Res OLS Model'!$B$9*H74</f>
        <v>0</v>
      </c>
      <c r="R74">
        <f>'Res OLS Model'!$B$10*I74</f>
        <v>55859933.6715082</v>
      </c>
      <c r="S74">
        <f>'Res OLS Model'!$B$11*J74</f>
        <v>0</v>
      </c>
      <c r="T74">
        <f>'Res OLS Model'!$B$12*K74</f>
        <v>-930471.47794138931</v>
      </c>
      <c r="U74">
        <f t="shared" si="6"/>
        <v>57730058.338583782</v>
      </c>
      <c r="V74" s="24">
        <f t="shared" ca="1" si="7"/>
        <v>3.5258694092997082E-2</v>
      </c>
    </row>
    <row r="75" spans="1:22">
      <c r="A75" s="26">
        <f>'Monthly Data'!A75</f>
        <v>42036</v>
      </c>
      <c r="B75" s="154">
        <f t="shared" si="8"/>
        <v>2</v>
      </c>
      <c r="C75">
        <f t="shared" si="5"/>
        <v>2015</v>
      </c>
      <c r="D75">
        <f ca="1">'Monthly Data'!F75</f>
        <v>50700386.356609277</v>
      </c>
      <c r="E75">
        <f>'Monthly Data'!BH75</f>
        <v>757.39999999999986</v>
      </c>
      <c r="F75">
        <f>'Monthly Data'!BI75</f>
        <v>0</v>
      </c>
      <c r="G75">
        <f>'Monthly Data'!BZ75</f>
        <v>0</v>
      </c>
      <c r="H75">
        <f>'Monthly Data'!CA75</f>
        <v>0</v>
      </c>
      <c r="I75">
        <f>'Monthly Data'!CC75</f>
        <v>28</v>
      </c>
      <c r="J75">
        <f>'Monthly Data'!BV75</f>
        <v>0</v>
      </c>
      <c r="K75">
        <f>'Monthly Data'!BM75</f>
        <v>74</v>
      </c>
      <c r="M75">
        <f>'Res OLS Model'!$B$5</f>
        <v>-14695221.8516191</v>
      </c>
      <c r="N75">
        <f>'Res OLS Model'!$B$6*E75</f>
        <v>18285266.3869907</v>
      </c>
      <c r="O75">
        <f>'Res OLS Model'!$B$7*F75</f>
        <v>0</v>
      </c>
      <c r="P75">
        <f>'Res OLS Model'!$B$8*G75</f>
        <v>0</v>
      </c>
      <c r="Q75">
        <f>'Res OLS Model'!$B$9*H75</f>
        <v>0</v>
      </c>
      <c r="R75">
        <f>'Res OLS Model'!$B$10*I75</f>
        <v>50454133.6387816</v>
      </c>
      <c r="S75">
        <f>'Res OLS Model'!$B$11*J75</f>
        <v>0</v>
      </c>
      <c r="T75">
        <f>'Res OLS Model'!$B$12*K75</f>
        <v>-943217.66257072345</v>
      </c>
      <c r="U75">
        <f t="shared" si="6"/>
        <v>53100960.511582479</v>
      </c>
      <c r="V75" s="24">
        <f t="shared" ca="1" si="7"/>
        <v>4.734824184747586E-2</v>
      </c>
    </row>
    <row r="76" spans="1:22">
      <c r="A76" s="26">
        <f>'Monthly Data'!A76</f>
        <v>42064</v>
      </c>
      <c r="B76" s="154">
        <f t="shared" si="8"/>
        <v>3</v>
      </c>
      <c r="C76">
        <f t="shared" si="5"/>
        <v>2015</v>
      </c>
      <c r="D76">
        <f ca="1">'Monthly Data'!F76</f>
        <v>48601161.77192767</v>
      </c>
      <c r="E76">
        <f>'Monthly Data'!BH76</f>
        <v>508.7</v>
      </c>
      <c r="F76">
        <f>'Monthly Data'!BI76</f>
        <v>0</v>
      </c>
      <c r="G76">
        <f>'Monthly Data'!BZ76</f>
        <v>1</v>
      </c>
      <c r="H76">
        <f>'Monthly Data'!CA76</f>
        <v>0</v>
      </c>
      <c r="I76">
        <f>'Monthly Data'!CC76</f>
        <v>31</v>
      </c>
      <c r="J76">
        <f>'Monthly Data'!BV76</f>
        <v>0</v>
      </c>
      <c r="K76">
        <f>'Monthly Data'!BM76</f>
        <v>75</v>
      </c>
      <c r="M76">
        <f>'Res OLS Model'!$B$5</f>
        <v>-14695221.8516191</v>
      </c>
      <c r="N76">
        <f>'Res OLS Model'!$B$6*E76</f>
        <v>12281113.03282568</v>
      </c>
      <c r="O76">
        <f>'Res OLS Model'!$B$7*F76</f>
        <v>0</v>
      </c>
      <c r="P76">
        <f>'Res OLS Model'!$B$8*G76</f>
        <v>-4177006.7225933699</v>
      </c>
      <c r="Q76">
        <f>'Res OLS Model'!$B$9*H76</f>
        <v>0</v>
      </c>
      <c r="R76">
        <f>'Res OLS Model'!$B$10*I76</f>
        <v>55859933.6715082</v>
      </c>
      <c r="S76">
        <f>'Res OLS Model'!$B$11*J76</f>
        <v>0</v>
      </c>
      <c r="T76">
        <f>'Res OLS Model'!$B$12*K76</f>
        <v>-955963.84720005759</v>
      </c>
      <c r="U76">
        <f t="shared" si="6"/>
        <v>48312854.282921351</v>
      </c>
      <c r="V76" s="24">
        <f t="shared" ca="1" si="7"/>
        <v>5.9321110544490385E-3</v>
      </c>
    </row>
    <row r="77" spans="1:22">
      <c r="A77" s="26">
        <f>'Monthly Data'!A77</f>
        <v>42095</v>
      </c>
      <c r="B77" s="154">
        <f t="shared" si="8"/>
        <v>4</v>
      </c>
      <c r="C77">
        <f t="shared" si="5"/>
        <v>2015</v>
      </c>
      <c r="D77">
        <f ca="1">'Monthly Data'!F77</f>
        <v>40903456.917285234</v>
      </c>
      <c r="E77">
        <f>'Monthly Data'!BH77</f>
        <v>257.39999999999992</v>
      </c>
      <c r="F77">
        <f>'Monthly Data'!BI77</f>
        <v>0</v>
      </c>
      <c r="G77">
        <f>'Monthly Data'!BZ77</f>
        <v>1</v>
      </c>
      <c r="H77">
        <f>'Monthly Data'!CA77</f>
        <v>0</v>
      </c>
      <c r="I77">
        <f>'Monthly Data'!CC77</f>
        <v>30</v>
      </c>
      <c r="J77">
        <f>'Monthly Data'!BV77</f>
        <v>0</v>
      </c>
      <c r="K77">
        <f>'Monthly Data'!BM77</f>
        <v>76</v>
      </c>
      <c r="M77">
        <f>'Res OLS Model'!$B$5</f>
        <v>-14695221.8516191</v>
      </c>
      <c r="N77">
        <f>'Res OLS Model'!$B$6*E77</f>
        <v>6214190.0818740502</v>
      </c>
      <c r="O77">
        <f>'Res OLS Model'!$B$7*F77</f>
        <v>0</v>
      </c>
      <c r="P77">
        <f>'Res OLS Model'!$B$8*G77</f>
        <v>-4177006.7225933699</v>
      </c>
      <c r="Q77">
        <f>'Res OLS Model'!$B$9*H77</f>
        <v>0</v>
      </c>
      <c r="R77">
        <f>'Res OLS Model'!$B$10*I77</f>
        <v>54058000.327266</v>
      </c>
      <c r="S77">
        <f>'Res OLS Model'!$B$11*J77</f>
        <v>0</v>
      </c>
      <c r="T77">
        <f>'Res OLS Model'!$B$12*K77</f>
        <v>-968710.03182939161</v>
      </c>
      <c r="U77">
        <f t="shared" si="6"/>
        <v>40431251.803098187</v>
      </c>
      <c r="V77" s="24">
        <f t="shared" ca="1" si="7"/>
        <v>1.1544381570045234E-2</v>
      </c>
    </row>
    <row r="78" spans="1:22">
      <c r="A78" s="26">
        <f>'Monthly Data'!A78</f>
        <v>42125</v>
      </c>
      <c r="B78" s="154">
        <f t="shared" si="8"/>
        <v>5</v>
      </c>
      <c r="C78">
        <f t="shared" si="5"/>
        <v>2015</v>
      </c>
      <c r="D78">
        <f ca="1">'Monthly Data'!F78</f>
        <v>44255377.816204593</v>
      </c>
      <c r="E78">
        <f>'Monthly Data'!BH78</f>
        <v>68.7</v>
      </c>
      <c r="F78">
        <f>'Monthly Data'!BI78</f>
        <v>64.099999999999994</v>
      </c>
      <c r="G78">
        <f>'Monthly Data'!BZ78</f>
        <v>1</v>
      </c>
      <c r="H78">
        <f>'Monthly Data'!CA78</f>
        <v>0</v>
      </c>
      <c r="I78">
        <f>'Monthly Data'!CC78</f>
        <v>31</v>
      </c>
      <c r="J78">
        <f>'Monthly Data'!BV78</f>
        <v>0</v>
      </c>
      <c r="K78">
        <f>'Monthly Data'!BM78</f>
        <v>77</v>
      </c>
      <c r="M78">
        <f>'Res OLS Model'!$B$5</f>
        <v>-14695221.8516191</v>
      </c>
      <c r="N78">
        <f>'Res OLS Model'!$B$6*E78</f>
        <v>1658565.8843230279</v>
      </c>
      <c r="O78">
        <f>'Res OLS Model'!$B$7*F78</f>
        <v>11166212.932894489</v>
      </c>
      <c r="P78">
        <f>'Res OLS Model'!$B$8*G78</f>
        <v>-4177006.7225933699</v>
      </c>
      <c r="Q78">
        <f>'Res OLS Model'!$B$9*H78</f>
        <v>0</v>
      </c>
      <c r="R78">
        <f>'Res OLS Model'!$B$10*I78</f>
        <v>55859933.6715082</v>
      </c>
      <c r="S78">
        <f>'Res OLS Model'!$B$11*J78</f>
        <v>0</v>
      </c>
      <c r="T78">
        <f>'Res OLS Model'!$B$12*K78</f>
        <v>-981456.21645872574</v>
      </c>
      <c r="U78">
        <f t="shared" si="6"/>
        <v>48831027.698054522</v>
      </c>
      <c r="V78" s="24">
        <f t="shared" ca="1" si="7"/>
        <v>0.10339195161439804</v>
      </c>
    </row>
    <row r="79" spans="1:22">
      <c r="A79" s="26">
        <f>'Monthly Data'!A79</f>
        <v>42156</v>
      </c>
      <c r="B79" s="154">
        <f t="shared" si="8"/>
        <v>6</v>
      </c>
      <c r="C79">
        <f t="shared" si="5"/>
        <v>2015</v>
      </c>
      <c r="D79">
        <f ca="1">'Monthly Data'!F79</f>
        <v>52472039.303485408</v>
      </c>
      <c r="E79">
        <f>'Monthly Data'!BH79</f>
        <v>13.1</v>
      </c>
      <c r="F79">
        <f>'Monthly Data'!BI79</f>
        <v>89.59999999999998</v>
      </c>
      <c r="G79">
        <f>'Monthly Data'!BZ79</f>
        <v>0</v>
      </c>
      <c r="H79">
        <f>'Monthly Data'!CA79</f>
        <v>0</v>
      </c>
      <c r="I79">
        <f>'Monthly Data'!CC79</f>
        <v>30</v>
      </c>
      <c r="J79">
        <f>'Monthly Data'!BV79</f>
        <v>0</v>
      </c>
      <c r="K79">
        <f>'Monthly Data'!BM79</f>
        <v>78</v>
      </c>
      <c r="M79">
        <f>'Res OLS Model'!$B$5</f>
        <v>-14695221.8516191</v>
      </c>
      <c r="N79">
        <f>'Res OLS Model'!$B$6*E79</f>
        <v>316262.19919405621</v>
      </c>
      <c r="O79">
        <f>'Res OLS Model'!$B$7*F79</f>
        <v>15608310.121487459</v>
      </c>
      <c r="P79">
        <f>'Res OLS Model'!$B$8*G79</f>
        <v>0</v>
      </c>
      <c r="Q79">
        <f>'Res OLS Model'!$B$9*H79</f>
        <v>0</v>
      </c>
      <c r="R79">
        <f>'Res OLS Model'!$B$10*I79</f>
        <v>54058000.327266</v>
      </c>
      <c r="S79">
        <f>'Res OLS Model'!$B$11*J79</f>
        <v>0</v>
      </c>
      <c r="T79">
        <f>'Res OLS Model'!$B$12*K79</f>
        <v>-994202.40108805988</v>
      </c>
      <c r="U79">
        <f t="shared" si="6"/>
        <v>54293148.395240359</v>
      </c>
      <c r="V79" s="24">
        <f t="shared" ca="1" si="7"/>
        <v>3.4706276255475836E-2</v>
      </c>
    </row>
    <row r="80" spans="1:22">
      <c r="A80" s="26">
        <f>'Monthly Data'!A80</f>
        <v>42186</v>
      </c>
      <c r="B80" s="154">
        <f t="shared" si="8"/>
        <v>7</v>
      </c>
      <c r="C80">
        <f t="shared" si="5"/>
        <v>2015</v>
      </c>
      <c r="D80">
        <f ca="1">'Monthly Data'!F80</f>
        <v>65255972.638263904</v>
      </c>
      <c r="E80">
        <f>'Monthly Data'!BH80</f>
        <v>1.9</v>
      </c>
      <c r="F80">
        <f>'Monthly Data'!BI80</f>
        <v>152.89999999999998</v>
      </c>
      <c r="G80">
        <f>'Monthly Data'!BZ80</f>
        <v>0</v>
      </c>
      <c r="H80">
        <f>'Monthly Data'!CA80</f>
        <v>0</v>
      </c>
      <c r="I80">
        <f>'Monthly Data'!CC80</f>
        <v>31</v>
      </c>
      <c r="J80">
        <f>'Monthly Data'!BV80</f>
        <v>0</v>
      </c>
      <c r="K80">
        <f>'Monthly Data'!BM80</f>
        <v>79</v>
      </c>
      <c r="M80">
        <f>'Res OLS Model'!$B$5</f>
        <v>-14695221.8516191</v>
      </c>
      <c r="N80">
        <f>'Res OLS Model'!$B$6*E80</f>
        <v>45870.08995944327</v>
      </c>
      <c r="O80">
        <f>'Res OLS Model'!$B$7*F80</f>
        <v>26635163.142582953</v>
      </c>
      <c r="P80">
        <f>'Res OLS Model'!$B$8*G80</f>
        <v>0</v>
      </c>
      <c r="Q80">
        <f>'Res OLS Model'!$B$9*H80</f>
        <v>0</v>
      </c>
      <c r="R80">
        <f>'Res OLS Model'!$B$10*I80</f>
        <v>55859933.6715082</v>
      </c>
      <c r="S80">
        <f>'Res OLS Model'!$B$11*J80</f>
        <v>0</v>
      </c>
      <c r="T80">
        <f>'Res OLS Model'!$B$12*K80</f>
        <v>-1006948.5857173939</v>
      </c>
      <c r="U80">
        <f t="shared" si="6"/>
        <v>66838796.466714099</v>
      </c>
      <c r="V80" s="24">
        <f t="shared" ca="1" si="7"/>
        <v>2.4255616221128561E-2</v>
      </c>
    </row>
    <row r="81" spans="1:22">
      <c r="A81" s="26">
        <f>'Monthly Data'!A81</f>
        <v>42217</v>
      </c>
      <c r="B81" s="154">
        <f t="shared" si="8"/>
        <v>8</v>
      </c>
      <c r="C81">
        <f t="shared" si="5"/>
        <v>2015</v>
      </c>
      <c r="D81">
        <f ca="1">'Monthly Data'!F81</f>
        <v>67807607.144169539</v>
      </c>
      <c r="E81">
        <f>'Monthly Data'!BH81</f>
        <v>3.2</v>
      </c>
      <c r="F81">
        <f>'Monthly Data'!BI81</f>
        <v>138.69999999999999</v>
      </c>
      <c r="G81">
        <f>'Monthly Data'!BZ81</f>
        <v>0</v>
      </c>
      <c r="H81">
        <f>'Monthly Data'!CA81</f>
        <v>0</v>
      </c>
      <c r="I81">
        <f>'Monthly Data'!CC81</f>
        <v>31</v>
      </c>
      <c r="J81">
        <f>'Monthly Data'!BV81</f>
        <v>0</v>
      </c>
      <c r="K81">
        <f>'Monthly Data'!BM81</f>
        <v>80</v>
      </c>
      <c r="M81">
        <f>'Res OLS Model'!$B$5</f>
        <v>-14695221.8516191</v>
      </c>
      <c r="N81">
        <f>'Res OLS Model'!$B$6*E81</f>
        <v>77254.888352746566</v>
      </c>
      <c r="O81">
        <f>'Res OLS Model'!$B$7*F81</f>
        <v>24161524.708150789</v>
      </c>
      <c r="P81">
        <f>'Res OLS Model'!$B$8*G81</f>
        <v>0</v>
      </c>
      <c r="Q81">
        <f>'Res OLS Model'!$B$9*H81</f>
        <v>0</v>
      </c>
      <c r="R81">
        <f>'Res OLS Model'!$B$10*I81</f>
        <v>55859933.6715082</v>
      </c>
      <c r="S81">
        <f>'Res OLS Model'!$B$11*J81</f>
        <v>0</v>
      </c>
      <c r="T81">
        <f>'Res OLS Model'!$B$12*K81</f>
        <v>-1019694.770346728</v>
      </c>
      <c r="U81">
        <f t="shared" si="6"/>
        <v>64383796.646045908</v>
      </c>
      <c r="V81" s="24">
        <f t="shared" ca="1" si="7"/>
        <v>5.049301460887827E-2</v>
      </c>
    </row>
    <row r="82" spans="1:22">
      <c r="A82" s="26">
        <f>'Monthly Data'!A82</f>
        <v>42248</v>
      </c>
      <c r="B82" s="154">
        <f t="shared" si="8"/>
        <v>9</v>
      </c>
      <c r="C82">
        <f t="shared" si="5"/>
        <v>2015</v>
      </c>
      <c r="D82">
        <f ca="1">'Monthly Data'!F82</f>
        <v>53044043.734858684</v>
      </c>
      <c r="E82">
        <f>'Monthly Data'!BH82</f>
        <v>10.8</v>
      </c>
      <c r="F82">
        <f>'Monthly Data'!BI82</f>
        <v>109.19999999999997</v>
      </c>
      <c r="G82">
        <f>'Monthly Data'!BZ82</f>
        <v>0</v>
      </c>
      <c r="H82">
        <f>'Monthly Data'!CA82</f>
        <v>1</v>
      </c>
      <c r="I82">
        <f>'Monthly Data'!CC82</f>
        <v>30</v>
      </c>
      <c r="J82">
        <f>'Monthly Data'!BV82</f>
        <v>1</v>
      </c>
      <c r="K82">
        <f>'Monthly Data'!BM82</f>
        <v>81</v>
      </c>
      <c r="M82">
        <f>'Res OLS Model'!$B$5</f>
        <v>-14695221.8516191</v>
      </c>
      <c r="N82">
        <f>'Res OLS Model'!$B$6*E82</f>
        <v>260735.24819051966</v>
      </c>
      <c r="O82">
        <f>'Res OLS Model'!$B$7*F82</f>
        <v>19022627.96056284</v>
      </c>
      <c r="P82">
        <f>'Res OLS Model'!$B$8*G82</f>
        <v>0</v>
      </c>
      <c r="Q82">
        <f>'Res OLS Model'!$B$9*H82</f>
        <v>-2399238.63510927</v>
      </c>
      <c r="R82">
        <f>'Res OLS Model'!$B$10*I82</f>
        <v>54058000.327266</v>
      </c>
      <c r="S82">
        <f>'Res OLS Model'!$B$11*J82</f>
        <v>2497427.94615121</v>
      </c>
      <c r="T82">
        <f>'Res OLS Model'!$B$12*K82</f>
        <v>-1032440.9549760622</v>
      </c>
      <c r="U82">
        <f t="shared" si="6"/>
        <v>57711890.040466145</v>
      </c>
      <c r="V82" s="24">
        <f t="shared" ca="1" si="7"/>
        <v>8.7999443046607617E-2</v>
      </c>
    </row>
    <row r="83" spans="1:22">
      <c r="A83" s="26">
        <f>'Monthly Data'!A83</f>
        <v>42278</v>
      </c>
      <c r="B83" s="154">
        <f t="shared" si="8"/>
        <v>10</v>
      </c>
      <c r="C83">
        <f t="shared" si="5"/>
        <v>2015</v>
      </c>
      <c r="D83">
        <f ca="1">'Monthly Data'!F83</f>
        <v>41411011.439795353</v>
      </c>
      <c r="E83">
        <f>'Monthly Data'!BH83</f>
        <v>157.80000000000001</v>
      </c>
      <c r="F83">
        <f>'Monthly Data'!BI83</f>
        <v>2.6</v>
      </c>
      <c r="G83">
        <f>'Monthly Data'!BZ83</f>
        <v>0</v>
      </c>
      <c r="H83">
        <f>'Monthly Data'!CA83</f>
        <v>1</v>
      </c>
      <c r="I83">
        <f>'Monthly Data'!CC83</f>
        <v>31</v>
      </c>
      <c r="J83">
        <f>'Monthly Data'!BV83</f>
        <v>0</v>
      </c>
      <c r="K83">
        <f>'Monthly Data'!BM83</f>
        <v>82</v>
      </c>
      <c r="M83">
        <f>'Res OLS Model'!$B$5</f>
        <v>-14695221.8516191</v>
      </c>
      <c r="N83">
        <f>'Res OLS Model'!$B$6*E83</f>
        <v>3809631.6818948151</v>
      </c>
      <c r="O83">
        <f>'Res OLS Model'!$B$7*F83</f>
        <v>452919.71334673441</v>
      </c>
      <c r="P83">
        <f>'Res OLS Model'!$B$8*G83</f>
        <v>0</v>
      </c>
      <c r="Q83">
        <f>'Res OLS Model'!$B$9*H83</f>
        <v>-2399238.63510927</v>
      </c>
      <c r="R83">
        <f>'Res OLS Model'!$B$10*I83</f>
        <v>55859933.6715082</v>
      </c>
      <c r="S83">
        <f>'Res OLS Model'!$B$11*J83</f>
        <v>0</v>
      </c>
      <c r="T83">
        <f>'Res OLS Model'!$B$12*K83</f>
        <v>-1045187.1396053962</v>
      </c>
      <c r="U83">
        <f t="shared" si="6"/>
        <v>41982837.440415986</v>
      </c>
      <c r="V83" s="24">
        <f t="shared" ca="1" si="7"/>
        <v>1.3808549483317311E-2</v>
      </c>
    </row>
    <row r="84" spans="1:22">
      <c r="A84" s="26">
        <f>'Monthly Data'!A84</f>
        <v>42309</v>
      </c>
      <c r="B84" s="154">
        <f t="shared" si="8"/>
        <v>11</v>
      </c>
      <c r="C84">
        <f t="shared" si="5"/>
        <v>2015</v>
      </c>
      <c r="D84">
        <f ca="1">'Monthly Data'!F84</f>
        <v>42304554.515398659</v>
      </c>
      <c r="E84">
        <f>'Monthly Data'!BH84</f>
        <v>286.60000000000002</v>
      </c>
      <c r="F84">
        <f>'Monthly Data'!BI84</f>
        <v>0.5</v>
      </c>
      <c r="G84">
        <f>'Monthly Data'!BZ84</f>
        <v>0</v>
      </c>
      <c r="H84">
        <f>'Monthly Data'!CA84</f>
        <v>1</v>
      </c>
      <c r="I84">
        <f>'Monthly Data'!CC84</f>
        <v>30</v>
      </c>
      <c r="J84">
        <f>'Monthly Data'!BV84</f>
        <v>0</v>
      </c>
      <c r="K84">
        <f>'Monthly Data'!BM84</f>
        <v>83</v>
      </c>
      <c r="M84">
        <f>'Res OLS Model'!$B$5</f>
        <v>-14695221.8516191</v>
      </c>
      <c r="N84">
        <f>'Res OLS Model'!$B$6*E84</f>
        <v>6919140.938092865</v>
      </c>
      <c r="O84">
        <f>'Res OLS Model'!$B$7*F84</f>
        <v>87099.944874371999</v>
      </c>
      <c r="P84">
        <f>'Res OLS Model'!$B$8*G84</f>
        <v>0</v>
      </c>
      <c r="Q84">
        <f>'Res OLS Model'!$B$9*H84</f>
        <v>-2399238.63510927</v>
      </c>
      <c r="R84">
        <f>'Res OLS Model'!$B$10*I84</f>
        <v>54058000.327266</v>
      </c>
      <c r="S84">
        <f>'Res OLS Model'!$B$11*J84</f>
        <v>0</v>
      </c>
      <c r="T84">
        <f>'Res OLS Model'!$B$12*K84</f>
        <v>-1057933.3242347303</v>
      </c>
      <c r="U84">
        <f t="shared" si="6"/>
        <v>42911847.39927014</v>
      </c>
      <c r="V84" s="24">
        <f t="shared" ca="1" si="7"/>
        <v>1.4355260109178767E-2</v>
      </c>
    </row>
    <row r="85" spans="1:22">
      <c r="A85" s="26">
        <f>'Monthly Data'!A85</f>
        <v>42339</v>
      </c>
      <c r="B85" s="154">
        <f t="shared" si="8"/>
        <v>12</v>
      </c>
      <c r="C85">
        <f t="shared" si="5"/>
        <v>2015</v>
      </c>
      <c r="D85">
        <f ca="1">'Monthly Data'!F85</f>
        <v>49135427.22282929</v>
      </c>
      <c r="E85">
        <f>'Monthly Data'!BH85</f>
        <v>392.2</v>
      </c>
      <c r="F85">
        <f>'Monthly Data'!BI85</f>
        <v>0</v>
      </c>
      <c r="G85">
        <f>'Monthly Data'!BZ85</f>
        <v>0</v>
      </c>
      <c r="H85">
        <f>'Monthly Data'!CA85</f>
        <v>0</v>
      </c>
      <c r="I85">
        <f>'Monthly Data'!CC85</f>
        <v>31</v>
      </c>
      <c r="J85">
        <f>'Monthly Data'!BV85</f>
        <v>0</v>
      </c>
      <c r="K85">
        <f>'Monthly Data'!BM85</f>
        <v>84</v>
      </c>
      <c r="M85">
        <f>'Res OLS Model'!$B$5</f>
        <v>-14695221.8516191</v>
      </c>
      <c r="N85">
        <f>'Res OLS Model'!$B$6*E85</f>
        <v>9468552.2537335008</v>
      </c>
      <c r="O85">
        <f>'Res OLS Model'!$B$7*F85</f>
        <v>0</v>
      </c>
      <c r="P85">
        <f>'Res OLS Model'!$B$8*G85</f>
        <v>0</v>
      </c>
      <c r="Q85">
        <f>'Res OLS Model'!$B$9*H85</f>
        <v>0</v>
      </c>
      <c r="R85">
        <f>'Res OLS Model'!$B$10*I85</f>
        <v>55859933.6715082</v>
      </c>
      <c r="S85">
        <f>'Res OLS Model'!$B$11*J85</f>
        <v>0</v>
      </c>
      <c r="T85">
        <f>'Res OLS Model'!$B$12*K85</f>
        <v>-1070679.5088640645</v>
      </c>
      <c r="U85">
        <f t="shared" si="6"/>
        <v>49562584.564758532</v>
      </c>
      <c r="V85" s="24">
        <f t="shared" ca="1" si="7"/>
        <v>8.6934695813691079E-3</v>
      </c>
    </row>
    <row r="86" spans="1:22">
      <c r="A86" s="26">
        <f>'Monthly Data'!A86</f>
        <v>42370</v>
      </c>
      <c r="B86" s="154">
        <f t="shared" si="8"/>
        <v>1</v>
      </c>
      <c r="C86">
        <f t="shared" si="5"/>
        <v>2016</v>
      </c>
      <c r="D86">
        <f ca="1">'Monthly Data'!F86</f>
        <v>52102836.708981939</v>
      </c>
      <c r="E86">
        <f>'Monthly Data'!BH86</f>
        <v>618.5</v>
      </c>
      <c r="F86">
        <f>'Monthly Data'!BI86</f>
        <v>0</v>
      </c>
      <c r="G86">
        <f>'Monthly Data'!BZ86</f>
        <v>0</v>
      </c>
      <c r="H86">
        <f>'Monthly Data'!CA86</f>
        <v>0</v>
      </c>
      <c r="I86">
        <f>'Monthly Data'!CC86</f>
        <v>31</v>
      </c>
      <c r="J86">
        <f>'Monthly Data'!BV86</f>
        <v>0</v>
      </c>
      <c r="K86">
        <f>'Monthly Data'!BM86</f>
        <v>85</v>
      </c>
      <c r="M86">
        <f>'Res OLS Model'!$B$5</f>
        <v>-14695221.8516191</v>
      </c>
      <c r="N86">
        <f>'Res OLS Model'!$B$6*E86</f>
        <v>14931921.389429297</v>
      </c>
      <c r="O86">
        <f>'Res OLS Model'!$B$7*F86</f>
        <v>0</v>
      </c>
      <c r="P86">
        <f>'Res OLS Model'!$B$8*G86</f>
        <v>0</v>
      </c>
      <c r="Q86">
        <f>'Res OLS Model'!$B$9*H86</f>
        <v>0</v>
      </c>
      <c r="R86">
        <f>'Res OLS Model'!$B$10*I86</f>
        <v>55859933.6715082</v>
      </c>
      <c r="S86">
        <f>'Res OLS Model'!$B$11*J86</f>
        <v>0</v>
      </c>
      <c r="T86">
        <f>'Res OLS Model'!$B$12*K86</f>
        <v>-1083425.6934933986</v>
      </c>
      <c r="U86">
        <f t="shared" si="6"/>
        <v>55013207.515825003</v>
      </c>
      <c r="V86" s="24">
        <f t="shared" ca="1" si="7"/>
        <v>5.5858202560041224E-2</v>
      </c>
    </row>
    <row r="87" spans="1:22">
      <c r="A87" s="26">
        <f>'Monthly Data'!A87</f>
        <v>42401</v>
      </c>
      <c r="B87" s="154">
        <f t="shared" si="8"/>
        <v>2</v>
      </c>
      <c r="C87">
        <f t="shared" si="5"/>
        <v>2016</v>
      </c>
      <c r="D87">
        <f ca="1">'Monthly Data'!F87</f>
        <v>46904127.650017522</v>
      </c>
      <c r="E87">
        <f>'Monthly Data'!BH87</f>
        <v>510.5</v>
      </c>
      <c r="F87">
        <f>'Monthly Data'!BI87</f>
        <v>0</v>
      </c>
      <c r="G87">
        <f>'Monthly Data'!BZ87</f>
        <v>0</v>
      </c>
      <c r="H87">
        <f>'Monthly Data'!CA87</f>
        <v>0</v>
      </c>
      <c r="I87">
        <f>'Monthly Data'!CC87</f>
        <v>29</v>
      </c>
      <c r="J87">
        <f>'Monthly Data'!BV87</f>
        <v>0</v>
      </c>
      <c r="K87">
        <f>'Monthly Data'!BM87</f>
        <v>86</v>
      </c>
      <c r="M87">
        <f>'Res OLS Model'!$B$5</f>
        <v>-14695221.8516191</v>
      </c>
      <c r="N87">
        <f>'Res OLS Model'!$B$6*E87</f>
        <v>12324568.9075241</v>
      </c>
      <c r="O87">
        <f>'Res OLS Model'!$B$7*F87</f>
        <v>0</v>
      </c>
      <c r="P87">
        <f>'Res OLS Model'!$B$8*G87</f>
        <v>0</v>
      </c>
      <c r="Q87">
        <f>'Res OLS Model'!$B$9*H87</f>
        <v>0</v>
      </c>
      <c r="R87">
        <f>'Res OLS Model'!$B$10*I87</f>
        <v>52256066.9830238</v>
      </c>
      <c r="S87">
        <f>'Res OLS Model'!$B$11*J87</f>
        <v>0</v>
      </c>
      <c r="T87">
        <f>'Res OLS Model'!$B$12*K87</f>
        <v>-1096171.8781227327</v>
      </c>
      <c r="U87">
        <f t="shared" si="6"/>
        <v>48789242.160806067</v>
      </c>
      <c r="V87" s="24">
        <f t="shared" ca="1" si="7"/>
        <v>4.0190802072999236E-2</v>
      </c>
    </row>
    <row r="88" spans="1:22">
      <c r="A88" s="26">
        <f>'Monthly Data'!A88</f>
        <v>42430</v>
      </c>
      <c r="B88" s="154">
        <f t="shared" si="8"/>
        <v>3</v>
      </c>
      <c r="C88">
        <f t="shared" si="5"/>
        <v>2016</v>
      </c>
      <c r="D88">
        <f ca="1">'Monthly Data'!F88</f>
        <v>45175173.087262981</v>
      </c>
      <c r="E88">
        <f>'Monthly Data'!BH88</f>
        <v>350.9</v>
      </c>
      <c r="F88">
        <f>'Monthly Data'!BI88</f>
        <v>0</v>
      </c>
      <c r="G88">
        <f>'Monthly Data'!BZ88</f>
        <v>1</v>
      </c>
      <c r="H88">
        <f>'Monthly Data'!CA88</f>
        <v>0</v>
      </c>
      <c r="I88">
        <f>'Monthly Data'!CC88</f>
        <v>31</v>
      </c>
      <c r="J88">
        <f>'Monthly Data'!BV88</f>
        <v>0</v>
      </c>
      <c r="K88">
        <f>'Monthly Data'!BM88</f>
        <v>87</v>
      </c>
      <c r="M88">
        <f>'Res OLS Model'!$B$5</f>
        <v>-14695221.8516191</v>
      </c>
      <c r="N88">
        <f>'Res OLS Model'!$B$6*E88</f>
        <v>8471481.350930864</v>
      </c>
      <c r="O88">
        <f>'Res OLS Model'!$B$7*F88</f>
        <v>0</v>
      </c>
      <c r="P88">
        <f>'Res OLS Model'!$B$8*G88</f>
        <v>-4177006.7225933699</v>
      </c>
      <c r="Q88">
        <f>'Res OLS Model'!$B$9*H88</f>
        <v>0</v>
      </c>
      <c r="R88">
        <f>'Res OLS Model'!$B$10*I88</f>
        <v>55859933.6715082</v>
      </c>
      <c r="S88">
        <f>'Res OLS Model'!$B$11*J88</f>
        <v>0</v>
      </c>
      <c r="T88">
        <f>'Res OLS Model'!$B$12*K88</f>
        <v>-1108918.0627520666</v>
      </c>
      <c r="U88">
        <f t="shared" si="6"/>
        <v>44350268.385474525</v>
      </c>
      <c r="V88" s="24">
        <f t="shared" ca="1" si="7"/>
        <v>1.8260133728652716E-2</v>
      </c>
    </row>
    <row r="89" spans="1:22">
      <c r="A89" s="26">
        <f>'Monthly Data'!A89</f>
        <v>42461</v>
      </c>
      <c r="B89" s="154">
        <f t="shared" si="8"/>
        <v>4</v>
      </c>
      <c r="C89">
        <f t="shared" si="5"/>
        <v>2016</v>
      </c>
      <c r="D89">
        <f ca="1">'Monthly Data'!F89</f>
        <v>40065253.610994443</v>
      </c>
      <c r="E89">
        <f>'Monthly Data'!BH89</f>
        <v>315.20000000000005</v>
      </c>
      <c r="F89">
        <f>'Monthly Data'!BI89</f>
        <v>0</v>
      </c>
      <c r="G89">
        <f>'Monthly Data'!BZ89</f>
        <v>1</v>
      </c>
      <c r="H89">
        <f>'Monthly Data'!CA89</f>
        <v>0</v>
      </c>
      <c r="I89">
        <f>'Monthly Data'!CC89</f>
        <v>30</v>
      </c>
      <c r="J89">
        <f>'Monthly Data'!BV89</f>
        <v>0</v>
      </c>
      <c r="K89">
        <f>'Monthly Data'!BM89</f>
        <v>88</v>
      </c>
      <c r="M89">
        <f>'Res OLS Model'!$B$5</f>
        <v>-14695221.8516191</v>
      </c>
      <c r="N89">
        <f>'Res OLS Model'!$B$6*E89</f>
        <v>7609606.502745538</v>
      </c>
      <c r="O89">
        <f>'Res OLS Model'!$B$7*F89</f>
        <v>0</v>
      </c>
      <c r="P89">
        <f>'Res OLS Model'!$B$8*G89</f>
        <v>-4177006.7225933699</v>
      </c>
      <c r="Q89">
        <f>'Res OLS Model'!$B$9*H89</f>
        <v>0</v>
      </c>
      <c r="R89">
        <f>'Res OLS Model'!$B$10*I89</f>
        <v>54058000.327266</v>
      </c>
      <c r="S89">
        <f>'Res OLS Model'!$B$11*J89</f>
        <v>0</v>
      </c>
      <c r="T89">
        <f>'Res OLS Model'!$B$12*K89</f>
        <v>-1121664.2473814008</v>
      </c>
      <c r="U89">
        <f t="shared" si="6"/>
        <v>41673714.008417666</v>
      </c>
      <c r="V89" s="24">
        <f t="shared" ca="1" si="7"/>
        <v>4.014601811934717E-2</v>
      </c>
    </row>
    <row r="90" spans="1:22">
      <c r="A90" s="26">
        <f>'Monthly Data'!A90</f>
        <v>42491</v>
      </c>
      <c r="B90" s="154">
        <f t="shared" si="8"/>
        <v>5</v>
      </c>
      <c r="C90">
        <f t="shared" si="5"/>
        <v>2016</v>
      </c>
      <c r="D90">
        <f ca="1">'Monthly Data'!F90</f>
        <v>45621730.560541235</v>
      </c>
      <c r="E90">
        <f>'Monthly Data'!BH90</f>
        <v>110.9</v>
      </c>
      <c r="F90">
        <f>'Monthly Data'!BI90</f>
        <v>47</v>
      </c>
      <c r="G90">
        <f>'Monthly Data'!BZ90</f>
        <v>1</v>
      </c>
      <c r="H90">
        <f>'Monthly Data'!CA90</f>
        <v>0</v>
      </c>
      <c r="I90">
        <f>'Monthly Data'!CC90</f>
        <v>31</v>
      </c>
      <c r="J90">
        <f>'Monthly Data'!BV90</f>
        <v>0</v>
      </c>
      <c r="K90">
        <f>'Monthly Data'!BM90</f>
        <v>89</v>
      </c>
      <c r="M90">
        <f>'Res OLS Model'!$B$5</f>
        <v>-14695221.8516191</v>
      </c>
      <c r="N90">
        <f>'Res OLS Model'!$B$6*E90</f>
        <v>2677364.7244748734</v>
      </c>
      <c r="O90">
        <f>'Res OLS Model'!$B$7*F90</f>
        <v>8187394.8181909677</v>
      </c>
      <c r="P90">
        <f>'Res OLS Model'!$B$8*G90</f>
        <v>-4177006.7225933699</v>
      </c>
      <c r="Q90">
        <f>'Res OLS Model'!$B$9*H90</f>
        <v>0</v>
      </c>
      <c r="R90">
        <f>'Res OLS Model'!$B$10*I90</f>
        <v>55859933.6715082</v>
      </c>
      <c r="S90">
        <f>'Res OLS Model'!$B$11*J90</f>
        <v>0</v>
      </c>
      <c r="T90">
        <f>'Res OLS Model'!$B$12*K90</f>
        <v>-1134410.4320107349</v>
      </c>
      <c r="U90">
        <f t="shared" si="6"/>
        <v>46718054.207950838</v>
      </c>
      <c r="V90" s="24">
        <f t="shared" ca="1" si="7"/>
        <v>2.4030733467130378E-2</v>
      </c>
    </row>
    <row r="91" spans="1:22">
      <c r="A91" s="26">
        <f>'Monthly Data'!A91</f>
        <v>42522</v>
      </c>
      <c r="B91" s="154">
        <f t="shared" si="8"/>
        <v>6</v>
      </c>
      <c r="C91">
        <f t="shared" si="5"/>
        <v>2016</v>
      </c>
      <c r="D91">
        <f ca="1">'Monthly Data'!F91</f>
        <v>62219414.444204442</v>
      </c>
      <c r="E91">
        <f>'Monthly Data'!BH91</f>
        <v>5.6</v>
      </c>
      <c r="F91">
        <f>'Monthly Data'!BI91</f>
        <v>127.2</v>
      </c>
      <c r="G91">
        <f>'Monthly Data'!BZ91</f>
        <v>0</v>
      </c>
      <c r="H91">
        <f>'Monthly Data'!CA91</f>
        <v>0</v>
      </c>
      <c r="I91">
        <f>'Monthly Data'!CC91</f>
        <v>30</v>
      </c>
      <c r="J91">
        <f>'Monthly Data'!BV91</f>
        <v>0</v>
      </c>
      <c r="K91">
        <f>'Monthly Data'!BM91</f>
        <v>90</v>
      </c>
      <c r="M91">
        <f>'Res OLS Model'!$B$5</f>
        <v>-14695221.8516191</v>
      </c>
      <c r="N91">
        <f>'Res OLS Model'!$B$6*E91</f>
        <v>135196.05461730648</v>
      </c>
      <c r="O91">
        <f>'Res OLS Model'!$B$7*F91</f>
        <v>22158225.976040237</v>
      </c>
      <c r="P91">
        <f>'Res OLS Model'!$B$8*G91</f>
        <v>0</v>
      </c>
      <c r="Q91">
        <f>'Res OLS Model'!$B$9*H91</f>
        <v>0</v>
      </c>
      <c r="R91">
        <f>'Res OLS Model'!$B$10*I91</f>
        <v>54058000.327266</v>
      </c>
      <c r="S91">
        <f>'Res OLS Model'!$B$11*J91</f>
        <v>0</v>
      </c>
      <c r="T91">
        <f>'Res OLS Model'!$B$12*K91</f>
        <v>-1147156.6166400691</v>
      </c>
      <c r="U91">
        <f t="shared" si="6"/>
        <v>60509043.889664374</v>
      </c>
      <c r="V91" s="24">
        <f t="shared" ca="1" si="7"/>
        <v>2.7489338654478192E-2</v>
      </c>
    </row>
    <row r="92" spans="1:22">
      <c r="A92" s="26">
        <f>'Monthly Data'!A92</f>
        <v>42552</v>
      </c>
      <c r="B92" s="154">
        <f t="shared" si="8"/>
        <v>7</v>
      </c>
      <c r="C92">
        <f t="shared" si="5"/>
        <v>2016</v>
      </c>
      <c r="D92">
        <f ca="1">'Monthly Data'!F92</f>
        <v>78540515.183203891</v>
      </c>
      <c r="E92">
        <f>'Monthly Data'!BH92</f>
        <v>0</v>
      </c>
      <c r="F92">
        <f>'Monthly Data'!BI92</f>
        <v>213.1</v>
      </c>
      <c r="G92">
        <f>'Monthly Data'!BZ92</f>
        <v>0</v>
      </c>
      <c r="H92">
        <f>'Monthly Data'!CA92</f>
        <v>0</v>
      </c>
      <c r="I92">
        <f>'Monthly Data'!CC92</f>
        <v>31</v>
      </c>
      <c r="J92">
        <f>'Monthly Data'!BV92</f>
        <v>0</v>
      </c>
      <c r="K92">
        <f>'Monthly Data'!BM92</f>
        <v>91</v>
      </c>
      <c r="M92">
        <f>'Res OLS Model'!$B$5</f>
        <v>-14695221.8516191</v>
      </c>
      <c r="N92">
        <f>'Res OLS Model'!$B$6*E92</f>
        <v>0</v>
      </c>
      <c r="O92">
        <f>'Res OLS Model'!$B$7*F92</f>
        <v>37121996.505457342</v>
      </c>
      <c r="P92">
        <f>'Res OLS Model'!$B$8*G92</f>
        <v>0</v>
      </c>
      <c r="Q92">
        <f>'Res OLS Model'!$B$9*H92</f>
        <v>0</v>
      </c>
      <c r="R92">
        <f>'Res OLS Model'!$B$10*I92</f>
        <v>55859933.6715082</v>
      </c>
      <c r="S92">
        <f>'Res OLS Model'!$B$11*J92</f>
        <v>0</v>
      </c>
      <c r="T92">
        <f>'Res OLS Model'!$B$12*K92</f>
        <v>-1159902.8012694032</v>
      </c>
      <c r="U92">
        <f t="shared" si="6"/>
        <v>77126805.524077043</v>
      </c>
      <c r="V92" s="24">
        <f t="shared" ca="1" si="7"/>
        <v>1.7999750266842834E-2</v>
      </c>
    </row>
    <row r="93" spans="1:22">
      <c r="A93" s="26">
        <f>'Monthly Data'!A93</f>
        <v>42583</v>
      </c>
      <c r="B93" s="154">
        <f t="shared" si="8"/>
        <v>8</v>
      </c>
      <c r="C93">
        <f t="shared" si="5"/>
        <v>2016</v>
      </c>
      <c r="D93">
        <f ca="1">'Monthly Data'!F93</f>
        <v>76966973.631195873</v>
      </c>
      <c r="E93">
        <f>'Monthly Data'!BH93</f>
        <v>0</v>
      </c>
      <c r="F93">
        <f>'Monthly Data'!BI93</f>
        <v>219</v>
      </c>
      <c r="G93">
        <f>'Monthly Data'!BZ93</f>
        <v>0</v>
      </c>
      <c r="H93">
        <f>'Monthly Data'!CA93</f>
        <v>0</v>
      </c>
      <c r="I93">
        <f>'Monthly Data'!CC93</f>
        <v>31</v>
      </c>
      <c r="J93">
        <f>'Monthly Data'!BV93</f>
        <v>0</v>
      </c>
      <c r="K93">
        <f>'Monthly Data'!BM93</f>
        <v>92</v>
      </c>
      <c r="M93">
        <f>'Res OLS Model'!$B$5</f>
        <v>-14695221.8516191</v>
      </c>
      <c r="N93">
        <f>'Res OLS Model'!$B$6*E93</f>
        <v>0</v>
      </c>
      <c r="O93">
        <f>'Res OLS Model'!$B$7*F93</f>
        <v>38149775.854974933</v>
      </c>
      <c r="P93">
        <f>'Res OLS Model'!$B$8*G93</f>
        <v>0</v>
      </c>
      <c r="Q93">
        <f>'Res OLS Model'!$B$9*H93</f>
        <v>0</v>
      </c>
      <c r="R93">
        <f>'Res OLS Model'!$B$10*I93</f>
        <v>55859933.6715082</v>
      </c>
      <c r="S93">
        <f>'Res OLS Model'!$B$11*J93</f>
        <v>0</v>
      </c>
      <c r="T93">
        <f>'Res OLS Model'!$B$12*K93</f>
        <v>-1172648.9858987373</v>
      </c>
      <c r="U93">
        <f t="shared" si="6"/>
        <v>78141838.688965291</v>
      </c>
      <c r="V93" s="24">
        <f t="shared" ca="1" si="7"/>
        <v>1.5264534934152942E-2</v>
      </c>
    </row>
    <row r="94" spans="1:22">
      <c r="A94" s="26">
        <f>'Monthly Data'!A94</f>
        <v>42614</v>
      </c>
      <c r="B94" s="154">
        <f t="shared" si="8"/>
        <v>9</v>
      </c>
      <c r="C94">
        <f t="shared" si="5"/>
        <v>2016</v>
      </c>
      <c r="D94">
        <f ca="1">'Monthly Data'!F94</f>
        <v>56086414.527406082</v>
      </c>
      <c r="E94">
        <f>'Monthly Data'!BH94</f>
        <v>8</v>
      </c>
      <c r="F94">
        <f>'Monthly Data'!BI94</f>
        <v>90.1</v>
      </c>
      <c r="G94">
        <f>'Monthly Data'!BZ94</f>
        <v>0</v>
      </c>
      <c r="H94">
        <f>'Monthly Data'!CA94</f>
        <v>1</v>
      </c>
      <c r="I94">
        <f>'Monthly Data'!CC94</f>
        <v>30</v>
      </c>
      <c r="J94">
        <f>'Monthly Data'!BV94</f>
        <v>1</v>
      </c>
      <c r="K94">
        <f>'Monthly Data'!BM94</f>
        <v>93</v>
      </c>
      <c r="M94">
        <f>'Res OLS Model'!$B$5</f>
        <v>-14695221.8516191</v>
      </c>
      <c r="N94">
        <f>'Res OLS Model'!$B$6*E94</f>
        <v>193137.22088186641</v>
      </c>
      <c r="O94">
        <f>'Res OLS Model'!$B$7*F94</f>
        <v>15695410.066361833</v>
      </c>
      <c r="P94">
        <f>'Res OLS Model'!$B$8*G94</f>
        <v>0</v>
      </c>
      <c r="Q94">
        <f>'Res OLS Model'!$B$9*H94</f>
        <v>-2399238.63510927</v>
      </c>
      <c r="R94">
        <f>'Res OLS Model'!$B$10*I94</f>
        <v>54058000.327266</v>
      </c>
      <c r="S94">
        <f>'Res OLS Model'!$B$11*J94</f>
        <v>2497427.94615121</v>
      </c>
      <c r="T94">
        <f>'Res OLS Model'!$B$12*K94</f>
        <v>-1185395.1705280712</v>
      </c>
      <c r="U94">
        <f t="shared" si="6"/>
        <v>54164119.903404474</v>
      </c>
      <c r="V94" s="24">
        <f t="shared" ca="1" si="7"/>
        <v>3.4273801244012428E-2</v>
      </c>
    </row>
    <row r="95" spans="1:22">
      <c r="A95" s="26">
        <f>'Monthly Data'!A95</f>
        <v>42644</v>
      </c>
      <c r="B95" s="154">
        <f t="shared" si="8"/>
        <v>10</v>
      </c>
      <c r="C95">
        <f t="shared" si="5"/>
        <v>2016</v>
      </c>
      <c r="D95">
        <f ca="1">'Monthly Data'!F95</f>
        <v>42624018.777550466</v>
      </c>
      <c r="E95">
        <f>'Monthly Data'!BH95</f>
        <v>146</v>
      </c>
      <c r="F95">
        <f>'Monthly Data'!BI95</f>
        <v>22.7</v>
      </c>
      <c r="G95">
        <f>'Monthly Data'!BZ95</f>
        <v>0</v>
      </c>
      <c r="H95">
        <f>'Monthly Data'!CA95</f>
        <v>1</v>
      </c>
      <c r="I95">
        <f>'Monthly Data'!CC95</f>
        <v>31</v>
      </c>
      <c r="J95">
        <f>'Monthly Data'!BV95</f>
        <v>0</v>
      </c>
      <c r="K95">
        <f>'Monthly Data'!BM95</f>
        <v>94</v>
      </c>
      <c r="M95">
        <f>'Res OLS Model'!$B$5</f>
        <v>-14695221.8516191</v>
      </c>
      <c r="N95">
        <f>'Res OLS Model'!$B$6*E95</f>
        <v>3524754.2810940621</v>
      </c>
      <c r="O95">
        <f>'Res OLS Model'!$B$7*F95</f>
        <v>3954337.4972964888</v>
      </c>
      <c r="P95">
        <f>'Res OLS Model'!$B$8*G95</f>
        <v>0</v>
      </c>
      <c r="Q95">
        <f>'Res OLS Model'!$B$9*H95</f>
        <v>-2399238.63510927</v>
      </c>
      <c r="R95">
        <f>'Res OLS Model'!$B$10*I95</f>
        <v>55859933.6715082</v>
      </c>
      <c r="S95">
        <f>'Res OLS Model'!$B$11*J95</f>
        <v>0</v>
      </c>
      <c r="T95">
        <f>'Res OLS Model'!$B$12*K95</f>
        <v>-1198141.3551574054</v>
      </c>
      <c r="U95">
        <f t="shared" si="6"/>
        <v>45046423.608012974</v>
      </c>
      <c r="V95" s="24">
        <f t="shared" ca="1" si="7"/>
        <v>5.683192012242539E-2</v>
      </c>
    </row>
    <row r="96" spans="1:22">
      <c r="A96" s="26">
        <f>'Monthly Data'!A96</f>
        <v>42675</v>
      </c>
      <c r="B96" s="154">
        <f t="shared" si="8"/>
        <v>11</v>
      </c>
      <c r="C96">
        <f t="shared" si="5"/>
        <v>2016</v>
      </c>
      <c r="D96">
        <f ca="1">'Monthly Data'!F96</f>
        <v>42697547.749490358</v>
      </c>
      <c r="E96">
        <f>'Monthly Data'!BH96</f>
        <v>290.7</v>
      </c>
      <c r="F96">
        <f>'Monthly Data'!BI96</f>
        <v>0</v>
      </c>
      <c r="G96">
        <f>'Monthly Data'!BZ96</f>
        <v>0</v>
      </c>
      <c r="H96">
        <f>'Monthly Data'!CA96</f>
        <v>1</v>
      </c>
      <c r="I96">
        <f>'Monthly Data'!CC96</f>
        <v>30</v>
      </c>
      <c r="J96">
        <f>'Monthly Data'!BV96</f>
        <v>0</v>
      </c>
      <c r="K96">
        <f>'Monthly Data'!BM96</f>
        <v>95</v>
      </c>
      <c r="M96">
        <f>'Res OLS Model'!$B$5</f>
        <v>-14695221.8516191</v>
      </c>
      <c r="N96">
        <f>'Res OLS Model'!$B$6*E96</f>
        <v>7018123.7637948208</v>
      </c>
      <c r="O96">
        <f>'Res OLS Model'!$B$7*F96</f>
        <v>0</v>
      </c>
      <c r="P96">
        <f>'Res OLS Model'!$B$8*G96</f>
        <v>0</v>
      </c>
      <c r="Q96">
        <f>'Res OLS Model'!$B$9*H96</f>
        <v>-2399238.63510927</v>
      </c>
      <c r="R96">
        <f>'Res OLS Model'!$B$10*I96</f>
        <v>54058000.327266</v>
      </c>
      <c r="S96">
        <f>'Res OLS Model'!$B$11*J96</f>
        <v>0</v>
      </c>
      <c r="T96">
        <f>'Res OLS Model'!$B$12*K96</f>
        <v>-1210887.5397867395</v>
      </c>
      <c r="U96">
        <f t="shared" si="6"/>
        <v>42770776.064545706</v>
      </c>
      <c r="V96" s="24">
        <f t="shared" ca="1" si="7"/>
        <v>1.7150473250825522E-3</v>
      </c>
    </row>
    <row r="97" spans="1:22">
      <c r="A97" s="26">
        <f>'Monthly Data'!A97</f>
        <v>42705</v>
      </c>
      <c r="B97" s="154">
        <f t="shared" si="8"/>
        <v>12</v>
      </c>
      <c r="C97">
        <f t="shared" si="5"/>
        <v>2016</v>
      </c>
      <c r="D97">
        <f ca="1">'Monthly Data'!F97</f>
        <v>51929745.792119883</v>
      </c>
      <c r="E97">
        <f>'Monthly Data'!BH97</f>
        <v>581.1</v>
      </c>
      <c r="F97">
        <f>'Monthly Data'!BI97</f>
        <v>0</v>
      </c>
      <c r="G97">
        <f>'Monthly Data'!BZ97</f>
        <v>0</v>
      </c>
      <c r="H97">
        <f>'Monthly Data'!CA97</f>
        <v>0</v>
      </c>
      <c r="I97">
        <f>'Monthly Data'!CC97</f>
        <v>31</v>
      </c>
      <c r="J97">
        <f>'Monthly Data'!BV97</f>
        <v>0</v>
      </c>
      <c r="K97">
        <f>'Monthly Data'!BM97</f>
        <v>96</v>
      </c>
      <c r="M97">
        <f>'Res OLS Model'!$B$5</f>
        <v>-14695221.8516191</v>
      </c>
      <c r="N97">
        <f>'Res OLS Model'!$B$6*E97</f>
        <v>14029004.881806571</v>
      </c>
      <c r="O97">
        <f>'Res OLS Model'!$B$7*F97</f>
        <v>0</v>
      </c>
      <c r="P97">
        <f>'Res OLS Model'!$B$8*G97</f>
        <v>0</v>
      </c>
      <c r="Q97">
        <f>'Res OLS Model'!$B$9*H97</f>
        <v>0</v>
      </c>
      <c r="R97">
        <f>'Res OLS Model'!$B$10*I97</f>
        <v>55859933.6715082</v>
      </c>
      <c r="S97">
        <f>'Res OLS Model'!$B$11*J97</f>
        <v>0</v>
      </c>
      <c r="T97">
        <f>'Res OLS Model'!$B$12*K97</f>
        <v>-1223633.7244160736</v>
      </c>
      <c r="U97">
        <f t="shared" si="6"/>
        <v>53970082.977279596</v>
      </c>
      <c r="V97" s="24">
        <f t="shared" ca="1" si="7"/>
        <v>3.9290336473577069E-2</v>
      </c>
    </row>
    <row r="98" spans="1:22">
      <c r="A98" s="128">
        <f>'Monthly Data'!A98</f>
        <v>42736</v>
      </c>
      <c r="B98" s="154">
        <f t="shared" si="8"/>
        <v>1</v>
      </c>
      <c r="C98" s="127">
        <f t="shared" ref="C98:C109" si="9">YEAR(A98)</f>
        <v>2017</v>
      </c>
      <c r="D98" s="127">
        <f ca="1">'Monthly Data'!F98</f>
        <v>52235221.996710055</v>
      </c>
      <c r="E98" s="127">
        <f>'Monthly Data'!BH98</f>
        <v>570.4</v>
      </c>
      <c r="F98" s="127">
        <f>'Monthly Data'!BI98</f>
        <v>0</v>
      </c>
      <c r="G98" s="127">
        <f>'Monthly Data'!BZ98</f>
        <v>0</v>
      </c>
      <c r="H98" s="127">
        <f>'Monthly Data'!CA98</f>
        <v>0</v>
      </c>
      <c r="I98" s="127">
        <f>'Monthly Data'!CC98</f>
        <v>31</v>
      </c>
      <c r="J98" s="127">
        <f>'Monthly Data'!BV98</f>
        <v>0</v>
      </c>
      <c r="K98" s="127">
        <f>'Monthly Data'!BM98</f>
        <v>97</v>
      </c>
      <c r="L98" s="127"/>
      <c r="M98" s="127">
        <f>'Res OLS Model'!$B$5</f>
        <v>-14695221.8516191</v>
      </c>
      <c r="N98" s="127">
        <f>'Res OLS Model'!$B$6*E98</f>
        <v>13770683.848877074</v>
      </c>
      <c r="O98" s="127">
        <f>'Res OLS Model'!$B$7*F98</f>
        <v>0</v>
      </c>
      <c r="P98" s="127">
        <f>'Res OLS Model'!$B$8*G98</f>
        <v>0</v>
      </c>
      <c r="Q98" s="127">
        <f>'Res OLS Model'!$B$9*H98</f>
        <v>0</v>
      </c>
      <c r="R98" s="127">
        <f>'Res OLS Model'!$B$10*I98</f>
        <v>55859933.6715082</v>
      </c>
      <c r="S98" s="127">
        <f>'Res OLS Model'!$B$11*J98</f>
        <v>0</v>
      </c>
      <c r="T98" s="127">
        <f>'Res OLS Model'!$B$12*K98</f>
        <v>-1236379.9090454078</v>
      </c>
      <c r="U98" s="127">
        <f t="shared" ref="U98:U109" si="10">SUM(M98:T98)</f>
        <v>53699015.759720765</v>
      </c>
      <c r="V98" s="24">
        <f t="shared" ref="V98:V109" ca="1" si="11">ABS(U98-D98)/D98</f>
        <v>2.8023117487715569E-2</v>
      </c>
    </row>
    <row r="99" spans="1:22">
      <c r="A99" s="128">
        <f>'Monthly Data'!A99</f>
        <v>42767</v>
      </c>
      <c r="B99" s="154">
        <f t="shared" si="8"/>
        <v>2</v>
      </c>
      <c r="C99" s="127">
        <f t="shared" si="9"/>
        <v>2017</v>
      </c>
      <c r="D99" s="127">
        <f ca="1">'Monthly Data'!F99</f>
        <v>43740261.306710057</v>
      </c>
      <c r="E99" s="127">
        <f>'Monthly Data'!BH99</f>
        <v>411.8</v>
      </c>
      <c r="F99" s="127">
        <f>'Monthly Data'!BI99</f>
        <v>0</v>
      </c>
      <c r="G99" s="127">
        <f>'Monthly Data'!BZ99</f>
        <v>0</v>
      </c>
      <c r="H99" s="127">
        <f>'Monthly Data'!CA99</f>
        <v>0</v>
      </c>
      <c r="I99" s="127">
        <f>'Monthly Data'!CC99</f>
        <v>28</v>
      </c>
      <c r="J99" s="127">
        <f>'Monthly Data'!BV99</f>
        <v>0</v>
      </c>
      <c r="K99" s="127">
        <f>'Monthly Data'!BM99</f>
        <v>98</v>
      </c>
      <c r="L99" s="127"/>
      <c r="M99" s="127">
        <f>'Res OLS Model'!$B$5</f>
        <v>-14695221.8516191</v>
      </c>
      <c r="N99" s="127">
        <f>'Res OLS Model'!$B$6*E99</f>
        <v>9941738.4448940735</v>
      </c>
      <c r="O99" s="127">
        <f>'Res OLS Model'!$B$7*F99</f>
        <v>0</v>
      </c>
      <c r="P99" s="127">
        <f>'Res OLS Model'!$B$8*G99</f>
        <v>0</v>
      </c>
      <c r="Q99" s="127">
        <f>'Res OLS Model'!$B$9*H99</f>
        <v>0</v>
      </c>
      <c r="R99" s="127">
        <f>'Res OLS Model'!$B$10*I99</f>
        <v>50454133.6387816</v>
      </c>
      <c r="S99" s="127">
        <f>'Res OLS Model'!$B$11*J99</f>
        <v>0</v>
      </c>
      <c r="T99" s="127">
        <f>'Res OLS Model'!$B$12*K99</f>
        <v>-1249126.0936747419</v>
      </c>
      <c r="U99" s="127">
        <f t="shared" si="10"/>
        <v>44451524.138381831</v>
      </c>
      <c r="V99" s="24">
        <f t="shared" ca="1" si="11"/>
        <v>1.6261055842450162E-2</v>
      </c>
    </row>
    <row r="100" spans="1:22">
      <c r="A100" s="128">
        <f>'Monthly Data'!A100</f>
        <v>42795</v>
      </c>
      <c r="B100" s="154">
        <f t="shared" si="8"/>
        <v>3</v>
      </c>
      <c r="C100" s="127">
        <f t="shared" si="9"/>
        <v>2017</v>
      </c>
      <c r="D100" s="127">
        <f ca="1">'Monthly Data'!F100</f>
        <v>45837850.07671006</v>
      </c>
      <c r="E100" s="127">
        <f>'Monthly Data'!BH100</f>
        <v>469.7</v>
      </c>
      <c r="F100" s="127">
        <f>'Monthly Data'!BI100</f>
        <v>0</v>
      </c>
      <c r="G100" s="127">
        <f>'Monthly Data'!BZ100</f>
        <v>1</v>
      </c>
      <c r="H100" s="127">
        <f>'Monthly Data'!CA100</f>
        <v>0</v>
      </c>
      <c r="I100" s="127">
        <f>'Monthly Data'!CC100</f>
        <v>31</v>
      </c>
      <c r="J100" s="127">
        <f>'Monthly Data'!BV100</f>
        <v>0</v>
      </c>
      <c r="K100" s="127">
        <f>'Monthly Data'!BM100</f>
        <v>99</v>
      </c>
      <c r="L100" s="127"/>
      <c r="M100" s="127">
        <f>'Res OLS Model'!$B$5</f>
        <v>-14695221.8516191</v>
      </c>
      <c r="N100" s="127">
        <f>'Res OLS Model'!$B$6*E100</f>
        <v>11339569.081026582</v>
      </c>
      <c r="O100" s="127">
        <f>'Res OLS Model'!$B$7*F100</f>
        <v>0</v>
      </c>
      <c r="P100" s="127">
        <f>'Res OLS Model'!$B$8*G100</f>
        <v>-4177006.7225933699</v>
      </c>
      <c r="Q100" s="127">
        <f>'Res OLS Model'!$B$9*H100</f>
        <v>0</v>
      </c>
      <c r="R100" s="127">
        <f>'Res OLS Model'!$B$10*I100</f>
        <v>55859933.6715082</v>
      </c>
      <c r="S100" s="127">
        <f>'Res OLS Model'!$B$11*J100</f>
        <v>0</v>
      </c>
      <c r="T100" s="127">
        <f>'Res OLS Model'!$B$12*K100</f>
        <v>-1261872.2783040761</v>
      </c>
      <c r="U100" s="127">
        <f t="shared" si="10"/>
        <v>47065401.900018238</v>
      </c>
      <c r="V100" s="24">
        <f t="shared" ca="1" si="11"/>
        <v>2.6780309749559767E-2</v>
      </c>
    </row>
    <row r="101" spans="1:22">
      <c r="A101" s="128">
        <f>'Monthly Data'!A101</f>
        <v>42826</v>
      </c>
      <c r="B101" s="154">
        <f t="shared" si="8"/>
        <v>4</v>
      </c>
      <c r="C101" s="127">
        <f t="shared" si="9"/>
        <v>2017</v>
      </c>
      <c r="D101" s="127">
        <f ca="1">'Monthly Data'!F101</f>
        <v>39739104.176710062</v>
      </c>
      <c r="E101" s="127">
        <f>'Monthly Data'!BH101</f>
        <v>177.1</v>
      </c>
      <c r="F101" s="127">
        <f>'Monthly Data'!BI101</f>
        <v>6.1</v>
      </c>
      <c r="G101" s="127">
        <f>'Monthly Data'!BZ101</f>
        <v>1</v>
      </c>
      <c r="H101" s="127">
        <f>'Monthly Data'!CA101</f>
        <v>0</v>
      </c>
      <c r="I101" s="127">
        <f>'Monthly Data'!CC101</f>
        <v>30</v>
      </c>
      <c r="J101" s="127">
        <f>'Monthly Data'!BV101</f>
        <v>0</v>
      </c>
      <c r="K101" s="127">
        <f>'Monthly Data'!BM101</f>
        <v>100</v>
      </c>
      <c r="L101" s="127"/>
      <c r="M101" s="127">
        <f>'Res OLS Model'!$B$5</f>
        <v>-14695221.8516191</v>
      </c>
      <c r="N101" s="127">
        <f>'Res OLS Model'!$B$6*E101</f>
        <v>4275575.2272723177</v>
      </c>
      <c r="O101" s="127">
        <f>'Res OLS Model'!$B$7*F101</f>
        <v>1062619.3274673384</v>
      </c>
      <c r="P101" s="127">
        <f>'Res OLS Model'!$B$8*G101</f>
        <v>-4177006.7225933699</v>
      </c>
      <c r="Q101" s="127">
        <f>'Res OLS Model'!$B$9*H101</f>
        <v>0</v>
      </c>
      <c r="R101" s="127">
        <f>'Res OLS Model'!$B$10*I101</f>
        <v>54058000.327266</v>
      </c>
      <c r="S101" s="127">
        <f>'Res OLS Model'!$B$11*J101</f>
        <v>0</v>
      </c>
      <c r="T101" s="127">
        <f>'Res OLS Model'!$B$12*K101</f>
        <v>-1274618.46293341</v>
      </c>
      <c r="U101" s="127">
        <f t="shared" si="10"/>
        <v>39249347.844859779</v>
      </c>
      <c r="V101" s="24">
        <f t="shared" ca="1" si="11"/>
        <v>1.2324292205291201E-2</v>
      </c>
    </row>
    <row r="102" spans="1:22">
      <c r="A102" s="128">
        <f>'Monthly Data'!A102</f>
        <v>42856</v>
      </c>
      <c r="B102" s="154">
        <f t="shared" si="8"/>
        <v>5</v>
      </c>
      <c r="C102" s="127">
        <f t="shared" si="9"/>
        <v>2017</v>
      </c>
      <c r="D102" s="127">
        <f ca="1">'Monthly Data'!F102</f>
        <v>43383845.156710058</v>
      </c>
      <c r="E102" s="127">
        <f>'Monthly Data'!BH102</f>
        <v>124.4</v>
      </c>
      <c r="F102" s="127">
        <f>'Monthly Data'!BI102</f>
        <v>28.5</v>
      </c>
      <c r="G102" s="127">
        <f>'Monthly Data'!BZ102</f>
        <v>1</v>
      </c>
      <c r="H102" s="127">
        <f>'Monthly Data'!CA102</f>
        <v>0</v>
      </c>
      <c r="I102" s="127">
        <f>'Monthly Data'!CC102</f>
        <v>31</v>
      </c>
      <c r="J102" s="127">
        <f>'Monthly Data'!BV102</f>
        <v>0</v>
      </c>
      <c r="K102" s="127">
        <f>'Monthly Data'!BM102</f>
        <v>101</v>
      </c>
      <c r="L102" s="127"/>
      <c r="M102" s="127">
        <f>'Res OLS Model'!$B$5</f>
        <v>-14695221.8516191</v>
      </c>
      <c r="N102" s="127">
        <f>'Res OLS Model'!$B$6*E102</f>
        <v>3003283.7847130229</v>
      </c>
      <c r="O102" s="127">
        <f>'Res OLS Model'!$B$7*F102</f>
        <v>4964696.8578392044</v>
      </c>
      <c r="P102" s="127">
        <f>'Res OLS Model'!$B$8*G102</f>
        <v>-4177006.7225933699</v>
      </c>
      <c r="Q102" s="127">
        <f>'Res OLS Model'!$B$9*H102</f>
        <v>0</v>
      </c>
      <c r="R102" s="127">
        <f>'Res OLS Model'!$B$10*I102</f>
        <v>55859933.6715082</v>
      </c>
      <c r="S102" s="127">
        <f>'Res OLS Model'!$B$11*J102</f>
        <v>0</v>
      </c>
      <c r="T102" s="127">
        <f>'Res OLS Model'!$B$12*K102</f>
        <v>-1287364.6475627441</v>
      </c>
      <c r="U102" s="127">
        <f t="shared" si="10"/>
        <v>43668321.092285216</v>
      </c>
      <c r="V102" s="24">
        <f t="shared" ca="1" si="11"/>
        <v>6.5571858498844537E-3</v>
      </c>
    </row>
    <row r="103" spans="1:22">
      <c r="A103" s="128">
        <f>'Monthly Data'!A103</f>
        <v>42887</v>
      </c>
      <c r="B103" s="154">
        <f t="shared" si="8"/>
        <v>6</v>
      </c>
      <c r="C103" s="127">
        <f t="shared" si="9"/>
        <v>2017</v>
      </c>
      <c r="D103" s="127">
        <f ca="1">'Monthly Data'!F103</f>
        <v>58319622.406710058</v>
      </c>
      <c r="E103" s="127">
        <f>'Monthly Data'!BH103</f>
        <v>2.9</v>
      </c>
      <c r="F103" s="127">
        <f>'Monthly Data'!BI103</f>
        <v>128.1</v>
      </c>
      <c r="G103" s="127">
        <f>'Monthly Data'!BZ103</f>
        <v>0</v>
      </c>
      <c r="H103" s="127">
        <f>'Monthly Data'!CA103</f>
        <v>0</v>
      </c>
      <c r="I103" s="127">
        <f>'Monthly Data'!CC103</f>
        <v>30</v>
      </c>
      <c r="J103" s="127">
        <f>'Monthly Data'!BV103</f>
        <v>0</v>
      </c>
      <c r="K103" s="127">
        <f>'Monthly Data'!BM103</f>
        <v>102</v>
      </c>
      <c r="L103" s="127"/>
      <c r="M103" s="127">
        <f>'Res OLS Model'!$B$5</f>
        <v>-14695221.8516191</v>
      </c>
      <c r="N103" s="127">
        <f>'Res OLS Model'!$B$6*E103</f>
        <v>70012.242569676571</v>
      </c>
      <c r="O103" s="127">
        <f>'Res OLS Model'!$B$7*F103</f>
        <v>22315005.876814105</v>
      </c>
      <c r="P103" s="127">
        <f>'Res OLS Model'!$B$8*G103</f>
        <v>0</v>
      </c>
      <c r="Q103" s="127">
        <f>'Res OLS Model'!$B$9*H103</f>
        <v>0</v>
      </c>
      <c r="R103" s="127">
        <f>'Res OLS Model'!$B$10*I103</f>
        <v>54058000.327266</v>
      </c>
      <c r="S103" s="127">
        <f>'Res OLS Model'!$B$11*J103</f>
        <v>0</v>
      </c>
      <c r="T103" s="127">
        <f>'Res OLS Model'!$B$12*K103</f>
        <v>-1300110.8321920782</v>
      </c>
      <c r="U103" s="127">
        <f t="shared" si="10"/>
        <v>60447685.762838602</v>
      </c>
      <c r="V103" s="24">
        <f t="shared" ca="1" si="11"/>
        <v>3.648966279801729E-2</v>
      </c>
    </row>
    <row r="104" spans="1:22">
      <c r="A104" s="128">
        <f>'Monthly Data'!A104</f>
        <v>42917</v>
      </c>
      <c r="B104" s="154">
        <f t="shared" si="8"/>
        <v>7</v>
      </c>
      <c r="C104" s="127">
        <f t="shared" si="9"/>
        <v>2017</v>
      </c>
      <c r="D104" s="127">
        <f ca="1">'Monthly Data'!F104</f>
        <v>70157146.256710052</v>
      </c>
      <c r="E104" s="127">
        <f>'Monthly Data'!BH104</f>
        <v>0</v>
      </c>
      <c r="F104" s="127">
        <f>'Monthly Data'!BI104</f>
        <v>179.5</v>
      </c>
      <c r="G104" s="127">
        <f>'Monthly Data'!BZ104</f>
        <v>0</v>
      </c>
      <c r="H104" s="127">
        <f>'Monthly Data'!CA104</f>
        <v>0</v>
      </c>
      <c r="I104" s="127">
        <f>'Monthly Data'!CC104</f>
        <v>31</v>
      </c>
      <c r="J104" s="127">
        <f>'Monthly Data'!BV104</f>
        <v>0</v>
      </c>
      <c r="K104" s="127">
        <f>'Monthly Data'!BM104</f>
        <v>103</v>
      </c>
      <c r="L104" s="127"/>
      <c r="M104" s="127">
        <f>'Res OLS Model'!$B$5</f>
        <v>-14695221.8516191</v>
      </c>
      <c r="N104" s="127">
        <f>'Res OLS Model'!$B$6*E104</f>
        <v>0</v>
      </c>
      <c r="O104" s="127">
        <f>'Res OLS Model'!$B$7*F104</f>
        <v>31268880.209899548</v>
      </c>
      <c r="P104" s="127">
        <f>'Res OLS Model'!$B$8*G104</f>
        <v>0</v>
      </c>
      <c r="Q104" s="127">
        <f>'Res OLS Model'!$B$9*H104</f>
        <v>0</v>
      </c>
      <c r="R104" s="127">
        <f>'Res OLS Model'!$B$10*I104</f>
        <v>55859933.6715082</v>
      </c>
      <c r="S104" s="127">
        <f>'Res OLS Model'!$B$11*J104</f>
        <v>0</v>
      </c>
      <c r="T104" s="127">
        <f>'Res OLS Model'!$B$12*K104</f>
        <v>-1312857.0168214124</v>
      </c>
      <c r="U104" s="127">
        <f t="shared" si="10"/>
        <v>71120735.012967229</v>
      </c>
      <c r="V104" s="24">
        <f t="shared" ca="1" si="11"/>
        <v>1.373471994900328E-2</v>
      </c>
    </row>
    <row r="105" spans="1:22">
      <c r="A105" s="128">
        <f>'Monthly Data'!A105</f>
        <v>42948</v>
      </c>
      <c r="B105" s="154">
        <f t="shared" si="8"/>
        <v>8</v>
      </c>
      <c r="C105" s="127">
        <f t="shared" si="9"/>
        <v>2017</v>
      </c>
      <c r="D105" s="127">
        <f ca="1">'Monthly Data'!F105</f>
        <v>62635034.536710061</v>
      </c>
      <c r="E105" s="127">
        <f>'Monthly Data'!BH105</f>
        <v>1.9</v>
      </c>
      <c r="F105" s="127">
        <f>'Monthly Data'!BI105</f>
        <v>121.4</v>
      </c>
      <c r="G105" s="127">
        <f>'Monthly Data'!BZ105</f>
        <v>0</v>
      </c>
      <c r="H105" s="127">
        <f>'Monthly Data'!CA105</f>
        <v>0</v>
      </c>
      <c r="I105" s="127">
        <f>'Monthly Data'!CC105</f>
        <v>31</v>
      </c>
      <c r="J105" s="127">
        <f>'Monthly Data'!BV105</f>
        <v>0</v>
      </c>
      <c r="K105" s="127">
        <f>'Monthly Data'!BM105</f>
        <v>104</v>
      </c>
      <c r="L105" s="127"/>
      <c r="M105" s="127">
        <f>'Res OLS Model'!$B$5</f>
        <v>-14695221.8516191</v>
      </c>
      <c r="N105" s="127">
        <f>'Res OLS Model'!$B$6*E105</f>
        <v>45870.08995944327</v>
      </c>
      <c r="O105" s="127">
        <f>'Res OLS Model'!$B$7*F105</f>
        <v>21147866.615497522</v>
      </c>
      <c r="P105" s="127">
        <f>'Res OLS Model'!$B$8*G105</f>
        <v>0</v>
      </c>
      <c r="Q105" s="127">
        <f>'Res OLS Model'!$B$9*H105</f>
        <v>0</v>
      </c>
      <c r="R105" s="127">
        <f>'Res OLS Model'!$B$10*I105</f>
        <v>55859933.6715082</v>
      </c>
      <c r="S105" s="127">
        <f>'Res OLS Model'!$B$11*J105</f>
        <v>0</v>
      </c>
      <c r="T105" s="127">
        <f>'Res OLS Model'!$B$12*K105</f>
        <v>-1325603.2014507465</v>
      </c>
      <c r="U105" s="127">
        <f t="shared" si="10"/>
        <v>61032845.32389532</v>
      </c>
      <c r="V105" s="24">
        <f t="shared" ca="1" si="11"/>
        <v>2.557976098625293E-2</v>
      </c>
    </row>
    <row r="106" spans="1:22">
      <c r="A106" s="128">
        <f>'Monthly Data'!A106</f>
        <v>42979</v>
      </c>
      <c r="B106" s="154">
        <f t="shared" si="8"/>
        <v>9</v>
      </c>
      <c r="C106" s="127">
        <f t="shared" si="9"/>
        <v>2017</v>
      </c>
      <c r="D106" s="127">
        <f ca="1">'Monthly Data'!F106</f>
        <v>53098958.586710058</v>
      </c>
      <c r="E106" s="127">
        <f>'Monthly Data'!BH106</f>
        <v>27.4</v>
      </c>
      <c r="F106" s="127">
        <f>'Monthly Data'!BI106</f>
        <v>80.7</v>
      </c>
      <c r="G106" s="127">
        <f>'Monthly Data'!BZ106</f>
        <v>0</v>
      </c>
      <c r="H106" s="127">
        <f>'Monthly Data'!CA106</f>
        <v>1</v>
      </c>
      <c r="I106" s="127">
        <f>'Monthly Data'!CC106</f>
        <v>30</v>
      </c>
      <c r="J106" s="127">
        <f>'Monthly Data'!BV106</f>
        <v>1</v>
      </c>
      <c r="K106" s="127">
        <f>'Monthly Data'!BM106</f>
        <v>105</v>
      </c>
      <c r="L106" s="127"/>
      <c r="M106" s="127">
        <f>'Res OLS Model'!$B$5</f>
        <v>-14695221.8516191</v>
      </c>
      <c r="N106" s="127">
        <f>'Res OLS Model'!$B$6*E106</f>
        <v>661494.98152039247</v>
      </c>
      <c r="O106" s="127">
        <f>'Res OLS Model'!$B$7*F106</f>
        <v>14057931.102723641</v>
      </c>
      <c r="P106" s="127">
        <f>'Res OLS Model'!$B$8*G106</f>
        <v>0</v>
      </c>
      <c r="Q106" s="127">
        <f>'Res OLS Model'!$B$9*H106</f>
        <v>-2399238.63510927</v>
      </c>
      <c r="R106" s="127">
        <f>'Res OLS Model'!$B$10*I106</f>
        <v>54058000.327266</v>
      </c>
      <c r="S106" s="127">
        <f>'Res OLS Model'!$B$11*J106</f>
        <v>2497427.94615121</v>
      </c>
      <c r="T106" s="127">
        <f>'Res OLS Model'!$B$12*K106</f>
        <v>-1338349.3860800806</v>
      </c>
      <c r="U106" s="127">
        <f t="shared" si="10"/>
        <v>52842044.484852798</v>
      </c>
      <c r="V106" s="24">
        <f t="shared" ca="1" si="11"/>
        <v>4.8384018951656421E-3</v>
      </c>
    </row>
    <row r="107" spans="1:22">
      <c r="A107" s="128">
        <f>'Monthly Data'!A107</f>
        <v>43009</v>
      </c>
      <c r="B107" s="154">
        <f t="shared" si="8"/>
        <v>10</v>
      </c>
      <c r="C107" s="127">
        <f t="shared" si="9"/>
        <v>2017</v>
      </c>
      <c r="D107" s="127">
        <f ca="1">'Monthly Data'!F107</f>
        <v>46118064.906710058</v>
      </c>
      <c r="E107" s="127">
        <f>'Monthly Data'!BH107</f>
        <v>124.6</v>
      </c>
      <c r="F107" s="127">
        <f>'Monthly Data'!BI107</f>
        <v>24.9</v>
      </c>
      <c r="G107" s="127">
        <f>'Monthly Data'!BZ107</f>
        <v>0</v>
      </c>
      <c r="H107" s="127">
        <f>'Monthly Data'!CA107</f>
        <v>1</v>
      </c>
      <c r="I107" s="127">
        <f>'Monthly Data'!CC107</f>
        <v>31</v>
      </c>
      <c r="J107" s="127">
        <f>'Monthly Data'!BV107</f>
        <v>0</v>
      </c>
      <c r="K107" s="127">
        <f>'Monthly Data'!BM107</f>
        <v>106</v>
      </c>
      <c r="L107" s="127"/>
      <c r="M107" s="127">
        <f>'Res OLS Model'!$B$5</f>
        <v>-14695221.8516191</v>
      </c>
      <c r="N107" s="127">
        <f>'Res OLS Model'!$B$6*E107</f>
        <v>3008112.2152350689</v>
      </c>
      <c r="O107" s="127">
        <f>'Res OLS Model'!$B$7*F107</f>
        <v>4337577.2547437251</v>
      </c>
      <c r="P107" s="127">
        <f>'Res OLS Model'!$B$8*G107</f>
        <v>0</v>
      </c>
      <c r="Q107" s="127">
        <f>'Res OLS Model'!$B$9*H107</f>
        <v>-2399238.63510927</v>
      </c>
      <c r="R107" s="127">
        <f>'Res OLS Model'!$B$10*I107</f>
        <v>55859933.6715082</v>
      </c>
      <c r="S107" s="127">
        <f>'Res OLS Model'!$B$11*J107</f>
        <v>0</v>
      </c>
      <c r="T107" s="127">
        <f>'Res OLS Model'!$B$12*K107</f>
        <v>-1351095.5707094145</v>
      </c>
      <c r="U107" s="127">
        <f t="shared" si="10"/>
        <v>44760067.08404921</v>
      </c>
      <c r="V107" s="24">
        <f t="shared" ca="1" si="11"/>
        <v>2.9446114562869774E-2</v>
      </c>
    </row>
    <row r="108" spans="1:22">
      <c r="A108" s="128">
        <f>'Monthly Data'!A108</f>
        <v>43040</v>
      </c>
      <c r="B108" s="154">
        <f t="shared" si="8"/>
        <v>11</v>
      </c>
      <c r="C108" s="127">
        <f t="shared" si="9"/>
        <v>2017</v>
      </c>
      <c r="D108" s="127">
        <f ca="1">'Monthly Data'!F108</f>
        <v>45341675.606710061</v>
      </c>
      <c r="E108" s="127">
        <f>'Monthly Data'!BH108</f>
        <v>379.5</v>
      </c>
      <c r="F108" s="127">
        <f>'Monthly Data'!BI108</f>
        <v>0</v>
      </c>
      <c r="G108" s="127">
        <f>'Monthly Data'!BZ108</f>
        <v>0</v>
      </c>
      <c r="H108" s="127">
        <f>'Monthly Data'!CA108</f>
        <v>1</v>
      </c>
      <c r="I108" s="127">
        <f>'Monthly Data'!CC108</f>
        <v>30</v>
      </c>
      <c r="J108" s="127">
        <f>'Monthly Data'!BV108</f>
        <v>0</v>
      </c>
      <c r="K108" s="127">
        <f>'Monthly Data'!BM108</f>
        <v>107</v>
      </c>
      <c r="L108" s="127"/>
      <c r="M108" s="127">
        <f>'Res OLS Model'!$B$5</f>
        <v>-14695221.8516191</v>
      </c>
      <c r="N108" s="127">
        <f>'Res OLS Model'!$B$6*E108</f>
        <v>9161946.9155835379</v>
      </c>
      <c r="O108" s="127">
        <f>'Res OLS Model'!$B$7*F108</f>
        <v>0</v>
      </c>
      <c r="P108" s="127">
        <f>'Res OLS Model'!$B$8*G108</f>
        <v>0</v>
      </c>
      <c r="Q108" s="127">
        <f>'Res OLS Model'!$B$9*H108</f>
        <v>-2399238.63510927</v>
      </c>
      <c r="R108" s="127">
        <f>'Res OLS Model'!$B$10*I108</f>
        <v>54058000.327266</v>
      </c>
      <c r="S108" s="127">
        <f>'Res OLS Model'!$B$11*J108</f>
        <v>0</v>
      </c>
      <c r="T108" s="127">
        <f>'Res OLS Model'!$B$12*K108</f>
        <v>-1363841.7553387487</v>
      </c>
      <c r="U108" s="127">
        <f t="shared" si="10"/>
        <v>44761645.000782415</v>
      </c>
      <c r="V108" s="24">
        <f t="shared" ca="1" si="11"/>
        <v>1.2792438703826996E-2</v>
      </c>
    </row>
    <row r="109" spans="1:22">
      <c r="A109" s="128">
        <f>'Monthly Data'!A109</f>
        <v>43070</v>
      </c>
      <c r="B109" s="154">
        <f t="shared" si="8"/>
        <v>12</v>
      </c>
      <c r="C109" s="127">
        <f t="shared" si="9"/>
        <v>2017</v>
      </c>
      <c r="D109" s="127">
        <f ca="1">'Monthly Data'!F109</f>
        <v>54565027.176710062</v>
      </c>
      <c r="E109" s="127">
        <f>'Monthly Data'!BH109</f>
        <v>634.4</v>
      </c>
      <c r="F109" s="127">
        <f>'Monthly Data'!BI109</f>
        <v>0</v>
      </c>
      <c r="G109" s="127">
        <f>'Monthly Data'!BZ109</f>
        <v>0</v>
      </c>
      <c r="H109" s="127">
        <f>'Monthly Data'!CA109</f>
        <v>0</v>
      </c>
      <c r="I109" s="127">
        <f>'Monthly Data'!CC109</f>
        <v>31</v>
      </c>
      <c r="J109" s="127">
        <f>'Monthly Data'!BV109</f>
        <v>0</v>
      </c>
      <c r="K109" s="127">
        <f>'Monthly Data'!BM109</f>
        <v>108</v>
      </c>
      <c r="L109" s="127"/>
      <c r="M109" s="127">
        <f>'Res OLS Model'!$B$5</f>
        <v>-14695221.8516191</v>
      </c>
      <c r="N109" s="127">
        <f>'Res OLS Model'!$B$6*E109</f>
        <v>15315781.615932006</v>
      </c>
      <c r="O109" s="127">
        <f>'Res OLS Model'!$B$7*F109</f>
        <v>0</v>
      </c>
      <c r="P109" s="127">
        <f>'Res OLS Model'!$B$8*G109</f>
        <v>0</v>
      </c>
      <c r="Q109" s="127">
        <f>'Res OLS Model'!$B$9*H109</f>
        <v>0</v>
      </c>
      <c r="R109" s="127">
        <f>'Res OLS Model'!$B$10*I109</f>
        <v>55859933.6715082</v>
      </c>
      <c r="S109" s="127">
        <f>'Res OLS Model'!$B$11*J109</f>
        <v>0</v>
      </c>
      <c r="T109" s="127">
        <f>'Res OLS Model'!$B$12*K109</f>
        <v>-1376587.9399680828</v>
      </c>
      <c r="U109" s="127">
        <f t="shared" si="10"/>
        <v>55103905.495853029</v>
      </c>
      <c r="V109" s="24">
        <f t="shared" ca="1" si="11"/>
        <v>9.8758920690683056E-3</v>
      </c>
    </row>
    <row r="110" spans="1:22" s="186" customFormat="1">
      <c r="A110" s="128">
        <f>'Monthly Data'!A110</f>
        <v>43101</v>
      </c>
      <c r="B110" s="154">
        <f t="shared" ref="B110:B121" si="12">MONTH(A110)</f>
        <v>1</v>
      </c>
      <c r="C110" s="186">
        <f t="shared" ref="C110:C121" si="13">YEAR(A110)</f>
        <v>2018</v>
      </c>
      <c r="D110" s="186">
        <f ca="1">'Monthly Data'!F110</f>
        <v>56225086.293307021</v>
      </c>
      <c r="E110" s="186">
        <f>'Monthly Data'!BH110</f>
        <v>671.40000000000009</v>
      </c>
      <c r="F110" s="186">
        <f>'Monthly Data'!BI110</f>
        <v>0</v>
      </c>
      <c r="G110" s="186">
        <f>'Monthly Data'!BZ110</f>
        <v>0</v>
      </c>
      <c r="H110" s="186">
        <f>'Monthly Data'!CA110</f>
        <v>0</v>
      </c>
      <c r="I110" s="186">
        <f>'Monthly Data'!CC110</f>
        <v>31</v>
      </c>
      <c r="J110" s="186">
        <f>'Monthly Data'!BV110</f>
        <v>0</v>
      </c>
      <c r="K110" s="186">
        <f>'Monthly Data'!BM110</f>
        <v>109</v>
      </c>
      <c r="M110" s="186">
        <f>'Res OLS Model'!$B$5</f>
        <v>-14695221.8516191</v>
      </c>
      <c r="N110" s="186">
        <f>'Res OLS Model'!$B$6*E110</f>
        <v>16209041.262510641</v>
      </c>
      <c r="O110" s="186">
        <f>'Res OLS Model'!$B$7*F110</f>
        <v>0</v>
      </c>
      <c r="P110" s="186">
        <f>'Res OLS Model'!$B$8*G110</f>
        <v>0</v>
      </c>
      <c r="Q110" s="186">
        <f>'Res OLS Model'!$B$9*H110</f>
        <v>0</v>
      </c>
      <c r="R110" s="186">
        <f>'Res OLS Model'!$B$10*I110</f>
        <v>55859933.6715082</v>
      </c>
      <c r="S110" s="186">
        <f>'Res OLS Model'!$B$11*J110</f>
        <v>0</v>
      </c>
      <c r="T110" s="186">
        <f>'Res OLS Model'!$B$12*K110</f>
        <v>-1389334.124597417</v>
      </c>
      <c r="U110" s="186">
        <f t="shared" ref="U110:U121" si="14">SUM(M110:T110)</f>
        <v>55984418.957802325</v>
      </c>
      <c r="V110" s="24">
        <f t="shared" ref="V110:V121" ca="1" si="15">ABS(U110-D110)/D110</f>
        <v>4.2804262540250574E-3</v>
      </c>
    </row>
    <row r="111" spans="1:22" s="186" customFormat="1">
      <c r="A111" s="128">
        <f>'Monthly Data'!A111</f>
        <v>43132</v>
      </c>
      <c r="B111" s="154">
        <f t="shared" si="12"/>
        <v>2</v>
      </c>
      <c r="C111" s="186">
        <f t="shared" si="13"/>
        <v>2018</v>
      </c>
      <c r="D111" s="186">
        <f ca="1">'Monthly Data'!F111</f>
        <v>47139422.787842415</v>
      </c>
      <c r="E111" s="186">
        <f>'Monthly Data'!BH111</f>
        <v>497.29999999999995</v>
      </c>
      <c r="F111" s="186">
        <f>'Monthly Data'!BI111</f>
        <v>0</v>
      </c>
      <c r="G111" s="186">
        <f>'Monthly Data'!BZ111</f>
        <v>0</v>
      </c>
      <c r="H111" s="186">
        <f>'Monthly Data'!CA111</f>
        <v>0</v>
      </c>
      <c r="I111" s="186">
        <f>'Monthly Data'!CC111</f>
        <v>28</v>
      </c>
      <c r="J111" s="186">
        <f>'Monthly Data'!BV111</f>
        <v>0</v>
      </c>
      <c r="K111" s="186">
        <f>'Monthly Data'!BM111</f>
        <v>110</v>
      </c>
      <c r="M111" s="186">
        <f>'Res OLS Model'!$B$5</f>
        <v>-14695221.8516191</v>
      </c>
      <c r="N111" s="186">
        <f>'Res OLS Model'!$B$6*E111</f>
        <v>12005892.493069019</v>
      </c>
      <c r="O111" s="186">
        <f>'Res OLS Model'!$B$7*F111</f>
        <v>0</v>
      </c>
      <c r="P111" s="186">
        <f>'Res OLS Model'!$B$8*G111</f>
        <v>0</v>
      </c>
      <c r="Q111" s="186">
        <f>'Res OLS Model'!$B$9*H111</f>
        <v>0</v>
      </c>
      <c r="R111" s="186">
        <f>'Res OLS Model'!$B$10*I111</f>
        <v>50454133.6387816</v>
      </c>
      <c r="S111" s="186">
        <f>'Res OLS Model'!$B$11*J111</f>
        <v>0</v>
      </c>
      <c r="T111" s="186">
        <f>'Res OLS Model'!$B$12*K111</f>
        <v>-1402080.3092267511</v>
      </c>
      <c r="U111" s="186">
        <f t="shared" si="14"/>
        <v>46362723.971004769</v>
      </c>
      <c r="V111" s="24">
        <f t="shared" ca="1" si="15"/>
        <v>1.6476629769806222E-2</v>
      </c>
    </row>
    <row r="112" spans="1:22" s="186" customFormat="1">
      <c r="A112" s="128">
        <f>'Monthly Data'!A112</f>
        <v>43160</v>
      </c>
      <c r="B112" s="154">
        <f t="shared" si="12"/>
        <v>3</v>
      </c>
      <c r="C112" s="186">
        <f t="shared" si="13"/>
        <v>2018</v>
      </c>
      <c r="D112" s="186">
        <f ca="1">'Monthly Data'!F112</f>
        <v>48575569.512237363</v>
      </c>
      <c r="E112" s="186">
        <f>'Monthly Data'!BH112</f>
        <v>510.59999999999997</v>
      </c>
      <c r="F112" s="186">
        <f>'Monthly Data'!BI112</f>
        <v>0</v>
      </c>
      <c r="G112" s="186">
        <f>'Monthly Data'!BZ112</f>
        <v>1</v>
      </c>
      <c r="H112" s="186">
        <f>'Monthly Data'!CA112</f>
        <v>0</v>
      </c>
      <c r="I112" s="186">
        <f>'Monthly Data'!CC112</f>
        <v>31</v>
      </c>
      <c r="J112" s="186">
        <f>'Monthly Data'!BV112</f>
        <v>0</v>
      </c>
      <c r="K112" s="186">
        <f>'Monthly Data'!BM112</f>
        <v>111</v>
      </c>
      <c r="M112" s="186">
        <f>'Res OLS Model'!$B$5</f>
        <v>-14695221.8516191</v>
      </c>
      <c r="N112" s="186">
        <f>'Res OLS Model'!$B$6*E112</f>
        <v>12326983.122785123</v>
      </c>
      <c r="O112" s="186">
        <f>'Res OLS Model'!$B$7*F112</f>
        <v>0</v>
      </c>
      <c r="P112" s="186">
        <f>'Res OLS Model'!$B$8*G112</f>
        <v>-4177006.7225933699</v>
      </c>
      <c r="Q112" s="186">
        <f>'Res OLS Model'!$B$9*H112</f>
        <v>0</v>
      </c>
      <c r="R112" s="186">
        <f>'Res OLS Model'!$B$10*I112</f>
        <v>55859933.6715082</v>
      </c>
      <c r="S112" s="186">
        <f>'Res OLS Model'!$B$11*J112</f>
        <v>0</v>
      </c>
      <c r="T112" s="186">
        <f>'Res OLS Model'!$B$12*K112</f>
        <v>-1414826.4938560852</v>
      </c>
      <c r="U112" s="186">
        <f t="shared" si="14"/>
        <v>47899861.726224765</v>
      </c>
      <c r="V112" s="24">
        <f t="shared" ca="1" si="15"/>
        <v>1.3910444958187679E-2</v>
      </c>
    </row>
    <row r="113" spans="1:22" s="186" customFormat="1">
      <c r="A113" s="128">
        <f>'Monthly Data'!A113</f>
        <v>43191</v>
      </c>
      <c r="B113" s="154">
        <f t="shared" si="12"/>
        <v>4</v>
      </c>
      <c r="C113" s="186">
        <f t="shared" si="13"/>
        <v>2018</v>
      </c>
      <c r="D113" s="186">
        <f ca="1">'Monthly Data'!F113</f>
        <v>43821696.032611214</v>
      </c>
      <c r="E113" s="186">
        <f>'Monthly Data'!BH113</f>
        <v>334.19999999999993</v>
      </c>
      <c r="F113" s="186">
        <f>'Monthly Data'!BI113</f>
        <v>0</v>
      </c>
      <c r="G113" s="186">
        <f>'Monthly Data'!BZ113</f>
        <v>1</v>
      </c>
      <c r="H113" s="186">
        <f>'Monthly Data'!CA113</f>
        <v>0</v>
      </c>
      <c r="I113" s="186">
        <f>'Monthly Data'!CC113</f>
        <v>30</v>
      </c>
      <c r="J113" s="186">
        <f>'Monthly Data'!BV113</f>
        <v>0</v>
      </c>
      <c r="K113" s="186">
        <f>'Monthly Data'!BM113</f>
        <v>112</v>
      </c>
      <c r="M113" s="186">
        <f>'Res OLS Model'!$B$5</f>
        <v>-14695221.8516191</v>
      </c>
      <c r="N113" s="186">
        <f>'Res OLS Model'!$B$6*E113</f>
        <v>8068307.4023399679</v>
      </c>
      <c r="O113" s="186">
        <f>'Res OLS Model'!$B$7*F113</f>
        <v>0</v>
      </c>
      <c r="P113" s="186">
        <f>'Res OLS Model'!$B$8*G113</f>
        <v>-4177006.7225933699</v>
      </c>
      <c r="Q113" s="186">
        <f>'Res OLS Model'!$B$9*H113</f>
        <v>0</v>
      </c>
      <c r="R113" s="186">
        <f>'Res OLS Model'!$B$10*I113</f>
        <v>54058000.327266</v>
      </c>
      <c r="S113" s="186">
        <f>'Res OLS Model'!$B$11*J113</f>
        <v>0</v>
      </c>
      <c r="T113" s="186">
        <f>'Res OLS Model'!$B$12*K113</f>
        <v>-1427572.6784854191</v>
      </c>
      <c r="U113" s="186">
        <f t="shared" si="14"/>
        <v>41826506.47690808</v>
      </c>
      <c r="V113" s="24">
        <f t="shared" ca="1" si="15"/>
        <v>4.5529720123528628E-2</v>
      </c>
    </row>
    <row r="114" spans="1:22" s="186" customFormat="1">
      <c r="A114" s="128">
        <f>'Monthly Data'!A114</f>
        <v>43221</v>
      </c>
      <c r="B114" s="154">
        <f t="shared" si="12"/>
        <v>5</v>
      </c>
      <c r="C114" s="186">
        <f t="shared" si="13"/>
        <v>2018</v>
      </c>
      <c r="D114" s="186">
        <f ca="1">'Monthly Data'!F114</f>
        <v>48899921.933677331</v>
      </c>
      <c r="E114" s="186">
        <f>'Monthly Data'!BH114</f>
        <v>44.6</v>
      </c>
      <c r="F114" s="186">
        <f>'Monthly Data'!BI114</f>
        <v>68.7</v>
      </c>
      <c r="G114" s="186">
        <f>'Monthly Data'!BZ114</f>
        <v>1</v>
      </c>
      <c r="H114" s="186">
        <f>'Monthly Data'!CA114</f>
        <v>0</v>
      </c>
      <c r="I114" s="186">
        <f>'Monthly Data'!CC114</f>
        <v>31</v>
      </c>
      <c r="J114" s="186">
        <f>'Monthly Data'!BV114</f>
        <v>0</v>
      </c>
      <c r="K114" s="186">
        <f>'Monthly Data'!BM114</f>
        <v>113</v>
      </c>
      <c r="M114" s="186">
        <f>'Res OLS Model'!$B$5</f>
        <v>-14695221.8516191</v>
      </c>
      <c r="N114" s="186">
        <f>'Res OLS Model'!$B$6*E114</f>
        <v>1076740.0064164053</v>
      </c>
      <c r="O114" s="186">
        <f>'Res OLS Model'!$B$7*F114</f>
        <v>11967532.425738713</v>
      </c>
      <c r="P114" s="186">
        <f>'Res OLS Model'!$B$8*G114</f>
        <v>-4177006.7225933699</v>
      </c>
      <c r="Q114" s="186">
        <f>'Res OLS Model'!$B$9*H114</f>
        <v>0</v>
      </c>
      <c r="R114" s="186">
        <f>'Res OLS Model'!$B$10*I114</f>
        <v>55859933.6715082</v>
      </c>
      <c r="S114" s="186">
        <f>'Res OLS Model'!$B$11*J114</f>
        <v>0</v>
      </c>
      <c r="T114" s="186">
        <f>'Res OLS Model'!$B$12*K114</f>
        <v>-1440318.8631147533</v>
      </c>
      <c r="U114" s="186">
        <f t="shared" si="14"/>
        <v>48591658.666336097</v>
      </c>
      <c r="V114" s="24">
        <f t="shared" ca="1" si="15"/>
        <v>6.3039623613168425E-3</v>
      </c>
    </row>
    <row r="115" spans="1:22" s="186" customFormat="1">
      <c r="A115" s="128">
        <f>'Monthly Data'!A115</f>
        <v>43252</v>
      </c>
      <c r="B115" s="154">
        <f t="shared" si="12"/>
        <v>6</v>
      </c>
      <c r="C115" s="186">
        <f t="shared" si="13"/>
        <v>2018</v>
      </c>
      <c r="D115" s="186">
        <f ca="1">'Monthly Data'!F115</f>
        <v>66010052.584332302</v>
      </c>
      <c r="E115" s="186">
        <f>'Monthly Data'!BH115</f>
        <v>4</v>
      </c>
      <c r="F115" s="186">
        <f>'Monthly Data'!BI115</f>
        <v>122.39999999999998</v>
      </c>
      <c r="G115" s="186">
        <f>'Monthly Data'!BZ115</f>
        <v>0</v>
      </c>
      <c r="H115" s="186">
        <f>'Monthly Data'!CA115</f>
        <v>0</v>
      </c>
      <c r="I115" s="186">
        <f>'Monthly Data'!CC115</f>
        <v>30</v>
      </c>
      <c r="J115" s="186">
        <f>'Monthly Data'!BV115</f>
        <v>0</v>
      </c>
      <c r="K115" s="186">
        <f>'Monthly Data'!BM115</f>
        <v>114</v>
      </c>
      <c r="M115" s="186">
        <f>'Res OLS Model'!$B$5</f>
        <v>-14695221.8516191</v>
      </c>
      <c r="N115" s="186">
        <f>'Res OLS Model'!$B$6*E115</f>
        <v>96568.610440933204</v>
      </c>
      <c r="O115" s="186">
        <f>'Res OLS Model'!$B$7*F115</f>
        <v>21322066.505246263</v>
      </c>
      <c r="P115" s="186">
        <f>'Res OLS Model'!$B$8*G115</f>
        <v>0</v>
      </c>
      <c r="Q115" s="186">
        <f>'Res OLS Model'!$B$9*H115</f>
        <v>0</v>
      </c>
      <c r="R115" s="186">
        <f>'Res OLS Model'!$B$10*I115</f>
        <v>54058000.327266</v>
      </c>
      <c r="S115" s="186">
        <f>'Res OLS Model'!$B$11*J115</f>
        <v>0</v>
      </c>
      <c r="T115" s="186">
        <f>'Res OLS Model'!$B$12*K115</f>
        <v>-1453065.0477440874</v>
      </c>
      <c r="U115" s="186">
        <f t="shared" si="14"/>
        <v>59328348.543590009</v>
      </c>
      <c r="V115" s="24">
        <f t="shared" ca="1" si="15"/>
        <v>0.1012225226181416</v>
      </c>
    </row>
    <row r="116" spans="1:22" s="186" customFormat="1">
      <c r="A116" s="128">
        <f>'Monthly Data'!A116</f>
        <v>43282</v>
      </c>
      <c r="B116" s="154">
        <f t="shared" si="12"/>
        <v>7</v>
      </c>
      <c r="C116" s="186">
        <f t="shared" si="13"/>
        <v>2018</v>
      </c>
      <c r="D116" s="186">
        <f ca="1">'Monthly Data'!F116</f>
        <v>78572912.328857943</v>
      </c>
      <c r="E116" s="186">
        <f>'Monthly Data'!BH116</f>
        <v>0</v>
      </c>
      <c r="F116" s="186">
        <f>'Monthly Data'!BI116</f>
        <v>204.00000000000006</v>
      </c>
      <c r="G116" s="186">
        <f>'Monthly Data'!BZ116</f>
        <v>0</v>
      </c>
      <c r="H116" s="186">
        <f>'Monthly Data'!CA116</f>
        <v>0</v>
      </c>
      <c r="I116" s="186">
        <f>'Monthly Data'!CC116</f>
        <v>31</v>
      </c>
      <c r="J116" s="186">
        <f>'Monthly Data'!BV116</f>
        <v>0</v>
      </c>
      <c r="K116" s="186">
        <f>'Monthly Data'!BM116</f>
        <v>115</v>
      </c>
      <c r="M116" s="186">
        <f>'Res OLS Model'!$B$5</f>
        <v>-14695221.8516191</v>
      </c>
      <c r="N116" s="186">
        <f>'Res OLS Model'!$B$6*E116</f>
        <v>0</v>
      </c>
      <c r="O116" s="186">
        <f>'Res OLS Model'!$B$7*F116</f>
        <v>35536777.508743785</v>
      </c>
      <c r="P116" s="186">
        <f>'Res OLS Model'!$B$8*G116</f>
        <v>0</v>
      </c>
      <c r="Q116" s="186">
        <f>'Res OLS Model'!$B$9*H116</f>
        <v>0</v>
      </c>
      <c r="R116" s="186">
        <f>'Res OLS Model'!$B$10*I116</f>
        <v>55859933.6715082</v>
      </c>
      <c r="S116" s="186">
        <f>'Res OLS Model'!$B$11*J116</f>
        <v>0</v>
      </c>
      <c r="T116" s="186">
        <f>'Res OLS Model'!$B$12*K116</f>
        <v>-1465811.2323734215</v>
      </c>
      <c r="U116" s="186">
        <f t="shared" si="14"/>
        <v>75235678.096259475</v>
      </c>
      <c r="V116" s="24">
        <f t="shared" ca="1" si="15"/>
        <v>4.2473088163397281E-2</v>
      </c>
    </row>
    <row r="117" spans="1:22" s="186" customFormat="1">
      <c r="A117" s="128">
        <f>'Monthly Data'!A117</f>
        <v>43313</v>
      </c>
      <c r="B117" s="154">
        <f t="shared" si="12"/>
        <v>8</v>
      </c>
      <c r="C117" s="186">
        <f t="shared" si="13"/>
        <v>2018</v>
      </c>
      <c r="D117" s="186">
        <f ca="1">'Monthly Data'!F117</f>
        <v>75820147.472080186</v>
      </c>
      <c r="E117" s="186">
        <f>'Monthly Data'!BH117</f>
        <v>0</v>
      </c>
      <c r="F117" s="186">
        <f>'Monthly Data'!BI117</f>
        <v>204.40000000000003</v>
      </c>
      <c r="G117" s="186">
        <f>'Monthly Data'!BZ117</f>
        <v>0</v>
      </c>
      <c r="H117" s="186">
        <f>'Monthly Data'!CA117</f>
        <v>0</v>
      </c>
      <c r="I117" s="186">
        <f>'Monthly Data'!CC117</f>
        <v>31</v>
      </c>
      <c r="J117" s="186">
        <f>'Monthly Data'!BV117</f>
        <v>0</v>
      </c>
      <c r="K117" s="186">
        <f>'Monthly Data'!BM117</f>
        <v>116</v>
      </c>
      <c r="M117" s="186">
        <f>'Res OLS Model'!$B$5</f>
        <v>-14695221.8516191</v>
      </c>
      <c r="N117" s="186">
        <f>'Res OLS Model'!$B$6*E117</f>
        <v>0</v>
      </c>
      <c r="O117" s="186">
        <f>'Res OLS Model'!$B$7*F117</f>
        <v>35606457.464643277</v>
      </c>
      <c r="P117" s="186">
        <f>'Res OLS Model'!$B$8*G117</f>
        <v>0</v>
      </c>
      <c r="Q117" s="186">
        <f>'Res OLS Model'!$B$9*H117</f>
        <v>0</v>
      </c>
      <c r="R117" s="186">
        <f>'Res OLS Model'!$B$10*I117</f>
        <v>55859933.6715082</v>
      </c>
      <c r="S117" s="186">
        <f>'Res OLS Model'!$B$11*J117</f>
        <v>0</v>
      </c>
      <c r="T117" s="186">
        <f>'Res OLS Model'!$B$12*K117</f>
        <v>-1478557.4170027557</v>
      </c>
      <c r="U117" s="186">
        <f t="shared" si="14"/>
        <v>75292611.867529616</v>
      </c>
      <c r="V117" s="24">
        <f t="shared" ca="1" si="15"/>
        <v>6.9577232719684251E-3</v>
      </c>
    </row>
    <row r="118" spans="1:22" s="186" customFormat="1">
      <c r="A118" s="128">
        <f>'Monthly Data'!A118</f>
        <v>43344</v>
      </c>
      <c r="B118" s="154">
        <f t="shared" si="12"/>
        <v>9</v>
      </c>
      <c r="C118" s="186">
        <f t="shared" si="13"/>
        <v>2018</v>
      </c>
      <c r="D118" s="186">
        <f ca="1">'Monthly Data'!F118</f>
        <v>59545277.389431417</v>
      </c>
      <c r="E118" s="186">
        <f>'Monthly Data'!BH118</f>
        <v>29.7</v>
      </c>
      <c r="F118" s="186">
        <f>'Monthly Data'!BI118</f>
        <v>109.19999999999999</v>
      </c>
      <c r="G118" s="186">
        <f>'Monthly Data'!BZ118</f>
        <v>0</v>
      </c>
      <c r="H118" s="186">
        <f>'Monthly Data'!CA118</f>
        <v>1</v>
      </c>
      <c r="I118" s="186">
        <f>'Monthly Data'!CC118</f>
        <v>30</v>
      </c>
      <c r="J118" s="186">
        <f>'Monthly Data'!BV118</f>
        <v>1</v>
      </c>
      <c r="K118" s="186">
        <f>'Monthly Data'!BM118</f>
        <v>117</v>
      </c>
      <c r="M118" s="186">
        <f>'Res OLS Model'!$B$5</f>
        <v>-14695221.8516191</v>
      </c>
      <c r="N118" s="186">
        <f>'Res OLS Model'!$B$6*E118</f>
        <v>717021.93252392905</v>
      </c>
      <c r="O118" s="186">
        <f>'Res OLS Model'!$B$7*F118</f>
        <v>19022627.960562844</v>
      </c>
      <c r="P118" s="186">
        <f>'Res OLS Model'!$B$8*G118</f>
        <v>0</v>
      </c>
      <c r="Q118" s="186">
        <f>'Res OLS Model'!$B$9*H118</f>
        <v>-2399238.63510927</v>
      </c>
      <c r="R118" s="186">
        <f>'Res OLS Model'!$B$10*I118</f>
        <v>54058000.327266</v>
      </c>
      <c r="S118" s="186">
        <f>'Res OLS Model'!$B$11*J118</f>
        <v>2497427.94615121</v>
      </c>
      <c r="T118" s="186">
        <f>'Res OLS Model'!$B$12*K118</f>
        <v>-1491303.6016320898</v>
      </c>
      <c r="U118" s="186">
        <f t="shared" si="14"/>
        <v>57709314.078143522</v>
      </c>
      <c r="V118" s="24">
        <f t="shared" ca="1" si="15"/>
        <v>3.0833063372608566E-2</v>
      </c>
    </row>
    <row r="119" spans="1:22" s="186" customFormat="1">
      <c r="A119" s="128">
        <f>'Monthly Data'!A119</f>
        <v>43374</v>
      </c>
      <c r="B119" s="154">
        <f t="shared" si="12"/>
        <v>10</v>
      </c>
      <c r="C119" s="186">
        <f t="shared" si="13"/>
        <v>2018</v>
      </c>
      <c r="D119" s="186">
        <f ca="1">'Monthly Data'!F119</f>
        <v>46605104.794214346</v>
      </c>
      <c r="E119" s="186">
        <f>'Monthly Data'!BH119</f>
        <v>207.89999999999995</v>
      </c>
      <c r="F119" s="186">
        <f>'Monthly Data'!BI119</f>
        <v>24.1</v>
      </c>
      <c r="G119" s="186">
        <f>'Monthly Data'!BZ119</f>
        <v>0</v>
      </c>
      <c r="H119" s="186">
        <f>'Monthly Data'!CA119</f>
        <v>1</v>
      </c>
      <c r="I119" s="186">
        <f>'Monthly Data'!CC119</f>
        <v>31</v>
      </c>
      <c r="J119" s="186">
        <f>'Monthly Data'!BV119</f>
        <v>0</v>
      </c>
      <c r="K119" s="186">
        <f>'Monthly Data'!BM119</f>
        <v>118</v>
      </c>
      <c r="M119" s="186">
        <f>'Res OLS Model'!$B$5</f>
        <v>-14695221.8516191</v>
      </c>
      <c r="N119" s="186">
        <f>'Res OLS Model'!$B$6*E119</f>
        <v>5019153.5276675019</v>
      </c>
      <c r="O119" s="186">
        <f>'Res OLS Model'!$B$7*F119</f>
        <v>4198217.342944731</v>
      </c>
      <c r="P119" s="186">
        <f>'Res OLS Model'!$B$8*G119</f>
        <v>0</v>
      </c>
      <c r="Q119" s="186">
        <f>'Res OLS Model'!$B$9*H119</f>
        <v>-2399238.63510927</v>
      </c>
      <c r="R119" s="186">
        <f>'Res OLS Model'!$B$10*I119</f>
        <v>55859933.6715082</v>
      </c>
      <c r="S119" s="186">
        <f>'Res OLS Model'!$B$11*J119</f>
        <v>0</v>
      </c>
      <c r="T119" s="186">
        <f>'Res OLS Model'!$B$12*K119</f>
        <v>-1504049.786261424</v>
      </c>
      <c r="U119" s="186">
        <f t="shared" si="14"/>
        <v>46478794.26913064</v>
      </c>
      <c r="V119" s="24">
        <f t="shared" ca="1" si="15"/>
        <v>2.7102293974325797E-3</v>
      </c>
    </row>
    <row r="120" spans="1:22" s="186" customFormat="1">
      <c r="A120" s="128">
        <f>'Monthly Data'!A120</f>
        <v>43405</v>
      </c>
      <c r="B120" s="154">
        <f t="shared" si="12"/>
        <v>11</v>
      </c>
      <c r="C120" s="186">
        <f t="shared" si="13"/>
        <v>2018</v>
      </c>
      <c r="D120" s="186">
        <f ca="1">'Monthly Data'!F120</f>
        <v>47874988.187957972</v>
      </c>
      <c r="E120" s="186">
        <f>'Monthly Data'!BH120</f>
        <v>454.9</v>
      </c>
      <c r="F120" s="186">
        <f>'Monthly Data'!BI120</f>
        <v>0</v>
      </c>
      <c r="G120" s="186">
        <f>'Monthly Data'!BZ120</f>
        <v>0</v>
      </c>
      <c r="H120" s="186">
        <f>'Monthly Data'!CA120</f>
        <v>1</v>
      </c>
      <c r="I120" s="186">
        <f>'Monthly Data'!CC120</f>
        <v>30</v>
      </c>
      <c r="J120" s="186">
        <f>'Monthly Data'!BV120</f>
        <v>0</v>
      </c>
      <c r="K120" s="186">
        <f>'Monthly Data'!BM120</f>
        <v>119</v>
      </c>
      <c r="M120" s="186">
        <f>'Res OLS Model'!$B$5</f>
        <v>-14695221.8516191</v>
      </c>
      <c r="N120" s="186">
        <f>'Res OLS Model'!$B$6*E120</f>
        <v>10982265.222395128</v>
      </c>
      <c r="O120" s="186">
        <f>'Res OLS Model'!$B$7*F120</f>
        <v>0</v>
      </c>
      <c r="P120" s="186">
        <f>'Res OLS Model'!$B$8*G120</f>
        <v>0</v>
      </c>
      <c r="Q120" s="186">
        <f>'Res OLS Model'!$B$9*H120</f>
        <v>-2399238.63510927</v>
      </c>
      <c r="R120" s="186">
        <f>'Res OLS Model'!$B$10*I120</f>
        <v>54058000.327266</v>
      </c>
      <c r="S120" s="186">
        <f>'Res OLS Model'!$B$11*J120</f>
        <v>0</v>
      </c>
      <c r="T120" s="186">
        <f>'Res OLS Model'!$B$12*K120</f>
        <v>-1516795.9708907579</v>
      </c>
      <c r="U120" s="186">
        <f t="shared" si="14"/>
        <v>46429009.092041999</v>
      </c>
      <c r="V120" s="24">
        <f t="shared" ca="1" si="15"/>
        <v>3.0203226165592689E-2</v>
      </c>
    </row>
    <row r="121" spans="1:22" s="186" customFormat="1">
      <c r="A121" s="128">
        <f>'Monthly Data'!A121</f>
        <v>43435</v>
      </c>
      <c r="B121" s="154">
        <f t="shared" si="12"/>
        <v>12</v>
      </c>
      <c r="C121" s="186">
        <f t="shared" si="13"/>
        <v>2018</v>
      </c>
      <c r="D121" s="186">
        <f ca="1">'Monthly Data'!F121</f>
        <v>52725596.952190973</v>
      </c>
      <c r="E121" s="186">
        <f>'Monthly Data'!BH121</f>
        <v>500.59999999999991</v>
      </c>
      <c r="F121" s="186">
        <f>'Monthly Data'!BI121</f>
        <v>0</v>
      </c>
      <c r="G121" s="186">
        <f>'Monthly Data'!BZ121</f>
        <v>0</v>
      </c>
      <c r="H121" s="186">
        <f>'Monthly Data'!CA121</f>
        <v>0</v>
      </c>
      <c r="I121" s="186">
        <f>'Monthly Data'!CC121</f>
        <v>31</v>
      </c>
      <c r="J121" s="186">
        <f>'Monthly Data'!BV121</f>
        <v>0</v>
      </c>
      <c r="K121" s="186">
        <f>'Monthly Data'!BM121</f>
        <v>120</v>
      </c>
      <c r="M121" s="186">
        <f>'Res OLS Model'!$B$5</f>
        <v>-14695221.8516191</v>
      </c>
      <c r="N121" s="186">
        <f>'Res OLS Model'!$B$6*E121</f>
        <v>12085561.596682789</v>
      </c>
      <c r="O121" s="186">
        <f>'Res OLS Model'!$B$7*F121</f>
        <v>0</v>
      </c>
      <c r="P121" s="186">
        <f>'Res OLS Model'!$B$8*G121</f>
        <v>0</v>
      </c>
      <c r="Q121" s="186">
        <f>'Res OLS Model'!$B$9*H121</f>
        <v>0</v>
      </c>
      <c r="R121" s="186">
        <f>'Res OLS Model'!$B$10*I121</f>
        <v>55859933.6715082</v>
      </c>
      <c r="S121" s="186">
        <f>'Res OLS Model'!$B$11*J121</f>
        <v>0</v>
      </c>
      <c r="T121" s="186">
        <f>'Res OLS Model'!$B$12*K121</f>
        <v>-1529542.155520092</v>
      </c>
      <c r="U121" s="186">
        <f t="shared" si="14"/>
        <v>51720731.261051796</v>
      </c>
      <c r="V121" s="24">
        <f t="shared" ca="1" si="15"/>
        <v>1.905840330362386E-2</v>
      </c>
    </row>
    <row r="122" spans="1:22">
      <c r="V122" s="22">
        <f ca="1">AVERAGE(V2:V121)</f>
        <v>2.4183838499665534E-2</v>
      </c>
    </row>
    <row r="124" spans="1:22">
      <c r="N124" s="127"/>
      <c r="O124" s="127"/>
      <c r="P124" s="127"/>
      <c r="Q124" s="127"/>
      <c r="R124" s="127"/>
      <c r="S124" s="127"/>
      <c r="T124" s="127"/>
      <c r="U124" s="155"/>
    </row>
    <row r="125" spans="1:22">
      <c r="M125" s="122"/>
      <c r="N125" s="122"/>
      <c r="O125" s="122"/>
      <c r="P125" s="122"/>
      <c r="Q125" s="122"/>
      <c r="R125" s="122"/>
      <c r="S125" s="122"/>
      <c r="T125" s="122"/>
      <c r="U125" s="155"/>
      <c r="V125" s="127"/>
    </row>
    <row r="126" spans="1:22">
      <c r="U126" s="155"/>
      <c r="V126" s="127"/>
    </row>
    <row r="127" spans="1:22">
      <c r="U127" s="155"/>
      <c r="V127" s="127"/>
    </row>
    <row r="128" spans="1:22">
      <c r="U128" s="155"/>
      <c r="V128" s="127"/>
    </row>
    <row r="129" spans="21:22">
      <c r="U129" s="155"/>
      <c r="V129" s="127"/>
    </row>
    <row r="130" spans="21:22">
      <c r="U130" s="155"/>
      <c r="V130" s="127"/>
    </row>
    <row r="131" spans="21:22">
      <c r="U131" s="155"/>
      <c r="V131" s="127"/>
    </row>
    <row r="132" spans="21:22">
      <c r="U132" s="155"/>
      <c r="V132" s="127"/>
    </row>
    <row r="133" spans="21:22">
      <c r="U133" s="155"/>
      <c r="V133" s="127"/>
    </row>
    <row r="134" spans="21:22">
      <c r="U134" s="155"/>
      <c r="V134" s="127"/>
    </row>
    <row r="135" spans="21:22">
      <c r="U135" s="155"/>
      <c r="V135" s="12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1"/>
  <sheetViews>
    <sheetView workbookViewId="0">
      <selection activeCell="K13" sqref="K13"/>
    </sheetView>
  </sheetViews>
  <sheetFormatPr defaultRowHeight="12.75"/>
  <cols>
    <col min="1" max="1" width="21" customWidth="1"/>
    <col min="2" max="2" width="12.1640625" bestFit="1" customWidth="1"/>
  </cols>
  <sheetData>
    <row r="1" spans="1:5">
      <c r="A1" t="s">
        <v>257</v>
      </c>
    </row>
    <row r="2" spans="1:5">
      <c r="A2" t="s">
        <v>113</v>
      </c>
    </row>
    <row r="4" spans="1:5">
      <c r="B4" t="s">
        <v>87</v>
      </c>
      <c r="C4" t="s">
        <v>88</v>
      </c>
      <c r="D4" t="s">
        <v>89</v>
      </c>
      <c r="E4" t="s">
        <v>90</v>
      </c>
    </row>
    <row r="5" spans="1:5">
      <c r="A5" t="s">
        <v>91</v>
      </c>
      <c r="B5">
        <v>-2510760.1679547098</v>
      </c>
      <c r="C5">
        <v>2429915.1581738298</v>
      </c>
      <c r="D5">
        <v>-1.0332707129748699</v>
      </c>
      <c r="E5">
        <v>0.30372322956097703</v>
      </c>
    </row>
    <row r="6" spans="1:5">
      <c r="A6" t="s">
        <v>43</v>
      </c>
      <c r="B6">
        <v>4356.2172625539997</v>
      </c>
      <c r="C6">
        <v>330.712380714267</v>
      </c>
      <c r="D6">
        <v>13.172223105604701</v>
      </c>
      <c r="E6" s="18">
        <v>1.9792005787602899E-24</v>
      </c>
    </row>
    <row r="7" spans="1:5">
      <c r="A7" t="s">
        <v>44</v>
      </c>
      <c r="B7">
        <v>23745.397877111802</v>
      </c>
      <c r="C7">
        <v>1248.9208074046901</v>
      </c>
      <c r="D7">
        <v>19.012733022244799</v>
      </c>
      <c r="E7" s="18">
        <v>1.0524878837924701E-36</v>
      </c>
    </row>
    <row r="8" spans="1:5">
      <c r="A8" t="s">
        <v>76</v>
      </c>
      <c r="B8">
        <v>40939.977054351097</v>
      </c>
      <c r="C8">
        <v>13411.9318865063</v>
      </c>
      <c r="D8">
        <v>3.0525040986482099</v>
      </c>
      <c r="E8">
        <v>2.8402528477191802E-3</v>
      </c>
    </row>
    <row r="9" spans="1:5">
      <c r="A9" t="s">
        <v>77</v>
      </c>
      <c r="B9">
        <v>-20492.655304657099</v>
      </c>
      <c r="C9">
        <v>2555.0549791743902</v>
      </c>
      <c r="D9">
        <v>-8.0204361439137308</v>
      </c>
      <c r="E9" s="18">
        <v>1.1786625704260501E-12</v>
      </c>
    </row>
    <row r="10" spans="1:5">
      <c r="A10" t="s">
        <v>47</v>
      </c>
      <c r="B10" s="155">
        <v>419453.43275174301</v>
      </c>
      <c r="C10">
        <v>151147.50489913099</v>
      </c>
      <c r="D10">
        <v>2.7751264106653002</v>
      </c>
      <c r="E10">
        <v>6.4767435442822296E-3</v>
      </c>
    </row>
    <row r="11" spans="1:5">
      <c r="A11" t="s">
        <v>53</v>
      </c>
      <c r="B11" s="155">
        <v>697390.17362184904</v>
      </c>
      <c r="C11">
        <v>144178.723135393</v>
      </c>
      <c r="D11">
        <v>4.8369839769419603</v>
      </c>
      <c r="E11" s="18">
        <v>4.2773448451952399E-6</v>
      </c>
    </row>
    <row r="12" spans="1:5">
      <c r="A12" t="s">
        <v>83</v>
      </c>
      <c r="B12" s="155">
        <v>-782960.312499544</v>
      </c>
      <c r="C12">
        <v>126670.225438016</v>
      </c>
      <c r="D12">
        <v>-6.1810919637359598</v>
      </c>
      <c r="E12" s="18">
        <v>1.08117087824688E-8</v>
      </c>
    </row>
    <row r="13" spans="1:5">
      <c r="A13" t="s">
        <v>92</v>
      </c>
      <c r="B13">
        <v>459217.91543800599</v>
      </c>
      <c r="C13">
        <v>47031.272666067503</v>
      </c>
      <c r="D13">
        <v>9.7640971508161396</v>
      </c>
      <c r="E13" s="18">
        <v>1.25290123192318E-16</v>
      </c>
    </row>
    <row r="15" spans="1:5">
      <c r="A15" t="s">
        <v>93</v>
      </c>
      <c r="B15">
        <v>18611507.131879698</v>
      </c>
      <c r="C15" t="s">
        <v>94</v>
      </c>
      <c r="D15">
        <v>1585717.84174868</v>
      </c>
    </row>
    <row r="16" spans="1:5">
      <c r="A16" t="s">
        <v>95</v>
      </c>
      <c r="B16">
        <v>16317738199582</v>
      </c>
      <c r="C16" t="s">
        <v>96</v>
      </c>
      <c r="D16">
        <v>383414.46301187499</v>
      </c>
    </row>
    <row r="17" spans="1:4">
      <c r="A17" t="s">
        <v>97</v>
      </c>
      <c r="B17">
        <v>0.945466775952439</v>
      </c>
      <c r="C17" t="s">
        <v>98</v>
      </c>
      <c r="D17">
        <v>0.94153645349856097</v>
      </c>
    </row>
    <row r="18" spans="1:4">
      <c r="A18" t="s">
        <v>114</v>
      </c>
      <c r="B18">
        <v>240.55705022865899</v>
      </c>
      <c r="C18" t="s">
        <v>100</v>
      </c>
      <c r="D18" s="18">
        <v>2.05913864843948E-66</v>
      </c>
    </row>
    <row r="19" spans="1:4">
      <c r="A19" t="s">
        <v>101</v>
      </c>
      <c r="B19">
        <v>-1708.4195513265199</v>
      </c>
      <c r="C19" t="s">
        <v>102</v>
      </c>
      <c r="D19">
        <v>3434.8391026530398</v>
      </c>
    </row>
    <row r="20" spans="1:4">
      <c r="A20" t="s">
        <v>103</v>
      </c>
      <c r="B20">
        <v>3459.9265283380801</v>
      </c>
      <c r="C20" t="s">
        <v>104</v>
      </c>
      <c r="D20">
        <v>3445.0272219887202</v>
      </c>
    </row>
    <row r="21" spans="1:4">
      <c r="A21" t="s">
        <v>105</v>
      </c>
      <c r="B21">
        <v>0.43236214754579499</v>
      </c>
      <c r="C21" t="s">
        <v>106</v>
      </c>
      <c r="D21">
        <v>1.1211539103266099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B135"/>
  <sheetViews>
    <sheetView topLeftCell="A103" workbookViewId="0">
      <selection activeCell="Z122" sqref="Z122:AD137"/>
    </sheetView>
  </sheetViews>
  <sheetFormatPr defaultRowHeight="12.75"/>
  <cols>
    <col min="1" max="1" width="10.33203125" bestFit="1" customWidth="1"/>
    <col min="2" max="2" width="10.33203125" style="186" customWidth="1"/>
    <col min="3" max="3" width="5" bestFit="1" customWidth="1"/>
    <col min="4" max="4" width="17.1640625" bestFit="1" customWidth="1"/>
    <col min="5" max="6" width="6" bestFit="1" customWidth="1"/>
    <col min="7" max="7" width="8.83203125" customWidth="1"/>
    <col min="8" max="8" width="5.33203125" bestFit="1" customWidth="1"/>
    <col min="9" max="9" width="4.1640625" bestFit="1" customWidth="1"/>
    <col min="10" max="10" width="4.33203125" bestFit="1" customWidth="1"/>
    <col min="11" max="11" width="7.83203125" bestFit="1" customWidth="1"/>
    <col min="12" max="12" width="10.1640625" bestFit="1" customWidth="1"/>
    <col min="14" max="14" width="12.6640625" bestFit="1" customWidth="1"/>
    <col min="15" max="17" width="12" bestFit="1" customWidth="1"/>
    <col min="18" max="18" width="12.6640625" bestFit="1" customWidth="1"/>
    <col min="19" max="20" width="12" bestFit="1" customWidth="1"/>
    <col min="21" max="21" width="12.6640625" bestFit="1" customWidth="1"/>
    <col min="22" max="23" width="12" bestFit="1" customWidth="1"/>
    <col min="24" max="24" width="10.5" bestFit="1" customWidth="1"/>
    <col min="26" max="27" width="15.1640625" bestFit="1" customWidth="1"/>
    <col min="28" max="28" width="12.5" bestFit="1" customWidth="1"/>
  </cols>
  <sheetData>
    <row r="1" spans="1:24">
      <c r="A1" t="s">
        <v>123</v>
      </c>
      <c r="C1" t="s">
        <v>124</v>
      </c>
      <c r="D1" t="str">
        <f>'Monthly Data'!J1</f>
        <v>GS_lt_50_No_CDM</v>
      </c>
      <c r="E1" t="str">
        <f>'Monthly Data'!BH1</f>
        <v>HDD</v>
      </c>
      <c r="F1" t="str">
        <f>'Monthly Data'!BI1</f>
        <v>CDD</v>
      </c>
      <c r="G1" s="124" t="str">
        <f>'Monthly Data'!BK1</f>
        <v>Windsor_Empl</v>
      </c>
      <c r="H1" t="str">
        <f>'Monthly Data'!BM1</f>
        <v>Trend</v>
      </c>
      <c r="I1" t="str">
        <f>'Monthly Data'!BP1</f>
        <v>Mar</v>
      </c>
      <c r="J1" t="str">
        <f>'Monthly Data'!BV1</f>
        <v>Sept</v>
      </c>
      <c r="K1" t="str">
        <f>'Monthly Data'!CB1</f>
        <v>Shoulder</v>
      </c>
      <c r="L1" t="str">
        <f>'Monthly Data'!CC1</f>
        <v>Month Days</v>
      </c>
      <c r="N1" t="s">
        <v>91</v>
      </c>
      <c r="O1" t="str">
        <f t="shared" ref="O1:V1" si="0">E1</f>
        <v>HDD</v>
      </c>
      <c r="P1" t="str">
        <f t="shared" si="0"/>
        <v>CDD</v>
      </c>
      <c r="Q1" t="str">
        <f t="shared" si="0"/>
        <v>Windsor_Empl</v>
      </c>
      <c r="R1" t="str">
        <f t="shared" si="0"/>
        <v>Trend</v>
      </c>
      <c r="S1" t="str">
        <f t="shared" si="0"/>
        <v>Mar</v>
      </c>
      <c r="T1" t="str">
        <f t="shared" si="0"/>
        <v>Sept</v>
      </c>
      <c r="U1" t="str">
        <f t="shared" si="0"/>
        <v>Shoulder</v>
      </c>
      <c r="V1" t="str">
        <f t="shared" si="0"/>
        <v>Month Days</v>
      </c>
      <c r="W1" t="s">
        <v>125</v>
      </c>
      <c r="X1" t="s">
        <v>126</v>
      </c>
    </row>
    <row r="2" spans="1:24">
      <c r="A2" s="26">
        <f>'Monthly Data'!A2</f>
        <v>39814</v>
      </c>
      <c r="B2" s="154">
        <f t="shared" ref="B2:B65" si="1">MONTH(A2)</f>
        <v>1</v>
      </c>
      <c r="C2">
        <f t="shared" ref="C2:C42" si="2">YEAR(A2)</f>
        <v>2009</v>
      </c>
      <c r="D2">
        <f ca="1">'Monthly Data'!J2</f>
        <v>20997000.576903876</v>
      </c>
      <c r="E2">
        <f>'Monthly Data'!BH2</f>
        <v>768.79999999999973</v>
      </c>
      <c r="F2">
        <f>'Monthly Data'!BI2</f>
        <v>0</v>
      </c>
      <c r="G2" s="124">
        <f>'Monthly Data'!BK2</f>
        <v>151.5</v>
      </c>
      <c r="H2">
        <f>'Monthly Data'!BM2</f>
        <v>1</v>
      </c>
      <c r="I2">
        <f>'Monthly Data'!BP2</f>
        <v>0</v>
      </c>
      <c r="J2">
        <f>'Monthly Data'!BV2</f>
        <v>0</v>
      </c>
      <c r="K2">
        <f>'Monthly Data'!CB2</f>
        <v>0</v>
      </c>
      <c r="L2">
        <f>'Monthly Data'!CC2</f>
        <v>31</v>
      </c>
      <c r="N2">
        <f>'GS &lt; 50 OLS Model'!$B$5</f>
        <v>-2510760.1679547098</v>
      </c>
      <c r="O2">
        <f>'GS &lt; 50 OLS Model'!$B$6*E2</f>
        <v>3349059.8314515138</v>
      </c>
      <c r="P2">
        <f>'GS &lt; 50 OLS Model'!$B$7*F2</f>
        <v>0</v>
      </c>
      <c r="Q2">
        <f>'GS &lt; 50 OLS Model'!$B$8*G2</f>
        <v>6202406.5237341914</v>
      </c>
      <c r="R2">
        <f>'GS &lt; 50 OLS Model'!$B$9*H2</f>
        <v>-20492.655304657099</v>
      </c>
      <c r="S2">
        <f>'GS &lt; 50 OLS Model'!$B$10*I2</f>
        <v>0</v>
      </c>
      <c r="T2">
        <f>'GS &lt; 50 OLS Model'!$B$11*J2</f>
        <v>0</v>
      </c>
      <c r="U2">
        <f>'GS &lt; 50 OLS Model'!$B$12*K2</f>
        <v>0</v>
      </c>
      <c r="V2">
        <f>'GS &lt; 50 OLS Model'!$B$13*L2</f>
        <v>14235755.378578186</v>
      </c>
      <c r="W2">
        <f t="shared" ref="W2:W42" si="3">SUM(N2:V2)</f>
        <v>21255968.910504524</v>
      </c>
      <c r="X2" s="24">
        <f t="shared" ref="X2:X42" ca="1" si="4">ABS(W2-D2)/D2</f>
        <v>1.2333587011732801E-2</v>
      </c>
    </row>
    <row r="3" spans="1:24">
      <c r="A3" s="26">
        <f>'Monthly Data'!A3</f>
        <v>39845</v>
      </c>
      <c r="B3" s="154">
        <f t="shared" si="1"/>
        <v>2</v>
      </c>
      <c r="C3">
        <f t="shared" si="2"/>
        <v>2009</v>
      </c>
      <c r="D3">
        <f ca="1">'Monthly Data'!J3</f>
        <v>18534901.320222881</v>
      </c>
      <c r="E3">
        <f>'Monthly Data'!BH3</f>
        <v>540</v>
      </c>
      <c r="F3">
        <f>'Monthly Data'!BI3</f>
        <v>0</v>
      </c>
      <c r="G3" s="124">
        <f>'Monthly Data'!BK3</f>
        <v>149.69999999999999</v>
      </c>
      <c r="H3">
        <f>'Monthly Data'!BM3</f>
        <v>2</v>
      </c>
      <c r="I3">
        <f>'Monthly Data'!BP3</f>
        <v>0</v>
      </c>
      <c r="J3">
        <f>'Monthly Data'!BV3</f>
        <v>0</v>
      </c>
      <c r="K3">
        <f>'Monthly Data'!CB3</f>
        <v>0</v>
      </c>
      <c r="L3">
        <f>'Monthly Data'!CC3</f>
        <v>28</v>
      </c>
      <c r="N3">
        <f>'GS &lt; 50 OLS Model'!$B$5</f>
        <v>-2510760.1679547098</v>
      </c>
      <c r="O3">
        <f>'GS &lt; 50 OLS Model'!$B$6*E3</f>
        <v>2352357.3217791598</v>
      </c>
      <c r="P3">
        <f>'GS &lt; 50 OLS Model'!$B$7*F3</f>
        <v>0</v>
      </c>
      <c r="Q3">
        <f>'GS &lt; 50 OLS Model'!$B$8*G3</f>
        <v>6128714.5650363583</v>
      </c>
      <c r="R3">
        <f>'GS &lt; 50 OLS Model'!$B$9*H3</f>
        <v>-40985.310609314198</v>
      </c>
      <c r="S3">
        <f>'GS &lt; 50 OLS Model'!$B$10*I3</f>
        <v>0</v>
      </c>
      <c r="T3">
        <f>'GS &lt; 50 OLS Model'!$B$11*J3</f>
        <v>0</v>
      </c>
      <c r="U3">
        <f>'GS &lt; 50 OLS Model'!$B$12*K3</f>
        <v>0</v>
      </c>
      <c r="V3">
        <f>'GS &lt; 50 OLS Model'!$B$13*L3</f>
        <v>12858101.632264167</v>
      </c>
      <c r="W3">
        <f t="shared" si="3"/>
        <v>18787428.040515661</v>
      </c>
      <c r="X3" s="24">
        <f t="shared" ca="1" si="4"/>
        <v>1.3624389789292061E-2</v>
      </c>
    </row>
    <row r="4" spans="1:24">
      <c r="A4" s="26">
        <f>'Monthly Data'!A4</f>
        <v>39873</v>
      </c>
      <c r="B4" s="154">
        <f t="shared" si="1"/>
        <v>3</v>
      </c>
      <c r="C4">
        <f t="shared" si="2"/>
        <v>2009</v>
      </c>
      <c r="D4">
        <f ca="1">'Monthly Data'!J4</f>
        <v>18954018.30274988</v>
      </c>
      <c r="E4">
        <f>'Monthly Data'!BH4</f>
        <v>456.7999999999999</v>
      </c>
      <c r="F4">
        <f>'Monthly Data'!BI4</f>
        <v>0</v>
      </c>
      <c r="G4" s="124">
        <f>'Monthly Data'!BK4</f>
        <v>147.19999999999999</v>
      </c>
      <c r="H4">
        <f>'Monthly Data'!BM4</f>
        <v>3</v>
      </c>
      <c r="I4">
        <f>'Monthly Data'!BP4</f>
        <v>1</v>
      </c>
      <c r="J4">
        <f>'Monthly Data'!BV4</f>
        <v>0</v>
      </c>
      <c r="K4">
        <f>'Monthly Data'!CB4</f>
        <v>1</v>
      </c>
      <c r="L4">
        <f>'Monthly Data'!CC4</f>
        <v>31</v>
      </c>
      <c r="N4">
        <f>'GS &lt; 50 OLS Model'!$B$5</f>
        <v>-2510760.1679547098</v>
      </c>
      <c r="O4">
        <f>'GS &lt; 50 OLS Model'!$B$6*E4</f>
        <v>1989920.0455346666</v>
      </c>
      <c r="P4">
        <f>'GS &lt; 50 OLS Model'!$B$7*F4</f>
        <v>0</v>
      </c>
      <c r="Q4">
        <f>'GS &lt; 50 OLS Model'!$B$8*G4</f>
        <v>6026364.6224004813</v>
      </c>
      <c r="R4">
        <f>'GS &lt; 50 OLS Model'!$B$9*H4</f>
        <v>-61477.965913971297</v>
      </c>
      <c r="S4">
        <f>'GS &lt; 50 OLS Model'!$B$10*I4</f>
        <v>419453.43275174301</v>
      </c>
      <c r="T4">
        <f>'GS &lt; 50 OLS Model'!$B$11*J4</f>
        <v>0</v>
      </c>
      <c r="U4">
        <f>'GS &lt; 50 OLS Model'!$B$12*K4</f>
        <v>-782960.312499544</v>
      </c>
      <c r="V4">
        <f>'GS &lt; 50 OLS Model'!$B$13*L4</f>
        <v>14235755.378578186</v>
      </c>
      <c r="W4">
        <f t="shared" si="3"/>
        <v>19316295.032896854</v>
      </c>
      <c r="X4" s="24">
        <f t="shared" ca="1" si="4"/>
        <v>1.9113452586168214E-2</v>
      </c>
    </row>
    <row r="5" spans="1:24">
      <c r="A5" s="26">
        <f>'Monthly Data'!A5</f>
        <v>39904</v>
      </c>
      <c r="B5" s="154">
        <f t="shared" si="1"/>
        <v>4</v>
      </c>
      <c r="C5">
        <f t="shared" si="2"/>
        <v>2009</v>
      </c>
      <c r="D5">
        <f ca="1">'Monthly Data'!J5</f>
        <v>16925516.165353876</v>
      </c>
      <c r="E5">
        <f>'Monthly Data'!BH5</f>
        <v>263.29999999999995</v>
      </c>
      <c r="F5">
        <f>'Monthly Data'!BI5</f>
        <v>10.399999999999999</v>
      </c>
      <c r="G5" s="124">
        <f>'Monthly Data'!BK5</f>
        <v>147.4</v>
      </c>
      <c r="H5">
        <f>'Monthly Data'!BM5</f>
        <v>4</v>
      </c>
      <c r="I5">
        <f>'Monthly Data'!BP5</f>
        <v>0</v>
      </c>
      <c r="J5">
        <f>'Monthly Data'!BV5</f>
        <v>0</v>
      </c>
      <c r="K5">
        <f>'Monthly Data'!CB5</f>
        <v>1</v>
      </c>
      <c r="L5">
        <f>'Monthly Data'!CC5</f>
        <v>30</v>
      </c>
      <c r="N5">
        <f>'GS &lt; 50 OLS Model'!$B$5</f>
        <v>-2510760.1679547098</v>
      </c>
      <c r="O5">
        <f>'GS &lt; 50 OLS Model'!$B$6*E5</f>
        <v>1146992.005230468</v>
      </c>
      <c r="P5">
        <f>'GS &lt; 50 OLS Model'!$B$7*F5</f>
        <v>246952.13792196271</v>
      </c>
      <c r="Q5">
        <f>'GS &lt; 50 OLS Model'!$B$8*G5</f>
        <v>6034552.617811352</v>
      </c>
      <c r="R5">
        <f>'GS &lt; 50 OLS Model'!$B$9*H5</f>
        <v>-81970.621218628396</v>
      </c>
      <c r="S5">
        <f>'GS &lt; 50 OLS Model'!$B$10*I5</f>
        <v>0</v>
      </c>
      <c r="T5">
        <f>'GS &lt; 50 OLS Model'!$B$11*J5</f>
        <v>0</v>
      </c>
      <c r="U5">
        <f>'GS &lt; 50 OLS Model'!$B$12*K5</f>
        <v>-782960.312499544</v>
      </c>
      <c r="V5">
        <f>'GS &lt; 50 OLS Model'!$B$13*L5</f>
        <v>13776537.46314018</v>
      </c>
      <c r="W5">
        <f t="shared" si="3"/>
        <v>17829343.122431081</v>
      </c>
      <c r="X5" s="24">
        <f t="shared" ca="1" si="4"/>
        <v>5.3400259599014017E-2</v>
      </c>
    </row>
    <row r="6" spans="1:24">
      <c r="A6" s="26">
        <f>'Monthly Data'!A6</f>
        <v>39934</v>
      </c>
      <c r="B6" s="154">
        <f t="shared" si="1"/>
        <v>5</v>
      </c>
      <c r="C6">
        <f t="shared" si="2"/>
        <v>2009</v>
      </c>
      <c r="D6">
        <f ca="1">'Monthly Data'!J6</f>
        <v>17278203.842076879</v>
      </c>
      <c r="E6">
        <f>'Monthly Data'!BH6</f>
        <v>83.40000000000002</v>
      </c>
      <c r="F6">
        <f>'Monthly Data'!BI6</f>
        <v>12.899999999999999</v>
      </c>
      <c r="G6" s="124">
        <f>'Monthly Data'!BK6</f>
        <v>147</v>
      </c>
      <c r="H6">
        <f>'Monthly Data'!BM6</f>
        <v>5</v>
      </c>
      <c r="I6">
        <f>'Monthly Data'!BP6</f>
        <v>0</v>
      </c>
      <c r="J6">
        <f>'Monthly Data'!BV6</f>
        <v>0</v>
      </c>
      <c r="K6">
        <f>'Monthly Data'!CB6</f>
        <v>1</v>
      </c>
      <c r="L6">
        <f>'Monthly Data'!CC6</f>
        <v>31</v>
      </c>
      <c r="N6">
        <f>'GS &lt; 50 OLS Model'!$B$5</f>
        <v>-2510760.1679547098</v>
      </c>
      <c r="O6">
        <f>'GS &lt; 50 OLS Model'!$B$6*E6</f>
        <v>363308.51969700365</v>
      </c>
      <c r="P6">
        <f>'GS &lt; 50 OLS Model'!$B$7*F6</f>
        <v>306315.63261474221</v>
      </c>
      <c r="Q6">
        <f>'GS &lt; 50 OLS Model'!$B$8*G6</f>
        <v>6018176.6269896114</v>
      </c>
      <c r="R6">
        <f>'GS &lt; 50 OLS Model'!$B$9*H6</f>
        <v>-102463.27652328549</v>
      </c>
      <c r="S6">
        <f>'GS &lt; 50 OLS Model'!$B$10*I6</f>
        <v>0</v>
      </c>
      <c r="T6">
        <f>'GS &lt; 50 OLS Model'!$B$11*J6</f>
        <v>0</v>
      </c>
      <c r="U6">
        <f>'GS &lt; 50 OLS Model'!$B$12*K6</f>
        <v>-782960.312499544</v>
      </c>
      <c r="V6">
        <f>'GS &lt; 50 OLS Model'!$B$13*L6</f>
        <v>14235755.378578186</v>
      </c>
      <c r="W6">
        <f t="shared" si="3"/>
        <v>17527372.400902003</v>
      </c>
      <c r="X6" s="24">
        <f t="shared" ca="1" si="4"/>
        <v>1.4420975762442067E-2</v>
      </c>
    </row>
    <row r="7" spans="1:24">
      <c r="A7" s="26">
        <f>'Monthly Data'!A7</f>
        <v>39965</v>
      </c>
      <c r="B7" s="154">
        <f t="shared" si="1"/>
        <v>6</v>
      </c>
      <c r="C7">
        <f t="shared" si="2"/>
        <v>2009</v>
      </c>
      <c r="D7">
        <f ca="1">'Monthly Data'!J7</f>
        <v>18191454.642888878</v>
      </c>
      <c r="E7">
        <f>'Monthly Data'!BH7</f>
        <v>25.299999999999997</v>
      </c>
      <c r="F7">
        <f>'Monthly Data'!BI7</f>
        <v>79.399999999999991</v>
      </c>
      <c r="G7" s="124">
        <f>'Monthly Data'!BK7</f>
        <v>146.4</v>
      </c>
      <c r="H7">
        <f>'Monthly Data'!BM7</f>
        <v>6</v>
      </c>
      <c r="I7">
        <f>'Monthly Data'!BP7</f>
        <v>0</v>
      </c>
      <c r="J7">
        <f>'Monthly Data'!BV7</f>
        <v>0</v>
      </c>
      <c r="K7">
        <f>'Monthly Data'!CB7</f>
        <v>0</v>
      </c>
      <c r="L7">
        <f>'Monthly Data'!CC7</f>
        <v>30</v>
      </c>
      <c r="N7">
        <f>'GS &lt; 50 OLS Model'!$B$5</f>
        <v>-2510760.1679547098</v>
      </c>
      <c r="O7">
        <f>'GS &lt; 50 OLS Model'!$B$6*E7</f>
        <v>110212.29674261618</v>
      </c>
      <c r="P7">
        <f>'GS &lt; 50 OLS Model'!$B$7*F7</f>
        <v>1885384.591442677</v>
      </c>
      <c r="Q7">
        <f>'GS &lt; 50 OLS Model'!$B$8*G7</f>
        <v>5993612.640757001</v>
      </c>
      <c r="R7">
        <f>'GS &lt; 50 OLS Model'!$B$9*H7</f>
        <v>-122955.93182794259</v>
      </c>
      <c r="S7">
        <f>'GS &lt; 50 OLS Model'!$B$10*I7</f>
        <v>0</v>
      </c>
      <c r="T7">
        <f>'GS &lt; 50 OLS Model'!$B$11*J7</f>
        <v>0</v>
      </c>
      <c r="U7">
        <f>'GS &lt; 50 OLS Model'!$B$12*K7</f>
        <v>0</v>
      </c>
      <c r="V7">
        <f>'GS &lt; 50 OLS Model'!$B$13*L7</f>
        <v>13776537.46314018</v>
      </c>
      <c r="W7">
        <f t="shared" si="3"/>
        <v>19132030.892299823</v>
      </c>
      <c r="X7" s="24">
        <f t="shared" ca="1" si="4"/>
        <v>5.1704290166736139E-2</v>
      </c>
    </row>
    <row r="8" spans="1:24">
      <c r="A8" s="26">
        <f>'Monthly Data'!A8</f>
        <v>39995</v>
      </c>
      <c r="B8" s="154">
        <f t="shared" si="1"/>
        <v>7</v>
      </c>
      <c r="C8">
        <f t="shared" si="2"/>
        <v>2009</v>
      </c>
      <c r="D8">
        <f ca="1">'Monthly Data'!J8</f>
        <v>20105262.722413879</v>
      </c>
      <c r="E8">
        <f>'Monthly Data'!BH8</f>
        <v>0.5</v>
      </c>
      <c r="F8">
        <f>'Monthly Data'!BI8</f>
        <v>100.19999999999999</v>
      </c>
      <c r="G8" s="124">
        <f>'Monthly Data'!BK8</f>
        <v>145.19999999999999</v>
      </c>
      <c r="H8">
        <f>'Monthly Data'!BM8</f>
        <v>7</v>
      </c>
      <c r="I8">
        <f>'Monthly Data'!BP8</f>
        <v>0</v>
      </c>
      <c r="J8">
        <f>'Monthly Data'!BV8</f>
        <v>0</v>
      </c>
      <c r="K8">
        <f>'Monthly Data'!CB8</f>
        <v>0</v>
      </c>
      <c r="L8">
        <f>'Monthly Data'!CC8</f>
        <v>31</v>
      </c>
      <c r="N8">
        <f>'GS &lt; 50 OLS Model'!$B$5</f>
        <v>-2510760.1679547098</v>
      </c>
      <c r="O8">
        <f>'GS &lt; 50 OLS Model'!$B$6*E8</f>
        <v>2178.1086312769999</v>
      </c>
      <c r="P8">
        <f>'GS &lt; 50 OLS Model'!$B$7*F8</f>
        <v>2379288.8672866025</v>
      </c>
      <c r="Q8">
        <f>'GS &lt; 50 OLS Model'!$B$8*G8</f>
        <v>5944484.6682917792</v>
      </c>
      <c r="R8">
        <f>'GS &lt; 50 OLS Model'!$B$9*H8</f>
        <v>-143448.5871325997</v>
      </c>
      <c r="S8">
        <f>'GS &lt; 50 OLS Model'!$B$10*I8</f>
        <v>0</v>
      </c>
      <c r="T8">
        <f>'GS &lt; 50 OLS Model'!$B$11*J8</f>
        <v>0</v>
      </c>
      <c r="U8">
        <f>'GS &lt; 50 OLS Model'!$B$12*K8</f>
        <v>0</v>
      </c>
      <c r="V8">
        <f>'GS &lt; 50 OLS Model'!$B$13*L8</f>
        <v>14235755.378578186</v>
      </c>
      <c r="W8">
        <f t="shared" si="3"/>
        <v>19907498.267700534</v>
      </c>
      <c r="X8" s="24">
        <f t="shared" ca="1" si="4"/>
        <v>9.8364521490620221E-3</v>
      </c>
    </row>
    <row r="9" spans="1:24">
      <c r="A9" s="26">
        <f>'Monthly Data'!A9</f>
        <v>40026</v>
      </c>
      <c r="B9" s="154">
        <f t="shared" si="1"/>
        <v>8</v>
      </c>
      <c r="C9">
        <f t="shared" si="2"/>
        <v>2009</v>
      </c>
      <c r="D9">
        <f ca="1">'Monthly Data'!J9</f>
        <v>20523724.411321878</v>
      </c>
      <c r="E9">
        <f>'Monthly Data'!BH9</f>
        <v>5.9</v>
      </c>
      <c r="F9">
        <f>'Monthly Data'!BI9</f>
        <v>133.4</v>
      </c>
      <c r="G9" s="124">
        <f>'Monthly Data'!BK9</f>
        <v>145.30000000000001</v>
      </c>
      <c r="H9">
        <f>'Monthly Data'!BM9</f>
        <v>8</v>
      </c>
      <c r="I9">
        <f>'Monthly Data'!BP9</f>
        <v>0</v>
      </c>
      <c r="J9">
        <f>'Monthly Data'!BV9</f>
        <v>0</v>
      </c>
      <c r="K9">
        <f>'Monthly Data'!CB9</f>
        <v>0</v>
      </c>
      <c r="L9">
        <f>'Monthly Data'!CC9</f>
        <v>31</v>
      </c>
      <c r="N9">
        <f>'GS &lt; 50 OLS Model'!$B$5</f>
        <v>-2510760.1679547098</v>
      </c>
      <c r="O9">
        <f>'GS &lt; 50 OLS Model'!$B$6*E9</f>
        <v>25701.681849068598</v>
      </c>
      <c r="P9">
        <f>'GS &lt; 50 OLS Model'!$B$7*F9</f>
        <v>3167636.0768067143</v>
      </c>
      <c r="Q9">
        <f>'GS &lt; 50 OLS Model'!$B$8*G9</f>
        <v>5948578.6659972146</v>
      </c>
      <c r="R9">
        <f>'GS &lt; 50 OLS Model'!$B$9*H9</f>
        <v>-163941.24243725679</v>
      </c>
      <c r="S9">
        <f>'GS &lt; 50 OLS Model'!$B$10*I9</f>
        <v>0</v>
      </c>
      <c r="T9">
        <f>'GS &lt; 50 OLS Model'!$B$11*J9</f>
        <v>0</v>
      </c>
      <c r="U9">
        <f>'GS &lt; 50 OLS Model'!$B$12*K9</f>
        <v>0</v>
      </c>
      <c r="V9">
        <f>'GS &lt; 50 OLS Model'!$B$13*L9</f>
        <v>14235755.378578186</v>
      </c>
      <c r="W9">
        <f t="shared" si="3"/>
        <v>20702970.392839216</v>
      </c>
      <c r="X9" s="24">
        <f t="shared" ca="1" si="4"/>
        <v>8.7335991228987917E-3</v>
      </c>
    </row>
    <row r="10" spans="1:24">
      <c r="A10" s="26">
        <f>'Monthly Data'!A10</f>
        <v>40057</v>
      </c>
      <c r="B10" s="154">
        <f t="shared" si="1"/>
        <v>9</v>
      </c>
      <c r="C10">
        <f t="shared" si="2"/>
        <v>2009</v>
      </c>
      <c r="D10">
        <f ca="1">'Monthly Data'!J10</f>
        <v>18157087.066119879</v>
      </c>
      <c r="E10">
        <f>'Monthly Data'!BH10</f>
        <v>26.2</v>
      </c>
      <c r="F10">
        <f>'Monthly Data'!BI10</f>
        <v>54.699999999999989</v>
      </c>
      <c r="G10" s="124">
        <f>'Monthly Data'!BK10</f>
        <v>145.6</v>
      </c>
      <c r="H10">
        <f>'Monthly Data'!BM10</f>
        <v>9</v>
      </c>
      <c r="I10">
        <f>'Monthly Data'!BP10</f>
        <v>0</v>
      </c>
      <c r="J10">
        <f>'Monthly Data'!BV10</f>
        <v>1</v>
      </c>
      <c r="K10">
        <f>'Monthly Data'!CB10</f>
        <v>1</v>
      </c>
      <c r="L10">
        <f>'Monthly Data'!CC10</f>
        <v>30</v>
      </c>
      <c r="N10">
        <f>'GS &lt; 50 OLS Model'!$B$5</f>
        <v>-2510760.1679547098</v>
      </c>
      <c r="O10">
        <f>'GS &lt; 50 OLS Model'!$B$6*E10</f>
        <v>114132.89227891479</v>
      </c>
      <c r="P10">
        <f>'GS &lt; 50 OLS Model'!$B$7*F10</f>
        <v>1298873.2638780153</v>
      </c>
      <c r="Q10">
        <f>'GS &lt; 50 OLS Model'!$B$8*G10</f>
        <v>5960860.6591135198</v>
      </c>
      <c r="R10">
        <f>'GS &lt; 50 OLS Model'!$B$9*H10</f>
        <v>-184433.89774191388</v>
      </c>
      <c r="S10">
        <f>'GS &lt; 50 OLS Model'!$B$10*I10</f>
        <v>0</v>
      </c>
      <c r="T10">
        <f>'GS &lt; 50 OLS Model'!$B$11*J10</f>
        <v>697390.17362184904</v>
      </c>
      <c r="U10">
        <f>'GS &lt; 50 OLS Model'!$B$12*K10</f>
        <v>-782960.312499544</v>
      </c>
      <c r="V10">
        <f>'GS &lt; 50 OLS Model'!$B$13*L10</f>
        <v>13776537.46314018</v>
      </c>
      <c r="W10">
        <f t="shared" si="3"/>
        <v>18369640.073836312</v>
      </c>
      <c r="X10" s="24">
        <f t="shared" ca="1" si="4"/>
        <v>1.1706338519081311E-2</v>
      </c>
    </row>
    <row r="11" spans="1:24">
      <c r="A11" s="26">
        <f>'Monthly Data'!A11</f>
        <v>40087</v>
      </c>
      <c r="B11" s="154">
        <f t="shared" si="1"/>
        <v>10</v>
      </c>
      <c r="C11">
        <f t="shared" si="2"/>
        <v>2009</v>
      </c>
      <c r="D11">
        <f ca="1">'Monthly Data'!J11</f>
        <v>17337285.180696879</v>
      </c>
      <c r="E11">
        <f>'Monthly Data'!BH11</f>
        <v>230.79999999999995</v>
      </c>
      <c r="F11">
        <f>'Monthly Data'!BI11</f>
        <v>0</v>
      </c>
      <c r="G11" s="124">
        <f>'Monthly Data'!BK11</f>
        <v>146.30000000000001</v>
      </c>
      <c r="H11">
        <f>'Monthly Data'!BM11</f>
        <v>10</v>
      </c>
      <c r="I11">
        <f>'Monthly Data'!BP11</f>
        <v>0</v>
      </c>
      <c r="J11">
        <f>'Monthly Data'!BV11</f>
        <v>0</v>
      </c>
      <c r="K11">
        <f>'Monthly Data'!CB11</f>
        <v>1</v>
      </c>
      <c r="L11">
        <f>'Monthly Data'!CC11</f>
        <v>31</v>
      </c>
      <c r="N11">
        <f>'GS &lt; 50 OLS Model'!$B$5</f>
        <v>-2510760.1679547098</v>
      </c>
      <c r="O11">
        <f>'GS &lt; 50 OLS Model'!$B$6*E11</f>
        <v>1005414.944197463</v>
      </c>
      <c r="P11">
        <f>'GS &lt; 50 OLS Model'!$B$7*F11</f>
        <v>0</v>
      </c>
      <c r="Q11">
        <f>'GS &lt; 50 OLS Model'!$B$8*G11</f>
        <v>5989518.6430515656</v>
      </c>
      <c r="R11">
        <f>'GS &lt; 50 OLS Model'!$B$9*H11</f>
        <v>-204926.55304657097</v>
      </c>
      <c r="S11">
        <f>'GS &lt; 50 OLS Model'!$B$10*I11</f>
        <v>0</v>
      </c>
      <c r="T11">
        <f>'GS &lt; 50 OLS Model'!$B$11*J11</f>
        <v>0</v>
      </c>
      <c r="U11">
        <f>'GS &lt; 50 OLS Model'!$B$12*K11</f>
        <v>-782960.312499544</v>
      </c>
      <c r="V11">
        <f>'GS &lt; 50 OLS Model'!$B$13*L11</f>
        <v>14235755.378578186</v>
      </c>
      <c r="W11">
        <f t="shared" si="3"/>
        <v>17732041.932326388</v>
      </c>
      <c r="X11" s="24">
        <f t="shared" ca="1" si="4"/>
        <v>2.2769236793141429E-2</v>
      </c>
    </row>
    <row r="12" spans="1:24">
      <c r="A12" s="26">
        <f>'Monthly Data'!A12</f>
        <v>40118</v>
      </c>
      <c r="B12" s="154">
        <f t="shared" si="1"/>
        <v>11</v>
      </c>
      <c r="C12">
        <f t="shared" si="2"/>
        <v>2009</v>
      </c>
      <c r="D12">
        <f ca="1">'Monthly Data'!J12</f>
        <v>17481165.503934875</v>
      </c>
      <c r="E12">
        <f>'Monthly Data'!BH12</f>
        <v>305.49999999999989</v>
      </c>
      <c r="F12">
        <f>'Monthly Data'!BI12</f>
        <v>0</v>
      </c>
      <c r="G12" s="124">
        <f>'Monthly Data'!BK12</f>
        <v>146.4</v>
      </c>
      <c r="H12">
        <f>'Monthly Data'!BM12</f>
        <v>11</v>
      </c>
      <c r="I12">
        <f>'Monthly Data'!BP12</f>
        <v>0</v>
      </c>
      <c r="J12">
        <f>'Monthly Data'!BV12</f>
        <v>0</v>
      </c>
      <c r="K12">
        <f>'Monthly Data'!CB12</f>
        <v>1</v>
      </c>
      <c r="L12">
        <f>'Monthly Data'!CC12</f>
        <v>30</v>
      </c>
      <c r="N12">
        <f>'GS &lt; 50 OLS Model'!$B$5</f>
        <v>-2510760.1679547098</v>
      </c>
      <c r="O12">
        <f>'GS &lt; 50 OLS Model'!$B$6*E12</f>
        <v>1330824.3737102465</v>
      </c>
      <c r="P12">
        <f>'GS &lt; 50 OLS Model'!$B$7*F12</f>
        <v>0</v>
      </c>
      <c r="Q12">
        <f>'GS &lt; 50 OLS Model'!$B$8*G12</f>
        <v>5993612.640757001</v>
      </c>
      <c r="R12">
        <f>'GS &lt; 50 OLS Model'!$B$9*H12</f>
        <v>-225419.2083512281</v>
      </c>
      <c r="S12">
        <f>'GS &lt; 50 OLS Model'!$B$10*I12</f>
        <v>0</v>
      </c>
      <c r="T12">
        <f>'GS &lt; 50 OLS Model'!$B$11*J12</f>
        <v>0</v>
      </c>
      <c r="U12">
        <f>'GS &lt; 50 OLS Model'!$B$12*K12</f>
        <v>-782960.312499544</v>
      </c>
      <c r="V12">
        <f>'GS &lt; 50 OLS Model'!$B$13*L12</f>
        <v>13776537.46314018</v>
      </c>
      <c r="W12">
        <f t="shared" si="3"/>
        <v>17581834.788801946</v>
      </c>
      <c r="X12" s="24">
        <f t="shared" ca="1" si="4"/>
        <v>5.7587284351498609E-3</v>
      </c>
    </row>
    <row r="13" spans="1:24">
      <c r="A13" s="26">
        <f>'Monthly Data'!A13</f>
        <v>40148</v>
      </c>
      <c r="B13" s="154">
        <f t="shared" si="1"/>
        <v>12</v>
      </c>
      <c r="C13">
        <f t="shared" si="2"/>
        <v>2009</v>
      </c>
      <c r="D13">
        <f ca="1">'Monthly Data'!J13</f>
        <v>19459671.383054875</v>
      </c>
      <c r="E13">
        <f>'Monthly Data'!BH13</f>
        <v>582</v>
      </c>
      <c r="F13">
        <f>'Monthly Data'!BI13</f>
        <v>0</v>
      </c>
      <c r="G13" s="124">
        <f>'Monthly Data'!BK13</f>
        <v>147.1</v>
      </c>
      <c r="H13">
        <f>'Monthly Data'!BM13</f>
        <v>12</v>
      </c>
      <c r="I13">
        <f>'Monthly Data'!BP13</f>
        <v>0</v>
      </c>
      <c r="J13">
        <f>'Monthly Data'!BV13</f>
        <v>0</v>
      </c>
      <c r="K13">
        <f>'Monthly Data'!CB13</f>
        <v>0</v>
      </c>
      <c r="L13">
        <f>'Monthly Data'!CC13</f>
        <v>31</v>
      </c>
      <c r="N13">
        <f>'GS &lt; 50 OLS Model'!$B$5</f>
        <v>-2510760.1679547098</v>
      </c>
      <c r="O13">
        <f>'GS &lt; 50 OLS Model'!$B$6*E13</f>
        <v>2535318.446806428</v>
      </c>
      <c r="P13">
        <f>'GS &lt; 50 OLS Model'!$B$7*F13</f>
        <v>0</v>
      </c>
      <c r="Q13">
        <f>'GS &lt; 50 OLS Model'!$B$8*G13</f>
        <v>6022270.6246950459</v>
      </c>
      <c r="R13">
        <f>'GS &lt; 50 OLS Model'!$B$9*H13</f>
        <v>-245911.86365588519</v>
      </c>
      <c r="S13">
        <f>'GS &lt; 50 OLS Model'!$B$10*I13</f>
        <v>0</v>
      </c>
      <c r="T13">
        <f>'GS &lt; 50 OLS Model'!$B$11*J13</f>
        <v>0</v>
      </c>
      <c r="U13">
        <f>'GS &lt; 50 OLS Model'!$B$12*K13</f>
        <v>0</v>
      </c>
      <c r="V13">
        <f>'GS &lt; 50 OLS Model'!$B$13*L13</f>
        <v>14235755.378578186</v>
      </c>
      <c r="W13">
        <f t="shared" si="3"/>
        <v>20036672.418469064</v>
      </c>
      <c r="X13" s="24">
        <f t="shared" ca="1" si="4"/>
        <v>2.9651119181623543E-2</v>
      </c>
    </row>
    <row r="14" spans="1:24">
      <c r="A14" s="26">
        <f>'Monthly Data'!A14</f>
        <v>40179</v>
      </c>
      <c r="B14" s="154">
        <f t="shared" si="1"/>
        <v>1</v>
      </c>
      <c r="C14">
        <f t="shared" si="2"/>
        <v>2010</v>
      </c>
      <c r="D14">
        <f ca="1">'Monthly Data'!J14</f>
        <v>20364989.12032054</v>
      </c>
      <c r="E14">
        <f>'Monthly Data'!BH14</f>
        <v>663.29999999999984</v>
      </c>
      <c r="F14">
        <f>'Monthly Data'!BI14</f>
        <v>0</v>
      </c>
      <c r="G14" s="124">
        <f>'Monthly Data'!BK14</f>
        <v>146.9</v>
      </c>
      <c r="H14">
        <f>'Monthly Data'!BM14</f>
        <v>13</v>
      </c>
      <c r="I14">
        <f>'Monthly Data'!BP14</f>
        <v>0</v>
      </c>
      <c r="J14">
        <f>'Monthly Data'!BV14</f>
        <v>0</v>
      </c>
      <c r="K14">
        <f>'Monthly Data'!CB14</f>
        <v>0</v>
      </c>
      <c r="L14">
        <f>'Monthly Data'!CC14</f>
        <v>31</v>
      </c>
      <c r="N14">
        <f>'GS &lt; 50 OLS Model'!$B$5</f>
        <v>-2510760.1679547098</v>
      </c>
      <c r="O14">
        <f>'GS &lt; 50 OLS Model'!$B$6*E14</f>
        <v>2889478.9102520673</v>
      </c>
      <c r="P14">
        <f>'GS &lt; 50 OLS Model'!$B$7*F14</f>
        <v>0</v>
      </c>
      <c r="Q14">
        <f>'GS &lt; 50 OLS Model'!$B$8*G14</f>
        <v>6014082.629284176</v>
      </c>
      <c r="R14">
        <f>'GS &lt; 50 OLS Model'!$B$9*H14</f>
        <v>-266404.51896054228</v>
      </c>
      <c r="S14">
        <f>'GS &lt; 50 OLS Model'!$B$10*I14</f>
        <v>0</v>
      </c>
      <c r="T14">
        <f>'GS &lt; 50 OLS Model'!$B$11*J14</f>
        <v>0</v>
      </c>
      <c r="U14">
        <f>'GS &lt; 50 OLS Model'!$B$12*K14</f>
        <v>0</v>
      </c>
      <c r="V14">
        <f>'GS &lt; 50 OLS Model'!$B$13*L14</f>
        <v>14235755.378578186</v>
      </c>
      <c r="W14">
        <f t="shared" si="3"/>
        <v>20362152.231199179</v>
      </c>
      <c r="X14" s="24">
        <f t="shared" ca="1" si="4"/>
        <v>1.3930226550086294E-4</v>
      </c>
    </row>
    <row r="15" spans="1:24">
      <c r="A15" s="26">
        <f>'Monthly Data'!A15</f>
        <v>40210</v>
      </c>
      <c r="B15" s="154">
        <f t="shared" si="1"/>
        <v>2</v>
      </c>
      <c r="C15">
        <f t="shared" si="2"/>
        <v>2010</v>
      </c>
      <c r="D15">
        <f ca="1">'Monthly Data'!J15</f>
        <v>18205145.489051539</v>
      </c>
      <c r="E15">
        <f>'Monthly Data'!BH15</f>
        <v>557.29999999999995</v>
      </c>
      <c r="F15">
        <f>'Monthly Data'!BI15</f>
        <v>0</v>
      </c>
      <c r="G15" s="124">
        <f>'Monthly Data'!BK15</f>
        <v>147.6</v>
      </c>
      <c r="H15">
        <f>'Monthly Data'!BM15</f>
        <v>14</v>
      </c>
      <c r="I15">
        <f>'Monthly Data'!BP15</f>
        <v>0</v>
      </c>
      <c r="J15">
        <f>'Monthly Data'!BV15</f>
        <v>0</v>
      </c>
      <c r="K15">
        <f>'Monthly Data'!CB15</f>
        <v>0</v>
      </c>
      <c r="L15">
        <f>'Monthly Data'!CC15</f>
        <v>28</v>
      </c>
      <c r="N15">
        <f>'GS &lt; 50 OLS Model'!$B$5</f>
        <v>-2510760.1679547098</v>
      </c>
      <c r="O15">
        <f>'GS &lt; 50 OLS Model'!$B$6*E15</f>
        <v>2427719.8804213437</v>
      </c>
      <c r="P15">
        <f>'GS &lt; 50 OLS Model'!$B$7*F15</f>
        <v>0</v>
      </c>
      <c r="Q15">
        <f>'GS &lt; 50 OLS Model'!$B$8*G15</f>
        <v>6042740.6132222218</v>
      </c>
      <c r="R15">
        <f>'GS &lt; 50 OLS Model'!$B$9*H15</f>
        <v>-286897.1742651994</v>
      </c>
      <c r="S15">
        <f>'GS &lt; 50 OLS Model'!$B$10*I15</f>
        <v>0</v>
      </c>
      <c r="T15">
        <f>'GS &lt; 50 OLS Model'!$B$11*J15</f>
        <v>0</v>
      </c>
      <c r="U15">
        <f>'GS &lt; 50 OLS Model'!$B$12*K15</f>
        <v>0</v>
      </c>
      <c r="V15">
        <f>'GS &lt; 50 OLS Model'!$B$13*L15</f>
        <v>12858101.632264167</v>
      </c>
      <c r="W15">
        <f t="shared" si="3"/>
        <v>18530904.783687823</v>
      </c>
      <c r="X15" s="24">
        <f t="shared" ca="1" si="4"/>
        <v>1.7893803421246628E-2</v>
      </c>
    </row>
    <row r="16" spans="1:24">
      <c r="A16" s="26">
        <f>'Monthly Data'!A16</f>
        <v>40238</v>
      </c>
      <c r="B16" s="154">
        <f t="shared" si="1"/>
        <v>3</v>
      </c>
      <c r="C16">
        <f t="shared" si="2"/>
        <v>2010</v>
      </c>
      <c r="D16">
        <f ca="1">'Monthly Data'!J16</f>
        <v>18513709.375034541</v>
      </c>
      <c r="E16">
        <f>'Monthly Data'!BH16</f>
        <v>393.39999999999986</v>
      </c>
      <c r="F16">
        <f>'Monthly Data'!BI16</f>
        <v>0</v>
      </c>
      <c r="G16" s="124">
        <f>'Monthly Data'!BK16</f>
        <v>147.4</v>
      </c>
      <c r="H16">
        <f>'Monthly Data'!BM16</f>
        <v>15</v>
      </c>
      <c r="I16">
        <f>'Monthly Data'!BP16</f>
        <v>1</v>
      </c>
      <c r="J16">
        <f>'Monthly Data'!BV16</f>
        <v>0</v>
      </c>
      <c r="K16">
        <f>'Monthly Data'!CB16</f>
        <v>1</v>
      </c>
      <c r="L16">
        <f>'Monthly Data'!CC16</f>
        <v>31</v>
      </c>
      <c r="N16">
        <f>'GS &lt; 50 OLS Model'!$B$5</f>
        <v>-2510760.1679547098</v>
      </c>
      <c r="O16">
        <f>'GS &lt; 50 OLS Model'!$B$6*E16</f>
        <v>1713735.871088743</v>
      </c>
      <c r="P16">
        <f>'GS &lt; 50 OLS Model'!$B$7*F16</f>
        <v>0</v>
      </c>
      <c r="Q16">
        <f>'GS &lt; 50 OLS Model'!$B$8*G16</f>
        <v>6034552.617811352</v>
      </c>
      <c r="R16">
        <f>'GS &lt; 50 OLS Model'!$B$9*H16</f>
        <v>-307389.82956985646</v>
      </c>
      <c r="S16">
        <f>'GS &lt; 50 OLS Model'!$B$10*I16</f>
        <v>419453.43275174301</v>
      </c>
      <c r="T16">
        <f>'GS &lt; 50 OLS Model'!$B$11*J16</f>
        <v>0</v>
      </c>
      <c r="U16">
        <f>'GS &lt; 50 OLS Model'!$B$12*K16</f>
        <v>-782960.312499544</v>
      </c>
      <c r="V16">
        <f>'GS &lt; 50 OLS Model'!$B$13*L16</f>
        <v>14235755.378578186</v>
      </c>
      <c r="W16">
        <f t="shared" si="3"/>
        <v>18802386.990205914</v>
      </c>
      <c r="X16" s="24">
        <f t="shared" ca="1" si="4"/>
        <v>1.5592640530516825E-2</v>
      </c>
    </row>
    <row r="17" spans="1:24">
      <c r="A17" s="26">
        <f>'Monthly Data'!A17</f>
        <v>40269</v>
      </c>
      <c r="B17" s="154">
        <f t="shared" si="1"/>
        <v>4</v>
      </c>
      <c r="C17">
        <f t="shared" si="2"/>
        <v>2010</v>
      </c>
      <c r="D17">
        <f ca="1">'Monthly Data'!J17</f>
        <v>16824162.846801538</v>
      </c>
      <c r="E17">
        <f>'Monthly Data'!BH17</f>
        <v>174.9</v>
      </c>
      <c r="F17">
        <f>'Monthly Data'!BI17</f>
        <v>5</v>
      </c>
      <c r="G17" s="124">
        <f>'Monthly Data'!BK17</f>
        <v>149</v>
      </c>
      <c r="H17">
        <f>'Monthly Data'!BM17</f>
        <v>16</v>
      </c>
      <c r="I17">
        <f>'Monthly Data'!BP17</f>
        <v>0</v>
      </c>
      <c r="J17">
        <f>'Monthly Data'!BV17</f>
        <v>0</v>
      </c>
      <c r="K17">
        <f>'Monthly Data'!CB17</f>
        <v>1</v>
      </c>
      <c r="L17">
        <f>'Monthly Data'!CC17</f>
        <v>30</v>
      </c>
      <c r="N17">
        <f>'GS &lt; 50 OLS Model'!$B$5</f>
        <v>-2510760.1679547098</v>
      </c>
      <c r="O17">
        <f>'GS &lt; 50 OLS Model'!$B$6*E17</f>
        <v>761902.39922069455</v>
      </c>
      <c r="P17">
        <f>'GS &lt; 50 OLS Model'!$B$7*F17</f>
        <v>118726.98938555901</v>
      </c>
      <c r="Q17">
        <f>'GS &lt; 50 OLS Model'!$B$8*G17</f>
        <v>6100056.5810983134</v>
      </c>
      <c r="R17">
        <f>'GS &lt; 50 OLS Model'!$B$9*H17</f>
        <v>-327882.48487451358</v>
      </c>
      <c r="S17">
        <f>'GS &lt; 50 OLS Model'!$B$10*I17</f>
        <v>0</v>
      </c>
      <c r="T17">
        <f>'GS &lt; 50 OLS Model'!$B$11*J17</f>
        <v>0</v>
      </c>
      <c r="U17">
        <f>'GS &lt; 50 OLS Model'!$B$12*K17</f>
        <v>-782960.312499544</v>
      </c>
      <c r="V17">
        <f>'GS &lt; 50 OLS Model'!$B$13*L17</f>
        <v>13776537.46314018</v>
      </c>
      <c r="W17">
        <f t="shared" si="3"/>
        <v>17135620.467515979</v>
      </c>
      <c r="X17" s="24">
        <f t="shared" ca="1" si="4"/>
        <v>1.8512518188900706E-2</v>
      </c>
    </row>
    <row r="18" spans="1:24">
      <c r="A18" s="26">
        <f>'Monthly Data'!A18</f>
        <v>40299</v>
      </c>
      <c r="B18" s="154">
        <f t="shared" si="1"/>
        <v>5</v>
      </c>
      <c r="C18">
        <f t="shared" si="2"/>
        <v>2010</v>
      </c>
      <c r="D18">
        <f ca="1">'Monthly Data'!J18</f>
        <v>18405787.843161542</v>
      </c>
      <c r="E18">
        <f>'Monthly Data'!BH18</f>
        <v>84.300000000000011</v>
      </c>
      <c r="F18">
        <f>'Monthly Data'!BI18</f>
        <v>59.699999999999989</v>
      </c>
      <c r="G18" s="124">
        <f>'Monthly Data'!BK18</f>
        <v>149.6</v>
      </c>
      <c r="H18">
        <f>'Monthly Data'!BM18</f>
        <v>17</v>
      </c>
      <c r="I18">
        <f>'Monthly Data'!BP18</f>
        <v>0</v>
      </c>
      <c r="J18">
        <f>'Monthly Data'!BV18</f>
        <v>0</v>
      </c>
      <c r="K18">
        <f>'Monthly Data'!CB18</f>
        <v>1</v>
      </c>
      <c r="L18">
        <f>'Monthly Data'!CC18</f>
        <v>31</v>
      </c>
      <c r="N18">
        <f>'GS &lt; 50 OLS Model'!$B$5</f>
        <v>-2510760.1679547098</v>
      </c>
      <c r="O18">
        <f>'GS &lt; 50 OLS Model'!$B$6*E18</f>
        <v>367229.11523330223</v>
      </c>
      <c r="P18">
        <f>'GS &lt; 50 OLS Model'!$B$7*F18</f>
        <v>1417600.2532635743</v>
      </c>
      <c r="Q18">
        <f>'GS &lt; 50 OLS Model'!$B$8*G18</f>
        <v>6124620.5673309239</v>
      </c>
      <c r="R18">
        <f>'GS &lt; 50 OLS Model'!$B$9*H18</f>
        <v>-348375.1401791707</v>
      </c>
      <c r="S18">
        <f>'GS &lt; 50 OLS Model'!$B$10*I18</f>
        <v>0</v>
      </c>
      <c r="T18">
        <f>'GS &lt; 50 OLS Model'!$B$11*J18</f>
        <v>0</v>
      </c>
      <c r="U18">
        <f>'GS &lt; 50 OLS Model'!$B$12*K18</f>
        <v>-782960.312499544</v>
      </c>
      <c r="V18">
        <f>'GS &lt; 50 OLS Model'!$B$13*L18</f>
        <v>14235755.378578186</v>
      </c>
      <c r="W18">
        <f t="shared" si="3"/>
        <v>18503109.693772562</v>
      </c>
      <c r="X18" s="24">
        <f t="shared" ca="1" si="4"/>
        <v>5.2875677716332416E-3</v>
      </c>
    </row>
    <row r="19" spans="1:24">
      <c r="A19" s="26">
        <f>'Monthly Data'!A19</f>
        <v>40330</v>
      </c>
      <c r="B19" s="154">
        <f t="shared" si="1"/>
        <v>6</v>
      </c>
      <c r="C19">
        <f t="shared" si="2"/>
        <v>2010</v>
      </c>
      <c r="D19">
        <f ca="1">'Monthly Data'!J19</f>
        <v>20461415.969543539</v>
      </c>
      <c r="E19">
        <f>'Monthly Data'!BH19</f>
        <v>3.9000000000000004</v>
      </c>
      <c r="F19">
        <f>'Monthly Data'!BI19</f>
        <v>135.89999999999998</v>
      </c>
      <c r="G19" s="124">
        <f>'Monthly Data'!BK19</f>
        <v>150.5</v>
      </c>
      <c r="H19">
        <f>'Monthly Data'!BM19</f>
        <v>18</v>
      </c>
      <c r="I19">
        <f>'Monthly Data'!BP19</f>
        <v>0</v>
      </c>
      <c r="J19">
        <f>'Monthly Data'!BV19</f>
        <v>0</v>
      </c>
      <c r="K19">
        <f>'Monthly Data'!CB19</f>
        <v>0</v>
      </c>
      <c r="L19">
        <f>'Monthly Data'!CC19</f>
        <v>30</v>
      </c>
      <c r="N19">
        <f>'GS &lt; 50 OLS Model'!$B$5</f>
        <v>-2510760.1679547098</v>
      </c>
      <c r="O19">
        <f>'GS &lt; 50 OLS Model'!$B$6*E19</f>
        <v>16989.247323960601</v>
      </c>
      <c r="P19">
        <f>'GS &lt; 50 OLS Model'!$B$7*F19</f>
        <v>3226999.5714994934</v>
      </c>
      <c r="Q19">
        <f>'GS &lt; 50 OLS Model'!$B$8*G19</f>
        <v>6161466.5466798404</v>
      </c>
      <c r="R19">
        <f>'GS &lt; 50 OLS Model'!$B$9*H19</f>
        <v>-368867.79548382777</v>
      </c>
      <c r="S19">
        <f>'GS &lt; 50 OLS Model'!$B$10*I19</f>
        <v>0</v>
      </c>
      <c r="T19">
        <f>'GS &lt; 50 OLS Model'!$B$11*J19</f>
        <v>0</v>
      </c>
      <c r="U19">
        <f>'GS &lt; 50 OLS Model'!$B$12*K19</f>
        <v>0</v>
      </c>
      <c r="V19">
        <f>'GS &lt; 50 OLS Model'!$B$13*L19</f>
        <v>13776537.46314018</v>
      </c>
      <c r="W19">
        <f t="shared" si="3"/>
        <v>20302364.865204938</v>
      </c>
      <c r="X19" s="24">
        <f t="shared" ca="1" si="4"/>
        <v>7.7732208061918112E-3</v>
      </c>
    </row>
    <row r="20" spans="1:24">
      <c r="A20" s="26">
        <f>'Monthly Data'!A20</f>
        <v>40360</v>
      </c>
      <c r="B20" s="154">
        <f t="shared" si="1"/>
        <v>7</v>
      </c>
      <c r="C20">
        <f t="shared" si="2"/>
        <v>2010</v>
      </c>
      <c r="D20">
        <f ca="1">'Monthly Data'!J20</f>
        <v>22795593.036033537</v>
      </c>
      <c r="E20">
        <f>'Monthly Data'!BH20</f>
        <v>0</v>
      </c>
      <c r="F20">
        <f>'Monthly Data'!BI20</f>
        <v>227.00000000000006</v>
      </c>
      <c r="G20" s="124">
        <f>'Monthly Data'!BK20</f>
        <v>148.69999999999999</v>
      </c>
      <c r="H20">
        <f>'Monthly Data'!BM20</f>
        <v>19</v>
      </c>
      <c r="I20">
        <f>'Monthly Data'!BP20</f>
        <v>0</v>
      </c>
      <c r="J20">
        <f>'Monthly Data'!BV20</f>
        <v>0</v>
      </c>
      <c r="K20">
        <f>'Monthly Data'!CB20</f>
        <v>0</v>
      </c>
      <c r="L20">
        <f>'Monthly Data'!CC20</f>
        <v>31</v>
      </c>
      <c r="N20">
        <f>'GS &lt; 50 OLS Model'!$B$5</f>
        <v>-2510760.1679547098</v>
      </c>
      <c r="O20">
        <f>'GS &lt; 50 OLS Model'!$B$6*E20</f>
        <v>0</v>
      </c>
      <c r="P20">
        <f>'GS &lt; 50 OLS Model'!$B$7*F20</f>
        <v>5390205.3181043807</v>
      </c>
      <c r="Q20">
        <f>'GS &lt; 50 OLS Model'!$B$8*G20</f>
        <v>6087774.5879820073</v>
      </c>
      <c r="R20">
        <f>'GS &lt; 50 OLS Model'!$B$9*H20</f>
        <v>-389360.45078848489</v>
      </c>
      <c r="S20">
        <f>'GS &lt; 50 OLS Model'!$B$10*I20</f>
        <v>0</v>
      </c>
      <c r="T20">
        <f>'GS &lt; 50 OLS Model'!$B$11*J20</f>
        <v>0</v>
      </c>
      <c r="U20">
        <f>'GS &lt; 50 OLS Model'!$B$12*K20</f>
        <v>0</v>
      </c>
      <c r="V20">
        <f>'GS &lt; 50 OLS Model'!$B$13*L20</f>
        <v>14235755.378578186</v>
      </c>
      <c r="W20">
        <f t="shared" si="3"/>
        <v>22813614.665921379</v>
      </c>
      <c r="X20" s="24">
        <f t="shared" ca="1" si="4"/>
        <v>7.9057517211131214E-4</v>
      </c>
    </row>
    <row r="21" spans="1:24">
      <c r="A21" s="26">
        <f>'Monthly Data'!A21</f>
        <v>40391</v>
      </c>
      <c r="B21" s="154">
        <f t="shared" si="1"/>
        <v>8</v>
      </c>
      <c r="C21">
        <f t="shared" si="2"/>
        <v>2010</v>
      </c>
      <c r="D21">
        <f ca="1">'Monthly Data'!J21</f>
        <v>22116079.594250541</v>
      </c>
      <c r="E21">
        <f>'Monthly Data'!BH21</f>
        <v>0</v>
      </c>
      <c r="F21">
        <f>'Monthly Data'!BI21</f>
        <v>211.80000000000004</v>
      </c>
      <c r="G21" s="124">
        <f>'Monthly Data'!BK21</f>
        <v>148</v>
      </c>
      <c r="H21">
        <f>'Monthly Data'!BM21</f>
        <v>20</v>
      </c>
      <c r="I21">
        <f>'Monthly Data'!BP21</f>
        <v>0</v>
      </c>
      <c r="J21">
        <f>'Monthly Data'!BV21</f>
        <v>0</v>
      </c>
      <c r="K21">
        <f>'Monthly Data'!CB21</f>
        <v>0</v>
      </c>
      <c r="L21">
        <f>'Monthly Data'!CC21</f>
        <v>31</v>
      </c>
      <c r="N21">
        <f>'GS &lt; 50 OLS Model'!$B$5</f>
        <v>-2510760.1679547098</v>
      </c>
      <c r="O21">
        <f>'GS &lt; 50 OLS Model'!$B$6*E21</f>
        <v>0</v>
      </c>
      <c r="P21">
        <f>'GS &lt; 50 OLS Model'!$B$7*F21</f>
        <v>5029275.2703722809</v>
      </c>
      <c r="Q21">
        <f>'GS &lt; 50 OLS Model'!$B$8*G21</f>
        <v>6059116.6040439624</v>
      </c>
      <c r="R21">
        <f>'GS &lt; 50 OLS Model'!$B$9*H21</f>
        <v>-409853.10609314195</v>
      </c>
      <c r="S21">
        <f>'GS &lt; 50 OLS Model'!$B$10*I21</f>
        <v>0</v>
      </c>
      <c r="T21">
        <f>'GS &lt; 50 OLS Model'!$B$11*J21</f>
        <v>0</v>
      </c>
      <c r="U21">
        <f>'GS &lt; 50 OLS Model'!$B$12*K21</f>
        <v>0</v>
      </c>
      <c r="V21">
        <f>'GS &lt; 50 OLS Model'!$B$13*L21</f>
        <v>14235755.378578186</v>
      </c>
      <c r="W21">
        <f t="shared" si="3"/>
        <v>22403533.978946578</v>
      </c>
      <c r="X21" s="24">
        <f t="shared" ca="1" si="4"/>
        <v>1.2997528945897145E-2</v>
      </c>
    </row>
    <row r="22" spans="1:24">
      <c r="A22" s="26">
        <f>'Monthly Data'!A22</f>
        <v>40422</v>
      </c>
      <c r="B22" s="154">
        <f t="shared" si="1"/>
        <v>9</v>
      </c>
      <c r="C22">
        <f t="shared" si="2"/>
        <v>2010</v>
      </c>
      <c r="D22">
        <f ca="1">'Monthly Data'!J22</f>
        <v>18334763.226206541</v>
      </c>
      <c r="E22">
        <f>'Monthly Data'!BH22</f>
        <v>38</v>
      </c>
      <c r="F22">
        <f>'Monthly Data'!BI22</f>
        <v>59.699999999999989</v>
      </c>
      <c r="G22" s="124">
        <f>'Monthly Data'!BK22</f>
        <v>146.9</v>
      </c>
      <c r="H22">
        <f>'Monthly Data'!BM22</f>
        <v>21</v>
      </c>
      <c r="I22">
        <f>'Monthly Data'!BP22</f>
        <v>0</v>
      </c>
      <c r="J22">
        <f>'Monthly Data'!BV22</f>
        <v>1</v>
      </c>
      <c r="K22">
        <f>'Monthly Data'!CB22</f>
        <v>1</v>
      </c>
      <c r="L22">
        <f>'Monthly Data'!CC22</f>
        <v>30</v>
      </c>
      <c r="N22">
        <f>'GS &lt; 50 OLS Model'!$B$5</f>
        <v>-2510760.1679547098</v>
      </c>
      <c r="O22">
        <f>'GS &lt; 50 OLS Model'!$B$6*E22</f>
        <v>165536.255977052</v>
      </c>
      <c r="P22">
        <f>'GS &lt; 50 OLS Model'!$B$7*F22</f>
        <v>1417600.2532635743</v>
      </c>
      <c r="Q22">
        <f>'GS &lt; 50 OLS Model'!$B$8*G22</f>
        <v>6014082.629284176</v>
      </c>
      <c r="R22">
        <f>'GS &lt; 50 OLS Model'!$B$9*H22</f>
        <v>-430345.76139779907</v>
      </c>
      <c r="S22">
        <f>'GS &lt; 50 OLS Model'!$B$10*I22</f>
        <v>0</v>
      </c>
      <c r="T22">
        <f>'GS &lt; 50 OLS Model'!$B$11*J22</f>
        <v>697390.17362184904</v>
      </c>
      <c r="U22">
        <f>'GS &lt; 50 OLS Model'!$B$12*K22</f>
        <v>-782960.312499544</v>
      </c>
      <c r="V22">
        <f>'GS &lt; 50 OLS Model'!$B$13*L22</f>
        <v>13776537.46314018</v>
      </c>
      <c r="W22">
        <f t="shared" si="3"/>
        <v>18347080.533434778</v>
      </c>
      <c r="X22" s="24">
        <f t="shared" ca="1" si="4"/>
        <v>6.7180072500919001E-4</v>
      </c>
    </row>
    <row r="23" spans="1:24">
      <c r="A23" s="26">
        <f>'Monthly Data'!A23</f>
        <v>40452</v>
      </c>
      <c r="B23" s="154">
        <f t="shared" si="1"/>
        <v>10</v>
      </c>
      <c r="C23">
        <f t="shared" si="2"/>
        <v>2010</v>
      </c>
      <c r="D23">
        <f ca="1">'Monthly Data'!J23</f>
        <v>17072567.952336539</v>
      </c>
      <c r="E23">
        <f>'Monthly Data'!BH23</f>
        <v>157.6</v>
      </c>
      <c r="F23">
        <f>'Monthly Data'!BI23</f>
        <v>1.4000000000000001</v>
      </c>
      <c r="G23" s="124">
        <f>'Monthly Data'!BK23</f>
        <v>146.4</v>
      </c>
      <c r="H23">
        <f>'Monthly Data'!BM23</f>
        <v>22</v>
      </c>
      <c r="I23">
        <f>'Monthly Data'!BP23</f>
        <v>0</v>
      </c>
      <c r="J23">
        <f>'Monthly Data'!BV23</f>
        <v>0</v>
      </c>
      <c r="K23">
        <f>'Monthly Data'!CB23</f>
        <v>1</v>
      </c>
      <c r="L23">
        <f>'Monthly Data'!CC23</f>
        <v>31</v>
      </c>
      <c r="N23">
        <f>'GS &lt; 50 OLS Model'!$B$5</f>
        <v>-2510760.1679547098</v>
      </c>
      <c r="O23">
        <f>'GS &lt; 50 OLS Model'!$B$6*E23</f>
        <v>686539.84057851031</v>
      </c>
      <c r="P23">
        <f>'GS &lt; 50 OLS Model'!$B$7*F23</f>
        <v>33243.557027956529</v>
      </c>
      <c r="Q23">
        <f>'GS &lt; 50 OLS Model'!$B$8*G23</f>
        <v>5993612.640757001</v>
      </c>
      <c r="R23">
        <f>'GS &lt; 50 OLS Model'!$B$9*H23</f>
        <v>-450838.41670245619</v>
      </c>
      <c r="S23">
        <f>'GS &lt; 50 OLS Model'!$B$10*I23</f>
        <v>0</v>
      </c>
      <c r="T23">
        <f>'GS &lt; 50 OLS Model'!$B$11*J23</f>
        <v>0</v>
      </c>
      <c r="U23">
        <f>'GS &lt; 50 OLS Model'!$B$12*K23</f>
        <v>-782960.312499544</v>
      </c>
      <c r="V23">
        <f>'GS &lt; 50 OLS Model'!$B$13*L23</f>
        <v>14235755.378578186</v>
      </c>
      <c r="W23">
        <f t="shared" si="3"/>
        <v>17204592.519784942</v>
      </c>
      <c r="X23" s="24">
        <f t="shared" ca="1" si="4"/>
        <v>7.7331405455226144E-3</v>
      </c>
    </row>
    <row r="24" spans="1:24">
      <c r="A24" s="26">
        <f>'Monthly Data'!A24</f>
        <v>40483</v>
      </c>
      <c r="B24" s="154">
        <f t="shared" si="1"/>
        <v>11</v>
      </c>
      <c r="C24">
        <f t="shared" si="2"/>
        <v>2010</v>
      </c>
      <c r="D24">
        <f ca="1">'Monthly Data'!J24</f>
        <v>17395857.750683539</v>
      </c>
      <c r="E24">
        <f>'Monthly Data'!BH24</f>
        <v>376.59999999999991</v>
      </c>
      <c r="F24">
        <f>'Monthly Data'!BI24</f>
        <v>0</v>
      </c>
      <c r="G24" s="124">
        <f>'Monthly Data'!BK24</f>
        <v>145.4</v>
      </c>
      <c r="H24">
        <f>'Monthly Data'!BM24</f>
        <v>23</v>
      </c>
      <c r="I24">
        <f>'Monthly Data'!BP24</f>
        <v>0</v>
      </c>
      <c r="J24">
        <f>'Monthly Data'!BV24</f>
        <v>0</v>
      </c>
      <c r="K24">
        <f>'Monthly Data'!CB24</f>
        <v>1</v>
      </c>
      <c r="L24">
        <f>'Monthly Data'!CC24</f>
        <v>30</v>
      </c>
      <c r="N24">
        <f>'GS &lt; 50 OLS Model'!$B$5</f>
        <v>-2510760.1679547098</v>
      </c>
      <c r="O24">
        <f>'GS &lt; 50 OLS Model'!$B$6*E24</f>
        <v>1640551.4210778358</v>
      </c>
      <c r="P24">
        <f>'GS &lt; 50 OLS Model'!$B$7*F24</f>
        <v>0</v>
      </c>
      <c r="Q24">
        <f>'GS &lt; 50 OLS Model'!$B$8*G24</f>
        <v>5952672.66370265</v>
      </c>
      <c r="R24">
        <f>'GS &lt; 50 OLS Model'!$B$9*H24</f>
        <v>-471331.07200711325</v>
      </c>
      <c r="S24">
        <f>'GS &lt; 50 OLS Model'!$B$10*I24</f>
        <v>0</v>
      </c>
      <c r="T24">
        <f>'GS &lt; 50 OLS Model'!$B$11*J24</f>
        <v>0</v>
      </c>
      <c r="U24">
        <f>'GS &lt; 50 OLS Model'!$B$12*K24</f>
        <v>-782960.312499544</v>
      </c>
      <c r="V24">
        <f>'GS &lt; 50 OLS Model'!$B$13*L24</f>
        <v>13776537.46314018</v>
      </c>
      <c r="W24">
        <f t="shared" si="3"/>
        <v>17604709.9954593</v>
      </c>
      <c r="X24" s="24">
        <f t="shared" ca="1" si="4"/>
        <v>1.2005860692184291E-2</v>
      </c>
    </row>
    <row r="25" spans="1:24">
      <c r="A25" s="26">
        <f>'Monthly Data'!A25</f>
        <v>40513</v>
      </c>
      <c r="B25" s="154">
        <f t="shared" si="1"/>
        <v>12</v>
      </c>
      <c r="C25">
        <f t="shared" si="2"/>
        <v>2010</v>
      </c>
      <c r="D25">
        <f ca="1">'Monthly Data'!J25</f>
        <v>19655364.768977538</v>
      </c>
      <c r="E25">
        <f>'Monthly Data'!BH25</f>
        <v>645.59999999999991</v>
      </c>
      <c r="F25">
        <f>'Monthly Data'!BI25</f>
        <v>0</v>
      </c>
      <c r="G25" s="124">
        <f>'Monthly Data'!BK25</f>
        <v>145.30000000000001</v>
      </c>
      <c r="H25">
        <f>'Monthly Data'!BM25</f>
        <v>24</v>
      </c>
      <c r="I25">
        <f>'Monthly Data'!BP25</f>
        <v>0</v>
      </c>
      <c r="J25">
        <f>'Monthly Data'!BV25</f>
        <v>0</v>
      </c>
      <c r="K25">
        <f>'Monthly Data'!CB25</f>
        <v>0</v>
      </c>
      <c r="L25">
        <f>'Monthly Data'!CC25</f>
        <v>31</v>
      </c>
      <c r="N25">
        <f>'GS &lt; 50 OLS Model'!$B$5</f>
        <v>-2510760.1679547098</v>
      </c>
      <c r="O25">
        <f>'GS &lt; 50 OLS Model'!$B$6*E25</f>
        <v>2812373.8647048618</v>
      </c>
      <c r="P25">
        <f>'GS &lt; 50 OLS Model'!$B$7*F25</f>
        <v>0</v>
      </c>
      <c r="Q25">
        <f>'GS &lt; 50 OLS Model'!$B$8*G25</f>
        <v>5948578.6659972146</v>
      </c>
      <c r="R25">
        <f>'GS &lt; 50 OLS Model'!$B$9*H25</f>
        <v>-491823.72731177037</v>
      </c>
      <c r="S25">
        <f>'GS &lt; 50 OLS Model'!$B$10*I25</f>
        <v>0</v>
      </c>
      <c r="T25">
        <f>'GS &lt; 50 OLS Model'!$B$11*J25</f>
        <v>0</v>
      </c>
      <c r="U25">
        <f>'GS &lt; 50 OLS Model'!$B$12*K25</f>
        <v>0</v>
      </c>
      <c r="V25">
        <f>'GS &lt; 50 OLS Model'!$B$13*L25</f>
        <v>14235755.378578186</v>
      </c>
      <c r="W25">
        <f t="shared" si="3"/>
        <v>19994124.014013782</v>
      </c>
      <c r="X25" s="24">
        <f t="shared" ca="1" si="4"/>
        <v>1.7234950814594651E-2</v>
      </c>
    </row>
    <row r="26" spans="1:24">
      <c r="A26" s="26">
        <f>'Monthly Data'!A26</f>
        <v>40544</v>
      </c>
      <c r="B26" s="154">
        <f t="shared" si="1"/>
        <v>1</v>
      </c>
      <c r="C26">
        <f t="shared" si="2"/>
        <v>2011</v>
      </c>
      <c r="D26">
        <f ca="1">'Monthly Data'!J26</f>
        <v>20433168.712788858</v>
      </c>
      <c r="E26">
        <f>'Monthly Data'!BH26</f>
        <v>703.59999999999991</v>
      </c>
      <c r="F26">
        <f>'Monthly Data'!BI26</f>
        <v>0</v>
      </c>
      <c r="G26" s="124">
        <f>'Monthly Data'!BK26</f>
        <v>148.9</v>
      </c>
      <c r="H26">
        <f>'Monthly Data'!BM26</f>
        <v>25</v>
      </c>
      <c r="I26">
        <f>'Monthly Data'!BP26</f>
        <v>0</v>
      </c>
      <c r="J26">
        <f>'Monthly Data'!BV26</f>
        <v>0</v>
      </c>
      <c r="K26">
        <f>'Monthly Data'!CB26</f>
        <v>0</v>
      </c>
      <c r="L26">
        <f>'Monthly Data'!CC26</f>
        <v>31</v>
      </c>
      <c r="N26">
        <f>'GS &lt; 50 OLS Model'!$B$5</f>
        <v>-2510760.1679547098</v>
      </c>
      <c r="O26">
        <f>'GS &lt; 50 OLS Model'!$B$6*E26</f>
        <v>3065034.4659329937</v>
      </c>
      <c r="P26">
        <f>'GS &lt; 50 OLS Model'!$B$7*F26</f>
        <v>0</v>
      </c>
      <c r="Q26">
        <f>'GS &lt; 50 OLS Model'!$B$8*G26</f>
        <v>6095962.583392879</v>
      </c>
      <c r="R26">
        <f>'GS &lt; 50 OLS Model'!$B$9*H26</f>
        <v>-512316.38261642749</v>
      </c>
      <c r="S26">
        <f>'GS &lt; 50 OLS Model'!$B$10*I26</f>
        <v>0</v>
      </c>
      <c r="T26">
        <f>'GS &lt; 50 OLS Model'!$B$11*J26</f>
        <v>0</v>
      </c>
      <c r="U26">
        <f>'GS &lt; 50 OLS Model'!$B$12*K26</f>
        <v>0</v>
      </c>
      <c r="V26">
        <f>'GS &lt; 50 OLS Model'!$B$13*L26</f>
        <v>14235755.378578186</v>
      </c>
      <c r="W26">
        <f t="shared" si="3"/>
        <v>20373675.877332922</v>
      </c>
      <c r="X26" s="24">
        <f t="shared" ca="1" si="4"/>
        <v>2.9115814728578856E-3</v>
      </c>
    </row>
    <row r="27" spans="1:24">
      <c r="A27" s="26">
        <f>'Monthly Data'!A27</f>
        <v>40575</v>
      </c>
      <c r="B27" s="154">
        <f t="shared" si="1"/>
        <v>2</v>
      </c>
      <c r="C27">
        <f t="shared" si="2"/>
        <v>2011</v>
      </c>
      <c r="D27">
        <f ca="1">'Monthly Data'!J27</f>
        <v>18248985.66093586</v>
      </c>
      <c r="E27">
        <f>'Monthly Data'!BH27</f>
        <v>583.20000000000005</v>
      </c>
      <c r="F27">
        <f>'Monthly Data'!BI27</f>
        <v>0</v>
      </c>
      <c r="G27" s="124">
        <f>'Monthly Data'!BK27</f>
        <v>148.69999999999999</v>
      </c>
      <c r="H27">
        <f>'Monthly Data'!BM27</f>
        <v>26</v>
      </c>
      <c r="I27">
        <f>'Monthly Data'!BP27</f>
        <v>0</v>
      </c>
      <c r="J27">
        <f>'Monthly Data'!BV27</f>
        <v>0</v>
      </c>
      <c r="K27">
        <f>'Monthly Data'!CB27</f>
        <v>0</v>
      </c>
      <c r="L27">
        <f>'Monthly Data'!CC27</f>
        <v>28</v>
      </c>
      <c r="N27">
        <f>'GS &lt; 50 OLS Model'!$B$5</f>
        <v>-2510760.1679547098</v>
      </c>
      <c r="O27">
        <f>'GS &lt; 50 OLS Model'!$B$6*E27</f>
        <v>2540545.9075214928</v>
      </c>
      <c r="P27">
        <f>'GS &lt; 50 OLS Model'!$B$7*F27</f>
        <v>0</v>
      </c>
      <c r="Q27">
        <f>'GS &lt; 50 OLS Model'!$B$8*G27</f>
        <v>6087774.5879820073</v>
      </c>
      <c r="R27">
        <f>'GS &lt; 50 OLS Model'!$B$9*H27</f>
        <v>-532809.03792108456</v>
      </c>
      <c r="S27">
        <f>'GS &lt; 50 OLS Model'!$B$10*I27</f>
        <v>0</v>
      </c>
      <c r="T27">
        <f>'GS &lt; 50 OLS Model'!$B$11*J27</f>
        <v>0</v>
      </c>
      <c r="U27">
        <f>'GS &lt; 50 OLS Model'!$B$12*K27</f>
        <v>0</v>
      </c>
      <c r="V27">
        <f>'GS &lt; 50 OLS Model'!$B$13*L27</f>
        <v>12858101.632264167</v>
      </c>
      <c r="W27">
        <f t="shared" si="3"/>
        <v>18442852.921891876</v>
      </c>
      <c r="X27" s="24">
        <f t="shared" ca="1" si="4"/>
        <v>1.0623454067971105E-2</v>
      </c>
    </row>
    <row r="28" spans="1:24">
      <c r="A28" s="26">
        <f>'Monthly Data'!A28</f>
        <v>40603</v>
      </c>
      <c r="B28" s="154">
        <f t="shared" si="1"/>
        <v>3</v>
      </c>
      <c r="C28">
        <f t="shared" si="2"/>
        <v>2011</v>
      </c>
      <c r="D28">
        <f ca="1">'Monthly Data'!J28</f>
        <v>18891983.127054855</v>
      </c>
      <c r="E28">
        <f>'Monthly Data'!BH28</f>
        <v>514.30000000000007</v>
      </c>
      <c r="F28">
        <f>'Monthly Data'!BI28</f>
        <v>0</v>
      </c>
      <c r="G28" s="124">
        <f>'Monthly Data'!BK28</f>
        <v>149.1</v>
      </c>
      <c r="H28">
        <f>'Monthly Data'!BM28</f>
        <v>27</v>
      </c>
      <c r="I28">
        <f>'Monthly Data'!BP28</f>
        <v>1</v>
      </c>
      <c r="J28">
        <f>'Monthly Data'!BV28</f>
        <v>0</v>
      </c>
      <c r="K28">
        <f>'Monthly Data'!CB28</f>
        <v>1</v>
      </c>
      <c r="L28">
        <f>'Monthly Data'!CC28</f>
        <v>31</v>
      </c>
      <c r="N28">
        <f>'GS &lt; 50 OLS Model'!$B$5</f>
        <v>-2510760.1679547098</v>
      </c>
      <c r="O28">
        <f>'GS &lt; 50 OLS Model'!$B$6*E28</f>
        <v>2240402.5381315225</v>
      </c>
      <c r="P28">
        <f>'GS &lt; 50 OLS Model'!$B$7*F28</f>
        <v>0</v>
      </c>
      <c r="Q28">
        <f>'GS &lt; 50 OLS Model'!$B$8*G28</f>
        <v>6104150.5788037479</v>
      </c>
      <c r="R28">
        <f>'GS &lt; 50 OLS Model'!$B$9*H28</f>
        <v>-553301.69322574162</v>
      </c>
      <c r="S28">
        <f>'GS &lt; 50 OLS Model'!$B$10*I28</f>
        <v>419453.43275174301</v>
      </c>
      <c r="T28">
        <f>'GS &lt; 50 OLS Model'!$B$11*J28</f>
        <v>0</v>
      </c>
      <c r="U28">
        <f>'GS &lt; 50 OLS Model'!$B$12*K28</f>
        <v>-782960.312499544</v>
      </c>
      <c r="V28">
        <f>'GS &lt; 50 OLS Model'!$B$13*L28</f>
        <v>14235755.378578186</v>
      </c>
      <c r="W28">
        <f t="shared" si="3"/>
        <v>19152739.754585207</v>
      </c>
      <c r="X28" s="24">
        <f t="shared" ca="1" si="4"/>
        <v>1.3802501610163234E-2</v>
      </c>
    </row>
    <row r="29" spans="1:24">
      <c r="A29" s="26">
        <f>'Monthly Data'!A29</f>
        <v>40634</v>
      </c>
      <c r="B29" s="154">
        <f t="shared" si="1"/>
        <v>4</v>
      </c>
      <c r="C29">
        <f t="shared" si="2"/>
        <v>2011</v>
      </c>
      <c r="D29">
        <f ca="1">'Monthly Data'!J29</f>
        <v>17089616.625273857</v>
      </c>
      <c r="E29">
        <f>'Monthly Data'!BH29</f>
        <v>278.59999999999985</v>
      </c>
      <c r="F29">
        <f>'Monthly Data'!BI29</f>
        <v>0.5</v>
      </c>
      <c r="G29" s="124">
        <f>'Monthly Data'!BK29</f>
        <v>146.30000000000001</v>
      </c>
      <c r="H29">
        <f>'Monthly Data'!BM29</f>
        <v>28</v>
      </c>
      <c r="I29">
        <f>'Monthly Data'!BP29</f>
        <v>0</v>
      </c>
      <c r="J29">
        <f>'Monthly Data'!BV29</f>
        <v>0</v>
      </c>
      <c r="K29">
        <f>'Monthly Data'!CB29</f>
        <v>1</v>
      </c>
      <c r="L29">
        <f>'Monthly Data'!CC29</f>
        <v>30</v>
      </c>
      <c r="N29">
        <f>'GS &lt; 50 OLS Model'!$B$5</f>
        <v>-2510760.1679547098</v>
      </c>
      <c r="O29">
        <f>'GS &lt; 50 OLS Model'!$B$6*E29</f>
        <v>1213642.1293475437</v>
      </c>
      <c r="P29">
        <f>'GS &lt; 50 OLS Model'!$B$7*F29</f>
        <v>11872.698938555901</v>
      </c>
      <c r="Q29">
        <f>'GS &lt; 50 OLS Model'!$B$8*G29</f>
        <v>5989518.6430515656</v>
      </c>
      <c r="R29">
        <f>'GS &lt; 50 OLS Model'!$B$9*H29</f>
        <v>-573794.3485303988</v>
      </c>
      <c r="S29">
        <f>'GS &lt; 50 OLS Model'!$B$10*I29</f>
        <v>0</v>
      </c>
      <c r="T29">
        <f>'GS &lt; 50 OLS Model'!$B$11*J29</f>
        <v>0</v>
      </c>
      <c r="U29">
        <f>'GS &lt; 50 OLS Model'!$B$12*K29</f>
        <v>-782960.312499544</v>
      </c>
      <c r="V29">
        <f>'GS &lt; 50 OLS Model'!$B$13*L29</f>
        <v>13776537.46314018</v>
      </c>
      <c r="W29">
        <f t="shared" si="3"/>
        <v>17124056.105493192</v>
      </c>
      <c r="X29" s="24">
        <f t="shared" ca="1" si="4"/>
        <v>2.0152283678734938E-3</v>
      </c>
    </row>
    <row r="30" spans="1:24">
      <c r="A30" s="26">
        <f>'Monthly Data'!A30</f>
        <v>40664</v>
      </c>
      <c r="B30" s="154">
        <f t="shared" si="1"/>
        <v>5</v>
      </c>
      <c r="C30">
        <f t="shared" si="2"/>
        <v>2011</v>
      </c>
      <c r="D30">
        <f ca="1">'Monthly Data'!J30</f>
        <v>17878369.437173858</v>
      </c>
      <c r="E30">
        <f>'Monthly Data'!BH30</f>
        <v>105.20000000000003</v>
      </c>
      <c r="F30">
        <f>'Monthly Data'!BI30</f>
        <v>37.200000000000003</v>
      </c>
      <c r="G30" s="124">
        <f>'Monthly Data'!BK30</f>
        <v>146.9</v>
      </c>
      <c r="H30">
        <f>'Monthly Data'!BM30</f>
        <v>29</v>
      </c>
      <c r="I30">
        <f>'Monthly Data'!BP30</f>
        <v>0</v>
      </c>
      <c r="J30">
        <f>'Monthly Data'!BV30</f>
        <v>0</v>
      </c>
      <c r="K30">
        <f>'Monthly Data'!CB30</f>
        <v>1</v>
      </c>
      <c r="L30">
        <f>'Monthly Data'!CC30</f>
        <v>31</v>
      </c>
      <c r="N30">
        <f>'GS &lt; 50 OLS Model'!$B$5</f>
        <v>-2510760.1679547098</v>
      </c>
      <c r="O30">
        <f>'GS &lt; 50 OLS Model'!$B$6*E30</f>
        <v>458274.05602068093</v>
      </c>
      <c r="P30">
        <f>'GS &lt; 50 OLS Model'!$B$7*F30</f>
        <v>883328.8010285591</v>
      </c>
      <c r="Q30">
        <f>'GS &lt; 50 OLS Model'!$B$8*G30</f>
        <v>6014082.629284176</v>
      </c>
      <c r="R30">
        <f>'GS &lt; 50 OLS Model'!$B$9*H30</f>
        <v>-594287.00383505586</v>
      </c>
      <c r="S30">
        <f>'GS &lt; 50 OLS Model'!$B$10*I30</f>
        <v>0</v>
      </c>
      <c r="T30">
        <f>'GS &lt; 50 OLS Model'!$B$11*J30</f>
        <v>0</v>
      </c>
      <c r="U30">
        <f>'GS &lt; 50 OLS Model'!$B$12*K30</f>
        <v>-782960.312499544</v>
      </c>
      <c r="V30">
        <f>'GS &lt; 50 OLS Model'!$B$13*L30</f>
        <v>14235755.378578186</v>
      </c>
      <c r="W30">
        <f t="shared" si="3"/>
        <v>17703433.38062229</v>
      </c>
      <c r="X30" s="24">
        <f t="shared" ca="1" si="4"/>
        <v>9.784788101974775E-3</v>
      </c>
    </row>
    <row r="31" spans="1:24">
      <c r="A31" s="26">
        <f>'Monthly Data'!A31</f>
        <v>40695</v>
      </c>
      <c r="B31" s="154">
        <f t="shared" si="1"/>
        <v>6</v>
      </c>
      <c r="C31">
        <f t="shared" si="2"/>
        <v>2011</v>
      </c>
      <c r="D31">
        <f ca="1">'Monthly Data'!J31</f>
        <v>19789305.953011855</v>
      </c>
      <c r="E31">
        <f>'Monthly Data'!BH31</f>
        <v>7.6000000000000005</v>
      </c>
      <c r="F31">
        <f>'Monthly Data'!BI31</f>
        <v>115.89999999999998</v>
      </c>
      <c r="G31" s="124">
        <f>'Monthly Data'!BK31</f>
        <v>147.1</v>
      </c>
      <c r="H31">
        <f>'Monthly Data'!BM31</f>
        <v>30</v>
      </c>
      <c r="I31">
        <f>'Monthly Data'!BP31</f>
        <v>0</v>
      </c>
      <c r="J31">
        <f>'Monthly Data'!BV31</f>
        <v>0</v>
      </c>
      <c r="K31">
        <f>'Monthly Data'!CB31</f>
        <v>0</v>
      </c>
      <c r="L31">
        <f>'Monthly Data'!CC31</f>
        <v>30</v>
      </c>
      <c r="N31">
        <f>'GS &lt; 50 OLS Model'!$B$5</f>
        <v>-2510760.1679547098</v>
      </c>
      <c r="O31">
        <f>'GS &lt; 50 OLS Model'!$B$6*E31</f>
        <v>33107.251195410397</v>
      </c>
      <c r="P31">
        <f>'GS &lt; 50 OLS Model'!$B$7*F31</f>
        <v>2752091.6139572575</v>
      </c>
      <c r="Q31">
        <f>'GS &lt; 50 OLS Model'!$B$8*G31</f>
        <v>6022270.6246950459</v>
      </c>
      <c r="R31">
        <f>'GS &lt; 50 OLS Model'!$B$9*H31</f>
        <v>-614779.65913971292</v>
      </c>
      <c r="S31">
        <f>'GS &lt; 50 OLS Model'!$B$10*I31</f>
        <v>0</v>
      </c>
      <c r="T31">
        <f>'GS &lt; 50 OLS Model'!$B$11*J31</f>
        <v>0</v>
      </c>
      <c r="U31">
        <f>'GS &lt; 50 OLS Model'!$B$12*K31</f>
        <v>0</v>
      </c>
      <c r="V31">
        <f>'GS &lt; 50 OLS Model'!$B$13*L31</f>
        <v>13776537.46314018</v>
      </c>
      <c r="W31">
        <f t="shared" si="3"/>
        <v>19458467.12589347</v>
      </c>
      <c r="X31" s="24">
        <f t="shared" ca="1" si="4"/>
        <v>1.6718061154036238E-2</v>
      </c>
    </row>
    <row r="32" spans="1:24">
      <c r="A32" s="26">
        <f>'Monthly Data'!A32</f>
        <v>40725</v>
      </c>
      <c r="B32" s="154">
        <f t="shared" si="1"/>
        <v>7</v>
      </c>
      <c r="C32">
        <f t="shared" si="2"/>
        <v>2011</v>
      </c>
      <c r="D32">
        <f ca="1">'Monthly Data'!J32</f>
        <v>22703572.420684855</v>
      </c>
      <c r="E32">
        <f>'Monthly Data'!BH32</f>
        <v>0</v>
      </c>
      <c r="F32">
        <f>'Monthly Data'!BI32</f>
        <v>255.50000000000006</v>
      </c>
      <c r="G32" s="124">
        <f>'Monthly Data'!BK32</f>
        <v>148</v>
      </c>
      <c r="H32">
        <f>'Monthly Data'!BM32</f>
        <v>31</v>
      </c>
      <c r="I32">
        <f>'Monthly Data'!BP32</f>
        <v>0</v>
      </c>
      <c r="J32">
        <f>'Monthly Data'!BV32</f>
        <v>0</v>
      </c>
      <c r="K32">
        <f>'Monthly Data'!CB32</f>
        <v>0</v>
      </c>
      <c r="L32">
        <f>'Monthly Data'!CC32</f>
        <v>31</v>
      </c>
      <c r="N32">
        <f>'GS &lt; 50 OLS Model'!$B$5</f>
        <v>-2510760.1679547098</v>
      </c>
      <c r="O32">
        <f>'GS &lt; 50 OLS Model'!$B$6*E32</f>
        <v>0</v>
      </c>
      <c r="P32">
        <f>'GS &lt; 50 OLS Model'!$B$7*F32</f>
        <v>6066949.1576020671</v>
      </c>
      <c r="Q32">
        <f>'GS &lt; 50 OLS Model'!$B$8*G32</f>
        <v>6059116.6040439624</v>
      </c>
      <c r="R32">
        <f>'GS &lt; 50 OLS Model'!$B$9*H32</f>
        <v>-635272.3144443701</v>
      </c>
      <c r="S32">
        <f>'GS &lt; 50 OLS Model'!$B$10*I32</f>
        <v>0</v>
      </c>
      <c r="T32">
        <f>'GS &lt; 50 OLS Model'!$B$11*J32</f>
        <v>0</v>
      </c>
      <c r="U32">
        <f>'GS &lt; 50 OLS Model'!$B$12*K32</f>
        <v>0</v>
      </c>
      <c r="V32">
        <f>'GS &lt; 50 OLS Model'!$B$13*L32</f>
        <v>14235755.378578186</v>
      </c>
      <c r="W32">
        <f t="shared" si="3"/>
        <v>23215788.657825135</v>
      </c>
      <c r="X32" s="24">
        <f t="shared" ca="1" si="4"/>
        <v>2.2561041392481801E-2</v>
      </c>
    </row>
    <row r="33" spans="1:24">
      <c r="A33" s="26">
        <f>'Monthly Data'!A33</f>
        <v>40756</v>
      </c>
      <c r="B33" s="154">
        <f t="shared" si="1"/>
        <v>8</v>
      </c>
      <c r="C33">
        <f t="shared" si="2"/>
        <v>2011</v>
      </c>
      <c r="D33">
        <f ca="1">'Monthly Data'!J33</f>
        <v>21542109.43368886</v>
      </c>
      <c r="E33">
        <f>'Monthly Data'!BH33</f>
        <v>0</v>
      </c>
      <c r="F33">
        <f>'Monthly Data'!BI33</f>
        <v>159.50000000000003</v>
      </c>
      <c r="G33" s="124">
        <f>'Monthly Data'!BK33</f>
        <v>147.9</v>
      </c>
      <c r="H33">
        <f>'Monthly Data'!BM33</f>
        <v>32</v>
      </c>
      <c r="I33">
        <f>'Monthly Data'!BP33</f>
        <v>0</v>
      </c>
      <c r="J33">
        <f>'Monthly Data'!BV33</f>
        <v>0</v>
      </c>
      <c r="K33">
        <f>'Monthly Data'!CB33</f>
        <v>0</v>
      </c>
      <c r="L33">
        <f>'Monthly Data'!CC33</f>
        <v>31</v>
      </c>
      <c r="N33">
        <f>'GS &lt; 50 OLS Model'!$B$5</f>
        <v>-2510760.1679547098</v>
      </c>
      <c r="O33">
        <f>'GS &lt; 50 OLS Model'!$B$6*E33</f>
        <v>0</v>
      </c>
      <c r="P33">
        <f>'GS &lt; 50 OLS Model'!$B$7*F33</f>
        <v>3787390.9613993331</v>
      </c>
      <c r="Q33">
        <f>'GS &lt; 50 OLS Model'!$B$8*G33</f>
        <v>6055022.6063385271</v>
      </c>
      <c r="R33">
        <f>'GS &lt; 50 OLS Model'!$B$9*H33</f>
        <v>-655764.96974902716</v>
      </c>
      <c r="S33">
        <f>'GS &lt; 50 OLS Model'!$B$10*I33</f>
        <v>0</v>
      </c>
      <c r="T33">
        <f>'GS &lt; 50 OLS Model'!$B$11*J33</f>
        <v>0</v>
      </c>
      <c r="U33">
        <f>'GS &lt; 50 OLS Model'!$B$12*K33</f>
        <v>0</v>
      </c>
      <c r="V33">
        <f>'GS &lt; 50 OLS Model'!$B$13*L33</f>
        <v>14235755.378578186</v>
      </c>
      <c r="W33">
        <f t="shared" si="3"/>
        <v>20911643.808612309</v>
      </c>
      <c r="X33" s="24">
        <f t="shared" ca="1" si="4"/>
        <v>2.9266661513221659E-2</v>
      </c>
    </row>
    <row r="34" spans="1:24">
      <c r="A34" s="26">
        <f>'Monthly Data'!A34</f>
        <v>40787</v>
      </c>
      <c r="B34" s="154">
        <f t="shared" si="1"/>
        <v>9</v>
      </c>
      <c r="C34">
        <f t="shared" si="2"/>
        <v>2011</v>
      </c>
      <c r="D34">
        <f ca="1">'Monthly Data'!J34</f>
        <v>18050834.514007859</v>
      </c>
      <c r="E34">
        <f>'Monthly Data'!BH34</f>
        <v>51.4</v>
      </c>
      <c r="F34">
        <f>'Monthly Data'!BI34</f>
        <v>60.199999999999989</v>
      </c>
      <c r="G34" s="124">
        <f>'Monthly Data'!BK34</f>
        <v>146</v>
      </c>
      <c r="H34">
        <f>'Monthly Data'!BM34</f>
        <v>33</v>
      </c>
      <c r="I34">
        <f>'Monthly Data'!BP34</f>
        <v>0</v>
      </c>
      <c r="J34">
        <f>'Monthly Data'!BV34</f>
        <v>1</v>
      </c>
      <c r="K34">
        <f>'Monthly Data'!CB34</f>
        <v>1</v>
      </c>
      <c r="L34">
        <f>'Monthly Data'!CC34</f>
        <v>30</v>
      </c>
      <c r="N34">
        <f>'GS &lt; 50 OLS Model'!$B$5</f>
        <v>-2510760.1679547098</v>
      </c>
      <c r="O34">
        <f>'GS &lt; 50 OLS Model'!$B$6*E34</f>
        <v>223909.56729527557</v>
      </c>
      <c r="P34">
        <f>'GS &lt; 50 OLS Model'!$B$7*F34</f>
        <v>1429472.9522021301</v>
      </c>
      <c r="Q34">
        <f>'GS &lt; 50 OLS Model'!$B$8*G34</f>
        <v>5977236.6499352604</v>
      </c>
      <c r="R34">
        <f>'GS &lt; 50 OLS Model'!$B$9*H34</f>
        <v>-676257.62505368423</v>
      </c>
      <c r="S34">
        <f>'GS &lt; 50 OLS Model'!$B$10*I34</f>
        <v>0</v>
      </c>
      <c r="T34">
        <f>'GS &lt; 50 OLS Model'!$B$11*J34</f>
        <v>697390.17362184904</v>
      </c>
      <c r="U34">
        <f>'GS &lt; 50 OLS Model'!$B$12*K34</f>
        <v>-782960.312499544</v>
      </c>
      <c r="V34">
        <f>'GS &lt; 50 OLS Model'!$B$13*L34</f>
        <v>13776537.46314018</v>
      </c>
      <c r="W34">
        <f t="shared" si="3"/>
        <v>18134568.70068676</v>
      </c>
      <c r="X34" s="24">
        <f t="shared" ca="1" si="4"/>
        <v>4.6387986446788194E-3</v>
      </c>
    </row>
    <row r="35" spans="1:24">
      <c r="A35" s="26">
        <f>'Monthly Data'!A35</f>
        <v>40817</v>
      </c>
      <c r="B35" s="154">
        <f t="shared" si="1"/>
        <v>10</v>
      </c>
      <c r="C35">
        <f t="shared" si="2"/>
        <v>2011</v>
      </c>
      <c r="D35">
        <f ca="1">'Monthly Data'!J35</f>
        <v>17206685.452281859</v>
      </c>
      <c r="E35">
        <f>'Monthly Data'!BH35</f>
        <v>185.29999999999998</v>
      </c>
      <c r="F35">
        <f>'Monthly Data'!BI35</f>
        <v>2.6999999999999997</v>
      </c>
      <c r="G35" s="124">
        <f>'Monthly Data'!BK35</f>
        <v>146</v>
      </c>
      <c r="H35">
        <f>'Monthly Data'!BM35</f>
        <v>34</v>
      </c>
      <c r="I35">
        <f>'Monthly Data'!BP35</f>
        <v>0</v>
      </c>
      <c r="J35">
        <f>'Monthly Data'!BV35</f>
        <v>0</v>
      </c>
      <c r="K35">
        <f>'Monthly Data'!CB35</f>
        <v>1</v>
      </c>
      <c r="L35">
        <f>'Monthly Data'!CC35</f>
        <v>31</v>
      </c>
      <c r="N35">
        <f>'GS &lt; 50 OLS Model'!$B$5</f>
        <v>-2510760.1679547098</v>
      </c>
      <c r="O35">
        <f>'GS &lt; 50 OLS Model'!$B$6*E35</f>
        <v>807207.05875125609</v>
      </c>
      <c r="P35">
        <f>'GS &lt; 50 OLS Model'!$B$7*F35</f>
        <v>64112.574268201861</v>
      </c>
      <c r="Q35">
        <f>'GS &lt; 50 OLS Model'!$B$8*G35</f>
        <v>5977236.6499352604</v>
      </c>
      <c r="R35">
        <f>'GS &lt; 50 OLS Model'!$B$9*H35</f>
        <v>-696750.28035834141</v>
      </c>
      <c r="S35">
        <f>'GS &lt; 50 OLS Model'!$B$10*I35</f>
        <v>0</v>
      </c>
      <c r="T35">
        <f>'GS &lt; 50 OLS Model'!$B$11*J35</f>
        <v>0</v>
      </c>
      <c r="U35">
        <f>'GS &lt; 50 OLS Model'!$B$12*K35</f>
        <v>-782960.312499544</v>
      </c>
      <c r="V35">
        <f>'GS &lt; 50 OLS Model'!$B$13*L35</f>
        <v>14235755.378578186</v>
      </c>
      <c r="W35">
        <f t="shared" si="3"/>
        <v>17093840.900720309</v>
      </c>
      <c r="X35" s="24">
        <f t="shared" ca="1" si="4"/>
        <v>6.5581806487073581E-3</v>
      </c>
    </row>
    <row r="36" spans="1:24">
      <c r="A36" s="26">
        <f>'Monthly Data'!A36</f>
        <v>40848</v>
      </c>
      <c r="B36" s="154">
        <f t="shared" si="1"/>
        <v>11</v>
      </c>
      <c r="C36">
        <f t="shared" si="2"/>
        <v>2011</v>
      </c>
      <c r="D36">
        <f ca="1">'Monthly Data'!J36</f>
        <v>17348028.408182859</v>
      </c>
      <c r="E36">
        <f>'Monthly Data'!BH36</f>
        <v>297.2999999999999</v>
      </c>
      <c r="F36">
        <f>'Monthly Data'!BI36</f>
        <v>0</v>
      </c>
      <c r="G36" s="124">
        <f>'Monthly Data'!BK36</f>
        <v>147.30000000000001</v>
      </c>
      <c r="H36">
        <f>'Monthly Data'!BM36</f>
        <v>35</v>
      </c>
      <c r="I36">
        <f>'Monthly Data'!BP36</f>
        <v>0</v>
      </c>
      <c r="J36">
        <f>'Monthly Data'!BV36</f>
        <v>0</v>
      </c>
      <c r="K36">
        <f>'Monthly Data'!CB36</f>
        <v>1</v>
      </c>
      <c r="L36">
        <f>'Monthly Data'!CC36</f>
        <v>30</v>
      </c>
      <c r="N36">
        <f>'GS &lt; 50 OLS Model'!$B$5</f>
        <v>-2510760.1679547098</v>
      </c>
      <c r="O36">
        <f>'GS &lt; 50 OLS Model'!$B$6*E36</f>
        <v>1295103.3921573036</v>
      </c>
      <c r="P36">
        <f>'GS &lt; 50 OLS Model'!$B$7*F36</f>
        <v>0</v>
      </c>
      <c r="Q36">
        <f>'GS &lt; 50 OLS Model'!$B$8*G36</f>
        <v>6030458.6201059166</v>
      </c>
      <c r="R36">
        <f>'GS &lt; 50 OLS Model'!$B$9*H36</f>
        <v>-717242.93566299847</v>
      </c>
      <c r="S36">
        <f>'GS &lt; 50 OLS Model'!$B$10*I36</f>
        <v>0</v>
      </c>
      <c r="T36">
        <f>'GS &lt; 50 OLS Model'!$B$11*J36</f>
        <v>0</v>
      </c>
      <c r="U36">
        <f>'GS &lt; 50 OLS Model'!$B$12*K36</f>
        <v>-782960.312499544</v>
      </c>
      <c r="V36">
        <f>'GS &lt; 50 OLS Model'!$B$13*L36</f>
        <v>13776537.46314018</v>
      </c>
      <c r="W36">
        <f t="shared" si="3"/>
        <v>17091136.059286147</v>
      </c>
      <c r="X36" s="24">
        <f t="shared" ca="1" si="4"/>
        <v>1.4808158186756196E-2</v>
      </c>
    </row>
    <row r="37" spans="1:24">
      <c r="A37" s="26">
        <f>'Monthly Data'!A37</f>
        <v>40878</v>
      </c>
      <c r="B37" s="154">
        <f t="shared" si="1"/>
        <v>12</v>
      </c>
      <c r="C37">
        <f t="shared" si="2"/>
        <v>2011</v>
      </c>
      <c r="D37">
        <f ca="1">'Monthly Data'!J37</f>
        <v>18974962.525991857</v>
      </c>
      <c r="E37">
        <f>'Monthly Data'!BH37</f>
        <v>485.4</v>
      </c>
      <c r="F37">
        <f>'Monthly Data'!BI37</f>
        <v>0</v>
      </c>
      <c r="G37" s="124">
        <f>'Monthly Data'!BK37</f>
        <v>149.30000000000001</v>
      </c>
      <c r="H37">
        <f>'Monthly Data'!BM37</f>
        <v>36</v>
      </c>
      <c r="I37">
        <f>'Monthly Data'!BP37</f>
        <v>0</v>
      </c>
      <c r="J37">
        <f>'Monthly Data'!BV37</f>
        <v>0</v>
      </c>
      <c r="K37">
        <f>'Monthly Data'!CB37</f>
        <v>0</v>
      </c>
      <c r="L37">
        <f>'Monthly Data'!CC37</f>
        <v>31</v>
      </c>
      <c r="N37">
        <f>'GS &lt; 50 OLS Model'!$B$5</f>
        <v>-2510760.1679547098</v>
      </c>
      <c r="O37">
        <f>'GS &lt; 50 OLS Model'!$B$6*E37</f>
        <v>2114507.8592437115</v>
      </c>
      <c r="P37">
        <f>'GS &lt; 50 OLS Model'!$B$7*F37</f>
        <v>0</v>
      </c>
      <c r="Q37">
        <f>'GS &lt; 50 OLS Model'!$B$8*G37</f>
        <v>6112338.5742146196</v>
      </c>
      <c r="R37">
        <f>'GS &lt; 50 OLS Model'!$B$9*H37</f>
        <v>-737735.59096765553</v>
      </c>
      <c r="S37">
        <f>'GS &lt; 50 OLS Model'!$B$10*I37</f>
        <v>0</v>
      </c>
      <c r="T37">
        <f>'GS &lt; 50 OLS Model'!$B$11*J37</f>
        <v>0</v>
      </c>
      <c r="U37">
        <f>'GS &lt; 50 OLS Model'!$B$12*K37</f>
        <v>0</v>
      </c>
      <c r="V37">
        <f>'GS &lt; 50 OLS Model'!$B$13*L37</f>
        <v>14235755.378578186</v>
      </c>
      <c r="W37">
        <f t="shared" si="3"/>
        <v>19214106.053114153</v>
      </c>
      <c r="X37" s="24">
        <f t="shared" ca="1" si="4"/>
        <v>1.2603109323389608E-2</v>
      </c>
    </row>
    <row r="38" spans="1:24">
      <c r="A38" s="26">
        <f>'Monthly Data'!A38</f>
        <v>40909</v>
      </c>
      <c r="B38" s="154">
        <f t="shared" si="1"/>
        <v>1</v>
      </c>
      <c r="C38">
        <f t="shared" si="2"/>
        <v>2012</v>
      </c>
      <c r="D38">
        <f ca="1">'Monthly Data'!J38</f>
        <v>19511148.082728777</v>
      </c>
      <c r="E38">
        <f>'Monthly Data'!BH38</f>
        <v>559.59999999999991</v>
      </c>
      <c r="F38">
        <f>'Monthly Data'!BI38</f>
        <v>0</v>
      </c>
      <c r="G38" s="124">
        <f>'Monthly Data'!BK38</f>
        <v>149.5</v>
      </c>
      <c r="H38">
        <f>'Monthly Data'!BM38</f>
        <v>37</v>
      </c>
      <c r="I38">
        <f>'Monthly Data'!BP38</f>
        <v>0</v>
      </c>
      <c r="J38">
        <f>'Monthly Data'!BV38</f>
        <v>0</v>
      </c>
      <c r="K38">
        <f>'Monthly Data'!CB38</f>
        <v>0</v>
      </c>
      <c r="L38">
        <f>'Monthly Data'!CC38</f>
        <v>31</v>
      </c>
      <c r="N38">
        <f>'GS &lt; 50 OLS Model'!$B$5</f>
        <v>-2510760.1679547098</v>
      </c>
      <c r="O38">
        <f>'GS &lt; 50 OLS Model'!$B$6*E38</f>
        <v>2437739.1801252179</v>
      </c>
      <c r="P38">
        <f>'GS &lt; 50 OLS Model'!$B$7*F38</f>
        <v>0</v>
      </c>
      <c r="Q38">
        <f>'GS &lt; 50 OLS Model'!$B$8*G38</f>
        <v>6120526.5696254894</v>
      </c>
      <c r="R38">
        <f>'GS &lt; 50 OLS Model'!$B$9*H38</f>
        <v>-758228.24627231271</v>
      </c>
      <c r="S38">
        <f>'GS &lt; 50 OLS Model'!$B$10*I38</f>
        <v>0</v>
      </c>
      <c r="T38">
        <f>'GS &lt; 50 OLS Model'!$B$11*J38</f>
        <v>0</v>
      </c>
      <c r="U38">
        <f>'GS &lt; 50 OLS Model'!$B$12*K38</f>
        <v>0</v>
      </c>
      <c r="V38">
        <f>'GS &lt; 50 OLS Model'!$B$13*L38</f>
        <v>14235755.378578186</v>
      </c>
      <c r="W38">
        <f t="shared" si="3"/>
        <v>19525032.714101873</v>
      </c>
      <c r="X38" s="24">
        <f t="shared" ca="1" si="4"/>
        <v>7.1162554423882937E-4</v>
      </c>
    </row>
    <row r="39" spans="1:24">
      <c r="A39" s="26">
        <f>'Monthly Data'!A39</f>
        <v>40940</v>
      </c>
      <c r="B39" s="154">
        <f t="shared" si="1"/>
        <v>2</v>
      </c>
      <c r="C39">
        <f t="shared" si="2"/>
        <v>2012</v>
      </c>
      <c r="D39">
        <f ca="1">'Monthly Data'!J39</f>
        <v>18256163.68848278</v>
      </c>
      <c r="E39">
        <f>'Monthly Data'!BH39</f>
        <v>492.40000000000003</v>
      </c>
      <c r="F39">
        <f>'Monthly Data'!BI39</f>
        <v>0</v>
      </c>
      <c r="G39" s="124">
        <f>'Monthly Data'!BK39</f>
        <v>150.19999999999999</v>
      </c>
      <c r="H39">
        <f>'Monthly Data'!BM39</f>
        <v>38</v>
      </c>
      <c r="I39">
        <f>'Monthly Data'!BP39</f>
        <v>0</v>
      </c>
      <c r="J39">
        <f>'Monthly Data'!BV39</f>
        <v>0</v>
      </c>
      <c r="K39">
        <f>'Monthly Data'!CB39</f>
        <v>0</v>
      </c>
      <c r="L39">
        <f>'Monthly Data'!CC39</f>
        <v>29</v>
      </c>
      <c r="N39">
        <f>'GS &lt; 50 OLS Model'!$B$5</f>
        <v>-2510760.1679547098</v>
      </c>
      <c r="O39">
        <f>'GS &lt; 50 OLS Model'!$B$6*E39</f>
        <v>2145001.3800815898</v>
      </c>
      <c r="P39">
        <f>'GS &lt; 50 OLS Model'!$B$7*F39</f>
        <v>0</v>
      </c>
      <c r="Q39">
        <f>'GS &lt; 50 OLS Model'!$B$8*G39</f>
        <v>6149184.5535635343</v>
      </c>
      <c r="R39">
        <f>'GS &lt; 50 OLS Model'!$B$9*H39</f>
        <v>-778720.90157696977</v>
      </c>
      <c r="S39">
        <f>'GS &lt; 50 OLS Model'!$B$10*I39</f>
        <v>0</v>
      </c>
      <c r="T39">
        <f>'GS &lt; 50 OLS Model'!$B$11*J39</f>
        <v>0</v>
      </c>
      <c r="U39">
        <f>'GS &lt; 50 OLS Model'!$B$12*K39</f>
        <v>0</v>
      </c>
      <c r="V39">
        <f>'GS &lt; 50 OLS Model'!$B$13*L39</f>
        <v>13317319.547702175</v>
      </c>
      <c r="W39">
        <f t="shared" si="3"/>
        <v>18322024.411815621</v>
      </c>
      <c r="X39" s="24">
        <f t="shared" ca="1" si="4"/>
        <v>3.6075883442253718E-3</v>
      </c>
    </row>
    <row r="40" spans="1:24">
      <c r="A40" s="26">
        <f>'Monthly Data'!A40</f>
        <v>40969</v>
      </c>
      <c r="B40" s="154">
        <f t="shared" si="1"/>
        <v>3</v>
      </c>
      <c r="C40">
        <f t="shared" si="2"/>
        <v>2012</v>
      </c>
      <c r="D40">
        <f ca="1">'Monthly Data'!J40</f>
        <v>18096668.85844278</v>
      </c>
      <c r="E40">
        <f>'Monthly Data'!BH40</f>
        <v>250.79999999999995</v>
      </c>
      <c r="F40">
        <f>'Monthly Data'!BI40</f>
        <v>4.8</v>
      </c>
      <c r="G40" s="124">
        <f>'Monthly Data'!BK40</f>
        <v>151.80000000000001</v>
      </c>
      <c r="H40">
        <f>'Monthly Data'!BM40</f>
        <v>39</v>
      </c>
      <c r="I40">
        <f>'Monthly Data'!BP40</f>
        <v>1</v>
      </c>
      <c r="J40">
        <f>'Monthly Data'!BV40</f>
        <v>0</v>
      </c>
      <c r="K40">
        <f>'Monthly Data'!CB40</f>
        <v>1</v>
      </c>
      <c r="L40">
        <f>'Monthly Data'!CC40</f>
        <v>31</v>
      </c>
      <c r="N40">
        <f>'GS &lt; 50 OLS Model'!$B$5</f>
        <v>-2510760.1679547098</v>
      </c>
      <c r="O40">
        <f>'GS &lt; 50 OLS Model'!$B$6*E40</f>
        <v>1092539.289448543</v>
      </c>
      <c r="P40">
        <f>'GS &lt; 50 OLS Model'!$B$7*F40</f>
        <v>113977.90981013664</v>
      </c>
      <c r="Q40">
        <f>'GS &lt; 50 OLS Model'!$B$8*G40</f>
        <v>6214688.5168504966</v>
      </c>
      <c r="R40">
        <f>'GS &lt; 50 OLS Model'!$B$9*H40</f>
        <v>-799213.55688162684</v>
      </c>
      <c r="S40">
        <f>'GS &lt; 50 OLS Model'!$B$10*I40</f>
        <v>419453.43275174301</v>
      </c>
      <c r="T40">
        <f>'GS &lt; 50 OLS Model'!$B$11*J40</f>
        <v>0</v>
      </c>
      <c r="U40">
        <f>'GS &lt; 50 OLS Model'!$B$12*K40</f>
        <v>-782960.312499544</v>
      </c>
      <c r="V40">
        <f>'GS &lt; 50 OLS Model'!$B$13*L40</f>
        <v>14235755.378578186</v>
      </c>
      <c r="W40">
        <f t="shared" si="3"/>
        <v>17983480.490103222</v>
      </c>
      <c r="X40" s="24">
        <f t="shared" ca="1" si="4"/>
        <v>6.2546521254794665E-3</v>
      </c>
    </row>
    <row r="41" spans="1:24">
      <c r="A41" s="26">
        <f>'Monthly Data'!A41</f>
        <v>41000</v>
      </c>
      <c r="B41" s="154">
        <f t="shared" si="1"/>
        <v>4</v>
      </c>
      <c r="C41">
        <f t="shared" si="2"/>
        <v>2012</v>
      </c>
      <c r="D41">
        <f ca="1">'Monthly Data'!J41</f>
        <v>16541459.767637776</v>
      </c>
      <c r="E41">
        <f>'Monthly Data'!BH41</f>
        <v>252.49999999999991</v>
      </c>
      <c r="F41">
        <f>'Monthly Data'!BI41</f>
        <v>4.3</v>
      </c>
      <c r="G41" s="124">
        <f>'Monthly Data'!BK41</f>
        <v>152.5</v>
      </c>
      <c r="H41">
        <f>'Monthly Data'!BM41</f>
        <v>40</v>
      </c>
      <c r="I41">
        <f>'Monthly Data'!BP41</f>
        <v>0</v>
      </c>
      <c r="J41">
        <f>'Monthly Data'!BV41</f>
        <v>0</v>
      </c>
      <c r="K41">
        <f>'Monthly Data'!CB41</f>
        <v>1</v>
      </c>
      <c r="L41">
        <f>'Monthly Data'!CC41</f>
        <v>30</v>
      </c>
      <c r="N41">
        <f>'GS &lt; 50 OLS Model'!$B$5</f>
        <v>-2510760.1679547098</v>
      </c>
      <c r="O41">
        <f>'GS &lt; 50 OLS Model'!$B$6*E41</f>
        <v>1099944.8587948845</v>
      </c>
      <c r="P41">
        <f>'GS &lt; 50 OLS Model'!$B$7*F41</f>
        <v>102105.21087158074</v>
      </c>
      <c r="Q41">
        <f>'GS &lt; 50 OLS Model'!$B$8*G41</f>
        <v>6243346.5007885424</v>
      </c>
      <c r="R41">
        <f>'GS &lt; 50 OLS Model'!$B$9*H41</f>
        <v>-819706.2121862839</v>
      </c>
      <c r="S41">
        <f>'GS &lt; 50 OLS Model'!$B$10*I41</f>
        <v>0</v>
      </c>
      <c r="T41">
        <f>'GS &lt; 50 OLS Model'!$B$11*J41</f>
        <v>0</v>
      </c>
      <c r="U41">
        <f>'GS &lt; 50 OLS Model'!$B$12*K41</f>
        <v>-782960.312499544</v>
      </c>
      <c r="V41">
        <f>'GS &lt; 50 OLS Model'!$B$13*L41</f>
        <v>13776537.46314018</v>
      </c>
      <c r="W41">
        <f t="shared" si="3"/>
        <v>17108507.34095465</v>
      </c>
      <c r="X41" s="24">
        <f t="shared" ca="1" si="4"/>
        <v>3.428038282487398E-2</v>
      </c>
    </row>
    <row r="42" spans="1:24">
      <c r="A42" s="26">
        <f>'Monthly Data'!A42</f>
        <v>41030</v>
      </c>
      <c r="B42" s="154">
        <f t="shared" si="1"/>
        <v>5</v>
      </c>
      <c r="C42">
        <f t="shared" si="2"/>
        <v>2012</v>
      </c>
      <c r="D42">
        <f ca="1">'Monthly Data'!J42</f>
        <v>18171949.748051777</v>
      </c>
      <c r="E42">
        <f>'Monthly Data'!BH42</f>
        <v>48.2</v>
      </c>
      <c r="F42">
        <f>'Monthly Data'!BI42</f>
        <v>59.3</v>
      </c>
      <c r="G42" s="124">
        <f>'Monthly Data'!BK42</f>
        <v>152.69999999999999</v>
      </c>
      <c r="H42">
        <f>'Monthly Data'!BM42</f>
        <v>41</v>
      </c>
      <c r="I42">
        <f>'Monthly Data'!BP42</f>
        <v>0</v>
      </c>
      <c r="J42">
        <f>'Monthly Data'!BV42</f>
        <v>0</v>
      </c>
      <c r="K42">
        <f>'Monthly Data'!CB42</f>
        <v>1</v>
      </c>
      <c r="L42">
        <f>'Monthly Data'!CC42</f>
        <v>31</v>
      </c>
      <c r="N42">
        <f>'GS &lt; 50 OLS Model'!$B$5</f>
        <v>-2510760.1679547098</v>
      </c>
      <c r="O42">
        <f>'GS &lt; 50 OLS Model'!$B$6*E42</f>
        <v>209969.6720551028</v>
      </c>
      <c r="P42">
        <f>'GS &lt; 50 OLS Model'!$B$7*F42</f>
        <v>1408102.0941127299</v>
      </c>
      <c r="Q42">
        <f>'GS &lt; 50 OLS Model'!$B$8*G42</f>
        <v>6251534.4961994123</v>
      </c>
      <c r="R42">
        <f>'GS &lt; 50 OLS Model'!$B$9*H42</f>
        <v>-840198.86749094108</v>
      </c>
      <c r="S42">
        <f>'GS &lt; 50 OLS Model'!$B$10*I42</f>
        <v>0</v>
      </c>
      <c r="T42">
        <f>'GS &lt; 50 OLS Model'!$B$11*J42</f>
        <v>0</v>
      </c>
      <c r="U42">
        <f>'GS &lt; 50 OLS Model'!$B$12*K42</f>
        <v>-782960.312499544</v>
      </c>
      <c r="V42">
        <f>'GS &lt; 50 OLS Model'!$B$13*L42</f>
        <v>14235755.378578186</v>
      </c>
      <c r="W42">
        <f t="shared" si="3"/>
        <v>17971442.293000236</v>
      </c>
      <c r="X42" s="24">
        <f t="shared" ca="1" si="4"/>
        <v>1.1033898829322803E-2</v>
      </c>
    </row>
    <row r="43" spans="1:24">
      <c r="A43" s="26">
        <f>'Monthly Data'!A43</f>
        <v>41061</v>
      </c>
      <c r="B43" s="154">
        <f t="shared" si="1"/>
        <v>6</v>
      </c>
      <c r="C43">
        <f t="shared" ref="C43:C97" si="5">YEAR(A43)</f>
        <v>2012</v>
      </c>
      <c r="D43">
        <f ca="1">'Monthly Data'!J43</f>
        <v>20403300.909939777</v>
      </c>
      <c r="E43">
        <f>'Monthly Data'!BH43</f>
        <v>10.3</v>
      </c>
      <c r="F43">
        <f>'Monthly Data'!BI43</f>
        <v>147.09999999999997</v>
      </c>
      <c r="G43" s="124">
        <f>'Monthly Data'!BK43</f>
        <v>152.6</v>
      </c>
      <c r="H43">
        <f>'Monthly Data'!BM43</f>
        <v>42</v>
      </c>
      <c r="I43">
        <f>'Monthly Data'!BP43</f>
        <v>0</v>
      </c>
      <c r="J43">
        <f>'Monthly Data'!BV43</f>
        <v>0</v>
      </c>
      <c r="K43">
        <f>'Monthly Data'!CB43</f>
        <v>0</v>
      </c>
      <c r="L43">
        <f>'Monthly Data'!CC43</f>
        <v>30</v>
      </c>
      <c r="N43">
        <f>'GS &lt; 50 OLS Model'!$B$5</f>
        <v>-2510760.1679547098</v>
      </c>
      <c r="O43">
        <f>'GS &lt; 50 OLS Model'!$B$6*E43</f>
        <v>44869.037804306201</v>
      </c>
      <c r="P43">
        <f>'GS &lt; 50 OLS Model'!$B$7*F43</f>
        <v>3492948.0277231452</v>
      </c>
      <c r="Q43">
        <f>'GS &lt; 50 OLS Model'!$B$8*G43</f>
        <v>6247440.4984939769</v>
      </c>
      <c r="R43">
        <f>'GS &lt; 50 OLS Model'!$B$9*H43</f>
        <v>-860691.52279559814</v>
      </c>
      <c r="S43">
        <f>'GS &lt; 50 OLS Model'!$B$10*I43</f>
        <v>0</v>
      </c>
      <c r="T43">
        <f>'GS &lt; 50 OLS Model'!$B$11*J43</f>
        <v>0</v>
      </c>
      <c r="U43">
        <f>'GS &lt; 50 OLS Model'!$B$12*K43</f>
        <v>0</v>
      </c>
      <c r="V43">
        <f>'GS &lt; 50 OLS Model'!$B$13*L43</f>
        <v>13776537.46314018</v>
      </c>
      <c r="W43">
        <f t="shared" ref="W43:W97" si="6">SUM(N43:V43)</f>
        <v>20190343.336411301</v>
      </c>
      <c r="X43" s="24">
        <f t="shared" ref="X43:X97" ca="1" si="7">ABS(W43-D43)/D43</f>
        <v>1.0437407871817964E-2</v>
      </c>
    </row>
    <row r="44" spans="1:24">
      <c r="A44" s="26">
        <f>'Monthly Data'!A44</f>
        <v>41091</v>
      </c>
      <c r="B44" s="154">
        <f t="shared" si="1"/>
        <v>7</v>
      </c>
      <c r="C44">
        <f t="shared" si="5"/>
        <v>2012</v>
      </c>
      <c r="D44">
        <f ca="1">'Monthly Data'!J44</f>
        <v>22861363.392034773</v>
      </c>
      <c r="E44">
        <f>'Monthly Data'!BH44</f>
        <v>0</v>
      </c>
      <c r="F44">
        <f>'Monthly Data'!BI44</f>
        <v>235.50000000000009</v>
      </c>
      <c r="G44" s="124">
        <f>'Monthly Data'!BK44</f>
        <v>153.80000000000001</v>
      </c>
      <c r="H44">
        <f>'Monthly Data'!BM44</f>
        <v>43</v>
      </c>
      <c r="I44">
        <f>'Monthly Data'!BP44</f>
        <v>0</v>
      </c>
      <c r="J44">
        <f>'Monthly Data'!BV44</f>
        <v>0</v>
      </c>
      <c r="K44">
        <f>'Monthly Data'!CB44</f>
        <v>0</v>
      </c>
      <c r="L44">
        <f>'Monthly Data'!CC44</f>
        <v>31</v>
      </c>
      <c r="N44">
        <f>'GS &lt; 50 OLS Model'!$B$5</f>
        <v>-2510760.1679547098</v>
      </c>
      <c r="O44">
        <f>'GS &lt; 50 OLS Model'!$B$6*E44</f>
        <v>0</v>
      </c>
      <c r="P44">
        <f>'GS &lt; 50 OLS Model'!$B$7*F44</f>
        <v>5592041.2000598311</v>
      </c>
      <c r="Q44">
        <f>'GS &lt; 50 OLS Model'!$B$8*G44</f>
        <v>6296568.4709591996</v>
      </c>
      <c r="R44">
        <f>'GS &lt; 50 OLS Model'!$B$9*H44</f>
        <v>-881184.1781002552</v>
      </c>
      <c r="S44">
        <f>'GS &lt; 50 OLS Model'!$B$10*I44</f>
        <v>0</v>
      </c>
      <c r="T44">
        <f>'GS &lt; 50 OLS Model'!$B$11*J44</f>
        <v>0</v>
      </c>
      <c r="U44">
        <f>'GS &lt; 50 OLS Model'!$B$12*K44</f>
        <v>0</v>
      </c>
      <c r="V44">
        <f>'GS &lt; 50 OLS Model'!$B$13*L44</f>
        <v>14235755.378578186</v>
      </c>
      <c r="W44">
        <f t="shared" si="6"/>
        <v>22732420.703542255</v>
      </c>
      <c r="X44" s="24">
        <f t="shared" ca="1" si="7"/>
        <v>5.6402011674178366E-3</v>
      </c>
    </row>
    <row r="45" spans="1:24">
      <c r="A45" s="26">
        <f>'Monthly Data'!A45</f>
        <v>41122</v>
      </c>
      <c r="B45" s="154">
        <f t="shared" si="1"/>
        <v>8</v>
      </c>
      <c r="C45">
        <f t="shared" si="5"/>
        <v>2012</v>
      </c>
      <c r="D45">
        <f ca="1">'Monthly Data'!J45</f>
        <v>21118978.986886777</v>
      </c>
      <c r="E45">
        <f>'Monthly Data'!BH45</f>
        <v>0.7</v>
      </c>
      <c r="F45">
        <f>'Monthly Data'!BI45</f>
        <v>143.69999999999999</v>
      </c>
      <c r="G45" s="124">
        <f>'Monthly Data'!BK45</f>
        <v>154.5</v>
      </c>
      <c r="H45">
        <f>'Monthly Data'!BM45</f>
        <v>44</v>
      </c>
      <c r="I45">
        <f>'Monthly Data'!BP45</f>
        <v>0</v>
      </c>
      <c r="J45">
        <f>'Monthly Data'!BV45</f>
        <v>0</v>
      </c>
      <c r="K45">
        <f>'Monthly Data'!CB45</f>
        <v>0</v>
      </c>
      <c r="L45">
        <f>'Monthly Data'!CC45</f>
        <v>31</v>
      </c>
      <c r="N45">
        <f>'GS &lt; 50 OLS Model'!$B$5</f>
        <v>-2510760.1679547098</v>
      </c>
      <c r="O45">
        <f>'GS &lt; 50 OLS Model'!$B$6*E45</f>
        <v>3049.3520837877995</v>
      </c>
      <c r="P45">
        <f>'GS &lt; 50 OLS Model'!$B$7*F45</f>
        <v>3412213.6749409656</v>
      </c>
      <c r="Q45">
        <f>'GS &lt; 50 OLS Model'!$B$8*G45</f>
        <v>6325226.4548972445</v>
      </c>
      <c r="R45">
        <f>'GS &lt; 50 OLS Model'!$B$9*H45</f>
        <v>-901676.83340491238</v>
      </c>
      <c r="S45">
        <f>'GS &lt; 50 OLS Model'!$B$10*I45</f>
        <v>0</v>
      </c>
      <c r="T45">
        <f>'GS &lt; 50 OLS Model'!$B$11*J45</f>
        <v>0</v>
      </c>
      <c r="U45">
        <f>'GS &lt; 50 OLS Model'!$B$12*K45</f>
        <v>0</v>
      </c>
      <c r="V45">
        <f>'GS &lt; 50 OLS Model'!$B$13*L45</f>
        <v>14235755.378578186</v>
      </c>
      <c r="W45">
        <f t="shared" si="6"/>
        <v>20563807.85914056</v>
      </c>
      <c r="X45" s="24">
        <f t="shared" ca="1" si="7"/>
        <v>2.6287782571824826E-2</v>
      </c>
    </row>
    <row r="46" spans="1:24">
      <c r="A46" s="26">
        <f>'Monthly Data'!A46</f>
        <v>41153</v>
      </c>
      <c r="B46" s="154">
        <f t="shared" si="1"/>
        <v>9</v>
      </c>
      <c r="C46">
        <f t="shared" si="5"/>
        <v>2012</v>
      </c>
      <c r="D46">
        <f ca="1">'Monthly Data'!J46</f>
        <v>18170205.46941378</v>
      </c>
      <c r="E46">
        <f>'Monthly Data'!BH46</f>
        <v>53.2</v>
      </c>
      <c r="F46">
        <f>'Monthly Data'!BI46</f>
        <v>50.29999999999999</v>
      </c>
      <c r="G46" s="124">
        <f>'Monthly Data'!BK46</f>
        <v>155.1</v>
      </c>
      <c r="H46">
        <f>'Monthly Data'!BM46</f>
        <v>45</v>
      </c>
      <c r="I46">
        <f>'Monthly Data'!BP46</f>
        <v>0</v>
      </c>
      <c r="J46">
        <f>'Monthly Data'!BV46</f>
        <v>1</v>
      </c>
      <c r="K46">
        <f>'Monthly Data'!CB46</f>
        <v>1</v>
      </c>
      <c r="L46">
        <f>'Monthly Data'!CC46</f>
        <v>30</v>
      </c>
      <c r="N46">
        <f>'GS &lt; 50 OLS Model'!$B$5</f>
        <v>-2510760.1679547098</v>
      </c>
      <c r="O46">
        <f>'GS &lt; 50 OLS Model'!$B$6*E46</f>
        <v>231750.7583678728</v>
      </c>
      <c r="P46">
        <f>'GS &lt; 50 OLS Model'!$B$7*F46</f>
        <v>1194393.5132187235</v>
      </c>
      <c r="Q46">
        <f>'GS &lt; 50 OLS Model'!$B$8*G46</f>
        <v>6349790.4411298549</v>
      </c>
      <c r="R46">
        <f>'GS &lt; 50 OLS Model'!$B$9*H46</f>
        <v>-922169.48870956944</v>
      </c>
      <c r="S46">
        <f>'GS &lt; 50 OLS Model'!$B$10*I46</f>
        <v>0</v>
      </c>
      <c r="T46">
        <f>'GS &lt; 50 OLS Model'!$B$11*J46</f>
        <v>697390.17362184904</v>
      </c>
      <c r="U46">
        <f>'GS &lt; 50 OLS Model'!$B$12*K46</f>
        <v>-782960.312499544</v>
      </c>
      <c r="V46">
        <f>'GS &lt; 50 OLS Model'!$B$13*L46</f>
        <v>13776537.46314018</v>
      </c>
      <c r="W46">
        <f t="shared" si="6"/>
        <v>18033972.380314659</v>
      </c>
      <c r="X46" s="24">
        <f t="shared" ca="1" si="7"/>
        <v>7.4976086169440325E-3</v>
      </c>
    </row>
    <row r="47" spans="1:24">
      <c r="A47" s="26">
        <f>'Monthly Data'!A47</f>
        <v>41183</v>
      </c>
      <c r="B47" s="154">
        <f t="shared" si="1"/>
        <v>10</v>
      </c>
      <c r="C47">
        <f t="shared" si="5"/>
        <v>2012</v>
      </c>
      <c r="D47">
        <f ca="1">'Monthly Data'!J47</f>
        <v>17220595.803868778</v>
      </c>
      <c r="E47">
        <f>'Monthly Data'!BH47</f>
        <v>207.19999999999996</v>
      </c>
      <c r="F47">
        <f>'Monthly Data'!BI47</f>
        <v>5.6</v>
      </c>
      <c r="G47" s="124">
        <f>'Monthly Data'!BK47</f>
        <v>154.30000000000001</v>
      </c>
      <c r="H47">
        <f>'Monthly Data'!BM47</f>
        <v>46</v>
      </c>
      <c r="I47">
        <f>'Monthly Data'!BP47</f>
        <v>0</v>
      </c>
      <c r="J47">
        <f>'Monthly Data'!BV47</f>
        <v>0</v>
      </c>
      <c r="K47">
        <f>'Monthly Data'!CB47</f>
        <v>1</v>
      </c>
      <c r="L47">
        <f>'Monthly Data'!CC47</f>
        <v>31</v>
      </c>
      <c r="N47">
        <f>'GS &lt; 50 OLS Model'!$B$5</f>
        <v>-2510760.1679547098</v>
      </c>
      <c r="O47">
        <f>'GS &lt; 50 OLS Model'!$B$6*E47</f>
        <v>902608.21680118854</v>
      </c>
      <c r="P47">
        <f>'GS &lt; 50 OLS Model'!$B$7*F47</f>
        <v>132974.22811182609</v>
      </c>
      <c r="Q47">
        <f>'GS &lt; 50 OLS Model'!$B$8*G47</f>
        <v>6317038.4594863746</v>
      </c>
      <c r="R47">
        <f>'GS &lt; 50 OLS Model'!$B$9*H47</f>
        <v>-942662.14401422651</v>
      </c>
      <c r="S47">
        <f>'GS &lt; 50 OLS Model'!$B$10*I47</f>
        <v>0</v>
      </c>
      <c r="T47">
        <f>'GS &lt; 50 OLS Model'!$B$11*J47</f>
        <v>0</v>
      </c>
      <c r="U47">
        <f>'GS &lt; 50 OLS Model'!$B$12*K47</f>
        <v>-782960.312499544</v>
      </c>
      <c r="V47">
        <f>'GS &lt; 50 OLS Model'!$B$13*L47</f>
        <v>14235755.378578186</v>
      </c>
      <c r="W47">
        <f t="shared" si="6"/>
        <v>17351993.658509094</v>
      </c>
      <c r="X47" s="24">
        <f t="shared" ca="1" si="7"/>
        <v>7.6302734317006838E-3</v>
      </c>
    </row>
    <row r="48" spans="1:24">
      <c r="A48" s="26">
        <f>'Monthly Data'!A48</f>
        <v>41214</v>
      </c>
      <c r="B48" s="154">
        <f t="shared" si="1"/>
        <v>11</v>
      </c>
      <c r="C48">
        <f t="shared" si="5"/>
        <v>2012</v>
      </c>
      <c r="D48">
        <f ca="1">'Monthly Data'!J48</f>
        <v>17668478.376731779</v>
      </c>
      <c r="E48">
        <f>'Monthly Data'!BH48</f>
        <v>405.49999999999994</v>
      </c>
      <c r="F48">
        <f>'Monthly Data'!BI48</f>
        <v>0</v>
      </c>
      <c r="G48" s="124">
        <f>'Monthly Data'!BK48</f>
        <v>153.80000000000001</v>
      </c>
      <c r="H48">
        <f>'Monthly Data'!BM48</f>
        <v>47</v>
      </c>
      <c r="I48">
        <f>'Monthly Data'!BP48</f>
        <v>0</v>
      </c>
      <c r="J48">
        <f>'Monthly Data'!BV48</f>
        <v>0</v>
      </c>
      <c r="K48">
        <f>'Monthly Data'!CB48</f>
        <v>1</v>
      </c>
      <c r="L48">
        <f>'Monthly Data'!CC48</f>
        <v>30</v>
      </c>
      <c r="N48">
        <f>'GS &lt; 50 OLS Model'!$B$5</f>
        <v>-2510760.1679547098</v>
      </c>
      <c r="O48">
        <f>'GS &lt; 50 OLS Model'!$B$6*E48</f>
        <v>1766446.0999656466</v>
      </c>
      <c r="P48">
        <f>'GS &lt; 50 OLS Model'!$B$7*F48</f>
        <v>0</v>
      </c>
      <c r="Q48">
        <f>'GS &lt; 50 OLS Model'!$B$8*G48</f>
        <v>6296568.4709591996</v>
      </c>
      <c r="R48">
        <f>'GS &lt; 50 OLS Model'!$B$9*H48</f>
        <v>-963154.79931888368</v>
      </c>
      <c r="S48">
        <f>'GS &lt; 50 OLS Model'!$B$10*I48</f>
        <v>0</v>
      </c>
      <c r="T48">
        <f>'GS &lt; 50 OLS Model'!$B$11*J48</f>
        <v>0</v>
      </c>
      <c r="U48">
        <f>'GS &lt; 50 OLS Model'!$B$12*K48</f>
        <v>-782960.312499544</v>
      </c>
      <c r="V48">
        <f>'GS &lt; 50 OLS Model'!$B$13*L48</f>
        <v>13776537.46314018</v>
      </c>
      <c r="W48">
        <f t="shared" si="6"/>
        <v>17582676.754291888</v>
      </c>
      <c r="X48" s="24">
        <f t="shared" ca="1" si="7"/>
        <v>4.8561976085550289E-3</v>
      </c>
    </row>
    <row r="49" spans="1:24">
      <c r="A49" s="26">
        <f>'Monthly Data'!A49</f>
        <v>41244</v>
      </c>
      <c r="B49" s="154">
        <f t="shared" si="1"/>
        <v>12</v>
      </c>
      <c r="C49">
        <f t="shared" si="5"/>
        <v>2012</v>
      </c>
      <c r="D49">
        <f ca="1">'Monthly Data'!J49</f>
        <v>19040828.537305772</v>
      </c>
      <c r="E49">
        <f>'Monthly Data'!BH49</f>
        <v>484.20000000000005</v>
      </c>
      <c r="F49">
        <f>'Monthly Data'!BI49</f>
        <v>0</v>
      </c>
      <c r="G49" s="124">
        <f>'Monthly Data'!BK49</f>
        <v>152.9</v>
      </c>
      <c r="H49">
        <f>'Monthly Data'!BM49</f>
        <v>48</v>
      </c>
      <c r="I49">
        <f>'Monthly Data'!BP49</f>
        <v>0</v>
      </c>
      <c r="J49">
        <f>'Monthly Data'!BV49</f>
        <v>0</v>
      </c>
      <c r="K49">
        <f>'Monthly Data'!CB49</f>
        <v>0</v>
      </c>
      <c r="L49">
        <f>'Monthly Data'!CC49</f>
        <v>31</v>
      </c>
      <c r="N49">
        <f>'GS &lt; 50 OLS Model'!$B$5</f>
        <v>-2510760.1679547098</v>
      </c>
      <c r="O49">
        <f>'GS &lt; 50 OLS Model'!$B$6*E49</f>
        <v>2109280.3985286467</v>
      </c>
      <c r="P49">
        <f>'GS &lt; 50 OLS Model'!$B$7*F49</f>
        <v>0</v>
      </c>
      <c r="Q49">
        <f>'GS &lt; 50 OLS Model'!$B$8*G49</f>
        <v>6259722.491610283</v>
      </c>
      <c r="R49">
        <f>'GS &lt; 50 OLS Model'!$B$9*H49</f>
        <v>-983647.45462354075</v>
      </c>
      <c r="S49">
        <f>'GS &lt; 50 OLS Model'!$B$10*I49</f>
        <v>0</v>
      </c>
      <c r="T49">
        <f>'GS &lt; 50 OLS Model'!$B$11*J49</f>
        <v>0</v>
      </c>
      <c r="U49">
        <f>'GS &lt; 50 OLS Model'!$B$12*K49</f>
        <v>0</v>
      </c>
      <c r="V49">
        <f>'GS &lt; 50 OLS Model'!$B$13*L49</f>
        <v>14235755.378578186</v>
      </c>
      <c r="W49">
        <f t="shared" si="6"/>
        <v>19110350.646138866</v>
      </c>
      <c r="X49" s="24">
        <f t="shared" ca="1" si="7"/>
        <v>3.6512123774909218E-3</v>
      </c>
    </row>
    <row r="50" spans="1:24">
      <c r="A50" s="26">
        <f>'Monthly Data'!A50</f>
        <v>41275</v>
      </c>
      <c r="B50" s="154">
        <f t="shared" si="1"/>
        <v>1</v>
      </c>
      <c r="C50">
        <f t="shared" si="5"/>
        <v>2013</v>
      </c>
      <c r="D50">
        <f ca="1">'Monthly Data'!J50</f>
        <v>19918645.038127154</v>
      </c>
      <c r="E50">
        <f>'Monthly Data'!BH50</f>
        <v>598.19999999999993</v>
      </c>
      <c r="F50">
        <f>'Monthly Data'!BI50</f>
        <v>0</v>
      </c>
      <c r="G50" s="124">
        <f>'Monthly Data'!BK50</f>
        <v>151.4</v>
      </c>
      <c r="H50">
        <f>'Monthly Data'!BM50</f>
        <v>49</v>
      </c>
      <c r="I50">
        <f>'Monthly Data'!BP50</f>
        <v>0</v>
      </c>
      <c r="J50">
        <f>'Monthly Data'!BV50</f>
        <v>0</v>
      </c>
      <c r="K50">
        <f>'Monthly Data'!CB50</f>
        <v>0</v>
      </c>
      <c r="L50">
        <f>'Monthly Data'!CC50</f>
        <v>31</v>
      </c>
      <c r="N50">
        <f>'GS &lt; 50 OLS Model'!$B$5</f>
        <v>-2510760.1679547098</v>
      </c>
      <c r="O50">
        <f>'GS &lt; 50 OLS Model'!$B$6*E50</f>
        <v>2605889.1664598025</v>
      </c>
      <c r="P50">
        <f>'GS &lt; 50 OLS Model'!$B$7*F50</f>
        <v>0</v>
      </c>
      <c r="Q50">
        <f>'GS &lt; 50 OLS Model'!$B$8*G50</f>
        <v>6198312.5260287561</v>
      </c>
      <c r="R50">
        <f>'GS &lt; 50 OLS Model'!$B$9*H50</f>
        <v>-1004140.1099281978</v>
      </c>
      <c r="S50">
        <f>'GS &lt; 50 OLS Model'!$B$10*I50</f>
        <v>0</v>
      </c>
      <c r="T50">
        <f>'GS &lt; 50 OLS Model'!$B$11*J50</f>
        <v>0</v>
      </c>
      <c r="U50">
        <f>'GS &lt; 50 OLS Model'!$B$12*K50</f>
        <v>0</v>
      </c>
      <c r="V50">
        <f>'GS &lt; 50 OLS Model'!$B$13*L50</f>
        <v>14235755.378578186</v>
      </c>
      <c r="W50">
        <f t="shared" si="6"/>
        <v>19525056.793183837</v>
      </c>
      <c r="X50" s="24">
        <f t="shared" ca="1" si="7"/>
        <v>1.9759790095658238E-2</v>
      </c>
    </row>
    <row r="51" spans="1:24">
      <c r="A51" s="26">
        <f>'Monthly Data'!A51</f>
        <v>41306</v>
      </c>
      <c r="B51" s="154">
        <f t="shared" si="1"/>
        <v>2</v>
      </c>
      <c r="C51">
        <f t="shared" si="5"/>
        <v>2013</v>
      </c>
      <c r="D51">
        <f ca="1">'Monthly Data'!J51</f>
        <v>18479022.427723158</v>
      </c>
      <c r="E51">
        <f>'Monthly Data'!BH51</f>
        <v>574.80000000000007</v>
      </c>
      <c r="F51">
        <f>'Monthly Data'!BI51</f>
        <v>0</v>
      </c>
      <c r="G51" s="124">
        <f>'Monthly Data'!BK51</f>
        <v>151.9</v>
      </c>
      <c r="H51">
        <f>'Monthly Data'!BM51</f>
        <v>50</v>
      </c>
      <c r="I51">
        <f>'Monthly Data'!BP51</f>
        <v>0</v>
      </c>
      <c r="J51">
        <f>'Monthly Data'!BV51</f>
        <v>0</v>
      </c>
      <c r="K51">
        <f>'Monthly Data'!CB51</f>
        <v>0</v>
      </c>
      <c r="L51">
        <f>'Monthly Data'!CC51</f>
        <v>28</v>
      </c>
      <c r="N51">
        <f>'GS &lt; 50 OLS Model'!$B$5</f>
        <v>-2510760.1679547098</v>
      </c>
      <c r="O51">
        <f>'GS &lt; 50 OLS Model'!$B$6*E51</f>
        <v>2503953.6825160393</v>
      </c>
      <c r="P51">
        <f>'GS &lt; 50 OLS Model'!$B$7*F51</f>
        <v>0</v>
      </c>
      <c r="Q51">
        <f>'GS &lt; 50 OLS Model'!$B$8*G51</f>
        <v>6218782.514555932</v>
      </c>
      <c r="R51">
        <f>'GS &lt; 50 OLS Model'!$B$9*H51</f>
        <v>-1024632.765232855</v>
      </c>
      <c r="S51">
        <f>'GS &lt; 50 OLS Model'!$B$10*I51</f>
        <v>0</v>
      </c>
      <c r="T51">
        <f>'GS &lt; 50 OLS Model'!$B$11*J51</f>
        <v>0</v>
      </c>
      <c r="U51">
        <f>'GS &lt; 50 OLS Model'!$B$12*K51</f>
        <v>0</v>
      </c>
      <c r="V51">
        <f>'GS &lt; 50 OLS Model'!$B$13*L51</f>
        <v>12858101.632264167</v>
      </c>
      <c r="W51">
        <f t="shared" si="6"/>
        <v>18045444.896148574</v>
      </c>
      <c r="X51" s="24">
        <f t="shared" ca="1" si="7"/>
        <v>2.3463228819080265E-2</v>
      </c>
    </row>
    <row r="52" spans="1:24">
      <c r="A52" s="26">
        <f>'Monthly Data'!A52</f>
        <v>41334</v>
      </c>
      <c r="B52" s="154">
        <f t="shared" si="1"/>
        <v>3</v>
      </c>
      <c r="C52">
        <f t="shared" si="5"/>
        <v>2013</v>
      </c>
      <c r="D52">
        <f ca="1">'Monthly Data'!J52</f>
        <v>19344536.573703159</v>
      </c>
      <c r="E52">
        <f>'Monthly Data'!BH52</f>
        <v>505.20000000000005</v>
      </c>
      <c r="F52">
        <f>'Monthly Data'!BI52</f>
        <v>0</v>
      </c>
      <c r="G52" s="124">
        <f>'Monthly Data'!BK52</f>
        <v>152.4</v>
      </c>
      <c r="H52">
        <f>'Monthly Data'!BM52</f>
        <v>51</v>
      </c>
      <c r="I52">
        <f>'Monthly Data'!BP52</f>
        <v>1</v>
      </c>
      <c r="J52">
        <f>'Monthly Data'!BV52</f>
        <v>0</v>
      </c>
      <c r="K52">
        <f>'Monthly Data'!CB52</f>
        <v>1</v>
      </c>
      <c r="L52">
        <f>'Monthly Data'!CC52</f>
        <v>31</v>
      </c>
      <c r="N52">
        <f>'GS &lt; 50 OLS Model'!$B$5</f>
        <v>-2510760.1679547098</v>
      </c>
      <c r="O52">
        <f>'GS &lt; 50 OLS Model'!$B$6*E52</f>
        <v>2200760.9610422808</v>
      </c>
      <c r="P52">
        <f>'GS &lt; 50 OLS Model'!$B$7*F52</f>
        <v>0</v>
      </c>
      <c r="Q52">
        <f>'GS &lt; 50 OLS Model'!$B$8*G52</f>
        <v>6239252.5030831071</v>
      </c>
      <c r="R52">
        <f>'GS &lt; 50 OLS Model'!$B$9*H52</f>
        <v>-1045125.4205375121</v>
      </c>
      <c r="S52">
        <f>'GS &lt; 50 OLS Model'!$B$10*I52</f>
        <v>419453.43275174301</v>
      </c>
      <c r="T52">
        <f>'GS &lt; 50 OLS Model'!$B$11*J52</f>
        <v>0</v>
      </c>
      <c r="U52">
        <f>'GS &lt; 50 OLS Model'!$B$12*K52</f>
        <v>-782960.312499544</v>
      </c>
      <c r="V52">
        <f>'GS &lt; 50 OLS Model'!$B$13*L52</f>
        <v>14235755.378578186</v>
      </c>
      <c r="W52">
        <f t="shared" si="6"/>
        <v>18756376.374463551</v>
      </c>
      <c r="X52" s="24">
        <f t="shared" ca="1" si="7"/>
        <v>3.0404460556535076E-2</v>
      </c>
    </row>
    <row r="53" spans="1:24">
      <c r="A53" s="26">
        <f>'Monthly Data'!A53</f>
        <v>41365</v>
      </c>
      <c r="B53" s="154">
        <f t="shared" si="1"/>
        <v>4</v>
      </c>
      <c r="C53">
        <f t="shared" si="5"/>
        <v>2013</v>
      </c>
      <c r="D53">
        <f ca="1">'Monthly Data'!J53</f>
        <v>17496135.743099157</v>
      </c>
      <c r="E53">
        <f>'Monthly Data'!BH53</f>
        <v>300.19999999999993</v>
      </c>
      <c r="F53">
        <f>'Monthly Data'!BI53</f>
        <v>0</v>
      </c>
      <c r="G53" s="124">
        <f>'Monthly Data'!BK53</f>
        <v>154.4</v>
      </c>
      <c r="H53">
        <f>'Monthly Data'!BM53</f>
        <v>52</v>
      </c>
      <c r="I53">
        <f>'Monthly Data'!BP53</f>
        <v>0</v>
      </c>
      <c r="J53">
        <f>'Monthly Data'!BV53</f>
        <v>0</v>
      </c>
      <c r="K53">
        <f>'Monthly Data'!CB53</f>
        <v>1</v>
      </c>
      <c r="L53">
        <f>'Monthly Data'!CC53</f>
        <v>30</v>
      </c>
      <c r="N53">
        <f>'GS &lt; 50 OLS Model'!$B$5</f>
        <v>-2510760.1679547098</v>
      </c>
      <c r="O53">
        <f>'GS &lt; 50 OLS Model'!$B$6*E53</f>
        <v>1307736.4222187104</v>
      </c>
      <c r="P53">
        <f>'GS &lt; 50 OLS Model'!$B$7*F53</f>
        <v>0</v>
      </c>
      <c r="Q53">
        <f>'GS &lt; 50 OLS Model'!$B$8*G53</f>
        <v>6321132.45719181</v>
      </c>
      <c r="R53">
        <f>'GS &lt; 50 OLS Model'!$B$9*H53</f>
        <v>-1065618.0758421691</v>
      </c>
      <c r="S53">
        <f>'GS &lt; 50 OLS Model'!$B$10*I53</f>
        <v>0</v>
      </c>
      <c r="T53">
        <f>'GS &lt; 50 OLS Model'!$B$11*J53</f>
        <v>0</v>
      </c>
      <c r="U53">
        <f>'GS &lt; 50 OLS Model'!$B$12*K53</f>
        <v>-782960.312499544</v>
      </c>
      <c r="V53">
        <f>'GS &lt; 50 OLS Model'!$B$13*L53</f>
        <v>13776537.46314018</v>
      </c>
      <c r="W53">
        <f t="shared" si="6"/>
        <v>17046067.786254279</v>
      </c>
      <c r="X53" s="24">
        <f t="shared" ca="1" si="7"/>
        <v>2.5723849166087644E-2</v>
      </c>
    </row>
    <row r="54" spans="1:24">
      <c r="A54" s="26">
        <f>'Monthly Data'!A54</f>
        <v>41395</v>
      </c>
      <c r="B54" s="154">
        <f t="shared" si="1"/>
        <v>5</v>
      </c>
      <c r="C54">
        <f t="shared" si="5"/>
        <v>2013</v>
      </c>
      <c r="D54">
        <f ca="1">'Monthly Data'!J54</f>
        <v>18053028.241128158</v>
      </c>
      <c r="E54">
        <f>'Monthly Data'!BH54</f>
        <v>73.300000000000011</v>
      </c>
      <c r="F54">
        <f>'Monthly Data'!BI54</f>
        <v>59.899999999999991</v>
      </c>
      <c r="G54" s="124">
        <f>'Monthly Data'!BK54</f>
        <v>155.30000000000001</v>
      </c>
      <c r="H54">
        <f>'Monthly Data'!BM54</f>
        <v>53</v>
      </c>
      <c r="I54">
        <f>'Monthly Data'!BP54</f>
        <v>0</v>
      </c>
      <c r="J54">
        <f>'Monthly Data'!BV54</f>
        <v>0</v>
      </c>
      <c r="K54">
        <f>'Monthly Data'!CB54</f>
        <v>1</v>
      </c>
      <c r="L54">
        <f>'Monthly Data'!CC54</f>
        <v>31</v>
      </c>
      <c r="N54">
        <f>'GS &lt; 50 OLS Model'!$B$5</f>
        <v>-2510760.1679547098</v>
      </c>
      <c r="O54">
        <f>'GS &lt; 50 OLS Model'!$B$6*E54</f>
        <v>319310.72534520825</v>
      </c>
      <c r="P54">
        <f>'GS &lt; 50 OLS Model'!$B$7*F54</f>
        <v>1422349.3328389968</v>
      </c>
      <c r="Q54">
        <f>'GS &lt; 50 OLS Model'!$B$8*G54</f>
        <v>6357978.4365407256</v>
      </c>
      <c r="R54">
        <f>'GS &lt; 50 OLS Model'!$B$9*H54</f>
        <v>-1086110.7311468262</v>
      </c>
      <c r="S54">
        <f>'GS &lt; 50 OLS Model'!$B$10*I54</f>
        <v>0</v>
      </c>
      <c r="T54">
        <f>'GS &lt; 50 OLS Model'!$B$11*J54</f>
        <v>0</v>
      </c>
      <c r="U54">
        <f>'GS &lt; 50 OLS Model'!$B$12*K54</f>
        <v>-782960.312499544</v>
      </c>
      <c r="V54">
        <f>'GS &lt; 50 OLS Model'!$B$13*L54</f>
        <v>14235755.378578186</v>
      </c>
      <c r="W54">
        <f t="shared" si="6"/>
        <v>17955562.661702037</v>
      </c>
      <c r="X54" s="24">
        <f t="shared" ca="1" si="7"/>
        <v>5.3988493301127313E-3</v>
      </c>
    </row>
    <row r="55" spans="1:24">
      <c r="A55" s="26">
        <f>'Monthly Data'!A55</f>
        <v>41426</v>
      </c>
      <c r="B55" s="154">
        <f t="shared" si="1"/>
        <v>6</v>
      </c>
      <c r="C55">
        <f t="shared" si="5"/>
        <v>2013</v>
      </c>
      <c r="D55">
        <f ca="1">'Monthly Data'!J55</f>
        <v>19266723.806833159</v>
      </c>
      <c r="E55">
        <f>'Monthly Data'!BH55</f>
        <v>14.700000000000001</v>
      </c>
      <c r="F55">
        <f>'Monthly Data'!BI55</f>
        <v>103.49999999999999</v>
      </c>
      <c r="G55" s="124">
        <f>'Monthly Data'!BK55</f>
        <v>156.1</v>
      </c>
      <c r="H55">
        <f>'Monthly Data'!BM55</f>
        <v>54</v>
      </c>
      <c r="I55">
        <f>'Monthly Data'!BP55</f>
        <v>0</v>
      </c>
      <c r="J55">
        <f>'Monthly Data'!BV55</f>
        <v>0</v>
      </c>
      <c r="K55">
        <f>'Monthly Data'!CB55</f>
        <v>0</v>
      </c>
      <c r="L55">
        <f>'Monthly Data'!CC55</f>
        <v>30</v>
      </c>
      <c r="N55">
        <f>'GS &lt; 50 OLS Model'!$B$5</f>
        <v>-2510760.1679547098</v>
      </c>
      <c r="O55">
        <f>'GS &lt; 50 OLS Model'!$B$6*E55</f>
        <v>64036.393759543804</v>
      </c>
      <c r="P55">
        <f>'GS &lt; 50 OLS Model'!$B$7*F55</f>
        <v>2457648.680281071</v>
      </c>
      <c r="Q55">
        <f>'GS &lt; 50 OLS Model'!$B$8*G55</f>
        <v>6390730.4181842059</v>
      </c>
      <c r="R55">
        <f>'GS &lt; 50 OLS Model'!$B$9*H55</f>
        <v>-1106603.3864514832</v>
      </c>
      <c r="S55">
        <f>'GS &lt; 50 OLS Model'!$B$10*I55</f>
        <v>0</v>
      </c>
      <c r="T55">
        <f>'GS &lt; 50 OLS Model'!$B$11*J55</f>
        <v>0</v>
      </c>
      <c r="U55">
        <f>'GS &lt; 50 OLS Model'!$B$12*K55</f>
        <v>0</v>
      </c>
      <c r="V55">
        <f>'GS &lt; 50 OLS Model'!$B$13*L55</f>
        <v>13776537.46314018</v>
      </c>
      <c r="W55">
        <f t="shared" si="6"/>
        <v>19071589.400958806</v>
      </c>
      <c r="X55" s="24">
        <f t="shared" ca="1" si="7"/>
        <v>1.0128053312579604E-2</v>
      </c>
    </row>
    <row r="56" spans="1:24">
      <c r="A56" s="26">
        <f>'Monthly Data'!A56</f>
        <v>41456</v>
      </c>
      <c r="B56" s="154">
        <f t="shared" si="1"/>
        <v>7</v>
      </c>
      <c r="C56">
        <f t="shared" si="5"/>
        <v>2013</v>
      </c>
      <c r="D56">
        <f ca="1">'Monthly Data'!J56</f>
        <v>21311982.975834161</v>
      </c>
      <c r="E56">
        <f>'Monthly Data'!BH56</f>
        <v>1.5</v>
      </c>
      <c r="F56">
        <f>'Monthly Data'!BI56</f>
        <v>174.80000000000004</v>
      </c>
      <c r="G56" s="124">
        <f>'Monthly Data'!BK56</f>
        <v>156</v>
      </c>
      <c r="H56">
        <f>'Monthly Data'!BM56</f>
        <v>55</v>
      </c>
      <c r="I56">
        <f>'Monthly Data'!BP56</f>
        <v>0</v>
      </c>
      <c r="J56">
        <f>'Monthly Data'!BV56</f>
        <v>0</v>
      </c>
      <c r="K56">
        <f>'Monthly Data'!CB56</f>
        <v>0</v>
      </c>
      <c r="L56">
        <f>'Monthly Data'!CC56</f>
        <v>31</v>
      </c>
      <c r="N56">
        <f>'GS &lt; 50 OLS Model'!$B$5</f>
        <v>-2510760.1679547098</v>
      </c>
      <c r="O56">
        <f>'GS &lt; 50 OLS Model'!$B$6*E56</f>
        <v>6534.3258938309991</v>
      </c>
      <c r="P56">
        <f>'GS &lt; 50 OLS Model'!$B$7*F56</f>
        <v>4150695.5489191441</v>
      </c>
      <c r="Q56">
        <f>'GS &lt; 50 OLS Model'!$B$8*G56</f>
        <v>6386636.4204787714</v>
      </c>
      <c r="R56">
        <f>'GS &lt; 50 OLS Model'!$B$9*H56</f>
        <v>-1127096.0417561405</v>
      </c>
      <c r="S56">
        <f>'GS &lt; 50 OLS Model'!$B$10*I56</f>
        <v>0</v>
      </c>
      <c r="T56">
        <f>'GS &lt; 50 OLS Model'!$B$11*J56</f>
        <v>0</v>
      </c>
      <c r="U56">
        <f>'GS &lt; 50 OLS Model'!$B$12*K56</f>
        <v>0</v>
      </c>
      <c r="V56">
        <f>'GS &lt; 50 OLS Model'!$B$13*L56</f>
        <v>14235755.378578186</v>
      </c>
      <c r="W56">
        <f t="shared" si="6"/>
        <v>21141765.464159083</v>
      </c>
      <c r="X56" s="24">
        <f t="shared" ca="1" si="7"/>
        <v>7.9869391725814302E-3</v>
      </c>
    </row>
    <row r="57" spans="1:24">
      <c r="A57" s="26">
        <f>'Monthly Data'!A57</f>
        <v>41487</v>
      </c>
      <c r="B57" s="154">
        <f t="shared" si="1"/>
        <v>8</v>
      </c>
      <c r="C57">
        <f t="shared" si="5"/>
        <v>2013</v>
      </c>
      <c r="D57">
        <f ca="1">'Monthly Data'!J57</f>
        <v>20411785.122910541</v>
      </c>
      <c r="E57">
        <f>'Monthly Data'!BH57</f>
        <v>1.2</v>
      </c>
      <c r="F57">
        <f>'Monthly Data'!BI57</f>
        <v>134.29999999999998</v>
      </c>
      <c r="G57" s="124">
        <f>'Monthly Data'!BK57</f>
        <v>155.80000000000001</v>
      </c>
      <c r="H57">
        <f>'Monthly Data'!BM57</f>
        <v>56</v>
      </c>
      <c r="I57">
        <f>'Monthly Data'!BP57</f>
        <v>0</v>
      </c>
      <c r="J57">
        <f>'Monthly Data'!BV57</f>
        <v>0</v>
      </c>
      <c r="K57">
        <f>'Monthly Data'!CB57</f>
        <v>0</v>
      </c>
      <c r="L57">
        <f>'Monthly Data'!CC57</f>
        <v>31</v>
      </c>
      <c r="N57">
        <f>'GS &lt; 50 OLS Model'!$B$5</f>
        <v>-2510760.1679547098</v>
      </c>
      <c r="O57">
        <f>'GS &lt; 50 OLS Model'!$B$6*E57</f>
        <v>5227.4607150647998</v>
      </c>
      <c r="P57">
        <f>'GS &lt; 50 OLS Model'!$B$7*F57</f>
        <v>3189006.9348961147</v>
      </c>
      <c r="Q57">
        <f>'GS &lt; 50 OLS Model'!$B$8*G57</f>
        <v>6378448.4250679016</v>
      </c>
      <c r="R57">
        <f>'GS &lt; 50 OLS Model'!$B$9*H57</f>
        <v>-1147588.6970607976</v>
      </c>
      <c r="S57">
        <f>'GS &lt; 50 OLS Model'!$B$10*I57</f>
        <v>0</v>
      </c>
      <c r="T57">
        <f>'GS &lt; 50 OLS Model'!$B$11*J57</f>
        <v>0</v>
      </c>
      <c r="U57">
        <f>'GS &lt; 50 OLS Model'!$B$12*K57</f>
        <v>0</v>
      </c>
      <c r="V57">
        <f>'GS &lt; 50 OLS Model'!$B$13*L57</f>
        <v>14235755.378578186</v>
      </c>
      <c r="W57">
        <f t="shared" si="6"/>
        <v>20150089.334241759</v>
      </c>
      <c r="X57" s="24">
        <f t="shared" ca="1" si="7"/>
        <v>1.2820818321032081E-2</v>
      </c>
    </row>
    <row r="58" spans="1:24">
      <c r="A58" s="26">
        <f>'Monthly Data'!A58</f>
        <v>41518</v>
      </c>
      <c r="B58" s="154">
        <f t="shared" si="1"/>
        <v>9</v>
      </c>
      <c r="C58">
        <f t="shared" si="5"/>
        <v>2013</v>
      </c>
      <c r="D58">
        <f ca="1">'Monthly Data'!J58</f>
        <v>18727336.210364576</v>
      </c>
      <c r="E58">
        <f>'Monthly Data'!BH58</f>
        <v>41.2</v>
      </c>
      <c r="F58">
        <f>'Monthly Data'!BI58</f>
        <v>65.3</v>
      </c>
      <c r="G58" s="124">
        <f>'Monthly Data'!BK58</f>
        <v>154</v>
      </c>
      <c r="H58">
        <f>'Monthly Data'!BM58</f>
        <v>57</v>
      </c>
      <c r="I58">
        <f>'Monthly Data'!BP58</f>
        <v>0</v>
      </c>
      <c r="J58">
        <f>'Monthly Data'!BV58</f>
        <v>1</v>
      </c>
      <c r="K58">
        <f>'Monthly Data'!CB58</f>
        <v>1</v>
      </c>
      <c r="L58">
        <f>'Monthly Data'!CC58</f>
        <v>30</v>
      </c>
      <c r="N58">
        <f>'GS &lt; 50 OLS Model'!$B$5</f>
        <v>-2510760.1679547098</v>
      </c>
      <c r="O58">
        <f>'GS &lt; 50 OLS Model'!$B$6*E58</f>
        <v>179476.1512172248</v>
      </c>
      <c r="P58">
        <f>'GS &lt; 50 OLS Model'!$B$7*F58</f>
        <v>1550574.4813754007</v>
      </c>
      <c r="Q58">
        <f>'GS &lt; 50 OLS Model'!$B$8*G58</f>
        <v>6304756.4663700685</v>
      </c>
      <c r="R58">
        <f>'GS &lt; 50 OLS Model'!$B$9*H58</f>
        <v>-1168081.3523654547</v>
      </c>
      <c r="S58">
        <f>'GS &lt; 50 OLS Model'!$B$10*I58</f>
        <v>0</v>
      </c>
      <c r="T58">
        <f>'GS &lt; 50 OLS Model'!$B$11*J58</f>
        <v>697390.17362184904</v>
      </c>
      <c r="U58">
        <f>'GS &lt; 50 OLS Model'!$B$12*K58</f>
        <v>-782960.312499544</v>
      </c>
      <c r="V58">
        <f>'GS &lt; 50 OLS Model'!$B$13*L58</f>
        <v>13776537.46314018</v>
      </c>
      <c r="W58">
        <f t="shared" si="6"/>
        <v>18046932.902905017</v>
      </c>
      <c r="X58" s="24">
        <f t="shared" ca="1" si="7"/>
        <v>3.6332092285660603E-2</v>
      </c>
    </row>
    <row r="59" spans="1:24">
      <c r="A59" s="26">
        <f>'Monthly Data'!A59</f>
        <v>41548</v>
      </c>
      <c r="B59" s="154">
        <f t="shared" si="1"/>
        <v>10</v>
      </c>
      <c r="C59">
        <f t="shared" si="5"/>
        <v>2013</v>
      </c>
      <c r="D59">
        <f ca="1">'Monthly Data'!J59</f>
        <v>17638387.428440351</v>
      </c>
      <c r="E59">
        <f>'Monthly Data'!BH59</f>
        <v>170.49999999999997</v>
      </c>
      <c r="F59">
        <f>'Monthly Data'!BI59</f>
        <v>19.899999999999999</v>
      </c>
      <c r="G59" s="124">
        <f>'Monthly Data'!BK59</f>
        <v>154.5</v>
      </c>
      <c r="H59">
        <f>'Monthly Data'!BM59</f>
        <v>58</v>
      </c>
      <c r="I59">
        <f>'Monthly Data'!BP59</f>
        <v>0</v>
      </c>
      <c r="J59">
        <f>'Monthly Data'!BV59</f>
        <v>0</v>
      </c>
      <c r="K59">
        <f>'Monthly Data'!CB59</f>
        <v>1</v>
      </c>
      <c r="L59">
        <f>'Monthly Data'!CC59</f>
        <v>31</v>
      </c>
      <c r="N59">
        <f>'GS &lt; 50 OLS Model'!$B$5</f>
        <v>-2510760.1679547098</v>
      </c>
      <c r="O59">
        <f>'GS &lt; 50 OLS Model'!$B$6*E59</f>
        <v>742735.0432654568</v>
      </c>
      <c r="P59">
        <f>'GS &lt; 50 OLS Model'!$B$7*F59</f>
        <v>472533.41775452479</v>
      </c>
      <c r="Q59">
        <f>'GS &lt; 50 OLS Model'!$B$8*G59</f>
        <v>6325226.4548972445</v>
      </c>
      <c r="R59">
        <f>'GS &lt; 50 OLS Model'!$B$9*H59</f>
        <v>-1188574.0076701117</v>
      </c>
      <c r="S59">
        <f>'GS &lt; 50 OLS Model'!$B$10*I59</f>
        <v>0</v>
      </c>
      <c r="T59">
        <f>'GS &lt; 50 OLS Model'!$B$11*J59</f>
        <v>0</v>
      </c>
      <c r="U59">
        <f>'GS &lt; 50 OLS Model'!$B$12*K59</f>
        <v>-782960.312499544</v>
      </c>
      <c r="V59">
        <f>'GS &lt; 50 OLS Model'!$B$13*L59</f>
        <v>14235755.378578186</v>
      </c>
      <c r="W59">
        <f t="shared" si="6"/>
        <v>17293955.806371044</v>
      </c>
      <c r="X59" s="24">
        <f t="shared" ca="1" si="7"/>
        <v>1.9527387266363189E-2</v>
      </c>
    </row>
    <row r="60" spans="1:24">
      <c r="A60" s="26">
        <f>'Monthly Data'!A60</f>
        <v>41579</v>
      </c>
      <c r="B60" s="154">
        <f t="shared" si="1"/>
        <v>11</v>
      </c>
      <c r="C60">
        <f t="shared" si="5"/>
        <v>2013</v>
      </c>
      <c r="D60">
        <f ca="1">'Monthly Data'!J60</f>
        <v>18020884.044720925</v>
      </c>
      <c r="E60">
        <f>'Monthly Data'!BH60</f>
        <v>424.9</v>
      </c>
      <c r="F60">
        <f>'Monthly Data'!BI60</f>
        <v>0</v>
      </c>
      <c r="G60" s="124">
        <f>'Monthly Data'!BK60</f>
        <v>155</v>
      </c>
      <c r="H60">
        <f>'Monthly Data'!BM60</f>
        <v>59</v>
      </c>
      <c r="I60">
        <f>'Monthly Data'!BP60</f>
        <v>0</v>
      </c>
      <c r="J60">
        <f>'Monthly Data'!BV60</f>
        <v>0</v>
      </c>
      <c r="K60">
        <f>'Monthly Data'!CB60</f>
        <v>1</v>
      </c>
      <c r="L60">
        <f>'Monthly Data'!CC60</f>
        <v>30</v>
      </c>
      <c r="N60">
        <f>'GS &lt; 50 OLS Model'!$B$5</f>
        <v>-2510760.1679547098</v>
      </c>
      <c r="O60">
        <f>'GS &lt; 50 OLS Model'!$B$6*E60</f>
        <v>1850956.7148591944</v>
      </c>
      <c r="P60">
        <f>'GS &lt; 50 OLS Model'!$B$7*F60</f>
        <v>0</v>
      </c>
      <c r="Q60">
        <f>'GS &lt; 50 OLS Model'!$B$8*G60</f>
        <v>6345696.4434244204</v>
      </c>
      <c r="R60">
        <f>'GS &lt; 50 OLS Model'!$B$9*H60</f>
        <v>-1209066.6629747688</v>
      </c>
      <c r="S60">
        <f>'GS &lt; 50 OLS Model'!$B$10*I60</f>
        <v>0</v>
      </c>
      <c r="T60">
        <f>'GS &lt; 50 OLS Model'!$B$11*J60</f>
        <v>0</v>
      </c>
      <c r="U60">
        <f>'GS &lt; 50 OLS Model'!$B$12*K60</f>
        <v>-782960.312499544</v>
      </c>
      <c r="V60">
        <f>'GS &lt; 50 OLS Model'!$B$13*L60</f>
        <v>13776537.46314018</v>
      </c>
      <c r="W60">
        <f t="shared" si="6"/>
        <v>17470403.477994774</v>
      </c>
      <c r="X60" s="24">
        <f t="shared" ca="1" si="7"/>
        <v>3.0546812540387592E-2</v>
      </c>
    </row>
    <row r="61" spans="1:24">
      <c r="A61" s="26">
        <f>'Monthly Data'!A61</f>
        <v>41609</v>
      </c>
      <c r="B61" s="154">
        <f t="shared" si="1"/>
        <v>12</v>
      </c>
      <c r="C61">
        <f t="shared" si="5"/>
        <v>2013</v>
      </c>
      <c r="D61">
        <f ca="1">'Monthly Data'!J61</f>
        <v>20066633.254348345</v>
      </c>
      <c r="E61">
        <f>'Monthly Data'!BH61</f>
        <v>614.30000000000007</v>
      </c>
      <c r="F61">
        <f>'Monthly Data'!BI61</f>
        <v>0</v>
      </c>
      <c r="G61" s="124">
        <f>'Monthly Data'!BK61</f>
        <v>157</v>
      </c>
      <c r="H61">
        <f>'Monthly Data'!BM61</f>
        <v>60</v>
      </c>
      <c r="I61">
        <f>'Monthly Data'!BP61</f>
        <v>0</v>
      </c>
      <c r="J61">
        <f>'Monthly Data'!BV61</f>
        <v>0</v>
      </c>
      <c r="K61">
        <f>'Monthly Data'!CB61</f>
        <v>0</v>
      </c>
      <c r="L61">
        <f>'Monthly Data'!CC61</f>
        <v>31</v>
      </c>
      <c r="N61">
        <f>'GS &lt; 50 OLS Model'!$B$5</f>
        <v>-2510760.1679547098</v>
      </c>
      <c r="O61">
        <f>'GS &lt; 50 OLS Model'!$B$6*E61</f>
        <v>2676024.2643869221</v>
      </c>
      <c r="P61">
        <f>'GS &lt; 50 OLS Model'!$B$7*F61</f>
        <v>0</v>
      </c>
      <c r="Q61">
        <f>'GS &lt; 50 OLS Model'!$B$8*G61</f>
        <v>6427576.3975331225</v>
      </c>
      <c r="R61">
        <f>'GS &lt; 50 OLS Model'!$B$9*H61</f>
        <v>-1229559.3182794258</v>
      </c>
      <c r="S61">
        <f>'GS &lt; 50 OLS Model'!$B$10*I61</f>
        <v>0</v>
      </c>
      <c r="T61">
        <f>'GS &lt; 50 OLS Model'!$B$11*J61</f>
        <v>0</v>
      </c>
      <c r="U61">
        <f>'GS &lt; 50 OLS Model'!$B$12*K61</f>
        <v>0</v>
      </c>
      <c r="V61">
        <f>'GS &lt; 50 OLS Model'!$B$13*L61</f>
        <v>14235755.378578186</v>
      </c>
      <c r="W61">
        <f t="shared" si="6"/>
        <v>19599036.554264095</v>
      </c>
      <c r="X61" s="24">
        <f t="shared" ca="1" si="7"/>
        <v>2.3302199933460409E-2</v>
      </c>
    </row>
    <row r="62" spans="1:24">
      <c r="A62" s="26">
        <f>'Monthly Data'!A62</f>
        <v>41640</v>
      </c>
      <c r="B62" s="154">
        <f t="shared" si="1"/>
        <v>1</v>
      </c>
      <c r="C62">
        <f t="shared" si="5"/>
        <v>2014</v>
      </c>
      <c r="D62">
        <f ca="1">'Monthly Data'!J62</f>
        <v>21303777.783872336</v>
      </c>
      <c r="E62">
        <f>'Monthly Data'!BH62</f>
        <v>784.99999999999977</v>
      </c>
      <c r="F62">
        <f>'Monthly Data'!BI62</f>
        <v>0</v>
      </c>
      <c r="G62" s="124">
        <f>'Monthly Data'!BK62</f>
        <v>157.6</v>
      </c>
      <c r="H62">
        <f>'Monthly Data'!BM62</f>
        <v>61</v>
      </c>
      <c r="I62">
        <f>'Monthly Data'!BP62</f>
        <v>0</v>
      </c>
      <c r="J62">
        <f>'Monthly Data'!BV62</f>
        <v>0</v>
      </c>
      <c r="K62">
        <f>'Monthly Data'!CB62</f>
        <v>0</v>
      </c>
      <c r="L62">
        <f>'Monthly Data'!CC62</f>
        <v>31</v>
      </c>
      <c r="N62">
        <f>'GS &lt; 50 OLS Model'!$B$5</f>
        <v>-2510760.1679547098</v>
      </c>
      <c r="O62">
        <f>'GS &lt; 50 OLS Model'!$B$6*E62</f>
        <v>3419630.5511048888</v>
      </c>
      <c r="P62">
        <f>'GS &lt; 50 OLS Model'!$B$7*F62</f>
        <v>0</v>
      </c>
      <c r="Q62">
        <f>'GS &lt; 50 OLS Model'!$B$8*G62</f>
        <v>6452140.3837657329</v>
      </c>
      <c r="R62">
        <f>'GS &lt; 50 OLS Model'!$B$9*H62</f>
        <v>-1250051.9735840831</v>
      </c>
      <c r="S62">
        <f>'GS &lt; 50 OLS Model'!$B$10*I62</f>
        <v>0</v>
      </c>
      <c r="T62">
        <f>'GS &lt; 50 OLS Model'!$B$11*J62</f>
        <v>0</v>
      </c>
      <c r="U62">
        <f>'GS &lt; 50 OLS Model'!$B$12*K62</f>
        <v>0</v>
      </c>
      <c r="V62">
        <f>'GS &lt; 50 OLS Model'!$B$13*L62</f>
        <v>14235755.378578186</v>
      </c>
      <c r="W62">
        <f t="shared" si="6"/>
        <v>20346714.171910014</v>
      </c>
      <c r="X62" s="24">
        <f t="shared" ca="1" si="7"/>
        <v>4.4924596082055034E-2</v>
      </c>
    </row>
    <row r="63" spans="1:24">
      <c r="A63" s="26">
        <f>'Monthly Data'!A63</f>
        <v>41671</v>
      </c>
      <c r="B63" s="154">
        <f t="shared" si="1"/>
        <v>2</v>
      </c>
      <c r="C63">
        <f t="shared" si="5"/>
        <v>2014</v>
      </c>
      <c r="D63">
        <f ca="1">'Monthly Data'!J63</f>
        <v>19099984.13925432</v>
      </c>
      <c r="E63">
        <f>'Monthly Data'!BH63</f>
        <v>674.19999999999982</v>
      </c>
      <c r="F63">
        <f>'Monthly Data'!BI63</f>
        <v>0</v>
      </c>
      <c r="G63" s="124">
        <f>'Monthly Data'!BK63</f>
        <v>156.4</v>
      </c>
      <c r="H63">
        <f>'Monthly Data'!BM63</f>
        <v>62</v>
      </c>
      <c r="I63">
        <f>'Monthly Data'!BP63</f>
        <v>0</v>
      </c>
      <c r="J63">
        <f>'Monthly Data'!BV63</f>
        <v>0</v>
      </c>
      <c r="K63">
        <f>'Monthly Data'!CB63</f>
        <v>0</v>
      </c>
      <c r="L63">
        <f>'Monthly Data'!CC63</f>
        <v>28</v>
      </c>
      <c r="N63">
        <f>'GS &lt; 50 OLS Model'!$B$5</f>
        <v>-2510760.1679547098</v>
      </c>
      <c r="O63">
        <f>'GS &lt; 50 OLS Model'!$B$6*E63</f>
        <v>2936961.6784139057</v>
      </c>
      <c r="P63">
        <f>'GS &lt; 50 OLS Model'!$B$7*F63</f>
        <v>0</v>
      </c>
      <c r="Q63">
        <f>'GS &lt; 50 OLS Model'!$B$8*G63</f>
        <v>6403012.411300512</v>
      </c>
      <c r="R63">
        <f>'GS &lt; 50 OLS Model'!$B$9*H63</f>
        <v>-1270544.6288887402</v>
      </c>
      <c r="S63">
        <f>'GS &lt; 50 OLS Model'!$B$10*I63</f>
        <v>0</v>
      </c>
      <c r="T63">
        <f>'GS &lt; 50 OLS Model'!$B$11*J63</f>
        <v>0</v>
      </c>
      <c r="U63">
        <f>'GS &lt; 50 OLS Model'!$B$12*K63</f>
        <v>0</v>
      </c>
      <c r="V63">
        <f>'GS &lt; 50 OLS Model'!$B$13*L63</f>
        <v>12858101.632264167</v>
      </c>
      <c r="W63">
        <f t="shared" si="6"/>
        <v>18416770.925135136</v>
      </c>
      <c r="X63" s="24">
        <f t="shared" ca="1" si="7"/>
        <v>3.5770355050454929E-2</v>
      </c>
    </row>
    <row r="64" spans="1:24">
      <c r="A64" s="26">
        <f>'Monthly Data'!A64</f>
        <v>41699</v>
      </c>
      <c r="B64" s="154">
        <f t="shared" si="1"/>
        <v>3</v>
      </c>
      <c r="C64">
        <f t="shared" si="5"/>
        <v>2014</v>
      </c>
      <c r="D64">
        <f ca="1">'Monthly Data'!J64</f>
        <v>19585691.607345648</v>
      </c>
      <c r="E64">
        <f>'Monthly Data'!BH64</f>
        <v>591.90000000000009</v>
      </c>
      <c r="F64">
        <f>'Monthly Data'!BI64</f>
        <v>0</v>
      </c>
      <c r="G64" s="124">
        <f>'Monthly Data'!BK64</f>
        <v>155.30000000000001</v>
      </c>
      <c r="H64">
        <f>'Monthly Data'!BM64</f>
        <v>63</v>
      </c>
      <c r="I64">
        <f>'Monthly Data'!BP64</f>
        <v>1</v>
      </c>
      <c r="J64">
        <f>'Monthly Data'!BV64</f>
        <v>0</v>
      </c>
      <c r="K64">
        <f>'Monthly Data'!CB64</f>
        <v>1</v>
      </c>
      <c r="L64">
        <f>'Monthly Data'!CC64</f>
        <v>31</v>
      </c>
      <c r="N64">
        <f>'GS &lt; 50 OLS Model'!$B$5</f>
        <v>-2510760.1679547098</v>
      </c>
      <c r="O64">
        <f>'GS &lt; 50 OLS Model'!$B$6*E64</f>
        <v>2578444.9977057129</v>
      </c>
      <c r="P64">
        <f>'GS &lt; 50 OLS Model'!$B$7*F64</f>
        <v>0</v>
      </c>
      <c r="Q64">
        <f>'GS &lt; 50 OLS Model'!$B$8*G64</f>
        <v>6357978.4365407256</v>
      </c>
      <c r="R64">
        <f>'GS &lt; 50 OLS Model'!$B$9*H64</f>
        <v>-1291037.2841933973</v>
      </c>
      <c r="S64">
        <f>'GS &lt; 50 OLS Model'!$B$10*I64</f>
        <v>419453.43275174301</v>
      </c>
      <c r="T64">
        <f>'GS &lt; 50 OLS Model'!$B$11*J64</f>
        <v>0</v>
      </c>
      <c r="U64">
        <f>'GS &lt; 50 OLS Model'!$B$12*K64</f>
        <v>-782960.312499544</v>
      </c>
      <c r="V64">
        <f>'GS &lt; 50 OLS Model'!$B$13*L64</f>
        <v>14235755.378578186</v>
      </c>
      <c r="W64">
        <f t="shared" si="6"/>
        <v>19006874.480928715</v>
      </c>
      <c r="X64" s="24">
        <f t="shared" ca="1" si="7"/>
        <v>2.955306036779658E-2</v>
      </c>
    </row>
    <row r="65" spans="1:24">
      <c r="A65" s="26">
        <f>'Monthly Data'!A65</f>
        <v>41730</v>
      </c>
      <c r="B65" s="154">
        <f t="shared" si="1"/>
        <v>4</v>
      </c>
      <c r="C65">
        <f t="shared" si="5"/>
        <v>2014</v>
      </c>
      <c r="D65">
        <f ca="1">'Monthly Data'!J65</f>
        <v>16922663.676998418</v>
      </c>
      <c r="E65">
        <f>'Monthly Data'!BH65</f>
        <v>253.7</v>
      </c>
      <c r="F65">
        <f>'Monthly Data'!BI65</f>
        <v>0</v>
      </c>
      <c r="G65" s="124">
        <f>'Monthly Data'!BK65</f>
        <v>152.9</v>
      </c>
      <c r="H65">
        <f>'Monthly Data'!BM65</f>
        <v>64</v>
      </c>
      <c r="I65">
        <f>'Monthly Data'!BP65</f>
        <v>0</v>
      </c>
      <c r="J65">
        <f>'Monthly Data'!BV65</f>
        <v>0</v>
      </c>
      <c r="K65">
        <f>'Monthly Data'!CB65</f>
        <v>1</v>
      </c>
      <c r="L65">
        <f>'Monthly Data'!CC65</f>
        <v>30</v>
      </c>
      <c r="N65">
        <f>'GS &lt; 50 OLS Model'!$B$5</f>
        <v>-2510760.1679547098</v>
      </c>
      <c r="O65">
        <f>'GS &lt; 50 OLS Model'!$B$6*E65</f>
        <v>1105172.3195099498</v>
      </c>
      <c r="P65">
        <f>'GS &lt; 50 OLS Model'!$B$7*F65</f>
        <v>0</v>
      </c>
      <c r="Q65">
        <f>'GS &lt; 50 OLS Model'!$B$8*G65</f>
        <v>6259722.491610283</v>
      </c>
      <c r="R65">
        <f>'GS &lt; 50 OLS Model'!$B$9*H65</f>
        <v>-1311529.9394980543</v>
      </c>
      <c r="S65">
        <f>'GS &lt; 50 OLS Model'!$B$10*I65</f>
        <v>0</v>
      </c>
      <c r="T65">
        <f>'GS &lt; 50 OLS Model'!$B$11*J65</f>
        <v>0</v>
      </c>
      <c r="U65">
        <f>'GS &lt; 50 OLS Model'!$B$12*K65</f>
        <v>-782960.312499544</v>
      </c>
      <c r="V65">
        <f>'GS &lt; 50 OLS Model'!$B$13*L65</f>
        <v>13776537.46314018</v>
      </c>
      <c r="W65">
        <f t="shared" si="6"/>
        <v>16536181.854308106</v>
      </c>
      <c r="X65" s="24">
        <f t="shared" ca="1" si="7"/>
        <v>2.2838119935907297E-2</v>
      </c>
    </row>
    <row r="66" spans="1:24">
      <c r="A66" s="26">
        <f>'Monthly Data'!A66</f>
        <v>41760</v>
      </c>
      <c r="B66" s="154">
        <f t="shared" ref="B66:B120" si="8">MONTH(A66)</f>
        <v>5</v>
      </c>
      <c r="C66">
        <f t="shared" si="5"/>
        <v>2014</v>
      </c>
      <c r="D66">
        <f ca="1">'Monthly Data'!J66</f>
        <v>17613446.724568356</v>
      </c>
      <c r="E66">
        <f>'Monthly Data'!BH66</f>
        <v>90.600000000000009</v>
      </c>
      <c r="F66">
        <f>'Monthly Data'!BI66</f>
        <v>36.4</v>
      </c>
      <c r="G66" s="124">
        <f>'Monthly Data'!BK66</f>
        <v>152.1</v>
      </c>
      <c r="H66">
        <f>'Monthly Data'!BM66</f>
        <v>65</v>
      </c>
      <c r="I66">
        <f>'Monthly Data'!BP66</f>
        <v>0</v>
      </c>
      <c r="J66">
        <f>'Monthly Data'!BV66</f>
        <v>0</v>
      </c>
      <c r="K66">
        <f>'Monthly Data'!CB66</f>
        <v>1</v>
      </c>
      <c r="L66">
        <f>'Monthly Data'!CC66</f>
        <v>31</v>
      </c>
      <c r="N66">
        <f>'GS &lt; 50 OLS Model'!$B$5</f>
        <v>-2510760.1679547098</v>
      </c>
      <c r="O66">
        <f>'GS &lt; 50 OLS Model'!$B$6*E66</f>
        <v>394673.28398739244</v>
      </c>
      <c r="P66">
        <f>'GS &lt; 50 OLS Model'!$B$7*F66</f>
        <v>864332.48272686952</v>
      </c>
      <c r="Q66">
        <f>'GS &lt; 50 OLS Model'!$B$8*G66</f>
        <v>6226970.5099668019</v>
      </c>
      <c r="R66">
        <f>'GS &lt; 50 OLS Model'!$B$9*H66</f>
        <v>-1332022.5948027114</v>
      </c>
      <c r="S66">
        <f>'GS &lt; 50 OLS Model'!$B$10*I66</f>
        <v>0</v>
      </c>
      <c r="T66">
        <f>'GS &lt; 50 OLS Model'!$B$11*J66</f>
        <v>0</v>
      </c>
      <c r="U66">
        <f>'GS &lt; 50 OLS Model'!$B$12*K66</f>
        <v>-782960.312499544</v>
      </c>
      <c r="V66">
        <f>'GS &lt; 50 OLS Model'!$B$13*L66</f>
        <v>14235755.378578186</v>
      </c>
      <c r="W66">
        <f t="shared" si="6"/>
        <v>17095988.580002286</v>
      </c>
      <c r="X66" s="24">
        <f t="shared" ca="1" si="7"/>
        <v>2.9378585160409674E-2</v>
      </c>
    </row>
    <row r="67" spans="1:24">
      <c r="A67" s="26">
        <f>'Monthly Data'!A67</f>
        <v>41791</v>
      </c>
      <c r="B67" s="154">
        <f t="shared" si="8"/>
        <v>6</v>
      </c>
      <c r="C67">
        <f t="shared" si="5"/>
        <v>2014</v>
      </c>
      <c r="D67">
        <f ca="1">'Monthly Data'!J67</f>
        <v>18970931.054170139</v>
      </c>
      <c r="E67">
        <f>'Monthly Data'!BH67</f>
        <v>2.4000000000000004</v>
      </c>
      <c r="F67">
        <f>'Monthly Data'!BI67</f>
        <v>123.29999999999997</v>
      </c>
      <c r="G67" s="124">
        <f>'Monthly Data'!BK67</f>
        <v>150.80000000000001</v>
      </c>
      <c r="H67">
        <f>'Monthly Data'!BM67</f>
        <v>66</v>
      </c>
      <c r="I67">
        <f>'Monthly Data'!BP67</f>
        <v>0</v>
      </c>
      <c r="J67">
        <f>'Monthly Data'!BV67</f>
        <v>0</v>
      </c>
      <c r="K67">
        <f>'Monthly Data'!CB67</f>
        <v>0</v>
      </c>
      <c r="L67">
        <f>'Monthly Data'!CC67</f>
        <v>30</v>
      </c>
      <c r="N67">
        <f>'GS &lt; 50 OLS Model'!$B$5</f>
        <v>-2510760.1679547098</v>
      </c>
      <c r="O67">
        <f>'GS &lt; 50 OLS Model'!$B$6*E67</f>
        <v>10454.921430129602</v>
      </c>
      <c r="P67">
        <f>'GS &lt; 50 OLS Model'!$B$7*F67</f>
        <v>2927807.5582478843</v>
      </c>
      <c r="Q67">
        <f>'GS &lt; 50 OLS Model'!$B$8*G67</f>
        <v>6173748.5397961456</v>
      </c>
      <c r="R67">
        <f>'GS &lt; 50 OLS Model'!$B$9*H67</f>
        <v>-1352515.2501073685</v>
      </c>
      <c r="S67">
        <f>'GS &lt; 50 OLS Model'!$B$10*I67</f>
        <v>0</v>
      </c>
      <c r="T67">
        <f>'GS &lt; 50 OLS Model'!$B$11*J67</f>
        <v>0</v>
      </c>
      <c r="U67">
        <f>'GS &lt; 50 OLS Model'!$B$12*K67</f>
        <v>0</v>
      </c>
      <c r="V67">
        <f>'GS &lt; 50 OLS Model'!$B$13*L67</f>
        <v>13776537.46314018</v>
      </c>
      <c r="W67">
        <f t="shared" si="6"/>
        <v>19025273.064552262</v>
      </c>
      <c r="X67" s="24">
        <f t="shared" ca="1" si="7"/>
        <v>2.8644883177822724E-3</v>
      </c>
    </row>
    <row r="68" spans="1:24">
      <c r="A68" s="26">
        <f>'Monthly Data'!A68</f>
        <v>41821</v>
      </c>
      <c r="B68" s="154">
        <f t="shared" si="8"/>
        <v>7</v>
      </c>
      <c r="C68">
        <f t="shared" si="5"/>
        <v>2014</v>
      </c>
      <c r="D68">
        <f ca="1">'Monthly Data'!J68</f>
        <v>19855708.900343191</v>
      </c>
      <c r="E68">
        <f>'Monthly Data'!BH68</f>
        <v>0.7</v>
      </c>
      <c r="F68">
        <f>'Monthly Data'!BI68</f>
        <v>113.59999999999997</v>
      </c>
      <c r="G68" s="124">
        <f>'Monthly Data'!BK68</f>
        <v>152.1</v>
      </c>
      <c r="H68">
        <f>'Monthly Data'!BM68</f>
        <v>67</v>
      </c>
      <c r="I68">
        <f>'Monthly Data'!BP68</f>
        <v>0</v>
      </c>
      <c r="J68">
        <f>'Monthly Data'!BV68</f>
        <v>0</v>
      </c>
      <c r="K68">
        <f>'Monthly Data'!CB68</f>
        <v>0</v>
      </c>
      <c r="L68">
        <f>'Monthly Data'!CC68</f>
        <v>31</v>
      </c>
      <c r="N68">
        <f>'GS &lt; 50 OLS Model'!$B$5</f>
        <v>-2510760.1679547098</v>
      </c>
      <c r="O68">
        <f>'GS &lt; 50 OLS Model'!$B$6*E68</f>
        <v>3049.3520837877995</v>
      </c>
      <c r="P68">
        <f>'GS &lt; 50 OLS Model'!$B$7*F68</f>
        <v>2697477.1988399001</v>
      </c>
      <c r="Q68">
        <f>'GS &lt; 50 OLS Model'!$B$8*G68</f>
        <v>6226970.5099668019</v>
      </c>
      <c r="R68">
        <f>'GS &lt; 50 OLS Model'!$B$9*H68</f>
        <v>-1373007.9054120255</v>
      </c>
      <c r="S68">
        <f>'GS &lt; 50 OLS Model'!$B$10*I68</f>
        <v>0</v>
      </c>
      <c r="T68">
        <f>'GS &lt; 50 OLS Model'!$B$11*J68</f>
        <v>0</v>
      </c>
      <c r="U68">
        <f>'GS &lt; 50 OLS Model'!$B$12*K68</f>
        <v>0</v>
      </c>
      <c r="V68">
        <f>'GS &lt; 50 OLS Model'!$B$13*L68</f>
        <v>14235755.378578186</v>
      </c>
      <c r="W68">
        <f t="shared" si="6"/>
        <v>19279484.366101939</v>
      </c>
      <c r="X68" s="24">
        <f t="shared" ca="1" si="7"/>
        <v>2.9020597407695276E-2</v>
      </c>
    </row>
    <row r="69" spans="1:24">
      <c r="A69" s="26">
        <f>'Monthly Data'!A69</f>
        <v>41852</v>
      </c>
      <c r="B69" s="154">
        <f t="shared" si="8"/>
        <v>8</v>
      </c>
      <c r="C69">
        <f t="shared" si="5"/>
        <v>2014</v>
      </c>
      <c r="D69">
        <f ca="1">'Monthly Data'!J69</f>
        <v>19611045.207169671</v>
      </c>
      <c r="E69">
        <f>'Monthly Data'!BH69</f>
        <v>0.7</v>
      </c>
      <c r="F69">
        <f>'Monthly Data'!BI69</f>
        <v>130.19999999999996</v>
      </c>
      <c r="G69" s="124">
        <f>'Monthly Data'!BK69</f>
        <v>153.30000000000001</v>
      </c>
      <c r="H69">
        <f>'Monthly Data'!BM69</f>
        <v>68</v>
      </c>
      <c r="I69">
        <f>'Monthly Data'!BP69</f>
        <v>0</v>
      </c>
      <c r="J69">
        <f>'Monthly Data'!BV69</f>
        <v>0</v>
      </c>
      <c r="K69">
        <f>'Monthly Data'!CB69</f>
        <v>0</v>
      </c>
      <c r="L69">
        <f>'Monthly Data'!CC69</f>
        <v>31</v>
      </c>
      <c r="N69">
        <f>'GS &lt; 50 OLS Model'!$B$5</f>
        <v>-2510760.1679547098</v>
      </c>
      <c r="O69">
        <f>'GS &lt; 50 OLS Model'!$B$6*E69</f>
        <v>3049.3520837877995</v>
      </c>
      <c r="P69">
        <f>'GS &lt; 50 OLS Model'!$B$7*F69</f>
        <v>3091650.8035999555</v>
      </c>
      <c r="Q69">
        <f>'GS &lt; 50 OLS Model'!$B$8*G69</f>
        <v>6276098.4824320236</v>
      </c>
      <c r="R69">
        <f>'GS &lt; 50 OLS Model'!$B$9*H69</f>
        <v>-1393500.5607166828</v>
      </c>
      <c r="S69">
        <f>'GS &lt; 50 OLS Model'!$B$10*I69</f>
        <v>0</v>
      </c>
      <c r="T69">
        <f>'GS &lt; 50 OLS Model'!$B$11*J69</f>
        <v>0</v>
      </c>
      <c r="U69">
        <f>'GS &lt; 50 OLS Model'!$B$12*K69</f>
        <v>0</v>
      </c>
      <c r="V69">
        <f>'GS &lt; 50 OLS Model'!$B$13*L69</f>
        <v>14235755.378578186</v>
      </c>
      <c r="W69">
        <f t="shared" si="6"/>
        <v>19702293.288022559</v>
      </c>
      <c r="X69" s="24">
        <f t="shared" ca="1" si="7"/>
        <v>4.6528922802915587E-3</v>
      </c>
    </row>
    <row r="70" spans="1:24">
      <c r="A70" s="26">
        <f>'Monthly Data'!A70</f>
        <v>41883</v>
      </c>
      <c r="B70" s="154">
        <f t="shared" si="8"/>
        <v>9</v>
      </c>
      <c r="C70">
        <f t="shared" si="5"/>
        <v>2014</v>
      </c>
      <c r="D70">
        <f ca="1">'Monthly Data'!J70</f>
        <v>17643769.2377556</v>
      </c>
      <c r="E70">
        <f>'Monthly Data'!BH70</f>
        <v>57.20000000000001</v>
      </c>
      <c r="F70">
        <f>'Monthly Data'!BI70</f>
        <v>50.499999999999979</v>
      </c>
      <c r="G70" s="124">
        <f>'Monthly Data'!BK70</f>
        <v>155.30000000000001</v>
      </c>
      <c r="H70">
        <f>'Monthly Data'!BM70</f>
        <v>69</v>
      </c>
      <c r="I70">
        <f>'Monthly Data'!BP70</f>
        <v>0</v>
      </c>
      <c r="J70">
        <f>'Monthly Data'!BV70</f>
        <v>1</v>
      </c>
      <c r="K70">
        <f>'Monthly Data'!CB70</f>
        <v>1</v>
      </c>
      <c r="L70">
        <f>'Monthly Data'!CC70</f>
        <v>30</v>
      </c>
      <c r="N70">
        <f>'GS &lt; 50 OLS Model'!$B$5</f>
        <v>-2510760.1679547098</v>
      </c>
      <c r="O70">
        <f>'GS &lt; 50 OLS Model'!$B$6*E70</f>
        <v>249175.62741808881</v>
      </c>
      <c r="P70">
        <f>'GS &lt; 50 OLS Model'!$B$7*F70</f>
        <v>1199142.5927941455</v>
      </c>
      <c r="Q70">
        <f>'GS &lt; 50 OLS Model'!$B$8*G70</f>
        <v>6357978.4365407256</v>
      </c>
      <c r="R70">
        <f>'GS &lt; 50 OLS Model'!$B$9*H70</f>
        <v>-1413993.2160213399</v>
      </c>
      <c r="S70">
        <f>'GS &lt; 50 OLS Model'!$B$10*I70</f>
        <v>0</v>
      </c>
      <c r="T70">
        <f>'GS &lt; 50 OLS Model'!$B$11*J70</f>
        <v>697390.17362184904</v>
      </c>
      <c r="U70">
        <f>'GS &lt; 50 OLS Model'!$B$12*K70</f>
        <v>-782960.312499544</v>
      </c>
      <c r="V70">
        <f>'GS &lt; 50 OLS Model'!$B$13*L70</f>
        <v>13776537.46314018</v>
      </c>
      <c r="W70">
        <f t="shared" si="6"/>
        <v>17572510.597039394</v>
      </c>
      <c r="X70" s="24">
        <f t="shared" ca="1" si="7"/>
        <v>4.0387425020114824E-3</v>
      </c>
    </row>
    <row r="71" spans="1:24">
      <c r="A71" s="26">
        <f>'Monthly Data'!A71</f>
        <v>41913</v>
      </c>
      <c r="B71" s="154">
        <f t="shared" si="8"/>
        <v>10</v>
      </c>
      <c r="C71">
        <f t="shared" si="5"/>
        <v>2014</v>
      </c>
      <c r="D71">
        <f ca="1">'Monthly Data'!J71</f>
        <v>16849179.511326332</v>
      </c>
      <c r="E71">
        <f>'Monthly Data'!BH71</f>
        <v>179.7</v>
      </c>
      <c r="F71">
        <f>'Monthly Data'!BI71</f>
        <v>3.9</v>
      </c>
      <c r="G71" s="124">
        <f>'Monthly Data'!BK71</f>
        <v>156.9</v>
      </c>
      <c r="H71">
        <f>'Monthly Data'!BM71</f>
        <v>70</v>
      </c>
      <c r="I71">
        <f>'Monthly Data'!BP71</f>
        <v>0</v>
      </c>
      <c r="J71">
        <f>'Monthly Data'!BV71</f>
        <v>0</v>
      </c>
      <c r="K71">
        <f>'Monthly Data'!CB71</f>
        <v>1</v>
      </c>
      <c r="L71">
        <f>'Monthly Data'!CC71</f>
        <v>31</v>
      </c>
      <c r="N71">
        <f>'GS &lt; 50 OLS Model'!$B$5</f>
        <v>-2510760.1679547098</v>
      </c>
      <c r="O71">
        <f>'GS &lt; 50 OLS Model'!$B$6*E71</f>
        <v>782812.24208095367</v>
      </c>
      <c r="P71">
        <f>'GS &lt; 50 OLS Model'!$B$7*F71</f>
        <v>92607.051720736024</v>
      </c>
      <c r="Q71">
        <f>'GS &lt; 50 OLS Model'!$B$8*G71</f>
        <v>6423482.3998276871</v>
      </c>
      <c r="R71">
        <f>'GS &lt; 50 OLS Model'!$B$9*H71</f>
        <v>-1434485.8713259969</v>
      </c>
      <c r="S71">
        <f>'GS &lt; 50 OLS Model'!$B$10*I71</f>
        <v>0</v>
      </c>
      <c r="T71">
        <f>'GS &lt; 50 OLS Model'!$B$11*J71</f>
        <v>0</v>
      </c>
      <c r="U71">
        <f>'GS &lt; 50 OLS Model'!$B$12*K71</f>
        <v>-782960.312499544</v>
      </c>
      <c r="V71">
        <f>'GS &lt; 50 OLS Model'!$B$13*L71</f>
        <v>14235755.378578186</v>
      </c>
      <c r="W71">
        <f t="shared" si="6"/>
        <v>16806450.720427312</v>
      </c>
      <c r="X71" s="24">
        <f t="shared" ca="1" si="7"/>
        <v>2.5359567728681746E-3</v>
      </c>
    </row>
    <row r="72" spans="1:24">
      <c r="A72" s="26">
        <f>'Monthly Data'!A72</f>
        <v>41944</v>
      </c>
      <c r="B72" s="154">
        <f t="shared" si="8"/>
        <v>11</v>
      </c>
      <c r="C72">
        <f t="shared" si="5"/>
        <v>2014</v>
      </c>
      <c r="D72">
        <f ca="1">'Monthly Data'!J72</f>
        <v>17791302.050130848</v>
      </c>
      <c r="E72">
        <f>'Monthly Data'!BH72</f>
        <v>442</v>
      </c>
      <c r="F72">
        <f>'Monthly Data'!BI72</f>
        <v>0</v>
      </c>
      <c r="G72" s="124">
        <f>'Monthly Data'!BK72</f>
        <v>157.9</v>
      </c>
      <c r="H72">
        <f>'Monthly Data'!BM72</f>
        <v>71</v>
      </c>
      <c r="I72">
        <f>'Monthly Data'!BP72</f>
        <v>0</v>
      </c>
      <c r="J72">
        <f>'Monthly Data'!BV72</f>
        <v>0</v>
      </c>
      <c r="K72">
        <f>'Monthly Data'!CB72</f>
        <v>1</v>
      </c>
      <c r="L72">
        <f>'Monthly Data'!CC72</f>
        <v>30</v>
      </c>
      <c r="N72">
        <f>'GS &lt; 50 OLS Model'!$B$5</f>
        <v>-2510760.1679547098</v>
      </c>
      <c r="O72">
        <f>'GS &lt; 50 OLS Model'!$B$6*E72</f>
        <v>1925448.0300488679</v>
      </c>
      <c r="P72">
        <f>'GS &lt; 50 OLS Model'!$B$7*F72</f>
        <v>0</v>
      </c>
      <c r="Q72">
        <f>'GS &lt; 50 OLS Model'!$B$8*G72</f>
        <v>6464422.3768820381</v>
      </c>
      <c r="R72">
        <f>'GS &lt; 50 OLS Model'!$B$9*H72</f>
        <v>-1454978.526630654</v>
      </c>
      <c r="S72">
        <f>'GS &lt; 50 OLS Model'!$B$10*I72</f>
        <v>0</v>
      </c>
      <c r="T72">
        <f>'GS &lt; 50 OLS Model'!$B$11*J72</f>
        <v>0</v>
      </c>
      <c r="U72">
        <f>'GS &lt; 50 OLS Model'!$B$12*K72</f>
        <v>-782960.312499544</v>
      </c>
      <c r="V72">
        <f>'GS &lt; 50 OLS Model'!$B$13*L72</f>
        <v>13776537.46314018</v>
      </c>
      <c r="W72">
        <f t="shared" si="6"/>
        <v>17417708.862986177</v>
      </c>
      <c r="X72" s="24">
        <f t="shared" ca="1" si="7"/>
        <v>2.0998642263055898E-2</v>
      </c>
    </row>
    <row r="73" spans="1:24">
      <c r="A73" s="26">
        <f>'Monthly Data'!A73</f>
        <v>41974</v>
      </c>
      <c r="B73" s="154">
        <f t="shared" si="8"/>
        <v>12</v>
      </c>
      <c r="C73">
        <f t="shared" si="5"/>
        <v>2014</v>
      </c>
      <c r="D73">
        <f ca="1">'Monthly Data'!J73</f>
        <v>19279930.467506785</v>
      </c>
      <c r="E73">
        <f>'Monthly Data'!BH73</f>
        <v>513.9</v>
      </c>
      <c r="F73">
        <f>'Monthly Data'!BI73</f>
        <v>0</v>
      </c>
      <c r="G73" s="124">
        <f>'Monthly Data'!BK73</f>
        <v>159.9</v>
      </c>
      <c r="H73">
        <f>'Monthly Data'!BM73</f>
        <v>72</v>
      </c>
      <c r="I73">
        <f>'Monthly Data'!BP73</f>
        <v>0</v>
      </c>
      <c r="J73">
        <f>'Monthly Data'!BV73</f>
        <v>0</v>
      </c>
      <c r="K73">
        <f>'Monthly Data'!CB73</f>
        <v>0</v>
      </c>
      <c r="L73">
        <f>'Monthly Data'!CC73</f>
        <v>31</v>
      </c>
      <c r="N73">
        <f>'GS &lt; 50 OLS Model'!$B$5</f>
        <v>-2510760.1679547098</v>
      </c>
      <c r="O73">
        <f>'GS &lt; 50 OLS Model'!$B$6*E73</f>
        <v>2238660.0512265004</v>
      </c>
      <c r="P73">
        <f>'GS &lt; 50 OLS Model'!$B$7*F73</f>
        <v>0</v>
      </c>
      <c r="Q73">
        <f>'GS &lt; 50 OLS Model'!$B$8*G73</f>
        <v>6546302.330990741</v>
      </c>
      <c r="R73">
        <f>'GS &lt; 50 OLS Model'!$B$9*H73</f>
        <v>-1475471.1819353111</v>
      </c>
      <c r="S73">
        <f>'GS &lt; 50 OLS Model'!$B$10*I73</f>
        <v>0</v>
      </c>
      <c r="T73">
        <f>'GS &lt; 50 OLS Model'!$B$11*J73</f>
        <v>0</v>
      </c>
      <c r="U73">
        <f>'GS &lt; 50 OLS Model'!$B$12*K73</f>
        <v>0</v>
      </c>
      <c r="V73">
        <f>'GS &lt; 50 OLS Model'!$B$13*L73</f>
        <v>14235755.378578186</v>
      </c>
      <c r="W73">
        <f t="shared" si="6"/>
        <v>19034486.410905406</v>
      </c>
      <c r="X73" s="24">
        <f t="shared" ca="1" si="7"/>
        <v>1.2730546773238392E-2</v>
      </c>
    </row>
    <row r="74" spans="1:24">
      <c r="A74" s="26">
        <f>'Monthly Data'!A74</f>
        <v>42005</v>
      </c>
      <c r="B74" s="154">
        <f t="shared" si="8"/>
        <v>1</v>
      </c>
      <c r="C74">
        <f t="shared" si="5"/>
        <v>2015</v>
      </c>
      <c r="D74">
        <f ca="1">'Monthly Data'!J74</f>
        <v>20206900.384172045</v>
      </c>
      <c r="E74">
        <f>'Monthly Data'!BH74</f>
        <v>724.69999999999982</v>
      </c>
      <c r="F74">
        <f>'Monthly Data'!BI74</f>
        <v>0</v>
      </c>
      <c r="G74" s="124">
        <f>'Monthly Data'!BK74</f>
        <v>160.4</v>
      </c>
      <c r="H74">
        <f>'Monthly Data'!BM74</f>
        <v>73</v>
      </c>
      <c r="I74">
        <f>'Monthly Data'!BP74</f>
        <v>0</v>
      </c>
      <c r="J74">
        <f>'Monthly Data'!BV74</f>
        <v>0</v>
      </c>
      <c r="K74">
        <f>'Monthly Data'!CB74</f>
        <v>0</v>
      </c>
      <c r="L74">
        <f>'Monthly Data'!CC74</f>
        <v>31</v>
      </c>
      <c r="N74">
        <f>'GS &lt; 50 OLS Model'!$B$5</f>
        <v>-2510760.1679547098</v>
      </c>
      <c r="O74">
        <f>'GS &lt; 50 OLS Model'!$B$6*E74</f>
        <v>3156950.6501728827</v>
      </c>
      <c r="P74">
        <f>'GS &lt; 50 OLS Model'!$B$7*F74</f>
        <v>0</v>
      </c>
      <c r="Q74">
        <f>'GS &lt; 50 OLS Model'!$B$8*G74</f>
        <v>6566772.3195179161</v>
      </c>
      <c r="R74">
        <f>'GS &lt; 50 OLS Model'!$B$9*H74</f>
        <v>-1495963.8372399681</v>
      </c>
      <c r="S74">
        <f>'GS &lt; 50 OLS Model'!$B$10*I74</f>
        <v>0</v>
      </c>
      <c r="T74">
        <f>'GS &lt; 50 OLS Model'!$B$11*J74</f>
        <v>0</v>
      </c>
      <c r="U74">
        <f>'GS &lt; 50 OLS Model'!$B$12*K74</f>
        <v>0</v>
      </c>
      <c r="V74">
        <f>'GS &lt; 50 OLS Model'!$B$13*L74</f>
        <v>14235755.378578186</v>
      </c>
      <c r="W74">
        <f t="shared" si="6"/>
        <v>19952754.343074307</v>
      </c>
      <c r="X74" s="24">
        <f t="shared" ca="1" si="7"/>
        <v>1.2577190774732034E-2</v>
      </c>
    </row>
    <row r="75" spans="1:24">
      <c r="A75" s="26">
        <f>'Monthly Data'!A75</f>
        <v>42036</v>
      </c>
      <c r="B75" s="154">
        <f t="shared" si="8"/>
        <v>2</v>
      </c>
      <c r="C75">
        <f t="shared" si="5"/>
        <v>2015</v>
      </c>
      <c r="D75">
        <f ca="1">'Monthly Data'!J75</f>
        <v>18912952.911405765</v>
      </c>
      <c r="E75">
        <f>'Monthly Data'!BH75</f>
        <v>757.39999999999986</v>
      </c>
      <c r="F75">
        <f>'Monthly Data'!BI75</f>
        <v>0</v>
      </c>
      <c r="G75" s="124">
        <f>'Monthly Data'!BK75</f>
        <v>161.69999999999999</v>
      </c>
      <c r="H75">
        <f>'Monthly Data'!BM75</f>
        <v>74</v>
      </c>
      <c r="I75">
        <f>'Monthly Data'!BP75</f>
        <v>0</v>
      </c>
      <c r="J75">
        <f>'Monthly Data'!BV75</f>
        <v>0</v>
      </c>
      <c r="K75">
        <f>'Monthly Data'!CB75</f>
        <v>0</v>
      </c>
      <c r="L75">
        <f>'Monthly Data'!CC75</f>
        <v>28</v>
      </c>
      <c r="N75">
        <f>'GS &lt; 50 OLS Model'!$B$5</f>
        <v>-2510760.1679547098</v>
      </c>
      <c r="O75">
        <f>'GS &lt; 50 OLS Model'!$B$6*E75</f>
        <v>3299398.9546583989</v>
      </c>
      <c r="P75">
        <f>'GS &lt; 50 OLS Model'!$B$7*F75</f>
        <v>0</v>
      </c>
      <c r="Q75">
        <f>'GS &lt; 50 OLS Model'!$B$8*G75</f>
        <v>6619994.2896885723</v>
      </c>
      <c r="R75">
        <f>'GS &lt; 50 OLS Model'!$B$9*H75</f>
        <v>-1516456.4925446254</v>
      </c>
      <c r="S75">
        <f>'GS &lt; 50 OLS Model'!$B$10*I75</f>
        <v>0</v>
      </c>
      <c r="T75">
        <f>'GS &lt; 50 OLS Model'!$B$11*J75</f>
        <v>0</v>
      </c>
      <c r="U75">
        <f>'GS &lt; 50 OLS Model'!$B$12*K75</f>
        <v>0</v>
      </c>
      <c r="V75">
        <f>'GS &lt; 50 OLS Model'!$B$13*L75</f>
        <v>12858101.632264167</v>
      </c>
      <c r="W75">
        <f t="shared" si="6"/>
        <v>18750278.216111802</v>
      </c>
      <c r="X75" s="24">
        <f t="shared" ca="1" si="7"/>
        <v>8.6012319734513447E-3</v>
      </c>
    </row>
    <row r="76" spans="1:24">
      <c r="A76" s="26">
        <f>'Monthly Data'!A76</f>
        <v>42064</v>
      </c>
      <c r="B76" s="154">
        <f t="shared" si="8"/>
        <v>3</v>
      </c>
      <c r="C76">
        <f t="shared" si="5"/>
        <v>2015</v>
      </c>
      <c r="D76">
        <f ca="1">'Monthly Data'!J76</f>
        <v>19087194.693129994</v>
      </c>
      <c r="E76">
        <f>'Monthly Data'!BH76</f>
        <v>508.7</v>
      </c>
      <c r="F76">
        <f>'Monthly Data'!BI76</f>
        <v>0</v>
      </c>
      <c r="G76" s="124">
        <f>'Monthly Data'!BK76</f>
        <v>160.5</v>
      </c>
      <c r="H76">
        <f>'Monthly Data'!BM76</f>
        <v>75</v>
      </c>
      <c r="I76">
        <f>'Monthly Data'!BP76</f>
        <v>1</v>
      </c>
      <c r="J76">
        <f>'Monthly Data'!BV76</f>
        <v>0</v>
      </c>
      <c r="K76">
        <f>'Monthly Data'!CB76</f>
        <v>1</v>
      </c>
      <c r="L76">
        <f>'Monthly Data'!CC76</f>
        <v>31</v>
      </c>
      <c r="N76">
        <f>'GS &lt; 50 OLS Model'!$B$5</f>
        <v>-2510760.1679547098</v>
      </c>
      <c r="O76">
        <f>'GS &lt; 50 OLS Model'!$B$6*E76</f>
        <v>2216007.7214612197</v>
      </c>
      <c r="P76">
        <f>'GS &lt; 50 OLS Model'!$B$7*F76</f>
        <v>0</v>
      </c>
      <c r="Q76">
        <f>'GS &lt; 50 OLS Model'!$B$8*G76</f>
        <v>6570866.3172233514</v>
      </c>
      <c r="R76">
        <f>'GS &lt; 50 OLS Model'!$B$9*H76</f>
        <v>-1536949.1478492825</v>
      </c>
      <c r="S76">
        <f>'GS &lt; 50 OLS Model'!$B$10*I76</f>
        <v>419453.43275174301</v>
      </c>
      <c r="T76">
        <f>'GS &lt; 50 OLS Model'!$B$11*J76</f>
        <v>0</v>
      </c>
      <c r="U76">
        <f>'GS &lt; 50 OLS Model'!$B$12*K76</f>
        <v>-782960.312499544</v>
      </c>
      <c r="V76">
        <f>'GS &lt; 50 OLS Model'!$B$13*L76</f>
        <v>14235755.378578186</v>
      </c>
      <c r="W76">
        <f t="shared" si="6"/>
        <v>18611413.221710965</v>
      </c>
      <c r="X76" s="24">
        <f t="shared" ca="1" si="7"/>
        <v>2.4926736436039799E-2</v>
      </c>
    </row>
    <row r="77" spans="1:24">
      <c r="A77" s="26">
        <f>'Monthly Data'!A77</f>
        <v>42095</v>
      </c>
      <c r="B77" s="154">
        <f t="shared" si="8"/>
        <v>4</v>
      </c>
      <c r="C77">
        <f t="shared" si="5"/>
        <v>2015</v>
      </c>
      <c r="D77">
        <f ca="1">'Monthly Data'!J77</f>
        <v>16822886.277402826</v>
      </c>
      <c r="E77">
        <f>'Monthly Data'!BH77</f>
        <v>257.39999999999992</v>
      </c>
      <c r="F77">
        <f>'Monthly Data'!BI77</f>
        <v>0</v>
      </c>
      <c r="G77" s="124">
        <f>'Monthly Data'!BK77</f>
        <v>160.19999999999999</v>
      </c>
      <c r="H77">
        <f>'Monthly Data'!BM77</f>
        <v>76</v>
      </c>
      <c r="I77">
        <f>'Monthly Data'!BP77</f>
        <v>0</v>
      </c>
      <c r="J77">
        <f>'Monthly Data'!BV77</f>
        <v>0</v>
      </c>
      <c r="K77">
        <f>'Monthly Data'!CB77</f>
        <v>1</v>
      </c>
      <c r="L77">
        <f>'Monthly Data'!CC77</f>
        <v>30</v>
      </c>
      <c r="N77">
        <f>'GS &lt; 50 OLS Model'!$B$5</f>
        <v>-2510760.1679547098</v>
      </c>
      <c r="O77">
        <f>'GS &lt; 50 OLS Model'!$B$6*E77</f>
        <v>1121290.3233813993</v>
      </c>
      <c r="P77">
        <f>'GS &lt; 50 OLS Model'!$B$7*F77</f>
        <v>0</v>
      </c>
      <c r="Q77">
        <f>'GS &lt; 50 OLS Model'!$B$8*G77</f>
        <v>6558584.3241070453</v>
      </c>
      <c r="R77">
        <f>'GS &lt; 50 OLS Model'!$B$9*H77</f>
        <v>-1557441.8031539395</v>
      </c>
      <c r="S77">
        <f>'GS &lt; 50 OLS Model'!$B$10*I77</f>
        <v>0</v>
      </c>
      <c r="T77">
        <f>'GS &lt; 50 OLS Model'!$B$11*J77</f>
        <v>0</v>
      </c>
      <c r="U77">
        <f>'GS &lt; 50 OLS Model'!$B$12*K77</f>
        <v>-782960.312499544</v>
      </c>
      <c r="V77">
        <f>'GS &lt; 50 OLS Model'!$B$13*L77</f>
        <v>13776537.46314018</v>
      </c>
      <c r="W77">
        <f t="shared" si="6"/>
        <v>16605249.827020431</v>
      </c>
      <c r="X77" s="24">
        <f t="shared" ca="1" si="7"/>
        <v>1.2936926921674119E-2</v>
      </c>
    </row>
    <row r="78" spans="1:24">
      <c r="A78" s="26">
        <f>'Monthly Data'!A78</f>
        <v>42125</v>
      </c>
      <c r="B78" s="154">
        <f t="shared" si="8"/>
        <v>5</v>
      </c>
      <c r="C78">
        <f t="shared" si="5"/>
        <v>2015</v>
      </c>
      <c r="D78">
        <f ca="1">'Monthly Data'!J78</f>
        <v>17571335.804700233</v>
      </c>
      <c r="E78">
        <f>'Monthly Data'!BH78</f>
        <v>68.7</v>
      </c>
      <c r="F78">
        <f>'Monthly Data'!BI78</f>
        <v>64.099999999999994</v>
      </c>
      <c r="G78" s="124">
        <f>'Monthly Data'!BK78</f>
        <v>160.80000000000001</v>
      </c>
      <c r="H78">
        <f>'Monthly Data'!BM78</f>
        <v>77</v>
      </c>
      <c r="I78">
        <f>'Monthly Data'!BP78</f>
        <v>0</v>
      </c>
      <c r="J78">
        <f>'Monthly Data'!BV78</f>
        <v>0</v>
      </c>
      <c r="K78">
        <f>'Monthly Data'!CB78</f>
        <v>1</v>
      </c>
      <c r="L78">
        <f>'Monthly Data'!CC78</f>
        <v>31</v>
      </c>
      <c r="N78">
        <f>'GS &lt; 50 OLS Model'!$B$5</f>
        <v>-2510760.1679547098</v>
      </c>
      <c r="O78">
        <f>'GS &lt; 50 OLS Model'!$B$6*E78</f>
        <v>299272.12593745982</v>
      </c>
      <c r="P78">
        <f>'GS &lt; 50 OLS Model'!$B$7*F78</f>
        <v>1522080.0039228664</v>
      </c>
      <c r="Q78">
        <f>'GS &lt; 50 OLS Model'!$B$8*G78</f>
        <v>6583148.3103396567</v>
      </c>
      <c r="R78">
        <f>'GS &lt; 50 OLS Model'!$B$9*H78</f>
        <v>-1577934.4584585966</v>
      </c>
      <c r="S78">
        <f>'GS &lt; 50 OLS Model'!$B$10*I78</f>
        <v>0</v>
      </c>
      <c r="T78">
        <f>'GS &lt; 50 OLS Model'!$B$11*J78</f>
        <v>0</v>
      </c>
      <c r="U78">
        <f>'GS &lt; 50 OLS Model'!$B$12*K78</f>
        <v>-782960.312499544</v>
      </c>
      <c r="V78">
        <f>'GS &lt; 50 OLS Model'!$B$13*L78</f>
        <v>14235755.378578186</v>
      </c>
      <c r="W78">
        <f t="shared" si="6"/>
        <v>17768600.879865319</v>
      </c>
      <c r="X78" s="24">
        <f t="shared" ca="1" si="7"/>
        <v>1.1226526961730376E-2</v>
      </c>
    </row>
    <row r="79" spans="1:24">
      <c r="A79" s="26">
        <f>'Monthly Data'!A79</f>
        <v>42156</v>
      </c>
      <c r="B79" s="154">
        <f t="shared" si="8"/>
        <v>6</v>
      </c>
      <c r="C79">
        <f t="shared" si="5"/>
        <v>2015</v>
      </c>
      <c r="D79">
        <f ca="1">'Monthly Data'!J79</f>
        <v>18388369.415220134</v>
      </c>
      <c r="E79">
        <f>'Monthly Data'!BH79</f>
        <v>13.1</v>
      </c>
      <c r="F79">
        <f>'Monthly Data'!BI79</f>
        <v>89.59999999999998</v>
      </c>
      <c r="G79" s="124">
        <f>'Monthly Data'!BK79</f>
        <v>163</v>
      </c>
      <c r="H79">
        <f>'Monthly Data'!BM79</f>
        <v>78</v>
      </c>
      <c r="I79">
        <f>'Monthly Data'!BP79</f>
        <v>0</v>
      </c>
      <c r="J79">
        <f>'Monthly Data'!BV79</f>
        <v>0</v>
      </c>
      <c r="K79">
        <f>'Monthly Data'!CB79</f>
        <v>0</v>
      </c>
      <c r="L79">
        <f>'Monthly Data'!CC79</f>
        <v>30</v>
      </c>
      <c r="N79">
        <f>'GS &lt; 50 OLS Model'!$B$5</f>
        <v>-2510760.1679547098</v>
      </c>
      <c r="O79">
        <f>'GS &lt; 50 OLS Model'!$B$6*E79</f>
        <v>57066.446139457395</v>
      </c>
      <c r="P79">
        <f>'GS &lt; 50 OLS Model'!$B$7*F79</f>
        <v>2127587.6497892169</v>
      </c>
      <c r="Q79">
        <f>'GS &lt; 50 OLS Model'!$B$8*G79</f>
        <v>6673216.2598592285</v>
      </c>
      <c r="R79">
        <f>'GS &lt; 50 OLS Model'!$B$9*H79</f>
        <v>-1598427.1137632537</v>
      </c>
      <c r="S79">
        <f>'GS &lt; 50 OLS Model'!$B$10*I79</f>
        <v>0</v>
      </c>
      <c r="T79">
        <f>'GS &lt; 50 OLS Model'!$B$11*J79</f>
        <v>0</v>
      </c>
      <c r="U79">
        <f>'GS &lt; 50 OLS Model'!$B$12*K79</f>
        <v>0</v>
      </c>
      <c r="V79">
        <f>'GS &lt; 50 OLS Model'!$B$13*L79</f>
        <v>13776537.46314018</v>
      </c>
      <c r="W79">
        <f t="shared" si="6"/>
        <v>18525220.537210122</v>
      </c>
      <c r="X79" s="24">
        <f t="shared" ca="1" si="7"/>
        <v>7.4422652112218022E-3</v>
      </c>
    </row>
    <row r="80" spans="1:24">
      <c r="A80" s="26">
        <f>'Monthly Data'!A80</f>
        <v>42186</v>
      </c>
      <c r="B80" s="154">
        <f t="shared" si="8"/>
        <v>7</v>
      </c>
      <c r="C80">
        <f t="shared" si="5"/>
        <v>2015</v>
      </c>
      <c r="D80">
        <f ca="1">'Monthly Data'!J80</f>
        <v>20279519.473623894</v>
      </c>
      <c r="E80">
        <f>'Monthly Data'!BH80</f>
        <v>1.9</v>
      </c>
      <c r="F80">
        <f>'Monthly Data'!BI80</f>
        <v>152.89999999999998</v>
      </c>
      <c r="G80" s="124">
        <f>'Monthly Data'!BK80</f>
        <v>162.19999999999999</v>
      </c>
      <c r="H80">
        <f>'Monthly Data'!BM80</f>
        <v>79</v>
      </c>
      <c r="I80">
        <f>'Monthly Data'!BP80</f>
        <v>0</v>
      </c>
      <c r="J80">
        <f>'Monthly Data'!BV80</f>
        <v>0</v>
      </c>
      <c r="K80">
        <f>'Monthly Data'!CB80</f>
        <v>0</v>
      </c>
      <c r="L80">
        <f>'Monthly Data'!CC80</f>
        <v>31</v>
      </c>
      <c r="N80">
        <f>'GS &lt; 50 OLS Model'!$B$5</f>
        <v>-2510760.1679547098</v>
      </c>
      <c r="O80">
        <f>'GS &lt; 50 OLS Model'!$B$6*E80</f>
        <v>8276.8127988525994</v>
      </c>
      <c r="P80">
        <f>'GS &lt; 50 OLS Model'!$B$7*F80</f>
        <v>3630671.3354103938</v>
      </c>
      <c r="Q80">
        <f>'GS &lt; 50 OLS Model'!$B$8*G80</f>
        <v>6640464.2782157473</v>
      </c>
      <c r="R80">
        <f>'GS &lt; 50 OLS Model'!$B$9*H80</f>
        <v>-1618919.7690679107</v>
      </c>
      <c r="S80">
        <f>'GS &lt; 50 OLS Model'!$B$10*I80</f>
        <v>0</v>
      </c>
      <c r="T80">
        <f>'GS &lt; 50 OLS Model'!$B$11*J80</f>
        <v>0</v>
      </c>
      <c r="U80">
        <f>'GS &lt; 50 OLS Model'!$B$12*K80</f>
        <v>0</v>
      </c>
      <c r="V80">
        <f>'GS &lt; 50 OLS Model'!$B$13*L80</f>
        <v>14235755.378578186</v>
      </c>
      <c r="W80">
        <f t="shared" si="6"/>
        <v>20385487.867980558</v>
      </c>
      <c r="X80" s="24">
        <f t="shared" ca="1" si="7"/>
        <v>5.2253898074108565E-3</v>
      </c>
    </row>
    <row r="81" spans="1:24">
      <c r="A81" s="26">
        <f>'Monthly Data'!A81</f>
        <v>42217</v>
      </c>
      <c r="B81" s="154">
        <f t="shared" si="8"/>
        <v>8</v>
      </c>
      <c r="C81">
        <f t="shared" si="5"/>
        <v>2015</v>
      </c>
      <c r="D81">
        <f ca="1">'Monthly Data'!J81</f>
        <v>20702927.092459753</v>
      </c>
      <c r="E81">
        <f>'Monthly Data'!BH81</f>
        <v>3.2</v>
      </c>
      <c r="F81">
        <f>'Monthly Data'!BI81</f>
        <v>138.69999999999999</v>
      </c>
      <c r="G81" s="124">
        <f>'Monthly Data'!BK81</f>
        <v>158.69999999999999</v>
      </c>
      <c r="H81">
        <f>'Monthly Data'!BM81</f>
        <v>80</v>
      </c>
      <c r="I81">
        <f>'Monthly Data'!BP81</f>
        <v>0</v>
      </c>
      <c r="J81">
        <f>'Monthly Data'!BV81</f>
        <v>0</v>
      </c>
      <c r="K81">
        <f>'Monthly Data'!CB81</f>
        <v>0</v>
      </c>
      <c r="L81">
        <f>'Monthly Data'!CC81</f>
        <v>31</v>
      </c>
      <c r="N81">
        <f>'GS &lt; 50 OLS Model'!$B$5</f>
        <v>-2510760.1679547098</v>
      </c>
      <c r="O81">
        <f>'GS &lt; 50 OLS Model'!$B$6*E81</f>
        <v>13939.8952401728</v>
      </c>
      <c r="P81">
        <f>'GS &lt; 50 OLS Model'!$B$7*F81</f>
        <v>3293486.6855554068</v>
      </c>
      <c r="Q81">
        <f>'GS &lt; 50 OLS Model'!$B$8*G81</f>
        <v>6497174.3585255183</v>
      </c>
      <c r="R81">
        <f>'GS &lt; 50 OLS Model'!$B$9*H81</f>
        <v>-1639412.4243725678</v>
      </c>
      <c r="S81">
        <f>'GS &lt; 50 OLS Model'!$B$10*I81</f>
        <v>0</v>
      </c>
      <c r="T81">
        <f>'GS &lt; 50 OLS Model'!$B$11*J81</f>
        <v>0</v>
      </c>
      <c r="U81">
        <f>'GS &lt; 50 OLS Model'!$B$12*K81</f>
        <v>0</v>
      </c>
      <c r="V81">
        <f>'GS &lt; 50 OLS Model'!$B$13*L81</f>
        <v>14235755.378578186</v>
      </c>
      <c r="W81">
        <f t="shared" si="6"/>
        <v>19890183.725572005</v>
      </c>
      <c r="X81" s="24">
        <f t="shared" ca="1" si="7"/>
        <v>3.9257413372419149E-2</v>
      </c>
    </row>
    <row r="82" spans="1:24">
      <c r="A82" s="26">
        <f>'Monthly Data'!A82</f>
        <v>42248</v>
      </c>
      <c r="B82" s="154">
        <f t="shared" si="8"/>
        <v>9</v>
      </c>
      <c r="C82">
        <f t="shared" si="5"/>
        <v>2015</v>
      </c>
      <c r="D82">
        <f ca="1">'Monthly Data'!J82</f>
        <v>18321540.160444587</v>
      </c>
      <c r="E82">
        <f>'Monthly Data'!BH82</f>
        <v>10.8</v>
      </c>
      <c r="F82">
        <f>'Monthly Data'!BI82</f>
        <v>109.19999999999997</v>
      </c>
      <c r="G82" s="124">
        <f>'Monthly Data'!BK82</f>
        <v>155.5</v>
      </c>
      <c r="H82">
        <f>'Monthly Data'!BM82</f>
        <v>81</v>
      </c>
      <c r="I82">
        <f>'Monthly Data'!BP82</f>
        <v>0</v>
      </c>
      <c r="J82">
        <f>'Monthly Data'!BV82</f>
        <v>1</v>
      </c>
      <c r="K82">
        <f>'Monthly Data'!CB82</f>
        <v>1</v>
      </c>
      <c r="L82">
        <f>'Monthly Data'!CC82</f>
        <v>30</v>
      </c>
      <c r="N82">
        <f>'GS &lt; 50 OLS Model'!$B$5</f>
        <v>-2510760.1679547098</v>
      </c>
      <c r="O82">
        <f>'GS &lt; 50 OLS Model'!$B$6*E82</f>
        <v>47047.146435583199</v>
      </c>
      <c r="P82">
        <f>'GS &lt; 50 OLS Model'!$B$7*F82</f>
        <v>2592997.448180608</v>
      </c>
      <c r="Q82">
        <f>'GS &lt; 50 OLS Model'!$B$8*G82</f>
        <v>6366166.4319515955</v>
      </c>
      <c r="R82">
        <f>'GS &lt; 50 OLS Model'!$B$9*H82</f>
        <v>-1659905.0796772251</v>
      </c>
      <c r="S82">
        <f>'GS &lt; 50 OLS Model'!$B$10*I82</f>
        <v>0</v>
      </c>
      <c r="T82">
        <f>'GS &lt; 50 OLS Model'!$B$11*J82</f>
        <v>697390.17362184904</v>
      </c>
      <c r="U82">
        <f>'GS &lt; 50 OLS Model'!$B$12*K82</f>
        <v>-782960.312499544</v>
      </c>
      <c r="V82">
        <f>'GS &lt; 50 OLS Model'!$B$13*L82</f>
        <v>13776537.46314018</v>
      </c>
      <c r="W82">
        <f t="shared" si="6"/>
        <v>18526513.103198338</v>
      </c>
      <c r="X82" s="24">
        <f t="shared" ca="1" si="7"/>
        <v>1.1187538872756917E-2</v>
      </c>
    </row>
    <row r="83" spans="1:24">
      <c r="A83" s="26">
        <f>'Monthly Data'!A83</f>
        <v>42278</v>
      </c>
      <c r="B83" s="154">
        <f t="shared" si="8"/>
        <v>10</v>
      </c>
      <c r="C83">
        <f t="shared" si="5"/>
        <v>2015</v>
      </c>
      <c r="D83">
        <f ca="1">'Monthly Data'!J83</f>
        <v>16809498.477666974</v>
      </c>
      <c r="E83">
        <f>'Monthly Data'!BH83</f>
        <v>157.80000000000001</v>
      </c>
      <c r="F83">
        <f>'Monthly Data'!BI83</f>
        <v>2.6</v>
      </c>
      <c r="G83" s="124">
        <f>'Monthly Data'!BK83</f>
        <v>153.9</v>
      </c>
      <c r="H83">
        <f>'Monthly Data'!BM83</f>
        <v>82</v>
      </c>
      <c r="I83">
        <f>'Monthly Data'!BP83</f>
        <v>0</v>
      </c>
      <c r="J83">
        <f>'Monthly Data'!BV83</f>
        <v>0</v>
      </c>
      <c r="K83">
        <f>'Monthly Data'!CB83</f>
        <v>1</v>
      </c>
      <c r="L83">
        <f>'Monthly Data'!CC83</f>
        <v>31</v>
      </c>
      <c r="N83">
        <f>'GS &lt; 50 OLS Model'!$B$5</f>
        <v>-2510760.1679547098</v>
      </c>
      <c r="O83">
        <f>'GS &lt; 50 OLS Model'!$B$6*E83</f>
        <v>687411.08403102122</v>
      </c>
      <c r="P83">
        <f>'GS &lt; 50 OLS Model'!$B$7*F83</f>
        <v>61738.034480490685</v>
      </c>
      <c r="Q83">
        <f>'GS &lt; 50 OLS Model'!$B$8*G83</f>
        <v>6300662.468664634</v>
      </c>
      <c r="R83">
        <f>'GS &lt; 50 OLS Model'!$B$9*H83</f>
        <v>-1680397.7349818822</v>
      </c>
      <c r="S83">
        <f>'GS &lt; 50 OLS Model'!$B$10*I83</f>
        <v>0</v>
      </c>
      <c r="T83">
        <f>'GS &lt; 50 OLS Model'!$B$11*J83</f>
        <v>0</v>
      </c>
      <c r="U83">
        <f>'GS &lt; 50 OLS Model'!$B$12*K83</f>
        <v>-782960.312499544</v>
      </c>
      <c r="V83">
        <f>'GS &lt; 50 OLS Model'!$B$13*L83</f>
        <v>14235755.378578186</v>
      </c>
      <c r="W83">
        <f t="shared" si="6"/>
        <v>16311448.750318196</v>
      </c>
      <c r="X83" s="24">
        <f t="shared" ca="1" si="7"/>
        <v>2.9629065257984054E-2</v>
      </c>
    </row>
    <row r="84" spans="1:24">
      <c r="A84" s="26">
        <f>'Monthly Data'!A84</f>
        <v>42309</v>
      </c>
      <c r="B84" s="154">
        <f t="shared" si="8"/>
        <v>11</v>
      </c>
      <c r="C84">
        <f t="shared" si="5"/>
        <v>2015</v>
      </c>
      <c r="D84">
        <f ca="1">'Monthly Data'!J84</f>
        <v>16699458.042118514</v>
      </c>
      <c r="E84">
        <f>'Monthly Data'!BH84</f>
        <v>286.60000000000002</v>
      </c>
      <c r="F84">
        <f>'Monthly Data'!BI84</f>
        <v>0.5</v>
      </c>
      <c r="G84" s="124">
        <f>'Monthly Data'!BK84</f>
        <v>154.19999999999999</v>
      </c>
      <c r="H84">
        <f>'Monthly Data'!BM84</f>
        <v>83</v>
      </c>
      <c r="I84">
        <f>'Monthly Data'!BP84</f>
        <v>0</v>
      </c>
      <c r="J84">
        <f>'Monthly Data'!BV84</f>
        <v>0</v>
      </c>
      <c r="K84">
        <f>'Monthly Data'!CB84</f>
        <v>1</v>
      </c>
      <c r="L84">
        <f>'Monthly Data'!CC84</f>
        <v>30</v>
      </c>
      <c r="N84">
        <f>'GS &lt; 50 OLS Model'!$B$5</f>
        <v>-2510760.1679547098</v>
      </c>
      <c r="O84">
        <f>'GS &lt; 50 OLS Model'!$B$6*E84</f>
        <v>1248491.8674479765</v>
      </c>
      <c r="P84">
        <f>'GS &lt; 50 OLS Model'!$B$7*F84</f>
        <v>11872.698938555901</v>
      </c>
      <c r="Q84">
        <f>'GS &lt; 50 OLS Model'!$B$8*G84</f>
        <v>6312944.4617809383</v>
      </c>
      <c r="R84">
        <f>'GS &lt; 50 OLS Model'!$B$9*H84</f>
        <v>-1700890.3902865392</v>
      </c>
      <c r="S84">
        <f>'GS &lt; 50 OLS Model'!$B$10*I84</f>
        <v>0</v>
      </c>
      <c r="T84">
        <f>'GS &lt; 50 OLS Model'!$B$11*J84</f>
        <v>0</v>
      </c>
      <c r="U84">
        <f>'GS &lt; 50 OLS Model'!$B$12*K84</f>
        <v>-782960.312499544</v>
      </c>
      <c r="V84">
        <f>'GS &lt; 50 OLS Model'!$B$13*L84</f>
        <v>13776537.46314018</v>
      </c>
      <c r="W84">
        <f t="shared" si="6"/>
        <v>16355235.620566858</v>
      </c>
      <c r="X84" s="24">
        <f t="shared" ca="1" si="7"/>
        <v>2.0612789988961072E-2</v>
      </c>
    </row>
    <row r="85" spans="1:24">
      <c r="A85" s="26">
        <f>'Monthly Data'!A85</f>
        <v>42339</v>
      </c>
      <c r="B85" s="154">
        <f t="shared" si="8"/>
        <v>12</v>
      </c>
      <c r="C85">
        <f t="shared" si="5"/>
        <v>2015</v>
      </c>
      <c r="D85">
        <f ca="1">'Monthly Data'!J85</f>
        <v>18067085.348473221</v>
      </c>
      <c r="E85">
        <f>'Monthly Data'!BH85</f>
        <v>392.2</v>
      </c>
      <c r="F85">
        <f>'Monthly Data'!BI85</f>
        <v>0</v>
      </c>
      <c r="G85" s="124">
        <f>'Monthly Data'!BK85</f>
        <v>154.4</v>
      </c>
      <c r="H85">
        <f>'Monthly Data'!BM85</f>
        <v>84</v>
      </c>
      <c r="I85">
        <f>'Monthly Data'!BP85</f>
        <v>0</v>
      </c>
      <c r="J85">
        <f>'Monthly Data'!BV85</f>
        <v>0</v>
      </c>
      <c r="K85">
        <f>'Monthly Data'!CB85</f>
        <v>0</v>
      </c>
      <c r="L85">
        <f>'Monthly Data'!CC85</f>
        <v>31</v>
      </c>
      <c r="N85">
        <f>'GS &lt; 50 OLS Model'!$B$5</f>
        <v>-2510760.1679547098</v>
      </c>
      <c r="O85">
        <f>'GS &lt; 50 OLS Model'!$B$6*E85</f>
        <v>1708508.4103736787</v>
      </c>
      <c r="P85">
        <f>'GS &lt; 50 OLS Model'!$B$7*F85</f>
        <v>0</v>
      </c>
      <c r="Q85">
        <f>'GS &lt; 50 OLS Model'!$B$8*G85</f>
        <v>6321132.45719181</v>
      </c>
      <c r="R85">
        <f>'GS &lt; 50 OLS Model'!$B$9*H85</f>
        <v>-1721383.0455911963</v>
      </c>
      <c r="S85">
        <f>'GS &lt; 50 OLS Model'!$B$10*I85</f>
        <v>0</v>
      </c>
      <c r="T85">
        <f>'GS &lt; 50 OLS Model'!$B$11*J85</f>
        <v>0</v>
      </c>
      <c r="U85">
        <f>'GS &lt; 50 OLS Model'!$B$12*K85</f>
        <v>0</v>
      </c>
      <c r="V85">
        <f>'GS &lt; 50 OLS Model'!$B$13*L85</f>
        <v>14235755.378578186</v>
      </c>
      <c r="W85">
        <f t="shared" si="6"/>
        <v>18033253.032597769</v>
      </c>
      <c r="X85" s="24">
        <f t="shared" ca="1" si="7"/>
        <v>1.8725940140815822E-3</v>
      </c>
    </row>
    <row r="86" spans="1:24">
      <c r="A86" s="26">
        <f>'Monthly Data'!A86</f>
        <v>42370</v>
      </c>
      <c r="B86" s="154">
        <f t="shared" si="8"/>
        <v>1</v>
      </c>
      <c r="C86">
        <f t="shared" si="5"/>
        <v>2016</v>
      </c>
      <c r="D86">
        <f ca="1">'Monthly Data'!J86</f>
        <v>19133061.760733683</v>
      </c>
      <c r="E86">
        <f>'Monthly Data'!BH86</f>
        <v>618.5</v>
      </c>
      <c r="F86">
        <f>'Monthly Data'!BI86</f>
        <v>0</v>
      </c>
      <c r="G86" s="124">
        <f>'Monthly Data'!BK86</f>
        <v>156.19999999999999</v>
      </c>
      <c r="H86">
        <f>'Monthly Data'!BM86</f>
        <v>85</v>
      </c>
      <c r="I86">
        <f>'Monthly Data'!BP86</f>
        <v>0</v>
      </c>
      <c r="J86">
        <f>'Monthly Data'!BV86</f>
        <v>0</v>
      </c>
      <c r="K86">
        <f>'Monthly Data'!CB86</f>
        <v>0</v>
      </c>
      <c r="L86">
        <f>'Monthly Data'!CC86</f>
        <v>31</v>
      </c>
      <c r="N86">
        <f>'GS &lt; 50 OLS Model'!$B$5</f>
        <v>-2510760.1679547098</v>
      </c>
      <c r="O86">
        <f>'GS &lt; 50 OLS Model'!$B$6*E86</f>
        <v>2694320.3768896488</v>
      </c>
      <c r="P86">
        <f>'GS &lt; 50 OLS Model'!$B$7*F86</f>
        <v>0</v>
      </c>
      <c r="Q86">
        <f>'GS &lt; 50 OLS Model'!$B$8*G86</f>
        <v>6394824.4158896413</v>
      </c>
      <c r="R86">
        <f>'GS &lt; 50 OLS Model'!$B$9*H86</f>
        <v>-1741875.7008958533</v>
      </c>
      <c r="S86">
        <f>'GS &lt; 50 OLS Model'!$B$10*I86</f>
        <v>0</v>
      </c>
      <c r="T86">
        <f>'GS &lt; 50 OLS Model'!$B$11*J86</f>
        <v>0</v>
      </c>
      <c r="U86">
        <f>'GS &lt; 50 OLS Model'!$B$12*K86</f>
        <v>0</v>
      </c>
      <c r="V86">
        <f>'GS &lt; 50 OLS Model'!$B$13*L86</f>
        <v>14235755.378578186</v>
      </c>
      <c r="W86">
        <f t="shared" si="6"/>
        <v>19072264.302506912</v>
      </c>
      <c r="X86" s="24">
        <f t="shared" ca="1" si="7"/>
        <v>3.1776126051891655E-3</v>
      </c>
    </row>
    <row r="87" spans="1:24">
      <c r="A87" s="26">
        <f>'Monthly Data'!A87</f>
        <v>42401</v>
      </c>
      <c r="B87" s="154">
        <f t="shared" si="8"/>
        <v>2</v>
      </c>
      <c r="C87">
        <f t="shared" si="5"/>
        <v>2016</v>
      </c>
      <c r="D87">
        <f ca="1">'Monthly Data'!J87</f>
        <v>18058710.330862306</v>
      </c>
      <c r="E87">
        <f>'Monthly Data'!BH87</f>
        <v>510.5</v>
      </c>
      <c r="F87">
        <f>'Monthly Data'!BI87</f>
        <v>0</v>
      </c>
      <c r="G87" s="124">
        <f>'Monthly Data'!BK87</f>
        <v>158.5</v>
      </c>
      <c r="H87">
        <f>'Monthly Data'!BM87</f>
        <v>86</v>
      </c>
      <c r="I87">
        <f>'Monthly Data'!BP87</f>
        <v>0</v>
      </c>
      <c r="J87">
        <f>'Monthly Data'!BV87</f>
        <v>0</v>
      </c>
      <c r="K87">
        <f>'Monthly Data'!CB87</f>
        <v>0</v>
      </c>
      <c r="L87">
        <f>'Monthly Data'!CC87</f>
        <v>29</v>
      </c>
      <c r="N87">
        <f>'GS &lt; 50 OLS Model'!$B$5</f>
        <v>-2510760.1679547098</v>
      </c>
      <c r="O87">
        <f>'GS &lt; 50 OLS Model'!$B$6*E87</f>
        <v>2223848.9125338169</v>
      </c>
      <c r="P87">
        <f>'GS &lt; 50 OLS Model'!$B$7*F87</f>
        <v>0</v>
      </c>
      <c r="Q87">
        <f>'GS &lt; 50 OLS Model'!$B$8*G87</f>
        <v>6488986.3631146485</v>
      </c>
      <c r="R87">
        <f>'GS &lt; 50 OLS Model'!$B$9*H87</f>
        <v>-1762368.3562005104</v>
      </c>
      <c r="S87">
        <f>'GS &lt; 50 OLS Model'!$B$10*I87</f>
        <v>0</v>
      </c>
      <c r="T87">
        <f>'GS &lt; 50 OLS Model'!$B$11*J87</f>
        <v>0</v>
      </c>
      <c r="U87">
        <f>'GS &lt; 50 OLS Model'!$B$12*K87</f>
        <v>0</v>
      </c>
      <c r="V87">
        <f>'GS &lt; 50 OLS Model'!$B$13*L87</f>
        <v>13317319.547702175</v>
      </c>
      <c r="W87">
        <f t="shared" si="6"/>
        <v>17757026.29919542</v>
      </c>
      <c r="X87" s="24">
        <f t="shared" ca="1" si="7"/>
        <v>1.6705735134989599E-2</v>
      </c>
    </row>
    <row r="88" spans="1:24">
      <c r="A88" s="26">
        <f>'Monthly Data'!A88</f>
        <v>42430</v>
      </c>
      <c r="B88" s="154">
        <f t="shared" si="8"/>
        <v>3</v>
      </c>
      <c r="C88">
        <f t="shared" si="5"/>
        <v>2016</v>
      </c>
      <c r="D88">
        <f ca="1">'Monthly Data'!J88</f>
        <v>17926685.621340387</v>
      </c>
      <c r="E88">
        <f>'Monthly Data'!BH88</f>
        <v>350.9</v>
      </c>
      <c r="F88">
        <f>'Monthly Data'!BI88</f>
        <v>0</v>
      </c>
      <c r="G88" s="124">
        <f>'Monthly Data'!BK88</f>
        <v>161</v>
      </c>
      <c r="H88">
        <f>'Monthly Data'!BM88</f>
        <v>87</v>
      </c>
      <c r="I88">
        <f>'Monthly Data'!BP88</f>
        <v>1</v>
      </c>
      <c r="J88">
        <f>'Monthly Data'!BV88</f>
        <v>0</v>
      </c>
      <c r="K88">
        <f>'Monthly Data'!CB88</f>
        <v>1</v>
      </c>
      <c r="L88">
        <f>'Monthly Data'!CC88</f>
        <v>31</v>
      </c>
      <c r="N88">
        <f>'GS &lt; 50 OLS Model'!$B$5</f>
        <v>-2510760.1679547098</v>
      </c>
      <c r="O88">
        <f>'GS &lt; 50 OLS Model'!$B$6*E88</f>
        <v>1528596.6374301985</v>
      </c>
      <c r="P88">
        <f>'GS &lt; 50 OLS Model'!$B$7*F88</f>
        <v>0</v>
      </c>
      <c r="Q88">
        <f>'GS &lt; 50 OLS Model'!$B$8*G88</f>
        <v>6591336.3057505265</v>
      </c>
      <c r="R88">
        <f>'GS &lt; 50 OLS Model'!$B$9*H88</f>
        <v>-1782861.0115051677</v>
      </c>
      <c r="S88">
        <f>'GS &lt; 50 OLS Model'!$B$10*I88</f>
        <v>419453.43275174301</v>
      </c>
      <c r="T88">
        <f>'GS &lt; 50 OLS Model'!$B$11*J88</f>
        <v>0</v>
      </c>
      <c r="U88">
        <f>'GS &lt; 50 OLS Model'!$B$12*K88</f>
        <v>-782960.312499544</v>
      </c>
      <c r="V88">
        <f>'GS &lt; 50 OLS Model'!$B$13*L88</f>
        <v>14235755.378578186</v>
      </c>
      <c r="W88">
        <f t="shared" si="6"/>
        <v>17698560.262551233</v>
      </c>
      <c r="X88" s="24">
        <f t="shared" ca="1" si="7"/>
        <v>1.2725462118752567E-2</v>
      </c>
    </row>
    <row r="89" spans="1:24">
      <c r="A89" s="26">
        <f>'Monthly Data'!A89</f>
        <v>42461</v>
      </c>
      <c r="B89" s="154">
        <f t="shared" si="8"/>
        <v>4</v>
      </c>
      <c r="C89">
        <f t="shared" si="5"/>
        <v>2016</v>
      </c>
      <c r="D89">
        <f ca="1">'Monthly Data'!J89</f>
        <v>16527168.639966492</v>
      </c>
      <c r="E89">
        <f>'Monthly Data'!BH89</f>
        <v>315.20000000000005</v>
      </c>
      <c r="F89">
        <f>'Monthly Data'!BI89</f>
        <v>0</v>
      </c>
      <c r="G89" s="124">
        <f>'Monthly Data'!BK89</f>
        <v>163.1</v>
      </c>
      <c r="H89">
        <f>'Monthly Data'!BM89</f>
        <v>88</v>
      </c>
      <c r="I89">
        <f>'Monthly Data'!BP89</f>
        <v>0</v>
      </c>
      <c r="J89">
        <f>'Monthly Data'!BV89</f>
        <v>0</v>
      </c>
      <c r="K89">
        <f>'Monthly Data'!CB89</f>
        <v>1</v>
      </c>
      <c r="L89">
        <f>'Monthly Data'!CC89</f>
        <v>30</v>
      </c>
      <c r="N89">
        <f>'GS &lt; 50 OLS Model'!$B$5</f>
        <v>-2510760.1679547098</v>
      </c>
      <c r="O89">
        <f>'GS &lt; 50 OLS Model'!$B$6*E89</f>
        <v>1373079.6811570209</v>
      </c>
      <c r="P89">
        <f>'GS &lt; 50 OLS Model'!$B$7*F89</f>
        <v>0</v>
      </c>
      <c r="Q89">
        <f>'GS &lt; 50 OLS Model'!$B$8*G89</f>
        <v>6677310.2575646639</v>
      </c>
      <c r="R89">
        <f>'GS &lt; 50 OLS Model'!$B$9*H89</f>
        <v>-1803353.6668098248</v>
      </c>
      <c r="S89">
        <f>'GS &lt; 50 OLS Model'!$B$10*I89</f>
        <v>0</v>
      </c>
      <c r="T89">
        <f>'GS &lt; 50 OLS Model'!$B$11*J89</f>
        <v>0</v>
      </c>
      <c r="U89">
        <f>'GS &lt; 50 OLS Model'!$B$12*K89</f>
        <v>-782960.312499544</v>
      </c>
      <c r="V89">
        <f>'GS &lt; 50 OLS Model'!$B$13*L89</f>
        <v>13776537.46314018</v>
      </c>
      <c r="W89">
        <f t="shared" si="6"/>
        <v>16729853.254597787</v>
      </c>
      <c r="X89" s="24">
        <f t="shared" ca="1" si="7"/>
        <v>1.2263722785593003E-2</v>
      </c>
    </row>
    <row r="90" spans="1:24">
      <c r="A90" s="26">
        <f>'Monthly Data'!A90</f>
        <v>42491</v>
      </c>
      <c r="B90" s="154">
        <f t="shared" si="8"/>
        <v>5</v>
      </c>
      <c r="C90">
        <f t="shared" si="5"/>
        <v>2016</v>
      </c>
      <c r="D90">
        <f ca="1">'Monthly Data'!J90</f>
        <v>17576723.658702593</v>
      </c>
      <c r="E90">
        <f>'Monthly Data'!BH90</f>
        <v>110.9</v>
      </c>
      <c r="F90">
        <f>'Monthly Data'!BI90</f>
        <v>47</v>
      </c>
      <c r="G90" s="124">
        <f>'Monthly Data'!BK90</f>
        <v>164.8</v>
      </c>
      <c r="H90">
        <f>'Monthly Data'!BM90</f>
        <v>89</v>
      </c>
      <c r="I90">
        <f>'Monthly Data'!BP90</f>
        <v>0</v>
      </c>
      <c r="J90">
        <f>'Monthly Data'!BV90</f>
        <v>0</v>
      </c>
      <c r="K90">
        <f>'Monthly Data'!CB90</f>
        <v>1</v>
      </c>
      <c r="L90">
        <f>'Monthly Data'!CC90</f>
        <v>31</v>
      </c>
      <c r="N90">
        <f>'GS &lt; 50 OLS Model'!$B$5</f>
        <v>-2510760.1679547098</v>
      </c>
      <c r="O90">
        <f>'GS &lt; 50 OLS Model'!$B$6*E90</f>
        <v>483104.49441723857</v>
      </c>
      <c r="P90">
        <f>'GS &lt; 50 OLS Model'!$B$7*F90</f>
        <v>1116033.7002242547</v>
      </c>
      <c r="Q90">
        <f>'GS &lt; 50 OLS Model'!$B$8*G90</f>
        <v>6746908.2185570616</v>
      </c>
      <c r="R90">
        <f>'GS &lt; 50 OLS Model'!$B$9*H90</f>
        <v>-1823846.3221144818</v>
      </c>
      <c r="S90">
        <f>'GS &lt; 50 OLS Model'!$B$10*I90</f>
        <v>0</v>
      </c>
      <c r="T90">
        <f>'GS &lt; 50 OLS Model'!$B$11*J90</f>
        <v>0</v>
      </c>
      <c r="U90">
        <f>'GS &lt; 50 OLS Model'!$B$12*K90</f>
        <v>-782960.312499544</v>
      </c>
      <c r="V90">
        <f>'GS &lt; 50 OLS Model'!$B$13*L90</f>
        <v>14235755.378578186</v>
      </c>
      <c r="W90">
        <f t="shared" si="6"/>
        <v>17464234.989208005</v>
      </c>
      <c r="X90" s="24">
        <f t="shared" ca="1" si="7"/>
        <v>6.3998656222197872E-3</v>
      </c>
    </row>
    <row r="91" spans="1:24">
      <c r="A91" s="26">
        <f>'Monthly Data'!A91</f>
        <v>42522</v>
      </c>
      <c r="B91" s="154">
        <f t="shared" si="8"/>
        <v>6</v>
      </c>
      <c r="C91">
        <f t="shared" si="5"/>
        <v>2016</v>
      </c>
      <c r="D91">
        <f ca="1">'Monthly Data'!J91</f>
        <v>19532905.229509365</v>
      </c>
      <c r="E91">
        <f>'Monthly Data'!BH91</f>
        <v>5.6</v>
      </c>
      <c r="F91">
        <f>'Monthly Data'!BI91</f>
        <v>127.2</v>
      </c>
      <c r="G91" s="124">
        <f>'Monthly Data'!BK91</f>
        <v>166.3</v>
      </c>
      <c r="H91">
        <f>'Monthly Data'!BM91</f>
        <v>90</v>
      </c>
      <c r="I91">
        <f>'Monthly Data'!BP91</f>
        <v>0</v>
      </c>
      <c r="J91">
        <f>'Monthly Data'!BV91</f>
        <v>0</v>
      </c>
      <c r="K91">
        <f>'Monthly Data'!CB91</f>
        <v>0</v>
      </c>
      <c r="L91">
        <f>'Monthly Data'!CC91</f>
        <v>30</v>
      </c>
      <c r="N91">
        <f>'GS &lt; 50 OLS Model'!$B$5</f>
        <v>-2510760.1679547098</v>
      </c>
      <c r="O91">
        <f>'GS &lt; 50 OLS Model'!$B$6*E91</f>
        <v>24394.816670302396</v>
      </c>
      <c r="P91">
        <f>'GS &lt; 50 OLS Model'!$B$7*F91</f>
        <v>3020414.6099686213</v>
      </c>
      <c r="Q91">
        <f>'GS &lt; 50 OLS Model'!$B$8*G91</f>
        <v>6808318.1841385877</v>
      </c>
      <c r="R91">
        <f>'GS &lt; 50 OLS Model'!$B$9*H91</f>
        <v>-1844338.9774191389</v>
      </c>
      <c r="S91">
        <f>'GS &lt; 50 OLS Model'!$B$10*I91</f>
        <v>0</v>
      </c>
      <c r="T91">
        <f>'GS &lt; 50 OLS Model'!$B$11*J91</f>
        <v>0</v>
      </c>
      <c r="U91">
        <f>'GS &lt; 50 OLS Model'!$B$12*K91</f>
        <v>0</v>
      </c>
      <c r="V91">
        <f>'GS &lt; 50 OLS Model'!$B$13*L91</f>
        <v>13776537.46314018</v>
      </c>
      <c r="W91">
        <f t="shared" si="6"/>
        <v>19274565.928543843</v>
      </c>
      <c r="X91" s="24">
        <f t="shared" ca="1" si="7"/>
        <v>1.3225851348279466E-2</v>
      </c>
    </row>
    <row r="92" spans="1:24">
      <c r="A92" s="26">
        <f>'Monthly Data'!A92</f>
        <v>42552</v>
      </c>
      <c r="B92" s="154">
        <f t="shared" si="8"/>
        <v>7</v>
      </c>
      <c r="C92">
        <f t="shared" si="5"/>
        <v>2016</v>
      </c>
      <c r="D92">
        <f ca="1">'Monthly Data'!J92</f>
        <v>21956762.489117898</v>
      </c>
      <c r="E92">
        <f>'Monthly Data'!BH92</f>
        <v>0</v>
      </c>
      <c r="F92">
        <f>'Monthly Data'!BI92</f>
        <v>213.1</v>
      </c>
      <c r="G92" s="124">
        <f>'Monthly Data'!BK92</f>
        <v>167.5</v>
      </c>
      <c r="H92">
        <f>'Monthly Data'!BM92</f>
        <v>91</v>
      </c>
      <c r="I92">
        <f>'Monthly Data'!BP92</f>
        <v>0</v>
      </c>
      <c r="J92">
        <f>'Monthly Data'!BV92</f>
        <v>0</v>
      </c>
      <c r="K92">
        <f>'Monthly Data'!CB92</f>
        <v>0</v>
      </c>
      <c r="L92">
        <f>'Monthly Data'!CC92</f>
        <v>31</v>
      </c>
      <c r="N92">
        <f>'GS &lt; 50 OLS Model'!$B$5</f>
        <v>-2510760.1679547098</v>
      </c>
      <c r="O92">
        <f>'GS &lt; 50 OLS Model'!$B$6*E92</f>
        <v>0</v>
      </c>
      <c r="P92">
        <f>'GS &lt; 50 OLS Model'!$B$7*F92</f>
        <v>5060144.2876125248</v>
      </c>
      <c r="Q92">
        <f>'GS &lt; 50 OLS Model'!$B$8*G92</f>
        <v>6857446.1566038085</v>
      </c>
      <c r="R92">
        <f>'GS &lt; 50 OLS Model'!$B$9*H92</f>
        <v>-1864831.6327237959</v>
      </c>
      <c r="S92">
        <f>'GS &lt; 50 OLS Model'!$B$10*I92</f>
        <v>0</v>
      </c>
      <c r="T92">
        <f>'GS &lt; 50 OLS Model'!$B$11*J92</f>
        <v>0</v>
      </c>
      <c r="U92">
        <f>'GS &lt; 50 OLS Model'!$B$12*K92</f>
        <v>0</v>
      </c>
      <c r="V92">
        <f>'GS &lt; 50 OLS Model'!$B$13*L92</f>
        <v>14235755.378578186</v>
      </c>
      <c r="W92">
        <f t="shared" si="6"/>
        <v>21777754.022116013</v>
      </c>
      <c r="X92" s="24">
        <f t="shared" ca="1" si="7"/>
        <v>8.1527714794293778E-3</v>
      </c>
    </row>
    <row r="93" spans="1:24">
      <c r="A93" s="26">
        <f>'Monthly Data'!A93</f>
        <v>42583</v>
      </c>
      <c r="B93" s="154">
        <f t="shared" si="8"/>
        <v>8</v>
      </c>
      <c r="C93">
        <f t="shared" si="5"/>
        <v>2016</v>
      </c>
      <c r="D93">
        <f ca="1">'Monthly Data'!J93</f>
        <v>21900969.806323256</v>
      </c>
      <c r="E93">
        <f>'Monthly Data'!BH93</f>
        <v>0</v>
      </c>
      <c r="F93">
        <f>'Monthly Data'!BI93</f>
        <v>219</v>
      </c>
      <c r="G93" s="124">
        <f>'Monthly Data'!BK93</f>
        <v>167.9</v>
      </c>
      <c r="H93">
        <f>'Monthly Data'!BM93</f>
        <v>92</v>
      </c>
      <c r="I93">
        <f>'Monthly Data'!BP93</f>
        <v>0</v>
      </c>
      <c r="J93">
        <f>'Monthly Data'!BV93</f>
        <v>0</v>
      </c>
      <c r="K93">
        <f>'Monthly Data'!CB93</f>
        <v>0</v>
      </c>
      <c r="L93">
        <f>'Monthly Data'!CC93</f>
        <v>31</v>
      </c>
      <c r="N93">
        <f>'GS &lt; 50 OLS Model'!$B$5</f>
        <v>-2510760.1679547098</v>
      </c>
      <c r="O93">
        <f>'GS &lt; 50 OLS Model'!$B$6*E93</f>
        <v>0</v>
      </c>
      <c r="P93">
        <f>'GS &lt; 50 OLS Model'!$B$7*F93</f>
        <v>5200242.1350874845</v>
      </c>
      <c r="Q93">
        <f>'GS &lt; 50 OLS Model'!$B$8*G93</f>
        <v>6873822.1474255491</v>
      </c>
      <c r="R93">
        <f>'GS &lt; 50 OLS Model'!$B$9*H93</f>
        <v>-1885324.288028453</v>
      </c>
      <c r="S93">
        <f>'GS &lt; 50 OLS Model'!$B$10*I93</f>
        <v>0</v>
      </c>
      <c r="T93">
        <f>'GS &lt; 50 OLS Model'!$B$11*J93</f>
        <v>0</v>
      </c>
      <c r="U93">
        <f>'GS &lt; 50 OLS Model'!$B$12*K93</f>
        <v>0</v>
      </c>
      <c r="V93">
        <f>'GS &lt; 50 OLS Model'!$B$13*L93</f>
        <v>14235755.378578186</v>
      </c>
      <c r="W93">
        <f t="shared" si="6"/>
        <v>21913735.205108058</v>
      </c>
      <c r="X93" s="24">
        <f t="shared" ca="1" si="7"/>
        <v>5.8286911025810979E-4</v>
      </c>
    </row>
    <row r="94" spans="1:24">
      <c r="A94" s="26">
        <f>'Monthly Data'!A94</f>
        <v>42614</v>
      </c>
      <c r="B94" s="154">
        <f t="shared" si="8"/>
        <v>9</v>
      </c>
      <c r="C94">
        <f t="shared" si="5"/>
        <v>2016</v>
      </c>
      <c r="D94">
        <f ca="1">'Monthly Data'!J94</f>
        <v>18789309.137700778</v>
      </c>
      <c r="E94">
        <f>'Monthly Data'!BH94</f>
        <v>8</v>
      </c>
      <c r="F94">
        <f>'Monthly Data'!BI94</f>
        <v>90.1</v>
      </c>
      <c r="G94" s="124">
        <f>'Monthly Data'!BK94</f>
        <v>167.5</v>
      </c>
      <c r="H94">
        <f>'Monthly Data'!BM94</f>
        <v>93</v>
      </c>
      <c r="I94">
        <f>'Monthly Data'!BP94</f>
        <v>0</v>
      </c>
      <c r="J94">
        <f>'Monthly Data'!BV94</f>
        <v>1</v>
      </c>
      <c r="K94">
        <f>'Monthly Data'!CB94</f>
        <v>1</v>
      </c>
      <c r="L94">
        <f>'Monthly Data'!CC94</f>
        <v>30</v>
      </c>
      <c r="N94">
        <f>'GS &lt; 50 OLS Model'!$B$5</f>
        <v>-2510760.1679547098</v>
      </c>
      <c r="O94">
        <f>'GS &lt; 50 OLS Model'!$B$6*E94</f>
        <v>34849.738100431998</v>
      </c>
      <c r="P94">
        <f>'GS &lt; 50 OLS Model'!$B$7*F94</f>
        <v>2139460.3487277734</v>
      </c>
      <c r="Q94">
        <f>'GS &lt; 50 OLS Model'!$B$8*G94</f>
        <v>6857446.1566038085</v>
      </c>
      <c r="R94">
        <f>'GS &lt; 50 OLS Model'!$B$9*H94</f>
        <v>-1905816.9433331103</v>
      </c>
      <c r="S94">
        <f>'GS &lt; 50 OLS Model'!$B$10*I94</f>
        <v>0</v>
      </c>
      <c r="T94">
        <f>'GS &lt; 50 OLS Model'!$B$11*J94</f>
        <v>697390.17362184904</v>
      </c>
      <c r="U94">
        <f>'GS &lt; 50 OLS Model'!$B$12*K94</f>
        <v>-782960.312499544</v>
      </c>
      <c r="V94">
        <f>'GS &lt; 50 OLS Model'!$B$13*L94</f>
        <v>13776537.46314018</v>
      </c>
      <c r="W94">
        <f t="shared" si="6"/>
        <v>18306146.456406679</v>
      </c>
      <c r="X94" s="24">
        <f t="shared" ca="1" si="7"/>
        <v>2.571476565493469E-2</v>
      </c>
    </row>
    <row r="95" spans="1:24">
      <c r="A95" s="26">
        <f>'Monthly Data'!A95</f>
        <v>42644</v>
      </c>
      <c r="B95" s="154">
        <f t="shared" si="8"/>
        <v>10</v>
      </c>
      <c r="C95">
        <f t="shared" si="5"/>
        <v>2016</v>
      </c>
      <c r="D95">
        <f ca="1">'Monthly Data'!J95</f>
        <v>16955472.071180869</v>
      </c>
      <c r="E95">
        <f>'Monthly Data'!BH95</f>
        <v>146</v>
      </c>
      <c r="F95">
        <f>'Monthly Data'!BI95</f>
        <v>22.7</v>
      </c>
      <c r="G95" s="124">
        <f>'Monthly Data'!BK95</f>
        <v>166.4</v>
      </c>
      <c r="H95">
        <f>'Monthly Data'!BM95</f>
        <v>94</v>
      </c>
      <c r="I95">
        <f>'Monthly Data'!BP95</f>
        <v>0</v>
      </c>
      <c r="J95">
        <f>'Monthly Data'!BV95</f>
        <v>0</v>
      </c>
      <c r="K95">
        <f>'Monthly Data'!CB95</f>
        <v>1</v>
      </c>
      <c r="L95">
        <f>'Monthly Data'!CC95</f>
        <v>31</v>
      </c>
      <c r="N95">
        <f>'GS &lt; 50 OLS Model'!$B$5</f>
        <v>-2510760.1679547098</v>
      </c>
      <c r="O95">
        <f>'GS &lt; 50 OLS Model'!$B$6*E95</f>
        <v>636007.720332884</v>
      </c>
      <c r="P95">
        <f>'GS &lt; 50 OLS Model'!$B$7*F95</f>
        <v>539020.53181043791</v>
      </c>
      <c r="Q95">
        <f>'GS &lt; 50 OLS Model'!$B$8*G95</f>
        <v>6812412.1818440231</v>
      </c>
      <c r="R95">
        <f>'GS &lt; 50 OLS Model'!$B$9*H95</f>
        <v>-1926309.5986377674</v>
      </c>
      <c r="S95">
        <f>'GS &lt; 50 OLS Model'!$B$10*I95</f>
        <v>0</v>
      </c>
      <c r="T95">
        <f>'GS &lt; 50 OLS Model'!$B$11*J95</f>
        <v>0</v>
      </c>
      <c r="U95">
        <f>'GS &lt; 50 OLS Model'!$B$12*K95</f>
        <v>-782960.312499544</v>
      </c>
      <c r="V95">
        <f>'GS &lt; 50 OLS Model'!$B$13*L95</f>
        <v>14235755.378578186</v>
      </c>
      <c r="W95">
        <f t="shared" si="6"/>
        <v>17003165.73347351</v>
      </c>
      <c r="X95" s="24">
        <f t="shared" ca="1" si="7"/>
        <v>2.8128772877816441E-3</v>
      </c>
    </row>
    <row r="96" spans="1:24">
      <c r="A96" s="26">
        <f>'Monthly Data'!A96</f>
        <v>42675</v>
      </c>
      <c r="B96" s="154">
        <f t="shared" si="8"/>
        <v>11</v>
      </c>
      <c r="C96">
        <f t="shared" si="5"/>
        <v>2016</v>
      </c>
      <c r="D96">
        <f ca="1">'Monthly Data'!J96</f>
        <v>16751612.589217924</v>
      </c>
      <c r="E96">
        <f>'Monthly Data'!BH96</f>
        <v>290.7</v>
      </c>
      <c r="F96">
        <f>'Monthly Data'!BI96</f>
        <v>0</v>
      </c>
      <c r="G96" s="124">
        <f>'Monthly Data'!BK96</f>
        <v>163.9</v>
      </c>
      <c r="H96">
        <f>'Monthly Data'!BM96</f>
        <v>95</v>
      </c>
      <c r="I96">
        <f>'Monthly Data'!BP96</f>
        <v>0</v>
      </c>
      <c r="J96">
        <f>'Monthly Data'!BV96</f>
        <v>0</v>
      </c>
      <c r="K96">
        <f>'Monthly Data'!CB96</f>
        <v>1</v>
      </c>
      <c r="L96">
        <f>'Monthly Data'!CC96</f>
        <v>30</v>
      </c>
      <c r="N96">
        <f>'GS &lt; 50 OLS Model'!$B$5</f>
        <v>-2510760.1679547098</v>
      </c>
      <c r="O96">
        <f>'GS &lt; 50 OLS Model'!$B$6*E96</f>
        <v>1266352.3582244476</v>
      </c>
      <c r="P96">
        <f>'GS &lt; 50 OLS Model'!$B$7*F96</f>
        <v>0</v>
      </c>
      <c r="Q96">
        <f>'GS &lt; 50 OLS Model'!$B$8*G96</f>
        <v>6710062.2392081451</v>
      </c>
      <c r="R96">
        <f>'GS &lt; 50 OLS Model'!$B$9*H96</f>
        <v>-1946802.2539424244</v>
      </c>
      <c r="S96">
        <f>'GS &lt; 50 OLS Model'!$B$10*I96</f>
        <v>0</v>
      </c>
      <c r="T96">
        <f>'GS &lt; 50 OLS Model'!$B$11*J96</f>
        <v>0</v>
      </c>
      <c r="U96">
        <f>'GS &lt; 50 OLS Model'!$B$12*K96</f>
        <v>-782960.312499544</v>
      </c>
      <c r="V96">
        <f>'GS &lt; 50 OLS Model'!$B$13*L96</f>
        <v>13776537.46314018</v>
      </c>
      <c r="W96">
        <f t="shared" si="6"/>
        <v>16512429.326176094</v>
      </c>
      <c r="X96" s="24">
        <f t="shared" ca="1" si="7"/>
        <v>1.4278223172124849E-2</v>
      </c>
    </row>
    <row r="97" spans="1:24">
      <c r="A97" s="26">
        <f>'Monthly Data'!A97</f>
        <v>42705</v>
      </c>
      <c r="B97" s="154">
        <f t="shared" si="8"/>
        <v>12</v>
      </c>
      <c r="C97">
        <f t="shared" si="5"/>
        <v>2016</v>
      </c>
      <c r="D97">
        <f ca="1">'Monthly Data'!J97</f>
        <v>18774069.716664497</v>
      </c>
      <c r="E97">
        <f>'Monthly Data'!BH97</f>
        <v>581.1</v>
      </c>
      <c r="F97">
        <f>'Monthly Data'!BI97</f>
        <v>0</v>
      </c>
      <c r="G97" s="124">
        <f>'Monthly Data'!BK97</f>
        <v>161.80000000000001</v>
      </c>
      <c r="H97">
        <f>'Monthly Data'!BM97</f>
        <v>96</v>
      </c>
      <c r="I97">
        <f>'Monthly Data'!BP97</f>
        <v>0</v>
      </c>
      <c r="J97">
        <f>'Monthly Data'!BV97</f>
        <v>0</v>
      </c>
      <c r="K97">
        <f>'Monthly Data'!CB97</f>
        <v>0</v>
      </c>
      <c r="L97">
        <f>'Monthly Data'!CC97</f>
        <v>31</v>
      </c>
      <c r="N97">
        <f>'GS &lt; 50 OLS Model'!$B$5</f>
        <v>-2510760.1679547098</v>
      </c>
      <c r="O97">
        <f>'GS &lt; 50 OLS Model'!$B$6*E97</f>
        <v>2531397.8512701294</v>
      </c>
      <c r="P97">
        <f>'GS &lt; 50 OLS Model'!$B$7*F97</f>
        <v>0</v>
      </c>
      <c r="Q97">
        <f>'GS &lt; 50 OLS Model'!$B$8*G97</f>
        <v>6624088.2873940077</v>
      </c>
      <c r="R97">
        <f>'GS &lt; 50 OLS Model'!$B$9*H97</f>
        <v>-1967294.9092470815</v>
      </c>
      <c r="S97">
        <f>'GS &lt; 50 OLS Model'!$B$10*I97</f>
        <v>0</v>
      </c>
      <c r="T97">
        <f>'GS &lt; 50 OLS Model'!$B$11*J97</f>
        <v>0</v>
      </c>
      <c r="U97">
        <f>'GS &lt; 50 OLS Model'!$B$12*K97</f>
        <v>0</v>
      </c>
      <c r="V97">
        <f>'GS &lt; 50 OLS Model'!$B$13*L97</f>
        <v>14235755.378578186</v>
      </c>
      <c r="W97">
        <f t="shared" si="6"/>
        <v>18913186.440040532</v>
      </c>
      <c r="X97" s="24">
        <f t="shared" ca="1" si="7"/>
        <v>7.4100461687617468E-3</v>
      </c>
    </row>
    <row r="98" spans="1:24">
      <c r="A98" s="128">
        <f>'Monthly Data'!A98</f>
        <v>42736</v>
      </c>
      <c r="B98" s="154">
        <f t="shared" si="8"/>
        <v>1</v>
      </c>
      <c r="C98" s="127">
        <f t="shared" ref="C98:C109" si="9">YEAR(A98)</f>
        <v>2017</v>
      </c>
      <c r="D98" s="127">
        <f ca="1">'Monthly Data'!J98</f>
        <v>18732513.136596769</v>
      </c>
      <c r="E98" s="127">
        <f>'Monthly Data'!BH98</f>
        <v>570.4</v>
      </c>
      <c r="F98" s="127">
        <f>'Monthly Data'!BI98</f>
        <v>0</v>
      </c>
      <c r="G98" s="124">
        <f>'Monthly Data'!BK98</f>
        <v>162</v>
      </c>
      <c r="H98" s="127">
        <f>'Monthly Data'!BM98</f>
        <v>97</v>
      </c>
      <c r="I98" s="127">
        <f>'Monthly Data'!BP98</f>
        <v>0</v>
      </c>
      <c r="J98" s="127">
        <f>'Monthly Data'!BV98</f>
        <v>0</v>
      </c>
      <c r="K98" s="127">
        <f>'Monthly Data'!CB98</f>
        <v>0</v>
      </c>
      <c r="L98" s="127">
        <f>'Monthly Data'!CC98</f>
        <v>31</v>
      </c>
      <c r="M98" s="127"/>
      <c r="N98" s="127">
        <f>'GS &lt; 50 OLS Model'!$B$5</f>
        <v>-2510760.1679547098</v>
      </c>
      <c r="O98" s="127">
        <f>'GS &lt; 50 OLS Model'!$B$6*E98</f>
        <v>2484786.3265608014</v>
      </c>
      <c r="P98" s="127">
        <f>'GS &lt; 50 OLS Model'!$B$7*F98</f>
        <v>0</v>
      </c>
      <c r="Q98" s="127">
        <f>'GS &lt; 50 OLS Model'!$B$8*G98</f>
        <v>6632276.2828048775</v>
      </c>
      <c r="R98" s="127">
        <f>'GS &lt; 50 OLS Model'!$B$9*H98</f>
        <v>-1987787.5645517386</v>
      </c>
      <c r="S98" s="127">
        <f>'GS &lt; 50 OLS Model'!$B$10*I98</f>
        <v>0</v>
      </c>
      <c r="T98" s="127">
        <f>'GS &lt; 50 OLS Model'!$B$11*J98</f>
        <v>0</v>
      </c>
      <c r="U98" s="127">
        <f>'GS &lt; 50 OLS Model'!$B$12*K98</f>
        <v>0</v>
      </c>
      <c r="V98" s="127">
        <f>'GS &lt; 50 OLS Model'!$B$13*L98</f>
        <v>14235755.378578186</v>
      </c>
      <c r="W98" s="127">
        <f t="shared" ref="W98:W109" si="10">SUM(N98:V98)</f>
        <v>18854270.255437419</v>
      </c>
      <c r="X98" s="24">
        <f t="shared" ref="X98:X109" ca="1" si="11">ABS(W98-D98)/D98</f>
        <v>6.4997749075525251E-3</v>
      </c>
    </row>
    <row r="99" spans="1:24">
      <c r="A99" s="128">
        <f>'Monthly Data'!A99</f>
        <v>42767</v>
      </c>
      <c r="B99" s="154">
        <f t="shared" si="8"/>
        <v>2</v>
      </c>
      <c r="C99" s="127">
        <f t="shared" si="9"/>
        <v>2017</v>
      </c>
      <c r="D99" s="127">
        <f ca="1">'Monthly Data'!J99</f>
        <v>16467205.256596768</v>
      </c>
      <c r="E99" s="127">
        <f>'Monthly Data'!BH99</f>
        <v>411.8</v>
      </c>
      <c r="F99" s="127">
        <f>'Monthly Data'!BI99</f>
        <v>0</v>
      </c>
      <c r="G99" s="124">
        <f>'Monthly Data'!BK99</f>
        <v>161.19999999999999</v>
      </c>
      <c r="H99" s="127">
        <f>'Monthly Data'!BM99</f>
        <v>98</v>
      </c>
      <c r="I99" s="127">
        <f>'Monthly Data'!BP99</f>
        <v>0</v>
      </c>
      <c r="J99" s="127">
        <f>'Monthly Data'!BV99</f>
        <v>0</v>
      </c>
      <c r="K99" s="127">
        <f>'Monthly Data'!CB99</f>
        <v>0</v>
      </c>
      <c r="L99" s="127">
        <f>'Monthly Data'!CC99</f>
        <v>28</v>
      </c>
      <c r="M99" s="127"/>
      <c r="N99" s="127">
        <f>'GS &lt; 50 OLS Model'!$B$5</f>
        <v>-2510760.1679547098</v>
      </c>
      <c r="O99" s="127">
        <f>'GS &lt; 50 OLS Model'!$B$6*E99</f>
        <v>1793890.2687197372</v>
      </c>
      <c r="P99" s="127">
        <f>'GS &lt; 50 OLS Model'!$B$7*F99</f>
        <v>0</v>
      </c>
      <c r="Q99" s="127">
        <f>'GS &lt; 50 OLS Model'!$B$8*G99</f>
        <v>6599524.3011613963</v>
      </c>
      <c r="R99" s="127">
        <f>'GS &lt; 50 OLS Model'!$B$9*H99</f>
        <v>-2008280.2198563956</v>
      </c>
      <c r="S99" s="127">
        <f>'GS &lt; 50 OLS Model'!$B$10*I99</f>
        <v>0</v>
      </c>
      <c r="T99" s="127">
        <f>'GS &lt; 50 OLS Model'!$B$11*J99</f>
        <v>0</v>
      </c>
      <c r="U99" s="127">
        <f>'GS &lt; 50 OLS Model'!$B$12*K99</f>
        <v>0</v>
      </c>
      <c r="V99" s="127">
        <f>'GS &lt; 50 OLS Model'!$B$13*L99</f>
        <v>12858101.632264167</v>
      </c>
      <c r="W99" s="127">
        <f t="shared" si="10"/>
        <v>16732475.814334195</v>
      </c>
      <c r="X99" s="24">
        <f t="shared" ca="1" si="11"/>
        <v>1.6109021148634758E-2</v>
      </c>
    </row>
    <row r="100" spans="1:24">
      <c r="A100" s="128">
        <f>'Monthly Data'!A100</f>
        <v>42795</v>
      </c>
      <c r="B100" s="154">
        <f t="shared" si="8"/>
        <v>3</v>
      </c>
      <c r="C100" s="127">
        <f t="shared" si="9"/>
        <v>2017</v>
      </c>
      <c r="D100" s="127">
        <f ca="1">'Monthly Data'!J100</f>
        <v>17473640.656596765</v>
      </c>
      <c r="E100" s="127">
        <f>'Monthly Data'!BH100</f>
        <v>469.7</v>
      </c>
      <c r="F100" s="127">
        <f>'Monthly Data'!BI100</f>
        <v>0</v>
      </c>
      <c r="G100" s="124">
        <f>'Monthly Data'!BK100</f>
        <v>161.30000000000001</v>
      </c>
      <c r="H100" s="127">
        <f>'Monthly Data'!BM100</f>
        <v>99</v>
      </c>
      <c r="I100" s="127">
        <f>'Monthly Data'!BP100</f>
        <v>1</v>
      </c>
      <c r="J100" s="127">
        <f>'Monthly Data'!BV100</f>
        <v>0</v>
      </c>
      <c r="K100" s="127">
        <f>'Monthly Data'!CB100</f>
        <v>1</v>
      </c>
      <c r="L100" s="127">
        <f>'Monthly Data'!CC100</f>
        <v>31</v>
      </c>
      <c r="M100" s="127"/>
      <c r="N100" s="127">
        <f>'GS &lt; 50 OLS Model'!$B$5</f>
        <v>-2510760.1679547098</v>
      </c>
      <c r="O100" s="127">
        <f>'GS &lt; 50 OLS Model'!$B$6*E100</f>
        <v>2046115.2482216137</v>
      </c>
      <c r="P100" s="127">
        <f>'GS &lt; 50 OLS Model'!$B$7*F100</f>
        <v>0</v>
      </c>
      <c r="Q100" s="127">
        <f>'GS &lt; 50 OLS Model'!$B$8*G100</f>
        <v>6603618.2988668326</v>
      </c>
      <c r="R100" s="127">
        <f>'GS &lt; 50 OLS Model'!$B$9*H100</f>
        <v>-2028772.8751610527</v>
      </c>
      <c r="S100" s="127">
        <f>'GS &lt; 50 OLS Model'!$B$10*I100</f>
        <v>419453.43275174301</v>
      </c>
      <c r="T100" s="127">
        <f>'GS &lt; 50 OLS Model'!$B$11*J100</f>
        <v>0</v>
      </c>
      <c r="U100" s="127">
        <f>'GS &lt; 50 OLS Model'!$B$12*K100</f>
        <v>-782960.312499544</v>
      </c>
      <c r="V100" s="127">
        <f>'GS &lt; 50 OLS Model'!$B$13*L100</f>
        <v>14235755.378578186</v>
      </c>
      <c r="W100" s="127">
        <f t="shared" si="10"/>
        <v>17982449.002803069</v>
      </c>
      <c r="X100" s="24">
        <f t="shared" ca="1" si="11"/>
        <v>2.9118622512945804E-2</v>
      </c>
    </row>
    <row r="101" spans="1:24">
      <c r="A101" s="128">
        <f>'Monthly Data'!A101</f>
        <v>42826</v>
      </c>
      <c r="B101" s="154">
        <f t="shared" si="8"/>
        <v>4</v>
      </c>
      <c r="C101" s="127">
        <f t="shared" si="9"/>
        <v>2017</v>
      </c>
      <c r="D101" s="127">
        <f ca="1">'Monthly Data'!J101</f>
        <v>15740126.976596767</v>
      </c>
      <c r="E101" s="127">
        <f>'Monthly Data'!BH101</f>
        <v>177.1</v>
      </c>
      <c r="F101" s="127">
        <f>'Monthly Data'!BI101</f>
        <v>6.1</v>
      </c>
      <c r="G101" s="124">
        <f>'Monthly Data'!BK101</f>
        <v>160.19999999999999</v>
      </c>
      <c r="H101" s="127">
        <f>'Monthly Data'!BM101</f>
        <v>100</v>
      </c>
      <c r="I101" s="127">
        <f>'Monthly Data'!BP101</f>
        <v>0</v>
      </c>
      <c r="J101" s="127">
        <f>'Monthly Data'!BV101</f>
        <v>0</v>
      </c>
      <c r="K101" s="127">
        <f>'Monthly Data'!CB101</f>
        <v>1</v>
      </c>
      <c r="L101" s="127">
        <f>'Monthly Data'!CC101</f>
        <v>30</v>
      </c>
      <c r="M101" s="127"/>
      <c r="N101" s="127">
        <f>'GS &lt; 50 OLS Model'!$B$5</f>
        <v>-2510760.1679547098</v>
      </c>
      <c r="O101" s="127">
        <f>'GS &lt; 50 OLS Model'!$B$6*E101</f>
        <v>771486.07719831332</v>
      </c>
      <c r="P101" s="127">
        <f>'GS &lt; 50 OLS Model'!$B$7*F101</f>
        <v>144846.92705038199</v>
      </c>
      <c r="Q101" s="127">
        <f>'GS &lt; 50 OLS Model'!$B$8*G101</f>
        <v>6558584.3241070453</v>
      </c>
      <c r="R101" s="127">
        <f>'GS &lt; 50 OLS Model'!$B$9*H101</f>
        <v>-2049265.53046571</v>
      </c>
      <c r="S101" s="127">
        <f>'GS &lt; 50 OLS Model'!$B$10*I101</f>
        <v>0</v>
      </c>
      <c r="T101" s="127">
        <f>'GS &lt; 50 OLS Model'!$B$11*J101</f>
        <v>0</v>
      </c>
      <c r="U101" s="127">
        <f>'GS &lt; 50 OLS Model'!$B$12*K101</f>
        <v>-782960.312499544</v>
      </c>
      <c r="V101" s="127">
        <f>'GS &lt; 50 OLS Model'!$B$13*L101</f>
        <v>13776537.46314018</v>
      </c>
      <c r="W101" s="127">
        <f t="shared" si="10"/>
        <v>15908468.780575957</v>
      </c>
      <c r="X101" s="24">
        <f t="shared" ca="1" si="11"/>
        <v>1.0695072805288633E-2</v>
      </c>
    </row>
    <row r="102" spans="1:24">
      <c r="A102" s="128">
        <f>'Monthly Data'!A102</f>
        <v>42856</v>
      </c>
      <c r="B102" s="154">
        <f t="shared" si="8"/>
        <v>5</v>
      </c>
      <c r="C102" s="127">
        <f t="shared" si="9"/>
        <v>2017</v>
      </c>
      <c r="D102" s="127">
        <f ca="1">'Monthly Data'!J102</f>
        <v>16539773.226596767</v>
      </c>
      <c r="E102" s="127">
        <f>'Monthly Data'!BH102</f>
        <v>124.4</v>
      </c>
      <c r="F102" s="127">
        <f>'Monthly Data'!BI102</f>
        <v>28.5</v>
      </c>
      <c r="G102" s="124">
        <f>'Monthly Data'!BK102</f>
        <v>160</v>
      </c>
      <c r="H102" s="127">
        <f>'Monthly Data'!BM102</f>
        <v>101</v>
      </c>
      <c r="I102" s="127">
        <f>'Monthly Data'!BP102</f>
        <v>0</v>
      </c>
      <c r="J102" s="127">
        <f>'Monthly Data'!BV102</f>
        <v>0</v>
      </c>
      <c r="K102" s="127">
        <f>'Monthly Data'!CB102</f>
        <v>1</v>
      </c>
      <c r="L102" s="127">
        <f>'Monthly Data'!CC102</f>
        <v>31</v>
      </c>
      <c r="M102" s="127"/>
      <c r="N102" s="127">
        <f>'GS &lt; 50 OLS Model'!$B$5</f>
        <v>-2510760.1679547098</v>
      </c>
      <c r="O102" s="127">
        <f>'GS &lt; 50 OLS Model'!$B$6*E102</f>
        <v>541913.42746171763</v>
      </c>
      <c r="P102" s="127">
        <f>'GS &lt; 50 OLS Model'!$B$7*F102</f>
        <v>676743.83949768636</v>
      </c>
      <c r="Q102" s="127">
        <f>'GS &lt; 50 OLS Model'!$B$8*G102</f>
        <v>6550396.3286961755</v>
      </c>
      <c r="R102" s="127">
        <f>'GS &lt; 50 OLS Model'!$B$9*H102</f>
        <v>-2069758.185770367</v>
      </c>
      <c r="S102" s="127">
        <f>'GS &lt; 50 OLS Model'!$B$10*I102</f>
        <v>0</v>
      </c>
      <c r="T102" s="127">
        <f>'GS &lt; 50 OLS Model'!$B$11*J102</f>
        <v>0</v>
      </c>
      <c r="U102" s="127">
        <f>'GS &lt; 50 OLS Model'!$B$12*K102</f>
        <v>-782960.312499544</v>
      </c>
      <c r="V102" s="127">
        <f>'GS &lt; 50 OLS Model'!$B$13*L102</f>
        <v>14235755.378578186</v>
      </c>
      <c r="W102" s="127">
        <f t="shared" si="10"/>
        <v>16641330.308009144</v>
      </c>
      <c r="X102" s="24">
        <f t="shared" ca="1" si="11"/>
        <v>6.1401737509355972E-3</v>
      </c>
    </row>
    <row r="103" spans="1:24">
      <c r="A103" s="128">
        <f>'Monthly Data'!A103</f>
        <v>42887</v>
      </c>
      <c r="B103" s="154">
        <f t="shared" si="8"/>
        <v>6</v>
      </c>
      <c r="C103" s="127">
        <f t="shared" si="9"/>
        <v>2017</v>
      </c>
      <c r="D103" s="127">
        <f ca="1">'Monthly Data'!J103</f>
        <v>18287536.646596767</v>
      </c>
      <c r="E103" s="127">
        <f>'Monthly Data'!BH103</f>
        <v>2.9</v>
      </c>
      <c r="F103" s="127">
        <f>'Monthly Data'!BI103</f>
        <v>128.1</v>
      </c>
      <c r="G103" s="124">
        <f>'Monthly Data'!BK103</f>
        <v>160.5</v>
      </c>
      <c r="H103" s="127">
        <f>'Monthly Data'!BM103</f>
        <v>102</v>
      </c>
      <c r="I103" s="127">
        <f>'Monthly Data'!BP103</f>
        <v>0</v>
      </c>
      <c r="J103" s="127">
        <f>'Monthly Data'!BV103</f>
        <v>0</v>
      </c>
      <c r="K103" s="127">
        <f>'Monthly Data'!CB103</f>
        <v>0</v>
      </c>
      <c r="L103" s="127">
        <f>'Monthly Data'!CC103</f>
        <v>30</v>
      </c>
      <c r="M103" s="127"/>
      <c r="N103" s="127">
        <f>'GS &lt; 50 OLS Model'!$B$5</f>
        <v>-2510760.1679547098</v>
      </c>
      <c r="O103" s="127">
        <f>'GS &lt; 50 OLS Model'!$B$6*E103</f>
        <v>12633.030061406598</v>
      </c>
      <c r="P103" s="127">
        <f>'GS &lt; 50 OLS Model'!$B$7*F103</f>
        <v>3041785.4680580217</v>
      </c>
      <c r="Q103" s="127">
        <f>'GS &lt; 50 OLS Model'!$B$8*G103</f>
        <v>6570866.3172233514</v>
      </c>
      <c r="R103" s="127">
        <f>'GS &lt; 50 OLS Model'!$B$9*H103</f>
        <v>-2090250.8410750241</v>
      </c>
      <c r="S103" s="127">
        <f>'GS &lt; 50 OLS Model'!$B$10*I103</f>
        <v>0</v>
      </c>
      <c r="T103" s="127">
        <f>'GS &lt; 50 OLS Model'!$B$11*J103</f>
        <v>0</v>
      </c>
      <c r="U103" s="127">
        <f>'GS &lt; 50 OLS Model'!$B$12*K103</f>
        <v>0</v>
      </c>
      <c r="V103" s="127">
        <f>'GS &lt; 50 OLS Model'!$B$13*L103</f>
        <v>13776537.46314018</v>
      </c>
      <c r="W103" s="127">
        <f t="shared" si="10"/>
        <v>18800811.269453228</v>
      </c>
      <c r="X103" s="24">
        <f t="shared" ca="1" si="11"/>
        <v>2.8066908779208311E-2</v>
      </c>
    </row>
    <row r="104" spans="1:24">
      <c r="A104" s="128">
        <f>'Monthly Data'!A104</f>
        <v>42917</v>
      </c>
      <c r="B104" s="154">
        <f t="shared" si="8"/>
        <v>7</v>
      </c>
      <c r="C104" s="127">
        <f t="shared" si="9"/>
        <v>2017</v>
      </c>
      <c r="D104" s="127">
        <f ca="1">'Monthly Data'!J104</f>
        <v>20148670.466596767</v>
      </c>
      <c r="E104" s="127">
        <f>'Monthly Data'!BH104</f>
        <v>0</v>
      </c>
      <c r="F104" s="127">
        <f>'Monthly Data'!BI104</f>
        <v>179.5</v>
      </c>
      <c r="G104" s="124">
        <f>'Monthly Data'!BK104</f>
        <v>160.5</v>
      </c>
      <c r="H104" s="127">
        <f>'Monthly Data'!BM104</f>
        <v>103</v>
      </c>
      <c r="I104" s="127">
        <f>'Monthly Data'!BP104</f>
        <v>0</v>
      </c>
      <c r="J104" s="127">
        <f>'Monthly Data'!BV104</f>
        <v>0</v>
      </c>
      <c r="K104" s="127">
        <f>'Monthly Data'!CB104</f>
        <v>0</v>
      </c>
      <c r="L104" s="127">
        <f>'Monthly Data'!CC104</f>
        <v>31</v>
      </c>
      <c r="M104" s="127"/>
      <c r="N104" s="127">
        <f>'GS &lt; 50 OLS Model'!$B$5</f>
        <v>-2510760.1679547098</v>
      </c>
      <c r="O104" s="127">
        <f>'GS &lt; 50 OLS Model'!$B$6*E104</f>
        <v>0</v>
      </c>
      <c r="P104" s="127">
        <f>'GS &lt; 50 OLS Model'!$B$7*F104</f>
        <v>4262298.9189415686</v>
      </c>
      <c r="Q104" s="127">
        <f>'GS &lt; 50 OLS Model'!$B$8*G104</f>
        <v>6570866.3172233514</v>
      </c>
      <c r="R104" s="127">
        <f>'GS &lt; 50 OLS Model'!$B$9*H104</f>
        <v>-2110743.4963796814</v>
      </c>
      <c r="S104" s="127">
        <f>'GS &lt; 50 OLS Model'!$B$10*I104</f>
        <v>0</v>
      </c>
      <c r="T104" s="127">
        <f>'GS &lt; 50 OLS Model'!$B$11*J104</f>
        <v>0</v>
      </c>
      <c r="U104" s="127">
        <f>'GS &lt; 50 OLS Model'!$B$12*K104</f>
        <v>0</v>
      </c>
      <c r="V104" s="127">
        <f>'GS &lt; 50 OLS Model'!$B$13*L104</f>
        <v>14235755.378578186</v>
      </c>
      <c r="W104" s="127">
        <f t="shared" si="10"/>
        <v>20447416.950408716</v>
      </c>
      <c r="X104" s="24">
        <f t="shared" ca="1" si="11"/>
        <v>1.4827106548157692E-2</v>
      </c>
    </row>
    <row r="105" spans="1:24">
      <c r="A105" s="128">
        <f>'Monthly Data'!A105</f>
        <v>42948</v>
      </c>
      <c r="B105" s="154">
        <f t="shared" si="8"/>
        <v>8</v>
      </c>
      <c r="C105" s="127">
        <f t="shared" si="9"/>
        <v>2017</v>
      </c>
      <c r="D105" s="127">
        <f ca="1">'Monthly Data'!J105</f>
        <v>19087552.926596768</v>
      </c>
      <c r="E105" s="127">
        <f>'Monthly Data'!BH105</f>
        <v>1.9</v>
      </c>
      <c r="F105" s="127">
        <f>'Monthly Data'!BI105</f>
        <v>121.4</v>
      </c>
      <c r="G105" s="124">
        <f>'Monthly Data'!BK105</f>
        <v>163.69999999999999</v>
      </c>
      <c r="H105" s="127">
        <f>'Monthly Data'!BM105</f>
        <v>104</v>
      </c>
      <c r="I105" s="127">
        <f>'Monthly Data'!BP105</f>
        <v>0</v>
      </c>
      <c r="J105" s="127">
        <f>'Monthly Data'!BV105</f>
        <v>0</v>
      </c>
      <c r="K105" s="127">
        <f>'Monthly Data'!CB105</f>
        <v>0</v>
      </c>
      <c r="L105" s="127">
        <f>'Monthly Data'!CC105</f>
        <v>31</v>
      </c>
      <c r="M105" s="127"/>
      <c r="N105" s="127">
        <f>'GS &lt; 50 OLS Model'!$B$5</f>
        <v>-2510760.1679547098</v>
      </c>
      <c r="O105" s="127">
        <f>'GS &lt; 50 OLS Model'!$B$6*E105</f>
        <v>8276.8127988525994</v>
      </c>
      <c r="P105" s="127">
        <f>'GS &lt; 50 OLS Model'!$B$7*F105</f>
        <v>2882691.3022813727</v>
      </c>
      <c r="Q105" s="127">
        <f>'GS &lt; 50 OLS Model'!$B$8*G105</f>
        <v>6701874.2437972743</v>
      </c>
      <c r="R105" s="127">
        <f>'GS &lt; 50 OLS Model'!$B$9*H105</f>
        <v>-2131236.1516843382</v>
      </c>
      <c r="S105" s="127">
        <f>'GS &lt; 50 OLS Model'!$B$10*I105</f>
        <v>0</v>
      </c>
      <c r="T105" s="127">
        <f>'GS &lt; 50 OLS Model'!$B$11*J105</f>
        <v>0</v>
      </c>
      <c r="U105" s="127">
        <f>'GS &lt; 50 OLS Model'!$B$12*K105</f>
        <v>0</v>
      </c>
      <c r="V105" s="127">
        <f>'GS &lt; 50 OLS Model'!$B$13*L105</f>
        <v>14235755.378578186</v>
      </c>
      <c r="W105" s="127">
        <f t="shared" si="10"/>
        <v>19186601.417816639</v>
      </c>
      <c r="X105" s="24">
        <f t="shared" ca="1" si="11"/>
        <v>5.1891665527148681E-3</v>
      </c>
    </row>
    <row r="106" spans="1:24">
      <c r="A106" s="128">
        <f>'Monthly Data'!A106</f>
        <v>42979</v>
      </c>
      <c r="B106" s="154">
        <f t="shared" si="8"/>
        <v>9</v>
      </c>
      <c r="C106" s="127">
        <f t="shared" si="9"/>
        <v>2017</v>
      </c>
      <c r="D106" s="127">
        <f ca="1">'Monthly Data'!J106</f>
        <v>17404207.736596767</v>
      </c>
      <c r="E106" s="127">
        <f>'Monthly Data'!BH106</f>
        <v>27.4</v>
      </c>
      <c r="F106" s="127">
        <f>'Monthly Data'!BI106</f>
        <v>80.7</v>
      </c>
      <c r="G106" s="124">
        <f>'Monthly Data'!BK106</f>
        <v>164.7</v>
      </c>
      <c r="H106" s="127">
        <f>'Monthly Data'!BM106</f>
        <v>105</v>
      </c>
      <c r="I106" s="127">
        <f>'Monthly Data'!BP106</f>
        <v>0</v>
      </c>
      <c r="J106" s="127">
        <f>'Monthly Data'!BV106</f>
        <v>1</v>
      </c>
      <c r="K106" s="127">
        <f>'Monthly Data'!CB106</f>
        <v>1</v>
      </c>
      <c r="L106" s="127">
        <f>'Monthly Data'!CC106</f>
        <v>30</v>
      </c>
      <c r="M106" s="127"/>
      <c r="N106" s="127">
        <f>'GS &lt; 50 OLS Model'!$B$5</f>
        <v>-2510760.1679547098</v>
      </c>
      <c r="O106" s="127">
        <f>'GS &lt; 50 OLS Model'!$B$6*E106</f>
        <v>119360.35299397958</v>
      </c>
      <c r="P106" s="127">
        <f>'GS &lt; 50 OLS Model'!$B$7*F106</f>
        <v>1916253.6086829226</v>
      </c>
      <c r="Q106" s="127">
        <f>'GS &lt; 50 OLS Model'!$B$8*G106</f>
        <v>6742814.2208516253</v>
      </c>
      <c r="R106" s="127">
        <f>'GS &lt; 50 OLS Model'!$B$9*H106</f>
        <v>-2151728.8069889955</v>
      </c>
      <c r="S106" s="127">
        <f>'GS &lt; 50 OLS Model'!$B$10*I106</f>
        <v>0</v>
      </c>
      <c r="T106" s="127">
        <f>'GS &lt; 50 OLS Model'!$B$11*J106</f>
        <v>697390.17362184904</v>
      </c>
      <c r="U106" s="127">
        <f>'GS &lt; 50 OLS Model'!$B$12*K106</f>
        <v>-782960.312499544</v>
      </c>
      <c r="V106" s="127">
        <f>'GS &lt; 50 OLS Model'!$B$13*L106</f>
        <v>13776537.46314018</v>
      </c>
      <c r="W106" s="127">
        <f t="shared" si="10"/>
        <v>17806906.531847309</v>
      </c>
      <c r="X106" s="24">
        <f t="shared" ca="1" si="11"/>
        <v>2.3138013596779011E-2</v>
      </c>
    </row>
    <row r="107" spans="1:24">
      <c r="A107" s="128">
        <f>'Monthly Data'!A107</f>
        <v>43009</v>
      </c>
      <c r="B107" s="154">
        <f t="shared" si="8"/>
        <v>10</v>
      </c>
      <c r="C107" s="127">
        <f t="shared" si="9"/>
        <v>2017</v>
      </c>
      <c r="D107" s="127">
        <f ca="1">'Monthly Data'!J107</f>
        <v>16833839.906596765</v>
      </c>
      <c r="E107" s="127">
        <f>'Monthly Data'!BH107</f>
        <v>124.6</v>
      </c>
      <c r="F107" s="127">
        <f>'Monthly Data'!BI107</f>
        <v>24.9</v>
      </c>
      <c r="G107" s="124">
        <f>'Monthly Data'!BK107</f>
        <v>162.1</v>
      </c>
      <c r="H107" s="127">
        <f>'Monthly Data'!BM107</f>
        <v>106</v>
      </c>
      <c r="I107" s="127">
        <f>'Monthly Data'!BP107</f>
        <v>0</v>
      </c>
      <c r="J107" s="127">
        <f>'Monthly Data'!BV107</f>
        <v>0</v>
      </c>
      <c r="K107" s="127">
        <f>'Monthly Data'!CB107</f>
        <v>1</v>
      </c>
      <c r="L107" s="127">
        <f>'Monthly Data'!CC107</f>
        <v>31</v>
      </c>
      <c r="M107" s="127"/>
      <c r="N107" s="127">
        <f>'GS &lt; 50 OLS Model'!$B$5</f>
        <v>-2510760.1679547098</v>
      </c>
      <c r="O107" s="127">
        <f>'GS &lt; 50 OLS Model'!$B$6*E107</f>
        <v>542784.67091422831</v>
      </c>
      <c r="P107" s="127">
        <f>'GS &lt; 50 OLS Model'!$B$7*F107</f>
        <v>591260.40714008384</v>
      </c>
      <c r="Q107" s="127">
        <f>'GS &lt; 50 OLS Model'!$B$8*G107</f>
        <v>6636370.2805103129</v>
      </c>
      <c r="R107" s="127">
        <f>'GS &lt; 50 OLS Model'!$B$9*H107</f>
        <v>-2172221.4622936524</v>
      </c>
      <c r="S107" s="127">
        <f>'GS &lt; 50 OLS Model'!$B$10*I107</f>
        <v>0</v>
      </c>
      <c r="T107" s="127">
        <f>'GS &lt; 50 OLS Model'!$B$11*J107</f>
        <v>0</v>
      </c>
      <c r="U107" s="127">
        <f>'GS &lt; 50 OLS Model'!$B$12*K107</f>
        <v>-782960.312499544</v>
      </c>
      <c r="V107" s="127">
        <f>'GS &lt; 50 OLS Model'!$B$13*L107</f>
        <v>14235755.378578186</v>
      </c>
      <c r="W107" s="127">
        <f t="shared" si="10"/>
        <v>16540228.794394905</v>
      </c>
      <c r="X107" s="24">
        <f t="shared" ca="1" si="11"/>
        <v>1.7441719407513271E-2</v>
      </c>
    </row>
    <row r="108" spans="1:24">
      <c r="A108" s="128">
        <f>'Monthly Data'!A108</f>
        <v>43040</v>
      </c>
      <c r="B108" s="154">
        <f t="shared" si="8"/>
        <v>11</v>
      </c>
      <c r="C108" s="127">
        <f t="shared" si="9"/>
        <v>2017</v>
      </c>
      <c r="D108" s="127">
        <f ca="1">'Monthly Data'!J108</f>
        <v>16525687.126596767</v>
      </c>
      <c r="E108" s="127">
        <f>'Monthly Data'!BH108</f>
        <v>379.5</v>
      </c>
      <c r="F108" s="127">
        <f>'Monthly Data'!BI108</f>
        <v>0</v>
      </c>
      <c r="G108" s="124">
        <f>'Monthly Data'!BK108</f>
        <v>162.9</v>
      </c>
      <c r="H108" s="127">
        <f>'Monthly Data'!BM108</f>
        <v>107</v>
      </c>
      <c r="I108" s="127">
        <f>'Monthly Data'!BP108</f>
        <v>0</v>
      </c>
      <c r="J108" s="127">
        <f>'Monthly Data'!BV108</f>
        <v>0</v>
      </c>
      <c r="K108" s="127">
        <f>'Monthly Data'!CB108</f>
        <v>1</v>
      </c>
      <c r="L108" s="127">
        <f>'Monthly Data'!CC108</f>
        <v>30</v>
      </c>
      <c r="M108" s="127"/>
      <c r="N108" s="127">
        <f>'GS &lt; 50 OLS Model'!$B$5</f>
        <v>-2510760.1679547098</v>
      </c>
      <c r="O108" s="127">
        <f>'GS &lt; 50 OLS Model'!$B$6*E108</f>
        <v>1653184.4511392429</v>
      </c>
      <c r="P108" s="127">
        <f>'GS &lt; 50 OLS Model'!$B$7*F108</f>
        <v>0</v>
      </c>
      <c r="Q108" s="127">
        <f>'GS &lt; 50 OLS Model'!$B$8*G108</f>
        <v>6669122.2621537941</v>
      </c>
      <c r="R108" s="127">
        <f>'GS &lt; 50 OLS Model'!$B$9*H108</f>
        <v>-2192714.1175983096</v>
      </c>
      <c r="S108" s="127">
        <f>'GS &lt; 50 OLS Model'!$B$10*I108</f>
        <v>0</v>
      </c>
      <c r="T108" s="127">
        <f>'GS &lt; 50 OLS Model'!$B$11*J108</f>
        <v>0</v>
      </c>
      <c r="U108" s="127">
        <f>'GS &lt; 50 OLS Model'!$B$12*K108</f>
        <v>-782960.312499544</v>
      </c>
      <c r="V108" s="127">
        <f>'GS &lt; 50 OLS Model'!$B$13*L108</f>
        <v>13776537.46314018</v>
      </c>
      <c r="W108" s="127">
        <f t="shared" si="10"/>
        <v>16612409.578380654</v>
      </c>
      <c r="X108" s="24">
        <f t="shared" ca="1" si="11"/>
        <v>5.2477365158579911E-3</v>
      </c>
    </row>
    <row r="109" spans="1:24">
      <c r="A109" s="128">
        <f>'Monthly Data'!A109</f>
        <v>43070</v>
      </c>
      <c r="B109" s="154">
        <f t="shared" si="8"/>
        <v>12</v>
      </c>
      <c r="C109" s="127">
        <f t="shared" si="9"/>
        <v>2017</v>
      </c>
      <c r="D109" s="127">
        <f ca="1">'Monthly Data'!J109</f>
        <v>18537220.016596768</v>
      </c>
      <c r="E109" s="127">
        <f>'Monthly Data'!BH109</f>
        <v>634.4</v>
      </c>
      <c r="F109" s="127">
        <f>'Monthly Data'!BI109</f>
        <v>0</v>
      </c>
      <c r="G109" s="124">
        <f>'Monthly Data'!BK109</f>
        <v>163.9</v>
      </c>
      <c r="H109" s="127">
        <f>'Monthly Data'!BM109</f>
        <v>108</v>
      </c>
      <c r="I109" s="127">
        <f>'Monthly Data'!BP109</f>
        <v>0</v>
      </c>
      <c r="J109" s="127">
        <f>'Monthly Data'!BV109</f>
        <v>0</v>
      </c>
      <c r="K109" s="127">
        <f>'Monthly Data'!CB109</f>
        <v>0</v>
      </c>
      <c r="L109" s="127">
        <f>'Monthly Data'!CC109</f>
        <v>31</v>
      </c>
      <c r="M109" s="127"/>
      <c r="N109" s="127">
        <f>'GS &lt; 50 OLS Model'!$B$5</f>
        <v>-2510760.1679547098</v>
      </c>
      <c r="O109" s="127">
        <f>'GS &lt; 50 OLS Model'!$B$6*E109</f>
        <v>2763584.2313642572</v>
      </c>
      <c r="P109" s="127">
        <f>'GS &lt; 50 OLS Model'!$B$7*F109</f>
        <v>0</v>
      </c>
      <c r="Q109" s="127">
        <f>'GS &lt; 50 OLS Model'!$B$8*G109</f>
        <v>6710062.2392081451</v>
      </c>
      <c r="R109" s="127">
        <f>'GS &lt; 50 OLS Model'!$B$9*H109</f>
        <v>-2213206.7729029665</v>
      </c>
      <c r="S109" s="127">
        <f>'GS &lt; 50 OLS Model'!$B$10*I109</f>
        <v>0</v>
      </c>
      <c r="T109" s="127">
        <f>'GS &lt; 50 OLS Model'!$B$11*J109</f>
        <v>0</v>
      </c>
      <c r="U109" s="127">
        <f>'GS &lt; 50 OLS Model'!$B$12*K109</f>
        <v>0</v>
      </c>
      <c r="V109" s="127">
        <f>'GS &lt; 50 OLS Model'!$B$13*L109</f>
        <v>14235755.378578186</v>
      </c>
      <c r="W109" s="127">
        <f t="shared" si="10"/>
        <v>18985434.908292912</v>
      </c>
      <c r="X109" s="24">
        <f t="shared" ca="1" si="11"/>
        <v>2.4179186053510049E-2</v>
      </c>
    </row>
    <row r="110" spans="1:24" s="186" customFormat="1">
      <c r="A110" s="128">
        <f>'Monthly Data'!A110</f>
        <v>43101</v>
      </c>
      <c r="B110" s="154">
        <f t="shared" si="8"/>
        <v>1</v>
      </c>
      <c r="C110" s="186">
        <f t="shared" ref="C110:C121" si="12">YEAR(A110)</f>
        <v>2018</v>
      </c>
      <c r="D110" s="186">
        <f ca="1">'Monthly Data'!J110</f>
        <v>19001303.515027311</v>
      </c>
      <c r="E110" s="186">
        <f>'Monthly Data'!BH110</f>
        <v>671.40000000000009</v>
      </c>
      <c r="F110" s="186">
        <f>'Monthly Data'!BI110</f>
        <v>0</v>
      </c>
      <c r="G110" s="124">
        <f>'Monthly Data'!BK110</f>
        <v>165.3963481436397</v>
      </c>
      <c r="H110" s="186">
        <f>'Monthly Data'!BM110</f>
        <v>109</v>
      </c>
      <c r="I110" s="186">
        <f>'Monthly Data'!BP110</f>
        <v>0</v>
      </c>
      <c r="J110" s="186">
        <f>'Monthly Data'!BV110</f>
        <v>0</v>
      </c>
      <c r="K110" s="186">
        <f>'Monthly Data'!CB110</f>
        <v>0</v>
      </c>
      <c r="L110" s="186">
        <f>'Monthly Data'!CC110</f>
        <v>31</v>
      </c>
      <c r="N110" s="186">
        <f>'GS &lt; 50 OLS Model'!$B$5</f>
        <v>-2510760.1679547098</v>
      </c>
      <c r="O110" s="186">
        <f>'GS &lt; 50 OLS Model'!$B$6*E110</f>
        <v>2924764.2700787559</v>
      </c>
      <c r="P110" s="186">
        <f>'GS &lt; 50 OLS Model'!$B$7*F110</f>
        <v>0</v>
      </c>
      <c r="Q110" s="186">
        <f>'GS &lt; 50 OLS Model'!$B$8*G110</f>
        <v>6771322.6978740748</v>
      </c>
      <c r="R110" s="186">
        <f>'GS &lt; 50 OLS Model'!$B$9*H110</f>
        <v>-2233699.4282076238</v>
      </c>
      <c r="S110" s="186">
        <f>'GS &lt; 50 OLS Model'!$B$10*I110</f>
        <v>0</v>
      </c>
      <c r="T110" s="186">
        <f>'GS &lt; 50 OLS Model'!$B$11*J110</f>
        <v>0</v>
      </c>
      <c r="U110" s="186">
        <f>'GS &lt; 50 OLS Model'!$B$12*K110</f>
        <v>0</v>
      </c>
      <c r="V110" s="186">
        <f>'GS &lt; 50 OLS Model'!$B$13*L110</f>
        <v>14235755.378578186</v>
      </c>
      <c r="W110" s="186">
        <f t="shared" ref="W110:W121" si="13">SUM(N110:V110)</f>
        <v>19187382.750368685</v>
      </c>
      <c r="X110" s="24">
        <f t="shared" ref="X110:X121" ca="1" si="14">ABS(W110-D110)/D110</f>
        <v>9.7929721081615167E-3</v>
      </c>
    </row>
    <row r="111" spans="1:24" s="186" customFormat="1">
      <c r="A111" s="128">
        <f>'Monthly Data'!A111</f>
        <v>43132</v>
      </c>
      <c r="B111" s="154">
        <f t="shared" si="8"/>
        <v>2</v>
      </c>
      <c r="C111" s="186">
        <f t="shared" si="12"/>
        <v>2018</v>
      </c>
      <c r="D111" s="186">
        <f ca="1">'Monthly Data'!J111</f>
        <v>16610806.131532103</v>
      </c>
      <c r="E111" s="186">
        <f>'Monthly Data'!BH111</f>
        <v>497.29999999999995</v>
      </c>
      <c r="F111" s="186">
        <f>'Monthly Data'!BI111</f>
        <v>0</v>
      </c>
      <c r="G111" s="124">
        <f>'Monthly Data'!BK111</f>
        <v>161.90486914181378</v>
      </c>
      <c r="H111" s="186">
        <f>'Monthly Data'!BM111</f>
        <v>110</v>
      </c>
      <c r="I111" s="186">
        <f>'Monthly Data'!BP111</f>
        <v>0</v>
      </c>
      <c r="J111" s="186">
        <f>'Monthly Data'!BV111</f>
        <v>0</v>
      </c>
      <c r="K111" s="186">
        <f>'Monthly Data'!CB111</f>
        <v>0</v>
      </c>
      <c r="L111" s="186">
        <f>'Monthly Data'!CC111</f>
        <v>28</v>
      </c>
      <c r="N111" s="186">
        <f>'GS &lt; 50 OLS Model'!$B$5</f>
        <v>-2510760.1679547098</v>
      </c>
      <c r="O111" s="186">
        <f>'GS &lt; 50 OLS Model'!$B$6*E111</f>
        <v>2166346.8446681038</v>
      </c>
      <c r="P111" s="186">
        <f>'GS &lt; 50 OLS Model'!$B$7*F111</f>
        <v>0</v>
      </c>
      <c r="Q111" s="186">
        <f>'GS &lt; 50 OLS Model'!$B$8*G111</f>
        <v>6628381.6276535727</v>
      </c>
      <c r="R111" s="186">
        <f>'GS &lt; 50 OLS Model'!$B$9*H111</f>
        <v>-2254192.0835122811</v>
      </c>
      <c r="S111" s="186">
        <f>'GS &lt; 50 OLS Model'!$B$10*I111</f>
        <v>0</v>
      </c>
      <c r="T111" s="186">
        <f>'GS &lt; 50 OLS Model'!$B$11*J111</f>
        <v>0</v>
      </c>
      <c r="U111" s="186">
        <f>'GS &lt; 50 OLS Model'!$B$12*K111</f>
        <v>0</v>
      </c>
      <c r="V111" s="186">
        <f>'GS &lt; 50 OLS Model'!$B$13*L111</f>
        <v>12858101.632264167</v>
      </c>
      <c r="W111" s="186">
        <f t="shared" si="13"/>
        <v>16887877.853118852</v>
      </c>
      <c r="X111" s="24">
        <f t="shared" ca="1" si="14"/>
        <v>1.6680209219996064E-2</v>
      </c>
    </row>
    <row r="112" spans="1:24" s="186" customFormat="1">
      <c r="A112" s="128">
        <f>'Monthly Data'!A112</f>
        <v>43160</v>
      </c>
      <c r="B112" s="154">
        <f t="shared" si="8"/>
        <v>3</v>
      </c>
      <c r="C112" s="186">
        <f t="shared" si="12"/>
        <v>2018</v>
      </c>
      <c r="D112" s="186">
        <f ca="1">'Monthly Data'!J112</f>
        <v>17318740.120735005</v>
      </c>
      <c r="E112" s="186">
        <f>'Monthly Data'!BH112</f>
        <v>510.59999999999997</v>
      </c>
      <c r="F112" s="186">
        <f>'Monthly Data'!BI112</f>
        <v>0</v>
      </c>
      <c r="G112" s="124">
        <f>'Monthly Data'!BK112</f>
        <v>160.5082775410834</v>
      </c>
      <c r="H112" s="186">
        <f>'Monthly Data'!BM112</f>
        <v>111</v>
      </c>
      <c r="I112" s="186">
        <f>'Monthly Data'!BP112</f>
        <v>1</v>
      </c>
      <c r="J112" s="186">
        <f>'Monthly Data'!BV112</f>
        <v>0</v>
      </c>
      <c r="K112" s="186">
        <f>'Monthly Data'!CB112</f>
        <v>1</v>
      </c>
      <c r="L112" s="186">
        <f>'Monthly Data'!CC112</f>
        <v>31</v>
      </c>
      <c r="N112" s="186">
        <f>'GS &lt; 50 OLS Model'!$B$5</f>
        <v>-2510760.1679547098</v>
      </c>
      <c r="O112" s="186">
        <f>'GS &lt; 50 OLS Model'!$B$6*E112</f>
        <v>2224284.5342600723</v>
      </c>
      <c r="P112" s="186">
        <f>'GS &lt; 50 OLS Model'!$B$7*F112</f>
        <v>0</v>
      </c>
      <c r="Q112" s="186">
        <f>'GS &lt; 50 OLS Model'!$B$8*G112</f>
        <v>6571205.1995653715</v>
      </c>
      <c r="R112" s="186">
        <f>'GS &lt; 50 OLS Model'!$B$9*H112</f>
        <v>-2274684.7388169379</v>
      </c>
      <c r="S112" s="186">
        <f>'GS &lt; 50 OLS Model'!$B$10*I112</f>
        <v>419453.43275174301</v>
      </c>
      <c r="T112" s="186">
        <f>'GS &lt; 50 OLS Model'!$B$11*J112</f>
        <v>0</v>
      </c>
      <c r="U112" s="186">
        <f>'GS &lt; 50 OLS Model'!$B$12*K112</f>
        <v>-782960.312499544</v>
      </c>
      <c r="V112" s="186">
        <f>'GS &lt; 50 OLS Model'!$B$13*L112</f>
        <v>14235755.378578186</v>
      </c>
      <c r="W112" s="186">
        <f t="shared" si="13"/>
        <v>17882293.325884182</v>
      </c>
      <c r="X112" s="24">
        <f t="shared" ca="1" si="14"/>
        <v>3.2540080930855864E-2</v>
      </c>
    </row>
    <row r="113" spans="1:28" s="186" customFormat="1">
      <c r="A113" s="128">
        <f>'Monthly Data'!A113</f>
        <v>43191</v>
      </c>
      <c r="B113" s="154">
        <f t="shared" si="8"/>
        <v>4</v>
      </c>
      <c r="C113" s="186">
        <f t="shared" si="12"/>
        <v>2018</v>
      </c>
      <c r="D113" s="186">
        <f ca="1">'Monthly Data'!J113</f>
        <v>16017226.272302017</v>
      </c>
      <c r="E113" s="186">
        <f>'Monthly Data'!BH113</f>
        <v>334.19999999999993</v>
      </c>
      <c r="F113" s="186">
        <f>'Monthly Data'!BI113</f>
        <v>0</v>
      </c>
      <c r="G113" s="124">
        <f>'Monthly Data'!BK113</f>
        <v>161.50584297017653</v>
      </c>
      <c r="H113" s="186">
        <f>'Monthly Data'!BM113</f>
        <v>112</v>
      </c>
      <c r="I113" s="186">
        <f>'Monthly Data'!BP113</f>
        <v>0</v>
      </c>
      <c r="J113" s="186">
        <f>'Monthly Data'!BV113</f>
        <v>0</v>
      </c>
      <c r="K113" s="186">
        <f>'Monthly Data'!CB113</f>
        <v>1</v>
      </c>
      <c r="L113" s="186">
        <f>'Monthly Data'!CC113</f>
        <v>30</v>
      </c>
      <c r="N113" s="186">
        <f>'GS &lt; 50 OLS Model'!$B$5</f>
        <v>-2510760.1679547098</v>
      </c>
      <c r="O113" s="186">
        <f>'GS &lt; 50 OLS Model'!$B$6*E113</f>
        <v>1455847.8091455465</v>
      </c>
      <c r="P113" s="186">
        <f>'GS &lt; 50 OLS Model'!$B$7*F113</f>
        <v>0</v>
      </c>
      <c r="Q113" s="186">
        <f>'GS &lt; 50 OLS Model'!$B$8*G113</f>
        <v>6612045.5053426586</v>
      </c>
      <c r="R113" s="186">
        <f>'GS &lt; 50 OLS Model'!$B$9*H113</f>
        <v>-2295177.3941215952</v>
      </c>
      <c r="S113" s="186">
        <f>'GS &lt; 50 OLS Model'!$B$10*I113</f>
        <v>0</v>
      </c>
      <c r="T113" s="186">
        <f>'GS &lt; 50 OLS Model'!$B$11*J113</f>
        <v>0</v>
      </c>
      <c r="U113" s="186">
        <f>'GS &lt; 50 OLS Model'!$B$12*K113</f>
        <v>-782960.312499544</v>
      </c>
      <c r="V113" s="186">
        <f>'GS &lt; 50 OLS Model'!$B$13*L113</f>
        <v>13776537.46314018</v>
      </c>
      <c r="W113" s="186">
        <f t="shared" si="13"/>
        <v>16255532.903052535</v>
      </c>
      <c r="X113" s="24">
        <f t="shared" ca="1" si="14"/>
        <v>1.487814598477721E-2</v>
      </c>
    </row>
    <row r="114" spans="1:28" s="186" customFormat="1">
      <c r="A114" s="128">
        <f>'Monthly Data'!A114</f>
        <v>43221</v>
      </c>
      <c r="B114" s="154">
        <f t="shared" si="8"/>
        <v>5</v>
      </c>
      <c r="C114" s="186">
        <f t="shared" si="12"/>
        <v>2018</v>
      </c>
      <c r="D114" s="186">
        <f ca="1">'Monthly Data'!J114</f>
        <v>16921821.134000421</v>
      </c>
      <c r="E114" s="186">
        <f>'Monthly Data'!BH114</f>
        <v>44.6</v>
      </c>
      <c r="F114" s="186">
        <f>'Monthly Data'!BI114</f>
        <v>68.7</v>
      </c>
      <c r="G114" s="124">
        <f>'Monthly Data'!BK114</f>
        <v>162.90243457090693</v>
      </c>
      <c r="H114" s="186">
        <f>'Monthly Data'!BM114</f>
        <v>113</v>
      </c>
      <c r="I114" s="186">
        <f>'Monthly Data'!BP114</f>
        <v>0</v>
      </c>
      <c r="J114" s="186">
        <f>'Monthly Data'!BV114</f>
        <v>0</v>
      </c>
      <c r="K114" s="186">
        <f>'Monthly Data'!CB114</f>
        <v>1</v>
      </c>
      <c r="L114" s="186">
        <f>'Monthly Data'!CC114</f>
        <v>31</v>
      </c>
      <c r="N114" s="186">
        <f>'GS &lt; 50 OLS Model'!$B$5</f>
        <v>-2510760.1679547098</v>
      </c>
      <c r="O114" s="186">
        <f>'GS &lt; 50 OLS Model'!$B$6*E114</f>
        <v>194287.2899099084</v>
      </c>
      <c r="P114" s="186">
        <f>'GS &lt; 50 OLS Model'!$B$7*F114</f>
        <v>1631308.8341575807</v>
      </c>
      <c r="Q114" s="186">
        <f>'GS &lt; 50 OLS Model'!$B$8*G114</f>
        <v>6669221.9334308608</v>
      </c>
      <c r="R114" s="186">
        <f>'GS &lt; 50 OLS Model'!$B$9*H114</f>
        <v>-2315670.049426252</v>
      </c>
      <c r="S114" s="186">
        <f>'GS &lt; 50 OLS Model'!$B$10*I114</f>
        <v>0</v>
      </c>
      <c r="T114" s="186">
        <f>'GS &lt; 50 OLS Model'!$B$11*J114</f>
        <v>0</v>
      </c>
      <c r="U114" s="186">
        <f>'GS &lt; 50 OLS Model'!$B$12*K114</f>
        <v>-782960.312499544</v>
      </c>
      <c r="V114" s="186">
        <f>'GS &lt; 50 OLS Model'!$B$13*L114</f>
        <v>14235755.378578186</v>
      </c>
      <c r="W114" s="186">
        <f t="shared" si="13"/>
        <v>17121182.906196032</v>
      </c>
      <c r="X114" s="24">
        <f t="shared" ca="1" si="14"/>
        <v>1.1781342600001873E-2</v>
      </c>
    </row>
    <row r="115" spans="1:28" s="186" customFormat="1">
      <c r="A115" s="128">
        <f>'Monthly Data'!A115</f>
        <v>43252</v>
      </c>
      <c r="B115" s="154">
        <f t="shared" si="8"/>
        <v>6</v>
      </c>
      <c r="C115" s="186">
        <f t="shared" si="12"/>
        <v>2018</v>
      </c>
      <c r="D115" s="186">
        <f ca="1">'Monthly Data'!J115</f>
        <v>18917894.230369061</v>
      </c>
      <c r="E115" s="186">
        <f>'Monthly Data'!BH115</f>
        <v>4</v>
      </c>
      <c r="F115" s="186">
        <f>'Monthly Data'!BI115</f>
        <v>122.39999999999998</v>
      </c>
      <c r="G115" s="124">
        <f>'Monthly Data'!BK115</f>
        <v>163.80024345709072</v>
      </c>
      <c r="H115" s="186">
        <f>'Monthly Data'!BM115</f>
        <v>114</v>
      </c>
      <c r="I115" s="186">
        <f>'Monthly Data'!BP115</f>
        <v>0</v>
      </c>
      <c r="J115" s="186">
        <f>'Monthly Data'!BV115</f>
        <v>0</v>
      </c>
      <c r="K115" s="186">
        <f>'Monthly Data'!CB115</f>
        <v>0</v>
      </c>
      <c r="L115" s="186">
        <f>'Monthly Data'!CC115</f>
        <v>30</v>
      </c>
      <c r="N115" s="186">
        <f>'GS &lt; 50 OLS Model'!$B$5</f>
        <v>-2510760.1679547098</v>
      </c>
      <c r="O115" s="186">
        <f>'GS &lt; 50 OLS Model'!$B$6*E115</f>
        <v>17424.869050215999</v>
      </c>
      <c r="P115" s="186">
        <f>'GS &lt; 50 OLS Model'!$B$7*F115</f>
        <v>2906436.7001584838</v>
      </c>
      <c r="Q115" s="186">
        <f>'GS &lt; 50 OLS Model'!$B$8*G115</f>
        <v>6705978.2086304175</v>
      </c>
      <c r="R115" s="186">
        <f>'GS &lt; 50 OLS Model'!$B$9*H115</f>
        <v>-2336162.7047309093</v>
      </c>
      <c r="S115" s="186">
        <f>'GS &lt; 50 OLS Model'!$B$10*I115</f>
        <v>0</v>
      </c>
      <c r="T115" s="186">
        <f>'GS &lt; 50 OLS Model'!$B$11*J115</f>
        <v>0</v>
      </c>
      <c r="U115" s="186">
        <f>'GS &lt; 50 OLS Model'!$B$12*K115</f>
        <v>0</v>
      </c>
      <c r="V115" s="186">
        <f>'GS &lt; 50 OLS Model'!$B$13*L115</f>
        <v>13776537.46314018</v>
      </c>
      <c r="W115" s="186">
        <f t="shared" si="13"/>
        <v>18559454.36829368</v>
      </c>
      <c r="X115" s="24">
        <f t="shared" ca="1" si="14"/>
        <v>1.8947133212108478E-2</v>
      </c>
    </row>
    <row r="116" spans="1:28" s="186" customFormat="1">
      <c r="A116" s="128">
        <f>'Monthly Data'!A116</f>
        <v>43282</v>
      </c>
      <c r="B116" s="154">
        <f t="shared" si="8"/>
        <v>7</v>
      </c>
      <c r="C116" s="186">
        <f t="shared" si="12"/>
        <v>2018</v>
      </c>
      <c r="D116" s="186">
        <f ca="1">'Monthly Data'!J116</f>
        <v>20639533.873314146</v>
      </c>
      <c r="E116" s="186">
        <f>'Monthly Data'!BH116</f>
        <v>0</v>
      </c>
      <c r="F116" s="186">
        <f>'Monthly Data'!BI116</f>
        <v>204.00000000000006</v>
      </c>
      <c r="G116" s="124">
        <f>'Monthly Data'!BK116</f>
        <v>163.20170419963483</v>
      </c>
      <c r="H116" s="186">
        <f>'Monthly Data'!BM116</f>
        <v>115</v>
      </c>
      <c r="I116" s="186">
        <f>'Monthly Data'!BP116</f>
        <v>0</v>
      </c>
      <c r="J116" s="186">
        <f>'Monthly Data'!BV116</f>
        <v>0</v>
      </c>
      <c r="K116" s="186">
        <f>'Monthly Data'!CB116</f>
        <v>0</v>
      </c>
      <c r="L116" s="186">
        <f>'Monthly Data'!CC116</f>
        <v>31</v>
      </c>
      <c r="N116" s="186">
        <f>'GS &lt; 50 OLS Model'!$B$5</f>
        <v>-2510760.1679547098</v>
      </c>
      <c r="O116" s="186">
        <f>'GS &lt; 50 OLS Model'!$B$6*E116</f>
        <v>0</v>
      </c>
      <c r="P116" s="186">
        <f>'GS &lt; 50 OLS Model'!$B$7*F116</f>
        <v>4844061.1669308087</v>
      </c>
      <c r="Q116" s="186">
        <f>'GS &lt; 50 OLS Model'!$B$8*G116</f>
        <v>6681474.0251640454</v>
      </c>
      <c r="R116" s="186">
        <f>'GS &lt; 50 OLS Model'!$B$9*H116</f>
        <v>-2356655.3600355661</v>
      </c>
      <c r="S116" s="186">
        <f>'GS &lt; 50 OLS Model'!$B$10*I116</f>
        <v>0</v>
      </c>
      <c r="T116" s="186">
        <f>'GS &lt; 50 OLS Model'!$B$11*J116</f>
        <v>0</v>
      </c>
      <c r="U116" s="186">
        <f>'GS &lt; 50 OLS Model'!$B$12*K116</f>
        <v>0</v>
      </c>
      <c r="V116" s="186">
        <f>'GS &lt; 50 OLS Model'!$B$13*L116</f>
        <v>14235755.378578186</v>
      </c>
      <c r="W116" s="186">
        <f t="shared" si="13"/>
        <v>20893875.042682763</v>
      </c>
      <c r="X116" s="24">
        <f t="shared" ca="1" si="14"/>
        <v>1.2323009372681002E-2</v>
      </c>
    </row>
    <row r="117" spans="1:28" s="186" customFormat="1">
      <c r="A117" s="128">
        <f>'Monthly Data'!A117</f>
        <v>43313</v>
      </c>
      <c r="B117" s="154">
        <f t="shared" si="8"/>
        <v>8</v>
      </c>
      <c r="C117" s="186">
        <f t="shared" si="12"/>
        <v>2018</v>
      </c>
      <c r="D117" s="186">
        <f ca="1">'Monthly Data'!J117</f>
        <v>20163539.185281534</v>
      </c>
      <c r="E117" s="186">
        <f>'Monthly Data'!BH117</f>
        <v>0</v>
      </c>
      <c r="F117" s="186">
        <f>'Monthly Data'!BI117</f>
        <v>204.40000000000003</v>
      </c>
      <c r="G117" s="124">
        <f>'Monthly Data'!BK117</f>
        <v>162.90243457090691</v>
      </c>
      <c r="H117" s="186">
        <f>'Monthly Data'!BM117</f>
        <v>116</v>
      </c>
      <c r="I117" s="186">
        <f>'Monthly Data'!BP117</f>
        <v>0</v>
      </c>
      <c r="J117" s="186">
        <f>'Monthly Data'!BV117</f>
        <v>0</v>
      </c>
      <c r="K117" s="186">
        <f>'Monthly Data'!CB117</f>
        <v>0</v>
      </c>
      <c r="L117" s="186">
        <f>'Monthly Data'!CC117</f>
        <v>31</v>
      </c>
      <c r="N117" s="186">
        <f>'GS &lt; 50 OLS Model'!$B$5</f>
        <v>-2510760.1679547098</v>
      </c>
      <c r="O117" s="186">
        <f>'GS &lt; 50 OLS Model'!$B$6*E117</f>
        <v>0</v>
      </c>
      <c r="P117" s="186">
        <f>'GS &lt; 50 OLS Model'!$B$7*F117</f>
        <v>4853559.3260816531</v>
      </c>
      <c r="Q117" s="186">
        <f>'GS &lt; 50 OLS Model'!$B$8*G117</f>
        <v>6669221.9334308598</v>
      </c>
      <c r="R117" s="186">
        <f>'GS &lt; 50 OLS Model'!$B$9*H117</f>
        <v>-2377148.0153402234</v>
      </c>
      <c r="S117" s="186">
        <f>'GS &lt; 50 OLS Model'!$B$10*I117</f>
        <v>0</v>
      </c>
      <c r="T117" s="186">
        <f>'GS &lt; 50 OLS Model'!$B$11*J117</f>
        <v>0</v>
      </c>
      <c r="U117" s="186">
        <f>'GS &lt; 50 OLS Model'!$B$12*K117</f>
        <v>0</v>
      </c>
      <c r="V117" s="186">
        <f>'GS &lt; 50 OLS Model'!$B$13*L117</f>
        <v>14235755.378578186</v>
      </c>
      <c r="W117" s="186">
        <f t="shared" si="13"/>
        <v>20870628.454795763</v>
      </c>
      <c r="X117" s="24">
        <f t="shared" ca="1" si="14"/>
        <v>3.5067716188950208E-2</v>
      </c>
    </row>
    <row r="118" spans="1:28" s="186" customFormat="1">
      <c r="A118" s="128">
        <f>'Monthly Data'!A118</f>
        <v>43344</v>
      </c>
      <c r="B118" s="154">
        <f t="shared" si="8"/>
        <v>9</v>
      </c>
      <c r="C118" s="186">
        <f t="shared" si="12"/>
        <v>2018</v>
      </c>
      <c r="D118" s="186">
        <f ca="1">'Monthly Data'!J118</f>
        <v>17735720.163342077</v>
      </c>
      <c r="E118" s="186">
        <f>'Monthly Data'!BH118</f>
        <v>29.7</v>
      </c>
      <c r="F118" s="186">
        <f>'Monthly Data'!BI118</f>
        <v>109.19999999999999</v>
      </c>
      <c r="G118" s="124">
        <f>'Monthly Data'!BK118</f>
        <v>163.30146074254412</v>
      </c>
      <c r="H118" s="186">
        <f>'Monthly Data'!BM118</f>
        <v>117</v>
      </c>
      <c r="I118" s="186">
        <f>'Monthly Data'!BP118</f>
        <v>0</v>
      </c>
      <c r="J118" s="186">
        <f>'Monthly Data'!BV118</f>
        <v>1</v>
      </c>
      <c r="K118" s="186">
        <f>'Monthly Data'!CB118</f>
        <v>1</v>
      </c>
      <c r="L118" s="186">
        <f>'Monthly Data'!CC118</f>
        <v>30</v>
      </c>
      <c r="N118" s="186">
        <f>'GS &lt; 50 OLS Model'!$B$5</f>
        <v>-2510760.1679547098</v>
      </c>
      <c r="O118" s="186">
        <f>'GS &lt; 50 OLS Model'!$B$6*E118</f>
        <v>129379.65269785379</v>
      </c>
      <c r="P118" s="186">
        <f>'GS &lt; 50 OLS Model'!$B$7*F118</f>
        <v>2592997.4481806085</v>
      </c>
      <c r="Q118" s="186">
        <f>'GS &lt; 50 OLS Model'!$B$8*G118</f>
        <v>6685558.055741773</v>
      </c>
      <c r="R118" s="186">
        <f>'GS &lt; 50 OLS Model'!$B$9*H118</f>
        <v>-2397640.6706448807</v>
      </c>
      <c r="S118" s="186">
        <f>'GS &lt; 50 OLS Model'!$B$10*I118</f>
        <v>0</v>
      </c>
      <c r="T118" s="186">
        <f>'GS &lt; 50 OLS Model'!$B$11*J118</f>
        <v>697390.17362184904</v>
      </c>
      <c r="U118" s="186">
        <f>'GS &lt; 50 OLS Model'!$B$12*K118</f>
        <v>-782960.312499544</v>
      </c>
      <c r="V118" s="186">
        <f>'GS &lt; 50 OLS Model'!$B$13*L118</f>
        <v>13776537.46314018</v>
      </c>
      <c r="W118" s="186">
        <f t="shared" si="13"/>
        <v>18190501.64228313</v>
      </c>
      <c r="X118" s="24">
        <f t="shared" ca="1" si="14"/>
        <v>2.5642120802122265E-2</v>
      </c>
    </row>
    <row r="119" spans="1:28" s="186" customFormat="1">
      <c r="A119" s="128">
        <f>'Monthly Data'!A119</f>
        <v>43374</v>
      </c>
      <c r="B119" s="154">
        <f t="shared" si="8"/>
        <v>10</v>
      </c>
      <c r="C119" s="186">
        <f t="shared" si="12"/>
        <v>2018</v>
      </c>
      <c r="D119" s="186">
        <f ca="1">'Monthly Data'!J119</f>
        <v>16132772.491475061</v>
      </c>
      <c r="E119" s="186">
        <f>'Monthly Data'!BH119</f>
        <v>207.89999999999995</v>
      </c>
      <c r="F119" s="186">
        <f>'Monthly Data'!BI119</f>
        <v>24.1</v>
      </c>
      <c r="G119" s="124">
        <f>'Monthly Data'!BK119</f>
        <v>164.59829580036518</v>
      </c>
      <c r="H119" s="186">
        <f>'Monthly Data'!BM119</f>
        <v>118</v>
      </c>
      <c r="I119" s="186">
        <f>'Monthly Data'!BP119</f>
        <v>0</v>
      </c>
      <c r="J119" s="186">
        <f>'Monthly Data'!BV119</f>
        <v>0</v>
      </c>
      <c r="K119" s="186">
        <f>'Monthly Data'!CB119</f>
        <v>1</v>
      </c>
      <c r="L119" s="186">
        <f>'Monthly Data'!CC119</f>
        <v>31</v>
      </c>
      <c r="N119" s="186">
        <f>'GS &lt; 50 OLS Model'!$B$5</f>
        <v>-2510760.1679547098</v>
      </c>
      <c r="O119" s="186">
        <f>'GS &lt; 50 OLS Model'!$B$6*E119</f>
        <v>905657.56888497632</v>
      </c>
      <c r="P119" s="186">
        <f>'GS &lt; 50 OLS Model'!$B$7*F119</f>
        <v>572264.0888383945</v>
      </c>
      <c r="Q119" s="186">
        <f>'GS &lt; 50 OLS Model'!$B$8*G119</f>
        <v>6738650.4532522447</v>
      </c>
      <c r="R119" s="186">
        <f>'GS &lt; 50 OLS Model'!$B$9*H119</f>
        <v>-2418133.3259495376</v>
      </c>
      <c r="S119" s="186">
        <f>'GS &lt; 50 OLS Model'!$B$10*I119</f>
        <v>0</v>
      </c>
      <c r="T119" s="186">
        <f>'GS &lt; 50 OLS Model'!$B$11*J119</f>
        <v>0</v>
      </c>
      <c r="U119" s="186">
        <f>'GS &lt; 50 OLS Model'!$B$12*K119</f>
        <v>-782960.312499544</v>
      </c>
      <c r="V119" s="186">
        <f>'GS &lt; 50 OLS Model'!$B$13*L119</f>
        <v>14235755.378578186</v>
      </c>
      <c r="W119" s="186">
        <f t="shared" si="13"/>
        <v>16740473.68315001</v>
      </c>
      <c r="X119" s="24">
        <f t="shared" ca="1" si="14"/>
        <v>3.7668738711593021E-2</v>
      </c>
    </row>
    <row r="120" spans="1:28" s="186" customFormat="1">
      <c r="A120" s="128">
        <f>'Monthly Data'!A120</f>
        <v>43405</v>
      </c>
      <c r="B120" s="154">
        <f t="shared" si="8"/>
        <v>11</v>
      </c>
      <c r="C120" s="186">
        <f t="shared" si="12"/>
        <v>2018</v>
      </c>
      <c r="D120" s="186">
        <f ca="1">'Monthly Data'!J120</f>
        <v>16564637.253296278</v>
      </c>
      <c r="E120" s="186">
        <f>'Monthly Data'!BH120</f>
        <v>454.9</v>
      </c>
      <c r="F120" s="186">
        <f>'Monthly Data'!BI120</f>
        <v>0</v>
      </c>
      <c r="G120" s="124">
        <f>'Monthly Data'!BK120</f>
        <v>167.49123554473525</v>
      </c>
      <c r="H120" s="186">
        <f>'Monthly Data'!BM120</f>
        <v>119</v>
      </c>
      <c r="I120" s="186">
        <f>'Monthly Data'!BP120</f>
        <v>0</v>
      </c>
      <c r="J120" s="186">
        <f>'Monthly Data'!BV120</f>
        <v>0</v>
      </c>
      <c r="K120" s="186">
        <f>'Monthly Data'!CB120</f>
        <v>1</v>
      </c>
      <c r="L120" s="186">
        <f>'Monthly Data'!CC120</f>
        <v>30</v>
      </c>
      <c r="N120" s="186">
        <f>'GS &lt; 50 OLS Model'!$B$5</f>
        <v>-2510760.1679547098</v>
      </c>
      <c r="O120" s="186">
        <f>'GS &lt; 50 OLS Model'!$B$6*E120</f>
        <v>1981643.2327358143</v>
      </c>
      <c r="P120" s="186">
        <f>'GS &lt; 50 OLS Model'!$B$7*F120</f>
        <v>0</v>
      </c>
      <c r="Q120" s="186">
        <f>'GS &lt; 50 OLS Model'!$B$8*G120</f>
        <v>6857087.3400063757</v>
      </c>
      <c r="R120" s="186">
        <f>'GS &lt; 50 OLS Model'!$B$9*H120</f>
        <v>-2438625.9812541949</v>
      </c>
      <c r="S120" s="186">
        <f>'GS &lt; 50 OLS Model'!$B$10*I120</f>
        <v>0</v>
      </c>
      <c r="T120" s="186">
        <f>'GS &lt; 50 OLS Model'!$B$11*J120</f>
        <v>0</v>
      </c>
      <c r="U120" s="186">
        <f>'GS &lt; 50 OLS Model'!$B$12*K120</f>
        <v>-782960.312499544</v>
      </c>
      <c r="V120" s="186">
        <f>'GS &lt; 50 OLS Model'!$B$13*L120</f>
        <v>13776537.46314018</v>
      </c>
      <c r="W120" s="186">
        <f t="shared" si="13"/>
        <v>16882921.57417392</v>
      </c>
      <c r="X120" s="24">
        <f t="shared" ca="1" si="14"/>
        <v>1.921468704751168E-2</v>
      </c>
    </row>
    <row r="121" spans="1:28" s="186" customFormat="1">
      <c r="A121" s="128">
        <f>'Monthly Data'!A121</f>
        <v>43435</v>
      </c>
      <c r="B121" s="154">
        <f>MONTH(A121)</f>
        <v>12</v>
      </c>
      <c r="C121" s="186">
        <f t="shared" si="12"/>
        <v>2018</v>
      </c>
      <c r="D121" s="186">
        <f ca="1">'Monthly Data'!J121</f>
        <v>17253745.033177346</v>
      </c>
      <c r="E121" s="186">
        <f>'Monthly Data'!BH121</f>
        <v>500.59999999999991</v>
      </c>
      <c r="F121" s="186">
        <f>'Monthly Data'!BI121</f>
        <v>0</v>
      </c>
      <c r="G121" s="124">
        <f>'Monthly Data'!BK121</f>
        <v>168.68831405964698</v>
      </c>
      <c r="H121" s="186">
        <f>'Monthly Data'!BM121</f>
        <v>120</v>
      </c>
      <c r="I121" s="186">
        <f>'Monthly Data'!BP121</f>
        <v>0</v>
      </c>
      <c r="J121" s="186">
        <f>'Monthly Data'!BV121</f>
        <v>0</v>
      </c>
      <c r="K121" s="186">
        <f>'Monthly Data'!CB121</f>
        <v>0</v>
      </c>
      <c r="L121" s="186">
        <f>'Monthly Data'!CC121</f>
        <v>31</v>
      </c>
      <c r="N121" s="186">
        <f>'GS &lt; 50 OLS Model'!$B$5</f>
        <v>-2510760.1679547098</v>
      </c>
      <c r="O121" s="186">
        <f>'GS &lt; 50 OLS Model'!$B$6*E121</f>
        <v>2180722.361634532</v>
      </c>
      <c r="P121" s="186">
        <f>'GS &lt; 50 OLS Model'!$B$7*F121</f>
        <v>0</v>
      </c>
      <c r="Q121" s="186">
        <f>'GS &lt; 50 OLS Model'!$B$8*G121</f>
        <v>6906095.7069391189</v>
      </c>
      <c r="R121" s="186">
        <f>'GS &lt; 50 OLS Model'!$B$9*H121</f>
        <v>-2459118.6365588517</v>
      </c>
      <c r="S121" s="186">
        <f>'GS &lt; 50 OLS Model'!$B$10*I121</f>
        <v>0</v>
      </c>
      <c r="T121" s="186">
        <f>'GS &lt; 50 OLS Model'!$B$11*J121</f>
        <v>0</v>
      </c>
      <c r="U121" s="186">
        <f>'GS &lt; 50 OLS Model'!$B$12*K121</f>
        <v>0</v>
      </c>
      <c r="V121" s="186">
        <f>'GS &lt; 50 OLS Model'!$B$13*L121</f>
        <v>14235755.378578186</v>
      </c>
      <c r="W121" s="186">
        <f t="shared" si="13"/>
        <v>18352694.642638274</v>
      </c>
      <c r="X121" s="24">
        <f t="shared" ca="1" si="14"/>
        <v>6.3693395685849641E-2</v>
      </c>
    </row>
    <row r="122" spans="1:28">
      <c r="X122" s="22">
        <f ca="1">AVERAGE(X2:X121)</f>
        <v>1.5969952708593707E-2</v>
      </c>
    </row>
    <row r="124" spans="1:28">
      <c r="Z124" s="155"/>
      <c r="AA124" s="155"/>
      <c r="AB124" s="155"/>
    </row>
    <row r="125" spans="1:28">
      <c r="AA125" s="155"/>
      <c r="AB125" s="155"/>
    </row>
    <row r="126" spans="1:28">
      <c r="AA126" s="155"/>
      <c r="AB126" s="155"/>
    </row>
    <row r="127" spans="1:28">
      <c r="AA127" s="155"/>
      <c r="AB127" s="155"/>
    </row>
    <row r="128" spans="1:28">
      <c r="AA128" s="155"/>
      <c r="AB128" s="155"/>
    </row>
    <row r="129" spans="27:28">
      <c r="AA129" s="155"/>
      <c r="AB129" s="155"/>
    </row>
    <row r="130" spans="27:28">
      <c r="AA130" s="155"/>
      <c r="AB130" s="155"/>
    </row>
    <row r="131" spans="27:28">
      <c r="AA131" s="155"/>
      <c r="AB131" s="155"/>
    </row>
    <row r="132" spans="27:28">
      <c r="AA132" s="155"/>
      <c r="AB132" s="155"/>
    </row>
    <row r="133" spans="27:28">
      <c r="AA133" s="155"/>
      <c r="AB133" s="155"/>
    </row>
    <row r="134" spans="27:28">
      <c r="AA134" s="155"/>
      <c r="AB134" s="155"/>
    </row>
    <row r="135" spans="27:28">
      <c r="AA135" s="155"/>
      <c r="AB135" s="15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Monthly Data</vt:lpstr>
      <vt:lpstr>Customer Data</vt:lpstr>
      <vt:lpstr>CDM</vt:lpstr>
      <vt:lpstr>Weather</vt:lpstr>
      <vt:lpstr>Employment</vt:lpstr>
      <vt:lpstr>Res OLS Model</vt:lpstr>
      <vt:lpstr>Res Predicted Monthly</vt:lpstr>
      <vt:lpstr>GS &lt; 50 OLS Model</vt:lpstr>
      <vt:lpstr>GS &lt; 50 Predicted Monthly</vt:lpstr>
      <vt:lpstr>GS &gt; 50 OLS Model</vt:lpstr>
      <vt:lpstr>GS &gt; 50 Predicted Monthly</vt:lpstr>
      <vt:lpstr>GS &gt; 50 OLS Model (LC)</vt:lpstr>
      <vt:lpstr>GS &gt; 50 Predicted Monthly (LC)</vt:lpstr>
      <vt:lpstr>Intermediate OLS Model</vt:lpstr>
      <vt:lpstr>Intermediate Predicted Monthly</vt:lpstr>
      <vt:lpstr>Large Use OLS Model</vt:lpstr>
      <vt:lpstr>Large Use Predicted Monthly</vt:lpstr>
      <vt:lpstr>Large Use OLS Model (LC)</vt:lpstr>
      <vt:lpstr>Large Use Predicted Monthly (L)</vt:lpstr>
      <vt:lpstr>Model Annual Summary</vt:lpstr>
      <vt:lpstr>Res Normalized Monthly</vt:lpstr>
      <vt:lpstr>GS &lt; 50 Normalized Monthly</vt:lpstr>
      <vt:lpstr>GS &gt; 50 Normalized Monthly</vt:lpstr>
      <vt:lpstr>GS &gt; 50 Normalized Monthly (LC)</vt:lpstr>
      <vt:lpstr>Intermediate Normalized Monthly</vt:lpstr>
      <vt:lpstr>Large Use Normalized Monthly</vt:lpstr>
      <vt:lpstr>Large Use Norm Monthly (LC)</vt:lpstr>
      <vt:lpstr>Connection count </vt:lpstr>
      <vt:lpstr>Normalized Annual Summary</vt:lpstr>
      <vt:lpstr>kW Forecast</vt:lpstr>
      <vt:lpstr>CDM Adjustments</vt:lpstr>
      <vt:lpstr>Data for App. 2 IB</vt:lpstr>
      <vt:lpstr>Summary Tables</vt:lpstr>
      <vt:lpstr>20 Year Trend-&gt;</vt:lpstr>
      <vt:lpstr>Res NM 20yr Trend</vt:lpstr>
      <vt:lpstr>GS &lt; 50 NM 20yr Trend</vt:lpstr>
      <vt:lpstr>GS &gt; 50 NM 20yr Trend</vt:lpstr>
      <vt:lpstr>GS &gt; 50 NM 20yr Trend (LC)</vt:lpstr>
      <vt:lpstr>Intermediate NM 20yr Trend</vt:lpstr>
      <vt:lpstr>Large Use NM 20yr Trend</vt:lpstr>
      <vt:lpstr>Large Use NM 20yr Trend (LC)</vt:lpstr>
      <vt:lpstr>Normalized AS 20yr Trend</vt:lpstr>
      <vt:lpstr>kW Forecast  20 yr Trend</vt:lpstr>
      <vt:lpstr>Summary Tables 20yr Trend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2008-02-27T14:40:29Z</dcterms:created>
  <dcterms:modified xsi:type="dcterms:W3CDTF">2019-08-01T12:11:04Z</dcterms:modified>
</cp:coreProperties>
</file>